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pivotCache/pivotCacheDefinition55.xml" ContentType="application/vnd.openxmlformats-officedocument.spreadsheetml.pivotCacheDefinition+xml"/>
  <Override PartName="/xl/pivotCache/pivotCacheDefinition56.xml" ContentType="application/vnd.openxmlformats-officedocument.spreadsheetml.pivotCacheDefinition+xml"/>
  <Override PartName="/xl/pivotCache/pivotCacheDefinition57.xml" ContentType="application/vnd.openxmlformats-officedocument.spreadsheetml.pivotCacheDefinition+xml"/>
  <Override PartName="/xl/pivotCache/pivotCacheDefinition58.xml" ContentType="application/vnd.openxmlformats-officedocument.spreadsheetml.pivotCacheDefinition+xml"/>
  <Override PartName="/xl/pivotCache/pivotCacheDefinition59.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60.xml" ContentType="application/vnd.openxmlformats-officedocument.spreadsheetml.pivotCacheDefinition+xml"/>
  <Override PartName="/xl/pivotCache/pivotCacheDefinition61.xml" ContentType="application/vnd.openxmlformats-officedocument.spreadsheetml.pivotCacheDefinition+xml"/>
  <Override PartName="/xl/pivotCache/pivotCacheDefinition62.xml" ContentType="application/vnd.openxmlformats-officedocument.spreadsheetml.pivotCacheDefinition+xml"/>
  <Override PartName="/xl/pivotCache/pivotCacheDefinition63.xml" ContentType="application/vnd.openxmlformats-officedocument.spreadsheetml.pivotCacheDefinition+xml"/>
  <Override PartName="/xl/pivotCache/pivotCacheDefinition64.xml" ContentType="application/vnd.openxmlformats-officedocument.spreadsheetml.pivotCacheDefinition+xml"/>
  <Override PartName="/xl/pivotCache/pivotCacheDefinition65.xml" ContentType="application/vnd.openxmlformats-officedocument.spreadsheetml.pivotCacheDefinition+xml"/>
  <Override PartName="/xl/pivotCache/pivotCacheDefinition6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Records1.xml" ContentType="application/vnd.openxmlformats-officedocument.spreadsheetml.pivotCacheRecords+xml"/>
  <Override PartName="/xl/pivotCache/pivotCacheRecords10.xml" ContentType="application/vnd.openxmlformats-officedocument.spreadsheetml.pivotCacheRecords+xml"/>
  <Override PartName="/xl/pivotCache/pivotCacheRecords11.xml" ContentType="application/vnd.openxmlformats-officedocument.spreadsheetml.pivotCacheRecords+xml"/>
  <Override PartName="/xl/pivotCache/pivotCacheRecords12.xml" ContentType="application/vnd.openxmlformats-officedocument.spreadsheetml.pivotCacheRecords+xml"/>
  <Override PartName="/xl/pivotCache/pivotCacheRecords13.xml" ContentType="application/vnd.openxmlformats-officedocument.spreadsheetml.pivotCacheRecords+xml"/>
  <Override PartName="/xl/pivotCache/pivotCacheRecords14.xml" ContentType="application/vnd.openxmlformats-officedocument.spreadsheetml.pivotCacheRecords+xml"/>
  <Override PartName="/xl/pivotCache/pivotCacheRecords15.xml" ContentType="application/vnd.openxmlformats-officedocument.spreadsheetml.pivotCacheRecords+xml"/>
  <Override PartName="/xl/pivotCache/pivotCacheRecords16.xml" ContentType="application/vnd.openxmlformats-officedocument.spreadsheetml.pivotCacheRecords+xml"/>
  <Override PartName="/xl/pivotCache/pivotCacheRecords17.xml" ContentType="application/vnd.openxmlformats-officedocument.spreadsheetml.pivotCacheRecords+xml"/>
  <Override PartName="/xl/pivotCache/pivotCacheRecords18.xml" ContentType="application/vnd.openxmlformats-officedocument.spreadsheetml.pivotCacheRecords+xml"/>
  <Override PartName="/xl/pivotCache/pivotCacheRecords19.xml" ContentType="application/vnd.openxmlformats-officedocument.spreadsheetml.pivotCacheRecords+xml"/>
  <Override PartName="/xl/pivotCache/pivotCacheRecords2.xml" ContentType="application/vnd.openxmlformats-officedocument.spreadsheetml.pivotCacheRecords+xml"/>
  <Override PartName="/xl/pivotCache/pivotCacheRecords20.xml" ContentType="application/vnd.openxmlformats-officedocument.spreadsheetml.pivotCacheRecords+xml"/>
  <Override PartName="/xl/pivotCache/pivotCacheRecords21.xml" ContentType="application/vnd.openxmlformats-officedocument.spreadsheetml.pivotCacheRecords+xml"/>
  <Override PartName="/xl/pivotCache/pivotCacheRecords22.xml" ContentType="application/vnd.openxmlformats-officedocument.spreadsheetml.pivotCacheRecords+xml"/>
  <Override PartName="/xl/pivotCache/pivotCacheRecords23.xml" ContentType="application/vnd.openxmlformats-officedocument.spreadsheetml.pivotCacheRecords+xml"/>
  <Override PartName="/xl/pivotCache/pivotCacheRecords24.xml" ContentType="application/vnd.openxmlformats-officedocument.spreadsheetml.pivotCacheRecords+xml"/>
  <Override PartName="/xl/pivotCache/pivotCacheRecords25.xml" ContentType="application/vnd.openxmlformats-officedocument.spreadsheetml.pivotCacheRecords+xml"/>
  <Override PartName="/xl/pivotCache/pivotCacheRecords26.xml" ContentType="application/vnd.openxmlformats-officedocument.spreadsheetml.pivotCacheRecords+xml"/>
  <Override PartName="/xl/pivotCache/pivotCacheRecords27.xml" ContentType="application/vnd.openxmlformats-officedocument.spreadsheetml.pivotCacheRecords+xml"/>
  <Override PartName="/xl/pivotCache/pivotCacheRecords28.xml" ContentType="application/vnd.openxmlformats-officedocument.spreadsheetml.pivotCacheRecords+xml"/>
  <Override PartName="/xl/pivotCache/pivotCacheRecords29.xml" ContentType="application/vnd.openxmlformats-officedocument.spreadsheetml.pivotCacheRecords+xml"/>
  <Override PartName="/xl/pivotCache/pivotCacheRecords3.xml" ContentType="application/vnd.openxmlformats-officedocument.spreadsheetml.pivotCacheRecords+xml"/>
  <Override PartName="/xl/pivotCache/pivotCacheRecords30.xml" ContentType="application/vnd.openxmlformats-officedocument.spreadsheetml.pivotCacheRecords+xml"/>
  <Override PartName="/xl/pivotCache/pivotCacheRecords31.xml" ContentType="application/vnd.openxmlformats-officedocument.spreadsheetml.pivotCacheRecords+xml"/>
  <Override PartName="/xl/pivotCache/pivotCacheRecords32.xml" ContentType="application/vnd.openxmlformats-officedocument.spreadsheetml.pivotCacheRecords+xml"/>
  <Override PartName="/xl/pivotCache/pivotCacheRecords33.xml" ContentType="application/vnd.openxmlformats-officedocument.spreadsheetml.pivotCacheRecords+xml"/>
  <Override PartName="/xl/pivotCache/pivotCacheRecords34.xml" ContentType="application/vnd.openxmlformats-officedocument.spreadsheetml.pivotCacheRecords+xml"/>
  <Override PartName="/xl/pivotCache/pivotCacheRecords35.xml" ContentType="application/vnd.openxmlformats-officedocument.spreadsheetml.pivotCacheRecords+xml"/>
  <Override PartName="/xl/pivotCache/pivotCacheRecords36.xml" ContentType="application/vnd.openxmlformats-officedocument.spreadsheetml.pivotCacheRecords+xml"/>
  <Override PartName="/xl/pivotCache/pivotCacheRecords37.xml" ContentType="application/vnd.openxmlformats-officedocument.spreadsheetml.pivotCacheRecords+xml"/>
  <Override PartName="/xl/pivotCache/pivotCacheRecords38.xml" ContentType="application/vnd.openxmlformats-officedocument.spreadsheetml.pivotCacheRecords+xml"/>
  <Override PartName="/xl/pivotCache/pivotCacheRecords39.xml" ContentType="application/vnd.openxmlformats-officedocument.spreadsheetml.pivotCacheRecords+xml"/>
  <Override PartName="/xl/pivotCache/pivotCacheRecords4.xml" ContentType="application/vnd.openxmlformats-officedocument.spreadsheetml.pivotCacheRecords+xml"/>
  <Override PartName="/xl/pivotCache/pivotCacheRecords40.xml" ContentType="application/vnd.openxmlformats-officedocument.spreadsheetml.pivotCacheRecords+xml"/>
  <Override PartName="/xl/pivotCache/pivotCacheRecords41.xml" ContentType="application/vnd.openxmlformats-officedocument.spreadsheetml.pivotCacheRecords+xml"/>
  <Override PartName="/xl/pivotCache/pivotCacheRecords42.xml" ContentType="application/vnd.openxmlformats-officedocument.spreadsheetml.pivotCacheRecords+xml"/>
  <Override PartName="/xl/pivotCache/pivotCacheRecords43.xml" ContentType="application/vnd.openxmlformats-officedocument.spreadsheetml.pivotCacheRecords+xml"/>
  <Override PartName="/xl/pivotCache/pivotCacheRecords44.xml" ContentType="application/vnd.openxmlformats-officedocument.spreadsheetml.pivotCacheRecords+xml"/>
  <Override PartName="/xl/pivotCache/pivotCacheRecords45.xml" ContentType="application/vnd.openxmlformats-officedocument.spreadsheetml.pivotCacheRecords+xml"/>
  <Override PartName="/xl/pivotCache/pivotCacheRecords46.xml" ContentType="application/vnd.openxmlformats-officedocument.spreadsheetml.pivotCacheRecords+xml"/>
  <Override PartName="/xl/pivotCache/pivotCacheRecords47.xml" ContentType="application/vnd.openxmlformats-officedocument.spreadsheetml.pivotCacheRecords+xml"/>
  <Override PartName="/xl/pivotCache/pivotCacheRecords48.xml" ContentType="application/vnd.openxmlformats-officedocument.spreadsheetml.pivotCacheRecords+xml"/>
  <Override PartName="/xl/pivotCache/pivotCacheRecords49.xml" ContentType="application/vnd.openxmlformats-officedocument.spreadsheetml.pivotCacheRecords+xml"/>
  <Override PartName="/xl/pivotCache/pivotCacheRecords5.xml" ContentType="application/vnd.openxmlformats-officedocument.spreadsheetml.pivotCacheRecords+xml"/>
  <Override PartName="/xl/pivotCache/pivotCacheRecords50.xml" ContentType="application/vnd.openxmlformats-officedocument.spreadsheetml.pivotCacheRecords+xml"/>
  <Override PartName="/xl/pivotCache/pivotCacheRecords51.xml" ContentType="application/vnd.openxmlformats-officedocument.spreadsheetml.pivotCacheRecords+xml"/>
  <Override PartName="/xl/pivotCache/pivotCacheRecords52.xml" ContentType="application/vnd.openxmlformats-officedocument.spreadsheetml.pivotCacheRecords+xml"/>
  <Override PartName="/xl/pivotCache/pivotCacheRecords53.xml" ContentType="application/vnd.openxmlformats-officedocument.spreadsheetml.pivotCacheRecords+xml"/>
  <Override PartName="/xl/pivotCache/pivotCacheRecords54.xml" ContentType="application/vnd.openxmlformats-officedocument.spreadsheetml.pivotCacheRecords+xml"/>
  <Override PartName="/xl/pivotCache/pivotCacheRecords55.xml" ContentType="application/vnd.openxmlformats-officedocument.spreadsheetml.pivotCacheRecords+xml"/>
  <Override PartName="/xl/pivotCache/pivotCacheRecords56.xml" ContentType="application/vnd.openxmlformats-officedocument.spreadsheetml.pivotCacheRecords+xml"/>
  <Override PartName="/xl/pivotCache/pivotCacheRecords57.xml" ContentType="application/vnd.openxmlformats-officedocument.spreadsheetml.pivotCacheRecords+xml"/>
  <Override PartName="/xl/pivotCache/pivotCacheRecords58.xml" ContentType="application/vnd.openxmlformats-officedocument.spreadsheetml.pivotCacheRecords+xml"/>
  <Override PartName="/xl/pivotCache/pivotCacheRecords59.xml" ContentType="application/vnd.openxmlformats-officedocument.spreadsheetml.pivotCacheRecords+xml"/>
  <Override PartName="/xl/pivotCache/pivotCacheRecords6.xml" ContentType="application/vnd.openxmlformats-officedocument.spreadsheetml.pivotCacheRecords+xml"/>
  <Override PartName="/xl/pivotCache/pivotCacheRecords60.xml" ContentType="application/vnd.openxmlformats-officedocument.spreadsheetml.pivotCacheRecords+xml"/>
  <Override PartName="/xl/pivotCache/pivotCacheRecords61.xml" ContentType="application/vnd.openxmlformats-officedocument.spreadsheetml.pivotCacheRecords+xml"/>
  <Override PartName="/xl/pivotCache/pivotCacheRecords62.xml" ContentType="application/vnd.openxmlformats-officedocument.spreadsheetml.pivotCacheRecords+xml"/>
  <Override PartName="/xl/pivotCache/pivotCacheRecords63.xml" ContentType="application/vnd.openxmlformats-officedocument.spreadsheetml.pivotCacheRecords+xml"/>
  <Override PartName="/xl/pivotCache/pivotCacheRecords64.xml" ContentType="application/vnd.openxmlformats-officedocument.spreadsheetml.pivotCacheRecords+xml"/>
  <Override PartName="/xl/pivotCache/pivotCacheRecords65.xml" ContentType="application/vnd.openxmlformats-officedocument.spreadsheetml.pivotCacheRecords+xml"/>
  <Override PartName="/xl/pivotCache/pivotCacheRecords66.xml" ContentType="application/vnd.openxmlformats-officedocument.spreadsheetml.pivotCacheRecords+xml"/>
  <Override PartName="/xl/pivotCache/pivotCacheRecords7.xml" ContentType="application/vnd.openxmlformats-officedocument.spreadsheetml.pivotCacheRecords+xml"/>
  <Override PartName="/xl/pivotCache/pivotCacheRecords8.xml" ContentType="application/vnd.openxmlformats-officedocument.spreadsheetml.pivotCacheRecords+xml"/>
  <Override PartName="/xl/pivotCache/pivotCacheRecords9.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6083" windowHeight="11112" tabRatio="895" firstSheet="3" activeTab="20"/>
  </bookViews>
  <sheets>
    <sheet name="1店" sheetId="1" r:id="rId1"/>
    <sheet name="1店辅助表" sheetId="10" r:id="rId2"/>
    <sheet name="2店" sheetId="49" r:id="rId3"/>
    <sheet name="2店辅助表" sheetId="53" r:id="rId4"/>
    <sheet name="3店" sheetId="54" r:id="rId5"/>
    <sheet name="3店辅助表" sheetId="58" r:id="rId6"/>
    <sheet name="4店" sheetId="4" r:id="rId7"/>
    <sheet name="4店辅助表" sheetId="13" r:id="rId8"/>
    <sheet name="5店" sheetId="5" r:id="rId9"/>
    <sheet name="5店辅助表" sheetId="14" r:id="rId10"/>
    <sheet name="6店" sheetId="6" r:id="rId11"/>
    <sheet name="6店辅助表" sheetId="15" r:id="rId12"/>
    <sheet name="7店" sheetId="7" r:id="rId13"/>
    <sheet name="7店辅助表" sheetId="16" r:id="rId14"/>
    <sheet name="8店" sheetId="8" r:id="rId15"/>
    <sheet name="8店辅助表" sheetId="17" r:id="rId16"/>
    <sheet name="9店" sheetId="9" r:id="rId17"/>
    <sheet name="9店辅助表" sheetId="18" r:id="rId18"/>
    <sheet name="10店" sheetId="59" r:id="rId19"/>
    <sheet name="10店辅助表" sheetId="60" r:id="rId20"/>
    <sheet name="趋势图45天" sheetId="19" r:id="rId21"/>
  </sheets>
  <externalReferences>
    <externalReference r:id="rId89"/>
  </externalReferences>
  <definedNames>
    <definedName name="_xlnm._FilterDatabase" localSheetId="0" hidden="1">'1店'!$A$2:$AS$124</definedName>
    <definedName name="_xlnm._FilterDatabase" localSheetId="1" hidden="1">'1店辅助表'!$B$1:$BB$312</definedName>
    <definedName name="_xlnm._FilterDatabase" localSheetId="2" hidden="1">'2店'!$A$2:$AP$18</definedName>
    <definedName name="_xlnm._FilterDatabase" localSheetId="3" hidden="1">'2店辅助表'!$B$1:$BB$122</definedName>
    <definedName name="_xlnm._FilterDatabase" localSheetId="4" hidden="1">'3店'!$A$2:$AV$251</definedName>
    <definedName name="_xlnm._FilterDatabase" localSheetId="5" hidden="1">'3店辅助表'!$A$1:$BB$373</definedName>
    <definedName name="_xlnm._FilterDatabase" localSheetId="6" hidden="1">'4店'!$A$2:$AP$149</definedName>
    <definedName name="_xlnm._FilterDatabase" localSheetId="7" hidden="1">'4店辅助表'!$B$1:$BB$190</definedName>
    <definedName name="_xlnm._FilterDatabase" localSheetId="8" hidden="1">'5店'!$A$2:$AP$69</definedName>
    <definedName name="_xlnm._FilterDatabase" localSheetId="9" hidden="1">'5店辅助表'!$B$1:$BB$156</definedName>
    <definedName name="_xlnm._FilterDatabase" localSheetId="10" hidden="1">'6店'!$A$2:$AP$90</definedName>
    <definedName name="_xlnm._FilterDatabase" localSheetId="11" hidden="1">'6店辅助表'!$B$1:$BB$134</definedName>
    <definedName name="_xlnm._FilterDatabase" localSheetId="12" hidden="1">'7店'!$A$2:$AP$200</definedName>
    <definedName name="_xlnm._FilterDatabase" localSheetId="13" hidden="1">'7店辅助表'!$B$1:$BC$320</definedName>
    <definedName name="_xlnm._FilterDatabase" localSheetId="14" hidden="1">'8店'!$A$2:$AP$99</definedName>
    <definedName name="_xlnm._FilterDatabase" localSheetId="15" hidden="1">'8店辅助表'!$B$1:$BC$170</definedName>
    <definedName name="_xlnm._FilterDatabase" localSheetId="16" hidden="1">'9店'!$A$2:$AP$118</definedName>
    <definedName name="_xlnm._FilterDatabase" localSheetId="17" hidden="1">'9店辅助表'!$B$1:$BC$154</definedName>
    <definedName name="_xlnm._FilterDatabase" localSheetId="18" hidden="1">'10店'!$A$2:$AP$39</definedName>
    <definedName name="_xlnm._FilterDatabase" localSheetId="19" hidden="1">'10店辅助表'!$B$1:$BC$135</definedName>
    <definedName name="_xlnm._FilterDatabase" localSheetId="20" hidden="1">趋势图45天!$A$1:$BJ$242</definedName>
  </definedNames>
  <calcPr calcId="144525"/>
  <pivotCaches>
    <pivotCache cacheId="0" r:id="rId23"/>
    <pivotCache cacheId="1" r:id="rId24"/>
    <pivotCache cacheId="2" r:id="rId25"/>
    <pivotCache cacheId="3" r:id="rId26"/>
    <pivotCache cacheId="4" r:id="rId27"/>
    <pivotCache cacheId="5" r:id="rId28"/>
    <pivotCache cacheId="6" r:id="rId29"/>
    <pivotCache cacheId="7" r:id="rId30"/>
    <pivotCache cacheId="8" r:id="rId31"/>
    <pivotCache cacheId="9" r:id="rId32"/>
    <pivotCache cacheId="10" r:id="rId33"/>
    <pivotCache cacheId="11" r:id="rId34"/>
    <pivotCache cacheId="12" r:id="rId35"/>
    <pivotCache cacheId="13" r:id="rId36"/>
    <pivotCache cacheId="14" r:id="rId37"/>
    <pivotCache cacheId="15" r:id="rId38"/>
    <pivotCache cacheId="16" r:id="rId39"/>
    <pivotCache cacheId="17" r:id="rId40"/>
    <pivotCache cacheId="18" r:id="rId41"/>
    <pivotCache cacheId="19" r:id="rId42"/>
    <pivotCache cacheId="20" r:id="rId43"/>
    <pivotCache cacheId="21" r:id="rId44"/>
    <pivotCache cacheId="22" r:id="rId45"/>
    <pivotCache cacheId="23" r:id="rId46"/>
    <pivotCache cacheId="24" r:id="rId47"/>
    <pivotCache cacheId="25" r:id="rId48"/>
    <pivotCache cacheId="26" r:id="rId49"/>
    <pivotCache cacheId="27" r:id="rId50"/>
    <pivotCache cacheId="28" r:id="rId51"/>
    <pivotCache cacheId="29" r:id="rId52"/>
    <pivotCache cacheId="30" r:id="rId53"/>
    <pivotCache cacheId="31" r:id="rId54"/>
    <pivotCache cacheId="32" r:id="rId55"/>
    <pivotCache cacheId="33" r:id="rId56"/>
    <pivotCache cacheId="34" r:id="rId57"/>
    <pivotCache cacheId="35" r:id="rId58"/>
    <pivotCache cacheId="36" r:id="rId59"/>
    <pivotCache cacheId="37" r:id="rId60"/>
    <pivotCache cacheId="38" r:id="rId61"/>
    <pivotCache cacheId="39" r:id="rId62"/>
    <pivotCache cacheId="40" r:id="rId63"/>
    <pivotCache cacheId="41" r:id="rId64"/>
    <pivotCache cacheId="42" r:id="rId65"/>
    <pivotCache cacheId="43" r:id="rId66"/>
    <pivotCache cacheId="44" r:id="rId67"/>
    <pivotCache cacheId="45" r:id="rId68"/>
    <pivotCache cacheId="46" r:id="rId69"/>
    <pivotCache cacheId="47" r:id="rId70"/>
    <pivotCache cacheId="48" r:id="rId71"/>
    <pivotCache cacheId="49" r:id="rId72"/>
    <pivotCache cacheId="50" r:id="rId73"/>
    <pivotCache cacheId="51" r:id="rId74"/>
    <pivotCache cacheId="52" r:id="rId75"/>
    <pivotCache cacheId="53" r:id="rId76"/>
    <pivotCache cacheId="54" r:id="rId77"/>
    <pivotCache cacheId="55" r:id="rId78"/>
    <pivotCache cacheId="56" r:id="rId79"/>
    <pivotCache cacheId="57" r:id="rId80"/>
    <pivotCache cacheId="58" r:id="rId81"/>
    <pivotCache cacheId="59" r:id="rId82"/>
    <pivotCache cacheId="60" r:id="rId83"/>
    <pivotCache cacheId="61" r:id="rId84"/>
    <pivotCache cacheId="62" r:id="rId85"/>
    <pivotCache cacheId="63" r:id="rId86"/>
    <pivotCache cacheId="64" r:id="rId87"/>
    <pivotCache cacheId="65" r:id="rId88"/>
  </pivotCaches>
</workbook>
</file>

<file path=xl/comments1.xml><?xml version="1.0" encoding="utf-8"?>
<comments xmlns="http://schemas.openxmlformats.org/spreadsheetml/2006/main">
  <authors>
    <author>Administrator</author>
  </authors>
  <commentList>
    <comment ref="B158" authorId="0">
      <text>
        <r>
          <rPr>
            <sz val="9"/>
            <rFont val="宋体"/>
            <charset val="134"/>
          </rPr>
          <t>儿童电摩都不卖了，后面会移到美国仓去</t>
        </r>
      </text>
    </comment>
  </commentList>
</comments>
</file>

<file path=xl/comments2.xml><?xml version="1.0" encoding="utf-8"?>
<comments xmlns="http://schemas.openxmlformats.org/spreadsheetml/2006/main">
  <authors>
    <author>Administrator</author>
  </authors>
  <commentList>
    <comment ref="AT205" authorId="0">
      <text>
        <r>
          <rPr>
            <sz val="9"/>
            <rFont val="宋体"/>
            <charset val="134"/>
          </rPr>
          <t>儿童电摩都不卖了，后面会移到美国仓去</t>
        </r>
      </text>
    </comment>
  </commentList>
</comments>
</file>

<file path=xl/comments3.xml><?xml version="1.0" encoding="utf-8"?>
<comments xmlns="http://schemas.openxmlformats.org/spreadsheetml/2006/main">
  <authors>
    <author>Administrator</author>
  </authors>
  <commentList>
    <comment ref="R5" authorId="0">
      <text>
        <r>
          <rPr>
            <sz val="9"/>
            <rFont val="宋体"/>
            <charset val="134"/>
          </rPr>
          <t>运营绩效使用是29，其中6个是受限制产品，2个是因过年厂家不出货故导致缺货，已用绿色标出</t>
        </r>
      </text>
    </comment>
    <comment ref="T5" authorId="0">
      <text>
        <r>
          <rPr>
            <sz val="9"/>
            <rFont val="宋体"/>
            <charset val="134"/>
          </rPr>
          <t>有6个sku列为危险品被禁售，用红色标识，在这里已剔除掉了</t>
        </r>
      </text>
    </comment>
    <comment ref="U5" authorId="0">
      <text>
        <r>
          <rPr>
            <b/>
            <sz val="9"/>
            <rFont val="宋体"/>
            <charset val="134"/>
          </rPr>
          <t>Administrator:</t>
        </r>
        <r>
          <rPr>
            <sz val="9"/>
            <rFont val="宋体"/>
            <charset val="134"/>
          </rPr>
          <t xml:space="preserve">
有6个sku列为危险品被禁售，用红色标识，在这里已剔除掉了
</t>
        </r>
      </text>
    </comment>
    <comment ref="U9" authorId="0">
      <text>
        <r>
          <rPr>
            <sz val="9"/>
            <rFont val="宋体"/>
            <charset val="134"/>
          </rPr>
          <t>有1个sku列为危险品被禁售，用红色标识，在这里已剔除掉了</t>
        </r>
      </text>
    </comment>
    <comment ref="AQ100" authorId="0">
      <text>
        <r>
          <rPr>
            <sz val="9"/>
            <rFont val="宋体"/>
            <charset val="134"/>
          </rPr>
          <t>有9款产品受限，已用红色标识</t>
        </r>
      </text>
    </comment>
    <comment ref="T125" authorId="0">
      <text>
        <r>
          <rPr>
            <sz val="9"/>
            <rFont val="宋体"/>
            <charset val="134"/>
          </rPr>
          <t>有3款产品受限，已有红色标识</t>
        </r>
      </text>
    </comment>
    <comment ref="U125" authorId="0">
      <text>
        <r>
          <rPr>
            <sz val="9"/>
            <rFont val="宋体"/>
            <charset val="134"/>
          </rPr>
          <t xml:space="preserve">有3款产品受限，已有红色标识
</t>
        </r>
      </text>
    </comment>
    <comment ref="V125" authorId="0">
      <text/>
    </comment>
    <comment ref="W125" authorId="0">
      <text>
        <r>
          <rPr>
            <sz val="9"/>
            <rFont val="宋体"/>
            <charset val="134"/>
          </rPr>
          <t>有5款产品受限，已用红色标识</t>
        </r>
      </text>
    </comment>
    <comment ref="X125" authorId="0">
      <text>
        <r>
          <rPr>
            <sz val="9"/>
            <rFont val="宋体"/>
            <charset val="134"/>
          </rPr>
          <t xml:space="preserve">有5款产品受限，已用红色标识
</t>
        </r>
      </text>
    </comment>
    <comment ref="Y125" authorId="0">
      <text>
        <r>
          <rPr>
            <sz val="9"/>
            <rFont val="宋体"/>
            <charset val="134"/>
          </rPr>
          <t xml:space="preserve">有4款产品受限，已用红色标识
</t>
        </r>
      </text>
    </comment>
    <comment ref="Z125" authorId="0">
      <text>
        <r>
          <rPr>
            <sz val="9"/>
            <rFont val="宋体"/>
            <charset val="134"/>
          </rPr>
          <t xml:space="preserve">有4款产品受限，已用红色标识
</t>
        </r>
      </text>
    </comment>
    <comment ref="AA125" authorId="0">
      <text>
        <r>
          <rPr>
            <sz val="9"/>
            <rFont val="宋体"/>
            <charset val="134"/>
          </rPr>
          <t xml:space="preserve">有3款产品受限，已用红色标识
</t>
        </r>
      </text>
    </comment>
    <comment ref="AB125" authorId="0">
      <text>
        <r>
          <rPr>
            <sz val="9"/>
            <rFont val="宋体"/>
            <charset val="134"/>
          </rPr>
          <t>有8款产品被下架，已用红色标识</t>
        </r>
      </text>
    </comment>
    <comment ref="AC125" authorId="0">
      <text>
        <r>
          <rPr>
            <sz val="9"/>
            <rFont val="宋体"/>
            <charset val="134"/>
          </rPr>
          <t xml:space="preserve">有5款产品被下架，已用红色标识
</t>
        </r>
      </text>
    </comment>
    <comment ref="AD125" authorId="0">
      <text>
        <r>
          <rPr>
            <sz val="9"/>
            <rFont val="宋体"/>
            <charset val="134"/>
          </rPr>
          <t xml:space="preserve">有3款产品被下架，已用红色标识
</t>
        </r>
      </text>
    </comment>
    <comment ref="AE125" authorId="0">
      <text>
        <r>
          <rPr>
            <sz val="9"/>
            <rFont val="宋体"/>
            <charset val="134"/>
          </rPr>
          <t xml:space="preserve">有3款产品被下架，已用红色标识
</t>
        </r>
      </text>
    </comment>
    <comment ref="AF125" authorId="0">
      <text>
        <r>
          <rPr>
            <sz val="9"/>
            <rFont val="宋体"/>
            <charset val="134"/>
          </rPr>
          <t xml:space="preserve">有8款产品被下架，已用红色标识
</t>
        </r>
      </text>
    </comment>
    <comment ref="AG125" authorId="0">
      <text>
        <r>
          <rPr>
            <sz val="9"/>
            <rFont val="宋体"/>
            <charset val="134"/>
          </rPr>
          <t xml:space="preserve">有8款产品被下架，已用红色标识
</t>
        </r>
      </text>
    </comment>
    <comment ref="AH125" authorId="0">
      <text>
        <r>
          <rPr>
            <sz val="9"/>
            <rFont val="宋体"/>
            <charset val="134"/>
          </rPr>
          <t xml:space="preserve">有8款产品被下架，已用红色标识
</t>
        </r>
      </text>
    </comment>
    <comment ref="AI125" authorId="0">
      <text>
        <r>
          <rPr>
            <sz val="9"/>
            <rFont val="宋体"/>
            <charset val="134"/>
          </rPr>
          <t xml:space="preserve">有5款产品被限制，已用红色标识
</t>
        </r>
      </text>
    </comment>
    <comment ref="AJ125" authorId="0">
      <text>
        <r>
          <rPr>
            <sz val="9"/>
            <rFont val="宋体"/>
            <charset val="134"/>
          </rPr>
          <t xml:space="preserve">有5款产品被限制，已用红色标识
</t>
        </r>
      </text>
    </comment>
    <comment ref="AK125" authorId="0">
      <text>
        <r>
          <rPr>
            <sz val="9"/>
            <rFont val="宋体"/>
            <charset val="134"/>
          </rPr>
          <t xml:space="preserve">有1款产品被限制，已用红色标识
</t>
        </r>
      </text>
    </comment>
    <comment ref="AL125" authorId="0">
      <text>
        <r>
          <rPr>
            <sz val="9"/>
            <rFont val="宋体"/>
            <charset val="134"/>
          </rPr>
          <t xml:space="preserve">有2款产品被限制，已用红色标识
</t>
        </r>
      </text>
    </comment>
    <comment ref="AM125" authorId="0">
      <text>
        <r>
          <rPr>
            <sz val="9"/>
            <rFont val="宋体"/>
            <charset val="134"/>
          </rPr>
          <t>有1款产品被限制，已用红色标识</t>
        </r>
      </text>
    </comment>
    <comment ref="AP150" authorId="0">
      <text>
        <r>
          <rPr>
            <sz val="9"/>
            <rFont val="宋体"/>
            <charset val="134"/>
          </rPr>
          <t xml:space="preserve">儿童电摩都不卖了，后面会移到美国仓去
</t>
        </r>
      </text>
    </comment>
    <comment ref="R174" authorId="0">
      <text>
        <r>
          <rPr>
            <sz val="9"/>
            <rFont val="宋体"/>
            <charset val="134"/>
          </rPr>
          <t>运营绩效使用是58，其中8个是受限制产品，已用绿色标出</t>
        </r>
      </text>
    </comment>
    <comment ref="T174" authorId="0">
      <text>
        <r>
          <rPr>
            <sz val="9"/>
            <rFont val="宋体"/>
            <charset val="134"/>
          </rPr>
          <t xml:space="preserve">有8款产品受限，已用红色标识
</t>
        </r>
      </text>
    </comment>
    <comment ref="U174" authorId="0">
      <text>
        <r>
          <rPr>
            <sz val="9"/>
            <rFont val="宋体"/>
            <charset val="134"/>
          </rPr>
          <t xml:space="preserve">有6款产品受限，已用红色标识
</t>
        </r>
      </text>
    </comment>
    <comment ref="V174" authorId="0">
      <text>
        <r>
          <rPr>
            <sz val="9"/>
            <rFont val="宋体"/>
            <charset val="134"/>
          </rPr>
          <t xml:space="preserve">有11款产品受限，已用红色标识
</t>
        </r>
      </text>
    </comment>
    <comment ref="W174" authorId="0">
      <text>
        <r>
          <rPr>
            <sz val="9"/>
            <rFont val="宋体"/>
            <charset val="134"/>
          </rPr>
          <t>有11款产品受限，已用红色标识</t>
        </r>
      </text>
    </comment>
    <comment ref="X174" authorId="0">
      <text>
        <r>
          <rPr>
            <sz val="9"/>
            <rFont val="宋体"/>
            <charset val="134"/>
          </rPr>
          <t xml:space="preserve">有12款产品受限，已用红色标识
</t>
        </r>
      </text>
    </comment>
    <comment ref="Y174" authorId="0">
      <text>
        <r>
          <rPr>
            <sz val="9"/>
            <rFont val="宋体"/>
            <charset val="134"/>
          </rPr>
          <t xml:space="preserve">有6款产品受限，已用红色标识
</t>
        </r>
      </text>
    </comment>
    <comment ref="Z174" authorId="0">
      <text>
        <r>
          <rPr>
            <sz val="9"/>
            <rFont val="宋体"/>
            <charset val="134"/>
          </rPr>
          <t xml:space="preserve">有6款产品受限，已用红色标识
</t>
        </r>
      </text>
    </comment>
    <comment ref="AA174" authorId="0">
      <text>
        <r>
          <rPr>
            <sz val="9"/>
            <rFont val="宋体"/>
            <charset val="134"/>
          </rPr>
          <t xml:space="preserve">有5款产品受限，已用红色标识
</t>
        </r>
      </text>
    </comment>
    <comment ref="AB174" authorId="0">
      <text>
        <r>
          <rPr>
            <sz val="9"/>
            <rFont val="宋体"/>
            <charset val="134"/>
          </rPr>
          <t xml:space="preserve">有5款产品受限，已用红色标识
</t>
        </r>
      </text>
    </comment>
    <comment ref="AC174" authorId="0">
      <text>
        <r>
          <rPr>
            <sz val="9"/>
            <rFont val="宋体"/>
            <charset val="134"/>
          </rPr>
          <t xml:space="preserve">有4款产品受限，已用红色标识
</t>
        </r>
      </text>
    </comment>
    <comment ref="AD174" authorId="0">
      <text>
        <r>
          <rPr>
            <sz val="9"/>
            <rFont val="宋体"/>
            <charset val="134"/>
          </rPr>
          <t xml:space="preserve">有24款产品受限，已用红色标识
</t>
        </r>
      </text>
    </comment>
    <comment ref="AE174" authorId="0">
      <text>
        <r>
          <rPr>
            <sz val="9"/>
            <rFont val="宋体"/>
            <charset val="134"/>
          </rPr>
          <t xml:space="preserve">有6款产品受限，已用红色标识
</t>
        </r>
      </text>
    </comment>
    <comment ref="AF174" authorId="0">
      <text>
        <r>
          <rPr>
            <sz val="9"/>
            <rFont val="宋体"/>
            <charset val="134"/>
          </rPr>
          <t>有1款产品受限，已用红色标识</t>
        </r>
      </text>
    </comment>
    <comment ref="AG174" authorId="0">
      <text>
        <r>
          <rPr>
            <sz val="9"/>
            <rFont val="宋体"/>
            <charset val="134"/>
          </rPr>
          <t>有9款产品受限，已用红色标识</t>
        </r>
      </text>
    </comment>
    <comment ref="AH174" authorId="0">
      <text>
        <r>
          <rPr>
            <sz val="9"/>
            <rFont val="宋体"/>
            <charset val="134"/>
          </rPr>
          <t xml:space="preserve">有7款产品受限，已用红色标识
</t>
        </r>
      </text>
    </comment>
    <comment ref="AI174" authorId="0">
      <text>
        <r>
          <rPr>
            <sz val="9"/>
            <rFont val="宋体"/>
            <charset val="134"/>
          </rPr>
          <t xml:space="preserve">有6款产品受限，已用红色标识
</t>
        </r>
      </text>
    </comment>
    <comment ref="AJ174" authorId="0">
      <text>
        <r>
          <rPr>
            <sz val="9"/>
            <rFont val="宋体"/>
            <charset val="134"/>
          </rPr>
          <t xml:space="preserve">有4款产品受限，已用红色标识
</t>
        </r>
      </text>
    </comment>
    <comment ref="AK174" authorId="0">
      <text>
        <r>
          <rPr>
            <sz val="9"/>
            <rFont val="宋体"/>
            <charset val="134"/>
          </rPr>
          <t xml:space="preserve">有5款产品受限，已用红色标识
</t>
        </r>
      </text>
    </comment>
    <comment ref="AL174" authorId="0">
      <text>
        <r>
          <rPr>
            <sz val="9"/>
            <rFont val="宋体"/>
            <charset val="134"/>
          </rPr>
          <t xml:space="preserve">有6款产品受限，已用红色标识
</t>
        </r>
      </text>
    </comment>
    <comment ref="AM174" authorId="0">
      <text>
        <r>
          <rPr>
            <sz val="9"/>
            <rFont val="宋体"/>
            <charset val="134"/>
          </rPr>
          <t xml:space="preserve">有3款产品受限，已用红色标识
</t>
        </r>
      </text>
    </comment>
    <comment ref="AN174" authorId="0">
      <text>
        <r>
          <rPr>
            <sz val="9"/>
            <rFont val="宋体"/>
            <charset val="134"/>
          </rPr>
          <t xml:space="preserve">有17款产品受限，已用红色标识
</t>
        </r>
      </text>
    </comment>
    <comment ref="AP174" authorId="0">
      <text>
        <r>
          <rPr>
            <sz val="9"/>
            <rFont val="宋体"/>
            <charset val="134"/>
          </rPr>
          <t xml:space="preserve">有9款产品受限，已用红色标识
</t>
        </r>
      </text>
    </comment>
    <comment ref="AQ174" authorId="0">
      <text>
        <r>
          <rPr>
            <sz val="9"/>
            <rFont val="宋体"/>
            <charset val="134"/>
          </rPr>
          <t xml:space="preserve">有9款产品受限，已用红色标识
</t>
        </r>
      </text>
    </comment>
  </commentList>
</comments>
</file>

<file path=xl/sharedStrings.xml><?xml version="1.0" encoding="utf-8"?>
<sst xmlns="http://schemas.openxmlformats.org/spreadsheetml/2006/main" count="15790" uniqueCount="3605">
  <si>
    <t>已经把长期无库存且决定后期不再做的sku删除</t>
  </si>
  <si>
    <t>以30天的销量预测销售天数</t>
  </si>
  <si>
    <t>可能存在7天爆单与滞销情况，45天库存报警显示库存过高可忽略，仅看此列</t>
  </si>
  <si>
    <r>
      <rPr>
        <b/>
        <sz val="11"/>
        <color rgb="FF00B050"/>
        <rFont val="宋体"/>
        <charset val="134"/>
        <scheme val="minor"/>
      </rPr>
      <t>库存报警显示本月刚到货，代表新品刚到海外仓开始销售，需注意新品的库存</t>
    </r>
    <r>
      <rPr>
        <b/>
        <sz val="11"/>
        <color rgb="FF0070C0"/>
        <rFont val="宋体"/>
        <charset val="134"/>
        <scheme val="minor"/>
      </rPr>
      <t>，库存报警显示为</t>
    </r>
    <r>
      <rPr>
        <b/>
        <sz val="11"/>
        <color rgb="FFFF0000"/>
        <rFont val="宋体"/>
        <charset val="134"/>
        <scheme val="minor"/>
      </rPr>
      <t>库存过低，代表库存数只够销售半个月或以下</t>
    </r>
    <r>
      <rPr>
        <b/>
        <sz val="11"/>
        <color rgb="FF0070C0"/>
        <rFont val="宋体"/>
        <charset val="134"/>
        <scheme val="minor"/>
      </rPr>
      <t>，库存报警显示</t>
    </r>
    <r>
      <rPr>
        <b/>
        <sz val="11"/>
        <color rgb="FFFF0000"/>
        <rFont val="宋体"/>
        <charset val="134"/>
        <scheme val="minor"/>
      </rPr>
      <t>正常代表可用库存可够销售14天-45天</t>
    </r>
    <r>
      <rPr>
        <b/>
        <sz val="11"/>
        <color rgb="FF0070C0"/>
        <rFont val="宋体"/>
        <charset val="134"/>
        <scheme val="minor"/>
      </rPr>
      <t>，库存报警显示库存过多代表可用库存可够销售超过</t>
    </r>
    <r>
      <rPr>
        <b/>
        <sz val="11"/>
        <color rgb="FFFF0000"/>
        <rFont val="宋体"/>
        <charset val="134"/>
        <scheme val="minor"/>
      </rPr>
      <t>45天以上</t>
    </r>
  </si>
  <si>
    <t>广告花费、acos情况，具体分析7天、15天、30天的营销方式是否促使销量变动
库存和广告有问题的已用红色标识</t>
  </si>
  <si>
    <t>周转率越高，说明占用公司资金越低，资金变现速度越快</t>
  </si>
  <si>
    <t>以15天销售销售额计算单品毛利率，毛利率为可能与实际存在差异，因公式内配送费取值于上月交易表配送费里个数最多的数值</t>
  </si>
  <si>
    <t>交叉比率衡量商品好坏,是商品对店铺整体贡献的多寡，比率数值愈大愈好，数值愈大，表示毛利率高且周转又快，数值小，表明是相对滞销产品，需加大清理力度（也可能是产品刚到货，销售时间较短，导致比例偏小）</t>
  </si>
  <si>
    <t>因毛利润率计算时不含退款及账号费用数据，毛利率控制在25%以上，才能达最低目标利润率15%，因此低于25%全部标黄色</t>
  </si>
  <si>
    <t>运营</t>
  </si>
  <si>
    <t>Seller SKU</t>
  </si>
  <si>
    <t>中文名称</t>
  </si>
  <si>
    <t>开始出售日期</t>
  </si>
  <si>
    <t>ASIN</t>
  </si>
  <si>
    <t>可售</t>
  </si>
  <si>
    <t>不可售</t>
  </si>
  <si>
    <t>冻结（调仓）</t>
  </si>
  <si>
    <t>冻结（待调仓）</t>
  </si>
  <si>
    <t>入库中</t>
  </si>
  <si>
    <t>可用库存</t>
  </si>
  <si>
    <t>平均成本
(CNY)</t>
  </si>
  <si>
    <t>期末货值</t>
  </si>
  <si>
    <t>7天销量</t>
  </si>
  <si>
    <r>
      <rPr>
        <b/>
        <sz val="11"/>
        <color rgb="FFFF0000"/>
        <rFont val="Arial"/>
        <charset val="134"/>
      </rPr>
      <t>15</t>
    </r>
    <r>
      <rPr>
        <b/>
        <sz val="11"/>
        <color rgb="FFFF0000"/>
        <rFont val="宋体"/>
        <charset val="134"/>
      </rPr>
      <t>天销量</t>
    </r>
  </si>
  <si>
    <r>
      <rPr>
        <b/>
        <sz val="11"/>
        <color rgb="FFFF0000"/>
        <rFont val="Arial"/>
        <charset val="134"/>
      </rPr>
      <t>30</t>
    </r>
    <r>
      <rPr>
        <b/>
        <sz val="11"/>
        <color rgb="FFFF0000"/>
        <rFont val="宋体"/>
        <charset val="134"/>
      </rPr>
      <t>天销量</t>
    </r>
  </si>
  <si>
    <t>上周七天销量</t>
  </si>
  <si>
    <t>两周七天销量差额</t>
  </si>
  <si>
    <r>
      <rPr>
        <b/>
        <sz val="11"/>
        <color rgb="FFFF0000"/>
        <rFont val="宋体"/>
        <charset val="134"/>
      </rPr>
      <t>可用可售天数</t>
    </r>
    <r>
      <rPr>
        <b/>
        <sz val="11"/>
        <color rgb="FFFF0000"/>
        <rFont val="Arial"/>
        <charset val="134"/>
      </rPr>
      <t>(t30)</t>
    </r>
  </si>
  <si>
    <t>30天内可卖完指标（&lt;1)</t>
  </si>
  <si>
    <t>上周库存指标</t>
  </si>
  <si>
    <t>本周与上周对比</t>
  </si>
  <si>
    <t>库存报警
（近7天）</t>
  </si>
  <si>
    <t>库存报警（超1.5个月）45天</t>
  </si>
  <si>
    <t>7天
广告花费</t>
  </si>
  <si>
    <t>15天
广告花费</t>
  </si>
  <si>
    <t>30天
广告花费</t>
  </si>
  <si>
    <t>7天
ACOS</t>
  </si>
  <si>
    <t>上周7天ACOS</t>
  </si>
  <si>
    <t>两周ACOS差额</t>
  </si>
  <si>
    <t>15天ACOS</t>
  </si>
  <si>
    <t>30天ACOS</t>
  </si>
  <si>
    <t>7天
库存周转率</t>
  </si>
  <si>
    <t>15天
库存周转率</t>
  </si>
  <si>
    <t>毛利率</t>
  </si>
  <si>
    <t>交叉比例</t>
  </si>
  <si>
    <t>7天
销售成本</t>
  </si>
  <si>
    <t>15天
销售成本</t>
  </si>
  <si>
    <t>站点</t>
  </si>
  <si>
    <t>合计</t>
  </si>
  <si>
    <t>E02000-BL+E02013-1</t>
  </si>
  <si>
    <t>中性LG Stylo 5 黑色</t>
  </si>
  <si>
    <t>B082ZHYZYW</t>
  </si>
  <si>
    <t>E02055-BL+E02058-1</t>
  </si>
  <si>
    <t>中性三星 A10e 黑色</t>
  </si>
  <si>
    <t>B082ZH8J18</t>
  </si>
  <si>
    <t>E02391-NB+E02394+E02377</t>
  </si>
  <si>
    <t>中性三星 A20S 深蓝+蓝色</t>
  </si>
  <si>
    <t>B0893WXS3D</t>
  </si>
  <si>
    <t>E02563-OR+E02564+E02571-1</t>
  </si>
  <si>
    <t>中性三星 A11 黑橙</t>
  </si>
  <si>
    <t>B08GCM8SD7</t>
  </si>
  <si>
    <t>E02610-BL+E02613+E02634-1</t>
  </si>
  <si>
    <t>中性iPhone 12 5.4 黑色</t>
  </si>
  <si>
    <t>B08K7DG3ZM</t>
  </si>
  <si>
    <t>E02611-NB+E02614+E02635</t>
  </si>
  <si>
    <t>中性iPhone 12 6.1 深蓝+蓝色</t>
  </si>
  <si>
    <t>B08J3L63G9</t>
  </si>
  <si>
    <t>E02615+2</t>
  </si>
  <si>
    <t>中性背夹两只装iphone 13 6.7</t>
  </si>
  <si>
    <t>B09MVS2CHC</t>
  </si>
  <si>
    <t>E02648-BL+E02649+E02381-1</t>
  </si>
  <si>
    <t>中性三星A71 5G 黑色</t>
  </si>
  <si>
    <t>B08GCNMWTF</t>
  </si>
  <si>
    <t>E02648-NB+E02649+E02381-1</t>
  </si>
  <si>
    <t>中性三星A71 5G 深蓝+蓝色</t>
  </si>
  <si>
    <t>B08GCNFS6G</t>
  </si>
  <si>
    <t>E02691-BL+E02692+E02734-1</t>
  </si>
  <si>
    <t>中性Moto G Fast 黑色</t>
  </si>
  <si>
    <t>B08J7K7WL3</t>
  </si>
  <si>
    <t>E02995-DB+E02997+E03011-1</t>
  </si>
  <si>
    <t>中性LG K92 5G 深蓝+蓝色</t>
  </si>
  <si>
    <t>B08T79XTRF</t>
  </si>
  <si>
    <t>E03040-OR+E03045+E03043-1</t>
  </si>
  <si>
    <t>中性三星 A02S 黑橙</t>
  </si>
  <si>
    <t>B08T7C72Q8</t>
  </si>
  <si>
    <t>E03134-BL+E03137+E03268</t>
  </si>
  <si>
    <t>中性Moto G Power 2021 黑色</t>
  </si>
  <si>
    <t>B0936R1WXN</t>
  </si>
  <si>
    <t>E03134-OR+E03137+E03268</t>
  </si>
  <si>
    <t>中性Moto G Power 2021 黑橙</t>
  </si>
  <si>
    <t>B09369PSCV</t>
  </si>
  <si>
    <t>E03230-BL+E03231+E03240</t>
  </si>
  <si>
    <t xml:space="preserve"> 中性三星 A32 5G 黑色</t>
  </si>
  <si>
    <t>B091T9YF4Y</t>
  </si>
  <si>
    <t>E03405-NA+E03406+E03397</t>
  </si>
  <si>
    <t>中性三星 A42 5G 深蓝+蓝</t>
  </si>
  <si>
    <t>B095RXWMKG</t>
  </si>
  <si>
    <t>E03474-BL+E02614+Y03477</t>
  </si>
  <si>
    <t>中性iphone 13 pro 黑</t>
  </si>
  <si>
    <t>B09BCPCM7F</t>
  </si>
  <si>
    <t>E03475-BL+E02615+Y03478</t>
  </si>
  <si>
    <t>中性iphone 13 pro max 黑</t>
  </si>
  <si>
    <t>B09BCP7B4K</t>
  </si>
  <si>
    <t>E03475-BU+E02615+Y03478</t>
  </si>
  <si>
    <t>中性iphone 13 pro max 黑+蓝</t>
  </si>
  <si>
    <t>B09BCMTXJ9</t>
  </si>
  <si>
    <t>E03554-BL+E03555+Y03566</t>
  </si>
  <si>
    <t>中性Moto Edge 2021 黑</t>
  </si>
  <si>
    <t>B09HS8V8YQ</t>
  </si>
  <si>
    <t>E03630-BL+E03635+Y03643</t>
  </si>
  <si>
    <t>中性Moto G Pure 黑</t>
  </si>
  <si>
    <t>B09KTY4DHF</t>
  </si>
  <si>
    <t>E03630-BU+E03635+Y03643</t>
  </si>
  <si>
    <t>中性Moto G Pure 黑+蓝</t>
  </si>
  <si>
    <t>B09PBH7ML8</t>
  </si>
  <si>
    <t>E03630-OR+E03635+Y03643</t>
  </si>
  <si>
    <t>中性Moto G Pure 黑+橙</t>
  </si>
  <si>
    <t>B09KTVCFF4</t>
  </si>
  <si>
    <t>Y1037</t>
  </si>
  <si>
    <t>油箱配套倒油管+8mm钻头</t>
  </si>
  <si>
    <t>B0BMQ7R71D</t>
  </si>
  <si>
    <t>Y1041-RE</t>
  </si>
  <si>
    <t>汽车辅助把手安全锤（红色）</t>
  </si>
  <si>
    <t>B0BN38LNGW</t>
  </si>
  <si>
    <t>Y1041-BU</t>
  </si>
  <si>
    <t>汽车辅助把手安全锤（蓝色）</t>
  </si>
  <si>
    <t>B0BN36ND1X</t>
  </si>
  <si>
    <t>Y1039</t>
  </si>
  <si>
    <t>房车内外螺纹黄铜快速接头带球阀</t>
  </si>
  <si>
    <t>B0BN51D93D</t>
  </si>
  <si>
    <t>Y1040-BL</t>
  </si>
  <si>
    <t>房车花园软管适配器（黑色管）</t>
  </si>
  <si>
    <t>B0BN52D4VR</t>
  </si>
  <si>
    <t>Y1040-BU</t>
  </si>
  <si>
    <t>房车花园软管适配器（蓝色管）</t>
  </si>
  <si>
    <t>B0BN4ZBXVH</t>
  </si>
  <si>
    <t>Y1040-GR</t>
  </si>
  <si>
    <t>房车花园软管适配器（绿色管）</t>
  </si>
  <si>
    <t>B0BN4YY117</t>
  </si>
  <si>
    <t>Y1043-ZH</t>
  </si>
  <si>
    <t>车载一分二杯架+一个杯垫</t>
  </si>
  <si>
    <t>B0BND5CP99</t>
  </si>
  <si>
    <t>Y1045-ZH</t>
  </si>
  <si>
    <t>车载加大号水杯架+一个杯垫</t>
  </si>
  <si>
    <t>B0BND7TV52</t>
  </si>
  <si>
    <t>Y1046-ZH</t>
  </si>
  <si>
    <t>车载加大号水杯架+两个杯垫</t>
  </si>
  <si>
    <t>B0BND6SXLD</t>
  </si>
  <si>
    <t>Y1052-ZH</t>
  </si>
  <si>
    <t>可伸缩托盘水杯架+一个杯垫</t>
  </si>
  <si>
    <t>B0BNND5225</t>
  </si>
  <si>
    <t>Y1053-ZH</t>
  </si>
  <si>
    <t>车载水杯架带正方形托盘+杯垫</t>
  </si>
  <si>
    <t>B0BNNBJQD5</t>
  </si>
  <si>
    <t>Y1054</t>
  </si>
  <si>
    <t>小飞机车载出风口香薰（ 哈科熊）</t>
  </si>
  <si>
    <t>B0BPLHD839</t>
  </si>
  <si>
    <t>Y1055</t>
  </si>
  <si>
    <t>小飞机车载出风口香薰（ 小黄鸭）</t>
  </si>
  <si>
    <t>B0BPLH6Y2M</t>
  </si>
  <si>
    <t>Y1056</t>
  </si>
  <si>
    <t>小飞机车载出风口香薰（ DADA熊）</t>
  </si>
  <si>
    <t>B0BPLLR7N8</t>
  </si>
  <si>
    <t>Y1057</t>
  </si>
  <si>
    <t>小飞机车载出风口香薰（POPO兔）</t>
  </si>
  <si>
    <t>B0BPLK6Q8D</t>
  </si>
  <si>
    <t>Y1058</t>
  </si>
  <si>
    <t>小飞机车载出风口香薰（泰迪熊）</t>
  </si>
  <si>
    <t>B0BPLHWMFV</t>
  </si>
  <si>
    <t>Y1059-SI</t>
  </si>
  <si>
    <t>小飞机车载出风口香薰（凸凸狗亮银色）</t>
  </si>
  <si>
    <t>B0BPLJXZCH</t>
  </si>
  <si>
    <t>Y1060-BL</t>
  </si>
  <si>
    <t>小飞机车载出风口香薰（黑色哈士奇）</t>
  </si>
  <si>
    <t>B0BPLH7GYS</t>
  </si>
  <si>
    <t>Y1060-GR</t>
  </si>
  <si>
    <t>小飞机车载出风口香薰（绿色哈士奇）</t>
  </si>
  <si>
    <t>B0BPLH79XD</t>
  </si>
  <si>
    <t>Y1061</t>
  </si>
  <si>
    <t>小飞机车载出风口香薰（点赞机长）</t>
  </si>
  <si>
    <t>B0BPLH27DX</t>
  </si>
  <si>
    <t>Y1062</t>
  </si>
  <si>
    <t>飞行员车载香片（古龙味）</t>
  </si>
  <si>
    <t>B0BPLH187M</t>
  </si>
  <si>
    <t>Y1063</t>
  </si>
  <si>
    <t>飞行员车载香片（茉莉味）</t>
  </si>
  <si>
    <t>B0BPLJ443H</t>
  </si>
  <si>
    <t>Y1064</t>
  </si>
  <si>
    <t>飞行员车载香片（海洋味）</t>
  </si>
  <si>
    <t>B0BPLH99RF</t>
  </si>
  <si>
    <t>Y1038-SI</t>
  </si>
  <si>
    <t>汽车子弹头天线 银色</t>
  </si>
  <si>
    <t>B0BQ2CTDGC</t>
  </si>
  <si>
    <t>Y1065-BL</t>
  </si>
  <si>
    <t>汽车遮阳板太阳镜支架（黑色）+车载隐形挂钩</t>
  </si>
  <si>
    <t>B0BQHXN5N9</t>
  </si>
  <si>
    <t>Y1066-BE</t>
  </si>
  <si>
    <t>汽车遮阳板太阳镜支架（米色）两个装+车载隐形挂钩 （四个装）</t>
  </si>
  <si>
    <t>B0BQHVXHLK</t>
  </si>
  <si>
    <t>Y1066-BL</t>
  </si>
  <si>
    <t>汽车遮阳板太阳镜支架（黑色）两个装+车载隐形挂钩 （四个装）</t>
  </si>
  <si>
    <t>B0BQHZGBK9</t>
  </si>
  <si>
    <t>Y1066-GA</t>
  </si>
  <si>
    <t>汽车遮阳板太阳镜支架（灰色）两个装+车载隐形挂钩 （四个装）</t>
  </si>
  <si>
    <t>B0BQHV22J4</t>
  </si>
  <si>
    <t>Y1069</t>
  </si>
  <si>
    <t>18-23款牧马人JL内饰改装中央档位收纳储物盒（带2块橡胶垫）</t>
  </si>
  <si>
    <t>B0BR9KFGF7</t>
  </si>
  <si>
    <t>Y1071-BG</t>
  </si>
  <si>
    <t>斯巴鲁汽车钥匙套（棕绿色）+编织白绳汽车钥匙扣</t>
  </si>
  <si>
    <t>B0BRN5STCY</t>
  </si>
  <si>
    <t>Y1071-RE</t>
  </si>
  <si>
    <t>斯巴鲁汽车钥匙套（红色）+编织白绳汽车钥匙扣</t>
  </si>
  <si>
    <t>B0BRN79WL5</t>
  </si>
  <si>
    <t>Y1071-WH</t>
  </si>
  <si>
    <t>斯巴鲁汽车钥匙套（白色）+编织白绳汽车钥匙扣</t>
  </si>
  <si>
    <t>B0BRN6SVB3</t>
  </si>
  <si>
    <t>Y1073-BG</t>
  </si>
  <si>
    <t>日产【尼桑】汽车5键钥匙保护套（棕绿色）+编织绳汽车钥匙扣+安装螺丝刀（白色）</t>
  </si>
  <si>
    <t>B0BRSPP9G4</t>
  </si>
  <si>
    <t>Y1073-BL</t>
  </si>
  <si>
    <t>日产【尼桑】汽车5键钥匙保护套（黑色）+编织绳汽车钥匙扣+安装螺丝刀（白色）</t>
  </si>
  <si>
    <t>B0BRSP3ZJ3</t>
  </si>
  <si>
    <t>Y1074-BG</t>
  </si>
  <si>
    <t>日产【尼桑】汽车4键钥匙保护套（棕绿色）+编织绳汽车钥匙扣+安装螺丝刀（白色）</t>
  </si>
  <si>
    <t>B0BRSP1DKN</t>
  </si>
  <si>
    <t>Y1074-BL</t>
  </si>
  <si>
    <t>日产【尼桑】汽车4键钥匙保护套（黑色）+编织绳汽车钥匙扣+安装螺丝刀（白色）</t>
  </si>
  <si>
    <t>B0BRSM9ZCG</t>
  </si>
  <si>
    <t>Y1074-MG</t>
  </si>
  <si>
    <t>日产【尼桑】汽车4键钥匙保护套（抹茶绿色）+编织绳汽车钥匙扣+安装螺丝刀（白色）</t>
  </si>
  <si>
    <t>B0BRSMQ9MZ</t>
  </si>
  <si>
    <t>Y1074-WH</t>
  </si>
  <si>
    <t>日产【尼桑】汽车4键钥匙保护套（白色）+编织绳汽车钥匙扣+安装螺丝刀（白色）</t>
  </si>
  <si>
    <t>B0BRSNR54R</t>
  </si>
  <si>
    <t>Y1075-MG</t>
  </si>
  <si>
    <t>5键款福特F150 F250 F350金边车钥匙套包壳（抹茶绿色）+编织绳汽车钥匙扣+安装螺丝刀</t>
  </si>
  <si>
    <t>B0BRXZXRV5</t>
  </si>
  <si>
    <t>Y1075-RE</t>
  </si>
  <si>
    <t>5键款福特F150 F250 F350金边车钥匙套包壳（红色）+编织绳汽车钥匙扣+安装螺丝刀</t>
  </si>
  <si>
    <t>B0BRY14RTZ</t>
  </si>
  <si>
    <t>Y1075-WH</t>
  </si>
  <si>
    <t>5键款福特F150 F250 F350金边车钥匙套包壳（白色）+编织绳汽车钥匙扣+安装螺丝刀</t>
  </si>
  <si>
    <t>B0BRXZCGZC</t>
  </si>
  <si>
    <t>Y1076-BG</t>
  </si>
  <si>
    <t>5键jeep钥匙套适用自由光侠大切诺基指挥官道奇（棕绿色）+菱形纹汽车皮质钥匙扣带螺丝刀（灰蓝色）</t>
  </si>
  <si>
    <t>B0BS12MJSQ</t>
  </si>
  <si>
    <t>Y1076-BL</t>
  </si>
  <si>
    <t>5键jeep钥匙套适用自由光侠大切诺基指挥官道奇（黑色）+菱形纹汽车皮质钥匙扣带螺丝刀（黑色）</t>
  </si>
  <si>
    <t>B0BS133PLR</t>
  </si>
  <si>
    <t>Y1076-RE</t>
  </si>
  <si>
    <t>5键jeep钥匙套适用自由光侠大切诺基指挥官道奇（红色）+菱形纹汽车皮质钥匙扣带螺丝刀（红色）</t>
  </si>
  <si>
    <t>B0BS12FW4M</t>
  </si>
  <si>
    <t>Y1078-BL</t>
  </si>
  <si>
    <t>5键本田钥匙套适用22款本田艾力绅奥德赛，21款混动车（金边黑色）+编织绳汽车钥匙扣+安装螺丝刀</t>
  </si>
  <si>
    <t>B0BSF6DY4D</t>
  </si>
  <si>
    <t>Y1078-GRA</t>
  </si>
  <si>
    <t>5键本田钥匙套适用22款本田艾力绅奥德赛，21款混动车（金边棕色）+编织绳汽车钥匙扣+安装螺丝刀</t>
  </si>
  <si>
    <t>B0BSF5MT9C</t>
  </si>
  <si>
    <t>Y1078-WH</t>
  </si>
  <si>
    <t>5键本田钥匙套适用22款本田艾力绅奥德赛，21款混动车（金边白色）+编织绳汽车钥匙扣+安装螺丝刀</t>
  </si>
  <si>
    <t>B0BSF5TCZ6</t>
  </si>
  <si>
    <t>Y1079-BL</t>
  </si>
  <si>
    <t>5键本田钥匙套适用22款本田艾力绅奥德赛，21款混动车（银边黑色）+编织绳汽车钥匙扣+安装螺丝刀</t>
  </si>
  <si>
    <t>B0BSF63HXT</t>
  </si>
  <si>
    <t>Y1080-BU</t>
  </si>
  <si>
    <t>5键本田钥匙套适用22款本田艾力绅奥德赛，21款混动车（青花瓷）+编织绳汽车钥匙扣+安装螺丝刀</t>
  </si>
  <si>
    <t>B0BSF6TYWW</t>
  </si>
  <si>
    <t>Y1080-GR</t>
  </si>
  <si>
    <t>5键本田钥匙套适用22款本田艾力绅奥德赛，21款混动车（翡翠玉）+编织绳汽车钥匙扣+安装螺丝刀</t>
  </si>
  <si>
    <t>B0BSF5H3N3</t>
  </si>
  <si>
    <t>Y1081-BL</t>
  </si>
  <si>
    <t>6键GMC金边钥匙保护套（黑色）+菱形纹汽车皮质钥匙扣带螺丝刀（黑色）</t>
  </si>
  <si>
    <t>B0BSFKQ92J</t>
  </si>
  <si>
    <t>Y1081-WH</t>
  </si>
  <si>
    <t>6键GMC金边钥匙保护套（白色）+菱形纹汽车皮质钥匙扣带螺丝刀（白色）</t>
  </si>
  <si>
    <t>B0BSFJX84G</t>
  </si>
  <si>
    <t>Y1083</t>
  </si>
  <si>
    <t>小飞机车载出风口香薰（ 蜘蛛侠）</t>
  </si>
  <si>
    <t>B0BSKLT31P</t>
  </si>
  <si>
    <t>Y1084</t>
  </si>
  <si>
    <t>小飞机车载出风口香薰（ 米奇）</t>
  </si>
  <si>
    <t>B0BSKVG5TZ</t>
  </si>
  <si>
    <t>Y1085</t>
  </si>
  <si>
    <t>小飞机车载出风口香薰（ 米妮）</t>
  </si>
  <si>
    <t>B0BSKXSTBJ</t>
  </si>
  <si>
    <t>Y1087</t>
  </si>
  <si>
    <t>小飞机车载出风口香薰（ 凯蒂猫）</t>
  </si>
  <si>
    <t>B0BSL4HJZ7</t>
  </si>
  <si>
    <t>Y1088</t>
  </si>
  <si>
    <t>小飞机车载出风口香薰（ 阿狸）</t>
  </si>
  <si>
    <t>B0BSL2JNM5</t>
  </si>
  <si>
    <t>Y1089</t>
  </si>
  <si>
    <t>小飞机车载出风口香薰（ NENE狗）</t>
  </si>
  <si>
    <t>B0BSL4V5GH</t>
  </si>
  <si>
    <t>Y1038-BU</t>
  </si>
  <si>
    <t>汽车子弹头天线 蓝色</t>
  </si>
  <si>
    <t>B0BTD9HZNV</t>
  </si>
  <si>
    <t>Y1038-GL</t>
  </si>
  <si>
    <t>汽车子弹头天线 金色</t>
  </si>
  <si>
    <t>B0BTD9QY9N</t>
  </si>
  <si>
    <t>Y1038-PU</t>
  </si>
  <si>
    <t>汽车子弹头天线 紫色</t>
  </si>
  <si>
    <t>B0BTD8GG33</t>
  </si>
  <si>
    <t>Y1038-RE</t>
  </si>
  <si>
    <t>汽车子弹头天线 红色</t>
  </si>
  <si>
    <t>B0BTD6K52M</t>
  </si>
  <si>
    <t>Y1054-ZH</t>
  </si>
  <si>
    <t>小飞机车载出风口香薰 哈科熊+蜘蛛侠</t>
  </si>
  <si>
    <t>B0BTLRZ257</t>
  </si>
  <si>
    <t>Y1057-ZH</t>
  </si>
  <si>
    <t>小飞机车载出风口香薰 POPO兔+凯迪猫</t>
  </si>
  <si>
    <t>B0BTLVJWH9</t>
  </si>
  <si>
    <t>Y1058-ZH</t>
  </si>
  <si>
    <t>小飞机车载出风口香薰 哈科熊+泰迪熊</t>
  </si>
  <si>
    <t>B0BTLSNFTQ</t>
  </si>
  <si>
    <t>Y1060-GR-ZH</t>
  </si>
  <si>
    <t>小飞机车载出风口香薰 绿色哈士奇+柴犬</t>
  </si>
  <si>
    <t>B0BTLSB925</t>
  </si>
  <si>
    <t>Y1088-ZH</t>
  </si>
  <si>
    <t>小飞机车载出风口香薰 小黄鸭+阿狸</t>
  </si>
  <si>
    <t>B0BTLT57SZ</t>
  </si>
  <si>
    <t>Y1093-BU</t>
  </si>
  <si>
    <t>五合一汽车把手(蓝色)单个</t>
  </si>
  <si>
    <t>B0BV2XTCCV</t>
  </si>
  <si>
    <t>Y1093-RE</t>
  </si>
  <si>
    <t>五合一汽车把手(红色)单个</t>
  </si>
  <si>
    <t>B0BV2Y7GVY</t>
  </si>
  <si>
    <t>Y1094-BL</t>
  </si>
  <si>
    <t>汽车方向盘钢绳锁 黑色</t>
  </si>
  <si>
    <t>B0BVT85T5K</t>
  </si>
  <si>
    <t>Y1094-RE</t>
  </si>
  <si>
    <t>汽车方向盘钢绳锁 红色</t>
  </si>
  <si>
    <t>B0BVTDDLYC</t>
  </si>
  <si>
    <t>Y1094-YW</t>
  </si>
  <si>
    <t>汽车方向盘钢绳锁 黄色</t>
  </si>
  <si>
    <t>B0BVT3HRQS</t>
  </si>
  <si>
    <t>Y1038-BL</t>
  </si>
  <si>
    <t>汽车子弹头天线 黑色</t>
  </si>
  <si>
    <t>B0BWRNFX4D</t>
  </si>
  <si>
    <t>Y1060-ZH-</t>
  </si>
  <si>
    <t>小飞机车载出风口香薰 哈科熊+绿色哈士奇</t>
  </si>
  <si>
    <t>B0BY7RYYVC</t>
  </si>
  <si>
    <t>Y1095</t>
  </si>
  <si>
    <t>汽车车载改装子弹头天线</t>
  </si>
  <si>
    <t>B0C1Z22VN3</t>
  </si>
  <si>
    <t>Y1096</t>
  </si>
  <si>
    <t>B0C1Z2L3JF</t>
  </si>
  <si>
    <t>Y1099</t>
  </si>
  <si>
    <t>宇航员香薰车载出风口</t>
  </si>
  <si>
    <t>B0C22SLCM2</t>
  </si>
  <si>
    <t>Y1099-RE</t>
  </si>
  <si>
    <t>宇航员香薰车载出风口 红色</t>
  </si>
  <si>
    <t>B0C22ZPJ85</t>
  </si>
  <si>
    <t>Y1100-GA</t>
  </si>
  <si>
    <t>朋克兔小飞艇车载香薰卡通出风口  灰色</t>
  </si>
  <si>
    <t>B0C2326PCB</t>
  </si>
  <si>
    <t>Y1100-RE</t>
  </si>
  <si>
    <t>朋克兔小飞艇车载香薰卡通出风口  红色</t>
  </si>
  <si>
    <t>B0C233HY1X</t>
  </si>
  <si>
    <t>Y1101-CA</t>
  </si>
  <si>
    <t>出风口香薰片 10片 栀子花香</t>
  </si>
  <si>
    <t>B0C232CPTJ</t>
  </si>
  <si>
    <t>Y1101-RO</t>
  </si>
  <si>
    <t>出风口香薰片 10片 玫瑰香</t>
  </si>
  <si>
    <t>B0C2336K9F</t>
  </si>
  <si>
    <t>Y1097-BU</t>
  </si>
  <si>
    <t>小黄鸭CD唱片机车载出风口 蓝色</t>
  </si>
  <si>
    <t>B0C27P74P9</t>
  </si>
  <si>
    <t>Y1097-RE</t>
  </si>
  <si>
    <t>小黄鸭CD唱片机车载出风口 红色</t>
  </si>
  <si>
    <t>B0C27PXBB6</t>
  </si>
  <si>
    <t>Y1098</t>
  </si>
  <si>
    <t>小黄鸭车载出风口香薰片</t>
  </si>
  <si>
    <t>B0C27R8ZWM</t>
  </si>
  <si>
    <t>Y1038-BLACK</t>
  </si>
  <si>
    <t>CA 汽车子弹头天线 黑色</t>
  </si>
  <si>
    <t>B0C3LKDC86</t>
  </si>
  <si>
    <t>Y1038-BLUE</t>
  </si>
  <si>
    <t>CA 汽车子弹头天线 蓝色</t>
  </si>
  <si>
    <t>B0C3LN38TL</t>
  </si>
  <si>
    <t>Y1038-SILVER</t>
  </si>
  <si>
    <t>CA 汽车子弹头天线 银色</t>
  </si>
  <si>
    <t>B0C3LNV2JL</t>
  </si>
  <si>
    <t>Y1102-PU</t>
  </si>
  <si>
    <t>CA 汽车子弹头天线 紫色</t>
  </si>
  <si>
    <t>B0C9PX2YFL</t>
  </si>
  <si>
    <t>Y1102-RE</t>
  </si>
  <si>
    <t>CA 汽车子弹头天线 红色</t>
  </si>
  <si>
    <t>B0C9PYKSPV</t>
  </si>
  <si>
    <t>Y1084-ZH</t>
  </si>
  <si>
    <t>小飞机车载出风口香薰 米奇+米妮</t>
  </si>
  <si>
    <t>B0CBK7YJ77</t>
  </si>
  <si>
    <t>Y1062-1</t>
  </si>
  <si>
    <t>B0CD1TFNWH</t>
  </si>
  <si>
    <t>Y1038-BL-1</t>
  </si>
  <si>
    <t>B0CDH3MR1F</t>
  </si>
  <si>
    <t>Y1096-2</t>
  </si>
  <si>
    <t>B0CDKCZNNC</t>
  </si>
  <si>
    <t>Y1103-BL</t>
  </si>
  <si>
    <t>汽车车载改装子弹头天线  黑色</t>
  </si>
  <si>
    <t>B0CFDY1DQH</t>
  </si>
  <si>
    <t>Y1103-SI</t>
  </si>
  <si>
    <t>汽车车载改装子弹头天线  银色</t>
  </si>
  <si>
    <t>B0CFDX8X5Y</t>
  </si>
  <si>
    <t>Y1104</t>
  </si>
  <si>
    <t>新款小黄鸭车载香薰出风口</t>
  </si>
  <si>
    <t>B0CJ8WX9XC</t>
  </si>
  <si>
    <t>SKU</t>
  </si>
  <si>
    <t>求和项:已订购商品数量</t>
  </si>
  <si>
    <t>广告SKU</t>
  </si>
  <si>
    <t>求和项:展示量</t>
  </si>
  <si>
    <t>求和项:点击量</t>
  </si>
  <si>
    <t>求和项:花费</t>
  </si>
  <si>
    <t>求和项:7天总销售额</t>
  </si>
  <si>
    <t>求和项:7天总订单数(#)</t>
  </si>
  <si>
    <t>求和项:7天ACOS</t>
  </si>
  <si>
    <t>求和项:7天转化率</t>
  </si>
  <si>
    <t>求和项:15天ACOS</t>
  </si>
  <si>
    <t>求和项:15天转化率</t>
  </si>
  <si>
    <t>求和项:30天ACOS</t>
  </si>
  <si>
    <t>求和项:30天转化率</t>
  </si>
  <si>
    <t>7天销售额</t>
  </si>
  <si>
    <t>已订购商品销售额</t>
  </si>
  <si>
    <t>15天销售额</t>
  </si>
  <si>
    <t>注意报警产品</t>
  </si>
  <si>
    <t>(空白)</t>
  </si>
  <si>
    <t>平台销售SKU</t>
  </si>
  <si>
    <t>单个头程</t>
  </si>
  <si>
    <t>E03190</t>
  </si>
  <si>
    <t>US</t>
  </si>
  <si>
    <t>Y1038</t>
  </si>
  <si>
    <t>Y1065-BE</t>
  </si>
  <si>
    <t>Y1044-ZH</t>
  </si>
  <si>
    <t>Y1079-WH</t>
  </si>
  <si>
    <t>Y1081-RE</t>
  </si>
  <si>
    <t>Y1065-GA</t>
  </si>
  <si>
    <t>Y1071-MG</t>
  </si>
  <si>
    <t>Y1059-BL</t>
  </si>
  <si>
    <t>总计</t>
  </si>
  <si>
    <t>Y1086</t>
  </si>
  <si>
    <t>Y1071-BL</t>
  </si>
  <si>
    <t>Y1090</t>
  </si>
  <si>
    <t>Y1075-BG</t>
  </si>
  <si>
    <t>Y1076-MG</t>
  </si>
  <si>
    <t>Y1076-WH</t>
  </si>
  <si>
    <t>Y1075-BL</t>
  </si>
  <si>
    <t>Y1081-BG</t>
  </si>
  <si>
    <t>求和项:14天总销售额</t>
  </si>
  <si>
    <t>求和项:14天总订单数(#)</t>
  </si>
  <si>
    <t>求和项:广告成本销售比(ACOS)</t>
  </si>
  <si>
    <t>求和项:投入产出比(ROAS)</t>
  </si>
  <si>
    <t>Y1080-GRA</t>
  </si>
  <si>
    <t>Y1055-ZH</t>
  </si>
  <si>
    <t>Y1082</t>
  </si>
  <si>
    <t>CA</t>
  </si>
  <si>
    <t>E02615*2</t>
  </si>
  <si>
    <t>品牌广告</t>
  </si>
  <si>
    <t>库存报警（近7天）</t>
  </si>
  <si>
    <t>E02091-WH+E02021</t>
  </si>
  <si>
    <t>祺航三星系列手机壳（带背夹）A20/A30</t>
  </si>
  <si>
    <t>B07WXGKWQ9</t>
  </si>
  <si>
    <t>FXC03655-BL</t>
  </si>
  <si>
    <t>通勤者二代手机壳+钢化膜+镜头膜+酒精包iPhone 13 6.1 黑</t>
  </si>
  <si>
    <t>B09KY2NY1W</t>
  </si>
  <si>
    <t>FXC03656-PI</t>
  </si>
  <si>
    <t>通勤者二代手机壳+钢化膜+镜头膜+酒精包iPhone 13 Pro 6.1 粉</t>
  </si>
  <si>
    <t>B09KY2HXNH</t>
  </si>
  <si>
    <t>FXC03656-TG</t>
  </si>
  <si>
    <t>通勤者二代手机壳+钢化膜+镜头膜+酒精包iPhone 13 Pro 6.1 绿</t>
  </si>
  <si>
    <t>B09KY2YCNH</t>
  </si>
  <si>
    <t>FXC03656-YW</t>
  </si>
  <si>
    <t>通勤者二代手机壳+钢化膜+镜头膜+酒精包iPhone 13 Pro 6.1 黄</t>
  </si>
  <si>
    <t>B09NKVCRDV</t>
  </si>
  <si>
    <t>FXC03677-BL</t>
  </si>
  <si>
    <t>通勤者二代手机壳+软膜+镜头膜带包装+酒精包+翘板S22 黑</t>
  </si>
  <si>
    <t>B09PR56QB8</t>
  </si>
  <si>
    <t>FXC03679-BL</t>
  </si>
  <si>
    <t>通勤者二代手机壳+镜头膜带包装+酒精包+翘板S22 Ultra 5G 黑</t>
  </si>
  <si>
    <t>B09PRC1N6Y</t>
  </si>
  <si>
    <t>FXC03680-NA</t>
  </si>
  <si>
    <t>通勤者二代手机壳+钢化膜+镜头膜+酒精包S21 FE 5G 蓝</t>
  </si>
  <si>
    <t>B09R1MH1J4</t>
  </si>
  <si>
    <t>Y2006-DK</t>
  </si>
  <si>
    <t>通勤者二代手机壳+钢化膜+镜头膜+酒精包iPhone 14 6.1 墨绿</t>
  </si>
  <si>
    <t>B0BB1XYYFG</t>
  </si>
  <si>
    <t>Y2006-PG</t>
  </si>
  <si>
    <t>通勤者二代手机壳+钢化膜+镜头膜+酒精包iPhone 14 6.1 松绿</t>
  </si>
  <si>
    <t>B0BB1SH8KF</t>
  </si>
  <si>
    <t>Y2007-DK</t>
  </si>
  <si>
    <t>通勤者二代手机壳+钢化膜+镜头膜+酒精包iPhone 14 Pro 6.1墨绿</t>
  </si>
  <si>
    <t>B0BB77P23N</t>
  </si>
  <si>
    <t>Y2007-NA</t>
  </si>
  <si>
    <t>通勤者二代手机壳+钢化膜+镜头膜+酒精包iPhone 14 Pro 6.1 蓝</t>
  </si>
  <si>
    <t>B0BB78TC7R</t>
  </si>
  <si>
    <t>Y2007-PG</t>
  </si>
  <si>
    <t>通勤者二代手机壳+钢化膜+镜头膜+酒精包iPhone 14 Pro 6.1松绿</t>
  </si>
  <si>
    <t>B0BB77VZF7</t>
  </si>
  <si>
    <t>Y2008-BL-1</t>
  </si>
  <si>
    <t>通勤者二代手机壳+钢化膜+镜头膜+酒精包iphone 14 plus 6.7  黑</t>
  </si>
  <si>
    <t>B0BBFLCM84</t>
  </si>
  <si>
    <t>Y2010</t>
  </si>
  <si>
    <t>小型水冷风扇USB迷你冷风机 美规</t>
  </si>
  <si>
    <t>B0BZ7SHKXZ</t>
  </si>
  <si>
    <t>FXC03657-NA</t>
  </si>
  <si>
    <t>Y2010-4</t>
  </si>
  <si>
    <t>Y2007-BL</t>
  </si>
  <si>
    <t>销售sku</t>
  </si>
  <si>
    <t>头程成本</t>
  </si>
  <si>
    <t>Y2006-NA</t>
  </si>
  <si>
    <t>Y03537-BP</t>
  </si>
  <si>
    <t>Y2004-NA</t>
  </si>
  <si>
    <t>Y03543-PK</t>
  </si>
  <si>
    <t>Y03544-BL</t>
  </si>
  <si>
    <t>Y03544-PI</t>
  </si>
  <si>
    <t>Y2009-NA</t>
  </si>
  <si>
    <t>Y2008-NA-1</t>
  </si>
  <si>
    <t>FXC03655-LP</t>
  </si>
  <si>
    <t>Y2009-DK</t>
  </si>
  <si>
    <t>FXC03655-NA</t>
  </si>
  <si>
    <t>FXC03657-TG</t>
  </si>
  <si>
    <t>FXC03657-PI</t>
  </si>
  <si>
    <t>FXC03656-BL</t>
  </si>
  <si>
    <t>FXC03677-LP</t>
  </si>
  <si>
    <t>FXC03656-NA</t>
  </si>
  <si>
    <t>FXC03657-YW</t>
  </si>
  <si>
    <t>FXC03657-BL</t>
  </si>
  <si>
    <t>FXC03679-NA</t>
  </si>
  <si>
    <t>Y2009-BL</t>
  </si>
  <si>
    <t>FXC03657-NP</t>
  </si>
  <si>
    <t>Y2009-LP</t>
  </si>
  <si>
    <t>FXC03657-LB</t>
  </si>
  <si>
    <t>Y2006-BL</t>
  </si>
  <si>
    <t>Y2008-DG-1</t>
  </si>
  <si>
    <t>FXC03659-ng</t>
  </si>
  <si>
    <t>Y2006-TG</t>
  </si>
  <si>
    <t>FXC03660-ng</t>
  </si>
  <si>
    <t>FXC03660-tg</t>
  </si>
  <si>
    <t>FXC03660-dg</t>
  </si>
  <si>
    <t>FXC03667-or</t>
  </si>
  <si>
    <t>FXC03667-nb</t>
  </si>
  <si>
    <t>FXC03670-or</t>
  </si>
  <si>
    <t>FXC03669-nb</t>
  </si>
  <si>
    <t>FXC03669-or</t>
  </si>
  <si>
    <t>FXC03675-PU</t>
  </si>
  <si>
    <t>Y2009-PG</t>
  </si>
  <si>
    <t>FXC03676-BL</t>
  </si>
  <si>
    <t>FXC03676-GY</t>
  </si>
  <si>
    <t>FXC03474-DG</t>
  </si>
  <si>
    <t>FXC03474-NB</t>
  </si>
  <si>
    <t>Y2008-PG-1</t>
  </si>
  <si>
    <t>FXC03474-OR</t>
  </si>
  <si>
    <t>FXC03474-TG</t>
  </si>
  <si>
    <t>FXC03668-BL</t>
  </si>
  <si>
    <t>FXC03668-NA</t>
  </si>
  <si>
    <t>FXC03668-PI</t>
  </si>
  <si>
    <t>FXC03677-NA</t>
  </si>
  <si>
    <t>FXC03677-YW</t>
  </si>
  <si>
    <t>FXC03678-BL</t>
  </si>
  <si>
    <t>FXC03678-LP</t>
  </si>
  <si>
    <t>FXC03678-NA</t>
  </si>
  <si>
    <t>FXC03678-TG</t>
  </si>
  <si>
    <t>FXC03678-YW</t>
  </si>
  <si>
    <t>FXC03679-LP</t>
  </si>
  <si>
    <t>FXC03679-PI</t>
  </si>
  <si>
    <t>FXC03679-TG</t>
  </si>
  <si>
    <t>FXC03680-BL</t>
  </si>
  <si>
    <t>FXC03680-LP</t>
  </si>
  <si>
    <t>FXC03680-PI</t>
  </si>
  <si>
    <t>FXC03680-TG</t>
  </si>
  <si>
    <t>Y2004-PI</t>
  </si>
  <si>
    <t>Y2005-BL</t>
  </si>
  <si>
    <t>Y2005-NA</t>
  </si>
  <si>
    <t>Y2005-LP</t>
  </si>
  <si>
    <t>Y03768-LP</t>
  </si>
  <si>
    <t>Y03768-TG</t>
  </si>
  <si>
    <t>Y03768-NA</t>
  </si>
  <si>
    <t>Y2006-LP</t>
  </si>
  <si>
    <t>Y2007-LP</t>
  </si>
  <si>
    <t>Y2007-TG</t>
  </si>
  <si>
    <t>Y2008-BL</t>
  </si>
  <si>
    <t>Y2008-PG</t>
  </si>
  <si>
    <t>Y2008-TG</t>
  </si>
  <si>
    <t>Y2008-DG</t>
  </si>
  <si>
    <t>Y2008-NA</t>
  </si>
  <si>
    <t>Y2009-TG</t>
  </si>
  <si>
    <t>Y2010-3</t>
  </si>
  <si>
    <t>周转率越高越好周转天数越小，周转率越高，说明占用公司资金越低，资金变现速度越快</t>
  </si>
  <si>
    <t>E03135-bl</t>
  </si>
  <si>
    <t>三防机器人手机壳带背夹G Play（2021）黑</t>
  </si>
  <si>
    <t>B093KZ59LY</t>
  </si>
  <si>
    <t>E03135-db</t>
  </si>
  <si>
    <t>三防机器人手机壳带背夹G Play（2021）蓝</t>
  </si>
  <si>
    <t>B093KYKS43</t>
  </si>
  <si>
    <t>E03135-or</t>
  </si>
  <si>
    <t>三防机器人手机壳带背夹G Play（2021）橙</t>
  </si>
  <si>
    <t>B093L2V62Y</t>
  </si>
  <si>
    <t>E03375-BL+E03380+E03397</t>
  </si>
  <si>
    <t>三防机器人手机壳A42 黑</t>
  </si>
  <si>
    <t>B096TKYS6R</t>
  </si>
  <si>
    <t>E03375-DG+E03380+E03397</t>
  </si>
  <si>
    <t>三防机器人手机壳A42 深灰+柠檬黄</t>
  </si>
  <si>
    <t>B09CM5DD9F</t>
  </si>
  <si>
    <t>E03375-NB+E03380+E03397</t>
  </si>
  <si>
    <t>三防机器人手机壳A42 蓝</t>
  </si>
  <si>
    <t>B096TMB4ZM</t>
  </si>
  <si>
    <t>E03375-OR+E03380+E03397</t>
  </si>
  <si>
    <t>三防机器人手机壳A42 橙</t>
  </si>
  <si>
    <t>B096TKPWD7</t>
  </si>
  <si>
    <t>E03375-TG+E03380+E03397</t>
  </si>
  <si>
    <t>三防机器人手机壳A42 蓝绿+浅绿</t>
  </si>
  <si>
    <t>B09CM4S4MM</t>
  </si>
  <si>
    <t>E03386-BL+E03268-02</t>
  </si>
  <si>
    <t>三防机器人手机壳带背夹G Power（2021）黑</t>
  </si>
  <si>
    <t>B09CPPMYNK</t>
  </si>
  <si>
    <t>E03386-NB+E03268-02</t>
  </si>
  <si>
    <t>三防机器人手机壳带背夹G Power（2021）蓝</t>
  </si>
  <si>
    <t>B09CPQ77F1</t>
  </si>
  <si>
    <t>E03386-OR+E03268-02</t>
  </si>
  <si>
    <t>三防机器人手机壳带背夹G Power（2021）橙</t>
  </si>
  <si>
    <t>B09CPPSVMQ</t>
  </si>
  <si>
    <t>E03388-BL+E03267</t>
  </si>
  <si>
    <t>三防机器人手机壳带背夹G Stylus (2021) 黑</t>
  </si>
  <si>
    <t>B093W782KT</t>
  </si>
  <si>
    <t>E03388-NB+E03267</t>
  </si>
  <si>
    <t>三防机器人手机壳带背夹G Stylus (2021) 蓝</t>
  </si>
  <si>
    <t>B093W8PSZW</t>
  </si>
  <si>
    <t>E03388-OR+E03267</t>
  </si>
  <si>
    <t>三防机器人手机壳带背夹G Stylus (2021) 橙</t>
  </si>
  <si>
    <t>B093W9BDQM</t>
  </si>
  <si>
    <t>E03390-BL+E03240</t>
  </si>
  <si>
    <t>三防机器人手机壳带背夹 A32 黑</t>
  </si>
  <si>
    <t>B094FTXFCS</t>
  </si>
  <si>
    <t>E03390-NB+E03240</t>
  </si>
  <si>
    <t>三防机器人手机壳带背夹 A32 蓝</t>
  </si>
  <si>
    <t>B094FQS1FC</t>
  </si>
  <si>
    <t>E03390-OR+E03240</t>
  </si>
  <si>
    <t>三防机器人手机壳带背夹 A32 橙</t>
  </si>
  <si>
    <t>B094FR2LXM</t>
  </si>
  <si>
    <t>E03391-BL+E03271</t>
  </si>
  <si>
    <t>三防机器人手机壳带背夹 A52 黑</t>
  </si>
  <si>
    <t>B094HRCLXF</t>
  </si>
  <si>
    <t>E03391-NB+E03271</t>
  </si>
  <si>
    <t>三防机器人手机壳带背夹 A52 蓝</t>
  </si>
  <si>
    <t>B094HQ8MSM</t>
  </si>
  <si>
    <t>E03391-OR+E03271</t>
  </si>
  <si>
    <t>三防机器人手机壳带背夹 A52 橙</t>
  </si>
  <si>
    <t>B094HQNRN7</t>
  </si>
  <si>
    <t>Y03449-BL+Y03476</t>
  </si>
  <si>
    <t>三防机器人手机壳带背夹iPhone 13 黑</t>
  </si>
  <si>
    <t>B09FP627KW</t>
  </si>
  <si>
    <t>Y03449-DG+Y03476</t>
  </si>
  <si>
    <t>三防机器人手机壳带背夹iPhone 13 深灰+柠檬黄</t>
  </si>
  <si>
    <t>B09FNT64S9</t>
  </si>
  <si>
    <t>Y03449-NB+Y03476</t>
  </si>
  <si>
    <t>三防机器人手机壳带背夹iPhone 13 蓝</t>
  </si>
  <si>
    <t>B09FNYDGY5</t>
  </si>
  <si>
    <t>Y03449-OR+Y03476</t>
  </si>
  <si>
    <t>三防机器人手机壳带背夹iPhone 13 橙</t>
  </si>
  <si>
    <t>B09FP3Y2WP</t>
  </si>
  <si>
    <t>Y03449-TG+Y03476</t>
  </si>
  <si>
    <t>三防机器人手机壳带背夹iPhone 13 蓝绿+浅绿</t>
  </si>
  <si>
    <t>B09FPBNRWX</t>
  </si>
  <si>
    <t>Y03450-NB+Y03477</t>
  </si>
  <si>
    <t>三防机器人手机壳带背夹iPhone 13 pro 蓝</t>
  </si>
  <si>
    <t>B09FPDDPNN</t>
  </si>
  <si>
    <t>Y03451-BL+Y03478</t>
  </si>
  <si>
    <t>三防机器人手机壳带背夹iPhone 13 Pro max 黑</t>
  </si>
  <si>
    <t>B09FKY9NB2</t>
  </si>
  <si>
    <t>Y03451-DG+Y03478</t>
  </si>
  <si>
    <t>三防机器人手机壳带背夹iPhone 13 Pro max 深灰+柠檬黄</t>
  </si>
  <si>
    <t>B09FKZBMCJ</t>
  </si>
  <si>
    <t>Y03451-NB+Y03478</t>
  </si>
  <si>
    <t>三防机器人手机壳带背夹iPhone 13 Pro max 蓝</t>
  </si>
  <si>
    <t>B09FKWZKZQ</t>
  </si>
  <si>
    <t>Y03451-OR+Y03478</t>
  </si>
  <si>
    <t>三防机器人手机壳带背夹iPhone 13 Pro max 橙</t>
  </si>
  <si>
    <t>B09FKYBRXJ</t>
  </si>
  <si>
    <t>Y03451-TG+Y03478</t>
  </si>
  <si>
    <t>三防机器人手机壳带背夹iPhone 13 Pro max 蓝绿+浅绿</t>
  </si>
  <si>
    <t>B09FKX7J3C</t>
  </si>
  <si>
    <t>Y03466-BL+E03063</t>
  </si>
  <si>
    <t>三防机器人手机壳带背夹A02S 黑</t>
  </si>
  <si>
    <t>B098T1675V</t>
  </si>
  <si>
    <t>Y03466-DG+E03063</t>
  </si>
  <si>
    <t>三防机器人手机壳带背夹A02S 深灰+柠檬黄</t>
  </si>
  <si>
    <t>B09DFFRTPG</t>
  </si>
  <si>
    <t>Y03466-NB+E03063</t>
  </si>
  <si>
    <t>三防机器人手机壳带背夹A02S 蓝</t>
  </si>
  <si>
    <t>B098T19BMD</t>
  </si>
  <si>
    <t>Y03466-OR+E03063</t>
  </si>
  <si>
    <t>三防机器人手机壳带背夹A02S 橙</t>
  </si>
  <si>
    <t>B098T16TQT</t>
  </si>
  <si>
    <t>Y03466-TG+E03063</t>
  </si>
  <si>
    <t>三防机器人手机壳带背夹A02S 蓝绿+浅绿</t>
  </si>
  <si>
    <t>B09DFRLP5Y</t>
  </si>
  <si>
    <t>Y03507-BL+Y03508+Y03509</t>
  </si>
  <si>
    <t>Moto中性手机壳 G Stylus 5G 黑</t>
  </si>
  <si>
    <t>B09B1M73FL</t>
  </si>
  <si>
    <t>Y03507-GR+Y03508+Y03509</t>
  </si>
  <si>
    <t>Moto中性手机壳 G Stylus 5G 灰+绿</t>
  </si>
  <si>
    <t>B09DP3W7BQ</t>
  </si>
  <si>
    <t>Y03507-NB+Y03508+Y03509</t>
  </si>
  <si>
    <t>Moto中性手机壳 G Stylus 5G 蓝</t>
  </si>
  <si>
    <t>B09B1N5SXM</t>
  </si>
  <si>
    <t>Y03507-OR+Y03508+Y03509</t>
  </si>
  <si>
    <t>Moto中性手机壳 G Stylus 5G 橙</t>
  </si>
  <si>
    <t>B09B1MQZPN</t>
  </si>
  <si>
    <t>Y03561-BL+Y03562+Y03565</t>
  </si>
  <si>
    <t>Moto中性手机壳One 5G Ace 黑</t>
  </si>
  <si>
    <t>B09H2FVVKR</t>
  </si>
  <si>
    <t>Y03561-NB+Y03562+Y03565</t>
  </si>
  <si>
    <t>Moto中性手机壳One 5G Ace 蓝</t>
  </si>
  <si>
    <t>B09H29PZXG</t>
  </si>
  <si>
    <t>Y03561-OR+Y03562+Y03565</t>
  </si>
  <si>
    <t>Moto中性手机壳One 5G Ace 橙</t>
  </si>
  <si>
    <t>B09H29QXK4</t>
  </si>
  <si>
    <t>Y03564-BL+Y03565+Y03566</t>
  </si>
  <si>
    <t>Moto中性手机壳Egde (2021) 黑</t>
  </si>
  <si>
    <t>B09HGDHZQ1</t>
  </si>
  <si>
    <t>Y03564-NB+Y03565+Y03566</t>
  </si>
  <si>
    <t>Moto中性手机壳Egde (2021) 蓝</t>
  </si>
  <si>
    <t>B09HGMN29X</t>
  </si>
  <si>
    <t>Y03564-OR+Y03565+Y03566</t>
  </si>
  <si>
    <t>Moto中性手机壳Egde (2021) 橙</t>
  </si>
  <si>
    <t>B09HH4MC8R</t>
  </si>
  <si>
    <t>Y03652-BL+Y03653+Y03654</t>
  </si>
  <si>
    <t>Moto中性手机壳G PURE 2021 黑</t>
  </si>
  <si>
    <t>B09MHS412L</t>
  </si>
  <si>
    <t>Y03652-DB+Y03653+Y03654</t>
  </si>
  <si>
    <t>Moto中性手机壳G PURE 2021 蓝</t>
  </si>
  <si>
    <t>B09MHRWLB5</t>
  </si>
  <si>
    <t>Y03652-OR+Y03653+Y03654</t>
  </si>
  <si>
    <t>Moto中性手机壳G PURE 2021 橙</t>
  </si>
  <si>
    <t>B09MHRVV79</t>
  </si>
  <si>
    <t>Y3006-NB+Y3008</t>
  </si>
  <si>
    <t>三防机器人手机壳带背夹S22 蓝</t>
  </si>
  <si>
    <t>B09T2T9QCT</t>
  </si>
  <si>
    <t>Y3007-OR+Y3009</t>
  </si>
  <si>
    <t>三防机器人手机壳带背夹S22 Plus 橙</t>
  </si>
  <si>
    <t>B09T2KMQY3</t>
  </si>
  <si>
    <t>Y3007-TG+Y3009</t>
  </si>
  <si>
    <t>三防机器人手机壳带背夹S22 Plus 蓝绿+浅绿</t>
  </si>
  <si>
    <t>B09T2LCZ9H</t>
  </si>
  <si>
    <t>Y3013-BL+Y3014</t>
  </si>
  <si>
    <t>三防机器人手机壳带背夹A03S美版 黑</t>
  </si>
  <si>
    <t>B09V278J16</t>
  </si>
  <si>
    <t>Y3013-DG+Y3014</t>
  </si>
  <si>
    <t>三防机器人手机壳带背夹A03S美版 深灰+柠檬黄</t>
  </si>
  <si>
    <t>B09V289STH</t>
  </si>
  <si>
    <t>Y3013-NB+Y3014</t>
  </si>
  <si>
    <t>三防机器人手机壳带背夹A03S美版 蓝</t>
  </si>
  <si>
    <t>B09V27JQ4S</t>
  </si>
  <si>
    <t>Y3013-OR+Y3014</t>
  </si>
  <si>
    <t>三防机器人手机壳带背夹A03S美版 橙</t>
  </si>
  <si>
    <t>B09V27VN42</t>
  </si>
  <si>
    <t>Y3013-TG+Y3014</t>
  </si>
  <si>
    <t>三防机器人手机壳带背夹A03S美版 蓝绿+浅绿</t>
  </si>
  <si>
    <t>B09V27L3BY</t>
  </si>
  <si>
    <t>Y3015-BL+Y3016+Y3017</t>
  </si>
  <si>
    <t>Moto中性手机壳G Stylus 2022 4G 黑</t>
  </si>
  <si>
    <t>B09V2H6GTC</t>
  </si>
  <si>
    <t>Y3015-NB+Y3016+Y3017</t>
  </si>
  <si>
    <t>Moto中性手机壳G Stylus 2022 4G 蓝</t>
  </si>
  <si>
    <t>B09V2GXNWZ</t>
  </si>
  <si>
    <t>Y3015-OR+Y3016+Y3017</t>
  </si>
  <si>
    <t>Moto中性手机壳G Stylus 2022 4G 橙</t>
  </si>
  <si>
    <t>B09V2GY7PT</t>
  </si>
  <si>
    <t>Y3018-BL+Y3019</t>
  </si>
  <si>
    <t>三防机器人手机壳带背夹A53 5G 黑</t>
  </si>
  <si>
    <t>B09WZYBG5Y</t>
  </si>
  <si>
    <t>Y3018-DG+Y3019</t>
  </si>
  <si>
    <t>三防机器人手机壳带背夹A53 5G 深灰+柠檬黄</t>
  </si>
  <si>
    <t>B09WZXRLPX</t>
  </si>
  <si>
    <t>Y3018-NB+Y3019</t>
  </si>
  <si>
    <t>三防机器人手机壳带背夹A53 5G 蓝</t>
  </si>
  <si>
    <t>B09WZYJWPY</t>
  </si>
  <si>
    <t>Y3018-OR+Y3019</t>
  </si>
  <si>
    <t>三防机器人手机壳带背夹A53 5G 橙</t>
  </si>
  <si>
    <t>B09WZZM9VS</t>
  </si>
  <si>
    <t>Y3018-TG+Y3019</t>
  </si>
  <si>
    <t>三防机器人手机壳带背夹A53 5G 蓝绿+浅绿</t>
  </si>
  <si>
    <t>B09WZZ1LM2</t>
  </si>
  <si>
    <t>Y03507-DN+Y03508+Y03509</t>
  </si>
  <si>
    <t>Moto中性手机壳 G Stylus 5G 暗绿+绿</t>
  </si>
  <si>
    <t>B09X331PFB</t>
  </si>
  <si>
    <t>Y03742-BL+Y03743</t>
  </si>
  <si>
    <t>三防机器人手机壳带背夹A13 5G 黑</t>
  </si>
  <si>
    <t>B09Y19ZRB9</t>
  </si>
  <si>
    <t>Y03742-DG+Y03743</t>
  </si>
  <si>
    <t>三防机器人手机壳带背夹A13 5G 深灰+柠檬黄</t>
  </si>
  <si>
    <t>B09Y1Q5PK6</t>
  </si>
  <si>
    <t>Y03742-NB+Y03743</t>
  </si>
  <si>
    <t>三防机器人手机壳带背夹A13 5G 蓝</t>
  </si>
  <si>
    <t>B09Y1BSTNT</t>
  </si>
  <si>
    <t>Y03742-OR+Y03743</t>
  </si>
  <si>
    <t>三防机器人手机壳带背夹A13 5G 橙</t>
  </si>
  <si>
    <t>B09Y185WLW</t>
  </si>
  <si>
    <t>Y03742-TG+Y03743</t>
  </si>
  <si>
    <t>三防机器人手机壳带背夹A13 5G 蓝绿+浅绿</t>
  </si>
  <si>
    <t>B09Y1B9G8T</t>
  </si>
  <si>
    <t>Y03652-BY+Y03653+Y03654</t>
  </si>
  <si>
    <t>Moto中性手机壳G PURE 2021 黑+黄</t>
  </si>
  <si>
    <t>B0B2QVCZ4W</t>
  </si>
  <si>
    <t>Y03652-GK+Y03653+Y03654</t>
  </si>
  <si>
    <t>Moto中性手机壳G PURE 2021果绿+黑</t>
  </si>
  <si>
    <t>B0B2QTY69B</t>
  </si>
  <si>
    <t>Y3015-BY+Y3016+Y3017</t>
  </si>
  <si>
    <t>Moto中性手机壳 g stylus 2022 4G 黑+黄</t>
  </si>
  <si>
    <t>B0B58731G6</t>
  </si>
  <si>
    <t>Y3015-GK+Y3016+Y3017</t>
  </si>
  <si>
    <t>Moto中性手机壳 G Stylus  2022 4G 果绿+黑</t>
  </si>
  <si>
    <t>B0B589R1T4</t>
  </si>
  <si>
    <t>Y3022-GK+Y3023+Y3024</t>
  </si>
  <si>
    <t>Moto中性手机壳Moto g stylus 5g 2022</t>
  </si>
  <si>
    <t>B0B6V94936</t>
  </si>
  <si>
    <t>Y03564-BY+Y03565+Y03566</t>
  </si>
  <si>
    <t>Moto中性手机壳Motorola edge 2021 黑+黄</t>
  </si>
  <si>
    <t>B0B6V92FQD</t>
  </si>
  <si>
    <t>Y03564-GK+Y03565+Y03566</t>
  </si>
  <si>
    <t>Moto中性手机壳Motorola edge 2021 果绿+黑</t>
  </si>
  <si>
    <t>B0B6V75VF1</t>
  </si>
  <si>
    <t>Y3033-BL+Y3034+Y3035</t>
  </si>
  <si>
    <t>中性手机壳Google Pixel 6a 黑</t>
  </si>
  <si>
    <t>B0B7MS7DMW</t>
  </si>
  <si>
    <t>Y3033-BY+Y3034+Y3035</t>
  </si>
  <si>
    <t>中性手机壳Google Pixel 6a 黑+黄</t>
  </si>
  <si>
    <t>B0B7MMFS3J</t>
  </si>
  <si>
    <t>Y3033-DB+Y3034+Y3035</t>
  </si>
  <si>
    <t>中性手机壳Google Pixel 6a 蓝</t>
  </si>
  <si>
    <t>B0B7NK6JNL</t>
  </si>
  <si>
    <t>Y3033-GK+Y3034+Y3035</t>
  </si>
  <si>
    <t>中性手机壳Google Pixel 6a 果绿+黑</t>
  </si>
  <si>
    <t>B0B7MPP93H</t>
  </si>
  <si>
    <t>Y3033-OR+Y3034+Y3035</t>
  </si>
  <si>
    <t>中性手机壳Google Pixel 6a 橙</t>
  </si>
  <si>
    <t>B0B7MT3VYL</t>
  </si>
  <si>
    <t>Y3045-BL</t>
  </si>
  <si>
    <t>三星 Z Fold4 喷油款 黑色</t>
  </si>
  <si>
    <t>B0B8N44FQ4</t>
  </si>
  <si>
    <t>Y3025-BL+Y3026</t>
  </si>
  <si>
    <t xml:space="preserve">三防机器人手机壳带背夹iPhone 14 6.1‘’ </t>
  </si>
  <si>
    <t>B0B8N6JY13</t>
  </si>
  <si>
    <t>Y3025-DG+Y3026</t>
  </si>
  <si>
    <t>三防机器人手机壳带背夹iPhone 14 6.1‘’ 深灰+柠檬黄</t>
  </si>
  <si>
    <t>B0B8N4P5GT</t>
  </si>
  <si>
    <t>Y3025-NB+Y3026</t>
  </si>
  <si>
    <t>三防机器人手机壳带背夹iPhone 14 6.1‘’ 蓝</t>
  </si>
  <si>
    <t>B0B8N3VX4F</t>
  </si>
  <si>
    <t>Y3025-OR+Y3026</t>
  </si>
  <si>
    <t>三防机器人手机壳带背夹iPhone 14 6.1‘’ 橙</t>
  </si>
  <si>
    <t>B0B8N43RJL</t>
  </si>
  <si>
    <t>Y3025-TG+Y3026</t>
  </si>
  <si>
    <t>三防机器人手机壳带背夹iPhone 14 6.1‘’ 蓝绿+浅绿</t>
  </si>
  <si>
    <t>B0B8N5DJY6</t>
  </si>
  <si>
    <t>Y3027-NB+Y3028</t>
  </si>
  <si>
    <t>三防机器人手机壳带背夹iPhone 14 Pro 6.1‘’ 蓝</t>
  </si>
  <si>
    <t>B0B8N6RT96</t>
  </si>
  <si>
    <t>Y3027-TG+Y3028</t>
  </si>
  <si>
    <t>三防机器人手机壳带背夹iPhone 14 Pro 6.1‘’ 蓝绿+浅绿</t>
  </si>
  <si>
    <t>B0B8N7MBLZ</t>
  </si>
  <si>
    <t>Y3027-BL+Y3028</t>
  </si>
  <si>
    <t xml:space="preserve">三防机器人手机壳带背夹iPhone 14 Pro 6.1‘’ </t>
  </si>
  <si>
    <t>B0B8N8W6KW</t>
  </si>
  <si>
    <t>Y3027-DG+Y3028</t>
  </si>
  <si>
    <t>三防机器人手机壳带背夹iPhone 14 Pro 6.1‘’ ’ 深灰+柠檬黄</t>
  </si>
  <si>
    <t>B0B8N95ZKJ</t>
  </si>
  <si>
    <t>Y3027-OR+Y3028</t>
  </si>
  <si>
    <t>三防机器人手机壳带背夹iPhone 14 Pro 6.1‘’  橙</t>
  </si>
  <si>
    <t>B0B8N8JM3J</t>
  </si>
  <si>
    <t>Y3029-BL+Y3030</t>
  </si>
  <si>
    <t>三防机器人手机壳带背夹iphone 14 plus 6.7</t>
  </si>
  <si>
    <t>B0B8NBWGMM</t>
  </si>
  <si>
    <t>Y3029-DG+Y3030</t>
  </si>
  <si>
    <t>三防机器人手机壳带背夹iphone 14 plus 6.7 深灰+柠檬黄</t>
  </si>
  <si>
    <t>B0B8NBD1GB</t>
  </si>
  <si>
    <t>Y3029-NB+Y3030</t>
  </si>
  <si>
    <t>三防机器人手机壳带背夹iphone 14 plus 6.7 蓝</t>
  </si>
  <si>
    <t>B0B8N96D3H</t>
  </si>
  <si>
    <t>Y3029-OR+Y3030</t>
  </si>
  <si>
    <t>三防机器人手机壳带背夹iphone 14 plus 6.7橙</t>
  </si>
  <si>
    <t>B0B8NCT531</t>
  </si>
  <si>
    <t>Y3029-TG+Y3030</t>
  </si>
  <si>
    <t>三防机器人手机壳带背夹iphone 14 plus 6.7蓝绿+浅绿</t>
  </si>
  <si>
    <t>B0B8NBX1LW</t>
  </si>
  <si>
    <t>Y3031-DG+Y3032</t>
  </si>
  <si>
    <t>三防机器人手机壳带背夹iPhone 14 Pro Max 6.7‘’ ’ 深灰+柠檬黄</t>
  </si>
  <si>
    <t>B0B8NFS2Q3</t>
  </si>
  <si>
    <t>Y3031-NB+Y3032</t>
  </si>
  <si>
    <t>三防机器人手机壳带背夹iPhone 14 Pro Max 6.7‘’蓝</t>
  </si>
  <si>
    <t>B0B8NG2TXD</t>
  </si>
  <si>
    <t>Y3031-OR+Y3032</t>
  </si>
  <si>
    <t>三防机器人手机壳带背夹iPhone 14 Pro Max 6.7‘’  橙</t>
  </si>
  <si>
    <t>B0B8NCD14D</t>
  </si>
  <si>
    <t>Y3031-TG+Y3032</t>
  </si>
  <si>
    <t>三防机器人手机壳带背夹iPhone 14 Pro Max 6.7‘’ 蓝绿+浅绿</t>
  </si>
  <si>
    <t>B0B8NDVMPK</t>
  </si>
  <si>
    <t>Y3042-BL</t>
  </si>
  <si>
    <t>三星 Z Flip4 利甲 黑色</t>
  </si>
  <si>
    <t>B0B8YVKG4S</t>
  </si>
  <si>
    <t>Y3042-DK</t>
  </si>
  <si>
    <t>三星 Z Flip4 利甲 墨绿</t>
  </si>
  <si>
    <t>B0B8YV7XSN</t>
  </si>
  <si>
    <t>Y3042-NB</t>
  </si>
  <si>
    <t>三星 Z Flip4 利甲 宝蓝</t>
  </si>
  <si>
    <t>B0B8YW7CHK</t>
  </si>
  <si>
    <t>Y3042-RE</t>
  </si>
  <si>
    <t>三星 Z Flip4 利甲 红色</t>
  </si>
  <si>
    <t>B0B8YTN2BT</t>
  </si>
  <si>
    <t>Y3044-DK</t>
  </si>
  <si>
    <t>三星 Z Fold4 利甲 墨绿</t>
  </si>
  <si>
    <t>B0B92K7KPG</t>
  </si>
  <si>
    <t>Y3044-RE</t>
  </si>
  <si>
    <t>三星 Z Fold4 利甲 红色</t>
  </si>
  <si>
    <t>B0B9278DLQ</t>
  </si>
  <si>
    <t>Y3043-AG</t>
  </si>
  <si>
    <t>三星 Z Flip4 铰链荔枝纹指环 军绿色</t>
  </si>
  <si>
    <t>B0B9M91M61</t>
  </si>
  <si>
    <t>Y3043-LP</t>
  </si>
  <si>
    <t>三星 Z Flip4 铰链荔枝纹指环 紫色</t>
  </si>
  <si>
    <t>B0B9M9V6MF</t>
  </si>
  <si>
    <t>Y3041-BL</t>
  </si>
  <si>
    <t>三星 Z Flip4 喷油指环标配版 黑色</t>
  </si>
  <si>
    <t>B0B9MSWP9V</t>
  </si>
  <si>
    <t>Y3041-GR</t>
  </si>
  <si>
    <t>三星 Z Flip4 喷油指环标配版 绿色</t>
  </si>
  <si>
    <t>B0B9N5S7RZ</t>
  </si>
  <si>
    <t>Y3041-LP</t>
  </si>
  <si>
    <t>三星 Z Flip4 喷油指环标配版 紫色</t>
  </si>
  <si>
    <t>B0B9MSG3M5</t>
  </si>
  <si>
    <t>Y3036-BL</t>
  </si>
  <si>
    <t>中性手机壳Google Pixel 7+背夹</t>
  </si>
  <si>
    <t>B0B9XK7L5X</t>
  </si>
  <si>
    <t>Y3036-BY</t>
  </si>
  <si>
    <t>B0B9XJW9J7</t>
  </si>
  <si>
    <t>Y3036-DB</t>
  </si>
  <si>
    <t>B0B9XNCNHP</t>
  </si>
  <si>
    <t>Y3036-GK</t>
  </si>
  <si>
    <t>B0B9XTKZTH</t>
  </si>
  <si>
    <t>Y3036-OR</t>
  </si>
  <si>
    <t>B0B9XJN2XQ</t>
  </si>
  <si>
    <t>Y3039-BY</t>
  </si>
  <si>
    <t>中性手机壳Google Pixel 7 Pro+背夹</t>
  </si>
  <si>
    <t>B0B9XJM8X7</t>
  </si>
  <si>
    <t>Y3039-DB</t>
  </si>
  <si>
    <t>B0B9XMDH6L</t>
  </si>
  <si>
    <t>Y3039-GK</t>
  </si>
  <si>
    <t>B0B9XJNDBZ</t>
  </si>
  <si>
    <t>欣彤</t>
  </si>
  <si>
    <t>Y3039-OR</t>
  </si>
  <si>
    <t>B0B9XK9PPN</t>
  </si>
  <si>
    <t>Y3049-BL+Y3050+Y3051</t>
  </si>
  <si>
    <t>中性手机壳 A23 5G黑 背甲+软膜</t>
  </si>
  <si>
    <t>B0BFQY2HCW</t>
  </si>
  <si>
    <t>Y3049-BY+Y3050+Y3051</t>
  </si>
  <si>
    <t>中性手机壳 A23 5G 背甲+软膜 黑+黄</t>
  </si>
  <si>
    <t>B0BFQZJXSG</t>
  </si>
  <si>
    <t>Y3049-DB+Y3050+Y3051</t>
  </si>
  <si>
    <t>中性手机壳 A23 5G 背甲+软膜 蓝</t>
  </si>
  <si>
    <t>B0BFR1HGZX</t>
  </si>
  <si>
    <t>Y3049-GK+Y3050+Y3051</t>
  </si>
  <si>
    <t>中性手机壳 A23 5G 背甲+软膜 果绿+黑</t>
  </si>
  <si>
    <t>B0BFR2JK9C</t>
  </si>
  <si>
    <t>Y3049-OR+Y3050+Y3051</t>
  </si>
  <si>
    <t>中性手机壳 A23 5G 背甲+软膜 橙</t>
  </si>
  <si>
    <t>B0BFQZM17H</t>
  </si>
  <si>
    <t>Y3046-BL+Y3047+Y3048</t>
  </si>
  <si>
    <t>中性 Motorola edge 2022 带背夹 +软膜 黑</t>
  </si>
  <si>
    <t>B0BFVNJNYV</t>
  </si>
  <si>
    <t>Y3046-BY+Y3047+Y3048</t>
  </si>
  <si>
    <t>中性 Motorola edge 2022 带背夹 +软膜 黑+黄</t>
  </si>
  <si>
    <t>B0BFW7BCXR</t>
  </si>
  <si>
    <t>Y3046-DB+Y3047+Y3048</t>
  </si>
  <si>
    <t>中性 Motorola edge 2022 带背夹 +软膜 蓝</t>
  </si>
  <si>
    <t>B0BFVRPPHJ</t>
  </si>
  <si>
    <t>Y3046-GK+Y3047+Y3048</t>
  </si>
  <si>
    <t>中性 Motorola edge 2022 带背夹 +软膜 果绿+黑</t>
  </si>
  <si>
    <t>B0BFVG46SH</t>
  </si>
  <si>
    <t>Y3046-OR+Y3047+Y3048</t>
  </si>
  <si>
    <t>中性 Motorola edge 2022 带背夹 +软膜 橙</t>
  </si>
  <si>
    <t>B0BFVR2BK9</t>
  </si>
  <si>
    <t>Y3031-LP+Y3032</t>
  </si>
  <si>
    <t>三防机器人手机壳带背夹iPhone 14 Pro Max 6.7‘’ 紫红+黑色</t>
  </si>
  <si>
    <t>B0BFWY4QJK</t>
  </si>
  <si>
    <t>Y3052-DG+Y3053</t>
  </si>
  <si>
    <t>B0BJ6KYW12</t>
  </si>
  <si>
    <t>Y3052-LP+Y3053</t>
  </si>
  <si>
    <t>三防机器人手机壳带背夹iPhone 14 Pro 6.1‘’ 紫色</t>
  </si>
  <si>
    <t>B0BJ6CS82T</t>
  </si>
  <si>
    <t>Y3052-NB+Y3053</t>
  </si>
  <si>
    <t>B0BJ6GLSG2</t>
  </si>
  <si>
    <t>Y3052-OR+Y3053</t>
  </si>
  <si>
    <t>B0BJ6R8GQP</t>
  </si>
  <si>
    <t>Y3052-TG+Y3053</t>
  </si>
  <si>
    <t>B0BJ69YF4P</t>
  </si>
  <si>
    <t>Y3060-BL+Y3061+Y3062</t>
  </si>
  <si>
    <t>中性手机壳Samsung A14 5G 黑</t>
  </si>
  <si>
    <t>B0BMFRH2YG</t>
  </si>
  <si>
    <t>Y3060-BY+Y3061+Y3062</t>
  </si>
  <si>
    <t>中性手机壳Samsung A14 5G  黑+黄</t>
  </si>
  <si>
    <t>B0BMFPR37C</t>
  </si>
  <si>
    <t>Y3060-DB+Y3061+Y3062</t>
  </si>
  <si>
    <t>中性手机壳Samsung A14 5G 蓝</t>
  </si>
  <si>
    <t>B0BMFRQ616</t>
  </si>
  <si>
    <t>Y3060-GK+Y3061+Y3062</t>
  </si>
  <si>
    <t>中性手机壳Samsung A14 5G果绿+黑</t>
  </si>
  <si>
    <t>B0BMFPBCF9</t>
  </si>
  <si>
    <t>Y3060-OR+Y3061+Y3062</t>
  </si>
  <si>
    <t>中性手机壳Samsung A14 5G 橙</t>
  </si>
  <si>
    <t>B0BMFPDY3X</t>
  </si>
  <si>
    <t>Y3054-BL+Y3055</t>
  </si>
  <si>
    <t>高A三防机器人Samsung Galaxg S23带背夹+软膜</t>
  </si>
  <si>
    <t>B0BP68VBJP</t>
  </si>
  <si>
    <t>Y3054-GN+Y3055</t>
  </si>
  <si>
    <t>B0BP6M89NF</t>
  </si>
  <si>
    <t>Y3054-GY+Y3055</t>
  </si>
  <si>
    <t>B0BP6GRTJJ</t>
  </si>
  <si>
    <t>Y3054-LP+Y3055</t>
  </si>
  <si>
    <t>B0BP6YDW8P</t>
  </si>
  <si>
    <t>Y3054-NB+Y3055</t>
  </si>
  <si>
    <t>B0BP6MC99V</t>
  </si>
  <si>
    <t>Y3054-TG+Y3055</t>
  </si>
  <si>
    <t>B0BP6DDHYQ</t>
  </si>
  <si>
    <t>Y3056-BL+Y3057</t>
  </si>
  <si>
    <t>高A三防机器人Samsung Galaxg S23 Plus带背夹+软膜</t>
  </si>
  <si>
    <t>B0BP6PXXBQ</t>
  </si>
  <si>
    <t>Y3056-GN+Y3057</t>
  </si>
  <si>
    <t>B0BP6P5ZM2</t>
  </si>
  <si>
    <t>Y3056-GY+Y3057</t>
  </si>
  <si>
    <t>B0BP6KHKTY</t>
  </si>
  <si>
    <t>Y3056-LP+Y3057</t>
  </si>
  <si>
    <t>B0BP6FSNJ4</t>
  </si>
  <si>
    <t>Y3056-NB+Y3057</t>
  </si>
  <si>
    <t>B0BP6B6XFB</t>
  </si>
  <si>
    <t>Y3056-TG+Y3057</t>
  </si>
  <si>
    <t>B0BP68SZRC</t>
  </si>
  <si>
    <t>Y3058-BL</t>
  </si>
  <si>
    <t>高A三防机器人Samsung Galaxg S23 Ultra带背夹</t>
  </si>
  <si>
    <t>B0BP6RST4R</t>
  </si>
  <si>
    <t>Y3058-GN</t>
  </si>
  <si>
    <t>B0BP6LX8RH</t>
  </si>
  <si>
    <t>Y3058-GY</t>
  </si>
  <si>
    <t>B0BP6M7Z48</t>
  </si>
  <si>
    <t>Y3058-LP</t>
  </si>
  <si>
    <t>B0BP6GXWSC</t>
  </si>
  <si>
    <t>Y3058-NB</t>
  </si>
  <si>
    <t>B0BP6MGMJS</t>
  </si>
  <si>
    <t>Y3058-TG</t>
  </si>
  <si>
    <t>B0BP6V1VTL</t>
  </si>
  <si>
    <t>Y3079-BL+Y3079</t>
  </si>
  <si>
    <t>三防机器人手机壳带背夹Moto g play 2023 黑+软膜</t>
  </si>
  <si>
    <t>B0BRMX26NH</t>
  </si>
  <si>
    <t>Y3079-GB+Y3079</t>
  </si>
  <si>
    <t>三防机器人手机壳带背夹Moto g play 2023 灰+黑</t>
  </si>
  <si>
    <t>B0BRMWJXZR</t>
  </si>
  <si>
    <t>Y3079-NB+Y3079</t>
  </si>
  <si>
    <t>三防机器人手机壳带背夹Moto g play 2023 蓝+软膜</t>
  </si>
  <si>
    <t>B0BRMXH62X</t>
  </si>
  <si>
    <t>Y3079-OR+Y3079</t>
  </si>
  <si>
    <t>三防机器人手机壳带背夹Moto g play 2023 橙+软膜</t>
  </si>
  <si>
    <t>B0BRMWFB9L</t>
  </si>
  <si>
    <t>Y3079-TG+Y3079</t>
  </si>
  <si>
    <t>三防机器人手机壳带背夹Moto g play 2023 蓝绿+浅绿+软膜</t>
  </si>
  <si>
    <t>B0BRMX3QZ7</t>
  </si>
  <si>
    <t>Y3074-BL</t>
  </si>
  <si>
    <t>高A三防机器人三星A54 5G 带背夹</t>
  </si>
  <si>
    <t>B0BWYDK4SR</t>
  </si>
  <si>
    <t>Y3074-GN</t>
  </si>
  <si>
    <t>高A三防机器人Samsung A54 5G带背夹</t>
  </si>
  <si>
    <t>B0BWYBBC3K</t>
  </si>
  <si>
    <t>Y3074-GY</t>
  </si>
  <si>
    <t>高A三防机器人Samsung  A54 5G带背夹</t>
  </si>
  <si>
    <t>B0BWYDSTQ7</t>
  </si>
  <si>
    <t>Y3074-NB</t>
  </si>
  <si>
    <t>B0BWYBCRPY</t>
  </si>
  <si>
    <t>Y3074-TG</t>
  </si>
  <si>
    <t>B0BWYKGC6F</t>
  </si>
  <si>
    <t>Y3075-BL</t>
  </si>
  <si>
    <t>高A三防机器人谷歌Pixel 7A带背夹</t>
  </si>
  <si>
    <t>B0BWYBZ4DM</t>
  </si>
  <si>
    <t>Y3075-GN</t>
  </si>
  <si>
    <t>B0BWY9XSLR</t>
  </si>
  <si>
    <t>Y3075-GR</t>
  </si>
  <si>
    <t>高A三防机器人谷歌Pixel 7A带背夹 青绿</t>
  </si>
  <si>
    <t>B0BWYC69B9</t>
  </si>
  <si>
    <t>Y3075-NB</t>
  </si>
  <si>
    <t>B0BWY9YYSH</t>
  </si>
  <si>
    <t>Y3075-TG</t>
  </si>
  <si>
    <t>B0BWYBY69F</t>
  </si>
  <si>
    <t>Y3080-GB+Y3081</t>
  </si>
  <si>
    <t>高A三防机器人A34带背夹灰+黑</t>
  </si>
  <si>
    <t>B0BYYZHFXL</t>
  </si>
  <si>
    <t>Y3080-GN+Y3081</t>
  </si>
  <si>
    <t>高A三防机器人A34带背夹 灰+蓝</t>
  </si>
  <si>
    <t>B0BYZ3R88W</t>
  </si>
  <si>
    <t>Y3080-GR+Y3081</t>
  </si>
  <si>
    <t>高A三防机器人A34带背夹 青绿+青绿</t>
  </si>
  <si>
    <t>B0BYZ4BNBB</t>
  </si>
  <si>
    <t>Y3080-NB+Y3081</t>
  </si>
  <si>
    <t>高A三防机器人A34带背夹蓝色</t>
  </si>
  <si>
    <t>B0BYYZDLTR</t>
  </si>
  <si>
    <t>Y3080-TG+Y3081</t>
  </si>
  <si>
    <t>高A三防机器人A34带背夹 水兰+白</t>
  </si>
  <si>
    <t>B0BYZ267CM</t>
  </si>
  <si>
    <t>Y3080-BL+Y3081</t>
  </si>
  <si>
    <t>高A三防机器人A34带背夹黑色</t>
  </si>
  <si>
    <t>B0BYYZWVLM</t>
  </si>
  <si>
    <t>Y3082-BL+Y3083+Y3084</t>
  </si>
  <si>
    <t>中性手机壳Samsung A24 4G</t>
  </si>
  <si>
    <t>B0C3CKPXV1</t>
  </si>
  <si>
    <t>Y3082-BY+Y3083+Y3084</t>
  </si>
  <si>
    <t>B0C3CMM291</t>
  </si>
  <si>
    <t>Y3082-DB+Y3083+Y3084</t>
  </si>
  <si>
    <t>B0C3CJG41W</t>
  </si>
  <si>
    <t>Y3082-GK+Y3083+Y3084</t>
  </si>
  <si>
    <t>B0C3CLQ5HD</t>
  </si>
  <si>
    <t>Y3082-OR+Y3083+Y3084</t>
  </si>
  <si>
    <t>B0C3CLT91T</t>
  </si>
  <si>
    <t>Y3085-BL+Y3086+Y3087</t>
  </si>
  <si>
    <t>中性手机壳Moto g power 5g 2023</t>
  </si>
  <si>
    <t>B0C3CMYH84</t>
  </si>
  <si>
    <t>Y3085-BY+Y3086+Y3087</t>
  </si>
  <si>
    <t>B0C3CLLSR4</t>
  </si>
  <si>
    <t>Y3085-DB+Y3086+Y3087</t>
  </si>
  <si>
    <t>B0C3CJHH5Z</t>
  </si>
  <si>
    <t>Y3085-GK+Y3086+Y3087</t>
  </si>
  <si>
    <t>B0C3CLR6GX</t>
  </si>
  <si>
    <t>Y3085-OR+Y3086+Y3087</t>
  </si>
  <si>
    <t>B0C3CMNJLX</t>
  </si>
  <si>
    <t>Y3022-BL+Y3023+Y3024</t>
  </si>
  <si>
    <t>Moto中性手机壳G Stylus 2022 5G 黑</t>
  </si>
  <si>
    <t>B0B2P3JS91</t>
  </si>
  <si>
    <t>Y3043-BL</t>
  </si>
  <si>
    <t>三星 Z Flip4 铰链荔枝纹指环 黑色</t>
  </si>
  <si>
    <t>B0B9M8LQ18</t>
  </si>
  <si>
    <t>Y3088-BL</t>
  </si>
  <si>
    <t>CA高A三防机器人三星A54 5G 带背夹</t>
  </si>
  <si>
    <t>B0C4NFGQYS</t>
  </si>
  <si>
    <t>Y3088-GN</t>
  </si>
  <si>
    <t>CA高A三防机器人Samsung A54 5G带背夹</t>
  </si>
  <si>
    <t>B0C4NKKZP2</t>
  </si>
  <si>
    <t>Y3088-GY</t>
  </si>
  <si>
    <t>CA高A三防机器人Samsung  A54 5G带背夹</t>
  </si>
  <si>
    <t>B0C4NJLDST</t>
  </si>
  <si>
    <t>Y3088-NB</t>
  </si>
  <si>
    <t>B0C4NK4Y64</t>
  </si>
  <si>
    <t>Y3089-BY+Y3090+Y3091</t>
  </si>
  <si>
    <t>CA中性手机壳Moto g power 5g 2023</t>
  </si>
  <si>
    <t>B0C4NK5BG9</t>
  </si>
  <si>
    <t>Y3089-DB+Y3090+Y3091</t>
  </si>
  <si>
    <t>B0C4NM8PWD</t>
  </si>
  <si>
    <t>Y3089-GK+Y3090+Y3091</t>
  </si>
  <si>
    <t>B0C4NH2HJ7</t>
  </si>
  <si>
    <t>Y3092-BL+Y3093+Y3094</t>
  </si>
  <si>
    <t>CA中性手机壳Samsung A14 5G</t>
  </si>
  <si>
    <t>B0C5CPJ62G</t>
  </si>
  <si>
    <t>Y3092-BY+Y3093+Y3094</t>
  </si>
  <si>
    <t>B0C5CFPRRN</t>
  </si>
  <si>
    <t>Y3092-DB+Y3093+Y3094</t>
  </si>
  <si>
    <t>B0C5CD5ZQM</t>
  </si>
  <si>
    <t>Y3092-GK+Y3093+Y3094</t>
  </si>
  <si>
    <t>B0C5CDFS4N</t>
  </si>
  <si>
    <t>Y3092-OR+Y3093+Y3094</t>
  </si>
  <si>
    <t>B0C5CCV144</t>
  </si>
  <si>
    <t>Y3095-GN</t>
  </si>
  <si>
    <t>CA高A三防机器人谷歌Pixel 7A带背夹</t>
  </si>
  <si>
    <t>B0C5CPK12F</t>
  </si>
  <si>
    <t>Y3095-GR</t>
  </si>
  <si>
    <t>CA高A三防机器人谷歌Pixel 7A带背夹 青绿</t>
  </si>
  <si>
    <t>B0C5CJ7SRR</t>
  </si>
  <si>
    <t>Y3095-NB</t>
  </si>
  <si>
    <t>CA高A三防机器人谷歌pixel 7A</t>
  </si>
  <si>
    <t>B0C5CHNFNY</t>
  </si>
  <si>
    <t>Y3096-BL+Y3097+Y3098</t>
  </si>
  <si>
    <t>中性Moto g stylus 5g 2023手机壳</t>
  </si>
  <si>
    <t>B0C84X13TP</t>
  </si>
  <si>
    <t>Y3096-DB+Y3097+Y3098</t>
  </si>
  <si>
    <t>B0C84VPJMX</t>
  </si>
  <si>
    <t>Y3096-GK+Y3097+Y3098</t>
  </si>
  <si>
    <t>B0C84W9MND</t>
  </si>
  <si>
    <t>Y3096-BY+Y3097+Y3098</t>
  </si>
  <si>
    <t>B0C84W3155</t>
  </si>
  <si>
    <t>Y3096-OR+Y3097+Y3098</t>
  </si>
  <si>
    <t>B0C84VL5PH</t>
  </si>
  <si>
    <t>E03375-BL+E03380+E03397-001</t>
  </si>
  <si>
    <t>中性三星 A42 5G 黑</t>
  </si>
  <si>
    <t>B0BVLH6LSR</t>
  </si>
  <si>
    <t>Y3102-BG+Y3103</t>
  </si>
  <si>
    <t>高A三防机器人iPhone 15 6.1 带背夹黑+青绿</t>
  </si>
  <si>
    <t>B0CF1NTWBL</t>
  </si>
  <si>
    <t>Y3102-BL+Y3103</t>
  </si>
  <si>
    <t>高A三防机器人iPhone 15 6.1 带背夹 黑色</t>
  </si>
  <si>
    <t>B0CF1RC4FF</t>
  </si>
  <si>
    <t>Y3102-GN+Y3103</t>
  </si>
  <si>
    <t>高A三防机器人iPhone 15 6.1 带背夹 灰+蓝</t>
  </si>
  <si>
    <t>B0CF1Q1BCQ</t>
  </si>
  <si>
    <t>Y3102-GY+Y3103</t>
  </si>
  <si>
    <t>高A三防机器人iPhone 15 6.1 带背夹黑+灰</t>
  </si>
  <si>
    <t>B0CF1RT8FV</t>
  </si>
  <si>
    <t>Y3102-NB+Y3103</t>
  </si>
  <si>
    <t>高A三防机器人iPhone 15 6.1 带背夹 蓝色</t>
  </si>
  <si>
    <t>B0CF1RH614</t>
  </si>
  <si>
    <t>Y3104-BG+Y3105</t>
  </si>
  <si>
    <t>高A三防机器人iPhone 15 pro 带背夹黑+青绿</t>
  </si>
  <si>
    <t>B0CF1RRYNR</t>
  </si>
  <si>
    <t>Y3104-BL+Y3105</t>
  </si>
  <si>
    <t>高A三防机器人iPhone 15 pro 带背夹 黑色</t>
  </si>
  <si>
    <t>B0CF1Q7BQF</t>
  </si>
  <si>
    <t>Y3104-GN+Y3105</t>
  </si>
  <si>
    <t>高A三防机器人iPhone 15 pro 带背夹 灰+蓝</t>
  </si>
  <si>
    <t>B0CF1NTH13</t>
  </si>
  <si>
    <t>Y3104-GY+Y3105</t>
  </si>
  <si>
    <t>高A三防机器人iPhone 15 pro 带背夹黑+灰</t>
  </si>
  <si>
    <t>B0CF1SC16L</t>
  </si>
  <si>
    <t>Y3104-NB+Y3105</t>
  </si>
  <si>
    <t>高A三防机器人iPhone 15 pro 带背夹 蓝色</t>
  </si>
  <si>
    <t>B0CF1TR544</t>
  </si>
  <si>
    <t>Y3106-BG+Y3107</t>
  </si>
  <si>
    <t>高A三防机器人iPhone 15 plus 带背夹黑+青绿</t>
  </si>
  <si>
    <t>B0CF1TRFC4</t>
  </si>
  <si>
    <t>Y3106-BL+Y3107</t>
  </si>
  <si>
    <t>高A三防机器人iPhone 15 plus 带背夹 黑色</t>
  </si>
  <si>
    <t>B0CF1RXKWZ</t>
  </si>
  <si>
    <t>Y3106-GN+Y3107</t>
  </si>
  <si>
    <t>高A三防机器人iPhone 15 olus 带背夹 灰+蓝</t>
  </si>
  <si>
    <t>B0CF1PRCVT</t>
  </si>
  <si>
    <t>Y3106-GY+Y3107</t>
  </si>
  <si>
    <t>高A三防机器人iPhone 15 plus带背夹黑+灰</t>
  </si>
  <si>
    <t>B0CF1QTDNF</t>
  </si>
  <si>
    <t>Y3106-NB+Y3107</t>
  </si>
  <si>
    <t>高A三防机器人iPhone 15 plus 带背夹 蓝色</t>
  </si>
  <si>
    <t>B0CF1MGFCV</t>
  </si>
  <si>
    <t>Y3108-BG+Y3109</t>
  </si>
  <si>
    <t>高A三防机器人iPhone 15 pro  max 带背夹黑+青绿</t>
  </si>
  <si>
    <t>B0CF1QV5PP</t>
  </si>
  <si>
    <t>Y3108-BL+Y3109</t>
  </si>
  <si>
    <t>高A三防机器人iPhone 15 pro max 带背夹 黑色</t>
  </si>
  <si>
    <t>B0CF1TJQ3P</t>
  </si>
  <si>
    <t>Y3108-GN+Y3109</t>
  </si>
  <si>
    <t>高A三防机器人iPhone 15 pro max  带背夹 灰+蓝</t>
  </si>
  <si>
    <t>B0CF1T979Y</t>
  </si>
  <si>
    <t>Y3108-GY+Y3109</t>
  </si>
  <si>
    <t>高A三防机器人iPhone 15 pro max 带背夹黑+灰</t>
  </si>
  <si>
    <t>B0CF1T4QXV</t>
  </si>
  <si>
    <t>Y3108-NB+Y3109</t>
  </si>
  <si>
    <t>高A三防机器人iPhone 15 pro max 带背夹 蓝色</t>
  </si>
  <si>
    <t>B0CF1PHY2H</t>
  </si>
  <si>
    <t>Y3089-BL+Y3090+Y3091</t>
  </si>
  <si>
    <t>Y3089-OR+Y3090+Y3091</t>
  </si>
  <si>
    <t>Y3110-BL</t>
  </si>
  <si>
    <t>高A三防机器人Google 8 带背夹 黑色</t>
  </si>
  <si>
    <t>B0CH9X3J1D</t>
  </si>
  <si>
    <t>Y3110-GN</t>
  </si>
  <si>
    <t>高A三防机器人Google 8带背夹 灰+蓝</t>
  </si>
  <si>
    <t>B0CH9TDSB2</t>
  </si>
  <si>
    <t>Y3110-GR</t>
  </si>
  <si>
    <t>高A三防机器人Google 8 带背夹青绿+青绿</t>
  </si>
  <si>
    <t>B0CH9TXMJ8</t>
  </si>
  <si>
    <t>Y3110-NB</t>
  </si>
  <si>
    <t>高A三防机器人Google 8带背夹 蓝色</t>
  </si>
  <si>
    <t>B0CH9XH5Z3</t>
  </si>
  <si>
    <t>Y3111-BL</t>
  </si>
  <si>
    <t>高A三防机器人Google 8 pro 带背夹 黑色</t>
  </si>
  <si>
    <t>B0CH9V5XYG</t>
  </si>
  <si>
    <t>Y3111-GN</t>
  </si>
  <si>
    <t>高A三防机器人Google 8 pro带背夹 灰+蓝</t>
  </si>
  <si>
    <t>B0CH9SMSZY</t>
  </si>
  <si>
    <t>Y3111-GR</t>
  </si>
  <si>
    <t>高A三防机器人Google 8 pro带背夹青绿+青绿</t>
  </si>
  <si>
    <t>B0CH9VTT4D</t>
  </si>
  <si>
    <t>Y3111-NB</t>
  </si>
  <si>
    <t>高A三防机器人Google 8 pro带背夹 蓝色</t>
  </si>
  <si>
    <t>B0CH9VBDY9</t>
  </si>
  <si>
    <t>Y3095-BL</t>
  </si>
  <si>
    <t>Y3096-BL+Y3097+Y3098-1</t>
  </si>
  <si>
    <t>B0CJC14KVV</t>
  </si>
  <si>
    <t>销售SKU</t>
  </si>
  <si>
    <t>Y3006-TG+Y3008</t>
  </si>
  <si>
    <t>E03106-OR+E03109+E03129</t>
  </si>
  <si>
    <t>E03106-BL+E03109+E03129</t>
  </si>
  <si>
    <t>E03106-DB+E03109+E03129</t>
  </si>
  <si>
    <t>7天广告大于$3但无销售额</t>
  </si>
  <si>
    <t>Y3031-BL+Y3032</t>
  </si>
  <si>
    <t>Y03450-OR+Y03477</t>
  </si>
  <si>
    <t>E03386-BL+E03268</t>
  </si>
  <si>
    <t>E03386-NB+E03268</t>
  </si>
  <si>
    <t>E03386-OR+E03268</t>
  </si>
  <si>
    <t>Y03479-BL+E02804</t>
  </si>
  <si>
    <t>Y03480-OR+E02805</t>
  </si>
  <si>
    <t>Y03480-NG+E02805</t>
  </si>
  <si>
    <t>Y03448-TG+Y03510</t>
  </si>
  <si>
    <t>Y03450-BL+Y03477</t>
  </si>
  <si>
    <t>Y3041-PI</t>
  </si>
  <si>
    <t>Y03450-NG+Y03477</t>
  </si>
  <si>
    <t>Y3001-NB</t>
  </si>
  <si>
    <t>Y3045-GL</t>
  </si>
  <si>
    <t>Y3045-GR</t>
  </si>
  <si>
    <t>Y3044-BL</t>
  </si>
  <si>
    <t>Y3044-TS</t>
  </si>
  <si>
    <t>Y3039-BL</t>
  </si>
  <si>
    <t>Y3045-NB</t>
  </si>
  <si>
    <t>Y3052-BL+Y3053</t>
  </si>
  <si>
    <t>Y03479-BL+E02804-01</t>
  </si>
  <si>
    <t>Y4011-BL+Y4014+Y4017</t>
  </si>
  <si>
    <t>三星机器人二代A13 5G</t>
  </si>
  <si>
    <t>B09Z2D8WZH</t>
  </si>
  <si>
    <t>Y4011-GW+Y4014+Y4017</t>
  </si>
  <si>
    <t>B09Z2G8SHP</t>
  </si>
  <si>
    <t>Y4011-OR+Y4014+Y4017</t>
  </si>
  <si>
    <t>B09Z2LPGJ6</t>
  </si>
  <si>
    <t>Y4012-BL+Y4015+Y4018</t>
  </si>
  <si>
    <t>三星机器人二代A53 5G</t>
  </si>
  <si>
    <t>B09Z2L3S7V</t>
  </si>
  <si>
    <t>Y4012-GW+Y4015+Y4018</t>
  </si>
  <si>
    <t>B09Z2LPGRC</t>
  </si>
  <si>
    <t>Y4012-OR+Y4015+Y4018</t>
  </si>
  <si>
    <t>B09Z2HZKFL</t>
  </si>
  <si>
    <t>Y4011-DB+Y4014+Y4017</t>
  </si>
  <si>
    <t>B09Z2MPF53</t>
  </si>
  <si>
    <t>Y4011-PB+Y4014+Y4017</t>
  </si>
  <si>
    <t>B09Z2PY3PX</t>
  </si>
  <si>
    <t>Y4012-DB+Y4015+Y4018</t>
  </si>
  <si>
    <t>B09Z2LXWHV</t>
  </si>
  <si>
    <t>Y4012-PB+Y4015+Y4018</t>
  </si>
  <si>
    <t>B09Z2LQ3PL</t>
  </si>
  <si>
    <t>Y4013-BL+Y4016+Y4019</t>
  </si>
  <si>
    <t>三星机器人二代A03S</t>
  </si>
  <si>
    <t>B09Z2NG737</t>
  </si>
  <si>
    <t>Y4013-DB+Y4016+Y4019</t>
  </si>
  <si>
    <t>B09Z2L5JZG</t>
  </si>
  <si>
    <t>Y4013-GW+Y4016+Y4019</t>
  </si>
  <si>
    <t>B09Z2L1VX8</t>
  </si>
  <si>
    <t>Y4013-OR+Y4016+Y4019</t>
  </si>
  <si>
    <t>B09Z2LRTBX</t>
  </si>
  <si>
    <t>Y4013-PB+Y4016+Y4019</t>
  </si>
  <si>
    <t>B09Z2KZ6GT</t>
  </si>
  <si>
    <t>Y4020-BL+Y4024+Y4028</t>
  </si>
  <si>
    <t>机器人二代iPhone 14+2片软膜+背夹</t>
  </si>
  <si>
    <t>B0B6R6H5TH</t>
  </si>
  <si>
    <t>Y4020-DB+Y4024+Y4028</t>
  </si>
  <si>
    <t>B0B6R7CJFJ</t>
  </si>
  <si>
    <t>Y4020-GW+Y4024+Y4028</t>
  </si>
  <si>
    <t>B0B6R6Y3YS</t>
  </si>
  <si>
    <t>Y4020-OR+Y4024+Y4028</t>
  </si>
  <si>
    <t>B0B6RD2YH5</t>
  </si>
  <si>
    <t>Y4020-WB+Y4024+Y4028</t>
  </si>
  <si>
    <t>B0B6R86DZG</t>
  </si>
  <si>
    <t>Y4021-BL+Y4025+Y4029</t>
  </si>
  <si>
    <t>机器人二代iphone 14 pro+2片软膜+背夹</t>
  </si>
  <si>
    <t>B0B6R9YLJS</t>
  </si>
  <si>
    <t>Y4021-DB+Y4025+Y4029</t>
  </si>
  <si>
    <t>B0B6R81F8S</t>
  </si>
  <si>
    <t>Y4021-GW+Y4025+Y4029</t>
  </si>
  <si>
    <t>B0B6R4S3B9</t>
  </si>
  <si>
    <t>Y4021-OR+Y4025+Y4029</t>
  </si>
  <si>
    <t>B0B6RC5KKN</t>
  </si>
  <si>
    <t>Y4021-WB+Y4025+Y4029</t>
  </si>
  <si>
    <t>B0B6R9LYG2</t>
  </si>
  <si>
    <t>Y4022-BL+Y4026+Y4030</t>
  </si>
  <si>
    <t>机器人二代iPhone  14 plus 6.7+2片软膜+背夹</t>
  </si>
  <si>
    <t>B0B6R7RFJ9</t>
  </si>
  <si>
    <t>Y4022-DB+Y4026+Y4030</t>
  </si>
  <si>
    <t>B0B6R6J4RR</t>
  </si>
  <si>
    <t>Y4022-GW+Y4026+Y4030</t>
  </si>
  <si>
    <t>B0B6R8X9QQ</t>
  </si>
  <si>
    <t>Y4022-OR+Y4026+Y4030</t>
  </si>
  <si>
    <t>B0B6R8HY5B</t>
  </si>
  <si>
    <t>Y4022-WB+Y4026+Y4030</t>
  </si>
  <si>
    <t>B0B6R7PB9B</t>
  </si>
  <si>
    <t>Y4023-DB+Y4027+Y4031</t>
  </si>
  <si>
    <t>机器人二代iphone 14 pro max +2片软膜+背夹</t>
  </si>
  <si>
    <t>B0B6R9FJJ1</t>
  </si>
  <si>
    <t>Y4023-GW+Y4027+Y4031</t>
  </si>
  <si>
    <t>B0B6R8BYZF</t>
  </si>
  <si>
    <t>Y4023-OR+Y4027+Y4031</t>
  </si>
  <si>
    <t>B0B6R9KFC2</t>
  </si>
  <si>
    <t>Y4023-WB+Y4027+Y4031</t>
  </si>
  <si>
    <t>B0B6RDV9LL</t>
  </si>
  <si>
    <t>Y4039-BL+Y4042+Y4045</t>
  </si>
  <si>
    <t>机器人二代pixel 6a 2片软膜+背夹</t>
  </si>
  <si>
    <t>B0B8GGVJ33</t>
  </si>
  <si>
    <t>Y4039-DB+Y4042+Y4045</t>
  </si>
  <si>
    <t>B0B8G6TLSP</t>
  </si>
  <si>
    <t>Y4039-OR+Y4042+Y4045</t>
  </si>
  <si>
    <t>B0B8G94B8Y</t>
  </si>
  <si>
    <t>Y4039-WB+Y4042+Y4045</t>
  </si>
  <si>
    <t>B0B8GS9R8G</t>
  </si>
  <si>
    <t>Y4032-DB</t>
  </si>
  <si>
    <t>腕带Z Flip 4</t>
  </si>
  <si>
    <t>B0B91ZFNTG</t>
  </si>
  <si>
    <t>Y4033-DG</t>
  </si>
  <si>
    <t>指环Z Flip 4</t>
  </si>
  <si>
    <t>B0B92WBXRV</t>
  </si>
  <si>
    <t>Y4033-LP</t>
  </si>
  <si>
    <t>B0B92R227C</t>
  </si>
  <si>
    <t>Y4033-OR</t>
  </si>
  <si>
    <t>B0B922FH6G</t>
  </si>
  <si>
    <t>Y4035-GR</t>
  </si>
  <si>
    <t>铰链荔枝纹 Samsung Galaxy Z Flip 4</t>
  </si>
  <si>
    <t>B0B99DJ5HD</t>
  </si>
  <si>
    <t>Y4035-PU</t>
  </si>
  <si>
    <t>B0B99KZD25</t>
  </si>
  <si>
    <t>Y4035-WHB</t>
  </si>
  <si>
    <t>B0B992KXS5</t>
  </si>
  <si>
    <t>Y4037-BL</t>
  </si>
  <si>
    <t>荔枝纹插笔支架Z Flod 4</t>
  </si>
  <si>
    <t>B0B98WSMJL</t>
  </si>
  <si>
    <t>Y4037-GO</t>
  </si>
  <si>
    <t>B0B98WSY9Z</t>
  </si>
  <si>
    <t>Y4037-GR</t>
  </si>
  <si>
    <t>B0B993ZVJ8</t>
  </si>
  <si>
    <t>Y4036-BL</t>
  </si>
  <si>
    <t>横纹机器人Z Flip 4</t>
  </si>
  <si>
    <t>B0B9J5R1DB</t>
  </si>
  <si>
    <t>Y4036-DB</t>
  </si>
  <si>
    <t>B0B9J8724K</t>
  </si>
  <si>
    <t>Y4036-OR</t>
  </si>
  <si>
    <t>B0B9J72ZT4</t>
  </si>
  <si>
    <t>Y4020-WI+Y4024+Y4028</t>
  </si>
  <si>
    <t>B0B9MZT1CV</t>
  </si>
  <si>
    <t>Y4021-WI+Y4025+Y4029</t>
  </si>
  <si>
    <t>机器人二代iPhone 14 Pro+2片软膜+背夹</t>
  </si>
  <si>
    <t>B0B9MZRDVL</t>
  </si>
  <si>
    <t>Y4022-WI+Y4026+Y4030</t>
  </si>
  <si>
    <t>B0B9MY7586</t>
  </si>
  <si>
    <t>Y4023-WI+Y4027+Y4031</t>
  </si>
  <si>
    <t>机器人二代iPhone 14 Pro Max+2片软膜+背夹</t>
  </si>
  <si>
    <t>B0B9MXFZKN</t>
  </si>
  <si>
    <t>Y4038-DB</t>
  </si>
  <si>
    <t>横纹机器人Z Flod 4</t>
  </si>
  <si>
    <t>B0BB1QB7MF</t>
  </si>
  <si>
    <t>美珠</t>
  </si>
  <si>
    <t>Y4038-OR</t>
  </si>
  <si>
    <t>B0BB1PYZG3</t>
  </si>
  <si>
    <t>Y4040-BL+Y4043</t>
  </si>
  <si>
    <t>机器人二代pixel 7 手机壳+背夹</t>
  </si>
  <si>
    <t>B0BFF95ZDP</t>
  </si>
  <si>
    <t>Y4040-DB+Y4043</t>
  </si>
  <si>
    <t>B0BFF5ZPKD</t>
  </si>
  <si>
    <t>Y4040-GW+Y4043</t>
  </si>
  <si>
    <t>谷歌机器人二代Pixel 7 手机壳+背夹</t>
  </si>
  <si>
    <t>B0BFFB9WX3</t>
  </si>
  <si>
    <t>Y4040-OR+Y4043</t>
  </si>
  <si>
    <t>B0BFF6MDVZ</t>
  </si>
  <si>
    <t>Y4040-WB+Y4043</t>
  </si>
  <si>
    <t>B0BFFD67C9</t>
  </si>
  <si>
    <t>Y4040-WI+Y4043</t>
  </si>
  <si>
    <t>B0BFF9KBX4</t>
  </si>
  <si>
    <t>Y4041-BL+Y4044</t>
  </si>
  <si>
    <t>机器人二代pixel 7 pro 手机壳+背夹</t>
  </si>
  <si>
    <t>B0BFF91P8K</t>
  </si>
  <si>
    <t>Y4041-DB+Y4044</t>
  </si>
  <si>
    <t>B0BFFC3T74</t>
  </si>
  <si>
    <t>Y4041-GW+Y4044</t>
  </si>
  <si>
    <t>谷歌机器人二代Pixel 7Pro 手机壳+背夹</t>
  </si>
  <si>
    <t>B0BFF86QTS</t>
  </si>
  <si>
    <t>Y4041-OR+Y4044</t>
  </si>
  <si>
    <t>B0BFF7BN4T</t>
  </si>
  <si>
    <t>Y4041-WI+Y4044</t>
  </si>
  <si>
    <t>B0BFF9LX79</t>
  </si>
  <si>
    <t>Y4041-WB+Y4044</t>
  </si>
  <si>
    <t>B0BFF794MN</t>
  </si>
  <si>
    <t>Y4050-BL+Y4051+Y4052</t>
  </si>
  <si>
    <t>机器人二代A23 5G 背夹+软膜</t>
  </si>
  <si>
    <t>B0BFVK91DN</t>
  </si>
  <si>
    <t>Y4050-DB+Y4051+Y4052</t>
  </si>
  <si>
    <t>机器人二代 A23 5G 背夹+软膜</t>
  </si>
  <si>
    <t>B0BFVDDTBX</t>
  </si>
  <si>
    <t>Y4050-GW+Y4051+Y4052</t>
  </si>
  <si>
    <t>B0BFVW3J36</t>
  </si>
  <si>
    <t>Y4050-OR+Y4051+Y4052</t>
  </si>
  <si>
    <t>B0BFVSRCY5</t>
  </si>
  <si>
    <t>Y4050-WI+Y4051+Y4052</t>
  </si>
  <si>
    <t>B0BFWD368P</t>
  </si>
  <si>
    <t>Y4053-BL+Y4054+Y4049</t>
  </si>
  <si>
    <t>机器人二代Moto Edge 2022 背夹+软膜</t>
  </si>
  <si>
    <t>B0BFVSX9KS</t>
  </si>
  <si>
    <t>Y4053-DB+Y4054+Y4049</t>
  </si>
  <si>
    <t>B0BFVK75L4</t>
  </si>
  <si>
    <t>Y4053-GW+Y4054+Y4049</t>
  </si>
  <si>
    <t>B0BFVHXKJ2</t>
  </si>
  <si>
    <t>Y4053-OR+Y4054+Y4049</t>
  </si>
  <si>
    <t>B0BFW4V3TW</t>
  </si>
  <si>
    <t>Y4053-WI+Y4054+Y4049</t>
  </si>
  <si>
    <t>B0BFVS3BF6</t>
  </si>
  <si>
    <t>Y4063-BL+Y4064+Y4065</t>
  </si>
  <si>
    <t>机器人二代A14+2片软膜+背夹</t>
  </si>
  <si>
    <t>B0BKSRQVM2</t>
  </si>
  <si>
    <t>Y4063-DB+Y4064+Y4065</t>
  </si>
  <si>
    <t>B0BKSVKV5D</t>
  </si>
  <si>
    <t>Y4063-GW+Y4064+Y4065</t>
  </si>
  <si>
    <t>B0BKSSZ1RL</t>
  </si>
  <si>
    <t>Y4063-OR+Y4064+Y4065</t>
  </si>
  <si>
    <t>B0BKSTRC1H</t>
  </si>
  <si>
    <t>Y4063-WI+Y4064+Y4065</t>
  </si>
  <si>
    <t>B0BKSV82S6</t>
  </si>
  <si>
    <t>Y4023-BL+Y4027+Y4031*1</t>
  </si>
  <si>
    <t>B0BLGHSPN7</t>
  </si>
  <si>
    <t>Y4055-BL+Y4056+Y4057</t>
  </si>
  <si>
    <t>机器人二代S23 +2片软膜+背夹</t>
  </si>
  <si>
    <t>B0BR5K255P</t>
  </si>
  <si>
    <t>Y4055-DB+Y4056+Y4057</t>
  </si>
  <si>
    <t>B0BR5GYQ9M</t>
  </si>
  <si>
    <t>Y4055-GW+Y4056+Y4057</t>
  </si>
  <si>
    <t>B0BR5GZTZB</t>
  </si>
  <si>
    <t>Y4055-OR+Y4056+Y4057</t>
  </si>
  <si>
    <t>B0BR5H1H36</t>
  </si>
  <si>
    <t>Y4055-WI+Y4056+Y4057</t>
  </si>
  <si>
    <t>B0BR5JLT3B</t>
  </si>
  <si>
    <t>Y4058-BL+Y4059+Y4060</t>
  </si>
  <si>
    <t>机器人二代S23 plus+2片软膜+背夹</t>
  </si>
  <si>
    <t>B0BR5KX742</t>
  </si>
  <si>
    <t>Y4058-DB+Y4059+Y4060</t>
  </si>
  <si>
    <t>B0BR5JYZF1</t>
  </si>
  <si>
    <t>Y4058-GW+Y4059+Y4060</t>
  </si>
  <si>
    <t>B0BR5JYNWN</t>
  </si>
  <si>
    <t>Y4058-OR+Y4059+Y4060</t>
  </si>
  <si>
    <t>B0BR5JFYJ5</t>
  </si>
  <si>
    <t>Y4058-WI+Y4059+Y4060</t>
  </si>
  <si>
    <t>B0BR5JH463</t>
  </si>
  <si>
    <t>Y4061-BL+Y4062</t>
  </si>
  <si>
    <t>机器人二代S23 ULTRA</t>
  </si>
  <si>
    <t>B0BR5K5N5D</t>
  </si>
  <si>
    <t>Y4061-DB+Y4062</t>
  </si>
  <si>
    <t>B0BR5JJSRT</t>
  </si>
  <si>
    <t>Y4061-GW+Y4062</t>
  </si>
  <si>
    <t>B0BR5KSG5G</t>
  </si>
  <si>
    <t>Y4061-OR+Y4062</t>
  </si>
  <si>
    <t>B0BR5K4D94</t>
  </si>
  <si>
    <t>Y4061-WI+Y4062</t>
  </si>
  <si>
    <t>B0BR5JQD7X</t>
  </si>
  <si>
    <t>Y4066-BL+Y4068</t>
  </si>
  <si>
    <t>机器人二代A54 5G</t>
  </si>
  <si>
    <t>B0BRX7TLDB</t>
  </si>
  <si>
    <t>Y4066-DB+Y4068</t>
  </si>
  <si>
    <t>B0BRX8SS1F</t>
  </si>
  <si>
    <t>Y4066-GW+Y4068</t>
  </si>
  <si>
    <t>B0BRX92691</t>
  </si>
  <si>
    <t>Y4066-OR+Y4068</t>
  </si>
  <si>
    <t>B0BRX8H8BT</t>
  </si>
  <si>
    <t>Y4066-WI+Y4068</t>
  </si>
  <si>
    <t>B0BRX8HDRX</t>
  </si>
  <si>
    <t>Y4069-BL+Y4070+Y4071</t>
  </si>
  <si>
    <t>机器人二代Moto G Power 5G 2023</t>
  </si>
  <si>
    <t>B0C3B7GM6N</t>
  </si>
  <si>
    <t>Y4069-DB+Y4070+Y4071</t>
  </si>
  <si>
    <t>B0C3B7W6WP</t>
  </si>
  <si>
    <t>Y4069-GW+Y4070+Y4071</t>
  </si>
  <si>
    <t>B0C3B9BYRT</t>
  </si>
  <si>
    <t>Y4069-OR+Y4070+Y4071</t>
  </si>
  <si>
    <t>B0C3B9J4XR</t>
  </si>
  <si>
    <t>Y4069-WI+Y4070+Y4071</t>
  </si>
  <si>
    <t>B0C3B993XV</t>
  </si>
  <si>
    <t>Y4072-BL+Y4073+Y4074</t>
  </si>
  <si>
    <t>机器人二代A24 4G</t>
  </si>
  <si>
    <t>B0C3QDLGGH</t>
  </si>
  <si>
    <t>Y4072-DB+Y4073+Y4074</t>
  </si>
  <si>
    <t>B0C3QCDN39</t>
  </si>
  <si>
    <t>Y4072-WI+Y4073+Y4074</t>
  </si>
  <si>
    <t>B0C3QCDQ55</t>
  </si>
  <si>
    <t>Y4072-GW+Y4073+Y4074</t>
  </si>
  <si>
    <t>B0C3QCX19G</t>
  </si>
  <si>
    <t>Y4072-OR+Y4073+Y4074</t>
  </si>
  <si>
    <t>B0C3QD6SF2</t>
  </si>
  <si>
    <t>Y4038-BL</t>
  </si>
  <si>
    <t>B0BB1TWPZZ</t>
  </si>
  <si>
    <t>Y4084-BL+Y4085+Y4086</t>
  </si>
  <si>
    <t>机器人二代iphone 15 pro max</t>
  </si>
  <si>
    <t>B0CC5VY1DQ</t>
  </si>
  <si>
    <t>Y4084-DB+Y4085+Y4086</t>
  </si>
  <si>
    <t>B0CC5RG4WJ</t>
  </si>
  <si>
    <t>Y4084-GW+Y4085+Y4086</t>
  </si>
  <si>
    <t>B0CC5S63XS</t>
  </si>
  <si>
    <t>Y4084-OR+Y4085+Y4086</t>
  </si>
  <si>
    <t>B0CC5QYDDY</t>
  </si>
  <si>
    <t>Y4084-WI+Y4085+Y4086</t>
  </si>
  <si>
    <t>机器人二代iPhone 15 Pro max</t>
  </si>
  <si>
    <t>B0CC5RY9QL</t>
  </si>
  <si>
    <t>Y4081-BL+Y4082+Y4083</t>
  </si>
  <si>
    <t>机器人二代iPhone 15 plus</t>
  </si>
  <si>
    <t>B0CC5WH63Q</t>
  </si>
  <si>
    <t>Y4081-DB+Y4082+Y4083</t>
  </si>
  <si>
    <t>机器人二代iphone 15 plus</t>
  </si>
  <si>
    <t>B0CC5X79ZC</t>
  </si>
  <si>
    <t>Y4081-GW+Y4082+Y4083</t>
  </si>
  <si>
    <t>B0CC5XWD9S</t>
  </si>
  <si>
    <t>Y4081-OR+Y4082+Y4083</t>
  </si>
  <si>
    <t>B0CC5ZY6M2</t>
  </si>
  <si>
    <t>Y4081-WI+Y4082+Y4083</t>
  </si>
  <si>
    <t>B0CC5YS9SL</t>
  </si>
  <si>
    <t>Y4078-BL+Y4079+Y4080</t>
  </si>
  <si>
    <t>机器人二代iphone 15 pro</t>
  </si>
  <si>
    <t>B0CC96Y9PQ</t>
  </si>
  <si>
    <t>Y4078-DB+Y4079+Y4080</t>
  </si>
  <si>
    <t>B0CC95N9XK</t>
  </si>
  <si>
    <t>Y4078-GW+Y4079+Y4080</t>
  </si>
  <si>
    <t>B0CC978F87</t>
  </si>
  <si>
    <t>Y4078-OR+Y4079+Y4080</t>
  </si>
  <si>
    <t>B0CC971G1J</t>
  </si>
  <si>
    <t>Y4078-WI+Y4079+Y4080</t>
  </si>
  <si>
    <t>机器人二代iPhone 15 Pro</t>
  </si>
  <si>
    <t>B0CC98YM1W</t>
  </si>
  <si>
    <t>Y4075-BL+Y4076+Y4077</t>
  </si>
  <si>
    <t>机器人二代iPhone 15</t>
  </si>
  <si>
    <t>B0CCDF5CL8</t>
  </si>
  <si>
    <t>Y4075-DB+Y4076+Y4077</t>
  </si>
  <si>
    <t>机器人二代iphone 15</t>
  </si>
  <si>
    <t>B0CCDJNY94</t>
  </si>
  <si>
    <t>Y4075-GW+Y4076+Y4077</t>
  </si>
  <si>
    <t>B0CCDH39HX</t>
  </si>
  <si>
    <t>Y4075-OR+Y4076+Y4077</t>
  </si>
  <si>
    <t>B0CCDGR1V2</t>
  </si>
  <si>
    <t>Y4075-WI+Y4076+Y4077</t>
  </si>
  <si>
    <t>B0CCDGLZNL</t>
  </si>
  <si>
    <t>Y4087-BL+Y4088</t>
  </si>
  <si>
    <t>机器人二代pixel  8 黑色</t>
  </si>
  <si>
    <t>B0CGRB58GR</t>
  </si>
  <si>
    <t>Y4087-DB+Y4088</t>
  </si>
  <si>
    <t>机器人二代pixel  8 深蓝+蓝</t>
  </si>
  <si>
    <t>B0CGR976F8</t>
  </si>
  <si>
    <t>Y4087-GW+Y4088</t>
  </si>
  <si>
    <t>机器人二代pixel  8 果绿+白</t>
  </si>
  <si>
    <t>B0CGR9X5TK</t>
  </si>
  <si>
    <t>Y4087-OR+Y4088</t>
  </si>
  <si>
    <t>机器人二代pixel  8 黑+橙</t>
  </si>
  <si>
    <t>B0CGR94PYX</t>
  </si>
  <si>
    <t>Y4087-WI+Y4088</t>
  </si>
  <si>
    <t>机器人二代pixel  8 酒红+粉</t>
  </si>
  <si>
    <t>B0CGR926HQ</t>
  </si>
  <si>
    <t>Y4089-BL+Y4090</t>
  </si>
  <si>
    <t>机器人二代pixel  8 PRO 黑色</t>
  </si>
  <si>
    <t>B0CGR93NS4</t>
  </si>
  <si>
    <t>Y4089-DB+Y4090</t>
  </si>
  <si>
    <t>机器人二代pixel  8 PRO 深蓝+蓝</t>
  </si>
  <si>
    <t>B0CGRCZK32</t>
  </si>
  <si>
    <t>Y4089-GW+Y4090</t>
  </si>
  <si>
    <t>机器人二代pixel  8 PRO 果绿+白</t>
  </si>
  <si>
    <t>B0CGRCXD1G</t>
  </si>
  <si>
    <t>Y4089-OR+Y4090</t>
  </si>
  <si>
    <t>机器人二代pixel  8 PRO 黑+橙</t>
  </si>
  <si>
    <t>B0CGR8YKZG</t>
  </si>
  <si>
    <t>Y4089-WI+Y4090</t>
  </si>
  <si>
    <t>机器人二代pixel  8 PRO 酒红+粉</t>
  </si>
  <si>
    <t>B0CGRBWZJ8</t>
  </si>
  <si>
    <t>seller-sku</t>
  </si>
  <si>
    <t>Y03775-NA</t>
  </si>
  <si>
    <t>Y4023-BL+Y4027+Y4031</t>
  </si>
  <si>
    <t>Y4033-FR</t>
  </si>
  <si>
    <t>Y4032-WH</t>
  </si>
  <si>
    <t>Y03809-SB5</t>
  </si>
  <si>
    <t>IMD花纹注粉透明系列手机壳iPhone 13 pro max  夏花纹</t>
  </si>
  <si>
    <t>B09QCMTP26</t>
  </si>
  <si>
    <t>Y5014-BU</t>
  </si>
  <si>
    <t>启航二合一Samsung S22  深蓝色+黑色</t>
  </si>
  <si>
    <t>B09WYG362T</t>
  </si>
  <si>
    <t>Y5014-PI</t>
  </si>
  <si>
    <t>启航二合一Samsung S22  粉色+粉色</t>
  </si>
  <si>
    <t>B09WYGGY28</t>
  </si>
  <si>
    <t>Y5015-PI</t>
  </si>
  <si>
    <t>启航二合一Samsung S22 Plus 粉色+粉色</t>
  </si>
  <si>
    <t>B09X32YFHD</t>
  </si>
  <si>
    <t>Y5016-BU</t>
  </si>
  <si>
    <t>启航二合一Samsung S22 Ultra  深蓝色+黑色</t>
  </si>
  <si>
    <t>B09XDLW83G</t>
  </si>
  <si>
    <t>Y5019-BL</t>
  </si>
  <si>
    <t>启航二合一Samsung A13 5G   黑色+黑色</t>
  </si>
  <si>
    <t>B09XMJ247T</t>
  </si>
  <si>
    <t>Y5019-GR</t>
  </si>
  <si>
    <t>启航二合一Samsung A13 5G  浅绿色+浅绿色</t>
  </si>
  <si>
    <t>B09XMJ3P53</t>
  </si>
  <si>
    <t>Y5021-BL</t>
  </si>
  <si>
    <t>启航二合一 G Stylus 2022 5G  黑色+黑色</t>
  </si>
  <si>
    <t>B09ZL64DHD</t>
  </si>
  <si>
    <t>Y5021-BU</t>
  </si>
  <si>
    <t>启航二合一 G Stylus 2022 5G  深蓝色+黑色</t>
  </si>
  <si>
    <t>B09ZL6BN4P</t>
  </si>
  <si>
    <t>Y5013-PU</t>
  </si>
  <si>
    <t>启航二合一Samsung A53 5G  紫色+黑色</t>
  </si>
  <si>
    <t>B0B18899W7</t>
  </si>
  <si>
    <t>Y5023-DB</t>
  </si>
  <si>
    <t>B0B1J1P674</t>
  </si>
  <si>
    <t>Y5023-GW</t>
  </si>
  <si>
    <t>B0B1HZ5N1L</t>
  </si>
  <si>
    <t>Y5024-BL</t>
  </si>
  <si>
    <t>B0B1LLHT2Z</t>
  </si>
  <si>
    <t>Y5024-DB</t>
  </si>
  <si>
    <t>B0B1LPQ8W4</t>
  </si>
  <si>
    <t>Y5024-GW</t>
  </si>
  <si>
    <t>B0B1LHMT7H</t>
  </si>
  <si>
    <t>Y5030-WI</t>
  </si>
  <si>
    <t>谷歌机器人二代Pixel 6A</t>
  </si>
  <si>
    <t>B0B24M8L3G</t>
  </si>
  <si>
    <t>Y5033-BL</t>
  </si>
  <si>
    <t>启航二合一系列手机壳Pixel 6A</t>
  </si>
  <si>
    <t>B0B24WYNQN</t>
  </si>
  <si>
    <t>Y5033-BU</t>
  </si>
  <si>
    <t>B0B24YP3K1</t>
  </si>
  <si>
    <t>Y5043-GR</t>
  </si>
  <si>
    <t>启航二合一iPhone 14 Pro+2片钢化膜+1片镜头膜</t>
  </si>
  <si>
    <t>B0B6NRK62Y</t>
  </si>
  <si>
    <t>Y5043-PI</t>
  </si>
  <si>
    <t>B0B6P34QF9</t>
  </si>
  <si>
    <t>Y5043-PU</t>
  </si>
  <si>
    <t>B0B6PDWVDY</t>
  </si>
  <si>
    <t>Y5044-PI</t>
  </si>
  <si>
    <t>启航二合一iPhone 14 Pro Max+2片钢化膜+1片镜头膜</t>
  </si>
  <si>
    <t>B0B6W2QDZB</t>
  </si>
  <si>
    <t>Y5044-PU</t>
  </si>
  <si>
    <t>B0B6VTV6KB</t>
  </si>
  <si>
    <t>Y5042-GR5</t>
  </si>
  <si>
    <t>启航二合一iPhone 14+2片钢化膜+1片镜头膜</t>
  </si>
  <si>
    <t>B0B6ZG8MZ9</t>
  </si>
  <si>
    <t>Y5042-PU5</t>
  </si>
  <si>
    <t>B0B6Z5DPBB</t>
  </si>
  <si>
    <t>Y5045-OR</t>
  </si>
  <si>
    <t>B0B74SYGFJ</t>
  </si>
  <si>
    <t>Y5046-DB</t>
  </si>
  <si>
    <t>B0B74SWSTL</t>
  </si>
  <si>
    <t>Y5060-BL</t>
  </si>
  <si>
    <t>铰链荔枝纹支架 Samsung Galaxy Z Flip 4</t>
  </si>
  <si>
    <t>B0B84S87WN</t>
  </si>
  <si>
    <t>Y5058-GR</t>
  </si>
  <si>
    <t>荔枝纹插卡 Samsung Galaxy Z Flip 4</t>
  </si>
  <si>
    <t>B0B8CNJS54</t>
  </si>
  <si>
    <t>Y5059-BL</t>
  </si>
  <si>
    <t>荔枝纹插卡 Samsung Galaxy Z Fold 4</t>
  </si>
  <si>
    <t>B0B8H3PVXZ</t>
  </si>
  <si>
    <t>Y5059-GR</t>
  </si>
  <si>
    <t>B0B8H43R65</t>
  </si>
  <si>
    <t>Y5058-DB</t>
  </si>
  <si>
    <t>Y5060-GR</t>
  </si>
  <si>
    <t>Y5060-PU</t>
  </si>
  <si>
    <t>Y5058-BL</t>
  </si>
  <si>
    <t>Y5063-RE</t>
  </si>
  <si>
    <t>Glock铝合金握把底座配件- G19 Gen3/4</t>
  </si>
  <si>
    <t>B0C998G14J</t>
  </si>
  <si>
    <t>Y5064-BL</t>
  </si>
  <si>
    <t>Glock铝合金握把底座配件- G17 Gen3/4</t>
  </si>
  <si>
    <t>B0C99FR79F</t>
  </si>
  <si>
    <t>Y5064-RE</t>
  </si>
  <si>
    <t>B0C99B7Q61</t>
  </si>
  <si>
    <t>Y5065-BL</t>
  </si>
  <si>
    <t>Glock铝合金握把底座配件- G19 Gen5</t>
  </si>
  <si>
    <t>B0C99B4LDB</t>
  </si>
  <si>
    <t>Y5065-RE</t>
  </si>
  <si>
    <t>B0C998YYV6</t>
  </si>
  <si>
    <t>Y5066-BL</t>
  </si>
  <si>
    <t>Glock铝合金握把底座配件- G17 Gen5</t>
  </si>
  <si>
    <t>B0C997NNQQ</t>
  </si>
  <si>
    <t>Y5063-BL</t>
  </si>
  <si>
    <t>B0C996DTL5</t>
  </si>
  <si>
    <t>Y5071</t>
  </si>
  <si>
    <t>Glock后盖片 2PC</t>
  </si>
  <si>
    <t>B0C9CPLLVZ</t>
  </si>
  <si>
    <t>Y5071-PU</t>
  </si>
  <si>
    <t>Glock后盖片 2PC 骷髅 / Gen 1-4代</t>
  </si>
  <si>
    <t>B0C9CZZ7RD</t>
  </si>
  <si>
    <t>Y5072-GR</t>
  </si>
  <si>
    <t>激光笔校准器（2个电池+24个头）</t>
  </si>
  <si>
    <t>B0C9D4XZVR</t>
  </si>
  <si>
    <t>Y5072-RE</t>
  </si>
  <si>
    <t>B0C9DCP8H6</t>
  </si>
  <si>
    <t>Y5073</t>
  </si>
  <si>
    <t>战术激光手电 带电池</t>
  </si>
  <si>
    <t>B0C9GRLXK4</t>
  </si>
  <si>
    <t>Y5071-BL</t>
  </si>
  <si>
    <t>Glock后盖片 2PC 空白 / Gen 1-4代</t>
  </si>
  <si>
    <t>B0C9JFKG5T</t>
  </si>
  <si>
    <t>Y5077-GN</t>
  </si>
  <si>
    <t>夜光瞄 红/绿光纤瞄准具 for Taurus  绿光纤</t>
  </si>
  <si>
    <t>B0CD7RMVW9</t>
  </si>
  <si>
    <t>Y5077-RE</t>
  </si>
  <si>
    <t>夜光瞄 红/绿光纤瞄准具 for Taurus  红光纤</t>
  </si>
  <si>
    <t>B0CD7PTHJL</t>
  </si>
  <si>
    <t>Y5078-1-4</t>
  </si>
  <si>
    <t>Glock腰带夹   1-4代</t>
  </si>
  <si>
    <t>B0CDC2HPT5</t>
  </si>
  <si>
    <t>Y5078-5</t>
  </si>
  <si>
    <t>Glock腰带夹 5代</t>
  </si>
  <si>
    <t>B0CDBZVK51</t>
  </si>
  <si>
    <t>Y5079</t>
  </si>
  <si>
    <t>战术绷带收纳盒+止血带 一套</t>
  </si>
  <si>
    <t>B0CFHBXMR8</t>
  </si>
  <si>
    <t>Y5067-1</t>
  </si>
  <si>
    <t>ALG格洛克G17底座</t>
  </si>
  <si>
    <t>B0CFL7V5X8</t>
  </si>
  <si>
    <t>秀青</t>
  </si>
  <si>
    <t>Y5082</t>
  </si>
  <si>
    <t>新款金属机瞄 瞄准器 带扳手</t>
  </si>
  <si>
    <t>B0CFTM6RS6</t>
  </si>
  <si>
    <t>Y5083-BL-ZH</t>
  </si>
  <si>
    <t>户外用止血带剪刀收纳</t>
  </si>
  <si>
    <t>B0CGD4GT7P</t>
  </si>
  <si>
    <t>Y5088</t>
  </si>
  <si>
    <t>战术快拔套扩展支架</t>
  </si>
  <si>
    <t>B0CGJ3G1PY</t>
  </si>
  <si>
    <t>Y5089</t>
  </si>
  <si>
    <t>刀鞘K鞘腰夹 2套</t>
  </si>
  <si>
    <t>B0CGJ4CLMX</t>
  </si>
  <si>
    <t>Y5087-BL-Zh</t>
  </si>
  <si>
    <t>军用战地急救包求生包</t>
  </si>
  <si>
    <t>B0CGLL9WNN</t>
  </si>
  <si>
    <t>Y5075</t>
  </si>
  <si>
    <t>磁性支架 挂壁架</t>
  </si>
  <si>
    <t>B0CH85JSBY</t>
  </si>
  <si>
    <t>Y5090</t>
  </si>
  <si>
    <t>尼龙前后折叠瞄准器</t>
  </si>
  <si>
    <t>B0CJQXR986</t>
  </si>
  <si>
    <t>Y5091-ZH</t>
  </si>
  <si>
    <t xml:space="preserve">CAT急救止血带 </t>
  </si>
  <si>
    <t>B0CJQYFPM1</t>
  </si>
  <si>
    <t>Y5092-1</t>
  </si>
  <si>
    <t>靶板修补贴射击练习贴纸 1卷</t>
  </si>
  <si>
    <t>B0CJX8JT95</t>
  </si>
  <si>
    <t>Y5092-3</t>
  </si>
  <si>
    <t>靶板修补贴射击练习贴纸 3卷</t>
  </si>
  <si>
    <t>B0CJX79SL1</t>
  </si>
  <si>
    <t>Y5093-BL</t>
  </si>
  <si>
    <t>战术背心胸挂 通用胸前手机板载体    黑色</t>
  </si>
  <si>
    <t>B0CK1C7HP3</t>
  </si>
  <si>
    <t>Y5093-MU</t>
  </si>
  <si>
    <t>战术背心胸挂 通用胸前手机板载体  泥色</t>
  </si>
  <si>
    <t>B0CK1DKH6D</t>
  </si>
  <si>
    <t>平均头程运费</t>
  </si>
  <si>
    <t>Y5014-BL</t>
  </si>
  <si>
    <t>Y5014-GR</t>
  </si>
  <si>
    <t>Y5014-PU</t>
  </si>
  <si>
    <t>Y5014-RE</t>
  </si>
  <si>
    <t>Y5015-BL</t>
  </si>
  <si>
    <t>Y5015-PU</t>
  </si>
  <si>
    <t>Y5015-RE</t>
  </si>
  <si>
    <t>Y5016-BL</t>
  </si>
  <si>
    <t>Y5022-BL</t>
  </si>
  <si>
    <t>Y5022-DB</t>
  </si>
  <si>
    <t>Y5016-GR</t>
  </si>
  <si>
    <t>Y5016-PI</t>
  </si>
  <si>
    <t>Y5016-PU</t>
  </si>
  <si>
    <t>Y5016-RE</t>
  </si>
  <si>
    <t>Y5019-BU</t>
  </si>
  <si>
    <t>Y5019-PI</t>
  </si>
  <si>
    <t>Y5019-PU</t>
  </si>
  <si>
    <t>Y5019-RE</t>
  </si>
  <si>
    <t>Y5043-RE</t>
  </si>
  <si>
    <t>Y5044-BU</t>
  </si>
  <si>
    <t>Y5021-GR</t>
  </si>
  <si>
    <t>Y5021-PI</t>
  </si>
  <si>
    <t>Y5042-BU5</t>
  </si>
  <si>
    <t>Y5021-PU</t>
  </si>
  <si>
    <t>Y5021-RE</t>
  </si>
  <si>
    <t>Y5047-DB</t>
  </si>
  <si>
    <t>Y5023-WI</t>
  </si>
  <si>
    <t>Y5059-DB</t>
  </si>
  <si>
    <t>Y5024-OR</t>
  </si>
  <si>
    <t>Y5024-WI</t>
  </si>
  <si>
    <t>Y5030-BL</t>
  </si>
  <si>
    <t>Y5030-DB</t>
  </si>
  <si>
    <t>Y5030-GW</t>
  </si>
  <si>
    <t>Y5069-BL</t>
  </si>
  <si>
    <t>Y5030-OR</t>
  </si>
  <si>
    <t>Y5070-BL</t>
  </si>
  <si>
    <t>Y5033-PI</t>
  </si>
  <si>
    <t>Y5033-PU</t>
  </si>
  <si>
    <t>Y5033-RE</t>
  </si>
  <si>
    <t>Y5042-BL</t>
  </si>
  <si>
    <t>Y5067</t>
  </si>
  <si>
    <t>Y5042-PI5</t>
  </si>
  <si>
    <t>Y5042-RE5</t>
  </si>
  <si>
    <t>Y5043-BL</t>
  </si>
  <si>
    <t>Y5043-BU</t>
  </si>
  <si>
    <t>Y5044-BL</t>
  </si>
  <si>
    <t>Y5044-GR</t>
  </si>
  <si>
    <t>Y5044-RE</t>
  </si>
  <si>
    <t>Y5047-BL</t>
  </si>
  <si>
    <t>Y5047-GW</t>
  </si>
  <si>
    <t>Y5047-OR</t>
  </si>
  <si>
    <t>Y5047-WI</t>
  </si>
  <si>
    <t>Y5066-RE</t>
  </si>
  <si>
    <t>Y5068</t>
  </si>
  <si>
    <t>Y6008-GR</t>
  </si>
  <si>
    <t>Glock格洛克 夜光机瞄green</t>
  </si>
  <si>
    <t>B09X33TY2G</t>
  </si>
  <si>
    <t>Y6009</t>
  </si>
  <si>
    <t>长脚准心瞄准器+工具</t>
  </si>
  <si>
    <t>B09XB41FKG</t>
  </si>
  <si>
    <t>Y6010</t>
  </si>
  <si>
    <t>铝合金 光纤瞄 光纤准星+工具</t>
  </si>
  <si>
    <t>B09XB4F6D1</t>
  </si>
  <si>
    <t>Y6011-Black</t>
  </si>
  <si>
    <t>折叠式尼龙光纤瞄准器</t>
  </si>
  <si>
    <t>B09YRRGB2M</t>
  </si>
  <si>
    <t>Y6008-BU</t>
  </si>
  <si>
    <t>Glock格洛克 夜光机瞄blue</t>
  </si>
  <si>
    <t>B09ZXG8RFT</t>
  </si>
  <si>
    <t>Y6016</t>
  </si>
  <si>
    <t>Glock格洛克 夜光机瞄（增强版）</t>
  </si>
  <si>
    <t>B0B1M84NS9</t>
  </si>
  <si>
    <t>Y6021-GR</t>
  </si>
  <si>
    <t>Glock光纤前后机瞄</t>
  </si>
  <si>
    <t>B0B2969RR8</t>
  </si>
  <si>
    <t>Y6021-RE</t>
  </si>
  <si>
    <t>B0B2947PNH</t>
  </si>
  <si>
    <t>Y6022</t>
  </si>
  <si>
    <t>铝合金20mm快拆导轨</t>
  </si>
  <si>
    <t>B0B2RTKRW6</t>
  </si>
  <si>
    <t>Y6018</t>
  </si>
  <si>
    <t>户外战术织带挂扣+腰带固定扣（1+5）</t>
  </si>
  <si>
    <t>B0B3LG9QSV</t>
  </si>
  <si>
    <t>Y6028-BL</t>
  </si>
  <si>
    <t>B0B5N916XS</t>
  </si>
  <si>
    <t>Y6028-RE</t>
  </si>
  <si>
    <t>B0B5N7YD2H</t>
  </si>
  <si>
    <t>Y6030</t>
  </si>
  <si>
    <t>2只战术枪套</t>
  </si>
  <si>
    <t>B0B63FDQ9L</t>
  </si>
  <si>
    <t>Y6026</t>
  </si>
  <si>
    <t>2对 壁挂式枪架</t>
  </si>
  <si>
    <t>B0B63NLM88</t>
  </si>
  <si>
    <t>Y6027</t>
  </si>
  <si>
    <t>5对 壁挂式枪架</t>
  </si>
  <si>
    <t>B0B63NSYD1</t>
  </si>
  <si>
    <t>Y6036-ZH</t>
  </si>
  <si>
    <t>双点背带任务绳（背带绳+背带扣2个）</t>
  </si>
  <si>
    <t>B0B8NQD6CN</t>
  </si>
  <si>
    <t>Y6041</t>
  </si>
  <si>
    <t>红/绿光纤瞄准具 for Taurus-夜光款</t>
  </si>
  <si>
    <t>B0B97JJXC2</t>
  </si>
  <si>
    <t>Y6040-GR</t>
  </si>
  <si>
    <t>红/绿光纤瞄准具 for Taurus-非夜光款</t>
  </si>
  <si>
    <t>B0B9JY21Q5</t>
  </si>
  <si>
    <t>Y6040-RE</t>
  </si>
  <si>
    <t>B0B9JYM313</t>
  </si>
  <si>
    <t>Y6038-BL</t>
  </si>
  <si>
    <t>Glock铝合金握把底座配件- G19 Gen5 黑色</t>
  </si>
  <si>
    <t>B0B9NHSNTC</t>
  </si>
  <si>
    <t>Y6038-RE</t>
  </si>
  <si>
    <t>B0B9N4Y85B</t>
  </si>
  <si>
    <t>Y6039-RE</t>
  </si>
  <si>
    <t>B0B9NJ47YC</t>
  </si>
  <si>
    <t>Y6049-BL</t>
  </si>
  <si>
    <t>尼龙前后准星 机械瞄 2代准星 黑色（带扳手）</t>
  </si>
  <si>
    <t>B0BVZ2NG6F</t>
  </si>
  <si>
    <t>Y6049-SC</t>
  </si>
  <si>
    <t>尼龙前后准星 机械瞄 2代准星 泥色（带扳手）</t>
  </si>
  <si>
    <t>B0BVZ6GMF9</t>
  </si>
  <si>
    <t>Y6050</t>
  </si>
  <si>
    <t>橡胶防滑套 适合Taurus</t>
  </si>
  <si>
    <t>B0BYHQ2LG6</t>
  </si>
  <si>
    <t>Y6051</t>
  </si>
  <si>
    <t>Glock腰带夹</t>
  </si>
  <si>
    <t>B0BYJ3JB97</t>
  </si>
  <si>
    <t>Y6055-BL</t>
  </si>
  <si>
    <t>橡胶防滑套 握把套 For P365 黑色</t>
  </si>
  <si>
    <t>B0C1SP4QGT</t>
  </si>
  <si>
    <t>Y6056-BL</t>
  </si>
  <si>
    <t>适用于Safariland 腰板 腰挂配件 黑色</t>
  </si>
  <si>
    <t>B0C23NSBJJ</t>
  </si>
  <si>
    <t>Y6056-GR</t>
  </si>
  <si>
    <t>适用于Safariland 腰板 腰挂配件 绿色</t>
  </si>
  <si>
    <t>B0C23YHNY3</t>
  </si>
  <si>
    <t>Y6056-OR</t>
  </si>
  <si>
    <t>适用于Safariland 腰板 腰挂配件 橙色</t>
  </si>
  <si>
    <t>B0C23NZX4J</t>
  </si>
  <si>
    <t>Y6053-BL</t>
  </si>
  <si>
    <t>Glock后盖片 2PC 空白 / Gen 5代</t>
  </si>
  <si>
    <t>B0C23F2C37</t>
  </si>
  <si>
    <t>Y6053-NF</t>
  </si>
  <si>
    <t>Glock后盖片 2PC 国旗 / Gen 5代</t>
  </si>
  <si>
    <t>B0C282X1S6</t>
  </si>
  <si>
    <t>Y6053-PU</t>
  </si>
  <si>
    <t>Glock后盖片 2PC 骷颅头 / Gen 5代</t>
  </si>
  <si>
    <t>B0C2867SMD</t>
  </si>
  <si>
    <t>Y6052-BL</t>
  </si>
  <si>
    <t>B0C2BKB1P4</t>
  </si>
  <si>
    <t>Y6052-NF</t>
  </si>
  <si>
    <t>Glock后盖片 2PC 国旗 / Gen 1-4代</t>
  </si>
  <si>
    <t>B0C2BL7HXZ</t>
  </si>
  <si>
    <t>Y6052-PU</t>
  </si>
  <si>
    <t>Glock后盖片 2PC 惩罚者 / Gen 1-4代</t>
  </si>
  <si>
    <t>B0C2BLQY4H</t>
  </si>
  <si>
    <t>Y6054-PL</t>
  </si>
  <si>
    <t>适合 P365 P365XL 后盖片 2PC 黑色空白</t>
  </si>
  <si>
    <t>B0C2CH9C2H</t>
  </si>
  <si>
    <t>Y6054-PU</t>
  </si>
  <si>
    <t>适合 P365 P365XL 后盖片 2PC 黑色惩罚者</t>
  </si>
  <si>
    <t>B0C2CHMRMB</t>
  </si>
  <si>
    <t>Y6057</t>
  </si>
  <si>
    <t>金属3色光纤瞄 前后光纤 For Glock</t>
  </si>
  <si>
    <t>B0C2PZ3185</t>
  </si>
  <si>
    <t>Y6061</t>
  </si>
  <si>
    <t>折叠光纤瞄准星</t>
  </si>
  <si>
    <t>B0C33B4ZXM</t>
  </si>
  <si>
    <t>Y6058</t>
  </si>
  <si>
    <t>带增高折叠式内红点瞄准镜</t>
  </si>
  <si>
    <t>B0C3GZ28T8</t>
  </si>
  <si>
    <t>Y6069</t>
  </si>
  <si>
    <t>螺纹管适配器 1/2-28 2PC</t>
  </si>
  <si>
    <t>B0C4KGFRHR</t>
  </si>
  <si>
    <t>Y6072-2</t>
  </si>
  <si>
    <t>战术快拔套 适用Glock 2PC</t>
  </si>
  <si>
    <t>B0C538SY6P</t>
  </si>
  <si>
    <t>Y6072-3</t>
  </si>
  <si>
    <t>战术快拔套 适用Glock 3PC</t>
  </si>
  <si>
    <t>B0C537WZP5</t>
  </si>
  <si>
    <t>Y6073</t>
  </si>
  <si>
    <t>橡胶防滑套 适用 S&amp;W等型号</t>
  </si>
  <si>
    <t>B0C5375VT7</t>
  </si>
  <si>
    <t>Y6074-BL-1</t>
  </si>
  <si>
    <t>骷髅格洛克快拔套</t>
  </si>
  <si>
    <t>B0C5395KJN</t>
  </si>
  <si>
    <t>Y6074-BL-2</t>
  </si>
  <si>
    <t>骷髅格洛克快拔套 2PCS</t>
  </si>
  <si>
    <t>B0C53C8F24</t>
  </si>
  <si>
    <t>Y6074-GA-1</t>
  </si>
  <si>
    <t>B0C53B2KZ5</t>
  </si>
  <si>
    <t>Y6074-GA-2</t>
  </si>
  <si>
    <t>B0C539DWH8</t>
  </si>
  <si>
    <t>Y6601-BL-1</t>
  </si>
  <si>
    <t>CA折叠式尼龙光纤瞄准器</t>
  </si>
  <si>
    <t>B0C53L92DN</t>
  </si>
  <si>
    <t>Y6601-SC-1</t>
  </si>
  <si>
    <t>CA折叠光纤瞄准星</t>
  </si>
  <si>
    <t>B0C53KLFLS</t>
  </si>
  <si>
    <t>Y6603-RE</t>
  </si>
  <si>
    <t>CA红/绿光纤瞄准具 for Taurus-非夜光款</t>
  </si>
  <si>
    <t>B0C5917NZF</t>
  </si>
  <si>
    <t>Y6603-GR</t>
  </si>
  <si>
    <t>B0C7Q2NKB4</t>
  </si>
  <si>
    <t>Y6604</t>
  </si>
  <si>
    <t>CA红/绿光纤瞄准具 for Taurus-夜光款</t>
  </si>
  <si>
    <t>B0C7Q2KKWK</t>
  </si>
  <si>
    <t>Y6602-SC</t>
  </si>
  <si>
    <t>CA尼龙前后准星 机械瞄 2代准星 泥色（带扳手）</t>
  </si>
  <si>
    <t>B0C591KJLL</t>
  </si>
  <si>
    <t>Y6606-BL</t>
  </si>
  <si>
    <t>CA Glock铝合金握把底座配件- G19 Gen5 黑色</t>
  </si>
  <si>
    <t>B0C7QHCQVY</t>
  </si>
  <si>
    <t>Y6606-RE</t>
  </si>
  <si>
    <t>CA  Glock铝合金握把底座配件- G19 Gen5</t>
  </si>
  <si>
    <t>B0C7QKPRR2</t>
  </si>
  <si>
    <t>Y6608-GR</t>
  </si>
  <si>
    <t>CA Glock格洛克 夜光机瞄green</t>
  </si>
  <si>
    <t>B0C8NCNYPN</t>
  </si>
  <si>
    <t>Y6609-RE</t>
  </si>
  <si>
    <t>CA Glock铝合金握把底座配件- G19 Gen3/4</t>
  </si>
  <si>
    <t>B0C8NG6FF9</t>
  </si>
  <si>
    <t>Y6609-BL</t>
  </si>
  <si>
    <t>CA  Glock铝合金握把底座配件- G19 Gen3/4</t>
  </si>
  <si>
    <t>B0C8NG1CBP</t>
  </si>
  <si>
    <t>Y6610-BL</t>
  </si>
  <si>
    <t>CA Glock铝合金握把底座配件- G17 Gen3/4</t>
  </si>
  <si>
    <t>B0C8TBFVQW</t>
  </si>
  <si>
    <t>Y6610-RE</t>
  </si>
  <si>
    <t>B0C8TFSWR3</t>
  </si>
  <si>
    <t>Y6611</t>
  </si>
  <si>
    <t>CA 橡胶防滑套 适合Taurus</t>
  </si>
  <si>
    <t>B0C8TJHWYW</t>
  </si>
  <si>
    <t>Y6612-BL</t>
  </si>
  <si>
    <t>CA  橡胶防滑套 握把套 For P365 黑色</t>
  </si>
  <si>
    <t>B0C8TGWXKP</t>
  </si>
  <si>
    <t>Y6612-GR</t>
  </si>
  <si>
    <t>CA 橡胶防滑套 握把套 For P365 绿色</t>
  </si>
  <si>
    <t>B0C8TK61RY</t>
  </si>
  <si>
    <t>Y6612-SC</t>
  </si>
  <si>
    <t>CA橡胶防滑套 握把套 For P365 沙色</t>
  </si>
  <si>
    <t>B0C8TL4Z9N</t>
  </si>
  <si>
    <t>Y6607</t>
  </si>
  <si>
    <t xml:space="preserve"> CA铝合金20mm快拆导轨</t>
  </si>
  <si>
    <t>B0C7QMMR68</t>
  </si>
  <si>
    <t>Y6006-WH</t>
  </si>
  <si>
    <t>智能针式食品触屏温度计   白色</t>
  </si>
  <si>
    <t>B09V551CZ3</t>
  </si>
  <si>
    <t>Y6042</t>
  </si>
  <si>
    <t>Y6009 Y6010产品搭配工具</t>
  </si>
  <si>
    <t>B0CB4B49FV</t>
  </si>
  <si>
    <t>Y6075-1-1</t>
  </si>
  <si>
    <t>瞄准镜支架 20mm导轨Ak47</t>
  </si>
  <si>
    <t>B0CBPN6C3R</t>
  </si>
  <si>
    <t>Y6078-1</t>
  </si>
  <si>
    <t>B0CC9C7RG3</t>
  </si>
  <si>
    <t>Y6078-2</t>
  </si>
  <si>
    <t>磁性支架 挂壁架 2PC</t>
  </si>
  <si>
    <t>B0CC99P8TW</t>
  </si>
  <si>
    <t>Y6079-1</t>
  </si>
  <si>
    <t>IWB枪套配件 快拨枪鞘零件</t>
  </si>
  <si>
    <t>B0CC9DMDPF</t>
  </si>
  <si>
    <t>Y6079-2</t>
  </si>
  <si>
    <t>IWB枪套配件 快拨枪鞘零件 2套</t>
  </si>
  <si>
    <t>B0CCD75PGF</t>
  </si>
  <si>
    <t>Y6080</t>
  </si>
  <si>
    <t>B0CCP3PFQR</t>
  </si>
  <si>
    <t>Y6081-RE</t>
  </si>
  <si>
    <t>非夜光瞄 红/绿光纤瞄准具 for Taurus  红光纤</t>
  </si>
  <si>
    <t>B0CDBSTZVD</t>
  </si>
  <si>
    <t>Y6081-GN</t>
  </si>
  <si>
    <t>非夜光瞄 红/绿光纤瞄准具 for Taurus  绿光纤</t>
  </si>
  <si>
    <t>B0CDBSKYCL</t>
  </si>
  <si>
    <t>Y6082-1-4</t>
  </si>
  <si>
    <t>B0CDBR5NQJ</t>
  </si>
  <si>
    <t>Y6082-5</t>
  </si>
  <si>
    <t>Glock腰带夹  5代</t>
  </si>
  <si>
    <t>B0CDBS2XC3</t>
  </si>
  <si>
    <t>Y6083</t>
  </si>
  <si>
    <t>B0CGC8GH7Q</t>
  </si>
  <si>
    <t>Y6088-BL</t>
  </si>
  <si>
    <t xml:space="preserve">军用战地急救包求生包黑色 </t>
  </si>
  <si>
    <t>B0CH39V9RR</t>
  </si>
  <si>
    <t>Y6088-CA</t>
  </si>
  <si>
    <t xml:space="preserve">军用战地急救包求生包迷彩  </t>
  </si>
  <si>
    <t>B0CH39L5ZF</t>
  </si>
  <si>
    <t>Y6084-BL</t>
  </si>
  <si>
    <t>户外用止血带剪刀收纳黑色</t>
  </si>
  <si>
    <t>B0CH393V1L</t>
  </si>
  <si>
    <t>Y6084-KH</t>
  </si>
  <si>
    <t>户外用止血带剪刀收纳棕色</t>
  </si>
  <si>
    <t>B0CH393FW3</t>
  </si>
  <si>
    <t>Y6090</t>
  </si>
  <si>
    <t>铝合金后盖片 适合1-5代Glock 43 43x 48 2PC</t>
  </si>
  <si>
    <t>B0CJRCWCNH</t>
  </si>
  <si>
    <t>Y6091</t>
  </si>
  <si>
    <t>B0CK1K44TR</t>
  </si>
  <si>
    <t>Y6092</t>
  </si>
  <si>
    <t>CAT急救止血带</t>
  </si>
  <si>
    <t>B0CKMZVBDX</t>
  </si>
  <si>
    <t>头程运费</t>
  </si>
  <si>
    <t>Y6013</t>
  </si>
  <si>
    <t>Y6029</t>
  </si>
  <si>
    <t>Y6014</t>
  </si>
  <si>
    <t>Y6015</t>
  </si>
  <si>
    <t>Y6017-GR</t>
  </si>
  <si>
    <t>Y6019</t>
  </si>
  <si>
    <t>Y6031</t>
  </si>
  <si>
    <t>Y6605</t>
  </si>
  <si>
    <t>Y6032</t>
  </si>
  <si>
    <t>Y6033</t>
  </si>
  <si>
    <t>Y6034</t>
  </si>
  <si>
    <t>Y6055-GR</t>
  </si>
  <si>
    <t>Y6055-SC</t>
  </si>
  <si>
    <t>Y6075</t>
  </si>
  <si>
    <t>Y6074-GA</t>
  </si>
  <si>
    <t>Y6601-BL</t>
  </si>
  <si>
    <t>Y6601-SC</t>
  </si>
  <si>
    <t>Y6602-BL</t>
  </si>
  <si>
    <t>Y7002-BB+Y7005</t>
  </si>
  <si>
    <t>中性三星 S22 Ultra 黑+蓝</t>
  </si>
  <si>
    <t>B0B6VM88JM</t>
  </si>
  <si>
    <t>Y7002-BL+Y7005</t>
  </si>
  <si>
    <t>中性三星 S22 Ultra 黑</t>
  </si>
  <si>
    <t>B0B6VQZZ1W</t>
  </si>
  <si>
    <t>Y7002-DB+Y7005</t>
  </si>
  <si>
    <t>中性三星 S22 Ultra 深蓝+蓝</t>
  </si>
  <si>
    <t>B0B6VP68KJ</t>
  </si>
  <si>
    <t>Y7002-OR+Y7005</t>
  </si>
  <si>
    <t>中性三星 S22 Ultra 黑+橙</t>
  </si>
  <si>
    <t>B0B6VN2HH7</t>
  </si>
  <si>
    <t>Y72611-BL+Y72614+Y72635</t>
  </si>
  <si>
    <t>中性iPhone 12 6.1 黑色</t>
  </si>
  <si>
    <t>B0B6VKLX2B</t>
  </si>
  <si>
    <t>Y72611-DB+Y72614+Y72635</t>
  </si>
  <si>
    <t>B0B6VQ6DC8</t>
  </si>
  <si>
    <t>Y72611-OR+Y72614+Y72635</t>
  </si>
  <si>
    <t>中性iPhone 12 6.1 黑橙</t>
  </si>
  <si>
    <t>B0B6VRRMWW</t>
  </si>
  <si>
    <t>Y73475-BB+Y72615+Y73478</t>
  </si>
  <si>
    <t>B0B6PQXZZP</t>
  </si>
  <si>
    <t>Y73475-BL+Y72615+Y73478</t>
  </si>
  <si>
    <t>B0B6PBJ5XP</t>
  </si>
  <si>
    <t>Y73475-DB+Y72615+Y73478</t>
  </si>
  <si>
    <t>中性iphone 13 pro max 深蓝+蓝</t>
  </si>
  <si>
    <t>B0B6PGY5QJ</t>
  </si>
  <si>
    <t>Y73475-GR+Y72615+Y73478</t>
  </si>
  <si>
    <t>中性iphone 13 pro max 浅绿+黄</t>
  </si>
  <si>
    <t>B0B6PCXL1N</t>
  </si>
  <si>
    <t>Y73475-OR+Y72615+Y73478</t>
  </si>
  <si>
    <t>中性iphone 13 pro max 黑+橙</t>
  </si>
  <si>
    <t>B0B6PGB4JM</t>
  </si>
  <si>
    <t>Y73694-BB+Y73712+Y73744</t>
  </si>
  <si>
    <t>中性三星 A13 黑+蓝</t>
  </si>
  <si>
    <t>B0B6VJF68D</t>
  </si>
  <si>
    <t>Y73694-BL+Y73712+Y73744</t>
  </si>
  <si>
    <t>中性三星 A13 黑</t>
  </si>
  <si>
    <t>B0B6VJHP8Q</t>
  </si>
  <si>
    <t>Y73694-OR+Y73712+Y73744</t>
  </si>
  <si>
    <t>中性三星 A13 黑+橙</t>
  </si>
  <si>
    <t>B0B6VK1FR4</t>
  </si>
  <si>
    <t>Y72488-BL+Y72490+Y72380</t>
  </si>
  <si>
    <t>中性三星 A51 4G 黑色</t>
  </si>
  <si>
    <t>B0B5ZLP61G</t>
  </si>
  <si>
    <t>Y72488-DB+Y72490+Y72380</t>
  </si>
  <si>
    <t>中性三星 A51 4G 深蓝+蓝色</t>
  </si>
  <si>
    <t>B0B5ZHZ6P6</t>
  </si>
  <si>
    <t>Y72488-OR+Y72490+Y72380</t>
  </si>
  <si>
    <t>中性三星 A51 4G 黑橙</t>
  </si>
  <si>
    <t>B0B5ZK6MRR</t>
  </si>
  <si>
    <t>Y72648-BL+Y72649+Y72381</t>
  </si>
  <si>
    <t>B0B5QS2BBK</t>
  </si>
  <si>
    <t>Y72648-NB+Y72649+Y72381</t>
  </si>
  <si>
    <t>B0B5QR55XG</t>
  </si>
  <si>
    <t>Y72648-OR+Y72649+Y72381</t>
  </si>
  <si>
    <t>中性三星A71 5G 黑橙</t>
  </si>
  <si>
    <t>B0B5QVL591</t>
  </si>
  <si>
    <t>Y73106-BL+Y73109+Y73112</t>
  </si>
  <si>
    <t>中性三星 A12 5G 黑色</t>
  </si>
  <si>
    <t>B0B5XCZ9L6</t>
  </si>
  <si>
    <t>Y73106-DB+Y73109+Y73112</t>
  </si>
  <si>
    <t>中性三星 A12 5G 深蓝+蓝色</t>
  </si>
  <si>
    <t>B0B5XLV7NX</t>
  </si>
  <si>
    <t>Y73106-OR+Y73109+Y73112</t>
  </si>
  <si>
    <t>中性三星 A12 5G 黑橙</t>
  </si>
  <si>
    <t>B0B5XFNJRJ</t>
  </si>
  <si>
    <t>Y73230-BL+Y73231+Y73240</t>
  </si>
  <si>
    <t>B0B6RDRJLB</t>
  </si>
  <si>
    <t>Y73230-DB+Y73231+Y73240</t>
  </si>
  <si>
    <t>中性三星 A32 5G 深蓝+蓝色</t>
  </si>
  <si>
    <t>B0B6RDT7JN</t>
  </si>
  <si>
    <t>Y73230-OR+Y73231+Y73240</t>
  </si>
  <si>
    <t xml:space="preserve"> 中性三星 A32 5G 黑橙</t>
  </si>
  <si>
    <t>B0B6RB2JKB</t>
  </si>
  <si>
    <t>Y73040-BL+Y73045+Y73063</t>
  </si>
  <si>
    <t>中性三星 A02S 黑色</t>
  </si>
  <si>
    <t>B0B6RFXWWW</t>
  </si>
  <si>
    <t>Y73040-DB+Y73045+Y73063</t>
  </si>
  <si>
    <t>中性三星 A02S 深蓝+蓝色</t>
  </si>
  <si>
    <t>B0B6RFCSZL</t>
  </si>
  <si>
    <t>Y73040-OR+Y73045+Y73063</t>
  </si>
  <si>
    <t>B0B6RD6DRX</t>
  </si>
  <si>
    <t>Y72454-BL+Y72455+Y72511</t>
  </si>
  <si>
    <t>中性三星 A21 黑色</t>
  </si>
  <si>
    <t>B0B5XBSDS2</t>
  </si>
  <si>
    <t>Y72454-DB+Y72455+Y72511</t>
  </si>
  <si>
    <t>中性三星 A21 深蓝+蓝色</t>
  </si>
  <si>
    <t>B0B5XFNDV8</t>
  </si>
  <si>
    <t>Y72454-OR+Y72455+Y72511</t>
  </si>
  <si>
    <t>中性三星 A21 黑橙</t>
  </si>
  <si>
    <t>B0B5XDHJZ7</t>
  </si>
  <si>
    <t>Y73452-BL+Y73456+Y73457</t>
  </si>
  <si>
    <t>中性Moto G Stylus 5G 黑</t>
  </si>
  <si>
    <t>B0B63MS33X</t>
  </si>
  <si>
    <t>Y73452-DB+Y73456+Y73457</t>
  </si>
  <si>
    <t>中性Moto G Stylus 5G 深蓝+蓝</t>
  </si>
  <si>
    <t>B0B63LPZZ8</t>
  </si>
  <si>
    <t>Y73452-OR+Y73456+Y73457</t>
  </si>
  <si>
    <t>中性Moto G Stylus 5G 黑+橙</t>
  </si>
  <si>
    <t>B0B63NLM2C</t>
  </si>
  <si>
    <t>Y73189-BL+Y73190+Y73270</t>
  </si>
  <si>
    <t>中性Moto One 5G Ace 黑</t>
  </si>
  <si>
    <t>B0B68J2J8P</t>
  </si>
  <si>
    <t>Y73189-DB+Y73190+Y73270</t>
  </si>
  <si>
    <t>中性Moto One 5G Ace 深蓝+蓝</t>
  </si>
  <si>
    <t>B0B68H64R9</t>
  </si>
  <si>
    <t>Y73189-OR+Y73190+Y73270</t>
  </si>
  <si>
    <t>中性Moto One 5G Ace 黑+橙</t>
  </si>
  <si>
    <t>B0B68GLBJM</t>
  </si>
  <si>
    <t>Y73405-BL+Y73406+Y73397</t>
  </si>
  <si>
    <t>B0B63GFYYK</t>
  </si>
  <si>
    <t>Y73405-DB+Y73406+Y73397</t>
  </si>
  <si>
    <t>B0B63J18RW</t>
  </si>
  <si>
    <t>Y73473-DB+Y72614+Y73476</t>
  </si>
  <si>
    <t>中性iphone 13 深蓝+蓝</t>
  </si>
  <si>
    <t>B0B6PN6971</t>
  </si>
  <si>
    <t>Y73473-GR+Y72614+Y73476</t>
  </si>
  <si>
    <t>中性iPhone13 6.1/iPhone14 6.1 浅绿+黄</t>
  </si>
  <si>
    <t>B0B6PL25WN</t>
  </si>
  <si>
    <t>Y73473-OR+Y72614+Y73476</t>
  </si>
  <si>
    <t>中性iphone 13 黑+橙</t>
  </si>
  <si>
    <t>B0B6PDYBL9</t>
  </si>
  <si>
    <t>Y73474-DB+Y72614+Y73477</t>
  </si>
  <si>
    <t>中性iphone 13 pro 深蓝+蓝</t>
  </si>
  <si>
    <t>B0B6P2GJ5K</t>
  </si>
  <si>
    <t>Y72056-BL+Y72059-Y72740</t>
  </si>
  <si>
    <t>中性三星 A20 黑色</t>
  </si>
  <si>
    <t>B0B6FJ6GH5</t>
  </si>
  <si>
    <t>Y72563-BL+Y72564+Y72571</t>
  </si>
  <si>
    <t>中性三星 A11 黑色</t>
  </si>
  <si>
    <t>B0B5ZPYKY5</t>
  </si>
  <si>
    <t>Y72563-OR+Y72564+Y72571</t>
  </si>
  <si>
    <t>B0B5ZN9XPZ</t>
  </si>
  <si>
    <t>Y72612-BL+Y72615+Y72636</t>
  </si>
  <si>
    <t>中性iPhone 12 6.7 黑色</t>
  </si>
  <si>
    <t>B0B6FWC6N6</t>
  </si>
  <si>
    <t>Y72612-DB+Y72615+Y72636</t>
  </si>
  <si>
    <t>中性iPhone 12 6.7 深蓝+蓝色</t>
  </si>
  <si>
    <t>B0B6FQ7GBY</t>
  </si>
  <si>
    <t>Y7010-BL+Y7018+Y7014</t>
  </si>
  <si>
    <t>中性手机壳iPhone 14+软膜+背夹 黑</t>
  </si>
  <si>
    <t>B0BBFV5GCR</t>
  </si>
  <si>
    <t>Y7010-BU+Y7018+Y7014</t>
  </si>
  <si>
    <t>中性手机壳iPhone 14+软膜+背夹  黑+蓝</t>
  </si>
  <si>
    <t>B0BBFXGD1Q</t>
  </si>
  <si>
    <t>Y7010-DB+Y7018+Y7014</t>
  </si>
  <si>
    <t>中性手机壳iPhone 14+软膜+背夹  深蓝+蓝</t>
  </si>
  <si>
    <t>B0BBFVN3V9</t>
  </si>
  <si>
    <t>Y7010-GE+Y7018+Y7014</t>
  </si>
  <si>
    <t>中性手机壳iPhone 14+软膜+背夹  浅绿+黄</t>
  </si>
  <si>
    <t>B0BBFXXM8H</t>
  </si>
  <si>
    <t>Y7010-OR+Y7018+Y7014</t>
  </si>
  <si>
    <t>中性手机壳iPhone 14+软膜+背夹  黑+橙</t>
  </si>
  <si>
    <t>B0BBFVR6W8</t>
  </si>
  <si>
    <t>Y7011-BL+Y7019+Y7015</t>
  </si>
  <si>
    <t>中性手机壳iPhone 14 Pro+软膜+背夹  黑</t>
  </si>
  <si>
    <t>B0BBG13KWX</t>
  </si>
  <si>
    <t>Y7011-BU+Y7019+Y7015</t>
  </si>
  <si>
    <t>中性手机壳iPhone 14 Pro+软膜+背夹  黑+蓝</t>
  </si>
  <si>
    <t>B0BBFYQ998</t>
  </si>
  <si>
    <t>Y7011-DB+Y7019+Y7015</t>
  </si>
  <si>
    <t>中性手机壳iPhone 14 Pro+软膜+背夹  深蓝+蓝</t>
  </si>
  <si>
    <t>B0BBG2D31Y</t>
  </si>
  <si>
    <t>Y7011-GE+Y7019+Y7015</t>
  </si>
  <si>
    <t>中性手机壳iPhone 14 Pro+软膜+背夹 浅绿+黄</t>
  </si>
  <si>
    <t>B0BBG47YJ3</t>
  </si>
  <si>
    <t>Y7011-OR+Y7019+Y7015</t>
  </si>
  <si>
    <t>中性手机壳iiPhone 14 Pro+软膜+背夹  黑+橙</t>
  </si>
  <si>
    <t>B0BBG1ZGYS</t>
  </si>
  <si>
    <t>Y7012-BL+Y7020+Y7016</t>
  </si>
  <si>
    <t>中性手机壳iPhone  14 plus 6.7+软膜+背夹  黑</t>
  </si>
  <si>
    <t>B0BBG4X86G</t>
  </si>
  <si>
    <t>Y7012-BU+Y7020+Y7016</t>
  </si>
  <si>
    <t>中性手机壳iPhone  14 plus 6.7+软膜+背夹   黑+蓝</t>
  </si>
  <si>
    <t>B0BBG4HBRL</t>
  </si>
  <si>
    <t>Y7012-DB+Y7020+Y7016</t>
  </si>
  <si>
    <t>中性手机壳iPhone  14 plus 6.7+软膜+背夹   深蓝+蓝</t>
  </si>
  <si>
    <t>B0BBG19C9R</t>
  </si>
  <si>
    <t>Y7012-GE+Y7020+Y7016</t>
  </si>
  <si>
    <t>中性手机壳iPhone  14 plus 6.7+软膜+背夹   浅绿+黄</t>
  </si>
  <si>
    <t>B0BBG56FJP</t>
  </si>
  <si>
    <t>Y7012-OR+Y7020+Y7016</t>
  </si>
  <si>
    <t>中性手机壳iPhone  14 plus 6.7+软膜+背夹   黑+橙</t>
  </si>
  <si>
    <t>B0BBG2NL26</t>
  </si>
  <si>
    <t>Y7013-BL+Y7021+Y7017</t>
  </si>
  <si>
    <t>中性手机壳iPhone 14 Pro Max +软膜+背夹 黑</t>
  </si>
  <si>
    <t>B0BBG4W47P</t>
  </si>
  <si>
    <t>Y7013-BU+Y7021+Y7017</t>
  </si>
  <si>
    <t>中性手机壳iPhone 14 Pro Max +软膜+背夹   黑+蓝</t>
  </si>
  <si>
    <t>B0BBG5PFX4</t>
  </si>
  <si>
    <t>Y7013-DB+Y7021+Y7017</t>
  </si>
  <si>
    <t>中性手机壳iPhone 14 Pro Max +软膜+背夹  深蓝+蓝</t>
  </si>
  <si>
    <t>B0BBGMPX7P</t>
  </si>
  <si>
    <t>Y7013-GE+Y7021+Y7017</t>
  </si>
  <si>
    <t>中性手机壳iPhone 14 Pro Max +软膜+背夹  浅绿+黄</t>
  </si>
  <si>
    <t>B0BBG65L2P</t>
  </si>
  <si>
    <t>Y7013-OR+Y7021+Y7017</t>
  </si>
  <si>
    <t>中性手机壳iPhone 14 Pro Max +软膜+背夹   黑+橙</t>
  </si>
  <si>
    <t>B0BBG47DWW</t>
  </si>
  <si>
    <t>Y72612-OR+Y72615+Y72636</t>
  </si>
  <si>
    <t>中性iPhone 12 6.7 黑橙</t>
  </si>
  <si>
    <t>B0BCFGZF9F</t>
  </si>
  <si>
    <t>Y72610-OR+Y72613+Y12803</t>
  </si>
  <si>
    <t>中性iPhone 12 5.4 黑橙</t>
  </si>
  <si>
    <t>B0BCFLZZ4Q</t>
  </si>
  <si>
    <t>AU-UFRT-YPWR</t>
  </si>
  <si>
    <t>Y7022-BL+Y7024+Y7023</t>
  </si>
  <si>
    <t>中性手机壳三星 A14 5G  +软膜+背夹 黑</t>
  </si>
  <si>
    <t>B0BLYPT5CN</t>
  </si>
  <si>
    <t>Y7022-BU+Y7024+Y7023</t>
  </si>
  <si>
    <t>中性手机壳三星 A14 5G  +软膜+背夹   黑+蓝</t>
  </si>
  <si>
    <t>B0BLXVWKNB</t>
  </si>
  <si>
    <t>Y7022-DB+Y7024+Y7023</t>
  </si>
  <si>
    <t>中性手机壳三星 A14 5G  +软膜+背夹  深蓝+蓝</t>
  </si>
  <si>
    <t>B0BLY64GWX</t>
  </si>
  <si>
    <t>Y7022-OR+Y7024+Y7023</t>
  </si>
  <si>
    <t>中性手机壳三星 A14 5G  +软膜+背夹   黑+橙</t>
  </si>
  <si>
    <t>B0BLXZ2PHT</t>
  </si>
  <si>
    <t>Y7033-BL+Y7034</t>
  </si>
  <si>
    <t>中性手机壳三星 A54 5G+背夹 黑</t>
  </si>
  <si>
    <t>B0BQMJBXVV</t>
  </si>
  <si>
    <t>Y7033-BU+Y7034</t>
  </si>
  <si>
    <t>中性手机壳三星 A54 5G+背夹  黑+蓝</t>
  </si>
  <si>
    <t>B0BQMFSMP6</t>
  </si>
  <si>
    <t>Y7033-DB+Y7034</t>
  </si>
  <si>
    <t>中性手机壳三星 A54 5G+背夹  深蓝+蓝</t>
  </si>
  <si>
    <t>B0BQMJKB4S</t>
  </si>
  <si>
    <t>Y7033-OR+Y7034</t>
  </si>
  <si>
    <t>中性手机壳三星 A54 5G+背夹  黑+橙</t>
  </si>
  <si>
    <t>B0BQMF2BX9</t>
  </si>
  <si>
    <t>Y7028-BL+Y7029+Y7030</t>
  </si>
  <si>
    <t>中性手机壳三星 S23 Plus+软膜+背夹 黑</t>
  </si>
  <si>
    <t>B0BQMLFFHR</t>
  </si>
  <si>
    <t>Y7028-BU+Y7029+Y7030</t>
  </si>
  <si>
    <t>中性手机壳三星 S23 Plus+软膜+背夹  黑+蓝</t>
  </si>
  <si>
    <t>B0BQMNG5Q2</t>
  </si>
  <si>
    <t>Y7028-DB+Y7029+Y7030</t>
  </si>
  <si>
    <t>中性手机壳三星 S23 Plus+软膜+背夹  深蓝+蓝</t>
  </si>
  <si>
    <t>B0BQMLCGZR</t>
  </si>
  <si>
    <t>Y7028-OR+Y7029+Y7030</t>
  </si>
  <si>
    <t>中性手机壳三星 S23 Plus+软膜+背夹  黑+橙</t>
  </si>
  <si>
    <t>B0BQMLXY38</t>
  </si>
  <si>
    <t>Y7031-BL+Y7032</t>
  </si>
  <si>
    <t>中性手机壳三星 S23 Ultra+背夹 黑</t>
  </si>
  <si>
    <t>B0BQMNJ6Q3</t>
  </si>
  <si>
    <t>Y7031-BU+Y7032</t>
  </si>
  <si>
    <t>中性手机壳三星 S23 Ultra+背夹  黑+蓝</t>
  </si>
  <si>
    <t>B0BQMMFRGQ</t>
  </si>
  <si>
    <t>Y7031-DB+Y7032</t>
  </si>
  <si>
    <t>中性手机壳三星 S23 Ultra+背夹  深蓝+蓝</t>
  </si>
  <si>
    <t>B0BQMLF83Q</t>
  </si>
  <si>
    <t>Y7031-OR+Y7032</t>
  </si>
  <si>
    <t>中性手机壳三星 S23 Ultra+背夹  黑+橙</t>
  </si>
  <si>
    <t>B0BQML1ZRK</t>
  </si>
  <si>
    <t>Y7025-BL+Y7027+Y7026</t>
  </si>
  <si>
    <t>中性手机壳三星 S23+软膜+背夹 黑</t>
  </si>
  <si>
    <t>B0BQRNJQZM</t>
  </si>
  <si>
    <t>Y7025-BU+Y7027+Y7026</t>
  </si>
  <si>
    <t>中性手机壳三星 S23+软膜+背夹  黑+蓝</t>
  </si>
  <si>
    <t>B0BQRHRQ89</t>
  </si>
  <si>
    <t>Y7025-DB+Y7027+Y7026</t>
  </si>
  <si>
    <t>中性手机壳三星 S23+软膜+背夹  深蓝+蓝</t>
  </si>
  <si>
    <t>B0BQRPKHGV</t>
  </si>
  <si>
    <t>Y7025-OR+Y7027+Y7026</t>
  </si>
  <si>
    <t>中性手机壳三星 S23+软膜+背夹  黑+橙</t>
  </si>
  <si>
    <t>B0BQRPNLNX</t>
  </si>
  <si>
    <t>Y73133-BL+Y73136+Y73267</t>
  </si>
  <si>
    <t>中性Moto G Stylus 2021 黑色</t>
  </si>
  <si>
    <t>B0BQRPGXSB</t>
  </si>
  <si>
    <t>Y73133-DB+Y73136+Y73267</t>
  </si>
  <si>
    <t>中性Moto G Stylus 2021 深蓝+蓝色</t>
  </si>
  <si>
    <t>B0BQRNJKNG</t>
  </si>
  <si>
    <t>Y73133-OR+Y73136+Y73267</t>
  </si>
  <si>
    <t>中性Moto G Stylus 2021 黑橙</t>
  </si>
  <si>
    <t>B0BQRNV2Z3</t>
  </si>
  <si>
    <t>Y73134-BL+Y03137+Y73268</t>
  </si>
  <si>
    <t>B0BQRQ3974</t>
  </si>
  <si>
    <t>Y73134-DB+Y03137+Y73268</t>
  </si>
  <si>
    <t>中性Moto G Power 2021 深蓝+蓝色</t>
  </si>
  <si>
    <t>B0BQRP2G6J</t>
  </si>
  <si>
    <t>Y73134-OR+Y03137+Y73268</t>
  </si>
  <si>
    <t>B0BQRP5Q8K</t>
  </si>
  <si>
    <t>Y73630-GR+Y73635+Y73643</t>
  </si>
  <si>
    <t>中性三星 Moto G Pure 浅绿+黄</t>
  </si>
  <si>
    <t>B0BYP9YW93</t>
  </si>
  <si>
    <t>Y72000-BL+Y72013+Y72749</t>
  </si>
  <si>
    <t>B0BQJHYV98</t>
  </si>
  <si>
    <t>Y72000-DB+Y72013+Y72749</t>
  </si>
  <si>
    <t>中性LG Stylo 5 深蓝+蓝色</t>
  </si>
  <si>
    <t>B0BQJHSY7P</t>
  </si>
  <si>
    <t>Y72000-OR+Y72013+Y72749</t>
  </si>
  <si>
    <t>中性LG Stylo 5 黑橙</t>
  </si>
  <si>
    <t>B0BQJFPSQB</t>
  </si>
  <si>
    <t>Y72559-OR+Y72560+Y72399</t>
  </si>
  <si>
    <t>中性三星 A01 黑橙</t>
  </si>
  <si>
    <t>B0BZCRVBC8</t>
  </si>
  <si>
    <t>Y72559-NB+Y72560+Y72399</t>
  </si>
  <si>
    <t>中性三星 A01 深蓝+蓝色</t>
  </si>
  <si>
    <t>B0BZD1QP7N</t>
  </si>
  <si>
    <t>Y71973-BL+Y71974+Y72754</t>
  </si>
  <si>
    <t>中性Moto G7 Power 黑色</t>
  </si>
  <si>
    <t>B0B6RC99NX</t>
  </si>
  <si>
    <t>Y72691-DB+Y72692+Y72758</t>
  </si>
  <si>
    <t>中性Moto G Fast 深蓝+蓝色</t>
  </si>
  <si>
    <t>B0C1C3DN9D</t>
  </si>
  <si>
    <t>Y7001-BB-ZH</t>
  </si>
  <si>
    <t>中性三星 Moto G Stylus 2022 4G黑蓝</t>
  </si>
  <si>
    <t>B0C1VFZYP5</t>
  </si>
  <si>
    <t>Y73135-BL-ZH</t>
  </si>
  <si>
    <t>中性Moto G Play 2021 黑色</t>
  </si>
  <si>
    <t>B0C2Q3GMBF</t>
  </si>
  <si>
    <t>Y73135-DB-ZH</t>
  </si>
  <si>
    <t>中性Moto G Play 2021 深蓝+蓝色</t>
  </si>
  <si>
    <t>B0C2Q5G4WP</t>
  </si>
  <si>
    <t>Y73135-OR-ZH</t>
  </si>
  <si>
    <t>中性Moto G Play 2021 黑橙</t>
  </si>
  <si>
    <t>B0C2Q3CC3D</t>
  </si>
  <si>
    <t>Y73153-OR-ZH</t>
  </si>
  <si>
    <t>中性三星 A52 黑+橙</t>
  </si>
  <si>
    <t>B0C2TCNT1B</t>
  </si>
  <si>
    <t>Y73821-BU-ZH</t>
  </si>
  <si>
    <t>中性Moto G Power 2022 黑+蓝</t>
  </si>
  <si>
    <t>B0C2TDNY87</t>
  </si>
  <si>
    <t>Y73821-DB-ZH</t>
  </si>
  <si>
    <t>中性Moto G Power 2022 深蓝+蓝</t>
  </si>
  <si>
    <t>B0C2TGTPPR</t>
  </si>
  <si>
    <t>Y73821-OR-ZH</t>
  </si>
  <si>
    <t>中性Moto G Power 2022 黑+橙</t>
  </si>
  <si>
    <t>B0C2TDWMR4</t>
  </si>
  <si>
    <t>Y7036-BL-ZH</t>
  </si>
  <si>
    <t xml:space="preserve">中性壳 Moto G POWER 5G 2023  </t>
  </si>
  <si>
    <t>B0C39R9CKF</t>
  </si>
  <si>
    <t>Y7036-BU-ZH</t>
  </si>
  <si>
    <t>B0C39SKJCD</t>
  </si>
  <si>
    <t>Y7036-DB-ZH</t>
  </si>
  <si>
    <t>B0C39QRGJ7</t>
  </si>
  <si>
    <t>Y7036-OR-ZH</t>
  </si>
  <si>
    <t>B0C39QMLST</t>
  </si>
  <si>
    <t>Y7039-BL+Y7040+Y7041</t>
  </si>
  <si>
    <t>中性壳A24 4G</t>
  </si>
  <si>
    <t>B0C3QJF82L</t>
  </si>
  <si>
    <t>Y7039-BU+Y7040+Y7041</t>
  </si>
  <si>
    <t>B0C3QJR1F6</t>
  </si>
  <si>
    <t>Y7039-DB+Y7040+Y7041</t>
  </si>
  <si>
    <t>中性壳 A24 4G</t>
  </si>
  <si>
    <t>B0C3QKV3M1</t>
  </si>
  <si>
    <t>Y7039-OR+Y7040+Y7041</t>
  </si>
  <si>
    <t>B0C3QG58M3</t>
  </si>
  <si>
    <t>Y73153-BL-ZH</t>
  </si>
  <si>
    <t>中性三星 A52 黑</t>
  </si>
  <si>
    <t>B0C2T94PMQ</t>
  </si>
  <si>
    <t>Y72055-OR+Y72058+Y72741</t>
  </si>
  <si>
    <t>中性三星 A10e 黑橙</t>
  </si>
  <si>
    <t>B0B5TLSDJH</t>
  </si>
  <si>
    <t>Y7042-BL+Y7043+Y7044</t>
  </si>
  <si>
    <t xml:space="preserve">CA中性手机壳三星 A14 5G </t>
  </si>
  <si>
    <t>Y7042-BU+Y7043+Y7044</t>
  </si>
  <si>
    <t>Y7042-DB+Y7043+Y7044</t>
  </si>
  <si>
    <t>Y7042-OR+Y7043+Y7044</t>
  </si>
  <si>
    <t>Y7045-BL+Y7046+Y7047</t>
  </si>
  <si>
    <t>CA中性壳A24 4G</t>
  </si>
  <si>
    <t>Y7045-BU+Y7046+Y7047</t>
  </si>
  <si>
    <t>Y7045-DB+Y7046+Y7047</t>
  </si>
  <si>
    <t>CA中性壳 A24 4G</t>
  </si>
  <si>
    <t>Y7045-OR+Y7046+Y7047</t>
  </si>
  <si>
    <t>Y7048-BL+Y7049+Y7050</t>
  </si>
  <si>
    <t xml:space="preserve">CA中性壳 Moto G POWER 5G 2023  </t>
  </si>
  <si>
    <t>Y7048-BU+Y7049+Y7050</t>
  </si>
  <si>
    <t>Y7048-DB+Y7049+Y7050</t>
  </si>
  <si>
    <t>Y7048-OR+Y7049+Y7050</t>
  </si>
  <si>
    <t>Y73153-DB-ZH</t>
  </si>
  <si>
    <t>中性三星 A52 深蓝+蓝</t>
  </si>
  <si>
    <t>B0C2T7NTB8</t>
  </si>
  <si>
    <t>Y72431-DB+Y72433+Y72531</t>
  </si>
  <si>
    <t>中性LG K51 深蓝+蓝色</t>
  </si>
  <si>
    <t>B0B5X9ZNNM</t>
  </si>
  <si>
    <t>Y72431-OR+Y72433+Y72531</t>
  </si>
  <si>
    <t xml:space="preserve"> 中性LG K51 黑橙</t>
  </si>
  <si>
    <t>B0B5XCX58S</t>
  </si>
  <si>
    <t>Y7009-BU-ZH</t>
  </si>
  <si>
    <t>中性三星 S22 黑+蓝</t>
  </si>
  <si>
    <t>B0C5XFK9HP</t>
  </si>
  <si>
    <t>Y7009-DB-ZH</t>
  </si>
  <si>
    <t>中性三星 S22 深蓝+蓝</t>
  </si>
  <si>
    <t>B0C5XDBD1N</t>
  </si>
  <si>
    <t>Y7009-OR-ZH</t>
  </si>
  <si>
    <t>中性三星 S22 黑+橙</t>
  </si>
  <si>
    <t>B0C5XC73WC</t>
  </si>
  <si>
    <t>Y7003-BL-ZH</t>
  </si>
  <si>
    <t>中性三星 S22 Plus 黑</t>
  </si>
  <si>
    <t>B0C5XKV6KL</t>
  </si>
  <si>
    <t>Y7003-BU-ZH</t>
  </si>
  <si>
    <t>中性三星 S22 Plus 黑+蓝</t>
  </si>
  <si>
    <t>B0C5XJZYSN</t>
  </si>
  <si>
    <t>Y7003-DB-ZH</t>
  </si>
  <si>
    <t>中性三星 S22 Plus 深蓝+蓝</t>
  </si>
  <si>
    <t>B0C5XNDZ1C</t>
  </si>
  <si>
    <t>Y7003-OR-ZH</t>
  </si>
  <si>
    <t>中性三星 S22 Plus 黑+橙</t>
  </si>
  <si>
    <t>B0C5XLLR7K</t>
  </si>
  <si>
    <t>Y7054-BL+Y7062+Y7058</t>
  </si>
  <si>
    <t>CA中性手机壳iPhone 14 黑色</t>
  </si>
  <si>
    <t>Y7054-BU+Y7062+Y7058</t>
  </si>
  <si>
    <t>CA中性手机壳iPhone 14  黑+蓝</t>
  </si>
  <si>
    <t>Y7054-DB+Y7062+Y7058</t>
  </si>
  <si>
    <t>CA中性手机壳iPhone 14  深蓝蓝</t>
  </si>
  <si>
    <t>Y7054-OR+Y7062+Y7058</t>
  </si>
  <si>
    <t>CA中性手机壳iPhone 14  橙色</t>
  </si>
  <si>
    <t>Y7052-BL+Y7056+Y7060</t>
  </si>
  <si>
    <t>CA中性手机壳iPhone 14 Pro  黑色</t>
  </si>
  <si>
    <t>Y7052-BU+Y7056+Y7060</t>
  </si>
  <si>
    <t>CA中性手机壳iPhone 14 Pro 黑+蓝</t>
  </si>
  <si>
    <t>Y7052-DB+Y7056+Y7060</t>
  </si>
  <si>
    <t>CA中性手机壳iPhone 14 Pro 深蓝蓝</t>
  </si>
  <si>
    <t>Y7052-OR+Y7056+Y7060</t>
  </si>
  <si>
    <t>CA中性手机壳iPhone 14 Pro 橙色</t>
  </si>
  <si>
    <t>Y7051-BL+Y7055+Y7059</t>
  </si>
  <si>
    <t>CA中性手机壳iPhone 14 Pro Max 黑色</t>
  </si>
  <si>
    <t>Y7051-BU+Y7055+Y7059</t>
  </si>
  <si>
    <t>CA中性壳iPhone 14 Pro Max  黑+蓝</t>
  </si>
  <si>
    <t>Y7051-DB+Y7055+Y7059</t>
  </si>
  <si>
    <t>CA中性手机壳iPhone 14 Pro Max  深蓝蓝</t>
  </si>
  <si>
    <t>Y7051-OR+Y7055+Y7059</t>
  </si>
  <si>
    <t>CA 中性手机壳iPhone 14 Pro Max  橙色</t>
  </si>
  <si>
    <t>Y7053-BL+Y7057+Y7061</t>
  </si>
  <si>
    <t>CA中性手机壳iPhone  14 plus 6.7 黑色</t>
  </si>
  <si>
    <t>Y7053-BU+Y7057+Y7061</t>
  </si>
  <si>
    <t>CA中性手机壳iPhone  14 plus 6.7 黑+蓝</t>
  </si>
  <si>
    <t>Y7053-DB+Y7057+Y7061</t>
  </si>
  <si>
    <t>CA中性手机壳iPhone  14 plus 6.7 深蓝蓝</t>
  </si>
  <si>
    <t>Y7053-OR+Y7057+Y7061</t>
  </si>
  <si>
    <t>CA中性手机壳iPhone  14 plus 6.7 橙色</t>
  </si>
  <si>
    <t>Y7063-BL+Y7064+Y7065</t>
  </si>
  <si>
    <t>中性壳Moto G Stylus 5G 2023</t>
  </si>
  <si>
    <t>B0C7ZM4H8Z</t>
  </si>
  <si>
    <t>Y7063-BU+Y7064+Y7065</t>
  </si>
  <si>
    <t>B0C7ZL429N</t>
  </si>
  <si>
    <t>Y7063-DB+Y7064+Y7065</t>
  </si>
  <si>
    <t>B0C7ZJ1DD7</t>
  </si>
  <si>
    <t>Y7063-OR+Y7064+Y7065</t>
  </si>
  <si>
    <t>B0C7ZL4Z59</t>
  </si>
  <si>
    <t>Y7066-BL+Y7067+Y7068</t>
  </si>
  <si>
    <t>中性壳iPhone 15 黑色</t>
  </si>
  <si>
    <t>B0CDGWKNYJ</t>
  </si>
  <si>
    <t>Y7066-BU+Y7067+Y7068</t>
  </si>
  <si>
    <t>中性壳iPhone 15 黑+蓝</t>
  </si>
  <si>
    <t>B0CDH22FFC</t>
  </si>
  <si>
    <t>Y7066-DB+Y7067+Y7068</t>
  </si>
  <si>
    <t>中性壳iPhone 15 深蓝+蓝</t>
  </si>
  <si>
    <t>B0CDGZ929Z</t>
  </si>
  <si>
    <t>Y7066-GE+Y7067+Y7068</t>
  </si>
  <si>
    <t>中性壳iPhone 15 浅绿+黄</t>
  </si>
  <si>
    <t>B0CDGYKC4Q</t>
  </si>
  <si>
    <t>Y7066-OR+Y7067+Y7068</t>
  </si>
  <si>
    <t>中性壳iPhone 15 黑+橙</t>
  </si>
  <si>
    <t>B0CDGY3PH4</t>
  </si>
  <si>
    <t>Y7069-BL+Y7070+Y7071</t>
  </si>
  <si>
    <t>中性壳iPhone 15 pro 黑色</t>
  </si>
  <si>
    <t>B0CDGZVZRS</t>
  </si>
  <si>
    <t>Y7069-BU+Y7070+Y7071</t>
  </si>
  <si>
    <t>中性壳iPhone 15 pro  黑+蓝</t>
  </si>
  <si>
    <t>B0CDGZVRJ8</t>
  </si>
  <si>
    <t>Y7069-DB+Y7070+Y7071</t>
  </si>
  <si>
    <t>中性壳iPhone 15 pro 深蓝+蓝</t>
  </si>
  <si>
    <t>B0CDH2HY46</t>
  </si>
  <si>
    <t>Y7069-GE+Y7070+Y7071</t>
  </si>
  <si>
    <t>中性壳iPhone 15 pro 浅绿+黄</t>
  </si>
  <si>
    <t>B0CDGYNNPZ</t>
  </si>
  <si>
    <t>Y7069-OR+Y7070+Y7071</t>
  </si>
  <si>
    <t>中性壳iPhone 15 pro 黑+橙</t>
  </si>
  <si>
    <t>B0CDGZ2GNB</t>
  </si>
  <si>
    <t>Y7072-BL+Y7073+Y7074</t>
  </si>
  <si>
    <t>中性壳iPhone 15 plus 黑色</t>
  </si>
  <si>
    <t>B0CDK1Y499</t>
  </si>
  <si>
    <t>Y7072-BU+Y7073+Y7074</t>
  </si>
  <si>
    <t>中性壳iPhone 15 plus  黑+蓝</t>
  </si>
  <si>
    <t>B0CDK2DZNM</t>
  </si>
  <si>
    <t>Y7072-DB+Y7073+Y7074</t>
  </si>
  <si>
    <t>中性壳iPhone 15 plus 深蓝+蓝</t>
  </si>
  <si>
    <t>B0CDKMY8Z9</t>
  </si>
  <si>
    <t>Y7072-GE+Y7073+Y7074</t>
  </si>
  <si>
    <t>中性壳iPhone 15 plus 浅绿+黄</t>
  </si>
  <si>
    <t>B0CDKMYQLQ</t>
  </si>
  <si>
    <t>Y7072-OR+Y7073+Y7074</t>
  </si>
  <si>
    <t>中性壳iPhone 15 plus 黑+橙</t>
  </si>
  <si>
    <t>B0CDKFJ16G</t>
  </si>
  <si>
    <t>Y7075-BL+Y7076+Y7077</t>
  </si>
  <si>
    <t>中性壳iPhone 15 pro max 黑色</t>
  </si>
  <si>
    <t>B0CDLDJ7N4</t>
  </si>
  <si>
    <t>Y7075-BU+Y7076+Y7077</t>
  </si>
  <si>
    <t>中性壳iPhone 15 pro  max黑+蓝</t>
  </si>
  <si>
    <t>B0CDKTTFY5</t>
  </si>
  <si>
    <t>Y7075-DB+Y7076+Y7077</t>
  </si>
  <si>
    <t>中性壳iPhone 15 pro max 深蓝+蓝</t>
  </si>
  <si>
    <t>B0CDKYLFXB</t>
  </si>
  <si>
    <t>Y7075-GE+Y7076+Y7077</t>
  </si>
  <si>
    <t>中性壳iPhone 15 pro max 浅绿+黄</t>
  </si>
  <si>
    <t>B0CDL6H6L4</t>
  </si>
  <si>
    <t>Y7075-OR+Y7076+Y7077</t>
  </si>
  <si>
    <t>中性壳iPhone 15 pro max黑+橙</t>
  </si>
  <si>
    <t>B0CDKYKTCP</t>
  </si>
  <si>
    <t>Y7084-BL+Y7085</t>
  </si>
  <si>
    <t>中性壳Google 8 黑色</t>
  </si>
  <si>
    <t>B0CGX31152</t>
  </si>
  <si>
    <t>Y7084-BU+Y7085</t>
  </si>
  <si>
    <t>中性壳Google 8黑+蓝</t>
  </si>
  <si>
    <t>B0CGX537RQ</t>
  </si>
  <si>
    <t>Y7084-DB+Y7085</t>
  </si>
  <si>
    <t>中性壳Google 8 深蓝+蓝</t>
  </si>
  <si>
    <t>B0CGX3D473</t>
  </si>
  <si>
    <t>Y7084-GE+Y7085</t>
  </si>
  <si>
    <t>中性壳Google 8 浅绿+黄</t>
  </si>
  <si>
    <t>B0CGX2Y6V2</t>
  </si>
  <si>
    <t>Y7084-OR+Y7085</t>
  </si>
  <si>
    <t>中性壳Google 8黑+橙</t>
  </si>
  <si>
    <t>B0CGX1WNFT</t>
  </si>
  <si>
    <t>Y7086-BL+Y7087</t>
  </si>
  <si>
    <t>中性壳Google 8 Pro 黑色</t>
  </si>
  <si>
    <t>B0CGX382NL</t>
  </si>
  <si>
    <t>Y7086-BU+Y7087</t>
  </si>
  <si>
    <t>中性壳Google 8 Pro黑+蓝</t>
  </si>
  <si>
    <t>B0CGX24JGD</t>
  </si>
  <si>
    <t>Y7086-DB+Y7087</t>
  </si>
  <si>
    <t>中性壳Google 8 Pro 深蓝+蓝</t>
  </si>
  <si>
    <t>B0CGX4CFML</t>
  </si>
  <si>
    <t>Y7086-GE+Y7087</t>
  </si>
  <si>
    <t>中性壳Google 8 Pro 浅绿+黄</t>
  </si>
  <si>
    <t>B0CGX383LR</t>
  </si>
  <si>
    <t>Y7086-OR+Y7087</t>
  </si>
  <si>
    <t>中性壳Google 8 Pro黑+橙</t>
  </si>
  <si>
    <t>B0CGX2PHRG</t>
  </si>
  <si>
    <t>Y7002-DY+Y7005</t>
  </si>
  <si>
    <t>Y7025-DB+Y7026+Y7027</t>
  </si>
  <si>
    <t>UI-URGF-4U86</t>
  </si>
  <si>
    <t>E0-GCQP-3XMM</t>
  </si>
  <si>
    <t>NM-V3QU-FP46</t>
  </si>
  <si>
    <t>Y72430-BL+Y72432+Y72750</t>
  </si>
  <si>
    <t>Y72430-DB+Y72432+Y72750</t>
  </si>
  <si>
    <t>Y72430-OR+Y72432+Y72750</t>
  </si>
  <si>
    <t>Y7025-BL+Y7026+Y7027</t>
  </si>
  <si>
    <t>Y73694-DB+Y73712+Y73744</t>
  </si>
  <si>
    <t>Y7025-BB+Y7026+Y7027</t>
  </si>
  <si>
    <t>Y7025-OR+Y7026+Y7027</t>
  </si>
  <si>
    <t>OG-70HD-PQP2</t>
  </si>
  <si>
    <t>CM-3ML7-Q5NK</t>
  </si>
  <si>
    <t>Y73473-BB+Y72614+Y73476</t>
  </si>
  <si>
    <t>2L-CFYQ-VDUR</t>
  </si>
  <si>
    <t>E8-VM8J-170U</t>
  </si>
  <si>
    <t>Y72055-BL+Y72058+Y72741</t>
  </si>
  <si>
    <t>Y72055-DB+Y72058+Y72741</t>
  </si>
  <si>
    <t>NP-JDYP-TXVL</t>
  </si>
  <si>
    <t>Y72563-DBY72564+Y72571</t>
  </si>
  <si>
    <t>9B-0BYU-7WWU</t>
  </si>
  <si>
    <t>H0-HU4X-MMDM</t>
  </si>
  <si>
    <t>Y73473-BL+Y72614+Y73476</t>
  </si>
  <si>
    <t>Y7072-OR+Y7073+Y7074-1</t>
  </si>
  <si>
    <t>Y73474-BL+Y72614+Y73477</t>
  </si>
  <si>
    <t>Y72610-NB+Y72613+Y12803</t>
  </si>
  <si>
    <t>Y73474-GR+Y72614+Y73477</t>
  </si>
  <si>
    <t>Y72559-BL+Y72560+Y72399</t>
  </si>
  <si>
    <t>N7-LVEG-1FB9</t>
  </si>
  <si>
    <t>Y72056-DB+Y72059-Y72740</t>
  </si>
  <si>
    <t>Y72056-OR+Y72059-Y72740</t>
  </si>
  <si>
    <t>GK-EDLM-LEFU</t>
  </si>
  <si>
    <t>XM-1O0F-HDEW</t>
  </si>
  <si>
    <t>Y72610-BL+Y72613+Y12803</t>
  </si>
  <si>
    <t>Y73405-OR+Y73406+Y73397</t>
  </si>
  <si>
    <t>G7-E9MQ-NJIP</t>
  </si>
  <si>
    <t>0A-93V1-DOX1</t>
  </si>
  <si>
    <t>N0-J4Z4-EFL0</t>
  </si>
  <si>
    <t>PC-NWEW-JK2L</t>
  </si>
  <si>
    <t>Y73630-BL+Y73635+Y73643</t>
  </si>
  <si>
    <t>Y73630-DB+Y73635+Y73643</t>
  </si>
  <si>
    <t>Y73630-OR+Y73635+Y73643</t>
  </si>
  <si>
    <t>Y72393-BL+Y72396+Y72533</t>
  </si>
  <si>
    <t>Y72393-DB+Y72396+Y72533</t>
  </si>
  <si>
    <t>LY-3PB5-N4IX</t>
  </si>
  <si>
    <t>Y72691-OR+Y72692+Y72758</t>
  </si>
  <si>
    <t>Y72393-OR+Y72396+Y72533</t>
  </si>
  <si>
    <t>NC-7BNE-PSL7</t>
  </si>
  <si>
    <t>T7-5AHL-BNOF</t>
  </si>
  <si>
    <t>Y72431-BL+Y72433+Y72531</t>
  </si>
  <si>
    <t>XL-TCHA-4PRJ</t>
  </si>
  <si>
    <t>Y7032-BB-ZH</t>
  </si>
  <si>
    <t>Y7032-DB-ZH</t>
  </si>
  <si>
    <t>Y7032-OR-ZH</t>
  </si>
  <si>
    <t>Y73554-BL+Y73555+Y73566</t>
  </si>
  <si>
    <t>9V-B8EY-M096</t>
  </si>
  <si>
    <t>Y73554-OR+Y73555+Y73566</t>
  </si>
  <si>
    <t>Y73554-DB+Y73555+Y73566</t>
  </si>
  <si>
    <t>Y72691-BL+Y72692+Y72758</t>
  </si>
  <si>
    <t>PA-R50H-NEUG</t>
  </si>
  <si>
    <t>Y71973-DB+Y71974+Y72754</t>
  </si>
  <si>
    <t>Y71973-OR+Y71974+Y7275</t>
  </si>
  <si>
    <t>K2-S65H-3O5I</t>
  </si>
  <si>
    <t>Y7001-DB-ZH</t>
  </si>
  <si>
    <t>Y73821-BL-ZH</t>
  </si>
  <si>
    <t>NV-VQ6K-M8ZM</t>
  </si>
  <si>
    <t>HX-VFQC-C6H2</t>
  </si>
  <si>
    <t>UI-JHDL-XPBQ</t>
  </si>
  <si>
    <t>Y73630-BU+Y73635+Y73643</t>
  </si>
  <si>
    <t>QF-YQ9R-20SN</t>
  </si>
  <si>
    <t>GA-TSNP-KR12</t>
  </si>
  <si>
    <t>6R-OLYT-3TOE</t>
  </si>
  <si>
    <t>E03473-BL+E02614+E03496</t>
  </si>
  <si>
    <t>PD-E3XJ-JWMI</t>
  </si>
  <si>
    <t>V1-8IBS-R7HP</t>
  </si>
  <si>
    <t>Y73474-OR+Y72614+Y73477</t>
  </si>
  <si>
    <t>Y73474-BB+Y72614+Y73477</t>
  </si>
  <si>
    <t>Y7075-OR+Y7076+Y7077-1</t>
  </si>
  <si>
    <t>D8-6HBU-52AT</t>
  </si>
  <si>
    <t>2G-RA4A-1YYO</t>
  </si>
  <si>
    <t>54-VC72-57MO</t>
  </si>
  <si>
    <t>YE-XXB1-PQG1</t>
  </si>
  <si>
    <t>WR-JNWZ-X4O0</t>
  </si>
  <si>
    <t>8L-4CQX-74RU</t>
  </si>
  <si>
    <t>I7-YM1N-ZUGN</t>
  </si>
  <si>
    <t>E03895-BL+E03896+E03898</t>
  </si>
  <si>
    <t>D7-BT1G-GXSJ</t>
  </si>
  <si>
    <t>OO-CYXN-GNER</t>
  </si>
  <si>
    <t>Y7001-BL-ZH</t>
  </si>
  <si>
    <t>Y7001-OR-ZH</t>
  </si>
  <si>
    <t>Y7079</t>
  </si>
  <si>
    <t>Y7081</t>
  </si>
  <si>
    <t>Y7083</t>
  </si>
  <si>
    <t>MW-X1ID-DDBE</t>
  </si>
  <si>
    <t>NG-VEIZ-1VOP</t>
  </si>
  <si>
    <t>VZ-BUXG-C44P</t>
  </si>
  <si>
    <t>N5-GRJ6-YAZB</t>
  </si>
  <si>
    <t>Y72995-BL+Y72997+Y73011</t>
  </si>
  <si>
    <t>Y8002-GR</t>
  </si>
  <si>
    <t>B09Z2T2LNF</t>
  </si>
  <si>
    <t>Y8005</t>
  </si>
  <si>
    <t>B09ZY6DBSP</t>
  </si>
  <si>
    <t>Y8006</t>
  </si>
  <si>
    <t>B0B146G4QP</t>
  </si>
  <si>
    <t>Y8007</t>
  </si>
  <si>
    <t>B0B1DGJ2TQ</t>
  </si>
  <si>
    <t>Y8010</t>
  </si>
  <si>
    <t>B0B2CPRDG4</t>
  </si>
  <si>
    <t>Y8012</t>
  </si>
  <si>
    <t>B0B38YLXHH</t>
  </si>
  <si>
    <t>Y8015-GR</t>
  </si>
  <si>
    <t>B0B4NR7QGP</t>
  </si>
  <si>
    <t>Y8015-RE</t>
  </si>
  <si>
    <t>B0B4NP7J23</t>
  </si>
  <si>
    <t>Y8016-GR</t>
  </si>
  <si>
    <t>B0B569T45Q</t>
  </si>
  <si>
    <t>Y8016-RE</t>
  </si>
  <si>
    <t>B0B56CBTGR</t>
  </si>
  <si>
    <t>Y8009-RD</t>
  </si>
  <si>
    <t>B0B5CKCWLP</t>
  </si>
  <si>
    <t>Y8020-BL-1</t>
  </si>
  <si>
    <t>B0B5ST6VGH</t>
  </si>
  <si>
    <t>Y8020-RE-1</t>
  </si>
  <si>
    <t>B0B5SR53ZR</t>
  </si>
  <si>
    <t>Y8009-BA-1</t>
  </si>
  <si>
    <t>B0B5WT8QV5</t>
  </si>
  <si>
    <t>Y8025</t>
  </si>
  <si>
    <t>皮带钥匙扣2只</t>
  </si>
  <si>
    <t>B0B5ZHCX9W</t>
  </si>
  <si>
    <t>Y8027</t>
  </si>
  <si>
    <t>户外战术织带挂扣+腰带固定扣（2+10）</t>
  </si>
  <si>
    <t>B0B6R7NXQH</t>
  </si>
  <si>
    <t>Y8029</t>
  </si>
  <si>
    <t>战术腰带环</t>
  </si>
  <si>
    <t>B0B6R832BS</t>
  </si>
  <si>
    <t>Y8031</t>
  </si>
  <si>
    <t>快拆式背带扣 （2个装）</t>
  </si>
  <si>
    <t>B0BMQ34HRH</t>
  </si>
  <si>
    <t>Y8033-RD</t>
  </si>
  <si>
    <t>B0BN112HWG</t>
  </si>
  <si>
    <t>Y8033-BL</t>
  </si>
  <si>
    <t>B0BMVDYPYP</t>
  </si>
  <si>
    <t>Y8034-BL</t>
  </si>
  <si>
    <t>金属折叠机瞄</t>
  </si>
  <si>
    <t>B0BNMCC1BK</t>
  </si>
  <si>
    <t>Y8034-SC</t>
  </si>
  <si>
    <t>B0BNMB3DJF</t>
  </si>
  <si>
    <t>Y8040</t>
  </si>
  <si>
    <t>户外战术枪套 50inch左手黑色</t>
  </si>
  <si>
    <t>B0BP6TCNTN</t>
  </si>
  <si>
    <t>Y8041-BL</t>
  </si>
  <si>
    <t>B0BP6VMQS3</t>
  </si>
  <si>
    <t>Y8041-RE</t>
  </si>
  <si>
    <t>B0BP6Y5WJ5</t>
  </si>
  <si>
    <t>Y8042-GR</t>
  </si>
  <si>
    <t>绿激光校准器（2个电池+12个头）</t>
  </si>
  <si>
    <t>B0BQ658DFT</t>
  </si>
  <si>
    <t>Y8043-RE*1</t>
  </si>
  <si>
    <t>带红激光和压垫开关 瞄准镜</t>
  </si>
  <si>
    <t>B0BR6M92HS</t>
  </si>
  <si>
    <t>Y8055</t>
  </si>
  <si>
    <t>尼龙前后准星 机械瞄 2代准星（带扳手）</t>
  </si>
  <si>
    <t>B0BRKP3QD8</t>
  </si>
  <si>
    <t>Y8043-GR*1</t>
  </si>
  <si>
    <t>带绿激光和压垫开关 瞄准镜</t>
  </si>
  <si>
    <t>B0BR6NG7RC</t>
  </si>
  <si>
    <t>Y8056-BL</t>
  </si>
  <si>
    <t>B0BT9TK3RN</t>
  </si>
  <si>
    <t>Y8057-BL</t>
  </si>
  <si>
    <t>战术绷带收纳盒+止血带 两套</t>
  </si>
  <si>
    <t>B0BTBDJK8Y</t>
  </si>
  <si>
    <t>Y8057-GR</t>
  </si>
  <si>
    <t>B0BTBBQ8S7</t>
  </si>
  <si>
    <t>Y8061-RE</t>
  </si>
  <si>
    <t>USB充电20MM红光激光瞄准器</t>
  </si>
  <si>
    <t>B0BTBHDJNT</t>
  </si>
  <si>
    <t>晓美</t>
  </si>
  <si>
    <t>Y8062</t>
  </si>
  <si>
    <t>B0BTHLMFQS</t>
  </si>
  <si>
    <t>Y8053*5</t>
  </si>
  <si>
    <t>.223REM 红激光校瞄仪</t>
  </si>
  <si>
    <t>B0BTM6SW8Q</t>
  </si>
  <si>
    <t>Y8055-SC</t>
  </si>
  <si>
    <t>B0BW3VLGQG</t>
  </si>
  <si>
    <t>Y8068-1</t>
  </si>
  <si>
    <t>B0BW8Q2HW3</t>
  </si>
  <si>
    <t>Y8069-1</t>
  </si>
  <si>
    <t>B0BW8Q4WRZ</t>
  </si>
  <si>
    <t>Y8067</t>
  </si>
  <si>
    <t>CQB金属机瞄</t>
  </si>
  <si>
    <t>B0BWXHGNJD</t>
  </si>
  <si>
    <t>Y8072</t>
  </si>
  <si>
    <t>适用于Safariland 腰板 腰挂配件</t>
  </si>
  <si>
    <t>B0BY4WWDRM</t>
  </si>
  <si>
    <t>Y8074*2</t>
  </si>
  <si>
    <t>绷带 2个装</t>
  </si>
  <si>
    <t>B0BYSKSMYD</t>
  </si>
  <si>
    <t>Y8078-BL</t>
  </si>
  <si>
    <t>适用于3/4代 Glock G19 G23 G32 G38</t>
  </si>
  <si>
    <t>B0BZCPXC32</t>
  </si>
  <si>
    <t>Y8079-BL</t>
  </si>
  <si>
    <t>For 1/2/5代 Glock 17 18 19X 20 21 22 24 橡胶防滑套</t>
  </si>
  <si>
    <t>B0BZCN378H</t>
  </si>
  <si>
    <t>Y8079-SC</t>
  </si>
  <si>
    <t>B0BZCJMWYW</t>
  </si>
  <si>
    <t>Y8080</t>
  </si>
  <si>
    <t>战术快拔套防滑套 适用Glock</t>
  </si>
  <si>
    <t>B0BZVQWSF6</t>
  </si>
  <si>
    <t>Y8084-BL</t>
  </si>
  <si>
    <t>B0C1N2XR9Y</t>
  </si>
  <si>
    <t>Y8084-GR</t>
  </si>
  <si>
    <t>橡胶防滑套 握把套 For P365 绿色</t>
  </si>
  <si>
    <t>B0C1N869SH</t>
  </si>
  <si>
    <t>Y8069-BL</t>
  </si>
  <si>
    <t>B0C1YH1CHW</t>
  </si>
  <si>
    <t>Y8069-PU</t>
  </si>
  <si>
    <t>B0C1YK8LFT</t>
  </si>
  <si>
    <t>Y8082-NF</t>
  </si>
  <si>
    <t>B0C1YNWB4Y</t>
  </si>
  <si>
    <t>Y8082-BL</t>
  </si>
  <si>
    <t>B0C23BT743</t>
  </si>
  <si>
    <t>Y8083-BL</t>
  </si>
  <si>
    <t>B0C2P1L51B</t>
  </si>
  <si>
    <t>Y8083-PU</t>
  </si>
  <si>
    <t>B0C2VCS231</t>
  </si>
  <si>
    <t>Y8086</t>
  </si>
  <si>
    <t>B0C2Z567KN</t>
  </si>
  <si>
    <t>Y8093-1</t>
  </si>
  <si>
    <t>B0C4LDPJVG</t>
  </si>
  <si>
    <t>Y8090-2</t>
  </si>
  <si>
    <t>B0C4XZ4B7L</t>
  </si>
  <si>
    <t>Y8090-3</t>
  </si>
  <si>
    <t>B0C4Y2FCW5</t>
  </si>
  <si>
    <t>Y8092-BL-1</t>
  </si>
  <si>
    <t>B0C4XY3Y7T</t>
  </si>
  <si>
    <t>Y8092-BL-2</t>
  </si>
  <si>
    <t>B0C4Y46WGX</t>
  </si>
  <si>
    <t>Y8092-GA-1</t>
  </si>
  <si>
    <t>B0C4Y31G5Z</t>
  </si>
  <si>
    <t>Y8092-GA-2</t>
  </si>
  <si>
    <t>B0C4Y1FMW6</t>
  </si>
  <si>
    <t>Y8095-GR</t>
  </si>
  <si>
    <t>B0C6F4TVQ2</t>
  </si>
  <si>
    <t>Y8095-RE</t>
  </si>
  <si>
    <t>B0C6F27TL6</t>
  </si>
  <si>
    <t>Y8802-BL</t>
  </si>
  <si>
    <t>B0C6STZ5CY</t>
  </si>
  <si>
    <t>Y8802-RE</t>
  </si>
  <si>
    <t>B0C6STZRC8</t>
  </si>
  <si>
    <t>Y8807-BL</t>
  </si>
  <si>
    <t>B0C6STCPW9</t>
  </si>
  <si>
    <t>Y8807-RE</t>
  </si>
  <si>
    <t>B0C6SLQ6MK</t>
  </si>
  <si>
    <t>Y8808-BL</t>
  </si>
  <si>
    <t>CA Glock铝合金握把底座配件- G19 Gen5</t>
  </si>
  <si>
    <t>B0C6SM89BR</t>
  </si>
  <si>
    <t>Y8809-BL</t>
  </si>
  <si>
    <t>CA Glock铝合金握把底座配件- G17 Gen5</t>
  </si>
  <si>
    <t>B0C6SNLM53</t>
  </si>
  <si>
    <t>Y8809-RE</t>
  </si>
  <si>
    <t>B0C6SNGQ33</t>
  </si>
  <si>
    <t>Y8810-SC</t>
  </si>
  <si>
    <t>B0C6T3QVJL</t>
  </si>
  <si>
    <t>Y8808-RE</t>
  </si>
  <si>
    <t>B0C6SKDL3G</t>
  </si>
  <si>
    <t>Y8810-BL</t>
  </si>
  <si>
    <t>B0C6T5FF87</t>
  </si>
  <si>
    <t>Y8814-BL</t>
  </si>
  <si>
    <t>CA  For 1/2/5代 Glock19 23 32 38 防滑燕尾握把套</t>
  </si>
  <si>
    <t>B0C6T4J33T</t>
  </si>
  <si>
    <t>Y8814-SC</t>
  </si>
  <si>
    <t>B0C6T4RXFQ</t>
  </si>
  <si>
    <t>Y8815-BL</t>
  </si>
  <si>
    <t>CA 适用于3/4代 Glock G19 G23 G32 G38</t>
  </si>
  <si>
    <t>B0C6T6LBF7</t>
  </si>
  <si>
    <t>Y8815-SC</t>
  </si>
  <si>
    <t>B0C6T4C525</t>
  </si>
  <si>
    <t>Y8816-SC</t>
  </si>
  <si>
    <t>CA  For 1/2/5代 Glock 17 18 19X 20 21 22 24 橡胶防滑套</t>
  </si>
  <si>
    <t>B0C6T42NWB</t>
  </si>
  <si>
    <t>Y8817-BL</t>
  </si>
  <si>
    <t>CA 橡胶防滑套 握把套 For P365 黑色</t>
  </si>
  <si>
    <t>B0C6T66K9F</t>
  </si>
  <si>
    <t>Y8817-GR</t>
  </si>
  <si>
    <t>CA  橡胶防滑套 握把套 For P365 绿色</t>
  </si>
  <si>
    <t>B0C6T7WR7L</t>
  </si>
  <si>
    <t>Y8804</t>
  </si>
  <si>
    <t>CA Glock腰带夹</t>
  </si>
  <si>
    <t>B0C6TJ2Y93</t>
  </si>
  <si>
    <t>Y8805-RE</t>
  </si>
  <si>
    <t>CA Glock光纤前后机瞄</t>
  </si>
  <si>
    <t>B0C6XJMCDF</t>
  </si>
  <si>
    <t>Y8813</t>
  </si>
  <si>
    <t>CA Glock后盖片 2PC</t>
  </si>
  <si>
    <t>B0C6XTRTY6</t>
  </si>
  <si>
    <t>Y8803</t>
  </si>
  <si>
    <t>CA铝合金20mm快拆导轨</t>
  </si>
  <si>
    <t>B0C6XJMX3K</t>
  </si>
  <si>
    <t>Y8049-SC</t>
  </si>
  <si>
    <t>B0C7C2MLFX</t>
  </si>
  <si>
    <t>Y8052-SI</t>
  </si>
  <si>
    <t>金属DD机械瞄准器（不带扳手） 银色</t>
  </si>
  <si>
    <t>B0CC5FG1FN</t>
  </si>
  <si>
    <t>Y8097-GN</t>
  </si>
  <si>
    <t>B0CD28MNTY</t>
  </si>
  <si>
    <t>Y8097-RE</t>
  </si>
  <si>
    <t>B0CD27MLYP</t>
  </si>
  <si>
    <t>Y8076-BL</t>
  </si>
  <si>
    <t>适合3/4代 Glock17 18 20 等 橡胶防滑握把套</t>
  </si>
  <si>
    <t>B0CDWQB1S7</t>
  </si>
  <si>
    <t>Y8095-GR-1</t>
  </si>
  <si>
    <t>B0CF87TLHY</t>
  </si>
  <si>
    <t>Y8098</t>
  </si>
  <si>
    <t>战术瞄准器推进工具For Glock</t>
  </si>
  <si>
    <t>B0CJJGL161</t>
  </si>
  <si>
    <t>Y8100</t>
  </si>
  <si>
    <t>B0CJQWC1Q9</t>
  </si>
  <si>
    <t>Y8099</t>
  </si>
  <si>
    <t>Glock格洛克 夜光机瞄</t>
  </si>
  <si>
    <t>B0CJXRST57</t>
  </si>
  <si>
    <t>Y8101-1</t>
  </si>
  <si>
    <t xml:space="preserve">靶板修补贴射击练习贴纸 1卷 </t>
  </si>
  <si>
    <t>B0CJXRJVQK</t>
  </si>
  <si>
    <t>Y8101-4</t>
  </si>
  <si>
    <t>靶板修补贴射击练习贴纸 4卷</t>
  </si>
  <si>
    <t>B0CJXL1VTH</t>
  </si>
  <si>
    <t>Y8102-MU</t>
  </si>
  <si>
    <t>战术背心胸挂 通用胸前手机板载体   泥色</t>
  </si>
  <si>
    <t>B0CK1D5Q65</t>
  </si>
  <si>
    <t>Y8002-BU</t>
  </si>
  <si>
    <t>Y8004</t>
  </si>
  <si>
    <t>Y8009-BA</t>
  </si>
  <si>
    <t>Y8014</t>
  </si>
  <si>
    <t>Y8020-BL</t>
  </si>
  <si>
    <t>Y8020-RE</t>
  </si>
  <si>
    <t>Y8024</t>
  </si>
  <si>
    <t>Y8026</t>
  </si>
  <si>
    <t>Y8030+Y8031</t>
  </si>
  <si>
    <t>Y8049</t>
  </si>
  <si>
    <t>Y8052</t>
  </si>
  <si>
    <t>Y8038</t>
  </si>
  <si>
    <t>Y8042-RE</t>
  </si>
  <si>
    <t>Y8043-GR</t>
  </si>
  <si>
    <t>Y8044</t>
  </si>
  <si>
    <t>Y8045</t>
  </si>
  <si>
    <t>Y8047-SC</t>
  </si>
  <si>
    <t>Y8049-GR</t>
  </si>
  <si>
    <t>Y8053</t>
  </si>
  <si>
    <t>Y8801</t>
  </si>
  <si>
    <t>Y8084-BL-2</t>
  </si>
  <si>
    <t>Y8076-SC</t>
  </si>
  <si>
    <t>Y8056-GR</t>
  </si>
  <si>
    <t>Y8056-GR-1</t>
  </si>
  <si>
    <t>Y8078-SC</t>
  </si>
  <si>
    <t>Y8068</t>
  </si>
  <si>
    <t>Y8069</t>
  </si>
  <si>
    <t>Y8082-PU</t>
  </si>
  <si>
    <t>Y8070</t>
  </si>
  <si>
    <t>Y8074</t>
  </si>
  <si>
    <t>Y8075-BL</t>
  </si>
  <si>
    <t>Y8075-SC</t>
  </si>
  <si>
    <t>Y8091</t>
  </si>
  <si>
    <t>Y8084-SC</t>
  </si>
  <si>
    <t>Y8089-BL</t>
  </si>
  <si>
    <t>Y8093</t>
  </si>
  <si>
    <t>Y8084-BL-1</t>
  </si>
  <si>
    <t>Y8805-GR</t>
  </si>
  <si>
    <t>Y8811</t>
  </si>
  <si>
    <t>Y8812</t>
  </si>
  <si>
    <t>Y8816-BL</t>
  </si>
  <si>
    <t>Y9025-OR+Y9026+Y9027</t>
  </si>
  <si>
    <t>中性三星 A03s美版 橙</t>
  </si>
  <si>
    <t>B0B5N285BD</t>
  </si>
  <si>
    <t>Y9002-BU+Y9005</t>
  </si>
  <si>
    <t>B0B6VJJMWD</t>
  </si>
  <si>
    <t>Y9002-DB+Y9005</t>
  </si>
  <si>
    <t>B0B6VLWLHF</t>
  </si>
  <si>
    <t>Y9002-OR+Y9005</t>
  </si>
  <si>
    <t>B0B6VJS464</t>
  </si>
  <si>
    <t>Y92611-DB+Y92614+Y92635</t>
  </si>
  <si>
    <t>B0B5SWTHW5</t>
  </si>
  <si>
    <t>Y93475-DB+Y92615+Y93478</t>
  </si>
  <si>
    <t>B0B5QJGPS2</t>
  </si>
  <si>
    <t>Y93694-BL+Y93712+Y93744</t>
  </si>
  <si>
    <t>B0B5N2J21Z</t>
  </si>
  <si>
    <t>Y93694-BU+Y93712+Y93744</t>
  </si>
  <si>
    <t>B0B5N198G3</t>
  </si>
  <si>
    <t>Y93694-OR+Y93712+Y93744</t>
  </si>
  <si>
    <t>B0B5N1JWMD</t>
  </si>
  <si>
    <t>Y9003-BL+Y9006+Y9008</t>
  </si>
  <si>
    <t>B0B63GG8ZH</t>
  </si>
  <si>
    <t>Y9003-BU+Y9006+Y9008</t>
  </si>
  <si>
    <t>B0B7JCJGP5</t>
  </si>
  <si>
    <t>Y9003-DB+Y9006+Y9008</t>
  </si>
  <si>
    <t>B0B7JCHTKH</t>
  </si>
  <si>
    <t>Y93040-BL+Y93045+Y93043</t>
  </si>
  <si>
    <t>B0B634WWTT</t>
  </si>
  <si>
    <t>Y93040-DB+Y93045+Y93043</t>
  </si>
  <si>
    <t>B0B7HVPQ58</t>
  </si>
  <si>
    <t>Y93040-OR+Y93045+Y93043</t>
  </si>
  <si>
    <t>B0B7J16F66</t>
  </si>
  <si>
    <t>Y93106-BL+Y93109+Y93112</t>
  </si>
  <si>
    <t>B0B7HZ9RN6</t>
  </si>
  <si>
    <t>Y93106-DB+Y93109+Y93112</t>
  </si>
  <si>
    <t>B0B6333ZLX</t>
  </si>
  <si>
    <t>Y93106-OR+Y93109+Y93112</t>
  </si>
  <si>
    <t>B0B7HXB967</t>
  </si>
  <si>
    <t>Y93134-BL+Y93137+Y93268</t>
  </si>
  <si>
    <t>B0B7J2W7P2</t>
  </si>
  <si>
    <t>Y93134-DB+Y93137+Y93268</t>
  </si>
  <si>
    <t>B0B635ZHTN</t>
  </si>
  <si>
    <t>Y93134-OR+Y93137+Y93268</t>
  </si>
  <si>
    <t>B0B7J2NR5N</t>
  </si>
  <si>
    <t>Y93230-BL+Y903231+Y93240</t>
  </si>
  <si>
    <t>B0B7HX1QK8</t>
  </si>
  <si>
    <t>Y93230-DB+Y903231+Y93240</t>
  </si>
  <si>
    <t>B0B632PTY2</t>
  </si>
  <si>
    <t>Y93230-OR+Y903231+Y93240</t>
  </si>
  <si>
    <t>B0B7HYLDSL</t>
  </si>
  <si>
    <t>Y9029-BU+Y9030+Y9031</t>
  </si>
  <si>
    <t>中性三星 A53 5G 黑+蓝</t>
  </si>
  <si>
    <t>B0B7JHH16N</t>
  </si>
  <si>
    <t>Y9029-DB+Y9030+Y9031</t>
  </si>
  <si>
    <t>中性三星 A53 5G 深蓝+蓝</t>
  </si>
  <si>
    <t>B0B7JH9QBS</t>
  </si>
  <si>
    <t>Y9029-OR+Y9030+Y9031</t>
  </si>
  <si>
    <t>中性三星 A53 5G 黑橙</t>
  </si>
  <si>
    <t>B0B7JFWQ4F</t>
  </si>
  <si>
    <t>Y93475-GR+Y92615+Y93478</t>
  </si>
  <si>
    <t>B0B5QKGJH4</t>
  </si>
  <si>
    <t>Y93756-BL+Y93757+Y93760</t>
  </si>
  <si>
    <t>中性谷歌 Pixel 6 黑</t>
  </si>
  <si>
    <t>B0B5N5NMJN</t>
  </si>
  <si>
    <t>Y93758-BU+Y93759+Y93761</t>
  </si>
  <si>
    <t>中性谷歌 Pixel 6 pro 黑+蓝</t>
  </si>
  <si>
    <t>B0B5N3SD8W</t>
  </si>
  <si>
    <t>Y93758-DB+Y93759+Y93761</t>
  </si>
  <si>
    <t>中性谷歌 Pixel 6 pro 深蓝+蓝</t>
  </si>
  <si>
    <t>B0B5N3K7LB</t>
  </si>
  <si>
    <t>Y93694-DB+Y93712+Y93744</t>
  </si>
  <si>
    <t>中性三星 A13 深蓝+蓝</t>
  </si>
  <si>
    <t>B0B5N33WKF</t>
  </si>
  <si>
    <t>Y9001-BU</t>
  </si>
  <si>
    <t>多功能手持风扇 USB便携式折叠风扇 深海蓝</t>
  </si>
  <si>
    <t>B0BVMG2B48</t>
  </si>
  <si>
    <t>Y9001-GR</t>
  </si>
  <si>
    <t>多功能手持风扇 USB便携式折叠风扇 暗夜绿</t>
  </si>
  <si>
    <t>B0BVMG33FS</t>
  </si>
  <si>
    <t>Y9001-PI</t>
  </si>
  <si>
    <t>多功能手持风扇 USB便携式折叠风扇 樱花粉</t>
  </si>
  <si>
    <t>B0BVPN4L87</t>
  </si>
  <si>
    <t>Y9001-PU</t>
  </si>
  <si>
    <t>多功能手持风扇 USB便携式折叠风扇 紫罗兰</t>
  </si>
  <si>
    <t>B0BVMH4Q7J</t>
  </si>
  <si>
    <t>Y9001-WH</t>
  </si>
  <si>
    <t>多功能手持风扇 USB便携式折叠风扇 雪峰白</t>
  </si>
  <si>
    <t>B0BVNW9PY5</t>
  </si>
  <si>
    <t>Y9002-BL</t>
  </si>
  <si>
    <t>高压可调节喷头花园洗车水枪 黑色</t>
  </si>
  <si>
    <t>B0BX252DLT</t>
  </si>
  <si>
    <t>Y9002-BU</t>
  </si>
  <si>
    <t>高压可调节喷头花园洗车水枪 蓝色</t>
  </si>
  <si>
    <t>B0BX1X4VP8</t>
  </si>
  <si>
    <t>Y9003-1</t>
  </si>
  <si>
    <t>八合一便携式水质检测笔</t>
  </si>
  <si>
    <t>B0BYCMVK7Q</t>
  </si>
  <si>
    <t>Y93405-BL+Y93406+Y93397</t>
  </si>
  <si>
    <t>B0B5SW89MJ</t>
  </si>
  <si>
    <t>Y93405-DB+Y93406+Y93397</t>
  </si>
  <si>
    <t>B0B5SX52BD</t>
  </si>
  <si>
    <t>Y9005-BL</t>
  </si>
  <si>
    <t>迷你数显折叠手持小风扇 白黑</t>
  </si>
  <si>
    <t>B0BZ3ZMR15</t>
  </si>
  <si>
    <t>Y9005-BU</t>
  </si>
  <si>
    <t>迷你数显折叠手持小风扇 白蓝</t>
  </si>
  <si>
    <t>B0BZ439ZHM</t>
  </si>
  <si>
    <t>Y9005-PI</t>
  </si>
  <si>
    <t>迷你数显折叠手持小风扇 樱花粉</t>
  </si>
  <si>
    <t>B0BZ3YPHM9</t>
  </si>
  <si>
    <t>Y9005-WH</t>
  </si>
  <si>
    <t>迷你数显折叠手持小风扇 珍珠白</t>
  </si>
  <si>
    <t>B0BZ3ZZQXL</t>
  </si>
  <si>
    <t>Y93821-BU+Y93822+Y93823</t>
  </si>
  <si>
    <t>B0B5RBDZC5</t>
  </si>
  <si>
    <t>Y93821-DB+Y93822+Y93823</t>
  </si>
  <si>
    <t>B0B5R772YP</t>
  </si>
  <si>
    <t>Y93821-BL+Y93822+Y93823</t>
  </si>
  <si>
    <t>中性Moto G Power 2022 黑</t>
  </si>
  <si>
    <t>B0B5R72V14</t>
  </si>
  <si>
    <t>Y92559-BL+Y92560+Y92399</t>
  </si>
  <si>
    <t>中性三星 A01 黑色</t>
  </si>
  <si>
    <t>B0B5Z3G5DN</t>
  </si>
  <si>
    <t>Y92559-OR+Y92560+Y92399</t>
  </si>
  <si>
    <t>B0B5Z3Y2QF</t>
  </si>
  <si>
    <t>Y92563-BL+Y92564+Y92571</t>
  </si>
  <si>
    <t>B0B5Z3XH4G</t>
  </si>
  <si>
    <t>Y92563-OR+Y92564+Y92571</t>
  </si>
  <si>
    <t>B0B5Z3R5GW</t>
  </si>
  <si>
    <t>Y92610-BL+Y92613+Y92634</t>
  </si>
  <si>
    <t>B0B5X7WJR3</t>
  </si>
  <si>
    <t>Y92610-DB+Y92613+Y92634</t>
  </si>
  <si>
    <t>中性iPhone 12 5.4 深蓝+蓝色</t>
  </si>
  <si>
    <t>B0B5X8CBNR</t>
  </si>
  <si>
    <t>Y92610-OR+Y92613+Y92634</t>
  </si>
  <si>
    <t>B0B5X7P8NJ</t>
  </si>
  <si>
    <t>Y93133-BL+Y93136+Y93267</t>
  </si>
  <si>
    <t>B0B5WZFSNQ</t>
  </si>
  <si>
    <t>Y93133-DB+Y93136+Y93267</t>
  </si>
  <si>
    <t>B0B5WZ389D</t>
  </si>
  <si>
    <t>Y93133-OR+Y93136+Y93267</t>
  </si>
  <si>
    <t>B0B5WZ6S9R</t>
  </si>
  <si>
    <t>Y93153-BL+Y93155+Y93169</t>
  </si>
  <si>
    <t>B0B5X12SMJ</t>
  </si>
  <si>
    <t>Y93153-DB+Y93155+Y93169</t>
  </si>
  <si>
    <t>B0B5WY83MR</t>
  </si>
  <si>
    <t>Y93153-OR+Y93155+Y93169</t>
  </si>
  <si>
    <t>B0B5WX6ZCM</t>
  </si>
  <si>
    <t>Y9009-BL-ZH</t>
  </si>
  <si>
    <t>中性三星 S22 黑</t>
  </si>
  <si>
    <t>B0C5T553YJ</t>
  </si>
  <si>
    <t>Y9009-BU-ZH</t>
  </si>
  <si>
    <t>B0C5T6KTZ4</t>
  </si>
  <si>
    <t>Y9009-DB-ZH</t>
  </si>
  <si>
    <t>B0C5T89X9T</t>
  </si>
  <si>
    <t>Y9009-OR-ZH</t>
  </si>
  <si>
    <t>B0C5T6TTX2</t>
  </si>
  <si>
    <t>Y92000-BL+Y92013+Y92749</t>
  </si>
  <si>
    <t>B0B5ZPQ3NS</t>
  </si>
  <si>
    <t>Y92000-DB+Y92013+Y92749</t>
  </si>
  <si>
    <t>B0B5ZQ6S7L</t>
  </si>
  <si>
    <t>Y92000-OR+Y92013+Y92749</t>
  </si>
  <si>
    <t>B0B5ZPTCX3</t>
  </si>
  <si>
    <t>Y93135-BL+Y93138+Y93269-1</t>
  </si>
  <si>
    <t>B0C61HN4GR</t>
  </si>
  <si>
    <t>Y93135-DB+Y93138+Y93269</t>
  </si>
  <si>
    <t>B0C61FL9NS</t>
  </si>
  <si>
    <t>Y93135-OR+Y93138+Y93269</t>
  </si>
  <si>
    <t>B0C61F8MY3</t>
  </si>
  <si>
    <t>Y93452-DB-ZH</t>
  </si>
  <si>
    <t>B0C61JT74Y</t>
  </si>
  <si>
    <t>Y93452-OR-ZH</t>
  </si>
  <si>
    <t>B0C61LCZK7</t>
  </si>
  <si>
    <t>Y9007-12PC</t>
  </si>
  <si>
    <t>黑色T型橱柜门拉手 12PC</t>
  </si>
  <si>
    <t>B0C6DXQT1M</t>
  </si>
  <si>
    <t>Y9007-24PC</t>
  </si>
  <si>
    <t>黑色T型橱柜门拉手 24PC</t>
  </si>
  <si>
    <t>B0C6DZMTCP</t>
  </si>
  <si>
    <t>Y9007-30PC</t>
  </si>
  <si>
    <t>黑色T型橱柜门拉手 30PC</t>
  </si>
  <si>
    <t>B0C6DYVTHK</t>
  </si>
  <si>
    <t>Y9007-6PC</t>
  </si>
  <si>
    <t>黑色T型橱柜门拉手 6PC</t>
  </si>
  <si>
    <t>B0C6DWXLZV</t>
  </si>
  <si>
    <t>Y9008</t>
  </si>
  <si>
    <t>双筒望远镜</t>
  </si>
  <si>
    <t>B0C7VSGBVP</t>
  </si>
  <si>
    <t>Y9008-1</t>
  </si>
  <si>
    <t>B0C7VTCJVL</t>
  </si>
  <si>
    <t>Y9008-2</t>
  </si>
  <si>
    <t>B0C7VTSKMK</t>
  </si>
  <si>
    <t>Y9008-S</t>
  </si>
  <si>
    <t>B0C7VWDH3R</t>
  </si>
  <si>
    <t>Y9009-KH</t>
  </si>
  <si>
    <t>可移动书架   卡其色</t>
  </si>
  <si>
    <t>B0CF8DYKBR</t>
  </si>
  <si>
    <t>Y9009-PI</t>
  </si>
  <si>
    <t>可移动书架   樱花粉</t>
  </si>
  <si>
    <t>B0CF8FYGLG</t>
  </si>
  <si>
    <t>Y9009-WH</t>
  </si>
  <si>
    <t>可移动书架   月光白</t>
  </si>
  <si>
    <t>B0CF8G54C5</t>
  </si>
  <si>
    <t>Y9010-KH</t>
  </si>
  <si>
    <t>可移动书架   深卡其色</t>
  </si>
  <si>
    <t>B0CF8GDQ5Q</t>
  </si>
  <si>
    <t>Y9010-PI</t>
  </si>
  <si>
    <t>B0CF8FKZ5B</t>
  </si>
  <si>
    <t>Y9010-WH</t>
  </si>
  <si>
    <t>可移动书架   奶油白</t>
  </si>
  <si>
    <t>B0CF8GVH1N</t>
  </si>
  <si>
    <t>Y9018-GA</t>
  </si>
  <si>
    <t>透明鞋盒收纳盒5层  透灰</t>
  </si>
  <si>
    <t>B0CF8LLWRT</t>
  </si>
  <si>
    <t>Y9018-GN</t>
  </si>
  <si>
    <t>透明鞋盒收纳盒5层  透绿</t>
  </si>
  <si>
    <t>B0CF8MMRMK</t>
  </si>
  <si>
    <t>Y9019-GA</t>
  </si>
  <si>
    <t>透明鞋盒收纳盒6层  透灰</t>
  </si>
  <si>
    <t>B0CF8N1G5P</t>
  </si>
  <si>
    <t>Y9019-GN</t>
  </si>
  <si>
    <t>透明鞋盒收纳盒6层  透绿</t>
  </si>
  <si>
    <t>B0CF8KNMGM</t>
  </si>
  <si>
    <t>Y9020-GA</t>
  </si>
  <si>
    <t>透明鞋盒收纳盒7层  透灰</t>
  </si>
  <si>
    <t>B0CF8LG9SX</t>
  </si>
  <si>
    <t>Y9020-GN</t>
  </si>
  <si>
    <t>透明鞋盒收纳盒7层  透绿</t>
  </si>
  <si>
    <t>B0CF8M7LYZ</t>
  </si>
  <si>
    <t>Y9021</t>
  </si>
  <si>
    <t>安装折叠防尘鞋盒简易一体式家用鞋柜  3层</t>
  </si>
  <si>
    <t>B0CF8P8B1X</t>
  </si>
  <si>
    <t>Y9022</t>
  </si>
  <si>
    <t>安装折叠防尘鞋盒简易一体式家用鞋柜  6层</t>
  </si>
  <si>
    <t>B0CF8LKWD2</t>
  </si>
  <si>
    <t>Y9023-BR-15</t>
  </si>
  <si>
    <t>床底收纳箱家用扁平带轮抽屉式  茶色 82*40*15</t>
  </si>
  <si>
    <t>B0CF91FMHJ</t>
  </si>
  <si>
    <t>Y9023-BR-20</t>
  </si>
  <si>
    <t>床底收纳箱家用扁平带轮抽屉式 茶色 82*40*20</t>
  </si>
  <si>
    <t>B0CF92B4V2</t>
  </si>
  <si>
    <t>Y9023-BR-25</t>
  </si>
  <si>
    <t>床底收纳箱家用扁平带轮抽屉式 茶色 82*40*25</t>
  </si>
  <si>
    <t>B0CF916G6C</t>
  </si>
  <si>
    <t>Y9023-WH-15</t>
  </si>
  <si>
    <t>床底收纳箱家用扁平带轮抽屉式  透明色 82*40*15</t>
  </si>
  <si>
    <t>B0CF8ZKP7F</t>
  </si>
  <si>
    <t>Y9023-WH-20</t>
  </si>
  <si>
    <t>床底收纳箱家用扁平带轮抽屉式  透明色 82*40*20</t>
  </si>
  <si>
    <t>B0CF92LX2V</t>
  </si>
  <si>
    <t>Y9023-WH-25</t>
  </si>
  <si>
    <t>床底收纳箱家用扁平带轮抽屉式 透明色  82*40*25</t>
  </si>
  <si>
    <t>B0CF95GGTG</t>
  </si>
  <si>
    <t>Y9024-50-3</t>
  </si>
  <si>
    <t>收纳箱衣柜  50面宽三层</t>
  </si>
  <si>
    <t>B0CF95D2MT</t>
  </si>
  <si>
    <t>Y9024-50-4</t>
  </si>
  <si>
    <t>收纳箱衣柜  50面宽四层</t>
  </si>
  <si>
    <t>B0CF919VQ2</t>
  </si>
  <si>
    <t>Y9011-KH</t>
  </si>
  <si>
    <t>家用客厅落地置物架抽屉式  焦糖奶油色  二层</t>
  </si>
  <si>
    <t>B0CFD2B7KD</t>
  </si>
  <si>
    <t>Y9012-BU</t>
  </si>
  <si>
    <t>家用客厅落地置物架抽屉式 蓝莓奶油色  三层</t>
  </si>
  <si>
    <t>B0CFD6CYN6</t>
  </si>
  <si>
    <t>Y9012-KH</t>
  </si>
  <si>
    <t>家用客厅落地置物架抽屉式 焦糖奶油色 三层</t>
  </si>
  <si>
    <t>B0CFD36WF7</t>
  </si>
  <si>
    <t>Y9014-BR</t>
  </si>
  <si>
    <t>儿童玩具收纳柜  棕色</t>
  </si>
  <si>
    <t>B0CFDKZ368</t>
  </si>
  <si>
    <t>Y9014-GN</t>
  </si>
  <si>
    <t>儿童玩具收纳柜  绿色</t>
  </si>
  <si>
    <t>B0CFDBVT85</t>
  </si>
  <si>
    <t>Y9015-BR</t>
  </si>
  <si>
    <t>儿童玩具收纳柜2层 棕色</t>
  </si>
  <si>
    <t>B0CFDCLFZX</t>
  </si>
  <si>
    <t>Y9015-GN</t>
  </si>
  <si>
    <t>儿童玩具收纳柜2层 绿色</t>
  </si>
  <si>
    <t>B0CFD319K2</t>
  </si>
  <si>
    <t>Y9016-BR</t>
  </si>
  <si>
    <t>儿童玩具收纳柜3层 棕色</t>
  </si>
  <si>
    <t>B0CFD43WK7</t>
  </si>
  <si>
    <t>Y9016-GN</t>
  </si>
  <si>
    <t>儿童玩具收纳柜3层 绿色</t>
  </si>
  <si>
    <t>B0CFD62MVH</t>
  </si>
  <si>
    <t>Y9026-6-BL</t>
  </si>
  <si>
    <t>办公室宿舍鞋柜多层防尘收纳鞋架子  黑色  6层一列（4矮1高）</t>
  </si>
  <si>
    <t>B0CFQSZ24S</t>
  </si>
  <si>
    <t>Y9026-6-GA</t>
  </si>
  <si>
    <t>办公室宿舍鞋柜多层防尘收纳鞋架子灰色  6层一列（4矮1高）</t>
  </si>
  <si>
    <t>B0CFQX1KZM</t>
  </si>
  <si>
    <t>Y9002-BL+Y9005</t>
  </si>
  <si>
    <t>头程</t>
  </si>
  <si>
    <t>QJ-OD2M-25AO</t>
  </si>
  <si>
    <t>E03106-BL-ZH</t>
  </si>
  <si>
    <t>OS-CMEQ-86JU</t>
  </si>
  <si>
    <t>YN-AOIB-XWWS</t>
  </si>
  <si>
    <t>VT-X7SN-96PJ</t>
  </si>
  <si>
    <t>DR-YDPB-RA7Y</t>
  </si>
  <si>
    <t>ZM-UCYG-POJX</t>
  </si>
  <si>
    <t>OM-XLJI-SOI3</t>
  </si>
  <si>
    <t>IH-T4RR-DLXF</t>
  </si>
  <si>
    <t>Y92995-DB+Y92997+Y93011</t>
  </si>
  <si>
    <t>Y93053-DB+Y93054+Y93055</t>
  </si>
  <si>
    <t>Y9003-OR+Y9006+Y9008</t>
  </si>
  <si>
    <t>Y9025-BL+Y9026+Y9027</t>
  </si>
  <si>
    <t>Y9025-BU+Y9026+Y9027</t>
  </si>
  <si>
    <t>Y9025-DB+Y9026+Y9027</t>
  </si>
  <si>
    <t>Y92431-OR+Y92433+Y92531</t>
  </si>
  <si>
    <t>Y93475-DB+Y92615+Y93478*1</t>
  </si>
  <si>
    <t>Y92611-OR+Y92614+Y92635</t>
  </si>
  <si>
    <t>Y93405-OR+Y93406+Y93397</t>
  </si>
  <si>
    <t>IA-FIXD-GG7Z</t>
  </si>
  <si>
    <t>Y9029-BL+Y9030+Y9031</t>
  </si>
  <si>
    <t>Y93821-OR+Y93822+Y93823</t>
  </si>
  <si>
    <t>Y92648-BL+Y92649+Y92381</t>
  </si>
  <si>
    <t>Y92648-DB+Y92649+Y92381</t>
  </si>
  <si>
    <t>Y92611-BL+Y92614+Y92635</t>
  </si>
  <si>
    <t>Y93475-BL+Y92615+Y93478</t>
  </si>
  <si>
    <t>Y93475-BU+Y92615+Y93478</t>
  </si>
  <si>
    <t>Y9008-3</t>
  </si>
  <si>
    <t>Y92431-BL+Y92433+Y92531</t>
  </si>
  <si>
    <t>Y92431-DB+Y92433+Y92531</t>
  </si>
  <si>
    <t>TF-2R1C-9IYM</t>
  </si>
  <si>
    <t>Y93053-BL+Y93054+Y93055</t>
  </si>
  <si>
    <t>Y92995-OR+Y92997+Y93011</t>
  </si>
  <si>
    <t>Y93630-BU+Y93635+Y93643</t>
  </si>
  <si>
    <t>Y93135-BL+Y93138+Y93269</t>
  </si>
  <si>
    <t>Y92995-BL+Y92997+Y93011</t>
  </si>
  <si>
    <t>Y93756-BU+Y93757+Y93760</t>
  </si>
  <si>
    <t>Y93756-DB+Y93757+Y93760</t>
  </si>
  <si>
    <t>Y93758-OR+Y93759+Y93761</t>
  </si>
  <si>
    <t>Y9003</t>
  </si>
  <si>
    <t>Y9004</t>
  </si>
  <si>
    <t>子杰</t>
  </si>
  <si>
    <t>Y10009-KH</t>
  </si>
  <si>
    <t>B0CHLXY8GM</t>
  </si>
  <si>
    <t>Y10009-PI</t>
  </si>
  <si>
    <t>B0CHLWP6JF</t>
  </si>
  <si>
    <t>Y10009-WH</t>
  </si>
  <si>
    <t>B0CHLY21WS</t>
  </si>
  <si>
    <t>Y10010-KH</t>
  </si>
  <si>
    <t>B0CHLY42YV</t>
  </si>
  <si>
    <t>Y10010-PI</t>
  </si>
  <si>
    <t>B0CHLXLKSY</t>
  </si>
  <si>
    <t>Y10010-WH</t>
  </si>
  <si>
    <t>B0CHLZ86YK</t>
  </si>
  <si>
    <t>Y10011-BU</t>
  </si>
  <si>
    <t>家用客厅落地置物架抽屉式蓝莓奶油色二层</t>
  </si>
  <si>
    <t>B0CHLLC587</t>
  </si>
  <si>
    <t>Y10013-BU</t>
  </si>
  <si>
    <t>家用客厅落地置物架抽屉式 蓝莓奶油色  四层</t>
  </si>
  <si>
    <t>B0CHLGHJR9</t>
  </si>
  <si>
    <t>Y10013-KH</t>
  </si>
  <si>
    <t>家用客厅落地置物架抽屉式  焦糖奶油色  四层</t>
  </si>
  <si>
    <t>B0CHLMMY7Q</t>
  </si>
  <si>
    <t>Y10017-BR</t>
  </si>
  <si>
    <t>儿童玩具收纳柜4层 棕色</t>
  </si>
  <si>
    <t>B0CHLMZRMX</t>
  </si>
  <si>
    <t>Y10017-GN</t>
  </si>
  <si>
    <t>儿童玩具收纳柜4层 绿色</t>
  </si>
  <si>
    <t>B0CHLM13QK</t>
  </si>
  <si>
    <t>Y10024-65-3</t>
  </si>
  <si>
    <t>收纳箱衣柜  65面宽三层</t>
  </si>
  <si>
    <t>B0CHLL94LQ</t>
  </si>
  <si>
    <t>Y10024-65-4</t>
  </si>
  <si>
    <t>收纳箱衣柜 65面宽四层</t>
  </si>
  <si>
    <t>B0CHLDSM96</t>
  </si>
  <si>
    <t>Y10024-70-3</t>
  </si>
  <si>
    <t>收纳箱衣柜  70面宽三层</t>
  </si>
  <si>
    <t>B0CHLM13QV</t>
  </si>
  <si>
    <t>Y10024-70-4</t>
  </si>
  <si>
    <t>收纳箱衣柜 70面宽四层</t>
  </si>
  <si>
    <t>B0CHLN5QF4</t>
  </si>
  <si>
    <t>Y10030-WH-3</t>
  </si>
  <si>
    <t>生间置物架可折叠脏衣篓  白色 三层</t>
  </si>
  <si>
    <t>B0CHLT2QQK</t>
  </si>
  <si>
    <t>Y10030-WH-4</t>
  </si>
  <si>
    <t>生间置物架可折叠脏衣篓  白色 4层</t>
  </si>
  <si>
    <t>B0CHLPRYNB</t>
  </si>
  <si>
    <t>Y10025-BL</t>
  </si>
  <si>
    <t>北欧风拆卸双层手提铁艺水果篮  双层黑色-拆卸款</t>
  </si>
  <si>
    <t>B0CHLZ6SKB</t>
  </si>
  <si>
    <t>Y10025-WH</t>
  </si>
  <si>
    <t>北欧风拆卸双层手提铁艺水果篮  双层白色-拆卸款</t>
  </si>
  <si>
    <t>B0CHLZG5KB</t>
  </si>
  <si>
    <t>Y10027-3</t>
  </si>
  <si>
    <t>一体式透明折叠鞋子收纳盒 塑料鞋架展示架  3层</t>
  </si>
  <si>
    <t>B0CHLZCRRS</t>
  </si>
  <si>
    <t>Y10027-6</t>
  </si>
  <si>
    <t>一体式透明折叠鞋子收纳盒 塑料鞋架展示架 6层</t>
  </si>
  <si>
    <t>B0CHM2HNK4</t>
  </si>
  <si>
    <t>Y102000-BL+Y102013+Y102749</t>
  </si>
  <si>
    <t>B0CHMKGDF3</t>
  </si>
  <si>
    <t>Y102000-DB+Y102013+Y102749</t>
  </si>
  <si>
    <t>B0CHMKWP67</t>
  </si>
  <si>
    <t>Y102000-OR+Y102013+Y102749</t>
  </si>
  <si>
    <t>B0CHMLHWQQ</t>
  </si>
  <si>
    <t>Y103040-BL+Y103045+Y103043</t>
  </si>
  <si>
    <t>B0CHMLMTL1</t>
  </si>
  <si>
    <t>Y103040-DB+Y103045+Y103043</t>
  </si>
  <si>
    <t>B0CHMLRBC5</t>
  </si>
  <si>
    <t>Y103040-OR+Y103045+Y103043</t>
  </si>
  <si>
    <t>B0CHMKL2HT</t>
  </si>
  <si>
    <t>Y103106-BL+Y103109+Y103112</t>
  </si>
  <si>
    <t>B0CHMMBRZ4</t>
  </si>
  <si>
    <t>Y103106-DB+Y103109+Y103112</t>
  </si>
  <si>
    <t>B0CHMM6HZV</t>
  </si>
  <si>
    <t>Y103106-OR+Y103109+Y103112</t>
  </si>
  <si>
    <t>B0CHMM7L2T</t>
  </si>
  <si>
    <t>Y103134-BL+Y103137+Y103268</t>
  </si>
  <si>
    <t>B0CHMMKNF1</t>
  </si>
  <si>
    <t>Y103134-DB+Y103137+Y103268</t>
  </si>
  <si>
    <t>B0CHMMQZ2X</t>
  </si>
  <si>
    <t>Y103134-OR+Y103137+Y103268</t>
  </si>
  <si>
    <t>B0CHMNYGFS</t>
  </si>
  <si>
    <t>Y103230-BL+Y1003231+Y1003240</t>
  </si>
  <si>
    <t>B0CHMNYSK4</t>
  </si>
  <si>
    <t>Y103230-DB+Y1003231+Y1003240</t>
  </si>
  <si>
    <t>B0CHMMDTDL</t>
  </si>
  <si>
    <t>Y103230-OR+Y1003231+Y1003240</t>
  </si>
  <si>
    <t>B0CHMPSJXK</t>
  </si>
  <si>
    <t>us</t>
  </si>
  <si>
    <t>1店日期</t>
  </si>
  <si>
    <t>人员</t>
  </si>
  <si>
    <t>总sku</t>
  </si>
  <si>
    <t>正常sku</t>
  </si>
  <si>
    <t>异常比例</t>
  </si>
  <si>
    <t>1店</t>
  </si>
  <si>
    <t>有库存sku数量</t>
  </si>
  <si>
    <t>5、8店</t>
  </si>
  <si>
    <t>2店、3店</t>
  </si>
  <si>
    <t>7店</t>
  </si>
  <si>
    <t>无库存+新品到货sku数量</t>
  </si>
  <si>
    <t>正常比例</t>
  </si>
  <si>
    <t>总库存数量</t>
  </si>
  <si>
    <t>12.20余总DHL到货2箱</t>
  </si>
  <si>
    <t>12.28ups到货1箱</t>
  </si>
  <si>
    <t>1.4DHL到货2箱</t>
  </si>
  <si>
    <t>2.4通途海运到货3箱</t>
  </si>
  <si>
    <t>2.4DHL到货2箱</t>
  </si>
  <si>
    <t>3.10海运到货2箱</t>
  </si>
  <si>
    <t>3.16DHL到货1箱</t>
  </si>
  <si>
    <t>3.22DHL到货1箱</t>
  </si>
  <si>
    <t>4.21海运到货2箱</t>
  </si>
  <si>
    <t>5.3DHL到货1箱</t>
  </si>
  <si>
    <t>5.31DHL到货1箱</t>
  </si>
  <si>
    <t>6.17DHL到1箱；
6.30海运到2箱</t>
  </si>
  <si>
    <t>7.7海运到货1箱</t>
  </si>
  <si>
    <t>海运7.15到1箱，7.20到3箱</t>
  </si>
  <si>
    <t>海运8.12到1箱，8.17到1箱</t>
  </si>
  <si>
    <t>9.14DHL到货1箱</t>
  </si>
  <si>
    <t>2店日期</t>
  </si>
  <si>
    <t>9、10店</t>
  </si>
  <si>
    <t>4店</t>
  </si>
  <si>
    <t>小宣</t>
  </si>
  <si>
    <t>10.10UPS到1箱，</t>
  </si>
  <si>
    <t>10.20DHL到2箱</t>
  </si>
  <si>
    <t>12.29DHL到货1箱</t>
  </si>
  <si>
    <t>6.2海运到货1箱</t>
  </si>
  <si>
    <t>3店日期</t>
  </si>
  <si>
    <t>10.12海运到15箱</t>
  </si>
  <si>
    <t>11.5海运到10箱</t>
  </si>
  <si>
    <t>11.22海运到3箱</t>
  </si>
  <si>
    <t>12.14余总DHL到货2箱</t>
  </si>
  <si>
    <t>12.16余总DHL到货4箱</t>
  </si>
  <si>
    <t>2.4通途海运到货15箱</t>
  </si>
  <si>
    <t>2.11通途到货10箱</t>
  </si>
  <si>
    <t>3.17通途到货8箱</t>
  </si>
  <si>
    <t>3.21DHL到货6箱</t>
  </si>
  <si>
    <t>3.30通途到货12箱</t>
  </si>
  <si>
    <t>4.15DHL到5箱，4.19DHL到2箱；4.21海运到货15箱</t>
  </si>
  <si>
    <t>4.25海运到12箱</t>
  </si>
  <si>
    <t>5.17余总到1箱，5.24DHL到4箱</t>
  </si>
  <si>
    <t>5.31海运到11箱</t>
  </si>
  <si>
    <t>6.22DHL到2箱</t>
  </si>
  <si>
    <t>7.12余总到1箱</t>
  </si>
  <si>
    <t>7.26余总到1箱</t>
  </si>
  <si>
    <t>8.8海运到5箱</t>
  </si>
  <si>
    <t>8.28DHL到1箱</t>
  </si>
  <si>
    <t>DHL9.5到1箱，9.14到1箱</t>
  </si>
  <si>
    <t>DHL10.10到3箱</t>
  </si>
  <si>
    <t>逸航10.17到1箱</t>
  </si>
  <si>
    <t>4店日期</t>
  </si>
  <si>
    <t>旧品</t>
  </si>
  <si>
    <t>新品</t>
  </si>
  <si>
    <t>10.15UPS到3箱</t>
  </si>
  <si>
    <t>10.23UPS到2箱</t>
  </si>
  <si>
    <t>12.21余总海运到货1箱</t>
  </si>
  <si>
    <t>1.3DHL到货3箱</t>
  </si>
  <si>
    <t>2.4通途海运到货4箱</t>
  </si>
  <si>
    <t>3.8DHL到货1箱</t>
  </si>
  <si>
    <t>4.25海运到3箱</t>
  </si>
  <si>
    <t>6.23海运到1箱,6.30到1箱</t>
  </si>
  <si>
    <t>8.26DHL到1箱</t>
  </si>
  <si>
    <t>9.12海运到1箱</t>
  </si>
  <si>
    <t>DHL10.4到1箱</t>
  </si>
  <si>
    <t>这周数据不统计</t>
  </si>
  <si>
    <t>5店日期</t>
  </si>
  <si>
    <t>10.7海运到1箱</t>
  </si>
  <si>
    <t>DHL7.12到货3箱</t>
  </si>
  <si>
    <t>DHL8.23到货1箱</t>
  </si>
  <si>
    <t>DHL8.26到货1箱</t>
  </si>
  <si>
    <t>DHL9.14到货1箱</t>
  </si>
  <si>
    <t>余总10.17到货2箱</t>
  </si>
  <si>
    <t>6店日期</t>
  </si>
  <si>
    <t>10.13UPS到5箱</t>
  </si>
  <si>
    <t>11.10UPS到6箱</t>
  </si>
  <si>
    <t>11.24成运到4箱</t>
  </si>
  <si>
    <t>12.15余总DHL到1箱</t>
  </si>
  <si>
    <t>3.10DHL到货3箱</t>
  </si>
  <si>
    <t>3.30DHL到货1箱</t>
  </si>
  <si>
    <t>4.20DHL到货1箱</t>
  </si>
  <si>
    <t>4.23DHL到货1箱</t>
  </si>
  <si>
    <t>5.22DHL到货2箱</t>
  </si>
  <si>
    <t>7.14DHL到货4箱</t>
  </si>
  <si>
    <t>7.25余总到货2箱</t>
  </si>
  <si>
    <t>8.24余总到货1箱</t>
  </si>
  <si>
    <t>9.15DHL到货2箱</t>
  </si>
  <si>
    <t>7店日期</t>
  </si>
  <si>
    <t>2.4通途海运到货8箱</t>
  </si>
  <si>
    <t>2.17DHL到货18箱</t>
  </si>
  <si>
    <t>3.17通途到货7箱</t>
  </si>
  <si>
    <t>3.25通途到货8箱</t>
  </si>
  <si>
    <t>4.13海运到货14箱</t>
  </si>
  <si>
    <t>4.25海运到货7箱</t>
  </si>
  <si>
    <t>5.17余总到1箱，5.18DHL到货1箱</t>
  </si>
  <si>
    <t>5.27DHL到货4箱</t>
  </si>
  <si>
    <t>6.15DHL到货2箱</t>
  </si>
  <si>
    <t>6.20DHL到货2箱</t>
  </si>
  <si>
    <t>7.15海运到货3箱</t>
  </si>
  <si>
    <t>8.26海运到货13箱</t>
  </si>
  <si>
    <t>DHL10.7到货1箱</t>
  </si>
  <si>
    <t>余总10.14到货2箱</t>
  </si>
  <si>
    <t>8店日期</t>
  </si>
  <si>
    <t>10.13ups到5箱</t>
  </si>
  <si>
    <t>11.15运无界到5箱</t>
  </si>
  <si>
    <t>12.12余总DHL到1箱</t>
  </si>
  <si>
    <t>12.24浩洋DHL到1箱</t>
  </si>
  <si>
    <t>2.17DHL到货1箱</t>
  </si>
  <si>
    <t>3.14DHL到货3箱</t>
  </si>
  <si>
    <t>3.14DHL到货4箱</t>
  </si>
  <si>
    <t>4.8DHL到货3箱</t>
  </si>
  <si>
    <t>4.18DHL到货1箱</t>
  </si>
  <si>
    <t>5.16余总到2箱</t>
  </si>
  <si>
    <t>6.9DHL到货2箱，6.14DHL到货2箱</t>
  </si>
  <si>
    <t>6.20DHL到货1箱</t>
  </si>
  <si>
    <t>7.12DHL到货5箱</t>
  </si>
  <si>
    <t>余总8.1到货2箱，余总8.5到货3箱</t>
  </si>
  <si>
    <t>9.1DHL到货3箱</t>
  </si>
  <si>
    <t>DHL9.9到5箱，9.13到4箱</t>
  </si>
  <si>
    <t>逸航10.18到3箱</t>
  </si>
  <si>
    <t>9店日期</t>
  </si>
  <si>
    <t>3.10DHL到货9箱</t>
  </si>
  <si>
    <t>3.21DHL到货1箱</t>
  </si>
  <si>
    <t>3.28DHL到货7箱</t>
  </si>
  <si>
    <t>4.20DHL到货1箱；4.21海运到货1箱</t>
  </si>
  <si>
    <t>6.1 DHL到货3箱</t>
  </si>
  <si>
    <t>10店日期</t>
  </si>
  <si>
    <t>海运10.20到货111箱</t>
  </si>
</sst>
</file>

<file path=xl/styles.xml><?xml version="1.0" encoding="utf-8"?>
<styleSheet xmlns="http://schemas.openxmlformats.org/spreadsheetml/2006/main">
  <numFmts count="12">
    <numFmt numFmtId="26" formatCode="\$#,##0.00_);[Red]\(\$#,##0.00\)"/>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quot;US$&quot;#,##0.00_);\(&quot;US$&quot;#,##0.00\)"/>
    <numFmt numFmtId="177" formatCode="0.00_);[Red]\(0.00\)"/>
    <numFmt numFmtId="178" formatCode="0.00_ "/>
    <numFmt numFmtId="179" formatCode="yyyy/m/d;@"/>
    <numFmt numFmtId="180" formatCode="0_ "/>
    <numFmt numFmtId="181" formatCode="0.0_ "/>
    <numFmt numFmtId="182" formatCode="[$$]#,##0.00;\([$$]#,##0.00\)"/>
  </numFmts>
  <fonts count="47">
    <font>
      <sz val="11"/>
      <color theme="1"/>
      <name val="宋体"/>
      <charset val="134"/>
      <scheme val="minor"/>
    </font>
    <font>
      <b/>
      <sz val="11"/>
      <color theme="0"/>
      <name val="宋体"/>
      <charset val="134"/>
      <scheme val="minor"/>
    </font>
    <font>
      <b/>
      <sz val="11"/>
      <name val="宋体"/>
      <charset val="134"/>
      <scheme val="minor"/>
    </font>
    <font>
      <sz val="11"/>
      <color indexed="8"/>
      <name val="宋体"/>
      <charset val="134"/>
      <scheme val="minor"/>
    </font>
    <font>
      <sz val="11"/>
      <name val="宋体"/>
      <charset val="134"/>
      <scheme val="minor"/>
    </font>
    <font>
      <b/>
      <sz val="11"/>
      <color rgb="FFFF0000"/>
      <name val="宋体"/>
      <charset val="134"/>
      <scheme val="minor"/>
    </font>
    <font>
      <b/>
      <sz val="11"/>
      <name val="宋体"/>
      <charset val="134"/>
    </font>
    <font>
      <b/>
      <sz val="11"/>
      <color rgb="FFFF0000"/>
      <name val="宋体"/>
      <charset val="134"/>
    </font>
    <font>
      <b/>
      <sz val="11"/>
      <color theme="1"/>
      <name val="宋体"/>
      <charset val="134"/>
      <scheme val="minor"/>
    </font>
    <font>
      <sz val="11"/>
      <color rgb="FF000000"/>
      <name val="宋体"/>
      <charset val="134"/>
    </font>
    <font>
      <b/>
      <sz val="11"/>
      <name val="Arial"/>
      <charset val="134"/>
    </font>
    <font>
      <b/>
      <sz val="11"/>
      <color rgb="FFFF0000"/>
      <name val="Arial"/>
      <charset val="134"/>
    </font>
    <font>
      <b/>
      <sz val="11"/>
      <color theme="4" tint="-0.25"/>
      <name val="宋体"/>
      <charset val="134"/>
      <scheme val="minor"/>
    </font>
    <font>
      <b/>
      <sz val="11"/>
      <color rgb="FF00B050"/>
      <name val="宋体"/>
      <charset val="134"/>
      <scheme val="minor"/>
    </font>
    <font>
      <sz val="11"/>
      <name val="宋体"/>
      <charset val="134"/>
    </font>
    <font>
      <b/>
      <sz val="11"/>
      <color rgb="FF002060"/>
      <name val="宋体"/>
      <charset val="134"/>
      <scheme val="minor"/>
    </font>
    <font>
      <sz val="12"/>
      <name val="宋体"/>
      <charset val="134"/>
      <scheme val="minor"/>
    </font>
    <font>
      <sz val="12"/>
      <name val="宋体"/>
      <charset val="134"/>
    </font>
    <font>
      <sz val="12"/>
      <color theme="1"/>
      <name val="宋体"/>
      <charset val="134"/>
      <scheme val="minor"/>
    </font>
    <font>
      <sz val="11"/>
      <color theme="1"/>
      <name val="等线"/>
      <charset val="134"/>
    </font>
    <font>
      <sz val="11"/>
      <color theme="1"/>
      <name val="宋体"/>
      <charset val="134"/>
    </font>
    <font>
      <sz val="11"/>
      <name val="等线"/>
      <charset val="134"/>
    </font>
    <font>
      <sz val="11"/>
      <color indexed="8"/>
      <name val="等线"/>
      <charset val="134"/>
    </font>
    <font>
      <sz val="10"/>
      <color indexed="8"/>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0070C0"/>
      <name val="宋体"/>
      <charset val="134"/>
      <scheme val="minor"/>
    </font>
    <font>
      <sz val="10"/>
      <name val="宋体"/>
      <charset val="134"/>
    </font>
    <font>
      <sz val="9"/>
      <name val="宋体"/>
      <charset val="134"/>
    </font>
    <font>
      <b/>
      <sz val="9"/>
      <name val="宋体"/>
      <charset val="134"/>
    </font>
  </fonts>
  <fills count="48">
    <fill>
      <patternFill patternType="none"/>
    </fill>
    <fill>
      <patternFill patternType="gray125"/>
    </fill>
    <fill>
      <patternFill patternType="solid">
        <fgColor rgb="FFEE6666"/>
        <bgColor indexed="64"/>
      </patternFill>
    </fill>
    <fill>
      <patternFill patternType="solid">
        <fgColor rgb="FFFFFFFF"/>
        <bgColor indexed="64"/>
      </patternFill>
    </fill>
    <fill>
      <patternFill patternType="solid">
        <fgColor rgb="FFE8E8E8"/>
        <bgColor indexed="64"/>
      </patternFill>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rgb="FFFFEACE"/>
        <bgColor indexed="64"/>
      </patternFill>
    </fill>
    <fill>
      <patternFill patternType="solid">
        <fgColor indexed="52"/>
        <bgColor indexed="64"/>
      </patternFill>
    </fill>
    <fill>
      <patternFill patternType="solid">
        <fgColor theme="9" tint="0.8"/>
        <bgColor indexed="64"/>
      </patternFill>
    </fill>
    <fill>
      <patternFill patternType="solid">
        <fgColor rgb="FFFF0000"/>
        <bgColor indexed="64"/>
      </patternFill>
    </fill>
    <fill>
      <patternFill patternType="solid">
        <fgColor rgb="FF00B050"/>
        <bgColor indexed="64"/>
      </patternFill>
    </fill>
    <fill>
      <patternFill patternType="solid">
        <fgColor theme="5" tint="0.8"/>
        <bgColor indexed="64"/>
      </patternFill>
    </fill>
    <fill>
      <patternFill patternType="solid">
        <fgColor theme="5" tint="0.6"/>
        <bgColor indexed="64"/>
      </patternFill>
    </fill>
    <fill>
      <patternFill patternType="solid">
        <fgColor rgb="FF00B0F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right style="thin">
        <color rgb="FFFFFFFF"/>
      </right>
      <top/>
      <bottom style="thin">
        <color rgb="FFFFFFFF"/>
      </bottom>
      <diagonal/>
    </border>
    <border>
      <left/>
      <right style="medium">
        <color rgb="FFFFFFFF"/>
      </right>
      <top style="thin">
        <color rgb="FFFFFFFF"/>
      </top>
      <bottom/>
      <diagonal/>
    </border>
    <border>
      <left/>
      <right style="medium">
        <color rgb="FFFFFFFF"/>
      </right>
      <top/>
      <bottom/>
      <diagonal/>
    </border>
    <border>
      <left style="medium">
        <color rgb="FFFFFFFF"/>
      </left>
      <right style="medium">
        <color rgb="FFFFFFFF"/>
      </right>
      <top/>
      <bottom/>
      <diagonal/>
    </border>
    <border>
      <left/>
      <right style="medium">
        <color rgb="FFFFFFFF"/>
      </right>
      <top/>
      <bottom style="medium">
        <color rgb="FFEE6666"/>
      </bottom>
      <diagonal/>
    </border>
    <border>
      <left style="medium">
        <color rgb="FFFFFFFF"/>
      </left>
      <right style="medium">
        <color rgb="FFFFFFFF"/>
      </right>
      <top/>
      <bottom style="medium">
        <color rgb="FFEE6666"/>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24" fillId="17" borderId="0" applyNumberFormat="0" applyBorder="0" applyAlignment="0" applyProtection="0">
      <alignment vertical="center"/>
    </xf>
    <xf numFmtId="0" fontId="25" fillId="18" borderId="1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4" fillId="19" borderId="0" applyNumberFormat="0" applyBorder="0" applyAlignment="0" applyProtection="0">
      <alignment vertical="center"/>
    </xf>
    <xf numFmtId="0" fontId="26" fillId="20" borderId="0" applyNumberFormat="0" applyBorder="0" applyAlignment="0" applyProtection="0">
      <alignment vertical="center"/>
    </xf>
    <xf numFmtId="43" fontId="0" fillId="0" borderId="0" applyFont="0" applyFill="0" applyBorder="0" applyAlignment="0" applyProtection="0">
      <alignment vertical="center"/>
    </xf>
    <xf numFmtId="0" fontId="27" fillId="21" borderId="0" applyNumberFormat="0" applyBorder="0" applyAlignment="0" applyProtection="0">
      <alignment vertical="center"/>
    </xf>
    <xf numFmtId="0" fontId="28" fillId="0" borderId="0" applyNumberFormat="0" applyFill="0" applyBorder="0" applyAlignment="0" applyProtection="0">
      <alignment vertical="center"/>
    </xf>
    <xf numFmtId="9" fontId="0" fillId="0" borderId="0" applyFont="0" applyFill="0" applyBorder="0" applyAlignment="0" applyProtection="0">
      <alignment vertical="center"/>
    </xf>
    <xf numFmtId="0" fontId="29" fillId="0" borderId="0" applyNumberFormat="0" applyFill="0" applyBorder="0" applyAlignment="0" applyProtection="0">
      <alignment vertical="center"/>
    </xf>
    <xf numFmtId="0" fontId="0" fillId="22" borderId="14" applyNumberFormat="0" applyFont="0" applyAlignment="0" applyProtection="0">
      <alignment vertical="center"/>
    </xf>
    <xf numFmtId="0" fontId="27" fillId="23" borderId="0" applyNumberFormat="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15" applyNumberFormat="0" applyFill="0" applyAlignment="0" applyProtection="0">
      <alignment vertical="center"/>
    </xf>
    <xf numFmtId="0" fontId="35" fillId="0" borderId="15" applyNumberFormat="0" applyFill="0" applyAlignment="0" applyProtection="0">
      <alignment vertical="center"/>
    </xf>
    <xf numFmtId="0" fontId="27" fillId="24" borderId="0" applyNumberFormat="0" applyBorder="0" applyAlignment="0" applyProtection="0">
      <alignment vertical="center"/>
    </xf>
    <xf numFmtId="0" fontId="30" fillId="0" borderId="16" applyNumberFormat="0" applyFill="0" applyAlignment="0" applyProtection="0">
      <alignment vertical="center"/>
    </xf>
    <xf numFmtId="0" fontId="27" fillId="25" borderId="0" applyNumberFormat="0" applyBorder="0" applyAlignment="0" applyProtection="0">
      <alignment vertical="center"/>
    </xf>
    <xf numFmtId="0" fontId="36" fillId="26" borderId="17" applyNumberFormat="0" applyAlignment="0" applyProtection="0">
      <alignment vertical="center"/>
    </xf>
    <xf numFmtId="0" fontId="37" fillId="26" borderId="13" applyNumberFormat="0" applyAlignment="0" applyProtection="0">
      <alignment vertical="center"/>
    </xf>
    <xf numFmtId="0" fontId="38" fillId="27" borderId="18" applyNumberFormat="0" applyAlignment="0" applyProtection="0">
      <alignment vertical="center"/>
    </xf>
    <xf numFmtId="0" fontId="24" fillId="28" borderId="0" applyNumberFormat="0" applyBorder="0" applyAlignment="0" applyProtection="0">
      <alignment vertical="center"/>
    </xf>
    <xf numFmtId="0" fontId="27" fillId="29" borderId="0" applyNumberFormat="0" applyBorder="0" applyAlignment="0" applyProtection="0">
      <alignment vertical="center"/>
    </xf>
    <xf numFmtId="0" fontId="39" fillId="0" borderId="19" applyNumberFormat="0" applyFill="0" applyAlignment="0" applyProtection="0">
      <alignment vertical="center"/>
    </xf>
    <xf numFmtId="0" fontId="40" fillId="0" borderId="20" applyNumberFormat="0" applyFill="0" applyAlignment="0" applyProtection="0">
      <alignment vertical="center"/>
    </xf>
    <xf numFmtId="0" fontId="41" fillId="30" borderId="0" applyNumberFormat="0" applyBorder="0" applyAlignment="0" applyProtection="0">
      <alignment vertical="center"/>
    </xf>
    <xf numFmtId="0" fontId="42" fillId="31" borderId="0" applyNumberFormat="0" applyBorder="0" applyAlignment="0" applyProtection="0">
      <alignment vertical="center"/>
    </xf>
    <xf numFmtId="0" fontId="24" fillId="32" borderId="0" applyNumberFormat="0" applyBorder="0" applyAlignment="0" applyProtection="0">
      <alignment vertical="center"/>
    </xf>
    <xf numFmtId="0" fontId="27" fillId="33" borderId="0" applyNumberFormat="0" applyBorder="0" applyAlignment="0" applyProtection="0">
      <alignment vertical="center"/>
    </xf>
    <xf numFmtId="0" fontId="24" fillId="34" borderId="0" applyNumberFormat="0" applyBorder="0" applyAlignment="0" applyProtection="0">
      <alignment vertical="center"/>
    </xf>
    <xf numFmtId="0" fontId="24" fillId="35" borderId="0" applyNumberFormat="0" applyBorder="0" applyAlignment="0" applyProtection="0">
      <alignment vertical="center"/>
    </xf>
    <xf numFmtId="0" fontId="24" fillId="36" borderId="0" applyNumberFormat="0" applyBorder="0" applyAlignment="0" applyProtection="0">
      <alignment vertical="center"/>
    </xf>
    <xf numFmtId="0" fontId="24" fillId="37" borderId="0" applyNumberFormat="0" applyBorder="0" applyAlignment="0" applyProtection="0">
      <alignment vertical="center"/>
    </xf>
    <xf numFmtId="0" fontId="27" fillId="38" borderId="0" applyNumberFormat="0" applyBorder="0" applyAlignment="0" applyProtection="0">
      <alignment vertical="center"/>
    </xf>
    <xf numFmtId="0" fontId="27" fillId="39" borderId="0" applyNumberFormat="0" applyBorder="0" applyAlignment="0" applyProtection="0">
      <alignment vertical="center"/>
    </xf>
    <xf numFmtId="0" fontId="24" fillId="40" borderId="0" applyNumberFormat="0" applyBorder="0" applyAlignment="0" applyProtection="0">
      <alignment vertical="center"/>
    </xf>
    <xf numFmtId="0" fontId="24" fillId="41" borderId="0" applyNumberFormat="0" applyBorder="0" applyAlignment="0" applyProtection="0">
      <alignment vertical="center"/>
    </xf>
    <xf numFmtId="0" fontId="27" fillId="42" borderId="0" applyNumberFormat="0" applyBorder="0" applyAlignment="0" applyProtection="0">
      <alignment vertical="center"/>
    </xf>
    <xf numFmtId="0" fontId="24" fillId="43" borderId="0" applyNumberFormat="0" applyBorder="0" applyAlignment="0" applyProtection="0">
      <alignment vertical="center"/>
    </xf>
    <xf numFmtId="0" fontId="27" fillId="44" borderId="0" applyNumberFormat="0" applyBorder="0" applyAlignment="0" applyProtection="0">
      <alignment vertical="center"/>
    </xf>
    <xf numFmtId="0" fontId="27" fillId="45" borderId="0" applyNumberFormat="0" applyBorder="0" applyAlignment="0" applyProtection="0">
      <alignment vertical="center"/>
    </xf>
    <xf numFmtId="0" fontId="24" fillId="46" borderId="0" applyNumberFormat="0" applyBorder="0" applyAlignment="0" applyProtection="0">
      <alignment vertical="center"/>
    </xf>
    <xf numFmtId="0" fontId="27" fillId="47" borderId="0" applyNumberFormat="0" applyBorder="0" applyAlignment="0" applyProtection="0">
      <alignment vertical="center"/>
    </xf>
    <xf numFmtId="0" fontId="0" fillId="0" borderId="0">
      <alignment vertical="center"/>
    </xf>
  </cellStyleXfs>
  <cellXfs count="189">
    <xf numFmtId="0" fontId="0" fillId="0" borderId="0" xfId="0">
      <alignment vertical="center"/>
    </xf>
    <xf numFmtId="0" fontId="0" fillId="0" borderId="0" xfId="0" applyFont="1" applyFill="1" applyAlignment="1">
      <alignment vertical="center"/>
    </xf>
    <xf numFmtId="10" fontId="0" fillId="0" borderId="0" xfId="0" applyNumberFormat="1" applyFont="1" applyFill="1" applyAlignment="1">
      <alignment vertical="center"/>
    </xf>
    <xf numFmtId="0" fontId="1" fillId="2" borderId="1" xfId="0" applyFont="1" applyFill="1" applyBorder="1" applyAlignment="1">
      <alignment vertical="center"/>
    </xf>
    <xf numFmtId="58" fontId="1" fillId="2" borderId="0" xfId="0" applyNumberFormat="1" applyFont="1" applyFill="1" applyAlignment="1">
      <alignment vertical="center"/>
    </xf>
    <xf numFmtId="0" fontId="2" fillId="3" borderId="2" xfId="0" applyFont="1" applyFill="1" applyBorder="1" applyAlignment="1">
      <alignment vertical="center"/>
    </xf>
    <xf numFmtId="0" fontId="3" fillId="3" borderId="0" xfId="0" applyFont="1" applyFill="1" applyAlignment="1">
      <alignment vertical="center"/>
    </xf>
    <xf numFmtId="0" fontId="2" fillId="4" borderId="3" xfId="0" applyFont="1" applyFill="1" applyBorder="1" applyAlignment="1">
      <alignment vertical="center"/>
    </xf>
    <xf numFmtId="0" fontId="3" fillId="4" borderId="0" xfId="0" applyFont="1" applyFill="1" applyAlignment="1">
      <alignment vertical="center"/>
    </xf>
    <xf numFmtId="0" fontId="2" fillId="3" borderId="3" xfId="0" applyFont="1" applyFill="1" applyBorder="1" applyAlignment="1">
      <alignment vertical="center"/>
    </xf>
    <xf numFmtId="0" fontId="3" fillId="5" borderId="0" xfId="0" applyFont="1" applyFill="1" applyAlignment="1">
      <alignment vertical="center"/>
    </xf>
    <xf numFmtId="10" fontId="4" fillId="3" borderId="4" xfId="0" applyNumberFormat="1" applyFont="1" applyFill="1" applyBorder="1" applyAlignment="1">
      <alignment vertical="center"/>
    </xf>
    <xf numFmtId="0" fontId="2" fillId="3" borderId="5" xfId="0" applyFont="1" applyFill="1" applyBorder="1" applyAlignment="1">
      <alignment vertical="center"/>
    </xf>
    <xf numFmtId="10" fontId="4" fillId="3" borderId="6" xfId="0" applyNumberFormat="1" applyFont="1" applyFill="1" applyBorder="1" applyAlignment="1">
      <alignment vertical="center"/>
    </xf>
    <xf numFmtId="0" fontId="0" fillId="0" borderId="0" xfId="0" applyFont="1" applyFill="1" applyAlignment="1">
      <alignment vertical="center" wrapText="1"/>
    </xf>
    <xf numFmtId="0" fontId="2" fillId="3" borderId="3" xfId="0" applyNumberFormat="1" applyFont="1" applyFill="1" applyBorder="1" applyAlignment="1">
      <alignment vertical="center"/>
    </xf>
    <xf numFmtId="10" fontId="4" fillId="3" borderId="0" xfId="0" applyNumberFormat="1" applyFont="1" applyFill="1" applyAlignment="1">
      <alignment vertical="center"/>
    </xf>
    <xf numFmtId="0" fontId="0" fillId="0" borderId="0" xfId="0" applyFont="1" applyFill="1" applyAlignment="1">
      <alignment horizontal="center" vertical="center" wrapText="1"/>
    </xf>
    <xf numFmtId="0" fontId="4" fillId="3" borderId="0" xfId="0" applyNumberFormat="1" applyFont="1" applyFill="1" applyBorder="1" applyAlignment="1" applyProtection="1">
      <alignment vertical="center"/>
    </xf>
    <xf numFmtId="0" fontId="4" fillId="3" borderId="0" xfId="0" applyNumberFormat="1" applyFont="1" applyFill="1" applyAlignment="1" applyProtection="1">
      <alignment vertical="center"/>
    </xf>
    <xf numFmtId="0" fontId="4" fillId="3" borderId="0" xfId="0" applyNumberFormat="1" applyFont="1" applyFill="1" applyAlignment="1">
      <alignment vertical="center"/>
    </xf>
    <xf numFmtId="0" fontId="3" fillId="4" borderId="0" xfId="0" applyNumberFormat="1" applyFont="1" applyFill="1" applyAlignment="1">
      <alignment vertical="center"/>
    </xf>
    <xf numFmtId="58" fontId="0" fillId="0" borderId="0" xfId="0" applyNumberFormat="1" applyFont="1" applyFill="1" applyAlignment="1">
      <alignment vertical="center"/>
    </xf>
    <xf numFmtId="0" fontId="0" fillId="0" borderId="0" xfId="0" applyFont="1" applyFill="1" applyAlignment="1">
      <alignment horizontal="right" vertical="center"/>
    </xf>
    <xf numFmtId="14" fontId="0" fillId="0" borderId="0" xfId="0" applyNumberFormat="1" applyFont="1" applyFill="1" applyAlignment="1">
      <alignment vertical="center"/>
    </xf>
    <xf numFmtId="0" fontId="3" fillId="4" borderId="4" xfId="0" applyFont="1" applyFill="1" applyBorder="1" applyAlignment="1">
      <alignment vertical="center"/>
    </xf>
    <xf numFmtId="0" fontId="2" fillId="5" borderId="3" xfId="0" applyFont="1" applyFill="1" applyBorder="1" applyAlignment="1">
      <alignment vertical="center"/>
    </xf>
    <xf numFmtId="0" fontId="0" fillId="6" borderId="0" xfId="0" applyFont="1" applyFill="1" applyAlignment="1">
      <alignment horizontal="right" vertical="center"/>
    </xf>
    <xf numFmtId="0" fontId="3" fillId="5" borderId="4" xfId="0" applyFont="1" applyFill="1" applyBorder="1" applyAlignment="1">
      <alignment vertical="center"/>
    </xf>
    <xf numFmtId="0" fontId="0" fillId="0" borderId="0" xfId="0" applyFill="1" applyAlignment="1">
      <alignment vertical="center"/>
    </xf>
    <xf numFmtId="0" fontId="0" fillId="0" borderId="0" xfId="49">
      <alignment vertical="center"/>
    </xf>
    <xf numFmtId="10" fontId="0" fillId="0" borderId="0" xfId="0" applyNumberFormat="1">
      <alignment vertical="center"/>
    </xf>
    <xf numFmtId="10" fontId="0" fillId="6" borderId="0" xfId="0" applyNumberFormat="1" applyFill="1">
      <alignment vertical="center"/>
    </xf>
    <xf numFmtId="176" fontId="0" fillId="0" borderId="0" xfId="0" applyNumberFormat="1" applyFill="1" applyAlignment="1">
      <alignment vertical="center"/>
    </xf>
    <xf numFmtId="0" fontId="0" fillId="0" borderId="0" xfId="0" applyFont="1" applyFill="1" applyAlignment="1">
      <alignment horizontal="left" vertical="center"/>
    </xf>
    <xf numFmtId="0" fontId="5" fillId="0" borderId="0" xfId="0" applyFont="1" applyFill="1" applyAlignment="1">
      <alignment vertical="center"/>
    </xf>
    <xf numFmtId="177" fontId="5" fillId="0" borderId="0" xfId="0" applyNumberFormat="1" applyFont="1" applyFill="1" applyAlignment="1">
      <alignment vertical="center"/>
    </xf>
    <xf numFmtId="177" fontId="6" fillId="7" borderId="7" xfId="0" applyNumberFormat="1" applyFont="1" applyFill="1" applyBorder="1" applyAlignment="1">
      <alignment horizontal="center" vertical="center" wrapText="1"/>
    </xf>
    <xf numFmtId="178" fontId="7" fillId="6" borderId="7" xfId="0" applyNumberFormat="1" applyFont="1" applyFill="1" applyBorder="1" applyAlignment="1">
      <alignment horizontal="center" vertical="center" wrapText="1"/>
    </xf>
    <xf numFmtId="177" fontId="7" fillId="0" borderId="0" xfId="0" applyNumberFormat="1" applyFont="1" applyFill="1" applyAlignment="1">
      <alignment horizontal="center" vertical="center" wrapText="1"/>
    </xf>
    <xf numFmtId="0" fontId="8" fillId="8" borderId="8" xfId="0" applyFont="1" applyFill="1" applyBorder="1" applyAlignment="1">
      <alignment horizontal="center" vertical="center"/>
    </xf>
    <xf numFmtId="177" fontId="8" fillId="8" borderId="7" xfId="0" applyNumberFormat="1" applyFont="1" applyFill="1" applyBorder="1" applyAlignment="1">
      <alignment vertical="center"/>
    </xf>
    <xf numFmtId="0" fontId="8" fillId="0" borderId="0" xfId="0" applyFont="1" applyFill="1" applyAlignment="1">
      <alignment vertical="center"/>
    </xf>
    <xf numFmtId="0" fontId="0" fillId="0" borderId="7" xfId="0" applyNumberFormat="1" applyBorder="1">
      <alignment vertical="center"/>
    </xf>
    <xf numFmtId="178" fontId="0" fillId="0" borderId="7" xfId="0" applyNumberFormat="1" applyFont="1" applyFill="1" applyBorder="1" applyAlignment="1">
      <alignment horizontal="center" vertical="center"/>
    </xf>
    <xf numFmtId="0" fontId="0" fillId="0" borderId="7" xfId="0" applyBorder="1">
      <alignment vertical="center"/>
    </xf>
    <xf numFmtId="0" fontId="9" fillId="9" borderId="0" xfId="0" applyFont="1" applyFill="1" applyAlignment="1">
      <alignment vertical="center"/>
    </xf>
    <xf numFmtId="0" fontId="9" fillId="0" borderId="0" xfId="0" applyNumberFormat="1" applyFont="1" applyFill="1" applyAlignment="1">
      <alignment vertical="center"/>
    </xf>
    <xf numFmtId="0" fontId="9" fillId="0" borderId="0" xfId="0" applyFont="1" applyFill="1" applyAlignment="1">
      <alignment vertical="center"/>
    </xf>
    <xf numFmtId="0" fontId="8" fillId="8" borderId="0" xfId="0" applyFont="1" applyFill="1" applyAlignment="1">
      <alignment vertical="center"/>
    </xf>
    <xf numFmtId="179" fontId="0" fillId="0" borderId="0" xfId="0" applyNumberFormat="1">
      <alignment vertical="center"/>
    </xf>
    <xf numFmtId="0" fontId="5" fillId="6" borderId="0" xfId="0" applyFont="1" applyFill="1" applyAlignment="1">
      <alignment vertical="center" wrapText="1"/>
    </xf>
    <xf numFmtId="179" fontId="0" fillId="0" borderId="0" xfId="0" applyNumberFormat="1" applyFont="1" applyFill="1" applyAlignment="1">
      <alignment vertical="center"/>
    </xf>
    <xf numFmtId="179" fontId="6" fillId="7" borderId="7" xfId="0" applyNumberFormat="1" applyFont="1" applyFill="1" applyBorder="1" applyAlignment="1">
      <alignment horizontal="left" vertical="center" wrapText="1"/>
    </xf>
    <xf numFmtId="0" fontId="8" fillId="8" borderId="9" xfId="0" applyFont="1" applyFill="1" applyBorder="1" applyAlignment="1">
      <alignment horizontal="center" vertical="center"/>
    </xf>
    <xf numFmtId="179" fontId="8" fillId="8" borderId="9" xfId="0" applyNumberFormat="1" applyFont="1" applyFill="1" applyBorder="1" applyAlignment="1">
      <alignment horizontal="center" vertical="center"/>
    </xf>
    <xf numFmtId="0" fontId="8" fillId="8" borderId="10" xfId="0" applyFont="1" applyFill="1" applyBorder="1" applyAlignment="1">
      <alignment vertical="center"/>
    </xf>
    <xf numFmtId="0" fontId="8" fillId="8" borderId="7" xfId="0" applyFont="1" applyFill="1" applyBorder="1" applyAlignment="1">
      <alignment vertical="center"/>
    </xf>
    <xf numFmtId="0" fontId="0" fillId="0" borderId="8" xfId="0" applyBorder="1">
      <alignment vertical="center"/>
    </xf>
    <xf numFmtId="179" fontId="0" fillId="0" borderId="7" xfId="0" applyNumberFormat="1" applyFont="1" applyFill="1" applyBorder="1" applyAlignment="1">
      <alignment vertical="center"/>
    </xf>
    <xf numFmtId="177" fontId="7" fillId="6" borderId="7" xfId="0" applyNumberFormat="1" applyFont="1" applyFill="1" applyBorder="1" applyAlignment="1">
      <alignment horizontal="center" vertical="center" wrapText="1"/>
    </xf>
    <xf numFmtId="0" fontId="10" fillId="10" borderId="7" xfId="0" applyFont="1" applyFill="1" applyBorder="1" applyAlignment="1">
      <alignment horizontal="center" vertical="center" wrapText="1"/>
    </xf>
    <xf numFmtId="0" fontId="11" fillId="6" borderId="7" xfId="0" applyFont="1" applyFill="1" applyBorder="1" applyAlignment="1">
      <alignment horizontal="center" vertical="center" wrapText="1"/>
    </xf>
    <xf numFmtId="0" fontId="5" fillId="0" borderId="10" xfId="0" applyFont="1" applyFill="1" applyBorder="1" applyAlignment="1">
      <alignment vertical="center"/>
    </xf>
    <xf numFmtId="177" fontId="0" fillId="0" borderId="7" xfId="0" applyNumberFormat="1" applyFont="1" applyFill="1" applyBorder="1" applyAlignment="1">
      <alignment vertical="center"/>
    </xf>
    <xf numFmtId="0" fontId="3" fillId="0" borderId="7" xfId="0" applyFont="1" applyFill="1" applyBorder="1" applyAlignment="1"/>
    <xf numFmtId="0" fontId="12" fillId="11" borderId="7" xfId="0" applyFont="1" applyFill="1" applyBorder="1" applyAlignment="1">
      <alignment vertical="center" wrapText="1"/>
    </xf>
    <xf numFmtId="0" fontId="5" fillId="6" borderId="8" xfId="0" applyFont="1" applyFill="1" applyBorder="1" applyAlignment="1">
      <alignment horizontal="center" vertical="center" wrapText="1"/>
    </xf>
    <xf numFmtId="0" fontId="13" fillId="11" borderId="8" xfId="0" applyFont="1" applyFill="1" applyBorder="1" applyAlignment="1">
      <alignment vertical="center" wrapText="1"/>
    </xf>
    <xf numFmtId="0" fontId="6" fillId="12" borderId="7" xfId="0" applyFont="1" applyFill="1" applyBorder="1" applyAlignment="1">
      <alignment horizontal="center" vertical="center" wrapText="1"/>
    </xf>
    <xf numFmtId="180" fontId="7" fillId="6" borderId="7" xfId="0" applyNumberFormat="1" applyFont="1" applyFill="1" applyBorder="1" applyAlignment="1">
      <alignment horizontal="center" vertical="center" wrapText="1"/>
    </xf>
    <xf numFmtId="43" fontId="6" fillId="12" borderId="7" xfId="0" applyNumberFormat="1" applyFont="1" applyFill="1" applyBorder="1" applyAlignment="1">
      <alignment horizontal="center" vertical="center" wrapText="1"/>
    </xf>
    <xf numFmtId="178" fontId="6" fillId="12" borderId="7" xfId="0" applyNumberFormat="1" applyFont="1" applyFill="1" applyBorder="1" applyAlignment="1">
      <alignment horizontal="right" vertical="center" wrapText="1"/>
    </xf>
    <xf numFmtId="180" fontId="6" fillId="13" borderId="7" xfId="0" applyNumberFormat="1" applyFont="1" applyFill="1" applyBorder="1" applyAlignment="1">
      <alignment horizontal="center" vertical="center" wrapText="1"/>
    </xf>
    <xf numFmtId="180" fontId="7" fillId="6" borderId="11" xfId="0" applyNumberFormat="1" applyFont="1" applyFill="1" applyBorder="1" applyAlignment="1">
      <alignment horizontal="center" vertical="center" wrapText="1"/>
    </xf>
    <xf numFmtId="180" fontId="8" fillId="8" borderId="7" xfId="0" applyNumberFormat="1" applyFont="1" applyFill="1" applyBorder="1" applyAlignment="1">
      <alignment horizontal="center" vertical="center"/>
    </xf>
    <xf numFmtId="178" fontId="8" fillId="8" borderId="7" xfId="0" applyNumberFormat="1" applyFont="1" applyFill="1" applyBorder="1" applyAlignment="1">
      <alignment horizontal="center" vertical="center"/>
    </xf>
    <xf numFmtId="43" fontId="8" fillId="8" borderId="7" xfId="0" applyNumberFormat="1" applyFont="1" applyFill="1" applyBorder="1" applyAlignment="1">
      <alignment horizontal="center" vertical="center"/>
    </xf>
    <xf numFmtId="178" fontId="8" fillId="8" borderId="7" xfId="0" applyNumberFormat="1" applyFont="1" applyFill="1" applyBorder="1" applyAlignment="1">
      <alignment horizontal="right" vertical="center"/>
    </xf>
    <xf numFmtId="0" fontId="0" fillId="0" borderId="7" xfId="0" applyFont="1" applyFill="1" applyBorder="1" applyAlignment="1"/>
    <xf numFmtId="180" fontId="0" fillId="0" borderId="7" xfId="0" applyNumberFormat="1" applyFont="1" applyFill="1" applyBorder="1" applyAlignment="1">
      <alignment horizontal="center" vertical="center"/>
    </xf>
    <xf numFmtId="178" fontId="0" fillId="0" borderId="7" xfId="0" applyNumberFormat="1" applyFont="1" applyFill="1" applyBorder="1" applyAlignment="1">
      <alignment horizontal="right" vertical="center"/>
    </xf>
    <xf numFmtId="178" fontId="14" fillId="0" borderId="7" xfId="0" applyNumberFormat="1" applyFont="1" applyFill="1" applyBorder="1" applyAlignment="1">
      <alignment horizontal="center" vertical="center"/>
    </xf>
    <xf numFmtId="0" fontId="14" fillId="0" borderId="7" xfId="0" applyFont="1" applyFill="1" applyBorder="1" applyAlignment="1">
      <alignment horizontal="center" vertical="center"/>
    </xf>
    <xf numFmtId="0" fontId="5" fillId="11" borderId="12" xfId="0" applyFont="1" applyFill="1" applyBorder="1" applyAlignment="1">
      <alignment horizontal="center" vertical="center" wrapText="1"/>
    </xf>
    <xf numFmtId="0" fontId="5" fillId="11" borderId="0" xfId="0" applyFont="1" applyFill="1" applyAlignment="1">
      <alignment horizontal="center" vertical="center" wrapText="1"/>
    </xf>
    <xf numFmtId="10" fontId="5" fillId="11" borderId="0" xfId="0" applyNumberFormat="1" applyFont="1" applyFill="1" applyAlignment="1">
      <alignment horizontal="center" vertical="center" wrapText="1"/>
    </xf>
    <xf numFmtId="10" fontId="7" fillId="6" borderId="7" xfId="0" applyNumberFormat="1" applyFont="1" applyFill="1" applyBorder="1" applyAlignment="1">
      <alignment horizontal="center" vertical="center" wrapText="1"/>
    </xf>
    <xf numFmtId="178" fontId="6" fillId="12" borderId="7" xfId="0" applyNumberFormat="1" applyFont="1" applyFill="1" applyBorder="1" applyAlignment="1">
      <alignment horizontal="center" vertical="center" wrapText="1"/>
    </xf>
    <xf numFmtId="10" fontId="8" fillId="8" borderId="7" xfId="0" applyNumberFormat="1" applyFont="1" applyFill="1" applyBorder="1" applyAlignment="1">
      <alignment horizontal="center" vertical="center"/>
    </xf>
    <xf numFmtId="10" fontId="8" fillId="8" borderId="7" xfId="0" applyNumberFormat="1" applyFont="1" applyFill="1" applyBorder="1" applyAlignment="1">
      <alignment horizontal="right" vertical="center"/>
    </xf>
    <xf numFmtId="10" fontId="0" fillId="0" borderId="7" xfId="0" applyNumberFormat="1" applyFont="1" applyFill="1" applyBorder="1" applyAlignment="1">
      <alignment horizontal="center" vertical="center"/>
    </xf>
    <xf numFmtId="10" fontId="0" fillId="0" borderId="7" xfId="0" applyNumberFormat="1" applyFont="1" applyFill="1" applyBorder="1" applyAlignment="1">
      <alignment horizontal="right" vertical="center"/>
    </xf>
    <xf numFmtId="178" fontId="5" fillId="11" borderId="7" xfId="0" applyNumberFormat="1" applyFont="1" applyFill="1" applyBorder="1" applyAlignment="1">
      <alignment vertical="center" wrapText="1"/>
    </xf>
    <xf numFmtId="178" fontId="5" fillId="14" borderId="7" xfId="0" applyNumberFormat="1" applyFont="1" applyFill="1" applyBorder="1" applyAlignment="1">
      <alignment vertical="center" wrapText="1"/>
    </xf>
    <xf numFmtId="0" fontId="15" fillId="15" borderId="0" xfId="0" applyFont="1" applyFill="1" applyAlignment="1">
      <alignment vertical="center" wrapText="1"/>
    </xf>
    <xf numFmtId="178" fontId="7" fillId="6" borderId="11" xfId="0" applyNumberFormat="1" applyFont="1" applyFill="1" applyBorder="1" applyAlignment="1">
      <alignment horizontal="center" vertical="center" wrapText="1"/>
    </xf>
    <xf numFmtId="180" fontId="7" fillId="16" borderId="7" xfId="0" applyNumberFormat="1" applyFont="1" applyFill="1" applyBorder="1" applyAlignment="1">
      <alignment horizontal="center" vertical="center" wrapText="1"/>
    </xf>
    <xf numFmtId="181" fontId="8" fillId="8" borderId="7" xfId="0" applyNumberFormat="1" applyFont="1" applyFill="1" applyBorder="1" applyAlignment="1">
      <alignment horizontal="center" vertical="center"/>
    </xf>
    <xf numFmtId="181" fontId="0" fillId="0" borderId="7" xfId="0" applyNumberFormat="1" applyFont="1" applyFill="1" applyBorder="1" applyAlignment="1">
      <alignment horizontal="center" vertical="center"/>
    </xf>
    <xf numFmtId="10" fontId="14" fillId="0" borderId="7" xfId="0" applyNumberFormat="1" applyFont="1" applyFill="1" applyBorder="1" applyAlignment="1">
      <alignment horizontal="center" vertical="center"/>
    </xf>
    <xf numFmtId="177" fontId="3" fillId="0" borderId="7" xfId="0" applyNumberFormat="1" applyFont="1" applyFill="1" applyBorder="1" applyAlignment="1">
      <alignment vertical="center"/>
    </xf>
    <xf numFmtId="176" fontId="0" fillId="0" borderId="0" xfId="0" applyNumberFormat="1">
      <alignment vertical="center"/>
    </xf>
    <xf numFmtId="177" fontId="0" fillId="0" borderId="0" xfId="0" applyNumberFormat="1">
      <alignment vertical="center"/>
    </xf>
    <xf numFmtId="0" fontId="0" fillId="0" borderId="0" xfId="0" applyNumberFormat="1">
      <alignment vertical="center"/>
    </xf>
    <xf numFmtId="0" fontId="0" fillId="0" borderId="0" xfId="49" applyNumberFormat="1">
      <alignment vertical="center"/>
    </xf>
    <xf numFmtId="0" fontId="0" fillId="0" borderId="0" xfId="0" applyFont="1" applyFill="1" applyBorder="1" applyAlignment="1">
      <alignment vertical="center"/>
    </xf>
    <xf numFmtId="26" fontId="0" fillId="6" borderId="0" xfId="0" applyNumberFormat="1" applyFill="1" applyAlignment="1">
      <alignment vertical="center"/>
    </xf>
    <xf numFmtId="0" fontId="0" fillId="0" borderId="7" xfId="0" applyNumberFormat="1" applyFill="1" applyBorder="1">
      <alignment vertical="center"/>
    </xf>
    <xf numFmtId="0" fontId="0" fillId="14" borderId="7" xfId="0" applyNumberFormat="1" applyFill="1" applyBorder="1">
      <alignment vertical="center"/>
    </xf>
    <xf numFmtId="0" fontId="0" fillId="9" borderId="0" xfId="0" applyFont="1" applyFill="1" applyBorder="1" applyAlignment="1">
      <alignment vertical="center"/>
    </xf>
    <xf numFmtId="178" fontId="0" fillId="9" borderId="0" xfId="0" applyNumberFormat="1" applyFont="1" applyFill="1" applyBorder="1" applyAlignment="1">
      <alignment vertical="center"/>
    </xf>
    <xf numFmtId="0" fontId="16" fillId="0" borderId="0" xfId="0" applyNumberFormat="1" applyFont="1" applyFill="1" applyBorder="1" applyAlignment="1">
      <alignment vertical="center"/>
    </xf>
    <xf numFmtId="0" fontId="17" fillId="0" borderId="0" xfId="0" applyNumberFormat="1" applyFont="1" applyFill="1" applyBorder="1" applyAlignment="1">
      <alignment vertical="center"/>
    </xf>
    <xf numFmtId="0" fontId="18" fillId="0" borderId="0" xfId="0" applyNumberFormat="1" applyFont="1" applyFill="1" applyBorder="1" applyAlignment="1">
      <alignment vertical="center"/>
    </xf>
    <xf numFmtId="0" fontId="0" fillId="0" borderId="0" xfId="0" applyNumberFormat="1" applyFont="1" applyFill="1" applyBorder="1" applyAlignment="1">
      <alignment vertical="center"/>
    </xf>
    <xf numFmtId="0" fontId="0" fillId="0" borderId="7" xfId="0" applyFill="1" applyBorder="1">
      <alignment vertical="center"/>
    </xf>
    <xf numFmtId="0" fontId="0" fillId="14" borderId="7" xfId="0" applyFill="1" applyBorder="1">
      <alignment vertical="center"/>
    </xf>
    <xf numFmtId="0" fontId="0" fillId="9" borderId="0" xfId="0" applyNumberFormat="1" applyFont="1" applyFill="1" applyBorder="1" applyAlignment="1">
      <alignment vertical="center"/>
    </xf>
    <xf numFmtId="0" fontId="17" fillId="9" borderId="0" xfId="0" applyNumberFormat="1" applyFont="1" applyFill="1" applyBorder="1" applyAlignment="1">
      <alignment vertical="center"/>
    </xf>
    <xf numFmtId="0" fontId="0" fillId="0" borderId="0" xfId="0" applyFill="1">
      <alignment vertical="center"/>
    </xf>
    <xf numFmtId="0" fontId="0" fillId="0" borderId="0" xfId="0" applyAlignment="1">
      <alignment horizontal="center" vertical="center"/>
    </xf>
    <xf numFmtId="0" fontId="6" fillId="7" borderId="7" xfId="0" applyNumberFormat="1" applyFont="1" applyFill="1" applyBorder="1" applyAlignment="1">
      <alignment horizontal="left" vertical="center" wrapText="1"/>
    </xf>
    <xf numFmtId="0" fontId="0" fillId="0" borderId="7" xfId="0" applyNumberFormat="1" applyFont="1" applyFill="1" applyBorder="1" applyAlignment="1">
      <alignment vertical="center"/>
    </xf>
    <xf numFmtId="178" fontId="0" fillId="0" borderId="7" xfId="0" applyNumberFormat="1" applyFont="1" applyFill="1" applyBorder="1" applyAlignment="1">
      <alignment vertical="center"/>
    </xf>
    <xf numFmtId="0" fontId="0" fillId="0" borderId="7" xfId="0" applyNumberFormat="1" applyFill="1" applyBorder="1" applyAlignment="1">
      <alignment vertical="center"/>
    </xf>
    <xf numFmtId="0" fontId="0" fillId="0" borderId="0" xfId="0" applyNumberFormat="1" applyFont="1" applyFill="1" applyBorder="1" applyAlignment="1">
      <alignment horizontal="center" vertical="center"/>
    </xf>
    <xf numFmtId="178" fontId="0" fillId="0" borderId="0" xfId="0" applyNumberFormat="1" applyFont="1" applyFill="1" applyBorder="1" applyAlignment="1">
      <alignment vertical="center"/>
    </xf>
    <xf numFmtId="0" fontId="14" fillId="0" borderId="0" xfId="0" applyFont="1" applyFill="1" applyBorder="1" applyAlignment="1">
      <alignment vertical="center"/>
    </xf>
    <xf numFmtId="0" fontId="0" fillId="6" borderId="7" xfId="0" applyFill="1" applyBorder="1">
      <alignment vertical="center"/>
    </xf>
    <xf numFmtId="0" fontId="5" fillId="0" borderId="0" xfId="0" applyFont="1" applyFill="1" applyAlignment="1">
      <alignment vertical="center" wrapText="1"/>
    </xf>
    <xf numFmtId="0" fontId="8" fillId="8" borderId="10" xfId="0" applyFont="1" applyFill="1" applyBorder="1" applyAlignment="1">
      <alignment horizontal="center" vertical="center"/>
    </xf>
    <xf numFmtId="0" fontId="0" fillId="0" borderId="10" xfId="0" applyFont="1" applyFill="1" applyBorder="1" applyAlignment="1">
      <alignment vertical="center"/>
    </xf>
    <xf numFmtId="177" fontId="5" fillId="11" borderId="7" xfId="0" applyNumberFormat="1" applyFont="1" applyFill="1" applyBorder="1" applyAlignment="1">
      <alignment vertical="center" wrapText="1"/>
    </xf>
    <xf numFmtId="177" fontId="7" fillId="6" borderId="11" xfId="0" applyNumberFormat="1" applyFont="1" applyFill="1" applyBorder="1" applyAlignment="1">
      <alignment horizontal="center" vertical="center" wrapText="1"/>
    </xf>
    <xf numFmtId="177" fontId="8" fillId="8" borderId="7" xfId="0" applyNumberFormat="1" applyFont="1" applyFill="1" applyBorder="1" applyAlignment="1">
      <alignment horizontal="center" vertical="center"/>
    </xf>
    <xf numFmtId="177" fontId="19" fillId="0" borderId="0" xfId="0" applyNumberFormat="1" applyFont="1" applyFill="1" applyBorder="1" applyAlignment="1">
      <alignment vertical="center"/>
    </xf>
    <xf numFmtId="0" fontId="19" fillId="0" borderId="0" xfId="0" applyFont="1" applyFill="1" applyBorder="1" applyAlignment="1">
      <alignment vertical="center"/>
    </xf>
    <xf numFmtId="0" fontId="8" fillId="8" borderId="7" xfId="0" applyFont="1" applyFill="1" applyBorder="1" applyAlignment="1">
      <alignment horizontal="center" vertical="center"/>
    </xf>
    <xf numFmtId="178" fontId="8" fillId="8" borderId="7" xfId="0" applyNumberFormat="1" applyFont="1" applyFill="1" applyBorder="1" applyAlignment="1">
      <alignment vertical="center"/>
    </xf>
    <xf numFmtId="177" fontId="20" fillId="0" borderId="0" xfId="0" applyNumberFormat="1" applyFont="1" applyFill="1" applyBorder="1" applyAlignment="1">
      <alignment vertical="center"/>
    </xf>
    <xf numFmtId="0" fontId="20" fillId="0" borderId="0" xfId="0" applyFont="1" applyFill="1" applyBorder="1" applyAlignment="1">
      <alignment vertical="center"/>
    </xf>
    <xf numFmtId="0" fontId="21" fillId="0" borderId="0" xfId="0" applyFont="1" applyFill="1" applyBorder="1" applyAlignment="1">
      <alignment horizontal="center" vertical="center" wrapText="1"/>
    </xf>
    <xf numFmtId="0" fontId="22" fillId="0" borderId="0" xfId="0" applyFont="1" applyFill="1" applyBorder="1" applyAlignment="1"/>
    <xf numFmtId="0" fontId="0" fillId="0" borderId="0" xfId="0" applyFill="1" applyBorder="1" applyAlignment="1">
      <alignment vertical="center"/>
    </xf>
    <xf numFmtId="0" fontId="19" fillId="0" borderId="0" xfId="0" applyFont="1" applyFill="1" applyAlignment="1">
      <alignment vertical="center"/>
    </xf>
    <xf numFmtId="0" fontId="19" fillId="0" borderId="0" xfId="0" applyNumberFormat="1" applyFont="1" applyFill="1" applyBorder="1" applyAlignment="1">
      <alignment vertical="center"/>
    </xf>
    <xf numFmtId="0" fontId="0" fillId="0" borderId="0" xfId="0" applyNumberFormat="1" applyFont="1" applyFill="1" applyAlignment="1">
      <alignment vertical="center"/>
    </xf>
    <xf numFmtId="0" fontId="6" fillId="7" borderId="7" xfId="0" applyNumberFormat="1" applyFont="1" applyFill="1" applyBorder="1" applyAlignment="1">
      <alignment horizontal="center" vertical="center" wrapText="1"/>
    </xf>
    <xf numFmtId="0" fontId="8" fillId="8" borderId="7" xfId="0" applyNumberFormat="1" applyFont="1" applyFill="1" applyBorder="1" applyAlignment="1">
      <alignment horizontal="center" vertical="center"/>
    </xf>
    <xf numFmtId="177" fontId="7" fillId="6" borderId="10" xfId="0" applyNumberFormat="1" applyFont="1" applyFill="1" applyBorder="1" applyAlignment="1">
      <alignment horizontal="center" vertical="center" wrapText="1"/>
    </xf>
    <xf numFmtId="180" fontId="7" fillId="16" borderId="11" xfId="0" applyNumberFormat="1" applyFont="1" applyFill="1" applyBorder="1" applyAlignment="1">
      <alignment horizontal="center" vertical="center" wrapText="1"/>
    </xf>
    <xf numFmtId="0" fontId="20" fillId="0" borderId="0" xfId="49" applyFont="1">
      <alignment vertical="center"/>
    </xf>
    <xf numFmtId="0" fontId="20" fillId="0" borderId="0" xfId="49" applyFont="1" applyFill="1">
      <alignment vertical="center"/>
    </xf>
    <xf numFmtId="0" fontId="8" fillId="8" borderId="9" xfId="0" applyNumberFormat="1" applyFont="1" applyFill="1" applyBorder="1" applyAlignment="1">
      <alignment horizontal="center" vertical="center"/>
    </xf>
    <xf numFmtId="14" fontId="0" fillId="0" borderId="7" xfId="0" applyNumberFormat="1" applyBorder="1">
      <alignment vertical="center"/>
    </xf>
    <xf numFmtId="177" fontId="0" fillId="0" borderId="0" xfId="0" applyNumberFormat="1" applyFont="1" applyFill="1" applyAlignment="1">
      <alignment vertical="center"/>
    </xf>
    <xf numFmtId="0" fontId="0" fillId="0" borderId="0" xfId="49" applyFont="1" applyFill="1">
      <alignment vertical="center"/>
    </xf>
    <xf numFmtId="0" fontId="0" fillId="0" borderId="0" xfId="49" applyFont="1">
      <alignment vertical="center"/>
    </xf>
    <xf numFmtId="0" fontId="14" fillId="0" borderId="0" xfId="49" applyFont="1" applyFill="1" applyBorder="1" applyAlignment="1">
      <alignment horizontal="center" vertical="center" wrapText="1"/>
    </xf>
    <xf numFmtId="0" fontId="14" fillId="0" borderId="0" xfId="49" applyFont="1" applyFill="1" applyBorder="1">
      <alignment vertical="center"/>
    </xf>
    <xf numFmtId="0" fontId="3" fillId="6" borderId="0" xfId="0" applyFont="1" applyFill="1" applyAlignment="1">
      <alignment vertical="center"/>
    </xf>
    <xf numFmtId="182" fontId="14" fillId="6" borderId="0" xfId="0" applyNumberFormat="1" applyFont="1" applyFill="1" applyAlignment="1"/>
    <xf numFmtId="26" fontId="0" fillId="6" borderId="0" xfId="0" applyNumberFormat="1" applyFill="1">
      <alignment vertical="center"/>
    </xf>
    <xf numFmtId="0" fontId="5" fillId="0" borderId="0" xfId="0" applyNumberFormat="1" applyFont="1" applyFill="1" applyAlignment="1">
      <alignment vertical="center"/>
    </xf>
    <xf numFmtId="178" fontId="8" fillId="8" borderId="7" xfId="0" applyNumberFormat="1" applyFont="1" applyFill="1" applyBorder="1" applyAlignment="1">
      <alignment horizontal="center" vertical="center" wrapText="1"/>
    </xf>
    <xf numFmtId="0" fontId="8" fillId="0" borderId="0" xfId="0" applyNumberFormat="1" applyFont="1" applyFill="1" applyAlignment="1">
      <alignment vertical="center"/>
    </xf>
    <xf numFmtId="0" fontId="14" fillId="0" borderId="0" xfId="0" applyNumberFormat="1" applyFont="1" applyFill="1" applyBorder="1" applyAlignment="1">
      <alignment vertical="center"/>
    </xf>
    <xf numFmtId="0" fontId="0" fillId="14" borderId="0" xfId="0" applyFont="1" applyFill="1" applyBorder="1" applyAlignment="1">
      <alignment vertical="center"/>
    </xf>
    <xf numFmtId="0" fontId="8" fillId="8" borderId="7" xfId="0" applyNumberFormat="1" applyFont="1" applyFill="1" applyBorder="1" applyAlignment="1">
      <alignment vertical="center"/>
    </xf>
    <xf numFmtId="10" fontId="6" fillId="12" borderId="7" xfId="0" applyNumberFormat="1" applyFont="1" applyFill="1" applyBorder="1" applyAlignment="1">
      <alignment horizontal="center" vertical="center" wrapText="1"/>
    </xf>
    <xf numFmtId="178" fontId="5" fillId="11" borderId="8" xfId="0" applyNumberFormat="1" applyFont="1" applyFill="1" applyBorder="1" applyAlignment="1">
      <alignment horizontal="center" vertical="center" wrapText="1"/>
    </xf>
    <xf numFmtId="178" fontId="5" fillId="11" borderId="10" xfId="0" applyNumberFormat="1" applyFont="1" applyFill="1" applyBorder="1" applyAlignment="1">
      <alignment horizontal="center" vertical="center" wrapText="1"/>
    </xf>
    <xf numFmtId="0" fontId="0" fillId="5" borderId="0" xfId="0" applyFill="1">
      <alignment vertical="center"/>
    </xf>
    <xf numFmtId="10" fontId="0" fillId="5" borderId="0" xfId="0" applyNumberFormat="1" applyFill="1">
      <alignment vertical="center"/>
    </xf>
    <xf numFmtId="178" fontId="7" fillId="0" borderId="0" xfId="0" applyNumberFormat="1" applyFont="1" applyFill="1" applyAlignment="1">
      <alignment horizontal="center" vertical="center" wrapText="1"/>
    </xf>
    <xf numFmtId="177" fontId="8" fillId="0" borderId="0" xfId="0" applyNumberFormat="1" applyFont="1" applyFill="1" applyAlignment="1">
      <alignment vertical="center"/>
    </xf>
    <xf numFmtId="178" fontId="0" fillId="0" borderId="0" xfId="0" applyNumberFormat="1" applyFont="1" applyFill="1" applyAlignment="1">
      <alignment horizontal="center" vertical="center"/>
    </xf>
    <xf numFmtId="0" fontId="5" fillId="6" borderId="0" xfId="0" applyFont="1" applyFill="1" applyBorder="1" applyAlignment="1">
      <alignment vertical="center"/>
    </xf>
    <xf numFmtId="0" fontId="0" fillId="9" borderId="0" xfId="0" applyFont="1" applyFill="1" applyAlignment="1">
      <alignment vertical="center"/>
    </xf>
    <xf numFmtId="0" fontId="0" fillId="9" borderId="0" xfId="0" applyFill="1">
      <alignment vertical="center"/>
    </xf>
    <xf numFmtId="0" fontId="3" fillId="8" borderId="0" xfId="0" applyFont="1" applyFill="1" applyAlignment="1">
      <alignment vertical="center"/>
    </xf>
    <xf numFmtId="182" fontId="3" fillId="0" borderId="0" xfId="0" applyNumberFormat="1" applyFont="1" applyAlignment="1"/>
    <xf numFmtId="182" fontId="3" fillId="0" borderId="0" xfId="0" applyNumberFormat="1" applyFont="1" applyFill="1" applyAlignment="1"/>
    <xf numFmtId="0" fontId="0" fillId="0" borderId="0" xfId="0" applyAlignment="1">
      <alignment horizontal="left" vertical="center"/>
    </xf>
    <xf numFmtId="0" fontId="8" fillId="0" borderId="9" xfId="0" applyFont="1" applyFill="1" applyBorder="1" applyAlignment="1">
      <alignment horizontal="center" vertical="center"/>
    </xf>
    <xf numFmtId="0" fontId="23" fillId="0" borderId="7" xfId="0" applyFont="1" applyFill="1" applyBorder="1" applyAlignment="1"/>
    <xf numFmtId="178" fontId="8" fillId="8" borderId="7" xfId="0" applyNumberFormat="1" applyFont="1" applyFill="1" applyBorder="1" applyAlignment="1">
      <alignment horizontal="left" vertical="center"/>
    </xf>
    <xf numFmtId="43" fontId="0" fillId="0" borderId="7" xfId="0" applyNumberFormat="1" applyFont="1" applyFill="1" applyBorder="1" applyAlignment="1">
      <alignment horizontal="center"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989">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0" formatCode="0.00%"/>
    </dxf>
    <dxf>
      <numFmt numFmtId="10" formatCode="0.00%"/>
    </dxf>
    <dxf>
      <numFmt numFmtId="10" formatCode="0.00%"/>
    </dxf>
    <dxf>
      <numFmt numFmtId="10"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0" formatCode="0.00%"/>
    </dxf>
    <dxf>
      <numFmt numFmtId="10" formatCode="0.00%"/>
    </dxf>
    <dxf>
      <numFmt numFmtId="10" formatCode="0.00%"/>
    </dxf>
    <dxf>
      <numFmt numFmtId="10"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77" formatCode="0.00_);[Red]\(0.00\)"/>
    </dxf>
    <dxf>
      <numFmt numFmtId="177" formatCode="0.00_);[Red]\(0.00\)"/>
    </dxf>
    <dxf>
      <numFmt numFmtId="177" formatCode="0.00_);[Red]\(0.00\)"/>
    </dxf>
    <dxf>
      <numFmt numFmtId="177" formatCode="0.00_);[Red]\(0.00\)"/>
    </dxf>
    <dxf>
      <numFmt numFmtId="10" formatCode="0.00%"/>
    </dxf>
    <dxf>
      <numFmt numFmtId="10" formatCode="0.00%"/>
    </dxf>
    <dxf>
      <numFmt numFmtId="10" formatCode="0.00%"/>
    </dxf>
    <dxf>
      <numFmt numFmtId="10"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77" formatCode="0.00_);[Red]\(0.00\)"/>
    </dxf>
    <dxf>
      <numFmt numFmtId="177" formatCode="0.00_);[Red]\(0.00\)"/>
    </dxf>
    <dxf>
      <numFmt numFmtId="177" formatCode="0.00_);[Red]\(0.00\)"/>
    </dxf>
    <dxf>
      <numFmt numFmtId="177" formatCode="0.00_);[Red]\(0.00\)"/>
    </dxf>
    <dxf>
      <numFmt numFmtId="10" formatCode="0.00%"/>
    </dxf>
    <dxf>
      <numFmt numFmtId="10" formatCode="0.00%"/>
    </dxf>
    <dxf>
      <numFmt numFmtId="177" formatCode="0.00_);[Red]\(0.00\)"/>
    </dxf>
    <dxf>
      <numFmt numFmtId="177" formatCode="0.00_);[Red]\(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numFmt numFmtId="10" formatCode="0.00%"/>
    </dxf>
    <dxf>
      <font>
        <color rgb="FF9C0006"/>
      </font>
      <fill>
        <patternFill patternType="solid">
          <bgColor rgb="FFFFC7CE"/>
        </patternFill>
      </fill>
    </dxf>
    <dxf>
      <fill>
        <patternFill patternType="solid">
          <bgColor theme="5" tint="0.8"/>
        </patternFill>
      </fill>
    </dxf>
    <dxf>
      <font>
        <color rgb="FF9C6500"/>
      </font>
      <fill>
        <patternFill patternType="solid">
          <bgColor rgb="FFFFEB9C"/>
        </patternFill>
      </fill>
    </dxf>
    <dxf>
      <fill>
        <patternFill patternType="solid">
          <bgColor theme="9" tint="0.6"/>
        </patternFill>
      </fill>
    </dxf>
    <dxf>
      <fill>
        <patternFill patternType="solid">
          <bgColor rgb="FFFF9900"/>
        </patternFill>
      </fill>
    </dxf>
  </dxf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2" Type="http://schemas.openxmlformats.org/officeDocument/2006/relationships/sharedStrings" Target="sharedStrings.xml"/><Relationship Id="rId91" Type="http://schemas.openxmlformats.org/officeDocument/2006/relationships/styles" Target="styles.xml"/><Relationship Id="rId90" Type="http://schemas.openxmlformats.org/officeDocument/2006/relationships/theme" Target="theme/theme1.xml"/><Relationship Id="rId9" Type="http://schemas.openxmlformats.org/officeDocument/2006/relationships/worksheet" Target="worksheets/sheet9.xml"/><Relationship Id="rId89" Type="http://schemas.openxmlformats.org/officeDocument/2006/relationships/externalLink" Target="externalLinks/externalLink1.xml"/><Relationship Id="rId88" Type="http://schemas.openxmlformats.org/officeDocument/2006/relationships/pivotCacheDefinition" Target="pivotCache/pivotCacheDefinition66.xml"/><Relationship Id="rId87" Type="http://schemas.openxmlformats.org/officeDocument/2006/relationships/pivotCacheDefinition" Target="pivotCache/pivotCacheDefinition65.xml"/><Relationship Id="rId86" Type="http://schemas.openxmlformats.org/officeDocument/2006/relationships/pivotCacheDefinition" Target="pivotCache/pivotCacheDefinition64.xml"/><Relationship Id="rId85" Type="http://schemas.openxmlformats.org/officeDocument/2006/relationships/pivotCacheDefinition" Target="pivotCache/pivotCacheDefinition63.xml"/><Relationship Id="rId84" Type="http://schemas.openxmlformats.org/officeDocument/2006/relationships/pivotCacheDefinition" Target="pivotCache/pivotCacheDefinition62.xml"/><Relationship Id="rId83" Type="http://schemas.openxmlformats.org/officeDocument/2006/relationships/pivotCacheDefinition" Target="pivotCache/pivotCacheDefinition61.xml"/><Relationship Id="rId82" Type="http://schemas.openxmlformats.org/officeDocument/2006/relationships/pivotCacheDefinition" Target="pivotCache/pivotCacheDefinition60.xml"/><Relationship Id="rId81" Type="http://schemas.openxmlformats.org/officeDocument/2006/relationships/pivotCacheDefinition" Target="pivotCache/pivotCacheDefinition59.xml"/><Relationship Id="rId80" Type="http://schemas.openxmlformats.org/officeDocument/2006/relationships/pivotCacheDefinition" Target="pivotCache/pivotCacheDefinition58.xml"/><Relationship Id="rId8" Type="http://schemas.openxmlformats.org/officeDocument/2006/relationships/worksheet" Target="worksheets/sheet8.xml"/><Relationship Id="rId79" Type="http://schemas.openxmlformats.org/officeDocument/2006/relationships/pivotCacheDefinition" Target="pivotCache/pivotCacheDefinition57.xml"/><Relationship Id="rId78" Type="http://schemas.openxmlformats.org/officeDocument/2006/relationships/pivotCacheDefinition" Target="pivotCache/pivotCacheDefinition56.xml"/><Relationship Id="rId77" Type="http://schemas.openxmlformats.org/officeDocument/2006/relationships/pivotCacheDefinition" Target="pivotCache/pivotCacheDefinition55.xml"/><Relationship Id="rId76" Type="http://schemas.openxmlformats.org/officeDocument/2006/relationships/pivotCacheDefinition" Target="pivotCache/pivotCacheDefinition54.xml"/><Relationship Id="rId75" Type="http://schemas.openxmlformats.org/officeDocument/2006/relationships/pivotCacheDefinition" Target="pivotCache/pivotCacheDefinition53.xml"/><Relationship Id="rId74" Type="http://schemas.openxmlformats.org/officeDocument/2006/relationships/pivotCacheDefinition" Target="pivotCache/pivotCacheDefinition52.xml"/><Relationship Id="rId73" Type="http://schemas.openxmlformats.org/officeDocument/2006/relationships/pivotCacheDefinition" Target="pivotCache/pivotCacheDefinition51.xml"/><Relationship Id="rId72" Type="http://schemas.openxmlformats.org/officeDocument/2006/relationships/pivotCacheDefinition" Target="pivotCache/pivotCacheDefinition50.xml"/><Relationship Id="rId71" Type="http://schemas.openxmlformats.org/officeDocument/2006/relationships/pivotCacheDefinition" Target="pivotCache/pivotCacheDefinition49.xml"/><Relationship Id="rId70" Type="http://schemas.openxmlformats.org/officeDocument/2006/relationships/pivotCacheDefinition" Target="pivotCache/pivotCacheDefinition48.xml"/><Relationship Id="rId7" Type="http://schemas.openxmlformats.org/officeDocument/2006/relationships/worksheet" Target="worksheets/sheet7.xml"/><Relationship Id="rId69" Type="http://schemas.openxmlformats.org/officeDocument/2006/relationships/pivotCacheDefinition" Target="pivotCache/pivotCacheDefinition47.xml"/><Relationship Id="rId68" Type="http://schemas.openxmlformats.org/officeDocument/2006/relationships/pivotCacheDefinition" Target="pivotCache/pivotCacheDefinition46.xml"/><Relationship Id="rId67" Type="http://schemas.openxmlformats.org/officeDocument/2006/relationships/pivotCacheDefinition" Target="pivotCache/pivotCacheDefinition45.xml"/><Relationship Id="rId66" Type="http://schemas.openxmlformats.org/officeDocument/2006/relationships/pivotCacheDefinition" Target="pivotCache/pivotCacheDefinition44.xml"/><Relationship Id="rId65" Type="http://schemas.openxmlformats.org/officeDocument/2006/relationships/pivotCacheDefinition" Target="pivotCache/pivotCacheDefinition43.xml"/><Relationship Id="rId64" Type="http://schemas.openxmlformats.org/officeDocument/2006/relationships/pivotCacheDefinition" Target="pivotCache/pivotCacheDefinition42.xml"/><Relationship Id="rId63" Type="http://schemas.openxmlformats.org/officeDocument/2006/relationships/pivotCacheDefinition" Target="pivotCache/pivotCacheDefinition41.xml"/><Relationship Id="rId62" Type="http://schemas.openxmlformats.org/officeDocument/2006/relationships/pivotCacheDefinition" Target="pivotCache/pivotCacheDefinition40.xml"/><Relationship Id="rId61" Type="http://schemas.openxmlformats.org/officeDocument/2006/relationships/pivotCacheDefinition" Target="pivotCache/pivotCacheDefinition39.xml"/><Relationship Id="rId60" Type="http://schemas.openxmlformats.org/officeDocument/2006/relationships/pivotCacheDefinition" Target="pivotCache/pivotCacheDefinition38.xml"/><Relationship Id="rId6" Type="http://schemas.openxmlformats.org/officeDocument/2006/relationships/worksheet" Target="worksheets/sheet6.xml"/><Relationship Id="rId59" Type="http://schemas.openxmlformats.org/officeDocument/2006/relationships/pivotCacheDefinition" Target="pivotCache/pivotCacheDefinition37.xml"/><Relationship Id="rId58" Type="http://schemas.openxmlformats.org/officeDocument/2006/relationships/pivotCacheDefinition" Target="pivotCache/pivotCacheDefinition36.xml"/><Relationship Id="rId57" Type="http://schemas.openxmlformats.org/officeDocument/2006/relationships/pivotCacheDefinition" Target="pivotCache/pivotCacheDefinition35.xml"/><Relationship Id="rId56" Type="http://schemas.openxmlformats.org/officeDocument/2006/relationships/pivotCacheDefinition" Target="pivotCache/pivotCacheDefinition34.xml"/><Relationship Id="rId55" Type="http://schemas.openxmlformats.org/officeDocument/2006/relationships/pivotCacheDefinition" Target="pivotCache/pivotCacheDefinition33.xml"/><Relationship Id="rId54" Type="http://schemas.openxmlformats.org/officeDocument/2006/relationships/pivotCacheDefinition" Target="pivotCache/pivotCacheDefinition32.xml"/><Relationship Id="rId53" Type="http://schemas.openxmlformats.org/officeDocument/2006/relationships/pivotCacheDefinition" Target="pivotCache/pivotCacheDefinition31.xml"/><Relationship Id="rId52" Type="http://schemas.openxmlformats.org/officeDocument/2006/relationships/pivotCacheDefinition" Target="pivotCache/pivotCacheDefinition30.xml"/><Relationship Id="rId51" Type="http://schemas.openxmlformats.org/officeDocument/2006/relationships/pivotCacheDefinition" Target="pivotCache/pivotCacheDefinition29.xml"/><Relationship Id="rId50" Type="http://schemas.openxmlformats.org/officeDocument/2006/relationships/pivotCacheDefinition" Target="pivotCache/pivotCacheDefinition28.xml"/><Relationship Id="rId5" Type="http://schemas.openxmlformats.org/officeDocument/2006/relationships/worksheet" Target="worksheets/sheet5.xml"/><Relationship Id="rId49" Type="http://schemas.openxmlformats.org/officeDocument/2006/relationships/pivotCacheDefinition" Target="pivotCache/pivotCacheDefinition27.xml"/><Relationship Id="rId48" Type="http://schemas.openxmlformats.org/officeDocument/2006/relationships/pivotCacheDefinition" Target="pivotCache/pivotCacheDefinition26.xml"/><Relationship Id="rId47" Type="http://schemas.openxmlformats.org/officeDocument/2006/relationships/pivotCacheDefinition" Target="pivotCache/pivotCacheDefinition25.xml"/><Relationship Id="rId46" Type="http://schemas.openxmlformats.org/officeDocument/2006/relationships/pivotCacheDefinition" Target="pivotCache/pivotCacheDefinition24.xml"/><Relationship Id="rId45" Type="http://schemas.openxmlformats.org/officeDocument/2006/relationships/pivotCacheDefinition" Target="pivotCache/pivotCacheDefinition23.xml"/><Relationship Id="rId44" Type="http://schemas.openxmlformats.org/officeDocument/2006/relationships/pivotCacheDefinition" Target="pivotCache/pivotCacheDefinition22.xml"/><Relationship Id="rId43" Type="http://schemas.openxmlformats.org/officeDocument/2006/relationships/pivotCacheDefinition" Target="pivotCache/pivotCacheDefinition21.xml"/><Relationship Id="rId42" Type="http://schemas.openxmlformats.org/officeDocument/2006/relationships/pivotCacheDefinition" Target="pivotCache/pivotCacheDefinition20.xml"/><Relationship Id="rId41" Type="http://schemas.openxmlformats.org/officeDocument/2006/relationships/pivotCacheDefinition" Target="pivotCache/pivotCacheDefinition19.xml"/><Relationship Id="rId40" Type="http://schemas.openxmlformats.org/officeDocument/2006/relationships/pivotCacheDefinition" Target="pivotCache/pivotCacheDefinition18.xml"/><Relationship Id="rId4" Type="http://schemas.openxmlformats.org/officeDocument/2006/relationships/worksheet" Target="worksheets/sheet4.xml"/><Relationship Id="rId39" Type="http://schemas.openxmlformats.org/officeDocument/2006/relationships/pivotCacheDefinition" Target="pivotCache/pivotCacheDefinition17.xml"/><Relationship Id="rId38" Type="http://schemas.openxmlformats.org/officeDocument/2006/relationships/pivotCacheDefinition" Target="pivotCache/pivotCacheDefinition16.xml"/><Relationship Id="rId37" Type="http://schemas.openxmlformats.org/officeDocument/2006/relationships/pivotCacheDefinition" Target="pivotCache/pivotCacheDefinition15.xml"/><Relationship Id="rId36" Type="http://schemas.openxmlformats.org/officeDocument/2006/relationships/pivotCacheDefinition" Target="pivotCache/pivotCacheDefinition14.xml"/><Relationship Id="rId35" Type="http://schemas.openxmlformats.org/officeDocument/2006/relationships/pivotCacheDefinition" Target="pivotCache/pivotCacheDefinition13.xml"/><Relationship Id="rId34" Type="http://schemas.openxmlformats.org/officeDocument/2006/relationships/pivotCacheDefinition" Target="pivotCache/pivotCacheDefinition12.xml"/><Relationship Id="rId33" Type="http://schemas.openxmlformats.org/officeDocument/2006/relationships/pivotCacheDefinition" Target="pivotCache/pivotCacheDefinition11.xml"/><Relationship Id="rId32" Type="http://schemas.openxmlformats.org/officeDocument/2006/relationships/pivotCacheDefinition" Target="pivotCache/pivotCacheDefinition10.xml"/><Relationship Id="rId31" Type="http://schemas.openxmlformats.org/officeDocument/2006/relationships/pivotCacheDefinition" Target="pivotCache/pivotCacheDefinition9.xml"/><Relationship Id="rId30" Type="http://schemas.openxmlformats.org/officeDocument/2006/relationships/pivotCacheDefinition" Target="pivotCache/pivotCacheDefinition8.xml"/><Relationship Id="rId3" Type="http://schemas.openxmlformats.org/officeDocument/2006/relationships/worksheet" Target="worksheets/sheet3.xml"/><Relationship Id="rId29" Type="http://schemas.openxmlformats.org/officeDocument/2006/relationships/pivotCacheDefinition" Target="pivotCache/pivotCacheDefinition7.xml"/><Relationship Id="rId28" Type="http://schemas.openxmlformats.org/officeDocument/2006/relationships/pivotCacheDefinition" Target="pivotCache/pivotCacheDefinition6.xml"/><Relationship Id="rId27" Type="http://schemas.openxmlformats.org/officeDocument/2006/relationships/pivotCacheDefinition" Target="pivotCache/pivotCacheDefinition5.xml"/><Relationship Id="rId26" Type="http://schemas.openxmlformats.org/officeDocument/2006/relationships/pivotCacheDefinition" Target="pivotCache/pivotCacheDefinition4.xml"/><Relationship Id="rId25" Type="http://schemas.openxmlformats.org/officeDocument/2006/relationships/pivotCacheDefinition" Target="pivotCache/pivotCacheDefinition3.xml"/><Relationship Id="rId24" Type="http://schemas.openxmlformats.org/officeDocument/2006/relationships/pivotCacheDefinition" Target="pivotCache/pivotCacheDefinition2.xml"/><Relationship Id="rId23" Type="http://schemas.openxmlformats.org/officeDocument/2006/relationships/pivotCacheDefinition" Target="pivotCache/pivotCacheDefinition1.xml"/><Relationship Id="rId22" Type="http://schemas.openxmlformats.org/officeDocument/2006/relationships/customXml" Target="../customXml/item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t>1店</a:t>
            </a:r>
          </a:p>
        </c:rich>
      </c:tx>
      <c:layout>
        <c:manualLayout>
          <c:xMode val="edge"/>
          <c:yMode val="edge"/>
          <c:x val="0.0109027777777778"/>
          <c:y val="0.0133262260127932"/>
        </c:manualLayout>
      </c:layout>
      <c:overlay val="0"/>
      <c:spPr>
        <a:noFill/>
        <a:ln>
          <a:noFill/>
        </a:ln>
        <a:effectLst/>
      </c:spPr>
    </c:title>
    <c:autoTitleDeleted val="0"/>
    <c:plotArea>
      <c:layout/>
      <c:barChart>
        <c:barDir val="col"/>
        <c:grouping val="clustered"/>
        <c:varyColors val="0"/>
        <c:ser>
          <c:idx val="0"/>
          <c:order val="0"/>
          <c:tx>
            <c:strRef>
              <c:f>趋势图45天!$A$2</c:f>
              <c:strCache>
                <c:ptCount val="1"/>
                <c:pt idx="0">
                  <c:v>总sku</c:v>
                </c:pt>
              </c:strCache>
            </c:strRef>
          </c:tx>
          <c:spPr>
            <a:solidFill>
              <a:schemeClr val="accent1"/>
            </a:solidFill>
            <a:ln>
              <a:noFill/>
            </a:ln>
            <a:effectLst/>
          </c:spPr>
          <c:invertIfNegative val="0"/>
          <c:dLbls>
            <c:delete val="1"/>
          </c:dLbls>
          <c:cat>
            <c:numRef>
              <c:f>趋势图45天!$S$1:$AQ$1</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趋势图45天!$S$2:$AQ$2</c:f>
              <c:numCache>
                <c:formatCode>General</c:formatCode>
                <c:ptCount val="7"/>
                <c:pt idx="0">
                  <c:v>119</c:v>
                </c:pt>
                <c:pt idx="1">
                  <c:v>122</c:v>
                </c:pt>
                <c:pt idx="2">
                  <c:v>122</c:v>
                </c:pt>
                <c:pt idx="3">
                  <c:v>123</c:v>
                </c:pt>
                <c:pt idx="4">
                  <c:v>126</c:v>
                </c:pt>
                <c:pt idx="5">
                  <c:v>126</c:v>
                </c:pt>
                <c:pt idx="6">
                  <c:v>121</c:v>
                </c:pt>
              </c:numCache>
            </c:numRef>
          </c:val>
        </c:ser>
        <c:ser>
          <c:idx val="5"/>
          <c:order val="5"/>
          <c:tx>
            <c:strRef>
              <c:f>趋势图45天!$A$7</c:f>
              <c:strCache>
                <c:ptCount val="1"/>
                <c:pt idx="0">
                  <c:v>正常sku</c:v>
                </c:pt>
              </c:strCache>
            </c:strRef>
          </c:tx>
          <c:spPr>
            <a:solidFill>
              <a:schemeClr val="accent6"/>
            </a:solidFill>
            <a:ln>
              <a:noFill/>
            </a:ln>
            <a:effectLst/>
          </c:spPr>
          <c:invertIfNegative val="0"/>
          <c:dLbls>
            <c:delete val="1"/>
          </c:dLbls>
          <c:cat>
            <c:numRef>
              <c:f>趋势图45天!$S$1:$AQ$1</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趋势图45天!$S$7:$AQ$7</c:f>
              <c:numCache>
                <c:formatCode>General</c:formatCode>
                <c:ptCount val="7"/>
                <c:pt idx="0">
                  <c:v>17</c:v>
                </c:pt>
                <c:pt idx="1">
                  <c:v>16</c:v>
                </c:pt>
                <c:pt idx="2">
                  <c:v>20</c:v>
                </c:pt>
                <c:pt idx="3">
                  <c:v>20</c:v>
                </c:pt>
                <c:pt idx="4">
                  <c:v>18</c:v>
                </c:pt>
                <c:pt idx="5">
                  <c:v>17</c:v>
                </c:pt>
                <c:pt idx="6">
                  <c:v>19</c:v>
                </c:pt>
              </c:numCache>
            </c:numRef>
          </c:val>
        </c:ser>
        <c:ser>
          <c:idx val="8"/>
          <c:order val="9"/>
          <c:tx>
            <c:strRef>
              <c:f>趋势图45天!$A$11</c:f>
              <c:strCache>
                <c:ptCount val="1"/>
                <c:pt idx="0">
                  <c:v>总库存数量</c:v>
                </c:pt>
              </c:strCache>
            </c:strRef>
          </c:tx>
          <c:spPr>
            <a:solidFill>
              <a:schemeClr val="accent3">
                <a:lumMod val="60000"/>
              </a:schemeClr>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趋势图45天!$S$1:$AQ$1</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趋势图45天!$S$11:$AQ$11</c:f>
              <c:numCache>
                <c:formatCode>General</c:formatCode>
                <c:ptCount val="7"/>
                <c:pt idx="0">
                  <c:v>3107</c:v>
                </c:pt>
                <c:pt idx="1">
                  <c:v>3151</c:v>
                </c:pt>
                <c:pt idx="2">
                  <c:v>2847</c:v>
                </c:pt>
                <c:pt idx="3">
                  <c:v>2843</c:v>
                </c:pt>
                <c:pt idx="4">
                  <c:v>2973</c:v>
                </c:pt>
                <c:pt idx="5">
                  <c:v>2898</c:v>
                </c:pt>
                <c:pt idx="6">
                  <c:v>2559</c:v>
                </c:pt>
              </c:numCache>
            </c:numRef>
          </c:val>
        </c:ser>
        <c:dLbls>
          <c:showLegendKey val="0"/>
          <c:showVal val="1"/>
          <c:showCatName val="0"/>
          <c:showSerName val="0"/>
          <c:showPercent val="0"/>
          <c:showBubbleSize val="0"/>
        </c:dLbls>
        <c:gapWidth val="150"/>
        <c:overlap val="0"/>
        <c:axId val="972074905"/>
        <c:axId val="613246682"/>
        <c:extLst>
          <c:ext xmlns:c15="http://schemas.microsoft.com/office/drawing/2012/chart" uri="{02D57815-91ED-43cb-92C2-25804820EDAC}">
            <c15:filteredBarSeries>
              <c15:ser>
                <c:idx val="1"/>
                <c:order val="1"/>
                <c:tx>
                  <c:strRef>
                    <c:extLst>
                      <c:ext uri="{02D57815-91ED-43cb-92C2-25804820EDAC}">
                        <c15:formulaRef>
                          <c15:sqref>趋势图45天!$A$3</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趋势图45天!$S$1:$AQ$1</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趋势图45天!$S$3:$AQ$3</c15:sqref>
                        </c15:formulaRef>
                      </c:ext>
                    </c:extLst>
                    <c:numCache>
                      <c:formatCode>General</c:formatCode>
                      <c:ptCount val="7"/>
                      <c:pt idx="0">
                        <c:v>95</c:v>
                      </c:pt>
                      <c:pt idx="1">
                        <c:v>95</c:v>
                      </c:pt>
                      <c:pt idx="2">
                        <c:v>95</c:v>
                      </c:pt>
                      <c:pt idx="3">
                        <c:v>100</c:v>
                      </c:pt>
                      <c:pt idx="4">
                        <c:v>101</c:v>
                      </c:pt>
                      <c:pt idx="5">
                        <c:v>100</c:v>
                      </c:pt>
                      <c:pt idx="6">
                        <c:v>95</c:v>
                      </c:pt>
                    </c:numCache>
                  </c:numRef>
                </c:val>
              </c15:ser>
            </c15:filteredBarSeries>
            <c15:filteredBarSeries>
              <c15:ser>
                <c:idx val="2"/>
                <c:order val="2"/>
                <c:tx>
                  <c:strRef>
                    <c:extLst>
                      <c:ext uri="{02D57815-91ED-43cb-92C2-25804820EDAC}">
                        <c15:formulaRef>
                          <c15:sqref>趋势图45天!$A$4</c15:sqref>
                        </c15:formulaRef>
                      </c:ext>
                    </c:extLst>
                    <c:strCache>
                      <c:ptCount val="1"/>
                      <c:pt idx="0">
                        <c:v>晓美</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趋势图45天!$S$1:$AQ$1</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趋势图45天!$S$4:$AQ$4</c15:sqref>
                        </c15:formulaRef>
                      </c:ext>
                    </c:extLst>
                    <c:numCache>
                      <c:formatCode>General</c:formatCode>
                      <c:ptCount val="7"/>
                    </c:numCache>
                  </c:numRef>
                </c:val>
              </c15:ser>
            </c15:filteredBarSeries>
            <c15:filteredBarSeries>
              <c15:ser>
                <c:idx val="3"/>
                <c:order val="3"/>
                <c:tx>
                  <c:strRef>
                    <c:extLst>
                      <c:ext uri="{02D57815-91ED-43cb-92C2-25804820EDAC}">
                        <c15:formulaRef>
                          <c15:sqref>趋势图45天!$A$5</c15:sqref>
                        </c15:formulaRef>
                      </c:ext>
                    </c:extLst>
                    <c:strCache>
                      <c:ptCount val="1"/>
                      <c:pt idx="0">
                        <c:v>秀青</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趋势图45天!$S$1:$AQ$1</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趋势图45天!$S$5:$AQ$5</c15:sqref>
                        </c15:formulaRef>
                      </c:ext>
                    </c:extLst>
                    <c:numCache>
                      <c:formatCode>General</c:formatCode>
                      <c:ptCount val="7"/>
                    </c:numCache>
                  </c:numRef>
                </c:val>
              </c15:ser>
            </c15:filteredBarSeries>
            <c15:filteredBarSeries>
              <c15:ser>
                <c:idx val="9"/>
                <c:order val="7"/>
                <c:tx>
                  <c:strRef>
                    <c:extLst>
                      <c:ext uri="{02D57815-91ED-43cb-92C2-25804820EDAC}">
                        <c15:formulaRef>
                          <c15:sqref>趋势图45天!$A$9</c15:sqref>
                        </c15:formulaRef>
                      </c:ext>
                    </c:extLst>
                    <c:strCache>
                      <c:ptCount val="1"/>
                      <c:pt idx="0">
                        <c:v>秀青</c:v>
                      </c:pt>
                    </c:strCache>
                  </c:strRef>
                </c:tx>
                <c:spPr>
                  <a:solidFill>
                    <a:schemeClr val="accent4">
                      <a:lumMod val="60000"/>
                    </a:schemeClr>
                  </a:solidFill>
                  <a:ln>
                    <a:noFill/>
                  </a:ln>
                  <a:effectLst/>
                </c:spPr>
                <c:invertIfNegative val="0"/>
                <c:dLbls>
                  <c:delete val="1"/>
                </c:dLbls>
                <c:cat>
                  <c:numRef>
                    <c:extLst>
                      <c:ext uri="{02D57815-91ED-43cb-92C2-25804820EDAC}">
                        <c15:fullRef>
                          <c15:sqref/>
                        </c15:fullRef>
                        <c15:formulaRef>
                          <c15:sqref>趋势图45天!$S$1:$AQ$1</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趋势图45天!$S$9:$AQ$9</c15:sqref>
                        </c15:formulaRef>
                      </c:ext>
                    </c:extLst>
                    <c:numCache>
                      <c:formatCode>General</c:formatCode>
                      <c:ptCount val="7"/>
                    </c:numCache>
                  </c:numRef>
                </c:val>
              </c15:ser>
            </c15:filteredBarSeries>
          </c:ext>
        </c:extLst>
      </c:barChart>
      <c:lineChart>
        <c:grouping val="standard"/>
        <c:varyColors val="0"/>
        <c:dLbls>
          <c:showLegendKey val="0"/>
          <c:showVal val="1"/>
          <c:showCatName val="0"/>
          <c:showSerName val="0"/>
          <c:showPercent val="0"/>
          <c:showBubbleSize val="0"/>
        </c:dLbls>
        <c:marker val="0"/>
        <c:smooth val="0"/>
        <c:axId val="972074905"/>
        <c:axId val="613246682"/>
        <c:extLst>
          <c:ext xmlns:c15="http://schemas.microsoft.com/office/drawing/2012/chart" uri="{02D57815-91ED-43cb-92C2-25804820EDAC}">
            <c15:filteredLineSeries>
              <c15:ser>
                <c:idx val="4"/>
                <c:order val="4"/>
                <c:tx>
                  <c:strRef>
                    <c:extLst>
                      <c:ext uri="{02D57815-91ED-43cb-92C2-25804820EDAC}">
                        <c15:formulaRef>
                          <c15:sqref>趋势图45天!$A$6</c15:sqref>
                        </c15:formulaRef>
                      </c:ext>
                    </c:extLst>
                    <c:strCache>
                      <c:ptCount val="1"/>
                      <c:pt idx="0">
                        <c:v>无库存+新品到货sku数量</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趋势图45天!$S$1:$AQ$1</c15:sqref>
                        </c15:formulaRef>
                      </c:ext>
                    </c:extLst>
                    <c:numCache>
                      <c:ptCount val="0"/>
                    </c:numCache>
                  </c:numRef>
                </c:cat>
                <c:val>
                  <c:numRef>
                    <c:extLst>
                      <c:ext uri="{02D57815-91ED-43cb-92C2-25804820EDAC}">
                        <c15:formulaRef>
                          <c15:sqref>趋势图45天!$S$6:$AQ$6</c15:sqref>
                        </c15:formulaRef>
                      </c:ext>
                    </c:extLst>
                    <c:numCache>
                      <c:formatCode>General</c:formatCode>
                      <c:ptCount val="7"/>
                      <c:pt idx="0">
                        <c:v>24</c:v>
                      </c:pt>
                      <c:pt idx="1">
                        <c:v>27</c:v>
                      </c:pt>
                      <c:pt idx="2">
                        <c:v>27</c:v>
                      </c:pt>
                      <c:pt idx="3">
                        <c:v>23</c:v>
                      </c:pt>
                      <c:pt idx="4">
                        <c:v>25</c:v>
                      </c:pt>
                      <c:pt idx="5">
                        <c:v>26</c:v>
                      </c:pt>
                      <c:pt idx="6">
                        <c:v>26</c:v>
                      </c:pt>
                    </c:numCache>
                  </c:numRef>
                </c:val>
                <c:smooth val="0"/>
              </c15:ser>
            </c15:filteredLineSeries>
          </c:ext>
        </c:extLst>
      </c:lineChart>
      <c:lineChart>
        <c:grouping val="standard"/>
        <c:varyColors val="0"/>
        <c:ser>
          <c:idx val="10"/>
          <c:order val="10"/>
          <c:tx>
            <c:strRef>
              <c:f>趋势图45天!$A$12</c:f>
              <c:strCache>
                <c:ptCount val="1"/>
                <c:pt idx="0">
                  <c:v>异常比例</c:v>
                </c:pt>
              </c:strCache>
            </c:strRef>
          </c:tx>
          <c:spPr>
            <a:ln w="28575" cap="rnd">
              <a:solidFill>
                <a:schemeClr val="accent5">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趋势图45天!$S$1:$AQ$1</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趋势图45天!$S$12:$AQ$12</c:f>
              <c:numCache>
                <c:formatCode>0.00%</c:formatCode>
                <c:ptCount val="7"/>
                <c:pt idx="0">
                  <c:v>0.821052631578947</c:v>
                </c:pt>
                <c:pt idx="1">
                  <c:v>0.831578947368421</c:v>
                </c:pt>
                <c:pt idx="2">
                  <c:v>0.789473684210526</c:v>
                </c:pt>
                <c:pt idx="3">
                  <c:v>0.8</c:v>
                </c:pt>
                <c:pt idx="4">
                  <c:v>0.821782178217822</c:v>
                </c:pt>
                <c:pt idx="5">
                  <c:v>0.83</c:v>
                </c:pt>
                <c:pt idx="6">
                  <c:v>0.8</c:v>
                </c:pt>
              </c:numCache>
            </c:numRef>
          </c:val>
          <c:smooth val="0"/>
        </c:ser>
        <c:dLbls>
          <c:showLegendKey val="0"/>
          <c:showVal val="1"/>
          <c:showCatName val="0"/>
          <c:showSerName val="0"/>
          <c:showPercent val="0"/>
          <c:showBubbleSize val="0"/>
        </c:dLbls>
        <c:marker val="0"/>
        <c:smooth val="0"/>
        <c:axId val="792517965"/>
        <c:axId val="410082625"/>
        <c:extLst>
          <c:ext xmlns:c15="http://schemas.microsoft.com/office/drawing/2012/chart" uri="{02D57815-91ED-43cb-92C2-25804820EDAC}">
            <c15:filteredLineSeries>
              <c15:ser>
                <c:idx val="6"/>
                <c:order val="6"/>
                <c:tx>
                  <c:strRef>
                    <c:extLst>
                      <c:ext uri="{02D57815-91ED-43cb-92C2-25804820EDAC}">
                        <c15:formulaRef>
                          <c15:sqref>趋势图45天!$A$8</c15:sqref>
                        </c15:formulaRef>
                      </c:ext>
                    </c:extLst>
                    <c:strCache>
                      <c:ptCount val="1"/>
                      <c:pt idx="0">
                        <c:v>晓美</c:v>
                      </c:pt>
                    </c:strCache>
                  </c:strRef>
                </c:tx>
                <c:spPr>
                  <a:ln w="28575" cap="rnd">
                    <a:solidFill>
                      <a:schemeClr val="accent1">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趋势图45天!$S$1:$AQ$1</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趋势图45天!$S$8:$AQ$8</c15:sqref>
                        </c15:formulaRef>
                      </c:ext>
                    </c:extLst>
                    <c:numCache>
                      <c:formatCode>General</c:formatCode>
                      <c:ptCount val="7"/>
                    </c:numCache>
                  </c:numRef>
                </c:val>
                <c:smooth val="0"/>
              </c15:ser>
            </c15:filteredLineSeries>
            <c15:filteredLineSeries>
              <c15:ser>
                <c:idx val="7"/>
                <c:order val="8"/>
                <c:tx>
                  <c:strRef>
                    <c:extLst>
                      <c:ext uri="{02D57815-91ED-43cb-92C2-25804820EDAC}">
                        <c15:formulaRef>
                          <c15:sqref>趋势图45天!$A$10</c15:sqref>
                        </c15:formulaRef>
                      </c:ext>
                    </c:extLst>
                    <c:strCache>
                      <c:ptCount val="1"/>
                      <c:pt idx="0">
                        <c:v>正常比例</c:v>
                      </c:pt>
                    </c:strCache>
                  </c:strRef>
                </c:tx>
                <c:spPr>
                  <a:ln w="28575" cap="rnd">
                    <a:solidFill>
                      <a:schemeClr val="accent2">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趋势图45天!$S$1:$AQ$1</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趋势图45天!$S$10:$AQ$10</c15:sqref>
                        </c15:formulaRef>
                      </c:ext>
                    </c:extLst>
                    <c:numCache>
                      <c:formatCode>0.00%</c:formatCode>
                      <c:ptCount val="7"/>
                      <c:pt idx="0">
                        <c:v>0.178947368421053</c:v>
                      </c:pt>
                      <c:pt idx="1">
                        <c:v>0.168421052631579</c:v>
                      </c:pt>
                      <c:pt idx="2">
                        <c:v>0.210526315789474</c:v>
                      </c:pt>
                      <c:pt idx="3">
                        <c:v>0.2</c:v>
                      </c:pt>
                      <c:pt idx="4">
                        <c:v>0.178217821782178</c:v>
                      </c:pt>
                      <c:pt idx="5">
                        <c:v>0.17</c:v>
                      </c:pt>
                      <c:pt idx="6">
                        <c:v>0.2</c:v>
                      </c:pt>
                    </c:numCache>
                  </c:numRef>
                </c:val>
                <c:smooth val="0"/>
              </c15:ser>
            </c15:filteredLineSeries>
          </c:ext>
        </c:extLst>
      </c:lineChart>
      <c:catAx>
        <c:axId val="97207490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613246682"/>
        <c:crosses val="autoZero"/>
        <c:auto val="0"/>
        <c:lblAlgn val="ctr"/>
        <c:lblOffset val="100"/>
        <c:noMultiLvlLbl val="0"/>
      </c:catAx>
      <c:valAx>
        <c:axId val="61324668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972074905"/>
        <c:crosses val="autoZero"/>
        <c:crossBetween val="between"/>
      </c:valAx>
      <c:dateAx>
        <c:axId val="792517965"/>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410082625"/>
        <c:crosses val="autoZero"/>
        <c:auto val="1"/>
        <c:lblOffset val="100"/>
        <c:baseTimeUnit val="days"/>
      </c:dateAx>
      <c:valAx>
        <c:axId val="410082625"/>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792517965"/>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2</a:t>
            </a:r>
            <a:r>
              <a:rPr altLang="en-US"/>
              <a:t>店</a:t>
            </a:r>
            <a:endParaRPr lang="en-US" altLang="zh-CN"/>
          </a:p>
        </c:rich>
      </c:tx>
      <c:layout>
        <c:manualLayout>
          <c:xMode val="edge"/>
          <c:yMode val="edge"/>
          <c:x val="0.0284027777777778"/>
          <c:y val="0.0292605071821245"/>
        </c:manualLayout>
      </c:layout>
      <c:overlay val="0"/>
      <c:spPr>
        <a:noFill/>
        <a:ln>
          <a:noFill/>
        </a:ln>
        <a:effectLst/>
      </c:spPr>
    </c:title>
    <c:autoTitleDeleted val="0"/>
    <c:plotArea>
      <c:layout/>
      <c:barChart>
        <c:barDir val="col"/>
        <c:grouping val="clustered"/>
        <c:varyColors val="0"/>
        <c:ser>
          <c:idx val="0"/>
          <c:order val="0"/>
          <c:tx>
            <c:strRef>
              <c:f>趋势图45天!$A$28</c:f>
              <c:strCache>
                <c:ptCount val="1"/>
                <c:pt idx="0">
                  <c:v>总sku</c:v>
                </c:pt>
              </c:strCache>
            </c:strRef>
          </c:tx>
          <c:spPr>
            <a:solidFill>
              <a:schemeClr val="accent1"/>
            </a:solidFill>
            <a:ln>
              <a:noFill/>
            </a:ln>
            <a:effectLst/>
          </c:spPr>
          <c:invertIfNegative val="0"/>
          <c:dLbls>
            <c:delete val="1"/>
          </c:dLbls>
          <c:cat>
            <c:numRef>
              <c:f>趋势图45天!$R$27:$AQ$27</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趋势图45天!$R$28:$AQ$28</c:f>
              <c:numCache>
                <c:formatCode>General</c:formatCode>
                <c:ptCount val="7"/>
                <c:pt idx="0">
                  <c:v>39</c:v>
                </c:pt>
                <c:pt idx="1">
                  <c:v>36</c:v>
                </c:pt>
                <c:pt idx="2">
                  <c:v>35</c:v>
                </c:pt>
                <c:pt idx="3">
                  <c:v>34</c:v>
                </c:pt>
                <c:pt idx="4">
                  <c:v>34</c:v>
                </c:pt>
                <c:pt idx="5">
                  <c:v>18</c:v>
                </c:pt>
                <c:pt idx="6">
                  <c:v>15</c:v>
                </c:pt>
              </c:numCache>
            </c:numRef>
          </c:val>
        </c:ser>
        <c:ser>
          <c:idx val="5"/>
          <c:order val="5"/>
          <c:tx>
            <c:strRef>
              <c:f>趋势图45天!$A$33</c:f>
              <c:strCache>
                <c:ptCount val="1"/>
                <c:pt idx="0">
                  <c:v>正常sku</c:v>
                </c:pt>
              </c:strCache>
            </c:strRef>
          </c:tx>
          <c:spPr>
            <a:solidFill>
              <a:schemeClr val="accent6"/>
            </a:solidFill>
            <a:ln>
              <a:noFill/>
            </a:ln>
            <a:effectLst/>
          </c:spPr>
          <c:invertIfNegative val="0"/>
          <c:dLbls>
            <c:delete val="1"/>
          </c:dLbls>
          <c:cat>
            <c:numRef>
              <c:f>趋势图45天!$R$27:$AQ$27</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趋势图45天!$R$33:$AQ$33</c:f>
              <c:numCache>
                <c:formatCode>General</c:formatCode>
                <c:ptCount val="7"/>
                <c:pt idx="0">
                  <c:v>6</c:v>
                </c:pt>
                <c:pt idx="1">
                  <c:v>5</c:v>
                </c:pt>
                <c:pt idx="2">
                  <c:v>6</c:v>
                </c:pt>
                <c:pt idx="3">
                  <c:v>5</c:v>
                </c:pt>
                <c:pt idx="4">
                  <c:v>5</c:v>
                </c:pt>
                <c:pt idx="5">
                  <c:v>5</c:v>
                </c:pt>
                <c:pt idx="6">
                  <c:v>5</c:v>
                </c:pt>
              </c:numCache>
            </c:numRef>
          </c:val>
        </c:ser>
        <c:ser>
          <c:idx val="9"/>
          <c:order val="9"/>
          <c:tx>
            <c:strRef>
              <c:f>趋势图45天!$A$37</c:f>
              <c:strCache>
                <c:ptCount val="1"/>
                <c:pt idx="0">
                  <c:v>总库存数量</c:v>
                </c:pt>
              </c:strCache>
            </c:strRef>
          </c:tx>
          <c:spPr>
            <a:solidFill>
              <a:schemeClr val="accent4">
                <a:lumMod val="60000"/>
              </a:schemeClr>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趋势图45天!$R$27:$AQ$27</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趋势图45天!$R$37:$AQ$37</c:f>
              <c:numCache>
                <c:formatCode>General</c:formatCode>
                <c:ptCount val="7"/>
                <c:pt idx="0">
                  <c:v>612</c:v>
                </c:pt>
                <c:pt idx="1">
                  <c:v>547</c:v>
                </c:pt>
                <c:pt idx="2">
                  <c:v>506</c:v>
                </c:pt>
                <c:pt idx="3">
                  <c:v>485</c:v>
                </c:pt>
                <c:pt idx="4">
                  <c:v>232</c:v>
                </c:pt>
                <c:pt idx="5">
                  <c:v>50</c:v>
                </c:pt>
                <c:pt idx="6">
                  <c:v>29</c:v>
                </c:pt>
              </c:numCache>
            </c:numRef>
          </c:val>
        </c:ser>
        <c:dLbls>
          <c:showLegendKey val="0"/>
          <c:showVal val="1"/>
          <c:showCatName val="0"/>
          <c:showSerName val="0"/>
          <c:showPercent val="0"/>
          <c:showBubbleSize val="0"/>
        </c:dLbls>
        <c:gapWidth val="150"/>
        <c:overlap val="0"/>
        <c:axId val="960202582"/>
        <c:axId val="677942640"/>
        <c:extLst>
          <c:ext xmlns:c15="http://schemas.microsoft.com/office/drawing/2012/chart" uri="{02D57815-91ED-43cb-92C2-25804820EDAC}">
            <c15:filteredBarSeries>
              <c15:ser>
                <c:idx val="1"/>
                <c:order val="1"/>
                <c:tx>
                  <c:strRef>
                    <c:extLst>
                      <c:ext uri="{02D57815-91ED-43cb-92C2-25804820EDAC}">
                        <c15:formulaRef>
                          <c15:sqref>趋势图45天!$A$29</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趋势图45天!$R$27:$AQ$27</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趋势图45天!$R$29:$AQ$29</c15:sqref>
                        </c15:formulaRef>
                      </c:ext>
                    </c:extLst>
                    <c:numCache>
                      <c:formatCode>General</c:formatCode>
                      <c:ptCount val="7"/>
                      <c:pt idx="0">
                        <c:v>39</c:v>
                      </c:pt>
                      <c:pt idx="1">
                        <c:v>36</c:v>
                      </c:pt>
                      <c:pt idx="2">
                        <c:v>35</c:v>
                      </c:pt>
                      <c:pt idx="3">
                        <c:v>34</c:v>
                      </c:pt>
                      <c:pt idx="4">
                        <c:v>34</c:v>
                      </c:pt>
                      <c:pt idx="5">
                        <c:v>18</c:v>
                      </c:pt>
                      <c:pt idx="6">
                        <c:v>15</c:v>
                      </c:pt>
                    </c:numCache>
                  </c:numRef>
                </c:val>
              </c15:ser>
            </c15:filteredBarSeries>
            <c15:filteredBarSeries>
              <c15:ser>
                <c:idx val="2"/>
                <c:order val="2"/>
                <c:tx>
                  <c:strRef>
                    <c:extLst>
                      <c:ext uri="{02D57815-91ED-43cb-92C2-25804820EDAC}">
                        <c15:formulaRef>
                          <c15:sqref>趋势图45天!$A$30</c15:sqref>
                        </c15:formulaRef>
                      </c:ext>
                    </c:extLst>
                    <c:strCache>
                      <c:ptCount val="1"/>
                      <c:pt idx="0">
                        <c:v>欣彤</c:v>
                      </c:pt>
                    </c:strCache>
                  </c:strRef>
                </c:tx>
                <c:spPr>
                  <a:solidFill>
                    <a:schemeClr val="accent3"/>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趋势图45天!$R$27:$AQ$27</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趋势图45天!$R$30:$AQ$30</c15:sqref>
                        </c15:formulaRef>
                      </c:ext>
                    </c:extLst>
                    <c:numCache>
                      <c:formatCode>General</c:formatCode>
                      <c:ptCount val="7"/>
                      <c:pt idx="0">
                        <c:v>38</c:v>
                      </c:pt>
                      <c:pt idx="1">
                        <c:v>35</c:v>
                      </c:pt>
                      <c:pt idx="2">
                        <c:v>34</c:v>
                      </c:pt>
                      <c:pt idx="3">
                        <c:v>33</c:v>
                      </c:pt>
                      <c:pt idx="4">
                        <c:v>33</c:v>
                      </c:pt>
                      <c:pt idx="5">
                        <c:v>17</c:v>
                      </c:pt>
                      <c:pt idx="6">
                        <c:v>14</c:v>
                      </c:pt>
                    </c:numCache>
                  </c:numRef>
                </c:val>
              </c15:ser>
            </c15:filteredBarSeries>
            <c15:filteredBarSeries>
              <c15:ser>
                <c:idx val="3"/>
                <c:order val="3"/>
                <c:tx>
                  <c:strRef>
                    <c:extLst>
                      <c:ext uri="{02D57815-91ED-43cb-92C2-25804820EDAC}">
                        <c15:formulaRef>
                          <c15:sqref>趋势图45天!$A$31</c15:sqref>
                        </c15:formulaRef>
                      </c:ext>
                    </c:extLst>
                    <c:strCache>
                      <c:ptCount val="1"/>
                      <c:pt idx="0">
                        <c:v>美珠</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趋势图45天!$R$27:$AQ$27</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趋势图45天!$R$31:$AQ$31</c15:sqref>
                        </c15:formulaRef>
                      </c:ext>
                    </c:extLst>
                    <c:numCache>
                      <c:formatCode>General</c:formatCode>
                      <c:ptCount val="7"/>
                      <c:pt idx="0">
                        <c:v>1</c:v>
                      </c:pt>
                      <c:pt idx="1">
                        <c:v>1</c:v>
                      </c:pt>
                      <c:pt idx="2">
                        <c:v>1</c:v>
                      </c:pt>
                      <c:pt idx="3">
                        <c:v>1</c:v>
                      </c:pt>
                      <c:pt idx="4">
                        <c:v>1</c:v>
                      </c:pt>
                      <c:pt idx="5">
                        <c:v>1</c:v>
                      </c:pt>
                      <c:pt idx="6">
                        <c:v>1</c:v>
                      </c:pt>
                    </c:numCache>
                  </c:numRef>
                </c:val>
              </c15:ser>
            </c15:filteredBarSeries>
            <c15:filteredBarSeries>
              <c15:ser>
                <c:idx val="4"/>
                <c:order val="4"/>
                <c:tx>
                  <c:strRef>
                    <c:extLst>
                      <c:ext uri="{02D57815-91ED-43cb-92C2-25804820EDAC}">
                        <c15:formulaRef>
                          <c15:sqref>趋势图45天!$A$32</c15:sqref>
                        </c15:formulaRef>
                      </c:ext>
                    </c:extLst>
                    <c:strCache>
                      <c:ptCount val="1"/>
                      <c:pt idx="0">
                        <c:v>无库存+新品到货sku数量</c:v>
                      </c:pt>
                    </c:strCache>
                  </c:strRef>
                </c:tx>
                <c:spPr>
                  <a:solidFill>
                    <a:schemeClr val="accent5"/>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趋势图45天!$R$27:$AQ$27</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趋势图45天!$R$32:$AQ$32</c15:sqref>
                        </c15:formulaRef>
                      </c:ext>
                    </c:extLst>
                    <c:numCache>
                      <c:formatCode>General</c:formatCode>
                      <c:ptCount val="7"/>
                      <c:pt idx="0">
                        <c:v>0</c:v>
                      </c:pt>
                      <c:pt idx="1">
                        <c:v>0</c:v>
                      </c:pt>
                      <c:pt idx="2">
                        <c:v>0</c:v>
                      </c:pt>
                      <c:pt idx="3">
                        <c:v>0</c:v>
                      </c:pt>
                      <c:pt idx="4">
                        <c:v>0</c:v>
                      </c:pt>
                      <c:pt idx="5">
                        <c:v>0</c:v>
                      </c:pt>
                      <c:pt idx="6">
                        <c:v>0</c:v>
                      </c:pt>
                    </c:numCache>
                  </c:numRef>
                </c:val>
              </c15:ser>
            </c15:filteredBarSeries>
          </c:ext>
        </c:extLst>
      </c:barChart>
      <c:lineChart>
        <c:grouping val="standard"/>
        <c:varyColors val="0"/>
        <c:ser>
          <c:idx val="10"/>
          <c:order val="10"/>
          <c:tx>
            <c:strRef>
              <c:f>趋势图45天!$A$38</c:f>
              <c:strCache>
                <c:ptCount val="1"/>
                <c:pt idx="0">
                  <c:v>异常比例</c:v>
                </c:pt>
              </c:strCache>
            </c:strRef>
          </c:tx>
          <c:spPr>
            <a:ln w="28575" cap="rnd">
              <a:solidFill>
                <a:schemeClr val="accent5">
                  <a:lumMod val="60000"/>
                </a:schemeClr>
              </a:solidFill>
              <a:round/>
            </a:ln>
            <a:effectLst/>
          </c:spPr>
          <c:marker>
            <c:symbol val="none"/>
          </c:marker>
          <c:dLbls>
            <c:dLbl>
              <c:idx val="2"/>
              <c:layout>
                <c:manualLayout>
                  <c:x val="0.0183639398998331"/>
                  <c:y val="-0.0679750223015165"/>
                </c:manualLayout>
              </c:layout>
              <c:dLblPos val="b"/>
              <c:showLegendKey val="0"/>
              <c:showVal val="1"/>
              <c:showCatName val="0"/>
              <c:showSerName val="0"/>
              <c:showPercent val="0"/>
              <c:showBubbleSize val="0"/>
              <c:extLst>
                <c:ext xmlns:c15="http://schemas.microsoft.com/office/drawing/2012/chart" uri="{CE6537A1-D6FC-4f65-9D91-7224C49458BB}">
                  <c15:layout/>
                </c:ext>
              </c:extLst>
            </c:dLbl>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趋势图45天!$R$27:$AQ$27</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趋势图45天!$R$38:$AQ$38</c:f>
              <c:numCache>
                <c:formatCode>0.00%</c:formatCode>
                <c:ptCount val="7"/>
                <c:pt idx="0">
                  <c:v>0.846153846153846</c:v>
                </c:pt>
                <c:pt idx="1">
                  <c:v>0.861111111111111</c:v>
                </c:pt>
                <c:pt idx="2">
                  <c:v>0.828571428571429</c:v>
                </c:pt>
                <c:pt idx="3">
                  <c:v>0.852941176470588</c:v>
                </c:pt>
                <c:pt idx="4">
                  <c:v>0.852941176470588</c:v>
                </c:pt>
                <c:pt idx="5">
                  <c:v>0.722222222222222</c:v>
                </c:pt>
                <c:pt idx="6">
                  <c:v>0.666666666666667</c:v>
                </c:pt>
              </c:numCache>
            </c:numRef>
          </c:val>
          <c:smooth val="0"/>
        </c:ser>
        <c:dLbls>
          <c:showLegendKey val="0"/>
          <c:showVal val="1"/>
          <c:showCatName val="0"/>
          <c:showSerName val="0"/>
          <c:showPercent val="0"/>
          <c:showBubbleSize val="0"/>
        </c:dLbls>
        <c:marker val="0"/>
        <c:smooth val="0"/>
        <c:axId val="861655121"/>
        <c:axId val="782048324"/>
        <c:extLst>
          <c:ext xmlns:c15="http://schemas.microsoft.com/office/drawing/2012/chart" uri="{02D57815-91ED-43cb-92C2-25804820EDAC}">
            <c15:filteredLineSeries>
              <c15:ser>
                <c:idx val="6"/>
                <c:order val="6"/>
                <c:tx>
                  <c:strRef>
                    <c:extLst>
                      <c:ext uri="{02D57815-91ED-43cb-92C2-25804820EDAC}">
                        <c15:formulaRef>
                          <c15:sqref>趋势图45天!$A$34</c15:sqref>
                        </c15:formulaRef>
                      </c:ext>
                    </c:extLst>
                    <c:strCache>
                      <c:ptCount val="1"/>
                      <c:pt idx="0">
                        <c:v>欣彤</c:v>
                      </c:pt>
                    </c:strCache>
                  </c:strRef>
                </c:tx>
                <c:spPr>
                  <a:ln w="28575" cap="rnd">
                    <a:solidFill>
                      <a:schemeClr val="accent1">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趋势图45天!$R$27:$AQ$27</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趋势图45天!$R$34:$AQ$34</c15:sqref>
                        </c15:formulaRef>
                      </c:ext>
                    </c:extLst>
                    <c:numCache>
                      <c:formatCode>General</c:formatCode>
                      <c:ptCount val="7"/>
                      <c:pt idx="0">
                        <c:v>5</c:v>
                      </c:pt>
                      <c:pt idx="1">
                        <c:v>4</c:v>
                      </c:pt>
                      <c:pt idx="2">
                        <c:v>5</c:v>
                      </c:pt>
                      <c:pt idx="3">
                        <c:v>4</c:v>
                      </c:pt>
                      <c:pt idx="4">
                        <c:v>5</c:v>
                      </c:pt>
                      <c:pt idx="5">
                        <c:v>4</c:v>
                      </c:pt>
                      <c:pt idx="6">
                        <c:v>4</c:v>
                      </c:pt>
                    </c:numCache>
                  </c:numRef>
                </c:val>
                <c:smooth val="0"/>
              </c15:ser>
            </c15:filteredLineSeries>
            <c15:filteredLineSeries>
              <c15:ser>
                <c:idx val="7"/>
                <c:order val="7"/>
                <c:tx>
                  <c:strRef>
                    <c:extLst>
                      <c:ext uri="{02D57815-91ED-43cb-92C2-25804820EDAC}">
                        <c15:formulaRef>
                          <c15:sqref>趋势图45天!$A$35</c15:sqref>
                        </c15:formulaRef>
                      </c:ext>
                    </c:extLst>
                    <c:strCache>
                      <c:ptCount val="1"/>
                      <c:pt idx="0">
                        <c:v>美珠</c:v>
                      </c:pt>
                    </c:strCache>
                  </c:strRef>
                </c:tx>
                <c:spPr>
                  <a:ln w="28575" cap="rnd">
                    <a:solidFill>
                      <a:schemeClr val="accent2">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趋势图45天!$R$27:$AQ$27</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趋势图45天!$R$35:$AQ$35</c15:sqref>
                        </c15:formulaRef>
                      </c:ext>
                    </c:extLst>
                    <c:numCache>
                      <c:formatCode>General</c:formatCode>
                      <c:ptCount val="7"/>
                      <c:pt idx="0">
                        <c:v>1</c:v>
                      </c:pt>
                      <c:pt idx="1">
                        <c:v>1</c:v>
                      </c:pt>
                      <c:pt idx="2">
                        <c:v>1</c:v>
                      </c:pt>
                      <c:pt idx="3">
                        <c:v>1</c:v>
                      </c:pt>
                      <c:pt idx="4">
                        <c:v>0</c:v>
                      </c:pt>
                      <c:pt idx="5">
                        <c:v>1</c:v>
                      </c:pt>
                      <c:pt idx="6">
                        <c:v>1</c:v>
                      </c:pt>
                    </c:numCache>
                  </c:numRef>
                </c:val>
                <c:smooth val="0"/>
              </c15:ser>
            </c15:filteredLineSeries>
            <c15:filteredLineSeries>
              <c15:ser>
                <c:idx val="8"/>
                <c:order val="8"/>
                <c:tx>
                  <c:strRef>
                    <c:extLst>
                      <c:ext uri="{02D57815-91ED-43cb-92C2-25804820EDAC}">
                        <c15:formulaRef>
                          <c15:sqref>趋势图45天!$A$36</c15:sqref>
                        </c15:formulaRef>
                      </c:ext>
                    </c:extLst>
                    <c:strCache>
                      <c:ptCount val="1"/>
                      <c:pt idx="0">
                        <c:v>正常比例</c:v>
                      </c:pt>
                    </c:strCache>
                  </c:strRef>
                </c:tx>
                <c:spPr>
                  <a:ln w="28575" cap="rnd">
                    <a:solidFill>
                      <a:schemeClr val="accent3">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趋势图45天!$R$27:$AQ$27</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趋势图45天!$R$36:$AQ$36</c15:sqref>
                        </c15:formulaRef>
                      </c:ext>
                    </c:extLst>
                    <c:numCache>
                      <c:formatCode>0.00%</c:formatCode>
                      <c:ptCount val="7"/>
                      <c:pt idx="0">
                        <c:v>0.153846153846154</c:v>
                      </c:pt>
                      <c:pt idx="1">
                        <c:v>0.138888888888889</c:v>
                      </c:pt>
                      <c:pt idx="2">
                        <c:v>0.171428571428571</c:v>
                      </c:pt>
                      <c:pt idx="3">
                        <c:v>0.147058823529412</c:v>
                      </c:pt>
                      <c:pt idx="4">
                        <c:v>0.147058823529412</c:v>
                      </c:pt>
                      <c:pt idx="5">
                        <c:v>0.277777777777778</c:v>
                      </c:pt>
                      <c:pt idx="6">
                        <c:v>0.333333333333333</c:v>
                      </c:pt>
                    </c:numCache>
                  </c:numRef>
                </c:val>
                <c:smooth val="0"/>
              </c15:ser>
            </c15:filteredLineSeries>
          </c:ext>
        </c:extLst>
      </c:lineChart>
      <c:catAx>
        <c:axId val="96020258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mn-lt"/>
                <a:ea typeface="+mn-ea"/>
                <a:cs typeface="+mn-cs"/>
              </a:defRPr>
            </a:pPr>
          </a:p>
        </c:txPr>
        <c:crossAx val="677942640"/>
        <c:crosses val="autoZero"/>
        <c:auto val="0"/>
        <c:lblAlgn val="ctr"/>
        <c:lblOffset val="100"/>
        <c:noMultiLvlLbl val="0"/>
      </c:catAx>
      <c:valAx>
        <c:axId val="677942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960202582"/>
        <c:crosses val="autoZero"/>
        <c:crossBetween val="between"/>
      </c:valAx>
      <c:dateAx>
        <c:axId val="861655121"/>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782048324"/>
        <c:crosses val="autoZero"/>
        <c:auto val="1"/>
        <c:lblOffset val="100"/>
        <c:baseTimeUnit val="days"/>
      </c:dateAx>
      <c:valAx>
        <c:axId val="782048324"/>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861655121"/>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3</a:t>
            </a:r>
            <a:r>
              <a:rPr altLang="en-US"/>
              <a:t>店</a:t>
            </a:r>
            <a:endParaRPr lang="en-US" altLang="zh-CN"/>
          </a:p>
        </c:rich>
      </c:tx>
      <c:layout>
        <c:manualLayout>
          <c:xMode val="edge"/>
          <c:yMode val="edge"/>
          <c:x val="0.0272916666666667"/>
          <c:y val="0.0320912818684257"/>
        </c:manualLayout>
      </c:layout>
      <c:overlay val="0"/>
      <c:spPr>
        <a:noFill/>
        <a:ln>
          <a:noFill/>
        </a:ln>
        <a:effectLst/>
      </c:spPr>
    </c:title>
    <c:autoTitleDeleted val="0"/>
    <c:plotArea>
      <c:layout/>
      <c:barChart>
        <c:barDir val="col"/>
        <c:grouping val="clustered"/>
        <c:varyColors val="0"/>
        <c:ser>
          <c:idx val="0"/>
          <c:order val="0"/>
          <c:tx>
            <c:strRef>
              <c:f>趋势图45天!$A$53</c:f>
              <c:strCache>
                <c:ptCount val="1"/>
                <c:pt idx="0">
                  <c:v>总sku</c:v>
                </c:pt>
              </c:strCache>
            </c:strRef>
          </c:tx>
          <c:spPr>
            <a:solidFill>
              <a:schemeClr val="accent1"/>
            </a:solidFill>
            <a:ln>
              <a:noFill/>
            </a:ln>
            <a:effectLst/>
          </c:spPr>
          <c:invertIfNegative val="0"/>
          <c:dLbls>
            <c:delete val="1"/>
          </c:dLbls>
          <c:cat>
            <c:numRef>
              <c:f>趋势图45天!$T$52:$AQ$52</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趋势图45天!$T$53:$AQ$53</c:f>
              <c:numCache>
                <c:formatCode>General</c:formatCode>
                <c:ptCount val="7"/>
                <c:pt idx="0">
                  <c:v>231</c:v>
                </c:pt>
                <c:pt idx="1">
                  <c:v>231</c:v>
                </c:pt>
                <c:pt idx="2">
                  <c:v>230</c:v>
                </c:pt>
                <c:pt idx="3">
                  <c:v>247</c:v>
                </c:pt>
                <c:pt idx="4">
                  <c:v>247</c:v>
                </c:pt>
                <c:pt idx="5">
                  <c:v>246</c:v>
                </c:pt>
                <c:pt idx="6">
                  <c:v>248</c:v>
                </c:pt>
              </c:numCache>
            </c:numRef>
          </c:val>
        </c:ser>
        <c:ser>
          <c:idx val="3"/>
          <c:order val="3"/>
          <c:tx>
            <c:strRef>
              <c:f>趋势图45天!$A$56</c:f>
              <c:strCache>
                <c:ptCount val="1"/>
                <c:pt idx="0">
                  <c:v>正常sku</c:v>
                </c:pt>
              </c:strCache>
            </c:strRef>
          </c:tx>
          <c:spPr>
            <a:solidFill>
              <a:schemeClr val="accent4"/>
            </a:solidFill>
            <a:ln>
              <a:noFill/>
            </a:ln>
            <a:effectLst/>
          </c:spPr>
          <c:invertIfNegative val="0"/>
          <c:dLbls>
            <c:delete val="1"/>
          </c:dLbls>
          <c:cat>
            <c:numRef>
              <c:f>趋势图45天!$T$52:$AQ$52</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趋势图45天!$T$56:$AQ$56</c:f>
              <c:numCache>
                <c:formatCode>General</c:formatCode>
                <c:ptCount val="7"/>
                <c:pt idx="0">
                  <c:v>54</c:v>
                </c:pt>
                <c:pt idx="1">
                  <c:v>53</c:v>
                </c:pt>
                <c:pt idx="2">
                  <c:v>40</c:v>
                </c:pt>
                <c:pt idx="3">
                  <c:v>40</c:v>
                </c:pt>
                <c:pt idx="4">
                  <c:v>54</c:v>
                </c:pt>
                <c:pt idx="5">
                  <c:v>44</c:v>
                </c:pt>
                <c:pt idx="6">
                  <c:v>41</c:v>
                </c:pt>
              </c:numCache>
            </c:numRef>
          </c:val>
        </c:ser>
        <c:ser>
          <c:idx val="5"/>
          <c:order val="5"/>
          <c:tx>
            <c:strRef>
              <c:f>趋势图45天!$A$58</c:f>
              <c:strCache>
                <c:ptCount val="1"/>
                <c:pt idx="0">
                  <c:v>总库存数量</c:v>
                </c:pt>
              </c:strCache>
            </c:strRef>
          </c:tx>
          <c:spPr>
            <a:solidFill>
              <a:schemeClr val="accent6"/>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趋势图45天!$T$52:$AQ$52</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趋势图45天!$T$58:$AQ$58</c:f>
              <c:numCache>
                <c:formatCode>General</c:formatCode>
                <c:ptCount val="7"/>
                <c:pt idx="0">
                  <c:v>9074</c:v>
                </c:pt>
                <c:pt idx="1">
                  <c:v>8880</c:v>
                </c:pt>
                <c:pt idx="2">
                  <c:v>10147</c:v>
                </c:pt>
                <c:pt idx="3">
                  <c:v>10879</c:v>
                </c:pt>
                <c:pt idx="4">
                  <c:v>9908</c:v>
                </c:pt>
                <c:pt idx="5">
                  <c:v>11213</c:v>
                </c:pt>
                <c:pt idx="6">
                  <c:v>11491</c:v>
                </c:pt>
              </c:numCache>
            </c:numRef>
          </c:val>
        </c:ser>
        <c:dLbls>
          <c:showLegendKey val="0"/>
          <c:showVal val="1"/>
          <c:showCatName val="0"/>
          <c:showSerName val="0"/>
          <c:showPercent val="0"/>
          <c:showBubbleSize val="0"/>
        </c:dLbls>
        <c:gapWidth val="150"/>
        <c:overlap val="0"/>
        <c:axId val="539435305"/>
        <c:axId val="166950277"/>
        <c:extLst>
          <c:ext xmlns:c15="http://schemas.microsoft.com/office/drawing/2012/chart" uri="{02D57815-91ED-43cb-92C2-25804820EDAC}">
            <c15:filteredBarSeries>
              <c15:ser>
                <c:idx val="1"/>
                <c:order val="1"/>
                <c:tx>
                  <c:strRef>
                    <c:extLst>
                      <c:ext uri="{02D57815-91ED-43cb-92C2-25804820EDAC}">
                        <c15:formulaRef>
                          <c15:sqref>趋势图45天!$A$54</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趋势图45天!$T$52:$AQ$52</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趋势图45天!$T$54:$AQ$54</c15:sqref>
                        </c15:formulaRef>
                      </c:ext>
                    </c:extLst>
                    <c:numCache>
                      <c:formatCode>General</c:formatCode>
                      <c:ptCount val="7"/>
                      <c:pt idx="0">
                        <c:v>231</c:v>
                      </c:pt>
                      <c:pt idx="1">
                        <c:v>231</c:v>
                      </c:pt>
                      <c:pt idx="2">
                        <c:v>229</c:v>
                      </c:pt>
                      <c:pt idx="3">
                        <c:v>227</c:v>
                      </c:pt>
                      <c:pt idx="4">
                        <c:v>227</c:v>
                      </c:pt>
                      <c:pt idx="5">
                        <c:v>218</c:v>
                      </c:pt>
                      <c:pt idx="6">
                        <c:v>240</c:v>
                      </c:pt>
                    </c:numCache>
                  </c:numRef>
                </c:val>
              </c15:ser>
            </c15:filteredBarSeries>
            <c15:filteredBarSeries>
              <c15:ser>
                <c:idx val="2"/>
                <c:order val="2"/>
                <c:tx>
                  <c:strRef>
                    <c:extLst>
                      <c:ext uri="{02D57815-91ED-43cb-92C2-25804820EDAC}">
                        <c15:formulaRef>
                          <c15:sqref>趋势图45天!$A$55</c15:sqref>
                        </c15:formulaRef>
                      </c:ext>
                    </c:extLst>
                    <c:strCache>
                      <c:ptCount val="1"/>
                      <c:pt idx="0">
                        <c:v>无库存+新品到货sku数量</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趋势图45天!$T$52:$AQ$52</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趋势图45天!$T$55:$AQ$55</c15:sqref>
                        </c15:formulaRef>
                      </c:ext>
                    </c:extLst>
                    <c:numCache>
                      <c:formatCode>General</c:formatCode>
                      <c:ptCount val="7"/>
                      <c:pt idx="0">
                        <c:v>0</c:v>
                      </c:pt>
                      <c:pt idx="1">
                        <c:v>0</c:v>
                      </c:pt>
                      <c:pt idx="2">
                        <c:v>1</c:v>
                      </c:pt>
                      <c:pt idx="3">
                        <c:v>20</c:v>
                      </c:pt>
                      <c:pt idx="4">
                        <c:v>20</c:v>
                      </c:pt>
                      <c:pt idx="5">
                        <c:v>28</c:v>
                      </c:pt>
                      <c:pt idx="6">
                        <c:v>8</c:v>
                      </c:pt>
                    </c:numCache>
                  </c:numRef>
                </c:val>
              </c15:ser>
            </c15:filteredBarSeries>
          </c:ext>
        </c:extLst>
      </c:barChart>
      <c:lineChart>
        <c:grouping val="standard"/>
        <c:varyColors val="0"/>
        <c:dLbls>
          <c:showLegendKey val="0"/>
          <c:showVal val="1"/>
          <c:showCatName val="0"/>
          <c:showSerName val="0"/>
          <c:showPercent val="0"/>
          <c:showBubbleSize val="0"/>
        </c:dLbls>
        <c:marker val="0"/>
        <c:smooth val="0"/>
        <c:axId val="539435305"/>
        <c:axId val="166950277"/>
        <c:extLst>
          <c:ext xmlns:c15="http://schemas.microsoft.com/office/drawing/2012/chart" uri="{02D57815-91ED-43cb-92C2-25804820EDAC}">
            <c15:filteredLineSeries>
              <c15:ser>
                <c:idx val="4"/>
                <c:order val="4"/>
                <c:tx>
                  <c:strRef>
                    <c:extLst>
                      <c:ext uri="{02D57815-91ED-43cb-92C2-25804820EDAC}">
                        <c15:formulaRef>
                          <c15:sqref>趋势图45天!$A$57</c15:sqref>
                        </c15:formulaRef>
                      </c:ext>
                    </c:extLst>
                    <c:strCache>
                      <c:ptCount val="1"/>
                      <c:pt idx="0">
                        <c:v>正常比例</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趋势图45天!$T$52:$AQ$52</c15:sqref>
                        </c15:formulaRef>
                      </c:ext>
                    </c:extLst>
                    <c:numCache>
                      <c:ptCount val="0"/>
                    </c:numCache>
                  </c:numRef>
                </c:cat>
                <c:val>
                  <c:numRef>
                    <c:extLst>
                      <c:ext uri="{02D57815-91ED-43cb-92C2-25804820EDAC}">
                        <c15:formulaRef>
                          <c15:sqref>趋势图45天!$T$57:$AQ$57</c15:sqref>
                        </c15:formulaRef>
                      </c:ext>
                    </c:extLst>
                    <c:numCache>
                      <c:formatCode>0.00%</c:formatCode>
                      <c:ptCount val="7"/>
                      <c:pt idx="0">
                        <c:v>0.233766233766234</c:v>
                      </c:pt>
                      <c:pt idx="1">
                        <c:v>0.229437229437229</c:v>
                      </c:pt>
                      <c:pt idx="2">
                        <c:v>0.174672489082969</c:v>
                      </c:pt>
                      <c:pt idx="3">
                        <c:v>0.176211453744493</c:v>
                      </c:pt>
                      <c:pt idx="4">
                        <c:v>0.237885462555066</c:v>
                      </c:pt>
                      <c:pt idx="5">
                        <c:v>0.201834862385321</c:v>
                      </c:pt>
                      <c:pt idx="6">
                        <c:v>0.170833333333333</c:v>
                      </c:pt>
                    </c:numCache>
                  </c:numRef>
                </c:val>
                <c:smooth val="0"/>
              </c15:ser>
            </c15:filteredLineSeries>
          </c:ext>
        </c:extLst>
      </c:lineChart>
      <c:lineChart>
        <c:grouping val="standard"/>
        <c:varyColors val="0"/>
        <c:ser>
          <c:idx val="6"/>
          <c:order val="6"/>
          <c:tx>
            <c:strRef>
              <c:f>趋势图45天!$A$59</c:f>
              <c:strCache>
                <c:ptCount val="1"/>
                <c:pt idx="0">
                  <c:v>异常比例</c:v>
                </c:pt>
              </c:strCache>
            </c:strRef>
          </c:tx>
          <c:spPr>
            <a:ln w="28575" cap="rnd">
              <a:solidFill>
                <a:schemeClr val="accent1">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趋势图45天!$T$52:$AQ$52</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趋势图45天!$T$59:$AQ$59</c:f>
              <c:numCache>
                <c:formatCode>0.00%</c:formatCode>
                <c:ptCount val="7"/>
                <c:pt idx="0">
                  <c:v>0.766233766233766</c:v>
                </c:pt>
                <c:pt idx="1">
                  <c:v>0.770562770562771</c:v>
                </c:pt>
                <c:pt idx="2">
                  <c:v>0.825327510917031</c:v>
                </c:pt>
                <c:pt idx="3">
                  <c:v>0.823788546255507</c:v>
                </c:pt>
                <c:pt idx="4">
                  <c:v>0.762114537444934</c:v>
                </c:pt>
                <c:pt idx="5">
                  <c:v>0.798165137614679</c:v>
                </c:pt>
                <c:pt idx="6">
                  <c:v>0.829166666666667</c:v>
                </c:pt>
              </c:numCache>
            </c:numRef>
          </c:val>
          <c:smooth val="0"/>
        </c:ser>
        <c:dLbls>
          <c:showLegendKey val="0"/>
          <c:showVal val="1"/>
          <c:showCatName val="0"/>
          <c:showSerName val="0"/>
          <c:showPercent val="0"/>
          <c:showBubbleSize val="0"/>
        </c:dLbls>
        <c:marker val="0"/>
        <c:smooth val="0"/>
        <c:axId val="93252305"/>
        <c:axId val="309017157"/>
      </c:lineChart>
      <c:catAx>
        <c:axId val="53943530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mn-lt"/>
                <a:ea typeface="+mn-ea"/>
                <a:cs typeface="+mn-cs"/>
              </a:defRPr>
            </a:pPr>
          </a:p>
        </c:txPr>
        <c:crossAx val="166950277"/>
        <c:crosses val="autoZero"/>
        <c:auto val="0"/>
        <c:lblAlgn val="ctr"/>
        <c:lblOffset val="100"/>
        <c:noMultiLvlLbl val="0"/>
      </c:catAx>
      <c:valAx>
        <c:axId val="16695027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539435305"/>
        <c:crosses val="autoZero"/>
        <c:crossBetween val="between"/>
      </c:valAx>
      <c:dateAx>
        <c:axId val="93252305"/>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309017157"/>
        <c:crosses val="autoZero"/>
        <c:auto val="1"/>
        <c:lblOffset val="100"/>
        <c:baseTimeUnit val="days"/>
      </c:dateAx>
      <c:valAx>
        <c:axId val="309017157"/>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93252305"/>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4</a:t>
            </a:r>
            <a:r>
              <a:rPr altLang="en-US"/>
              <a:t>店</a:t>
            </a:r>
            <a:endParaRPr lang="en-US" altLang="zh-CN"/>
          </a:p>
        </c:rich>
      </c:tx>
      <c:layout>
        <c:manualLayout>
          <c:xMode val="edge"/>
          <c:yMode val="edge"/>
          <c:x val="0.00416666666666667"/>
          <c:y val="0.0358798026610854"/>
        </c:manualLayout>
      </c:layout>
      <c:overlay val="0"/>
      <c:spPr>
        <a:noFill/>
        <a:ln>
          <a:noFill/>
        </a:ln>
        <a:effectLst/>
      </c:spPr>
    </c:title>
    <c:autoTitleDeleted val="0"/>
    <c:plotArea>
      <c:layout/>
      <c:barChart>
        <c:barDir val="col"/>
        <c:grouping val="clustered"/>
        <c:varyColors val="0"/>
        <c:ser>
          <c:idx val="0"/>
          <c:order val="0"/>
          <c:tx>
            <c:strRef>
              <c:f>趋势图45天!$A$74</c:f>
              <c:strCache>
                <c:ptCount val="1"/>
                <c:pt idx="0">
                  <c:v>总sku</c:v>
                </c:pt>
              </c:strCache>
            </c:strRef>
          </c:tx>
          <c:spPr>
            <a:solidFill>
              <a:schemeClr val="accent1"/>
            </a:solidFill>
            <a:ln>
              <a:noFill/>
            </a:ln>
            <a:effectLst/>
          </c:spPr>
          <c:invertIfNegative val="0"/>
          <c:dLbls>
            <c:delete val="1"/>
          </c:dLbls>
          <c:cat>
            <c:numRef>
              <c:f>趋势图45天!$U$73:$AQ$73</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趋势图45天!$U$74:$AQ$74</c:f>
              <c:numCache>
                <c:formatCode>General</c:formatCode>
                <c:ptCount val="7"/>
                <c:pt idx="0">
                  <c:v>119</c:v>
                </c:pt>
                <c:pt idx="1">
                  <c:v>119</c:v>
                </c:pt>
                <c:pt idx="2">
                  <c:v>118</c:v>
                </c:pt>
                <c:pt idx="3">
                  <c:v>138</c:v>
                </c:pt>
                <c:pt idx="4">
                  <c:v>137</c:v>
                </c:pt>
                <c:pt idx="5">
                  <c:v>146</c:v>
                </c:pt>
                <c:pt idx="6">
                  <c:v>146</c:v>
                </c:pt>
              </c:numCache>
            </c:numRef>
          </c:val>
        </c:ser>
        <c:ser>
          <c:idx val="5"/>
          <c:order val="5"/>
          <c:tx>
            <c:strRef>
              <c:f>趋势图45天!$A$79</c:f>
              <c:strCache>
                <c:ptCount val="1"/>
                <c:pt idx="0">
                  <c:v>正常sku</c:v>
                </c:pt>
              </c:strCache>
            </c:strRef>
          </c:tx>
          <c:spPr>
            <a:solidFill>
              <a:schemeClr val="accent6"/>
            </a:solidFill>
            <a:ln>
              <a:noFill/>
            </a:ln>
            <a:effectLst/>
          </c:spPr>
          <c:invertIfNegative val="0"/>
          <c:dLbls>
            <c:delete val="1"/>
          </c:dLbls>
          <c:cat>
            <c:numRef>
              <c:f>趋势图45天!$U$73:$AQ$73</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趋势图45天!$U$79:$AQ$79</c:f>
              <c:numCache>
                <c:formatCode>General</c:formatCode>
                <c:ptCount val="7"/>
                <c:pt idx="0">
                  <c:v>23</c:v>
                </c:pt>
                <c:pt idx="1">
                  <c:v>19</c:v>
                </c:pt>
                <c:pt idx="2">
                  <c:v>20</c:v>
                </c:pt>
                <c:pt idx="3">
                  <c:v>9</c:v>
                </c:pt>
                <c:pt idx="4">
                  <c:v>18</c:v>
                </c:pt>
                <c:pt idx="5">
                  <c:v>14</c:v>
                </c:pt>
                <c:pt idx="6">
                  <c:v>18</c:v>
                </c:pt>
              </c:numCache>
            </c:numRef>
          </c:val>
        </c:ser>
        <c:ser>
          <c:idx val="9"/>
          <c:order val="9"/>
          <c:tx>
            <c:strRef>
              <c:f>趋势图45天!$A$83</c:f>
              <c:strCache>
                <c:ptCount val="1"/>
                <c:pt idx="0">
                  <c:v>总库存数量</c:v>
                </c:pt>
              </c:strCache>
            </c:strRef>
          </c:tx>
          <c:spPr>
            <a:solidFill>
              <a:schemeClr val="accent4">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趋势图45天!$U$73:$AQ$73</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趋势图45天!$U$83:$AQ$83</c:f>
              <c:numCache>
                <c:formatCode>General</c:formatCode>
                <c:ptCount val="7"/>
                <c:pt idx="0">
                  <c:v>4331</c:v>
                </c:pt>
                <c:pt idx="1">
                  <c:v>4269</c:v>
                </c:pt>
                <c:pt idx="2">
                  <c:v>4342</c:v>
                </c:pt>
                <c:pt idx="3">
                  <c:v>5821</c:v>
                </c:pt>
                <c:pt idx="4">
                  <c:v>5283</c:v>
                </c:pt>
                <c:pt idx="5">
                  <c:v>5953</c:v>
                </c:pt>
                <c:pt idx="6">
                  <c:v>5509</c:v>
                </c:pt>
              </c:numCache>
            </c:numRef>
          </c:val>
        </c:ser>
        <c:dLbls>
          <c:showLegendKey val="0"/>
          <c:showVal val="1"/>
          <c:showCatName val="0"/>
          <c:showSerName val="0"/>
          <c:showPercent val="0"/>
          <c:showBubbleSize val="0"/>
        </c:dLbls>
        <c:gapWidth val="150"/>
        <c:overlap val="0"/>
        <c:axId val="360720894"/>
        <c:axId val="200436486"/>
        <c:extLst>
          <c:ext xmlns:c15="http://schemas.microsoft.com/office/drawing/2012/chart" uri="{02D57815-91ED-43cb-92C2-25804820EDAC}">
            <c15:filteredBarSeries>
              <c15:ser>
                <c:idx val="1"/>
                <c:order val="1"/>
                <c:tx>
                  <c:strRef>
                    <c:extLst>
                      <c:ext uri="{02D57815-91ED-43cb-92C2-25804820EDAC}">
                        <c15:formulaRef>
                          <c15:sqref>趋势图45天!$A$75</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趋势图45天!$U$73:$AQ$73</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趋势图45天!$U$75:$AQ$75</c15:sqref>
                        </c15:formulaRef>
                      </c:ext>
                    </c:extLst>
                    <c:numCache>
                      <c:formatCode>General</c:formatCode>
                      <c:ptCount val="7"/>
                      <c:pt idx="0">
                        <c:v>119</c:v>
                      </c:pt>
                      <c:pt idx="1">
                        <c:v>119</c:v>
                      </c:pt>
                      <c:pt idx="2">
                        <c:v>118</c:v>
                      </c:pt>
                      <c:pt idx="3">
                        <c:v>117</c:v>
                      </c:pt>
                      <c:pt idx="4">
                        <c:v>117</c:v>
                      </c:pt>
                      <c:pt idx="5">
                        <c:v>136</c:v>
                      </c:pt>
                      <c:pt idx="6">
                        <c:v>136</c:v>
                      </c:pt>
                    </c:numCache>
                  </c:numRef>
                </c:val>
              </c15:ser>
            </c15:filteredBarSeries>
            <c15:filteredBarSeries>
              <c15:ser>
                <c:idx val="2"/>
                <c:order val="2"/>
                <c:tx>
                  <c:strRef>
                    <c:extLst>
                      <c:ext uri="{02D57815-91ED-43cb-92C2-25804820EDAC}">
                        <c15:formulaRef>
                          <c15:sqref>趋势图45天!$A$76</c15:sqref>
                        </c15:formulaRef>
                      </c:ext>
                    </c:extLst>
                    <c:strCache>
                      <c:ptCount val="1"/>
                      <c:pt idx="0">
                        <c:v>旧品</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趋势图45天!$U$73:$AQ$73</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趋势图45天!$U$76:$AQ$76</c15:sqref>
                        </c15:formulaRef>
                      </c:ext>
                    </c:extLst>
                    <c:numCache>
                      <c:formatCode>General</c:formatCode>
                      <c:ptCount val="7"/>
                    </c:numCache>
                  </c:numRef>
                </c:val>
              </c15:ser>
            </c15:filteredBarSeries>
            <c15:filteredBarSeries>
              <c15:ser>
                <c:idx val="3"/>
                <c:order val="3"/>
                <c:tx>
                  <c:strRef>
                    <c:extLst>
                      <c:ext uri="{02D57815-91ED-43cb-92C2-25804820EDAC}">
                        <c15:formulaRef>
                          <c15:sqref>趋势图45天!$A$77</c15:sqref>
                        </c15:formulaRef>
                      </c:ext>
                    </c:extLst>
                    <c:strCache>
                      <c:ptCount val="1"/>
                      <c:pt idx="0">
                        <c:v>新品</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趋势图45天!$U$73:$AQ$73</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趋势图45天!$U$77:$AQ$77</c15:sqref>
                        </c15:formulaRef>
                      </c:ext>
                    </c:extLst>
                    <c:numCache>
                      <c:formatCode>General</c:formatCode>
                      <c:ptCount val="7"/>
                    </c:numCache>
                  </c:numRef>
                </c:val>
              </c15:ser>
            </c15:filteredBarSeries>
          </c:ext>
        </c:extLst>
      </c:barChart>
      <c:lineChart>
        <c:grouping val="standard"/>
        <c:varyColors val="0"/>
        <c:dLbls>
          <c:showLegendKey val="0"/>
          <c:showVal val="1"/>
          <c:showCatName val="0"/>
          <c:showSerName val="0"/>
          <c:showPercent val="0"/>
          <c:showBubbleSize val="0"/>
        </c:dLbls>
        <c:marker val="0"/>
        <c:smooth val="0"/>
        <c:axId val="360720894"/>
        <c:axId val="200436486"/>
        <c:extLst>
          <c:ext xmlns:c15="http://schemas.microsoft.com/office/drawing/2012/chart" uri="{02D57815-91ED-43cb-92C2-25804820EDAC}">
            <c15:filteredLineSeries>
              <c15:ser>
                <c:idx val="4"/>
                <c:order val="4"/>
                <c:tx>
                  <c:strRef>
                    <c:extLst>
                      <c:ext uri="{02D57815-91ED-43cb-92C2-25804820EDAC}">
                        <c15:formulaRef>
                          <c15:sqref>趋势图45天!$A$78</c15:sqref>
                        </c15:formulaRef>
                      </c:ext>
                    </c:extLst>
                    <c:strCache>
                      <c:ptCount val="1"/>
                      <c:pt idx="0">
                        <c:v>无库存+新品到货sku数量</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趋势图45天!$U$73:$AQ$73</c15:sqref>
                        </c15:formulaRef>
                      </c:ext>
                    </c:extLst>
                    <c:numCache>
                      <c:ptCount val="0"/>
                    </c:numCache>
                  </c:numRef>
                </c:cat>
                <c:val>
                  <c:numRef>
                    <c:extLst>
                      <c:ext uri="{02D57815-91ED-43cb-92C2-25804820EDAC}">
                        <c15:formulaRef>
                          <c15:sqref>趋势图45天!$U$78:$AQ$78</c15:sqref>
                        </c15:formulaRef>
                      </c:ext>
                    </c:extLst>
                    <c:numCache>
                      <c:formatCode>General</c:formatCode>
                      <c:ptCount val="7"/>
                      <c:pt idx="0">
                        <c:v>0</c:v>
                      </c:pt>
                      <c:pt idx="1">
                        <c:v>0</c:v>
                      </c:pt>
                      <c:pt idx="2">
                        <c:v>0</c:v>
                      </c:pt>
                      <c:pt idx="3">
                        <c:v>21</c:v>
                      </c:pt>
                      <c:pt idx="4">
                        <c:v>20</c:v>
                      </c:pt>
                      <c:pt idx="5">
                        <c:v>10</c:v>
                      </c:pt>
                      <c:pt idx="6">
                        <c:v>10</c:v>
                      </c:pt>
                    </c:numCache>
                  </c:numRef>
                </c:val>
                <c:smooth val="0"/>
              </c15:ser>
            </c15:filteredLineSeries>
          </c:ext>
        </c:extLst>
      </c:lineChart>
      <c:lineChart>
        <c:grouping val="standard"/>
        <c:varyColors val="0"/>
        <c:ser>
          <c:idx val="10"/>
          <c:order val="10"/>
          <c:tx>
            <c:strRef>
              <c:f>趋势图45天!$A$84</c:f>
              <c:strCache>
                <c:ptCount val="1"/>
                <c:pt idx="0">
                  <c:v>异常比例</c:v>
                </c:pt>
              </c:strCache>
            </c:strRef>
          </c:tx>
          <c:spPr>
            <a:ln w="28575" cap="rnd">
              <a:solidFill>
                <a:schemeClr val="accent5">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趋势图45天!$U$73:$AQ$73</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趋势图45天!$U$84:$AQ$84</c:f>
              <c:numCache>
                <c:formatCode>0.00%</c:formatCode>
                <c:ptCount val="7"/>
                <c:pt idx="0">
                  <c:v>0.80672268907563</c:v>
                </c:pt>
                <c:pt idx="1">
                  <c:v>0.840336134453782</c:v>
                </c:pt>
                <c:pt idx="2">
                  <c:v>0.830508474576271</c:v>
                </c:pt>
                <c:pt idx="3">
                  <c:v>0.923076923076923</c:v>
                </c:pt>
                <c:pt idx="4">
                  <c:v>0.846153846153846</c:v>
                </c:pt>
                <c:pt idx="5">
                  <c:v>0.897058823529412</c:v>
                </c:pt>
                <c:pt idx="6">
                  <c:v>0.867647058823529</c:v>
                </c:pt>
              </c:numCache>
            </c:numRef>
          </c:val>
          <c:smooth val="0"/>
        </c:ser>
        <c:dLbls>
          <c:showLegendKey val="0"/>
          <c:showVal val="1"/>
          <c:showCatName val="0"/>
          <c:showSerName val="0"/>
          <c:showPercent val="0"/>
          <c:showBubbleSize val="0"/>
        </c:dLbls>
        <c:marker val="0"/>
        <c:smooth val="0"/>
        <c:axId val="651996120"/>
        <c:axId val="847350643"/>
        <c:extLst>
          <c:ext xmlns:c15="http://schemas.microsoft.com/office/drawing/2012/chart" uri="{02D57815-91ED-43cb-92C2-25804820EDAC}">
            <c15:filteredLineSeries>
              <c15:ser>
                <c:idx val="6"/>
                <c:order val="6"/>
                <c:tx>
                  <c:strRef>
                    <c:extLst>
                      <c:ext uri="{02D57815-91ED-43cb-92C2-25804820EDAC}">
                        <c15:formulaRef>
                          <c15:sqref>趋势图45天!$A$80</c15:sqref>
                        </c15:formulaRef>
                      </c:ext>
                    </c:extLst>
                    <c:strCache>
                      <c:ptCount val="1"/>
                      <c:pt idx="0">
                        <c:v>旧品</c:v>
                      </c:pt>
                    </c:strCache>
                  </c:strRef>
                </c:tx>
                <c:spPr>
                  <a:ln w="28575" cap="rnd">
                    <a:solidFill>
                      <a:schemeClr val="accent1">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趋势图45天!$U$73:$AQ$73</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趋势图45天!$U$80:$AQ$80</c15:sqref>
                        </c15:formulaRef>
                      </c:ext>
                    </c:extLst>
                    <c:numCache>
                      <c:formatCode>General</c:formatCode>
                      <c:ptCount val="7"/>
                    </c:numCache>
                  </c:numRef>
                </c:val>
                <c:smooth val="0"/>
              </c15:ser>
            </c15:filteredLineSeries>
            <c15:filteredLineSeries>
              <c15:ser>
                <c:idx val="7"/>
                <c:order val="7"/>
                <c:tx>
                  <c:strRef>
                    <c:extLst>
                      <c:ext uri="{02D57815-91ED-43cb-92C2-25804820EDAC}">
                        <c15:formulaRef>
                          <c15:sqref>趋势图45天!$A$81</c15:sqref>
                        </c15:formulaRef>
                      </c:ext>
                    </c:extLst>
                    <c:strCache>
                      <c:ptCount val="1"/>
                      <c:pt idx="0">
                        <c:v>新品</c:v>
                      </c:pt>
                    </c:strCache>
                  </c:strRef>
                </c:tx>
                <c:spPr>
                  <a:ln w="28575" cap="rnd">
                    <a:solidFill>
                      <a:schemeClr val="accent2">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趋势图45天!$U$73:$AQ$73</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趋势图45天!$U$81:$AQ$81</c15:sqref>
                        </c15:formulaRef>
                      </c:ext>
                    </c:extLst>
                    <c:numCache>
                      <c:formatCode>General</c:formatCode>
                      <c:ptCount val="7"/>
                    </c:numCache>
                  </c:numRef>
                </c:val>
                <c:smooth val="0"/>
              </c15:ser>
            </c15:filteredLineSeries>
            <c15:filteredLineSeries>
              <c15:ser>
                <c:idx val="8"/>
                <c:order val="8"/>
                <c:tx>
                  <c:strRef>
                    <c:extLst>
                      <c:ext uri="{02D57815-91ED-43cb-92C2-25804820EDAC}">
                        <c15:formulaRef>
                          <c15:sqref>趋势图45天!$A$82</c15:sqref>
                        </c15:formulaRef>
                      </c:ext>
                    </c:extLst>
                    <c:strCache>
                      <c:ptCount val="1"/>
                      <c:pt idx="0">
                        <c:v>正常比例</c:v>
                      </c:pt>
                    </c:strCache>
                  </c:strRef>
                </c:tx>
                <c:spPr>
                  <a:ln w="28575" cap="rnd">
                    <a:solidFill>
                      <a:schemeClr val="accent3">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趋势图45天!$U$73:$AQ$73</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趋势图45天!$U$82:$AQ$82</c15:sqref>
                        </c15:formulaRef>
                      </c:ext>
                    </c:extLst>
                    <c:numCache>
                      <c:formatCode>0.00%</c:formatCode>
                      <c:ptCount val="7"/>
                      <c:pt idx="0">
                        <c:v>0.19327731092437</c:v>
                      </c:pt>
                      <c:pt idx="1">
                        <c:v>0.159663865546218</c:v>
                      </c:pt>
                      <c:pt idx="2">
                        <c:v>0.169491525423729</c:v>
                      </c:pt>
                      <c:pt idx="3">
                        <c:v>0.0769230769230769</c:v>
                      </c:pt>
                      <c:pt idx="4">
                        <c:v>0.153846153846154</c:v>
                      </c:pt>
                      <c:pt idx="5">
                        <c:v>0.102941176470588</c:v>
                      </c:pt>
                      <c:pt idx="6">
                        <c:v>0.132352941176471</c:v>
                      </c:pt>
                    </c:numCache>
                  </c:numRef>
                </c:val>
                <c:smooth val="0"/>
              </c15:ser>
            </c15:filteredLineSeries>
          </c:ext>
        </c:extLst>
      </c:lineChart>
      <c:catAx>
        <c:axId val="36072089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mn-lt"/>
                <a:ea typeface="+mn-ea"/>
                <a:cs typeface="+mn-cs"/>
              </a:defRPr>
            </a:pPr>
          </a:p>
        </c:txPr>
        <c:crossAx val="200436486"/>
        <c:crosses val="autoZero"/>
        <c:auto val="0"/>
        <c:lblAlgn val="ctr"/>
        <c:lblOffset val="100"/>
        <c:noMultiLvlLbl val="0"/>
      </c:catAx>
      <c:valAx>
        <c:axId val="20043648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360720894"/>
        <c:crosses val="autoZero"/>
        <c:crossBetween val="between"/>
      </c:valAx>
      <c:dateAx>
        <c:axId val="651996120"/>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847350643"/>
        <c:crosses val="autoZero"/>
        <c:auto val="1"/>
        <c:lblOffset val="100"/>
        <c:baseTimeUnit val="days"/>
      </c:dateAx>
      <c:valAx>
        <c:axId val="847350643"/>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651996120"/>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5</a:t>
            </a:r>
            <a:r>
              <a:rPr altLang="en-US"/>
              <a:t>店</a:t>
            </a:r>
            <a:endParaRPr lang="en-US" altLang="zh-CN"/>
          </a:p>
        </c:rich>
      </c:tx>
      <c:layout>
        <c:manualLayout>
          <c:xMode val="edge"/>
          <c:yMode val="edge"/>
          <c:x val="0.00457875457875458"/>
          <c:y val="0.0266666666666667"/>
        </c:manualLayout>
      </c:layout>
      <c:overlay val="0"/>
      <c:spPr>
        <a:noFill/>
        <a:ln>
          <a:noFill/>
        </a:ln>
        <a:effectLst/>
      </c:spPr>
    </c:title>
    <c:autoTitleDeleted val="0"/>
    <c:plotArea>
      <c:layout/>
      <c:barChart>
        <c:barDir val="col"/>
        <c:grouping val="clustered"/>
        <c:varyColors val="0"/>
        <c:ser>
          <c:idx val="0"/>
          <c:order val="0"/>
          <c:tx>
            <c:strRef>
              <c:f>趋势图45天!$A$99</c:f>
              <c:strCache>
                <c:ptCount val="1"/>
                <c:pt idx="0">
                  <c:v>总sku</c:v>
                </c:pt>
              </c:strCache>
            </c:strRef>
          </c:tx>
          <c:spPr>
            <a:solidFill>
              <a:schemeClr val="accent1"/>
            </a:solidFill>
            <a:ln>
              <a:noFill/>
            </a:ln>
            <a:effectLst/>
          </c:spPr>
          <c:invertIfNegative val="0"/>
          <c:dLbls>
            <c:delete val="1"/>
          </c:dLbls>
          <c:cat>
            <c:numRef>
              <c:f>趋势图45天!$K$98:$AQ$98</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趋势图45天!$K$99:$AQ$99</c:f>
              <c:numCache>
                <c:formatCode>General</c:formatCode>
                <c:ptCount val="7"/>
                <c:pt idx="0">
                  <c:v>70</c:v>
                </c:pt>
                <c:pt idx="1">
                  <c:v>72</c:v>
                </c:pt>
                <c:pt idx="2">
                  <c:v>70</c:v>
                </c:pt>
                <c:pt idx="3">
                  <c:v>72</c:v>
                </c:pt>
                <c:pt idx="4">
                  <c:v>70</c:v>
                </c:pt>
                <c:pt idx="5">
                  <c:v>57</c:v>
                </c:pt>
                <c:pt idx="6">
                  <c:v>66</c:v>
                </c:pt>
              </c:numCache>
            </c:numRef>
          </c:val>
        </c:ser>
        <c:ser>
          <c:idx val="5"/>
          <c:order val="5"/>
          <c:tx>
            <c:strRef>
              <c:f>趋势图45天!$A$104</c:f>
              <c:strCache>
                <c:ptCount val="1"/>
                <c:pt idx="0">
                  <c:v>正常sku</c:v>
                </c:pt>
              </c:strCache>
            </c:strRef>
          </c:tx>
          <c:spPr>
            <a:solidFill>
              <a:schemeClr val="accent6"/>
            </a:solidFill>
            <a:ln>
              <a:noFill/>
            </a:ln>
            <a:effectLst/>
          </c:spPr>
          <c:invertIfNegative val="0"/>
          <c:dLbls>
            <c:delete val="1"/>
          </c:dLbls>
          <c:cat>
            <c:numRef>
              <c:f>趋势图45天!$K$98:$AQ$98</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趋势图45天!$K$104:$AQ$104</c:f>
              <c:numCache>
                <c:formatCode>General</c:formatCode>
                <c:ptCount val="7"/>
                <c:pt idx="0">
                  <c:v>5</c:v>
                </c:pt>
                <c:pt idx="1">
                  <c:v>8</c:v>
                </c:pt>
                <c:pt idx="2">
                  <c:v>6</c:v>
                </c:pt>
                <c:pt idx="3">
                  <c:v>6</c:v>
                </c:pt>
                <c:pt idx="4">
                  <c:v>5</c:v>
                </c:pt>
                <c:pt idx="5">
                  <c:v>6</c:v>
                </c:pt>
                <c:pt idx="6">
                  <c:v>6</c:v>
                </c:pt>
              </c:numCache>
            </c:numRef>
          </c:val>
        </c:ser>
        <c:ser>
          <c:idx val="9"/>
          <c:order val="9"/>
          <c:tx>
            <c:strRef>
              <c:f>趋势图45天!$A$108</c:f>
              <c:strCache>
                <c:ptCount val="1"/>
                <c:pt idx="0">
                  <c:v>总库存数量</c:v>
                </c:pt>
              </c:strCache>
            </c:strRef>
          </c:tx>
          <c:spPr>
            <a:solidFill>
              <a:schemeClr val="accent4">
                <a:lumMod val="60000"/>
              </a:schemeClr>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趋势图45天!$K$98:$AQ$98</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趋势图45天!$K$108:$AQ$108</c:f>
              <c:numCache>
                <c:formatCode>General</c:formatCode>
                <c:ptCount val="7"/>
                <c:pt idx="0">
                  <c:v>625</c:v>
                </c:pt>
                <c:pt idx="1">
                  <c:v>741</c:v>
                </c:pt>
                <c:pt idx="2">
                  <c:v>833</c:v>
                </c:pt>
                <c:pt idx="3">
                  <c:v>853</c:v>
                </c:pt>
                <c:pt idx="4">
                  <c:v>775</c:v>
                </c:pt>
                <c:pt idx="5">
                  <c:v>585</c:v>
                </c:pt>
                <c:pt idx="6">
                  <c:v>764</c:v>
                </c:pt>
              </c:numCache>
            </c:numRef>
          </c:val>
        </c:ser>
        <c:dLbls>
          <c:showLegendKey val="0"/>
          <c:showVal val="1"/>
          <c:showCatName val="0"/>
          <c:showSerName val="0"/>
          <c:showPercent val="0"/>
          <c:showBubbleSize val="0"/>
        </c:dLbls>
        <c:gapWidth val="150"/>
        <c:overlap val="0"/>
        <c:axId val="574363226"/>
        <c:axId val="565442344"/>
        <c:extLst>
          <c:ext xmlns:c15="http://schemas.microsoft.com/office/drawing/2012/chart" uri="{02D57815-91ED-43cb-92C2-25804820EDAC}">
            <c15:filteredBarSeries>
              <c15:ser>
                <c:idx val="1"/>
                <c:order val="1"/>
                <c:tx>
                  <c:strRef>
                    <c:extLst>
                      <c:ext uri="{02D57815-91ED-43cb-92C2-25804820EDAC}">
                        <c15:formulaRef>
                          <c15:sqref>趋势图45天!$A$100</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趋势图45天!$K$98:$AQ$98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趋势图45天!$K$100:$AQ$100</c15:sqref>
                        </c15:formulaRef>
                      </c:ext>
                    </c:extLst>
                    <c:numCache>
                      <c:formatCode>General</c:formatCode>
                      <c:ptCount val="7"/>
                      <c:pt idx="0">
                        <c:v>52</c:v>
                      </c:pt>
                      <c:pt idx="1">
                        <c:v>67</c:v>
                      </c:pt>
                      <c:pt idx="2">
                        <c:v>63</c:v>
                      </c:pt>
                      <c:pt idx="3">
                        <c:v>60</c:v>
                      </c:pt>
                      <c:pt idx="4">
                        <c:v>58</c:v>
                      </c:pt>
                      <c:pt idx="5">
                        <c:v>56</c:v>
                      </c:pt>
                      <c:pt idx="6">
                        <c:v>47</c:v>
                      </c:pt>
                    </c:numCache>
                  </c:numRef>
                </c:val>
              </c15:ser>
            </c15:filteredBarSeries>
            <c15:filteredBarSeries>
              <c15:ser>
                <c:idx val="2"/>
                <c:order val="2"/>
                <c:tx>
                  <c:strRef>
                    <c:extLst>
                      <c:ext uri="{02D57815-91ED-43cb-92C2-25804820EDAC}">
                        <c15:formulaRef>
                          <c15:sqref>趋势图45天!$A$101</c15:sqref>
                        </c15:formulaRef>
                      </c:ext>
                    </c:extLst>
                    <c:strCache>
                      <c:ptCount val="1"/>
                      <c:pt idx="0">
                        <c:v>美珠</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趋势图45天!$K$98:$AQ$98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趋势图45天!$K$101:$AQ$101</c15:sqref>
                        </c15:formulaRef>
                      </c:ext>
                    </c:extLst>
                    <c:numCache>
                      <c:formatCode>General</c:formatCode>
                      <c:ptCount val="7"/>
                      <c:pt idx="0">
                        <c:v>52</c:v>
                      </c:pt>
                      <c:pt idx="1">
                        <c:v>49</c:v>
                      </c:pt>
                      <c:pt idx="2">
                        <c:v>45</c:v>
                      </c:pt>
                      <c:pt idx="3">
                        <c:v>43</c:v>
                      </c:pt>
                      <c:pt idx="4">
                        <c:v>42</c:v>
                      </c:pt>
                      <c:pt idx="5">
                        <c:v>34</c:v>
                      </c:pt>
                      <c:pt idx="6">
                        <c:v>35</c:v>
                      </c:pt>
                    </c:numCache>
                  </c:numRef>
                </c:val>
              </c15:ser>
            </c15:filteredBarSeries>
            <c15:filteredBarSeries>
              <c15:ser>
                <c:idx val="3"/>
                <c:order val="3"/>
                <c:tx>
                  <c:strRef>
                    <c:extLst>
                      <c:ext uri="{02D57815-91ED-43cb-92C2-25804820EDAC}">
                        <c15:formulaRef>
                          <c15:sqref>趋势图45天!$A$102</c15:sqref>
                        </c15:formulaRef>
                      </c:ext>
                    </c:extLst>
                    <c:strCache>
                      <c:ptCount val="1"/>
                      <c:pt idx="0">
                        <c:v>秀青</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趋势图45天!$K$98:$AQ$98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趋势图45天!$K$102:$AQ$102</c15:sqref>
                        </c15:formulaRef>
                      </c:ext>
                    </c:extLst>
                    <c:numCache>
                      <c:formatCode>General</c:formatCode>
                      <c:ptCount val="7"/>
                      <c:pt idx="0">
                        <c:v>0</c:v>
                      </c:pt>
                      <c:pt idx="1">
                        <c:v>18</c:v>
                      </c:pt>
                      <c:pt idx="2">
                        <c:v>18</c:v>
                      </c:pt>
                      <c:pt idx="3">
                        <c:v>17</c:v>
                      </c:pt>
                      <c:pt idx="4">
                        <c:v>16</c:v>
                      </c:pt>
                      <c:pt idx="5">
                        <c:v>22</c:v>
                      </c:pt>
                      <c:pt idx="6">
                        <c:v>12</c:v>
                      </c:pt>
                    </c:numCache>
                  </c:numRef>
                </c:val>
              </c15:ser>
            </c15:filteredBarSeries>
          </c:ext>
        </c:extLst>
      </c:barChart>
      <c:lineChart>
        <c:grouping val="standard"/>
        <c:varyColors val="0"/>
        <c:dLbls>
          <c:showLegendKey val="0"/>
          <c:showVal val="1"/>
          <c:showCatName val="0"/>
          <c:showSerName val="0"/>
          <c:showPercent val="0"/>
          <c:showBubbleSize val="0"/>
        </c:dLbls>
        <c:marker val="0"/>
        <c:smooth val="0"/>
        <c:axId val="574363226"/>
        <c:axId val="565442344"/>
        <c:extLst>
          <c:ext xmlns:c15="http://schemas.microsoft.com/office/drawing/2012/chart" uri="{02D57815-91ED-43cb-92C2-25804820EDAC}">
            <c15:filteredLineSeries>
              <c15:ser>
                <c:idx val="4"/>
                <c:order val="4"/>
                <c:tx>
                  <c:strRef>
                    <c:extLst>
                      <c:ext uri="{02D57815-91ED-43cb-92C2-25804820EDAC}">
                        <c15:formulaRef>
                          <c15:sqref>趋势图45天!$A$103</c15:sqref>
                        </c15:formulaRef>
                      </c:ext>
                    </c:extLst>
                    <c:strCache>
                      <c:ptCount val="1"/>
                      <c:pt idx="0">
                        <c:v>无库存+新品到货sku数量</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趋势图45天!$K$98:$AQ$98</c15:sqref>
                        </c15:formulaRef>
                      </c:ext>
                    </c:extLst>
                    <c:numCache>
                      <c:ptCount val="0"/>
                    </c:numCache>
                  </c:numRef>
                </c:cat>
                <c:val>
                  <c:numRef>
                    <c:extLst>
                      <c:ext uri="{02D57815-91ED-43cb-92C2-25804820EDAC}">
                        <c15:formulaRef>
                          <c15:sqref>趋势图45天!$K$103:$AQ$103</c15:sqref>
                        </c15:formulaRef>
                      </c:ext>
                    </c:extLst>
                    <c:numCache>
                      <c:formatCode>General</c:formatCode>
                      <c:ptCount val="7"/>
                      <c:pt idx="0">
                        <c:v>18</c:v>
                      </c:pt>
                      <c:pt idx="1">
                        <c:v>5</c:v>
                      </c:pt>
                      <c:pt idx="2">
                        <c:v>7</c:v>
                      </c:pt>
                      <c:pt idx="3">
                        <c:v>12</c:v>
                      </c:pt>
                      <c:pt idx="4">
                        <c:v>12</c:v>
                      </c:pt>
                      <c:pt idx="5">
                        <c:v>1</c:v>
                      </c:pt>
                      <c:pt idx="6">
                        <c:v>10</c:v>
                      </c:pt>
                    </c:numCache>
                  </c:numRef>
                </c:val>
                <c:smooth val="0"/>
              </c15:ser>
            </c15:filteredLineSeries>
          </c:ext>
        </c:extLst>
      </c:lineChart>
      <c:lineChart>
        <c:grouping val="standard"/>
        <c:varyColors val="0"/>
        <c:ser>
          <c:idx val="10"/>
          <c:order val="10"/>
          <c:tx>
            <c:strRef>
              <c:f>趋势图45天!$A$109</c:f>
              <c:strCache>
                <c:ptCount val="1"/>
                <c:pt idx="0">
                  <c:v>异常比例</c:v>
                </c:pt>
              </c:strCache>
            </c:strRef>
          </c:tx>
          <c:spPr>
            <a:ln w="28575" cap="rnd">
              <a:solidFill>
                <a:schemeClr val="accent5">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趋势图45天!$K$98:$AQ$98</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趋势图45天!$K$109:$AQ$109</c:f>
              <c:numCache>
                <c:formatCode>0.00%</c:formatCode>
                <c:ptCount val="7"/>
                <c:pt idx="0">
                  <c:v>0.903846153846154</c:v>
                </c:pt>
                <c:pt idx="1">
                  <c:v>0.880597014925373</c:v>
                </c:pt>
                <c:pt idx="2">
                  <c:v>0.904761904761905</c:v>
                </c:pt>
                <c:pt idx="3">
                  <c:v>0.9</c:v>
                </c:pt>
                <c:pt idx="4">
                  <c:v>0.913793103448276</c:v>
                </c:pt>
                <c:pt idx="5">
                  <c:v>0.892857142857143</c:v>
                </c:pt>
                <c:pt idx="6">
                  <c:v>0.872340425531915</c:v>
                </c:pt>
              </c:numCache>
            </c:numRef>
          </c:val>
          <c:smooth val="0"/>
        </c:ser>
        <c:dLbls>
          <c:showLegendKey val="0"/>
          <c:showVal val="1"/>
          <c:showCatName val="0"/>
          <c:showSerName val="0"/>
          <c:showPercent val="0"/>
          <c:showBubbleSize val="0"/>
        </c:dLbls>
        <c:marker val="0"/>
        <c:smooth val="0"/>
        <c:axId val="690091376"/>
        <c:axId val="349411250"/>
        <c:extLst>
          <c:ext xmlns:c15="http://schemas.microsoft.com/office/drawing/2012/chart" uri="{02D57815-91ED-43cb-92C2-25804820EDAC}">
            <c15:filteredLineSeries>
              <c15:ser>
                <c:idx val="6"/>
                <c:order val="6"/>
                <c:tx>
                  <c:strRef>
                    <c:extLst>
                      <c:ext uri="{02D57815-91ED-43cb-92C2-25804820EDAC}">
                        <c15:formulaRef>
                          <c15:sqref>趋势图45天!$A$105</c15:sqref>
                        </c15:formulaRef>
                      </c:ext>
                    </c:extLst>
                    <c:strCache>
                      <c:ptCount val="1"/>
                      <c:pt idx="0">
                        <c:v>美珠</c:v>
                      </c:pt>
                    </c:strCache>
                  </c:strRef>
                </c:tx>
                <c:spPr>
                  <a:ln w="28575" cap="rnd">
                    <a:solidFill>
                      <a:schemeClr val="accent1">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趋势图45天!$K$98:$AQ$98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趋势图45天!$K$105:$AQ$105</c15:sqref>
                        </c15:formulaRef>
                      </c:ext>
                    </c:extLst>
                    <c:numCache>
                      <c:formatCode>General</c:formatCode>
                      <c:ptCount val="7"/>
                      <c:pt idx="0">
                        <c:v>5</c:v>
                      </c:pt>
                      <c:pt idx="1">
                        <c:v>3</c:v>
                      </c:pt>
                      <c:pt idx="2">
                        <c:v>1</c:v>
                      </c:pt>
                      <c:pt idx="3">
                        <c:v>1</c:v>
                      </c:pt>
                      <c:pt idx="4">
                        <c:v>2</c:v>
                      </c:pt>
                      <c:pt idx="5">
                        <c:v>1</c:v>
                      </c:pt>
                      <c:pt idx="6">
                        <c:v>2</c:v>
                      </c:pt>
                    </c:numCache>
                  </c:numRef>
                </c:val>
                <c:smooth val="0"/>
              </c15:ser>
            </c15:filteredLineSeries>
            <c15:filteredLineSeries>
              <c15:ser>
                <c:idx val="7"/>
                <c:order val="7"/>
                <c:tx>
                  <c:strRef>
                    <c:extLst>
                      <c:ext uri="{02D57815-91ED-43cb-92C2-25804820EDAC}">
                        <c15:formulaRef>
                          <c15:sqref>趋势图45天!$A$106</c15:sqref>
                        </c15:formulaRef>
                      </c:ext>
                    </c:extLst>
                    <c:strCache>
                      <c:ptCount val="1"/>
                      <c:pt idx="0">
                        <c:v>秀青</c:v>
                      </c:pt>
                    </c:strCache>
                  </c:strRef>
                </c:tx>
                <c:spPr>
                  <a:ln w="28575" cap="rnd">
                    <a:solidFill>
                      <a:schemeClr val="accent2">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趋势图45天!$K$98:$AQ$98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趋势图45天!$K$106:$AQ$106</c15:sqref>
                        </c15:formulaRef>
                      </c:ext>
                    </c:extLst>
                    <c:numCache>
                      <c:formatCode>General</c:formatCode>
                      <c:ptCount val="7"/>
                      <c:pt idx="0">
                        <c:v>0</c:v>
                      </c:pt>
                      <c:pt idx="1">
                        <c:v>5</c:v>
                      </c:pt>
                      <c:pt idx="2">
                        <c:v>5</c:v>
                      </c:pt>
                      <c:pt idx="3">
                        <c:v>5</c:v>
                      </c:pt>
                      <c:pt idx="4">
                        <c:v>3</c:v>
                      </c:pt>
                      <c:pt idx="5">
                        <c:v>5</c:v>
                      </c:pt>
                      <c:pt idx="6">
                        <c:v>4</c:v>
                      </c:pt>
                    </c:numCache>
                  </c:numRef>
                </c:val>
                <c:smooth val="0"/>
              </c15:ser>
            </c15:filteredLineSeries>
            <c15:filteredLineSeries>
              <c15:ser>
                <c:idx val="8"/>
                <c:order val="8"/>
                <c:tx>
                  <c:strRef>
                    <c:extLst>
                      <c:ext uri="{02D57815-91ED-43cb-92C2-25804820EDAC}">
                        <c15:formulaRef>
                          <c15:sqref>趋势图45天!$A$107</c15:sqref>
                        </c15:formulaRef>
                      </c:ext>
                    </c:extLst>
                    <c:strCache>
                      <c:ptCount val="1"/>
                      <c:pt idx="0">
                        <c:v>正常比例</c:v>
                      </c:pt>
                    </c:strCache>
                  </c:strRef>
                </c:tx>
                <c:spPr>
                  <a:ln w="28575" cap="rnd">
                    <a:solidFill>
                      <a:schemeClr val="accent3">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趋势图45天!$K$98:$AQ$98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趋势图45天!$K$107:$AQ$107</c15:sqref>
                        </c15:formulaRef>
                      </c:ext>
                    </c:extLst>
                    <c:numCache>
                      <c:formatCode>0.00%</c:formatCode>
                      <c:ptCount val="7"/>
                      <c:pt idx="0">
                        <c:v>0.0961538461538462</c:v>
                      </c:pt>
                      <c:pt idx="1">
                        <c:v>0.119402985074627</c:v>
                      </c:pt>
                      <c:pt idx="2">
                        <c:v>0.0952380952380952</c:v>
                      </c:pt>
                      <c:pt idx="3">
                        <c:v>0.1</c:v>
                      </c:pt>
                      <c:pt idx="4">
                        <c:v>0.0862068965517241</c:v>
                      </c:pt>
                      <c:pt idx="5">
                        <c:v>0.107142857142857</c:v>
                      </c:pt>
                      <c:pt idx="6">
                        <c:v>0.127659574468085</c:v>
                      </c:pt>
                    </c:numCache>
                  </c:numRef>
                </c:val>
                <c:smooth val="0"/>
              </c15:ser>
            </c15:filteredLineSeries>
          </c:ext>
        </c:extLst>
      </c:lineChart>
      <c:catAx>
        <c:axId val="57436322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mn-lt"/>
                <a:ea typeface="+mn-ea"/>
                <a:cs typeface="+mn-cs"/>
              </a:defRPr>
            </a:pPr>
          </a:p>
        </c:txPr>
        <c:crossAx val="565442344"/>
        <c:crosses val="autoZero"/>
        <c:auto val="0"/>
        <c:lblAlgn val="ctr"/>
        <c:lblOffset val="100"/>
        <c:noMultiLvlLbl val="0"/>
      </c:catAx>
      <c:valAx>
        <c:axId val="565442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574363226"/>
        <c:crosses val="autoZero"/>
        <c:crossBetween val="between"/>
      </c:valAx>
      <c:dateAx>
        <c:axId val="690091376"/>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349411250"/>
        <c:crosses val="autoZero"/>
        <c:auto val="1"/>
        <c:lblOffset val="100"/>
        <c:baseTimeUnit val="days"/>
      </c:dateAx>
      <c:valAx>
        <c:axId val="349411250"/>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690091376"/>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6</a:t>
            </a:r>
            <a:r>
              <a:rPr altLang="en-US"/>
              <a:t>店</a:t>
            </a:r>
            <a:endParaRPr lang="en-US" altLang="zh-CN"/>
          </a:p>
        </c:rich>
      </c:tx>
      <c:layout>
        <c:manualLayout>
          <c:xMode val="edge"/>
          <c:yMode val="edge"/>
          <c:x val="0.00416666666666667"/>
          <c:y val="0.0230157623099456"/>
        </c:manualLayout>
      </c:layout>
      <c:overlay val="0"/>
      <c:spPr>
        <a:noFill/>
        <a:ln>
          <a:noFill/>
        </a:ln>
        <a:effectLst/>
      </c:spPr>
    </c:title>
    <c:autoTitleDeleted val="0"/>
    <c:plotArea>
      <c:layout/>
      <c:barChart>
        <c:barDir val="col"/>
        <c:grouping val="clustered"/>
        <c:varyColors val="0"/>
        <c:ser>
          <c:idx val="0"/>
          <c:order val="0"/>
          <c:tx>
            <c:strRef>
              <c:f>趋势图45天!$A$124</c:f>
              <c:strCache>
                <c:ptCount val="1"/>
                <c:pt idx="0">
                  <c:v>总sku</c:v>
                </c:pt>
              </c:strCache>
            </c:strRef>
          </c:tx>
          <c:spPr>
            <a:solidFill>
              <a:schemeClr val="accent1"/>
            </a:solidFill>
            <a:ln>
              <a:noFill/>
            </a:ln>
            <a:effectLst/>
          </c:spPr>
          <c:invertIfNegative val="0"/>
          <c:dLbls>
            <c:delete val="1"/>
          </c:dLbls>
          <c:cat>
            <c:numRef>
              <c:f>趋势图45天!$R$123:$AQ$123</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趋势图45天!$R$124:$AQ$124</c:f>
              <c:numCache>
                <c:formatCode>General</c:formatCode>
                <c:ptCount val="7"/>
                <c:pt idx="0">
                  <c:v>82</c:v>
                </c:pt>
                <c:pt idx="1">
                  <c:v>85</c:v>
                </c:pt>
                <c:pt idx="2">
                  <c:v>85</c:v>
                </c:pt>
                <c:pt idx="3">
                  <c:v>89</c:v>
                </c:pt>
                <c:pt idx="4">
                  <c:v>87</c:v>
                </c:pt>
                <c:pt idx="5">
                  <c:v>85</c:v>
                </c:pt>
                <c:pt idx="6">
                  <c:v>87</c:v>
                </c:pt>
              </c:numCache>
            </c:numRef>
          </c:val>
        </c:ser>
        <c:ser>
          <c:idx val="5"/>
          <c:order val="5"/>
          <c:tx>
            <c:strRef>
              <c:f>趋势图45天!$A$129</c:f>
              <c:strCache>
                <c:ptCount val="1"/>
                <c:pt idx="0">
                  <c:v>正常sku</c:v>
                </c:pt>
              </c:strCache>
            </c:strRef>
          </c:tx>
          <c:spPr>
            <a:solidFill>
              <a:schemeClr val="accent6"/>
            </a:solidFill>
            <a:ln>
              <a:noFill/>
            </a:ln>
            <a:effectLst/>
          </c:spPr>
          <c:invertIfNegative val="0"/>
          <c:dLbls>
            <c:delete val="1"/>
          </c:dLbls>
          <c:cat>
            <c:numRef>
              <c:f>趋势图45天!$R$123:$AQ$123</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趋势图45天!$R$129:$AQ$129</c:f>
              <c:numCache>
                <c:formatCode>General</c:formatCode>
                <c:ptCount val="7"/>
                <c:pt idx="0">
                  <c:v>17</c:v>
                </c:pt>
                <c:pt idx="1">
                  <c:v>13</c:v>
                </c:pt>
                <c:pt idx="2">
                  <c:v>21</c:v>
                </c:pt>
                <c:pt idx="3">
                  <c:v>17</c:v>
                </c:pt>
                <c:pt idx="4">
                  <c:v>13</c:v>
                </c:pt>
                <c:pt idx="5">
                  <c:v>25</c:v>
                </c:pt>
                <c:pt idx="6">
                  <c:v>23</c:v>
                </c:pt>
              </c:numCache>
            </c:numRef>
          </c:val>
        </c:ser>
        <c:ser>
          <c:idx val="9"/>
          <c:order val="9"/>
          <c:tx>
            <c:strRef>
              <c:f>趋势图45天!$A$133</c:f>
              <c:strCache>
                <c:ptCount val="1"/>
                <c:pt idx="0">
                  <c:v>总库存数量</c:v>
                </c:pt>
              </c:strCache>
            </c:strRef>
          </c:tx>
          <c:spPr>
            <a:solidFill>
              <a:schemeClr val="accent4">
                <a:lumMod val="60000"/>
              </a:schemeClr>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趋势图45天!$R$123:$AQ$123</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趋势图45天!$R$133:$AQ$133</c:f>
              <c:numCache>
                <c:formatCode>General</c:formatCode>
                <c:ptCount val="7"/>
                <c:pt idx="0">
                  <c:v>2223</c:v>
                </c:pt>
                <c:pt idx="1">
                  <c:v>2760</c:v>
                </c:pt>
                <c:pt idx="2">
                  <c:v>2510</c:v>
                </c:pt>
                <c:pt idx="3">
                  <c:v>2350</c:v>
                </c:pt>
                <c:pt idx="4">
                  <c:v>2613</c:v>
                </c:pt>
                <c:pt idx="5">
                  <c:v>2320</c:v>
                </c:pt>
                <c:pt idx="6">
                  <c:v>2289</c:v>
                </c:pt>
              </c:numCache>
            </c:numRef>
          </c:val>
        </c:ser>
        <c:dLbls>
          <c:showLegendKey val="0"/>
          <c:showVal val="1"/>
          <c:showCatName val="0"/>
          <c:showSerName val="0"/>
          <c:showPercent val="0"/>
          <c:showBubbleSize val="0"/>
        </c:dLbls>
        <c:gapWidth val="150"/>
        <c:overlap val="0"/>
        <c:axId val="615597802"/>
        <c:axId val="971855773"/>
        <c:extLst>
          <c:ext xmlns:c15="http://schemas.microsoft.com/office/drawing/2012/chart" uri="{02D57815-91ED-43cb-92C2-25804820EDAC}">
            <c15:filteredBarSeries>
              <c15:ser>
                <c:idx val="1"/>
                <c:order val="1"/>
                <c:tx>
                  <c:strRef>
                    <c:extLst>
                      <c:ext uri="{02D57815-91ED-43cb-92C2-25804820EDAC}">
                        <c15:formulaRef>
                          <c15:sqref>趋势图45天!$A$125</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趋势图45天!$R$123:$AQ$123</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趋势图45天!$R$125:$AQ$125</c15:sqref>
                        </c15:formulaRef>
                      </c:ext>
                    </c:extLst>
                    <c:numCache>
                      <c:formatCode>General</c:formatCode>
                      <c:ptCount val="7"/>
                      <c:pt idx="0">
                        <c:v>55</c:v>
                      </c:pt>
                      <c:pt idx="1">
                        <c:v>53</c:v>
                      </c:pt>
                      <c:pt idx="2">
                        <c:v>75</c:v>
                      </c:pt>
                      <c:pt idx="3">
                        <c:v>80</c:v>
                      </c:pt>
                      <c:pt idx="4">
                        <c:v>78</c:v>
                      </c:pt>
                      <c:pt idx="5">
                        <c:v>79</c:v>
                      </c:pt>
                      <c:pt idx="6">
                        <c:v>80</c:v>
                      </c:pt>
                    </c:numCache>
                  </c:numRef>
                </c:val>
              </c15:ser>
            </c15:filteredBarSeries>
            <c15:filteredBarSeries>
              <c15:ser>
                <c:idx val="2"/>
                <c:order val="2"/>
                <c:tx>
                  <c:strRef>
                    <c:extLst>
                      <c:ext uri="{02D57815-91ED-43cb-92C2-25804820EDAC}">
                        <c15:formulaRef>
                          <c15:sqref>趋势图45天!$A$126</c15:sqref>
                        </c15:formulaRef>
                      </c:ext>
                    </c:extLst>
                    <c:strCache>
                      <c:ptCount val="1"/>
                      <c:pt idx="0">
                        <c:v>美珠</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趋势图45天!$R$123:$AQ$123</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趋势图45天!$R$126:$AQ$126</c15:sqref>
                        </c15:formulaRef>
                      </c:ext>
                    </c:extLst>
                    <c:numCache>
                      <c:formatCode>General</c:formatCode>
                      <c:ptCount val="7"/>
                      <c:pt idx="0">
                        <c:v>50</c:v>
                      </c:pt>
                    </c:numCache>
                  </c:numRef>
                </c:val>
              </c15:ser>
            </c15:filteredBarSeries>
            <c15:filteredBarSeries>
              <c15:ser>
                <c:idx val="3"/>
                <c:order val="3"/>
                <c:tx>
                  <c:strRef>
                    <c:extLst>
                      <c:ext uri="{02D57815-91ED-43cb-92C2-25804820EDAC}">
                        <c15:formulaRef>
                          <c15:sqref>趋势图45天!$A$127</c15:sqref>
                        </c15:formulaRef>
                      </c:ext>
                    </c:extLst>
                    <c:strCache>
                      <c:ptCount val="1"/>
                      <c:pt idx="0">
                        <c:v>欣彤</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趋势图45天!$R$123:$AQ$123</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趋势图45天!$R$127:$AQ$127</c15:sqref>
                        </c15:formulaRef>
                      </c:ext>
                    </c:extLst>
                    <c:numCache>
                      <c:formatCode>General</c:formatCode>
                      <c:ptCount val="7"/>
                      <c:pt idx="0">
                        <c:v>5</c:v>
                      </c:pt>
                    </c:numCache>
                  </c:numRef>
                </c:val>
              </c15:ser>
            </c15:filteredBarSeries>
          </c:ext>
        </c:extLst>
      </c:barChart>
      <c:lineChart>
        <c:grouping val="standard"/>
        <c:varyColors val="0"/>
        <c:dLbls>
          <c:showLegendKey val="0"/>
          <c:showVal val="1"/>
          <c:showCatName val="0"/>
          <c:showSerName val="0"/>
          <c:showPercent val="0"/>
          <c:showBubbleSize val="0"/>
        </c:dLbls>
        <c:marker val="0"/>
        <c:smooth val="0"/>
        <c:axId val="615597802"/>
        <c:axId val="971855773"/>
        <c:extLst>
          <c:ext xmlns:c15="http://schemas.microsoft.com/office/drawing/2012/chart" uri="{02D57815-91ED-43cb-92C2-25804820EDAC}">
            <c15:filteredLineSeries>
              <c15:ser>
                <c:idx val="4"/>
                <c:order val="4"/>
                <c:tx>
                  <c:strRef>
                    <c:extLst>
                      <c:ext uri="{02D57815-91ED-43cb-92C2-25804820EDAC}">
                        <c15:formulaRef>
                          <c15:sqref>趋势图45天!$A$128</c15:sqref>
                        </c15:formulaRef>
                      </c:ext>
                    </c:extLst>
                    <c:strCache>
                      <c:ptCount val="1"/>
                      <c:pt idx="0">
                        <c:v>无库存+新品到货sku数量</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趋势图45天!$R$123:$AQ$123</c15:sqref>
                        </c15:formulaRef>
                      </c:ext>
                    </c:extLst>
                    <c:numCache>
                      <c:ptCount val="0"/>
                    </c:numCache>
                  </c:numRef>
                </c:cat>
                <c:val>
                  <c:numRef>
                    <c:extLst>
                      <c:ext uri="{02D57815-91ED-43cb-92C2-25804820EDAC}">
                        <c15:formulaRef>
                          <c15:sqref>趋势图45天!$R$128:$AQ$128</c15:sqref>
                        </c15:formulaRef>
                      </c:ext>
                    </c:extLst>
                    <c:numCache>
                      <c:formatCode>General</c:formatCode>
                      <c:ptCount val="7"/>
                      <c:pt idx="0">
                        <c:v>26</c:v>
                      </c:pt>
                      <c:pt idx="1">
                        <c:v>30</c:v>
                      </c:pt>
                      <c:pt idx="2">
                        <c:v>9</c:v>
                      </c:pt>
                      <c:pt idx="3">
                        <c:v>9</c:v>
                      </c:pt>
                      <c:pt idx="4">
                        <c:v>9</c:v>
                      </c:pt>
                      <c:pt idx="5">
                        <c:v>6</c:v>
                      </c:pt>
                      <c:pt idx="6">
                        <c:v>7</c:v>
                      </c:pt>
                    </c:numCache>
                  </c:numRef>
                </c:val>
                <c:smooth val="0"/>
              </c15:ser>
            </c15:filteredLineSeries>
          </c:ext>
        </c:extLst>
      </c:lineChart>
      <c:lineChart>
        <c:grouping val="standard"/>
        <c:varyColors val="0"/>
        <c:ser>
          <c:idx val="10"/>
          <c:order val="10"/>
          <c:tx>
            <c:strRef>
              <c:f>趋势图45天!$A$134</c:f>
              <c:strCache>
                <c:ptCount val="1"/>
                <c:pt idx="0">
                  <c:v>异常比例</c:v>
                </c:pt>
              </c:strCache>
            </c:strRef>
          </c:tx>
          <c:spPr>
            <a:ln w="28575" cap="rnd">
              <a:solidFill>
                <a:schemeClr val="accent5">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趋势图45天!$R$123:$AQ$123</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趋势图45天!$R$134:$AQ$134</c:f>
              <c:numCache>
                <c:formatCode>0.00%</c:formatCode>
                <c:ptCount val="7"/>
                <c:pt idx="0">
                  <c:v>0.690909090909091</c:v>
                </c:pt>
                <c:pt idx="1">
                  <c:v>0.754716981132076</c:v>
                </c:pt>
                <c:pt idx="2">
                  <c:v>0.72</c:v>
                </c:pt>
                <c:pt idx="3">
                  <c:v>0.7875</c:v>
                </c:pt>
                <c:pt idx="4">
                  <c:v>0.833333333333333</c:v>
                </c:pt>
                <c:pt idx="5">
                  <c:v>0.683544303797468</c:v>
                </c:pt>
                <c:pt idx="6">
                  <c:v>0.7125</c:v>
                </c:pt>
              </c:numCache>
            </c:numRef>
          </c:val>
          <c:smooth val="0"/>
        </c:ser>
        <c:dLbls>
          <c:showLegendKey val="0"/>
          <c:showVal val="1"/>
          <c:showCatName val="0"/>
          <c:showSerName val="0"/>
          <c:showPercent val="0"/>
          <c:showBubbleSize val="0"/>
        </c:dLbls>
        <c:marker val="0"/>
        <c:smooth val="0"/>
        <c:axId val="546113951"/>
        <c:axId val="154336705"/>
        <c:extLst>
          <c:ext xmlns:c15="http://schemas.microsoft.com/office/drawing/2012/chart" uri="{02D57815-91ED-43cb-92C2-25804820EDAC}">
            <c15:filteredLineSeries>
              <c15:ser>
                <c:idx val="6"/>
                <c:order val="6"/>
                <c:tx>
                  <c:strRef>
                    <c:extLst>
                      <c:ext uri="{02D57815-91ED-43cb-92C2-25804820EDAC}">
                        <c15:formulaRef>
                          <c15:sqref>趋势图45天!$A$130</c15:sqref>
                        </c15:formulaRef>
                      </c:ext>
                    </c:extLst>
                    <c:strCache>
                      <c:ptCount val="1"/>
                      <c:pt idx="0">
                        <c:v>美珠</c:v>
                      </c:pt>
                    </c:strCache>
                  </c:strRef>
                </c:tx>
                <c:spPr>
                  <a:ln w="28575" cap="rnd">
                    <a:solidFill>
                      <a:schemeClr val="accent1">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趋势图45天!$R$123:$AQ$123</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趋势图45天!$R$130:$AQ$130</c15:sqref>
                        </c15:formulaRef>
                      </c:ext>
                    </c:extLst>
                    <c:numCache>
                      <c:formatCode>General</c:formatCode>
                      <c:ptCount val="7"/>
                      <c:pt idx="0">
                        <c:v>16</c:v>
                      </c:pt>
                    </c:numCache>
                  </c:numRef>
                </c:val>
                <c:smooth val="0"/>
              </c15:ser>
            </c15:filteredLineSeries>
            <c15:filteredLineSeries>
              <c15:ser>
                <c:idx val="7"/>
                <c:order val="7"/>
                <c:tx>
                  <c:strRef>
                    <c:extLst>
                      <c:ext uri="{02D57815-91ED-43cb-92C2-25804820EDAC}">
                        <c15:formulaRef>
                          <c15:sqref>趋势图45天!$A$131</c15:sqref>
                        </c15:formulaRef>
                      </c:ext>
                    </c:extLst>
                    <c:strCache>
                      <c:ptCount val="1"/>
                      <c:pt idx="0">
                        <c:v>欣彤</c:v>
                      </c:pt>
                    </c:strCache>
                  </c:strRef>
                </c:tx>
                <c:spPr>
                  <a:ln w="28575" cap="rnd">
                    <a:solidFill>
                      <a:schemeClr val="accent2">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趋势图45天!$R$123:$AQ$123</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趋势图45天!$R$131:$AQ$131</c15:sqref>
                        </c15:formulaRef>
                      </c:ext>
                    </c:extLst>
                    <c:numCache>
                      <c:formatCode>General</c:formatCode>
                      <c:ptCount val="7"/>
                      <c:pt idx="0">
                        <c:v>1</c:v>
                      </c:pt>
                    </c:numCache>
                  </c:numRef>
                </c:val>
                <c:smooth val="0"/>
              </c15:ser>
            </c15:filteredLineSeries>
            <c15:filteredLineSeries>
              <c15:ser>
                <c:idx val="8"/>
                <c:order val="8"/>
                <c:tx>
                  <c:strRef>
                    <c:extLst>
                      <c:ext uri="{02D57815-91ED-43cb-92C2-25804820EDAC}">
                        <c15:formulaRef>
                          <c15:sqref>趋势图45天!$A$132</c15:sqref>
                        </c15:formulaRef>
                      </c:ext>
                    </c:extLst>
                    <c:strCache>
                      <c:ptCount val="1"/>
                      <c:pt idx="0">
                        <c:v>正常比例</c:v>
                      </c:pt>
                    </c:strCache>
                  </c:strRef>
                </c:tx>
                <c:spPr>
                  <a:ln w="28575" cap="rnd">
                    <a:solidFill>
                      <a:schemeClr val="accent3">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趋势图45天!$R$123:$AQ$123</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趋势图45天!$R$132:$AQ$132</c15:sqref>
                        </c15:formulaRef>
                      </c:ext>
                    </c:extLst>
                    <c:numCache>
                      <c:formatCode>0.00%</c:formatCode>
                      <c:ptCount val="7"/>
                      <c:pt idx="0">
                        <c:v>0.309090909090909</c:v>
                      </c:pt>
                      <c:pt idx="1">
                        <c:v>0.245283018867925</c:v>
                      </c:pt>
                      <c:pt idx="2">
                        <c:v>0.28</c:v>
                      </c:pt>
                      <c:pt idx="3">
                        <c:v>0.2125</c:v>
                      </c:pt>
                      <c:pt idx="4">
                        <c:v>0.166666666666667</c:v>
                      </c:pt>
                      <c:pt idx="5">
                        <c:v>0.316455696202532</c:v>
                      </c:pt>
                      <c:pt idx="6">
                        <c:v>0.2875</c:v>
                      </c:pt>
                    </c:numCache>
                  </c:numRef>
                </c:val>
                <c:smooth val="0"/>
              </c15:ser>
            </c15:filteredLineSeries>
          </c:ext>
        </c:extLst>
      </c:lineChart>
      <c:catAx>
        <c:axId val="61559780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mn-lt"/>
                <a:ea typeface="+mn-ea"/>
                <a:cs typeface="+mn-cs"/>
              </a:defRPr>
            </a:pPr>
          </a:p>
        </c:txPr>
        <c:crossAx val="971855773"/>
        <c:crosses val="autoZero"/>
        <c:auto val="0"/>
        <c:lblAlgn val="ctr"/>
        <c:lblOffset val="100"/>
        <c:noMultiLvlLbl val="0"/>
      </c:catAx>
      <c:valAx>
        <c:axId val="97185577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615597802"/>
        <c:crosses val="autoZero"/>
        <c:crossBetween val="between"/>
      </c:valAx>
      <c:dateAx>
        <c:axId val="546113951"/>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4336705"/>
        <c:crosses val="autoZero"/>
        <c:auto val="1"/>
        <c:lblOffset val="100"/>
        <c:baseTimeUnit val="days"/>
      </c:dateAx>
      <c:valAx>
        <c:axId val="154336705"/>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546113951"/>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8</a:t>
            </a:r>
            <a:r>
              <a:rPr altLang="en-US"/>
              <a:t>店</a:t>
            </a:r>
            <a:endParaRPr lang="en-US" altLang="zh-CN"/>
          </a:p>
        </c:rich>
      </c:tx>
      <c:layout>
        <c:manualLayout>
          <c:xMode val="edge"/>
          <c:yMode val="edge"/>
          <c:x val="0.00397667020148462"/>
          <c:y val="0.0165052816901408"/>
        </c:manualLayout>
      </c:layout>
      <c:overlay val="0"/>
      <c:spPr>
        <a:noFill/>
        <a:ln>
          <a:noFill/>
        </a:ln>
        <a:effectLst/>
      </c:spPr>
    </c:title>
    <c:autoTitleDeleted val="0"/>
    <c:plotArea>
      <c:layout/>
      <c:barChart>
        <c:barDir val="col"/>
        <c:grouping val="clustered"/>
        <c:varyColors val="0"/>
        <c:ser>
          <c:idx val="0"/>
          <c:order val="0"/>
          <c:tx>
            <c:strRef>
              <c:f>趋势图45天!$A$173</c:f>
              <c:strCache>
                <c:ptCount val="1"/>
                <c:pt idx="0">
                  <c:v>总sku</c:v>
                </c:pt>
              </c:strCache>
            </c:strRef>
          </c:tx>
          <c:spPr>
            <a:solidFill>
              <a:schemeClr val="accent1"/>
            </a:solidFill>
            <a:ln>
              <a:noFill/>
            </a:ln>
            <a:effectLst/>
          </c:spPr>
          <c:invertIfNegative val="0"/>
          <c:dLbls>
            <c:delete val="1"/>
          </c:dLbls>
          <c:cat>
            <c:numRef>
              <c:f>趋势图45天!$N$172:$AQ$172</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趋势图45天!$N$173:$AQ$173</c:f>
              <c:numCache>
                <c:formatCode>General</c:formatCode>
                <c:ptCount val="7"/>
                <c:pt idx="0">
                  <c:v>111</c:v>
                </c:pt>
                <c:pt idx="1">
                  <c:v>112</c:v>
                </c:pt>
                <c:pt idx="2">
                  <c:v>112</c:v>
                </c:pt>
                <c:pt idx="3">
                  <c:v>108</c:v>
                </c:pt>
                <c:pt idx="4">
                  <c:v>101</c:v>
                </c:pt>
                <c:pt idx="5">
                  <c:v>94</c:v>
                </c:pt>
                <c:pt idx="6">
                  <c:v>96</c:v>
                </c:pt>
              </c:numCache>
            </c:numRef>
          </c:val>
        </c:ser>
        <c:ser>
          <c:idx val="5"/>
          <c:order val="5"/>
          <c:tx>
            <c:strRef>
              <c:f>趋势图45天!$A$178</c:f>
              <c:strCache>
                <c:ptCount val="1"/>
                <c:pt idx="0">
                  <c:v>正常sku</c:v>
                </c:pt>
              </c:strCache>
            </c:strRef>
          </c:tx>
          <c:spPr>
            <a:solidFill>
              <a:schemeClr val="accent6"/>
            </a:solidFill>
            <a:ln>
              <a:noFill/>
            </a:ln>
            <a:effectLst/>
          </c:spPr>
          <c:invertIfNegative val="0"/>
          <c:dLbls>
            <c:delete val="1"/>
          </c:dLbls>
          <c:cat>
            <c:numRef>
              <c:f>趋势图45天!$N$172:$AQ$172</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趋势图45天!$N$178:$AQ$178</c:f>
              <c:numCache>
                <c:formatCode>General</c:formatCode>
                <c:ptCount val="7"/>
                <c:pt idx="0">
                  <c:v>38</c:v>
                </c:pt>
                <c:pt idx="1">
                  <c:v>33</c:v>
                </c:pt>
                <c:pt idx="2">
                  <c:v>33</c:v>
                </c:pt>
                <c:pt idx="3">
                  <c:v>21</c:v>
                </c:pt>
                <c:pt idx="4">
                  <c:v>22</c:v>
                </c:pt>
                <c:pt idx="5">
                  <c:v>31</c:v>
                </c:pt>
                <c:pt idx="6">
                  <c:v>30</c:v>
                </c:pt>
              </c:numCache>
            </c:numRef>
          </c:val>
        </c:ser>
        <c:ser>
          <c:idx val="9"/>
          <c:order val="9"/>
          <c:tx>
            <c:strRef>
              <c:f>趋势图45天!$A$182</c:f>
              <c:strCache>
                <c:ptCount val="1"/>
                <c:pt idx="0">
                  <c:v>总库存数量</c:v>
                </c:pt>
              </c:strCache>
            </c:strRef>
          </c:tx>
          <c:spPr>
            <a:solidFill>
              <a:schemeClr val="accent4">
                <a:lumMod val="60000"/>
              </a:schemeClr>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趋势图45天!$N$172:$AQ$172</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趋势图45天!$N$182:$AQ$182</c:f>
              <c:numCache>
                <c:formatCode>General</c:formatCode>
                <c:ptCount val="7"/>
                <c:pt idx="0">
                  <c:v>3886</c:v>
                </c:pt>
                <c:pt idx="1">
                  <c:v>3683</c:v>
                </c:pt>
                <c:pt idx="2">
                  <c:v>3702</c:v>
                </c:pt>
                <c:pt idx="3">
                  <c:v>4513</c:v>
                </c:pt>
                <c:pt idx="4">
                  <c:v>4017</c:v>
                </c:pt>
                <c:pt idx="5">
                  <c:v>2596</c:v>
                </c:pt>
                <c:pt idx="6">
                  <c:v>3470</c:v>
                </c:pt>
              </c:numCache>
            </c:numRef>
          </c:val>
        </c:ser>
        <c:dLbls>
          <c:showLegendKey val="0"/>
          <c:showVal val="0"/>
          <c:showCatName val="0"/>
          <c:showSerName val="0"/>
          <c:showPercent val="0"/>
          <c:showBubbleSize val="0"/>
        </c:dLbls>
        <c:gapWidth val="150"/>
        <c:overlap val="0"/>
        <c:axId val="568990641"/>
        <c:axId val="362541594"/>
        <c:extLst>
          <c:ext xmlns:c15="http://schemas.microsoft.com/office/drawing/2012/chart" uri="{02D57815-91ED-43cb-92C2-25804820EDAC}">
            <c15:filteredBarSeries>
              <c15:ser>
                <c:idx val="1"/>
                <c:order val="1"/>
                <c:tx>
                  <c:strRef>
                    <c:extLst>
                      <c:ext uri="{02D57815-91ED-43cb-92C2-25804820EDAC}">
                        <c15:formulaRef>
                          <c15:sqref>趋势图45天!$A$174</c15:sqref>
                        </c15:formulaRef>
                      </c:ext>
                    </c:extLst>
                    <c:strCache>
                      <c:ptCount val="1"/>
                      <c:pt idx="0">
                        <c:v>有库存sku数量</c:v>
                      </c:pt>
                    </c:strCache>
                  </c:strRef>
                </c:tx>
                <c:spPr>
                  <a:solidFill>
                    <a:schemeClr val="accent2"/>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趋势图45天!$N$172:$AQ$172</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趋势图45天!$N$174:$AQ$174</c15:sqref>
                        </c15:formulaRef>
                      </c:ext>
                    </c:extLst>
                    <c:numCache>
                      <c:formatCode>General</c:formatCode>
                      <c:ptCount val="7"/>
                      <c:pt idx="0">
                        <c:v>103</c:v>
                      </c:pt>
                      <c:pt idx="1">
                        <c:v>102</c:v>
                      </c:pt>
                      <c:pt idx="2">
                        <c:v>104</c:v>
                      </c:pt>
                      <c:pt idx="3">
                        <c:v>90</c:v>
                      </c:pt>
                      <c:pt idx="4">
                        <c:v>86</c:v>
                      </c:pt>
                      <c:pt idx="5">
                        <c:v>85</c:v>
                      </c:pt>
                      <c:pt idx="6">
                        <c:v>81</c:v>
                      </c:pt>
                    </c:numCache>
                  </c:numRef>
                </c:val>
              </c15:ser>
            </c15:filteredBarSeries>
            <c15:filteredBarSeries>
              <c15:ser>
                <c:idx val="2"/>
                <c:order val="2"/>
                <c:tx>
                  <c:strRef>
                    <c:extLst>
                      <c:ext uri="{02D57815-91ED-43cb-92C2-25804820EDAC}">
                        <c15:formulaRef>
                          <c15:sqref>趋势图45天!$A$175</c15:sqref>
                        </c15:formulaRef>
                      </c:ext>
                    </c:extLst>
                    <c:strCache>
                      <c:ptCount val="1"/>
                      <c:pt idx="0">
                        <c:v>晓美</c:v>
                      </c:pt>
                    </c:strCache>
                  </c:strRef>
                </c:tx>
                <c:spPr>
                  <a:solidFill>
                    <a:schemeClr val="accent3"/>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趋势图45天!$N$172:$AQ$172</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趋势图45天!$N$175:$AQ$175</c15:sqref>
                        </c15:formulaRef>
                      </c:ext>
                    </c:extLst>
                    <c:numCache>
                      <c:formatCode>General</c:formatCode>
                      <c:ptCount val="7"/>
                      <c:pt idx="0">
                        <c:v>66</c:v>
                      </c:pt>
                      <c:pt idx="1">
                        <c:v>62</c:v>
                      </c:pt>
                      <c:pt idx="2">
                        <c:v>64</c:v>
                      </c:pt>
                      <c:pt idx="3">
                        <c:v>55</c:v>
                      </c:pt>
                      <c:pt idx="4">
                        <c:v>52</c:v>
                      </c:pt>
                      <c:pt idx="5">
                        <c:v>51</c:v>
                      </c:pt>
                      <c:pt idx="6">
                        <c:v>47</c:v>
                      </c:pt>
                    </c:numCache>
                  </c:numRef>
                </c:val>
              </c15:ser>
            </c15:filteredBarSeries>
            <c15:filteredBarSeries>
              <c15:ser>
                <c:idx val="3"/>
                <c:order val="3"/>
                <c:tx>
                  <c:strRef>
                    <c:extLst>
                      <c:ext uri="{02D57815-91ED-43cb-92C2-25804820EDAC}">
                        <c15:formulaRef>
                          <c15:sqref>趋势图45天!$A$176</c15:sqref>
                        </c15:formulaRef>
                      </c:ext>
                    </c:extLst>
                    <c:strCache>
                      <c:ptCount val="1"/>
                      <c:pt idx="0">
                        <c:v>秀青</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趋势图45天!$N$172:$AQ$172</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趋势图45天!$N$176:$AQ$176</c15:sqref>
                        </c15:formulaRef>
                      </c:ext>
                    </c:extLst>
                    <c:numCache>
                      <c:formatCode>General</c:formatCode>
                      <c:ptCount val="7"/>
                      <c:pt idx="0">
                        <c:v>37</c:v>
                      </c:pt>
                      <c:pt idx="1">
                        <c:v>40</c:v>
                      </c:pt>
                      <c:pt idx="2">
                        <c:v>40</c:v>
                      </c:pt>
                      <c:pt idx="3">
                        <c:v>35</c:v>
                      </c:pt>
                      <c:pt idx="4">
                        <c:v>34</c:v>
                      </c:pt>
                      <c:pt idx="5">
                        <c:v>34</c:v>
                      </c:pt>
                      <c:pt idx="6">
                        <c:v>34</c:v>
                      </c:pt>
                    </c:numCache>
                  </c:numRef>
                </c:val>
              </c15:ser>
            </c15:filteredBarSeries>
            <c15:filteredBarSeries>
              <c15:ser>
                <c:idx val="4"/>
                <c:order val="4"/>
                <c:tx>
                  <c:strRef>
                    <c:extLst>
                      <c:ext uri="{02D57815-91ED-43cb-92C2-25804820EDAC}">
                        <c15:formulaRef>
                          <c15:sqref>趋势图45天!$A$177</c15:sqref>
                        </c15:formulaRef>
                      </c:ext>
                    </c:extLst>
                    <c:strCache>
                      <c:ptCount val="1"/>
                      <c:pt idx="0">
                        <c:v>无库存+新品到货sku数量</c:v>
                      </c:pt>
                    </c:strCache>
                  </c:strRef>
                </c:tx>
                <c:spPr>
                  <a:solidFill>
                    <a:schemeClr val="accent5"/>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趋势图45天!$N$172:$AQ$172</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趋势图45天!$N$177:$AQ$177</c15:sqref>
                        </c15:formulaRef>
                      </c:ext>
                    </c:extLst>
                    <c:numCache>
                      <c:formatCode>General</c:formatCode>
                      <c:ptCount val="7"/>
                      <c:pt idx="0">
                        <c:v>3</c:v>
                      </c:pt>
                      <c:pt idx="1">
                        <c:v>4</c:v>
                      </c:pt>
                      <c:pt idx="2">
                        <c:v>5</c:v>
                      </c:pt>
                      <c:pt idx="3">
                        <c:v>1</c:v>
                      </c:pt>
                      <c:pt idx="4">
                        <c:v>1</c:v>
                      </c:pt>
                      <c:pt idx="5">
                        <c:v>0</c:v>
                      </c:pt>
                      <c:pt idx="6">
                        <c:v>6</c:v>
                      </c:pt>
                    </c:numCache>
                  </c:numRef>
                </c:val>
              </c15:ser>
            </c15:filteredBarSeries>
          </c:ext>
        </c:extLst>
      </c:barChart>
      <c:lineChart>
        <c:grouping val="standard"/>
        <c:varyColors val="0"/>
        <c:ser>
          <c:idx val="10"/>
          <c:order val="10"/>
          <c:tx>
            <c:strRef>
              <c:f>趋势图45天!$A$183</c:f>
              <c:strCache>
                <c:ptCount val="1"/>
                <c:pt idx="0">
                  <c:v>异常比例</c:v>
                </c:pt>
              </c:strCache>
            </c:strRef>
          </c:tx>
          <c:spPr>
            <a:ln w="28575" cap="rnd">
              <a:solidFill>
                <a:schemeClr val="accent5">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趋势图45天!$N$172:$AQ$172</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趋势图45天!$N$183:$AQ$183</c:f>
              <c:numCache>
                <c:formatCode>0.00%</c:formatCode>
                <c:ptCount val="7"/>
                <c:pt idx="0">
                  <c:v>0.631067961165048</c:v>
                </c:pt>
                <c:pt idx="1">
                  <c:v>0.676470588235294</c:v>
                </c:pt>
                <c:pt idx="2">
                  <c:v>0.682692307692308</c:v>
                </c:pt>
                <c:pt idx="3">
                  <c:v>0.766666666666667</c:v>
                </c:pt>
                <c:pt idx="4">
                  <c:v>0.744186046511628</c:v>
                </c:pt>
                <c:pt idx="5">
                  <c:v>0.635294117647059</c:v>
                </c:pt>
                <c:pt idx="6">
                  <c:v>0.62962962962963</c:v>
                </c:pt>
              </c:numCache>
            </c:numRef>
          </c:val>
          <c:smooth val="0"/>
        </c:ser>
        <c:dLbls>
          <c:showLegendKey val="0"/>
          <c:showVal val="1"/>
          <c:showCatName val="0"/>
          <c:showSerName val="0"/>
          <c:showPercent val="0"/>
          <c:showBubbleSize val="0"/>
        </c:dLbls>
        <c:marker val="0"/>
        <c:smooth val="0"/>
        <c:axId val="335644246"/>
        <c:axId val="139826031"/>
        <c:extLst>
          <c:ext xmlns:c15="http://schemas.microsoft.com/office/drawing/2012/chart" uri="{02D57815-91ED-43cb-92C2-25804820EDAC}">
            <c15:filteredLineSeries>
              <c15:ser>
                <c:idx val="6"/>
                <c:order val="6"/>
                <c:tx>
                  <c:strRef>
                    <c:extLst>
                      <c:ext uri="{02D57815-91ED-43cb-92C2-25804820EDAC}">
                        <c15:formulaRef>
                          <c15:sqref>趋势图45天!$A$179</c15:sqref>
                        </c15:formulaRef>
                      </c:ext>
                    </c:extLst>
                    <c:strCache>
                      <c:ptCount val="1"/>
                      <c:pt idx="0">
                        <c:v>晓美</c:v>
                      </c:pt>
                    </c:strCache>
                  </c:strRef>
                </c:tx>
                <c:spPr>
                  <a:ln w="28575" cap="rnd">
                    <a:solidFill>
                      <a:schemeClr val="accent1">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趋势图45天!$N$172:$AQ$172</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趋势图45天!$N$179:$AQ$179</c15:sqref>
                        </c15:formulaRef>
                      </c:ext>
                    </c:extLst>
                    <c:numCache>
                      <c:formatCode>General</c:formatCode>
                      <c:ptCount val="7"/>
                      <c:pt idx="0">
                        <c:v>28</c:v>
                      </c:pt>
                      <c:pt idx="1">
                        <c:v>23</c:v>
                      </c:pt>
                      <c:pt idx="2">
                        <c:v>24</c:v>
                      </c:pt>
                      <c:pt idx="3">
                        <c:v>14</c:v>
                      </c:pt>
                      <c:pt idx="4">
                        <c:v>19</c:v>
                      </c:pt>
                      <c:pt idx="5">
                        <c:v>24</c:v>
                      </c:pt>
                      <c:pt idx="6">
                        <c:v>22</c:v>
                      </c:pt>
                    </c:numCache>
                  </c:numRef>
                </c:val>
                <c:smooth val="0"/>
              </c15:ser>
            </c15:filteredLineSeries>
            <c15:filteredLineSeries>
              <c15:ser>
                <c:idx val="7"/>
                <c:order val="7"/>
                <c:tx>
                  <c:strRef>
                    <c:extLst>
                      <c:ext uri="{02D57815-91ED-43cb-92C2-25804820EDAC}">
                        <c15:formulaRef>
                          <c15:sqref>趋势图45天!$A$180</c15:sqref>
                        </c15:formulaRef>
                      </c:ext>
                    </c:extLst>
                    <c:strCache>
                      <c:ptCount val="1"/>
                      <c:pt idx="0">
                        <c:v>秀青</c:v>
                      </c:pt>
                    </c:strCache>
                  </c:strRef>
                </c:tx>
                <c:spPr>
                  <a:ln w="28575" cap="rnd">
                    <a:solidFill>
                      <a:schemeClr val="accent2">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趋势图45天!$N$172:$AQ$172</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趋势图45天!$N$180:$AQ$180</c15:sqref>
                        </c15:formulaRef>
                      </c:ext>
                    </c:extLst>
                    <c:numCache>
                      <c:formatCode>General</c:formatCode>
                      <c:ptCount val="7"/>
                      <c:pt idx="0">
                        <c:v>10</c:v>
                      </c:pt>
                      <c:pt idx="1">
                        <c:v>10</c:v>
                      </c:pt>
                      <c:pt idx="2">
                        <c:v>9</c:v>
                      </c:pt>
                      <c:pt idx="3">
                        <c:v>7</c:v>
                      </c:pt>
                      <c:pt idx="4">
                        <c:v>3</c:v>
                      </c:pt>
                      <c:pt idx="5">
                        <c:v>7</c:v>
                      </c:pt>
                      <c:pt idx="6">
                        <c:v>8</c:v>
                      </c:pt>
                    </c:numCache>
                  </c:numRef>
                </c:val>
                <c:smooth val="0"/>
              </c15:ser>
            </c15:filteredLineSeries>
            <c15:filteredLineSeries>
              <c15:ser>
                <c:idx val="8"/>
                <c:order val="8"/>
                <c:tx>
                  <c:strRef>
                    <c:extLst>
                      <c:ext uri="{02D57815-91ED-43cb-92C2-25804820EDAC}">
                        <c15:formulaRef>
                          <c15:sqref>趋势图45天!$A$181</c15:sqref>
                        </c15:formulaRef>
                      </c:ext>
                    </c:extLst>
                    <c:strCache>
                      <c:ptCount val="1"/>
                      <c:pt idx="0">
                        <c:v>正常比例</c:v>
                      </c:pt>
                    </c:strCache>
                  </c:strRef>
                </c:tx>
                <c:spPr>
                  <a:ln w="28575" cap="rnd">
                    <a:solidFill>
                      <a:schemeClr val="accent3">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趋势图45天!$N$172:$AQ$172</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趋势图45天!$N$181:$AQ$181</c15:sqref>
                        </c15:formulaRef>
                      </c:ext>
                    </c:extLst>
                    <c:numCache>
                      <c:formatCode>0.00%</c:formatCode>
                      <c:ptCount val="7"/>
                      <c:pt idx="0">
                        <c:v>0.368932038834951</c:v>
                      </c:pt>
                      <c:pt idx="1">
                        <c:v>0.323529411764706</c:v>
                      </c:pt>
                      <c:pt idx="2">
                        <c:v>0.317307692307692</c:v>
                      </c:pt>
                      <c:pt idx="3">
                        <c:v>0.233333333333333</c:v>
                      </c:pt>
                      <c:pt idx="4">
                        <c:v>0.255813953488372</c:v>
                      </c:pt>
                      <c:pt idx="5">
                        <c:v>0.364705882352941</c:v>
                      </c:pt>
                      <c:pt idx="6">
                        <c:v>0.37037037037037</c:v>
                      </c:pt>
                    </c:numCache>
                  </c:numRef>
                </c:val>
                <c:smooth val="0"/>
              </c15:ser>
            </c15:filteredLineSeries>
          </c:ext>
        </c:extLst>
      </c:lineChart>
      <c:catAx>
        <c:axId val="56899064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mn-lt"/>
                <a:ea typeface="+mn-ea"/>
                <a:cs typeface="+mn-cs"/>
              </a:defRPr>
            </a:pPr>
          </a:p>
        </c:txPr>
        <c:crossAx val="362541594"/>
        <c:crosses val="autoZero"/>
        <c:auto val="0"/>
        <c:lblAlgn val="ctr"/>
        <c:lblOffset val="100"/>
        <c:noMultiLvlLbl val="0"/>
      </c:catAx>
      <c:valAx>
        <c:axId val="36254159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568990641"/>
        <c:crosses val="autoZero"/>
        <c:crossBetween val="between"/>
      </c:valAx>
      <c:dateAx>
        <c:axId val="335644246"/>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39826031"/>
        <c:crosses val="autoZero"/>
        <c:auto val="1"/>
        <c:lblOffset val="100"/>
        <c:baseTimeUnit val="days"/>
      </c:dateAx>
      <c:valAx>
        <c:axId val="139826031"/>
        <c:scaling>
          <c:orientation val="minMax"/>
        </c:scaling>
        <c:delete val="0"/>
        <c:axPos val="r"/>
        <c:numFmt formatCode="0.00%" sourceLinked="0"/>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335644246"/>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7</a:t>
            </a:r>
            <a:r>
              <a:rPr altLang="en-US"/>
              <a:t>店</a:t>
            </a:r>
            <a:endParaRPr lang="en-US" altLang="zh-CN"/>
          </a:p>
        </c:rich>
      </c:tx>
      <c:layout>
        <c:manualLayout>
          <c:xMode val="edge"/>
          <c:yMode val="edge"/>
          <c:x val="0.00416666666666667"/>
          <c:y val="0.0486111111111111"/>
        </c:manualLayout>
      </c:layout>
      <c:overlay val="0"/>
      <c:spPr>
        <a:noFill/>
        <a:ln>
          <a:noFill/>
        </a:ln>
        <a:effectLst/>
      </c:spPr>
    </c:title>
    <c:autoTitleDeleted val="0"/>
    <c:plotArea>
      <c:layout/>
      <c:barChart>
        <c:barDir val="col"/>
        <c:grouping val="clustered"/>
        <c:varyColors val="0"/>
        <c:ser>
          <c:idx val="0"/>
          <c:order val="0"/>
          <c:tx>
            <c:strRef>
              <c:f>趋势图45天!$A$149</c:f>
              <c:strCache>
                <c:ptCount val="1"/>
                <c:pt idx="0">
                  <c:v>总sku</c:v>
                </c:pt>
              </c:strCache>
            </c:strRef>
          </c:tx>
          <c:spPr>
            <a:solidFill>
              <a:schemeClr val="accent1"/>
            </a:solidFill>
            <a:ln>
              <a:noFill/>
            </a:ln>
            <a:effectLst/>
          </c:spPr>
          <c:invertIfNegative val="0"/>
          <c:dLbls>
            <c:delete val="1"/>
          </c:dLbls>
          <c:cat>
            <c:numRef>
              <c:f>趋势图45天!$K$148:$AQ$148</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趋势图45天!$K$149:$AQ$149</c:f>
              <c:numCache>
                <c:formatCode>General</c:formatCode>
                <c:ptCount val="7"/>
                <c:pt idx="0">
                  <c:v>183</c:v>
                </c:pt>
                <c:pt idx="1">
                  <c:v>182</c:v>
                </c:pt>
                <c:pt idx="2">
                  <c:v>202</c:v>
                </c:pt>
                <c:pt idx="3">
                  <c:v>201</c:v>
                </c:pt>
                <c:pt idx="4">
                  <c:v>200</c:v>
                </c:pt>
                <c:pt idx="5">
                  <c:v>214</c:v>
                </c:pt>
                <c:pt idx="6">
                  <c:v>197</c:v>
                </c:pt>
              </c:numCache>
            </c:numRef>
          </c:val>
        </c:ser>
        <c:ser>
          <c:idx val="5"/>
          <c:order val="5"/>
          <c:tx>
            <c:strRef>
              <c:f>趋势图45天!$A$154</c:f>
              <c:strCache>
                <c:ptCount val="1"/>
                <c:pt idx="0">
                  <c:v>正常sku</c:v>
                </c:pt>
              </c:strCache>
            </c:strRef>
          </c:tx>
          <c:spPr>
            <a:solidFill>
              <a:schemeClr val="accent6"/>
            </a:solidFill>
            <a:ln>
              <a:noFill/>
            </a:ln>
            <a:effectLst/>
          </c:spPr>
          <c:invertIfNegative val="0"/>
          <c:dLbls>
            <c:delete val="1"/>
          </c:dLbls>
          <c:cat>
            <c:numRef>
              <c:f>趋势图45天!$K$148:$AQ$148</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趋势图45天!$K$154:$AQ$154</c:f>
              <c:numCache>
                <c:formatCode>General</c:formatCode>
                <c:ptCount val="7"/>
                <c:pt idx="0">
                  <c:v>49</c:v>
                </c:pt>
                <c:pt idx="1">
                  <c:v>54</c:v>
                </c:pt>
                <c:pt idx="2">
                  <c:v>47</c:v>
                </c:pt>
                <c:pt idx="3">
                  <c:v>28</c:v>
                </c:pt>
                <c:pt idx="4">
                  <c:v>43</c:v>
                </c:pt>
                <c:pt idx="5">
                  <c:v>53</c:v>
                </c:pt>
                <c:pt idx="6">
                  <c:v>40</c:v>
                </c:pt>
              </c:numCache>
            </c:numRef>
          </c:val>
        </c:ser>
        <c:ser>
          <c:idx val="9"/>
          <c:order val="9"/>
          <c:tx>
            <c:strRef>
              <c:f>趋势图45天!$A$158</c:f>
              <c:strCache>
                <c:ptCount val="1"/>
                <c:pt idx="0">
                  <c:v>总库存数量</c:v>
                </c:pt>
              </c:strCache>
            </c:strRef>
          </c:tx>
          <c:spPr>
            <a:solidFill>
              <a:schemeClr val="accent4">
                <a:lumMod val="60000"/>
              </a:schemeClr>
            </a:solidFill>
            <a:ln>
              <a:noFill/>
            </a:ln>
            <a:effectLst/>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趋势图45天!$K$148:$AQ$148</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趋势图45天!$K$158:$AQ$158</c:f>
              <c:numCache>
                <c:formatCode>General</c:formatCode>
                <c:ptCount val="7"/>
                <c:pt idx="0">
                  <c:v>8360</c:v>
                </c:pt>
                <c:pt idx="1">
                  <c:v>7576</c:v>
                </c:pt>
                <c:pt idx="2">
                  <c:v>9495</c:v>
                </c:pt>
                <c:pt idx="3">
                  <c:v>9375</c:v>
                </c:pt>
                <c:pt idx="4">
                  <c:v>8770</c:v>
                </c:pt>
                <c:pt idx="5">
                  <c:v>9736</c:v>
                </c:pt>
                <c:pt idx="6">
                  <c:v>8884</c:v>
                </c:pt>
              </c:numCache>
            </c:numRef>
          </c:val>
        </c:ser>
        <c:dLbls>
          <c:showLegendKey val="0"/>
          <c:showVal val="0"/>
          <c:showCatName val="0"/>
          <c:showSerName val="0"/>
          <c:showPercent val="0"/>
          <c:showBubbleSize val="0"/>
        </c:dLbls>
        <c:gapWidth val="150"/>
        <c:overlap val="0"/>
        <c:axId val="401562663"/>
        <c:axId val="439503578"/>
        <c:extLst>
          <c:ext xmlns:c15="http://schemas.microsoft.com/office/drawing/2012/chart" uri="{02D57815-91ED-43cb-92C2-25804820EDAC}">
            <c15:filteredBarSeries>
              <c15:ser>
                <c:idx val="1"/>
                <c:order val="1"/>
                <c:tx>
                  <c:strRef>
                    <c:extLst>
                      <c:ext uri="{02D57815-91ED-43cb-92C2-25804820EDAC}">
                        <c15:formulaRef>
                          <c15:sqref>趋势图45天!$A$150</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趋势图45天!$K$148:$AQ$148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趋势图45天!$K$150:$AQ$150</c15:sqref>
                        </c15:formulaRef>
                      </c:ext>
                    </c:extLst>
                    <c:numCache>
                      <c:formatCode>General</c:formatCode>
                      <c:ptCount val="7"/>
                      <c:pt idx="0">
                        <c:v>183</c:v>
                      </c:pt>
                      <c:pt idx="1">
                        <c:v>182</c:v>
                      </c:pt>
                      <c:pt idx="2">
                        <c:v>181</c:v>
                      </c:pt>
                      <c:pt idx="3">
                        <c:v>181</c:v>
                      </c:pt>
                      <c:pt idx="4">
                        <c:v>180</c:v>
                      </c:pt>
                      <c:pt idx="5">
                        <c:v>198</c:v>
                      </c:pt>
                      <c:pt idx="6">
                        <c:v>187</c:v>
                      </c:pt>
                    </c:numCache>
                  </c:numRef>
                </c:val>
              </c15:ser>
            </c15:filteredBarSeries>
            <c15:filteredBarSeries>
              <c15:ser>
                <c:idx val="2"/>
                <c:order val="2"/>
                <c:tx>
                  <c:strRef>
                    <c:extLst>
                      <c:ext uri="{02D57815-91ED-43cb-92C2-25804820EDAC}">
                        <c15:formulaRef>
                          <c15:sqref>趋势图45天!$A$151</c15:sqref>
                        </c15:formulaRef>
                      </c:ext>
                    </c:extLst>
                    <c:strCache>
                      <c:ptCount val="1"/>
                      <c:pt idx="0">
                        <c:v>美珠</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趋势图45天!$K$148:$AQ$148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趋势图45天!$K$151:$AQ$151</c15:sqref>
                        </c15:formulaRef>
                      </c:ext>
                    </c:extLst>
                    <c:numCache>
                      <c:formatCode>General</c:formatCode>
                      <c:ptCount val="7"/>
                      <c:pt idx="0">
                        <c:v>179</c:v>
                      </c:pt>
                      <c:pt idx="1">
                        <c:v>178</c:v>
                      </c:pt>
                      <c:pt idx="2">
                        <c:v>177</c:v>
                      </c:pt>
                      <c:pt idx="3">
                        <c:v>177</c:v>
                      </c:pt>
                      <c:pt idx="4">
                        <c:v>176</c:v>
                      </c:pt>
                      <c:pt idx="5">
                        <c:v>173</c:v>
                      </c:pt>
                      <c:pt idx="6">
                        <c:v>152</c:v>
                      </c:pt>
                    </c:numCache>
                  </c:numRef>
                </c:val>
              </c15:ser>
            </c15:filteredBarSeries>
            <c15:filteredBarSeries>
              <c15:ser>
                <c:idx val="3"/>
                <c:order val="3"/>
                <c:tx>
                  <c:strRef>
                    <c:extLst>
                      <c:ext uri="{02D57815-91ED-43cb-92C2-25804820EDAC}">
                        <c15:formulaRef>
                          <c15:sqref>趋势图45天!$A$152</c15:sqref>
                        </c15:formulaRef>
                      </c:ext>
                    </c:extLst>
                    <c:strCache>
                      <c:ptCount val="1"/>
                      <c:pt idx="0">
                        <c:v>欣彤</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趋势图45天!$K$148:$AQ$148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趋势图45天!$K$152:$AQ$152</c15:sqref>
                        </c15:formulaRef>
                      </c:ext>
                    </c:extLst>
                    <c:numCache>
                      <c:formatCode>General</c:formatCode>
                      <c:ptCount val="7"/>
                      <c:pt idx="0">
                        <c:v>4</c:v>
                      </c:pt>
                      <c:pt idx="1">
                        <c:v>4</c:v>
                      </c:pt>
                      <c:pt idx="2">
                        <c:v>4</c:v>
                      </c:pt>
                      <c:pt idx="3">
                        <c:v>4</c:v>
                      </c:pt>
                      <c:pt idx="4">
                        <c:v>4</c:v>
                      </c:pt>
                      <c:pt idx="5">
                        <c:v>25</c:v>
                      </c:pt>
                      <c:pt idx="6">
                        <c:v>35</c:v>
                      </c:pt>
                    </c:numCache>
                  </c:numRef>
                </c:val>
              </c15:ser>
            </c15:filteredBarSeries>
          </c:ext>
        </c:extLst>
      </c:barChart>
      <c:lineChart>
        <c:grouping val="standard"/>
        <c:varyColors val="0"/>
        <c:dLbls>
          <c:showLegendKey val="0"/>
          <c:showVal val="0"/>
          <c:showCatName val="0"/>
          <c:showSerName val="0"/>
          <c:showPercent val="0"/>
          <c:showBubbleSize val="0"/>
        </c:dLbls>
        <c:marker val="0"/>
        <c:smooth val="0"/>
        <c:axId val="401562663"/>
        <c:axId val="439503578"/>
        <c:extLst>
          <c:ext xmlns:c15="http://schemas.microsoft.com/office/drawing/2012/chart" uri="{02D57815-91ED-43cb-92C2-25804820EDAC}">
            <c15:filteredLineSeries>
              <c15:ser>
                <c:idx val="4"/>
                <c:order val="4"/>
                <c:tx>
                  <c:strRef>
                    <c:extLst>
                      <c:ext uri="{02D57815-91ED-43cb-92C2-25804820EDAC}">
                        <c15:formulaRef>
                          <c15:sqref>趋势图45天!$A$153</c15:sqref>
                        </c15:formulaRef>
                      </c:ext>
                    </c:extLst>
                    <c:strCache>
                      <c:ptCount val="1"/>
                      <c:pt idx="0">
                        <c:v>无库存+新品到货sku数量</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趋势图45天!$K$148:$AQ$148</c15:sqref>
                        </c15:formulaRef>
                      </c:ext>
                    </c:extLst>
                    <c:numCache>
                      <c:ptCount val="0"/>
                    </c:numCache>
                  </c:numRef>
                </c:cat>
                <c:val>
                  <c:numRef>
                    <c:extLst>
                      <c:ext uri="{02D57815-91ED-43cb-92C2-25804820EDAC}">
                        <c15:formulaRef>
                          <c15:sqref>趋势图45天!$K$153:$AQ$153</c15:sqref>
                        </c15:formulaRef>
                      </c:ext>
                    </c:extLst>
                    <c:numCache>
                      <c:formatCode>General</c:formatCode>
                      <c:ptCount val="7"/>
                      <c:pt idx="0">
                        <c:v>0</c:v>
                      </c:pt>
                      <c:pt idx="1">
                        <c:v>0</c:v>
                      </c:pt>
                      <c:pt idx="2">
                        <c:v>21</c:v>
                      </c:pt>
                      <c:pt idx="3">
                        <c:v>20</c:v>
                      </c:pt>
                      <c:pt idx="4">
                        <c:v>20</c:v>
                      </c:pt>
                      <c:pt idx="5">
                        <c:v>13</c:v>
                      </c:pt>
                      <c:pt idx="6">
                        <c:v>10</c:v>
                      </c:pt>
                    </c:numCache>
                  </c:numRef>
                </c:val>
                <c:smooth val="0"/>
              </c15:ser>
            </c15:filteredLineSeries>
          </c:ext>
        </c:extLst>
      </c:lineChart>
      <c:lineChart>
        <c:grouping val="standard"/>
        <c:varyColors val="0"/>
        <c:ser>
          <c:idx val="10"/>
          <c:order val="10"/>
          <c:tx>
            <c:strRef>
              <c:f>趋势图45天!$A$159</c:f>
              <c:strCache>
                <c:ptCount val="1"/>
                <c:pt idx="0">
                  <c:v>异常比例</c:v>
                </c:pt>
              </c:strCache>
            </c:strRef>
          </c:tx>
          <c:spPr>
            <a:ln w="28575" cap="rnd">
              <a:solidFill>
                <a:schemeClr val="accent5">
                  <a:lumMod val="60000"/>
                </a:schemeClr>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趋势图45天!$K$148:$AQ$148</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趋势图45天!$K$159:$AQ$159</c:f>
              <c:numCache>
                <c:formatCode>0.00%</c:formatCode>
                <c:ptCount val="7"/>
                <c:pt idx="0">
                  <c:v>0.73224043715847</c:v>
                </c:pt>
                <c:pt idx="1">
                  <c:v>0.703296703296703</c:v>
                </c:pt>
                <c:pt idx="2">
                  <c:v>0.740331491712707</c:v>
                </c:pt>
                <c:pt idx="3">
                  <c:v>0.845303867403315</c:v>
                </c:pt>
                <c:pt idx="4">
                  <c:v>0.761111111111111</c:v>
                </c:pt>
                <c:pt idx="5">
                  <c:v>0.732323232323232</c:v>
                </c:pt>
                <c:pt idx="6">
                  <c:v>0.786096256684492</c:v>
                </c:pt>
              </c:numCache>
            </c:numRef>
          </c:val>
          <c:smooth val="0"/>
        </c:ser>
        <c:dLbls>
          <c:showLegendKey val="0"/>
          <c:showVal val="0"/>
          <c:showCatName val="0"/>
          <c:showSerName val="0"/>
          <c:showPercent val="0"/>
          <c:showBubbleSize val="0"/>
        </c:dLbls>
        <c:marker val="0"/>
        <c:smooth val="0"/>
        <c:axId val="295584526"/>
        <c:axId val="901047321"/>
        <c:extLst>
          <c:ext xmlns:c15="http://schemas.microsoft.com/office/drawing/2012/chart" uri="{02D57815-91ED-43cb-92C2-25804820EDAC}">
            <c15:filteredLineSeries>
              <c15:ser>
                <c:idx val="6"/>
                <c:order val="6"/>
                <c:tx>
                  <c:strRef>
                    <c:extLst>
                      <c:ext uri="{02D57815-91ED-43cb-92C2-25804820EDAC}">
                        <c15:formulaRef>
                          <c15:sqref>趋势图45天!$A$155</c15:sqref>
                        </c15:formulaRef>
                      </c:ext>
                    </c:extLst>
                    <c:strCache>
                      <c:ptCount val="1"/>
                      <c:pt idx="0">
                        <c:v>美珠</c:v>
                      </c:pt>
                    </c:strCache>
                  </c:strRef>
                </c:tx>
                <c:spPr>
                  <a:ln w="28575" cap="rnd">
                    <a:solidFill>
                      <a:schemeClr val="accent1">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趋势图45天!$K$148:$AQ$148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趋势图45天!$K$155:$AQ$155</c15:sqref>
                        </c15:formulaRef>
                      </c:ext>
                    </c:extLst>
                    <c:numCache>
                      <c:formatCode>General</c:formatCode>
                      <c:ptCount val="7"/>
                      <c:pt idx="0">
                        <c:v>47</c:v>
                      </c:pt>
                      <c:pt idx="1">
                        <c:v>52</c:v>
                      </c:pt>
                      <c:pt idx="2">
                        <c:v>46</c:v>
                      </c:pt>
                      <c:pt idx="3">
                        <c:v>28</c:v>
                      </c:pt>
                      <c:pt idx="4">
                        <c:v>43</c:v>
                      </c:pt>
                      <c:pt idx="5">
                        <c:v>45</c:v>
                      </c:pt>
                      <c:pt idx="6">
                        <c:v>34</c:v>
                      </c:pt>
                    </c:numCache>
                  </c:numRef>
                </c:val>
                <c:smooth val="0"/>
              </c15:ser>
            </c15:filteredLineSeries>
            <c15:filteredLineSeries>
              <c15:ser>
                <c:idx val="7"/>
                <c:order val="7"/>
                <c:tx>
                  <c:strRef>
                    <c:extLst>
                      <c:ext uri="{02D57815-91ED-43cb-92C2-25804820EDAC}">
                        <c15:formulaRef>
                          <c15:sqref>趋势图45天!$A$156</c15:sqref>
                        </c15:formulaRef>
                      </c:ext>
                    </c:extLst>
                    <c:strCache>
                      <c:ptCount val="1"/>
                      <c:pt idx="0">
                        <c:v>欣彤</c:v>
                      </c:pt>
                    </c:strCache>
                  </c:strRef>
                </c:tx>
                <c:spPr>
                  <a:ln w="28575" cap="rnd">
                    <a:solidFill>
                      <a:schemeClr val="accent2">
                        <a:lumMod val="60000"/>
                      </a:schemeClr>
                    </a:solidFill>
                    <a:round/>
                  </a:ln>
                  <a:effectLst/>
                </c:spPr>
                <c:marker>
                  <c:symbol val="none"/>
                </c:marker>
                <c:dLbls>
                  <c:delete val="1"/>
                </c:dLbls>
                <c:cat>
                  <c:numRef>
                    <c:extLst>
                      <c:ext uri="{02D57815-91ED-43cb-92C2-25804820EDAC}">
                        <c15:fullRef>
                          <c15:sqref/>
                        </c15:fullRef>
                        <c15:formulaRef>
                          <c15:sqref>趋势图45天!$K$148:$AQ$148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趋势图45天!$K$156:$AQ$156</c15:sqref>
                        </c15:formulaRef>
                      </c:ext>
                    </c:extLst>
                    <c:numCache>
                      <c:formatCode>General</c:formatCode>
                      <c:ptCount val="7"/>
                      <c:pt idx="0">
                        <c:v>2</c:v>
                      </c:pt>
                      <c:pt idx="1">
                        <c:v>2</c:v>
                      </c:pt>
                      <c:pt idx="2">
                        <c:v>1</c:v>
                      </c:pt>
                      <c:pt idx="3">
                        <c:v>0</c:v>
                      </c:pt>
                      <c:pt idx="4">
                        <c:v>0</c:v>
                      </c:pt>
                      <c:pt idx="5">
                        <c:v>8</c:v>
                      </c:pt>
                      <c:pt idx="6">
                        <c:v>6</c:v>
                      </c:pt>
                    </c:numCache>
                  </c:numRef>
                </c:val>
                <c:smooth val="0"/>
              </c15:ser>
            </c15:filteredLineSeries>
            <c15:filteredLineSeries>
              <c15:ser>
                <c:idx val="8"/>
                <c:order val="8"/>
                <c:tx>
                  <c:strRef>
                    <c:extLst>
                      <c:ext uri="{02D57815-91ED-43cb-92C2-25804820EDAC}">
                        <c15:formulaRef>
                          <c15:sqref>趋势图45天!$A$157</c15:sqref>
                        </c15:formulaRef>
                      </c:ext>
                    </c:extLst>
                    <c:strCache>
                      <c:ptCount val="1"/>
                      <c:pt idx="0">
                        <c:v>正常比例</c:v>
                      </c:pt>
                    </c:strCache>
                  </c:strRef>
                </c:tx>
                <c:spPr>
                  <a:ln w="28575" cap="rnd">
                    <a:solidFill>
                      <a:schemeClr val="accent3">
                        <a:lumMod val="60000"/>
                      </a:schemeClr>
                    </a:solidFill>
                    <a:round/>
                  </a:ln>
                  <a:effectLst/>
                </c:spPr>
                <c:marker>
                  <c:symbol val="none"/>
                </c:marker>
                <c:dLbls>
                  <c:delete val="1"/>
                </c:dLbls>
                <c:cat>
                  <c:numRef>
                    <c:extLst>
                      <c:ext uri="{02D57815-91ED-43cb-92C2-25804820EDAC}">
                        <c15:fullRef>
                          <c15:sqref/>
                        </c15:fullRef>
                        <c15:formulaRef>
                          <c15:sqref>趋势图45天!$K$148:$AQ$148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趋势图45天!$K$157:$AQ$157</c15:sqref>
                        </c15:formulaRef>
                      </c:ext>
                    </c:extLst>
                    <c:numCache>
                      <c:formatCode>0.00%</c:formatCode>
                      <c:ptCount val="7"/>
                      <c:pt idx="0">
                        <c:v>0.26775956284153</c:v>
                      </c:pt>
                      <c:pt idx="1">
                        <c:v>0.296703296703297</c:v>
                      </c:pt>
                      <c:pt idx="2">
                        <c:v>0.259668508287293</c:v>
                      </c:pt>
                      <c:pt idx="3">
                        <c:v>0.154696132596685</c:v>
                      </c:pt>
                      <c:pt idx="4">
                        <c:v>0.238888888888889</c:v>
                      </c:pt>
                      <c:pt idx="5">
                        <c:v>0.267676767676768</c:v>
                      </c:pt>
                      <c:pt idx="6">
                        <c:v>0.213903743315508</c:v>
                      </c:pt>
                    </c:numCache>
                  </c:numRef>
                </c:val>
                <c:smooth val="0"/>
              </c15:ser>
            </c15:filteredLineSeries>
          </c:ext>
        </c:extLst>
      </c:lineChart>
      <c:catAx>
        <c:axId val="40156266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439503578"/>
        <c:crosses val="autoZero"/>
        <c:auto val="0"/>
        <c:lblAlgn val="ctr"/>
        <c:lblOffset val="100"/>
        <c:noMultiLvlLbl val="0"/>
      </c:catAx>
      <c:valAx>
        <c:axId val="43950357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401562663"/>
        <c:crosses val="autoZero"/>
        <c:crossBetween val="between"/>
      </c:valAx>
      <c:dateAx>
        <c:axId val="295584526"/>
        <c:scaling>
          <c:orientation val="minMax"/>
        </c:scaling>
        <c:delete val="1"/>
        <c:axPos val="b"/>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901047321"/>
        <c:crosses val="autoZero"/>
        <c:auto val="1"/>
        <c:lblOffset val="100"/>
        <c:baseTimeUnit val="days"/>
      </c:dateAx>
      <c:valAx>
        <c:axId val="901047321"/>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295584526"/>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9</a:t>
            </a:r>
            <a:r>
              <a:rPr altLang="en-US"/>
              <a:t>店</a:t>
            </a:r>
            <a:endParaRPr lang="en-US" altLang="zh-CN"/>
          </a:p>
        </c:rich>
      </c:tx>
      <c:layout>
        <c:manualLayout>
          <c:xMode val="edge"/>
          <c:yMode val="edge"/>
          <c:x val="0.0413366680561345"/>
          <c:y val="0.0252365930599369"/>
        </c:manualLayout>
      </c:layout>
      <c:overlay val="0"/>
      <c:spPr>
        <a:noFill/>
        <a:ln>
          <a:noFill/>
        </a:ln>
        <a:effectLst/>
      </c:spPr>
    </c:title>
    <c:autoTitleDeleted val="0"/>
    <c:plotArea>
      <c:layout/>
      <c:barChart>
        <c:barDir val="col"/>
        <c:grouping val="clustered"/>
        <c:varyColors val="0"/>
        <c:ser>
          <c:idx val="0"/>
          <c:order val="0"/>
          <c:tx>
            <c:strRef>
              <c:f>趋势图45天!$A$199</c:f>
              <c:strCache>
                <c:ptCount val="1"/>
                <c:pt idx="0">
                  <c:v>总sku</c:v>
                </c:pt>
              </c:strCache>
            </c:strRef>
          </c:tx>
          <c:spPr>
            <a:solidFill>
              <a:schemeClr val="accent1"/>
            </a:solidFill>
            <a:ln>
              <a:noFill/>
            </a:ln>
            <a:effectLst/>
          </c:spPr>
          <c:invertIfNegative val="0"/>
          <c:dLbls>
            <c:delete val="1"/>
          </c:dLbls>
          <c:cat>
            <c:numRef>
              <c:f>趋势图45天!$R$198:$AQ$198</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趋势图45天!$R$199:$AQ$199</c:f>
              <c:numCache>
                <c:formatCode>General</c:formatCode>
                <c:ptCount val="7"/>
                <c:pt idx="0">
                  <c:v>91</c:v>
                </c:pt>
                <c:pt idx="1">
                  <c:v>91</c:v>
                </c:pt>
                <c:pt idx="2">
                  <c:v>91</c:v>
                </c:pt>
                <c:pt idx="3">
                  <c:v>98</c:v>
                </c:pt>
                <c:pt idx="4">
                  <c:v>99</c:v>
                </c:pt>
                <c:pt idx="5">
                  <c:v>115</c:v>
                </c:pt>
                <c:pt idx="6">
                  <c:v>115</c:v>
                </c:pt>
              </c:numCache>
            </c:numRef>
          </c:val>
        </c:ser>
        <c:ser>
          <c:idx val="5"/>
          <c:order val="5"/>
          <c:tx>
            <c:strRef>
              <c:f>趋势图45天!$A$204</c:f>
              <c:strCache>
                <c:ptCount val="1"/>
                <c:pt idx="0">
                  <c:v>正常sku</c:v>
                </c:pt>
              </c:strCache>
            </c:strRef>
          </c:tx>
          <c:spPr>
            <a:solidFill>
              <a:schemeClr val="accent6"/>
            </a:solidFill>
            <a:ln>
              <a:noFill/>
            </a:ln>
            <a:effectLst/>
          </c:spPr>
          <c:invertIfNegative val="0"/>
          <c:dLbls>
            <c:delete val="1"/>
          </c:dLbls>
          <c:cat>
            <c:numRef>
              <c:f>趋势图45天!$R$198:$AQ$198</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趋势图45天!$R$204:$AQ$204</c:f>
              <c:numCache>
                <c:formatCode>General</c:formatCode>
                <c:ptCount val="7"/>
                <c:pt idx="0">
                  <c:v>24</c:v>
                </c:pt>
                <c:pt idx="1">
                  <c:v>26</c:v>
                </c:pt>
                <c:pt idx="2">
                  <c:v>26</c:v>
                </c:pt>
                <c:pt idx="3">
                  <c:v>27</c:v>
                </c:pt>
                <c:pt idx="4">
                  <c:v>28</c:v>
                </c:pt>
                <c:pt idx="5">
                  <c:v>29</c:v>
                </c:pt>
                <c:pt idx="6">
                  <c:v>30</c:v>
                </c:pt>
              </c:numCache>
            </c:numRef>
          </c:val>
        </c:ser>
        <c:ser>
          <c:idx val="9"/>
          <c:order val="9"/>
          <c:tx>
            <c:strRef>
              <c:f>趋势图45天!$A$208</c:f>
              <c:strCache>
                <c:ptCount val="1"/>
                <c:pt idx="0">
                  <c:v>总库存数量</c:v>
                </c:pt>
              </c:strCache>
            </c:strRef>
          </c:tx>
          <c:spPr>
            <a:solidFill>
              <a:schemeClr val="accent4">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趋势图45天!$R$198:$AQ$198</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趋势图45天!$R$208:$AQ$208</c:f>
              <c:numCache>
                <c:formatCode>General</c:formatCode>
                <c:ptCount val="7"/>
                <c:pt idx="0">
                  <c:v>4687</c:v>
                </c:pt>
                <c:pt idx="1">
                  <c:v>4518</c:v>
                </c:pt>
                <c:pt idx="2">
                  <c:v>4551</c:v>
                </c:pt>
                <c:pt idx="3">
                  <c:v>4419</c:v>
                </c:pt>
                <c:pt idx="4">
                  <c:v>4334</c:v>
                </c:pt>
                <c:pt idx="5">
                  <c:v>4442</c:v>
                </c:pt>
                <c:pt idx="6">
                  <c:v>4062</c:v>
                </c:pt>
              </c:numCache>
            </c:numRef>
          </c:val>
        </c:ser>
        <c:dLbls>
          <c:showLegendKey val="0"/>
          <c:showVal val="0"/>
          <c:showCatName val="0"/>
          <c:showSerName val="0"/>
          <c:showPercent val="0"/>
          <c:showBubbleSize val="0"/>
        </c:dLbls>
        <c:gapWidth val="150"/>
        <c:overlap val="0"/>
        <c:axId val="937211079"/>
        <c:axId val="82109050"/>
        <c:extLst>
          <c:ext xmlns:c15="http://schemas.microsoft.com/office/drawing/2012/chart" uri="{02D57815-91ED-43cb-92C2-25804820EDAC}">
            <c15:filteredBarSeries>
              <c15:ser>
                <c:idx val="1"/>
                <c:order val="1"/>
                <c:tx>
                  <c:strRef>
                    <c:extLst>
                      <c:ext uri="{02D57815-91ED-43cb-92C2-25804820EDAC}">
                        <c15:formulaRef>
                          <c15:sqref>趋势图45天!$A$200</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趋势图45天!$R$198:$AQ$198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趋势图45天!$R$200:$AQ$200</c15:sqref>
                        </c15:formulaRef>
                      </c:ext>
                    </c:extLst>
                    <c:numCache>
                      <c:formatCode>General</c:formatCode>
                      <c:ptCount val="7"/>
                      <c:pt idx="0">
                        <c:v>91</c:v>
                      </c:pt>
                      <c:pt idx="1">
                        <c:v>91</c:v>
                      </c:pt>
                      <c:pt idx="2">
                        <c:v>91</c:v>
                      </c:pt>
                      <c:pt idx="3">
                        <c:v>84</c:v>
                      </c:pt>
                      <c:pt idx="4">
                        <c:v>85</c:v>
                      </c:pt>
                      <c:pt idx="5">
                        <c:v>82</c:v>
                      </c:pt>
                      <c:pt idx="6">
                        <c:v>86</c:v>
                      </c:pt>
                    </c:numCache>
                  </c:numRef>
                </c:val>
              </c15:ser>
            </c15:filteredBarSeries>
            <c15:filteredBarSeries>
              <c15:ser>
                <c:idx val="2"/>
                <c:order val="2"/>
                <c:tx>
                  <c:strRef>
                    <c:extLst>
                      <c:ext uri="{02D57815-91ED-43cb-92C2-25804820EDAC}">
                        <c15:formulaRef>
                          <c15:sqref>趋势图45天!$A$201</c15:sqref>
                        </c15:formulaRef>
                      </c:ext>
                    </c:extLst>
                    <c:strCache>
                      <c:ptCount val="1"/>
                      <c:pt idx="0">
                        <c:v>美珠</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趋势图45天!$R$198:$AQ$198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趋势图45天!$R$201:$AQ$201</c15:sqref>
                        </c15:formulaRef>
                      </c:ext>
                    </c:extLst>
                    <c:numCache>
                      <c:formatCode>General</c:formatCode>
                      <c:ptCount val="7"/>
                      <c:pt idx="3">
                        <c:v>84</c:v>
                      </c:pt>
                      <c:pt idx="4">
                        <c:v>85</c:v>
                      </c:pt>
                      <c:pt idx="5">
                        <c:v>82</c:v>
                      </c:pt>
                      <c:pt idx="6">
                        <c:v>82</c:v>
                      </c:pt>
                    </c:numCache>
                  </c:numRef>
                </c:val>
              </c15:ser>
            </c15:filteredBarSeries>
            <c15:filteredBarSeries>
              <c15:ser>
                <c:idx val="3"/>
                <c:order val="3"/>
                <c:tx>
                  <c:strRef>
                    <c:extLst>
                      <c:ext uri="{02D57815-91ED-43cb-92C2-25804820EDAC}">
                        <c15:formulaRef>
                          <c15:sqref>趋势图45天!$A$202</c15:sqref>
                        </c15:formulaRef>
                      </c:ext>
                    </c:extLst>
                    <c:strCache>
                      <c:ptCount val="1"/>
                      <c:pt idx="0">
                        <c:v>子杰</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趋势图45天!$R$198:$AQ$198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趋势图45天!$R$202:$AQ$202</c15:sqref>
                        </c15:formulaRef>
                      </c:ext>
                    </c:extLst>
                    <c:numCache>
                      <c:formatCode>General</c:formatCode>
                      <c:ptCount val="7"/>
                      <c:pt idx="3">
                        <c:v>0</c:v>
                      </c:pt>
                      <c:pt idx="4">
                        <c:v>0</c:v>
                      </c:pt>
                      <c:pt idx="5">
                        <c:v>0</c:v>
                      </c:pt>
                      <c:pt idx="6">
                        <c:v>4</c:v>
                      </c:pt>
                    </c:numCache>
                  </c:numRef>
                </c:val>
              </c15:ser>
            </c15:filteredBarSeries>
          </c:ext>
        </c:extLst>
      </c:barChart>
      <c:lineChart>
        <c:grouping val="standard"/>
        <c:varyColors val="0"/>
        <c:dLbls>
          <c:showLegendKey val="0"/>
          <c:showVal val="0"/>
          <c:showCatName val="0"/>
          <c:showSerName val="0"/>
          <c:showPercent val="0"/>
          <c:showBubbleSize val="0"/>
        </c:dLbls>
        <c:marker val="0"/>
        <c:smooth val="0"/>
        <c:axId val="937211079"/>
        <c:axId val="82109050"/>
        <c:extLst>
          <c:ext xmlns:c15="http://schemas.microsoft.com/office/drawing/2012/chart" uri="{02D57815-91ED-43cb-92C2-25804820EDAC}">
            <c15:filteredLineSeries>
              <c15:ser>
                <c:idx val="4"/>
                <c:order val="4"/>
                <c:tx>
                  <c:strRef>
                    <c:extLst>
                      <c:ext uri="{02D57815-91ED-43cb-92C2-25804820EDAC}">
                        <c15:formulaRef>
                          <c15:sqref>趋势图45天!$A$203</c15:sqref>
                        </c15:formulaRef>
                      </c:ext>
                    </c:extLst>
                    <c:strCache>
                      <c:ptCount val="1"/>
                      <c:pt idx="0">
                        <c:v>无库存+新品到货sku数量</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趋势图45天!$R$198:$AQ$198</c15:sqref>
                        </c15:formulaRef>
                      </c:ext>
                    </c:extLst>
                    <c:numCache>
                      <c:ptCount val="0"/>
                    </c:numCache>
                  </c:numRef>
                </c:cat>
                <c:val>
                  <c:numRef>
                    <c:extLst>
                      <c:ext uri="{02D57815-91ED-43cb-92C2-25804820EDAC}">
                        <c15:formulaRef>
                          <c15:sqref>趋势图45天!$R$203:$AQ$203</c15:sqref>
                        </c15:formulaRef>
                      </c:ext>
                    </c:extLst>
                    <c:numCache>
                      <c:formatCode>General</c:formatCode>
                      <c:ptCount val="7"/>
                      <c:pt idx="0">
                        <c:v>0</c:v>
                      </c:pt>
                      <c:pt idx="1">
                        <c:v>0</c:v>
                      </c:pt>
                      <c:pt idx="2">
                        <c:v>0</c:v>
                      </c:pt>
                      <c:pt idx="3">
                        <c:v>14</c:v>
                      </c:pt>
                      <c:pt idx="4">
                        <c:v>14</c:v>
                      </c:pt>
                      <c:pt idx="5">
                        <c:v>33</c:v>
                      </c:pt>
                      <c:pt idx="6">
                        <c:v>29</c:v>
                      </c:pt>
                    </c:numCache>
                  </c:numRef>
                </c:val>
                <c:smooth val="0"/>
              </c15:ser>
            </c15:filteredLineSeries>
          </c:ext>
        </c:extLst>
      </c:lineChart>
      <c:lineChart>
        <c:grouping val="standard"/>
        <c:varyColors val="0"/>
        <c:ser>
          <c:idx val="10"/>
          <c:order val="10"/>
          <c:tx>
            <c:strRef>
              <c:f>趋势图45天!$A$209</c:f>
              <c:strCache>
                <c:ptCount val="1"/>
                <c:pt idx="0">
                  <c:v>异常比例</c:v>
                </c:pt>
              </c:strCache>
            </c:strRef>
          </c:tx>
          <c:spPr>
            <a:ln w="28575" cap="rnd">
              <a:solidFill>
                <a:schemeClr val="accent5">
                  <a:lumMod val="60000"/>
                </a:schemeClr>
              </a:solidFill>
              <a:round/>
            </a:ln>
            <a:effectLst/>
          </c:spPr>
          <c:marker>
            <c:symbol val="none"/>
          </c:marker>
          <c:dLbls>
            <c:dLbl>
              <c:idx val="0"/>
              <c:layout>
                <c:manualLayout>
                  <c:x val="0"/>
                  <c:y val="-0.0307837582625118"/>
                </c:manualLayout>
              </c:layout>
              <c:dLblPos val="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122461170848268"/>
                  <c:y val="-0.0513692162417375"/>
                </c:manualLayout>
              </c:layout>
              <c:dLblPos val="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趋势图45天!$R$198:$AQ$198</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趋势图45天!$R$209:$AQ$209</c:f>
              <c:numCache>
                <c:formatCode>0.00%</c:formatCode>
                <c:ptCount val="7"/>
                <c:pt idx="0">
                  <c:v>0.736263736263736</c:v>
                </c:pt>
                <c:pt idx="1">
                  <c:v>0.714285714285714</c:v>
                </c:pt>
                <c:pt idx="2">
                  <c:v>0.714285714285714</c:v>
                </c:pt>
                <c:pt idx="3">
                  <c:v>0.678571428571429</c:v>
                </c:pt>
                <c:pt idx="4">
                  <c:v>0.670588235294118</c:v>
                </c:pt>
                <c:pt idx="5">
                  <c:v>0.646341463414634</c:v>
                </c:pt>
                <c:pt idx="6">
                  <c:v>0.651162790697674</c:v>
                </c:pt>
              </c:numCache>
            </c:numRef>
          </c:val>
          <c:smooth val="0"/>
        </c:ser>
        <c:dLbls>
          <c:showLegendKey val="0"/>
          <c:showVal val="0"/>
          <c:showCatName val="0"/>
          <c:showSerName val="0"/>
          <c:showPercent val="0"/>
          <c:showBubbleSize val="0"/>
        </c:dLbls>
        <c:marker val="0"/>
        <c:smooth val="0"/>
        <c:axId val="210655015"/>
        <c:axId val="16765115"/>
        <c:extLst>
          <c:ext xmlns:c15="http://schemas.microsoft.com/office/drawing/2012/chart" uri="{02D57815-91ED-43cb-92C2-25804820EDAC}">
            <c15:filteredLineSeries>
              <c15:ser>
                <c:idx val="6"/>
                <c:order val="6"/>
                <c:tx>
                  <c:strRef>
                    <c:extLst>
                      <c:ext uri="{02D57815-91ED-43cb-92C2-25804820EDAC}">
                        <c15:formulaRef>
                          <c15:sqref>趋势图45天!$A$205</c15:sqref>
                        </c15:formulaRef>
                      </c:ext>
                    </c:extLst>
                    <c:strCache>
                      <c:ptCount val="1"/>
                      <c:pt idx="0">
                        <c:v>美珠</c:v>
                      </c:pt>
                    </c:strCache>
                  </c:strRef>
                </c:tx>
                <c:spPr>
                  <a:ln w="28575" cap="rnd">
                    <a:solidFill>
                      <a:schemeClr val="accent1">
                        <a:lumMod val="60000"/>
                      </a:schemeClr>
                    </a:solidFill>
                    <a:round/>
                  </a:ln>
                  <a:effectLst/>
                </c:spPr>
                <c:marker>
                  <c:symbol val="none"/>
                </c:marker>
                <c:dLbls>
                  <c:delete val="1"/>
                </c:dLbls>
                <c:cat>
                  <c:numRef>
                    <c:extLst>
                      <c:ext uri="{02D57815-91ED-43cb-92C2-25804820EDAC}">
                        <c15:fullRef>
                          <c15:sqref/>
                        </c15:fullRef>
                        <c15:formulaRef>
                          <c15:sqref>趋势图45天!$R$198:$AQ$198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趋势图45天!$R$205:$AQ$205</c15:sqref>
                        </c15:formulaRef>
                      </c:ext>
                    </c:extLst>
                    <c:numCache>
                      <c:formatCode>General</c:formatCode>
                      <c:ptCount val="7"/>
                      <c:pt idx="3">
                        <c:v>27</c:v>
                      </c:pt>
                      <c:pt idx="4">
                        <c:v>29</c:v>
                      </c:pt>
                      <c:pt idx="5">
                        <c:v>41</c:v>
                      </c:pt>
                      <c:pt idx="6">
                        <c:v>32</c:v>
                      </c:pt>
                    </c:numCache>
                  </c:numRef>
                </c:val>
                <c:smooth val="0"/>
              </c15:ser>
            </c15:filteredLineSeries>
            <c15:filteredLineSeries>
              <c15:ser>
                <c:idx val="7"/>
                <c:order val="7"/>
                <c:tx>
                  <c:strRef>
                    <c:extLst>
                      <c:ext uri="{02D57815-91ED-43cb-92C2-25804820EDAC}">
                        <c15:formulaRef>
                          <c15:sqref>趋势图45天!$A$206</c15:sqref>
                        </c15:formulaRef>
                      </c:ext>
                    </c:extLst>
                    <c:strCache>
                      <c:ptCount val="1"/>
                      <c:pt idx="0">
                        <c:v>子杰</c:v>
                      </c:pt>
                    </c:strCache>
                  </c:strRef>
                </c:tx>
                <c:spPr>
                  <a:ln w="28575" cap="rnd">
                    <a:solidFill>
                      <a:schemeClr val="accent2">
                        <a:lumMod val="60000"/>
                      </a:schemeClr>
                    </a:solidFill>
                    <a:round/>
                  </a:ln>
                  <a:effectLst/>
                </c:spPr>
                <c:marker>
                  <c:symbol val="none"/>
                </c:marker>
                <c:dLbls>
                  <c:delete val="1"/>
                </c:dLbls>
                <c:cat>
                  <c:numRef>
                    <c:extLst>
                      <c:ext uri="{02D57815-91ED-43cb-92C2-25804820EDAC}">
                        <c15:fullRef>
                          <c15:sqref/>
                        </c15:fullRef>
                        <c15:formulaRef>
                          <c15:sqref>趋势图45天!$R$198:$AQ$198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趋势图45天!$R$206:$AQ$206</c15:sqref>
                        </c15:formulaRef>
                      </c:ext>
                    </c:extLst>
                    <c:numCache>
                      <c:formatCode>General</c:formatCode>
                      <c:ptCount val="7"/>
                      <c:pt idx="3">
                        <c:v>0</c:v>
                      </c:pt>
                      <c:pt idx="4">
                        <c:v>0</c:v>
                      </c:pt>
                      <c:pt idx="5">
                        <c:v>0</c:v>
                      </c:pt>
                      <c:pt idx="6">
                        <c:v>1</c:v>
                      </c:pt>
                    </c:numCache>
                  </c:numRef>
                </c:val>
                <c:smooth val="0"/>
              </c15:ser>
            </c15:filteredLineSeries>
            <c15:filteredLineSeries>
              <c15:ser>
                <c:idx val="8"/>
                <c:order val="8"/>
                <c:tx>
                  <c:strRef>
                    <c:extLst>
                      <c:ext uri="{02D57815-91ED-43cb-92C2-25804820EDAC}">
                        <c15:formulaRef>
                          <c15:sqref>趋势图45天!$A$207</c15:sqref>
                        </c15:formulaRef>
                      </c:ext>
                    </c:extLst>
                    <c:strCache>
                      <c:ptCount val="1"/>
                      <c:pt idx="0">
                        <c:v>正常比例</c:v>
                      </c:pt>
                    </c:strCache>
                  </c:strRef>
                </c:tx>
                <c:spPr>
                  <a:ln w="28575" cap="rnd">
                    <a:solidFill>
                      <a:schemeClr val="accent3">
                        <a:lumMod val="60000"/>
                      </a:schemeClr>
                    </a:solidFill>
                    <a:round/>
                  </a:ln>
                  <a:effectLst/>
                </c:spPr>
                <c:marker>
                  <c:symbol val="none"/>
                </c:marker>
                <c:dLbls>
                  <c:delete val="1"/>
                </c:dLbls>
                <c:cat>
                  <c:numRef>
                    <c:extLst>
                      <c:ext uri="{02D57815-91ED-43cb-92C2-25804820EDAC}">
                        <c15:fullRef>
                          <c15:sqref/>
                        </c15:fullRef>
                        <c15:formulaRef>
                          <c15:sqref>趋势图45天!$R$198:$AQ$198</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趋势图45天!$R$207:$AQ$207</c15:sqref>
                        </c15:formulaRef>
                      </c:ext>
                    </c:extLst>
                    <c:numCache>
                      <c:formatCode>0.00%</c:formatCode>
                      <c:ptCount val="7"/>
                      <c:pt idx="0">
                        <c:v>0.263736263736264</c:v>
                      </c:pt>
                      <c:pt idx="1">
                        <c:v>0.285714285714286</c:v>
                      </c:pt>
                      <c:pt idx="2">
                        <c:v>0.285714285714286</c:v>
                      </c:pt>
                      <c:pt idx="3">
                        <c:v>0.321428571428571</c:v>
                      </c:pt>
                      <c:pt idx="4">
                        <c:v>0.329411764705882</c:v>
                      </c:pt>
                      <c:pt idx="5">
                        <c:v>0.353658536585366</c:v>
                      </c:pt>
                      <c:pt idx="6">
                        <c:v>0.348837209302326</c:v>
                      </c:pt>
                    </c:numCache>
                  </c:numRef>
                </c:val>
                <c:smooth val="0"/>
              </c15:ser>
            </c15:filteredLineSeries>
          </c:ext>
        </c:extLst>
      </c:lineChart>
      <c:catAx>
        <c:axId val="937211079"/>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82109050"/>
        <c:crosses val="autoZero"/>
        <c:auto val="0"/>
        <c:lblAlgn val="ctr"/>
        <c:lblOffset val="100"/>
        <c:noMultiLvlLbl val="0"/>
      </c:catAx>
      <c:valAx>
        <c:axId val="8210905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937211079"/>
        <c:crosses val="autoZero"/>
        <c:crossBetween val="between"/>
      </c:valAx>
      <c:dateAx>
        <c:axId val="210655015"/>
        <c:scaling>
          <c:orientation val="minMax"/>
        </c:scaling>
        <c:delete val="1"/>
        <c:axPos val="b"/>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6765115"/>
        <c:crosses val="autoZero"/>
        <c:auto val="1"/>
        <c:lblOffset val="100"/>
        <c:baseTimeUnit val="days"/>
      </c:dateAx>
      <c:valAx>
        <c:axId val="16765115"/>
        <c:scaling>
          <c:orientation val="minMax"/>
        </c:scaling>
        <c:delete val="0"/>
        <c:axPos val="r"/>
        <c:numFmt formatCode="0.00%" sourceLinked="0"/>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210655015"/>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altLang="zh-CN"/>
              <a:t>10</a:t>
            </a:r>
            <a:r>
              <a:rPr altLang="en-US"/>
              <a:t>店</a:t>
            </a:r>
            <a:endParaRPr lang="en-US" altLang="zh-CN"/>
          </a:p>
        </c:rich>
      </c:tx>
      <c:layout>
        <c:manualLayout>
          <c:xMode val="edge"/>
          <c:yMode val="edge"/>
          <c:x val="0.0413366680561345"/>
          <c:y val="0.0252365930599369"/>
        </c:manualLayout>
      </c:layout>
      <c:overlay val="0"/>
      <c:spPr>
        <a:noFill/>
        <a:ln>
          <a:noFill/>
        </a:ln>
        <a:effectLst/>
      </c:spPr>
    </c:title>
    <c:autoTitleDeleted val="0"/>
    <c:plotArea>
      <c:layout/>
      <c:barChart>
        <c:barDir val="col"/>
        <c:grouping val="clustered"/>
        <c:varyColors val="0"/>
        <c:ser>
          <c:idx val="0"/>
          <c:order val="0"/>
          <c:tx>
            <c:strRef>
              <c:f>趋势图45天!$A$222</c:f>
              <c:strCache>
                <c:ptCount val="1"/>
                <c:pt idx="0">
                  <c:v>总sku</c:v>
                </c:pt>
              </c:strCache>
            </c:strRef>
          </c:tx>
          <c:spPr>
            <a:solidFill>
              <a:schemeClr val="accent1"/>
            </a:solidFill>
            <a:ln>
              <a:noFill/>
            </a:ln>
            <a:effectLst/>
          </c:spPr>
          <c:invertIfNegative val="0"/>
          <c:dLbls>
            <c:delete val="1"/>
          </c:dLbls>
          <c:cat>
            <c:numRef>
              <c:f>趋势图45天!$C$221:$AQ$221</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趋势图45天!$C$222:$AQ$222</c:f>
              <c:numCache>
                <c:formatCode>General</c:formatCode>
                <c:ptCount val="7"/>
                <c:pt idx="5">
                  <c:v>15</c:v>
                </c:pt>
                <c:pt idx="6">
                  <c:v>36</c:v>
                </c:pt>
              </c:numCache>
            </c:numRef>
          </c:val>
        </c:ser>
        <c:ser>
          <c:idx val="5"/>
          <c:order val="5"/>
          <c:tx>
            <c:strRef>
              <c:f>趋势图45天!$A$227</c:f>
              <c:strCache>
                <c:ptCount val="1"/>
                <c:pt idx="0">
                  <c:v>正常sku</c:v>
                </c:pt>
              </c:strCache>
            </c:strRef>
          </c:tx>
          <c:spPr>
            <a:solidFill>
              <a:schemeClr val="accent6"/>
            </a:solidFill>
            <a:ln>
              <a:noFill/>
            </a:ln>
            <a:effectLst/>
          </c:spPr>
          <c:invertIfNegative val="0"/>
          <c:dLbls>
            <c:delete val="1"/>
          </c:dLbls>
          <c:cat>
            <c:numRef>
              <c:f>趋势图45天!$C$221:$AQ$221</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趋势图45天!$C$227:$AQ$227</c:f>
              <c:numCache>
                <c:formatCode>General</c:formatCode>
                <c:ptCount val="7"/>
                <c:pt idx="5">
                  <c:v>0</c:v>
                </c:pt>
                <c:pt idx="6">
                  <c:v>0</c:v>
                </c:pt>
              </c:numCache>
            </c:numRef>
          </c:val>
        </c:ser>
        <c:ser>
          <c:idx val="9"/>
          <c:order val="9"/>
          <c:tx>
            <c:strRef>
              <c:f>趋势图45天!$A$231</c:f>
              <c:strCache>
                <c:ptCount val="1"/>
                <c:pt idx="0">
                  <c:v>总库存数量</c:v>
                </c:pt>
              </c:strCache>
            </c:strRef>
          </c:tx>
          <c:spPr>
            <a:solidFill>
              <a:schemeClr val="accent4">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趋势图45天!$C$221:$AQ$221</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趋势图45天!$C$231:$AQ$231</c:f>
              <c:numCache>
                <c:formatCode>General</c:formatCode>
                <c:ptCount val="7"/>
                <c:pt idx="5">
                  <c:v>218</c:v>
                </c:pt>
                <c:pt idx="6">
                  <c:v>953</c:v>
                </c:pt>
              </c:numCache>
            </c:numRef>
          </c:val>
        </c:ser>
        <c:dLbls>
          <c:showLegendKey val="0"/>
          <c:showVal val="0"/>
          <c:showCatName val="0"/>
          <c:showSerName val="0"/>
          <c:showPercent val="0"/>
          <c:showBubbleSize val="0"/>
        </c:dLbls>
        <c:gapWidth val="150"/>
        <c:overlap val="0"/>
        <c:axId val="937211079"/>
        <c:axId val="82109050"/>
        <c:extLst>
          <c:ext xmlns:c15="http://schemas.microsoft.com/office/drawing/2012/chart" uri="{02D57815-91ED-43cb-92C2-25804820EDAC}">
            <c15:filteredBarSeries>
              <c15:ser>
                <c:idx val="1"/>
                <c:order val="1"/>
                <c:tx>
                  <c:strRef>
                    <c:extLst>
                      <c:ext uri="{02D57815-91ED-43cb-92C2-25804820EDAC}">
                        <c15:formulaRef>
                          <c15:sqref>趋势图45天!$A$223</c15:sqref>
                        </c15:formulaRef>
                      </c:ext>
                    </c:extLst>
                    <c:strCache>
                      <c:ptCount val="1"/>
                      <c:pt idx="0">
                        <c:v>有库存sku数量</c:v>
                      </c:pt>
                    </c:strCache>
                  </c:strRef>
                </c:tx>
                <c:spPr>
                  <a:solidFill>
                    <a:schemeClr val="accent2"/>
                  </a:solidFill>
                  <a:ln>
                    <a:noFill/>
                  </a:ln>
                  <a:effectLst/>
                </c:spPr>
                <c:invertIfNegative val="0"/>
                <c:dLbls>
                  <c:delete val="1"/>
                </c:dLbls>
                <c:cat>
                  <c:numRef>
                    <c:extLst>
                      <c:ext uri="{02D57815-91ED-43cb-92C2-25804820EDAC}">
                        <c15:fullRef>
                          <c15:sqref/>
                        </c15:fullRef>
                        <c15:formulaRef>
                          <c15:sqref>趋势图45天!$C$221:$AQ$221</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趋势图45天!$C$223:$AQ$223</c15:sqref>
                        </c15:formulaRef>
                      </c:ext>
                    </c:extLst>
                    <c:numCache>
                      <c:formatCode>General</c:formatCode>
                      <c:ptCount val="7"/>
                      <c:pt idx="5">
                        <c:v>15</c:v>
                      </c:pt>
                      <c:pt idx="6">
                        <c:v>15</c:v>
                      </c:pt>
                    </c:numCache>
                  </c:numRef>
                </c:val>
              </c15:ser>
            </c15:filteredBarSeries>
            <c15:filteredBarSeries>
              <c15:ser>
                <c:idx val="2"/>
                <c:order val="2"/>
                <c:tx>
                  <c:strRef>
                    <c:extLst>
                      <c:ext uri="{02D57815-91ED-43cb-92C2-25804820EDAC}">
                        <c15:formulaRef>
                          <c15:sqref>趋势图45天!$A$224</c15:sqref>
                        </c15:formulaRef>
                      </c:ext>
                    </c:extLst>
                    <c:strCache>
                      <c:ptCount val="1"/>
                      <c:pt idx="0">
                        <c:v>美珠</c:v>
                      </c:pt>
                    </c:strCache>
                  </c:strRef>
                </c:tx>
                <c:spPr>
                  <a:solidFill>
                    <a:schemeClr val="accent3"/>
                  </a:solidFill>
                  <a:ln>
                    <a:noFill/>
                  </a:ln>
                  <a:effectLst/>
                </c:spPr>
                <c:invertIfNegative val="0"/>
                <c:dLbls>
                  <c:delete val="1"/>
                </c:dLbls>
                <c:cat>
                  <c:numRef>
                    <c:extLst>
                      <c:ext uri="{02D57815-91ED-43cb-92C2-25804820EDAC}">
                        <c15:fullRef>
                          <c15:sqref/>
                        </c15:fullRef>
                        <c15:formulaRef>
                          <c15:sqref>趋势图45天!$C$221:$AQ$221</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趋势图45天!$C$224:$AQ$224</c15:sqref>
                        </c15:formulaRef>
                      </c:ext>
                    </c:extLst>
                    <c:numCache>
                      <c:formatCode>General</c:formatCode>
                      <c:ptCount val="7"/>
                      <c:pt idx="5">
                        <c:v>15</c:v>
                      </c:pt>
                      <c:pt idx="6">
                        <c:v>15</c:v>
                      </c:pt>
                    </c:numCache>
                  </c:numRef>
                </c:val>
              </c15:ser>
            </c15:filteredBarSeries>
            <c15:filteredBarSeries>
              <c15:ser>
                <c:idx val="3"/>
                <c:order val="3"/>
                <c:tx>
                  <c:strRef>
                    <c:extLst>
                      <c:ext uri="{02D57815-91ED-43cb-92C2-25804820EDAC}">
                        <c15:formulaRef>
                          <c15:sqref>趋势图45天!$A$225</c15:sqref>
                        </c15:formulaRef>
                      </c:ext>
                    </c:extLst>
                    <c:strCache>
                      <c:ptCount val="1"/>
                      <c:pt idx="0">
                        <c:v>子杰</c:v>
                      </c:pt>
                    </c:strCache>
                  </c:strRef>
                </c:tx>
                <c:spPr>
                  <a:solidFill>
                    <a:schemeClr val="accent4"/>
                  </a:solidFill>
                  <a:ln>
                    <a:noFill/>
                  </a:ln>
                  <a:effectLst/>
                </c:spPr>
                <c:invertIfNegative val="0"/>
                <c:dLbls>
                  <c:delete val="1"/>
                </c:dLbls>
                <c:cat>
                  <c:numRef>
                    <c:extLst>
                      <c:ext uri="{02D57815-91ED-43cb-92C2-25804820EDAC}">
                        <c15:fullRef>
                          <c15:sqref/>
                        </c15:fullRef>
                        <c15:formulaRef>
                          <c15:sqref>趋势图45天!$C$221:$AQ$221</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趋势图45天!$C$225:$AQ$225</c15:sqref>
                        </c15:formulaRef>
                      </c:ext>
                    </c:extLst>
                    <c:numCache>
                      <c:formatCode>General</c:formatCode>
                      <c:ptCount val="7"/>
                      <c:pt idx="5">
                        <c:v>0</c:v>
                      </c:pt>
                      <c:pt idx="6">
                        <c:v>0</c:v>
                      </c:pt>
                    </c:numCache>
                  </c:numRef>
                </c:val>
              </c15:ser>
            </c15:filteredBarSeries>
          </c:ext>
        </c:extLst>
      </c:barChart>
      <c:lineChart>
        <c:grouping val="standard"/>
        <c:varyColors val="0"/>
        <c:dLbls>
          <c:showLegendKey val="0"/>
          <c:showVal val="0"/>
          <c:showCatName val="0"/>
          <c:showSerName val="0"/>
          <c:showPercent val="0"/>
          <c:showBubbleSize val="0"/>
        </c:dLbls>
        <c:marker val="0"/>
        <c:smooth val="0"/>
        <c:axId val="937211079"/>
        <c:axId val="82109050"/>
        <c:extLst>
          <c:ext xmlns:c15="http://schemas.microsoft.com/office/drawing/2012/chart" uri="{02D57815-91ED-43cb-92C2-25804820EDAC}">
            <c15:filteredLineSeries>
              <c15:ser>
                <c:idx val="4"/>
                <c:order val="4"/>
                <c:tx>
                  <c:strRef>
                    <c:extLst>
                      <c:ext uri="{02D57815-91ED-43cb-92C2-25804820EDAC}">
                        <c15:formulaRef>
                          <c15:sqref>趋势图45天!$A$226</c15:sqref>
                        </c15:formulaRef>
                      </c:ext>
                    </c:extLst>
                    <c:strCache>
                      <c:ptCount val="1"/>
                      <c:pt idx="0">
                        <c:v>无库存+新品到货sku数量</c:v>
                      </c:pt>
                    </c:strCache>
                  </c:strRef>
                </c:tx>
                <c:spPr>
                  <a:ln w="28575" cap="rnd">
                    <a:solidFill>
                      <a:schemeClr val="accent5"/>
                    </a:solidFill>
                    <a:round/>
                  </a:ln>
                  <a:effectLst/>
                </c:spPr>
                <c:marker>
                  <c:symbol val="none"/>
                </c:marker>
                <c:dLbls>
                  <c:delete val="1"/>
                </c:dLbls>
                <c:cat>
                  <c:numRef>
                    <c:extLst>
                      <c:ext uri="{02D57815-91ED-43cb-92C2-25804820EDAC}">
                        <c15:fullRef>
                          <c15:sqref/>
                        </c15:fullRef>
                        <c15:formulaRef>
                          <c15:sqref>趋势图45天!$C$221:$AQ$221</c15:sqref>
                        </c15:formulaRef>
                      </c:ext>
                    </c:extLst>
                    <c:numCache>
                      <c:ptCount val="0"/>
                    </c:numCache>
                  </c:numRef>
                </c:cat>
                <c:val>
                  <c:numRef>
                    <c:extLst>
                      <c:ext uri="{02D57815-91ED-43cb-92C2-25804820EDAC}">
                        <c15:formulaRef>
                          <c15:sqref>趋势图45天!$C$226:$AQ$226</c15:sqref>
                        </c15:formulaRef>
                      </c:ext>
                    </c:extLst>
                    <c:numCache>
                      <c:formatCode>General</c:formatCode>
                      <c:ptCount val="7"/>
                      <c:pt idx="5">
                        <c:v>0</c:v>
                      </c:pt>
                      <c:pt idx="6">
                        <c:v>21</c:v>
                      </c:pt>
                    </c:numCache>
                  </c:numRef>
                </c:val>
                <c:smooth val="0"/>
              </c15:ser>
            </c15:filteredLineSeries>
          </c:ext>
        </c:extLst>
      </c:lineChart>
      <c:lineChart>
        <c:grouping val="standard"/>
        <c:varyColors val="0"/>
        <c:ser>
          <c:idx val="10"/>
          <c:order val="10"/>
          <c:tx>
            <c:strRef>
              <c:f>趋势图45天!$A$232</c:f>
              <c:strCache>
                <c:ptCount val="1"/>
                <c:pt idx="0">
                  <c:v>异常比例</c:v>
                </c:pt>
              </c:strCache>
            </c:strRef>
          </c:tx>
          <c:spPr>
            <a:ln w="28575" cap="rnd">
              <a:solidFill>
                <a:schemeClr val="accent5">
                  <a:lumMod val="60000"/>
                </a:schemeClr>
              </a:solidFill>
              <a:round/>
            </a:ln>
            <a:effectLst/>
          </c:spPr>
          <c:marker>
            <c:symbol val="none"/>
          </c:marker>
          <c:dLbls>
            <c:dLbl>
              <c:idx val="0"/>
              <c:layout>
                <c:manualLayout>
                  <c:x val="0"/>
                  <c:y val="-0.0307837582625118"/>
                </c:manualLayout>
              </c:layout>
              <c:dLblPos val="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122461170848268"/>
                  <c:y val="-0.0513692162417375"/>
                </c:manualLayout>
              </c:layout>
              <c:dLblPos val="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趋势图45天!$C$221:$AQ$221</c:f>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f>趋势图45天!$C$232:$AQ$232</c:f>
              <c:numCache>
                <c:formatCode>0.00%</c:formatCode>
                <c:ptCount val="7"/>
                <c:pt idx="5">
                  <c:v>1</c:v>
                </c:pt>
                <c:pt idx="6">
                  <c:v>1</c:v>
                </c:pt>
              </c:numCache>
            </c:numRef>
          </c:val>
          <c:smooth val="0"/>
        </c:ser>
        <c:dLbls>
          <c:showLegendKey val="0"/>
          <c:showVal val="0"/>
          <c:showCatName val="0"/>
          <c:showSerName val="0"/>
          <c:showPercent val="0"/>
          <c:showBubbleSize val="0"/>
        </c:dLbls>
        <c:marker val="0"/>
        <c:smooth val="0"/>
        <c:axId val="210655015"/>
        <c:axId val="16765115"/>
        <c:extLst>
          <c:ext xmlns:c15="http://schemas.microsoft.com/office/drawing/2012/chart" uri="{02D57815-91ED-43cb-92C2-25804820EDAC}">
            <c15:filteredLineSeries>
              <c15:ser>
                <c:idx val="6"/>
                <c:order val="6"/>
                <c:tx>
                  <c:strRef>
                    <c:extLst>
                      <c:ext uri="{02D57815-91ED-43cb-92C2-25804820EDAC}">
                        <c15:formulaRef>
                          <c15:sqref>趋势图45天!$A$228</c15:sqref>
                        </c15:formulaRef>
                      </c:ext>
                    </c:extLst>
                    <c:strCache>
                      <c:ptCount val="1"/>
                      <c:pt idx="0">
                        <c:v>美珠</c:v>
                      </c:pt>
                    </c:strCache>
                  </c:strRef>
                </c:tx>
                <c:spPr>
                  <a:ln w="28575" cap="rnd">
                    <a:solidFill>
                      <a:schemeClr val="accent1">
                        <a:lumMod val="60000"/>
                      </a:schemeClr>
                    </a:solidFill>
                    <a:round/>
                  </a:ln>
                  <a:effectLst/>
                </c:spPr>
                <c:marker>
                  <c:symbol val="none"/>
                </c:marker>
                <c:dLbls>
                  <c:delete val="1"/>
                </c:dLbls>
                <c:cat>
                  <c:numRef>
                    <c:extLst>
                      <c:ext uri="{02D57815-91ED-43cb-92C2-25804820EDAC}">
                        <c15:fullRef>
                          <c15:sqref/>
                        </c15:fullRef>
                        <c15:formulaRef>
                          <c15:sqref>趋势图45天!$C$221:$AQ$221</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趋势图45天!$C$228:$AQ$228</c15:sqref>
                        </c15:formulaRef>
                      </c:ext>
                    </c:extLst>
                    <c:numCache>
                      <c:formatCode>General</c:formatCode>
                      <c:ptCount val="7"/>
                      <c:pt idx="5">
                        <c:v>0</c:v>
                      </c:pt>
                      <c:pt idx="6">
                        <c:v>0</c:v>
                      </c:pt>
                    </c:numCache>
                  </c:numRef>
                </c:val>
                <c:smooth val="0"/>
              </c15:ser>
            </c15:filteredLineSeries>
            <c15:filteredLineSeries>
              <c15:ser>
                <c:idx val="7"/>
                <c:order val="7"/>
                <c:tx>
                  <c:strRef>
                    <c:extLst>
                      <c:ext uri="{02D57815-91ED-43cb-92C2-25804820EDAC}">
                        <c15:formulaRef>
                          <c15:sqref>趋势图45天!$A$229</c15:sqref>
                        </c15:formulaRef>
                      </c:ext>
                    </c:extLst>
                    <c:strCache>
                      <c:ptCount val="1"/>
                      <c:pt idx="0">
                        <c:v>子杰</c:v>
                      </c:pt>
                    </c:strCache>
                  </c:strRef>
                </c:tx>
                <c:spPr>
                  <a:ln w="28575" cap="rnd">
                    <a:solidFill>
                      <a:schemeClr val="accent2">
                        <a:lumMod val="60000"/>
                      </a:schemeClr>
                    </a:solidFill>
                    <a:round/>
                  </a:ln>
                  <a:effectLst/>
                </c:spPr>
                <c:marker>
                  <c:symbol val="none"/>
                </c:marker>
                <c:dLbls>
                  <c:delete val="1"/>
                </c:dLbls>
                <c:cat>
                  <c:numRef>
                    <c:extLst>
                      <c:ext uri="{02D57815-91ED-43cb-92C2-25804820EDAC}">
                        <c15:fullRef>
                          <c15:sqref/>
                        </c15:fullRef>
                        <c15:formulaRef>
                          <c15:sqref>趋势图45天!$C$221:$AQ$221</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趋势图45天!$C$229:$AQ$229</c15:sqref>
                        </c15:formulaRef>
                      </c:ext>
                    </c:extLst>
                    <c:numCache>
                      <c:formatCode>General</c:formatCode>
                      <c:ptCount val="7"/>
                      <c:pt idx="5">
                        <c:v>0</c:v>
                      </c:pt>
                      <c:pt idx="6">
                        <c:v>0</c:v>
                      </c:pt>
                    </c:numCache>
                  </c:numRef>
                </c:val>
                <c:smooth val="0"/>
              </c15:ser>
            </c15:filteredLineSeries>
            <c15:filteredLineSeries>
              <c15:ser>
                <c:idx val="8"/>
                <c:order val="8"/>
                <c:tx>
                  <c:strRef>
                    <c:extLst>
                      <c:ext uri="{02D57815-91ED-43cb-92C2-25804820EDAC}">
                        <c15:formulaRef>
                          <c15:sqref>趋势图45天!$A$230</c15:sqref>
                        </c15:formulaRef>
                      </c:ext>
                    </c:extLst>
                    <c:strCache>
                      <c:ptCount val="1"/>
                      <c:pt idx="0">
                        <c:v>正常比例</c:v>
                      </c:pt>
                    </c:strCache>
                  </c:strRef>
                </c:tx>
                <c:spPr>
                  <a:ln w="28575" cap="rnd">
                    <a:solidFill>
                      <a:schemeClr val="accent3">
                        <a:lumMod val="60000"/>
                      </a:schemeClr>
                    </a:solidFill>
                    <a:round/>
                  </a:ln>
                  <a:effectLst/>
                </c:spPr>
                <c:marker>
                  <c:symbol val="none"/>
                </c:marker>
                <c:dLbls>
                  <c:delete val="1"/>
                </c:dLbls>
                <c:cat>
                  <c:numRef>
                    <c:extLst>
                      <c:ext uri="{02D57815-91ED-43cb-92C2-25804820EDAC}">
                        <c15:fullRef>
                          <c15:sqref/>
                        </c15:fullRef>
                        <c15:formulaRef>
                          <c15:sqref>趋势图45天!$C$221:$AQ$221</c15:sqref>
                        </c15:formulaRef>
                      </c:ext>
                    </c:extLst>
                    <c:numCache>
                      <c:formatCode>m"月"d"日"</c:formatCode>
                      <c:ptCount val="7"/>
                      <c:pt idx="0" c:formatCode="m&quot;月&quot;d&quot;日&quot;">
                        <c:v>45156</c:v>
                      </c:pt>
                      <c:pt idx="1" c:formatCode="m&quot;月&quot;d&quot;日&quot;">
                        <c:v>45163</c:v>
                      </c:pt>
                      <c:pt idx="2" c:formatCode="m&quot;月&quot;d&quot;日&quot;">
                        <c:v>45170</c:v>
                      </c:pt>
                      <c:pt idx="3" c:formatCode="m&quot;月&quot;d&quot;日&quot;">
                        <c:v>45184</c:v>
                      </c:pt>
                      <c:pt idx="4" c:formatCode="m&quot;月&quot;d&quot;日&quot;">
                        <c:v>45191</c:v>
                      </c:pt>
                      <c:pt idx="5" c:formatCode="m&quot;月&quot;d&quot;日&quot;">
                        <c:v>45212</c:v>
                      </c:pt>
                      <c:pt idx="6" c:formatCode="m&quot;月&quot;d&quot;日&quot;">
                        <c:v>45219</c:v>
                      </c:pt>
                    </c:numCache>
                  </c:numRef>
                </c:cat>
                <c:val>
                  <c:numRef>
                    <c:extLst>
                      <c:ext uri="{02D57815-91ED-43cb-92C2-25804820EDAC}">
                        <c15:formulaRef>
                          <c15:sqref>趋势图45天!$C$230:$AQ$230</c15:sqref>
                        </c15:formulaRef>
                      </c:ext>
                    </c:extLst>
                    <c:numCache>
                      <c:formatCode>0.00%</c:formatCode>
                      <c:ptCount val="7"/>
                      <c:pt idx="5">
                        <c:v>0</c:v>
                      </c:pt>
                      <c:pt idx="6">
                        <c:v>0</c:v>
                      </c:pt>
                    </c:numCache>
                  </c:numRef>
                </c:val>
                <c:smooth val="0"/>
              </c15:ser>
            </c15:filteredLineSeries>
          </c:ext>
        </c:extLst>
      </c:lineChart>
      <c:catAx>
        <c:axId val="937211079"/>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82109050"/>
        <c:crosses val="autoZero"/>
        <c:auto val="0"/>
        <c:lblAlgn val="ctr"/>
        <c:lblOffset val="100"/>
        <c:noMultiLvlLbl val="0"/>
      </c:catAx>
      <c:valAx>
        <c:axId val="8210905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937211079"/>
        <c:crosses val="autoZero"/>
        <c:crossBetween val="between"/>
      </c:valAx>
      <c:dateAx>
        <c:axId val="210655015"/>
        <c:scaling>
          <c:orientation val="minMax"/>
        </c:scaling>
        <c:delete val="1"/>
        <c:axPos val="b"/>
        <c:majorTickMark val="out"/>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6765115"/>
        <c:crosses val="autoZero"/>
        <c:auto val="1"/>
        <c:lblOffset val="100"/>
        <c:baseTimeUnit val="days"/>
      </c:dateAx>
      <c:valAx>
        <c:axId val="16765115"/>
        <c:scaling>
          <c:orientation val="minMax"/>
        </c:scaling>
        <c:delete val="0"/>
        <c:axPos val="r"/>
        <c:numFmt formatCode="0.00%" sourceLinked="0"/>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210655015"/>
        <c:crosses val="max"/>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9" Type="http://schemas.openxmlformats.org/officeDocument/2006/relationships/chart" Target="../charts/chart9.xml"/><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0" Type="http://schemas.openxmlformats.org/officeDocument/2006/relationships/chart" Target="../charts/chart10.xml"/><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43</xdr:col>
      <xdr:colOff>88900</xdr:colOff>
      <xdr:row>0</xdr:row>
      <xdr:rowOff>9525</xdr:rowOff>
    </xdr:from>
    <xdr:to>
      <xdr:col>49</xdr:col>
      <xdr:colOff>546100</xdr:colOff>
      <xdr:row>25</xdr:row>
      <xdr:rowOff>100965</xdr:rowOff>
    </xdr:to>
    <xdr:graphicFrame>
      <xdr:nvGraphicFramePr>
        <xdr:cNvPr id="2" name="图表 1"/>
        <xdr:cNvGraphicFramePr/>
      </xdr:nvGraphicFramePr>
      <xdr:xfrm>
        <a:off x="6269990" y="9525"/>
        <a:ext cx="4194810" cy="41967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43</xdr:col>
      <xdr:colOff>55245</xdr:colOff>
      <xdr:row>26</xdr:row>
      <xdr:rowOff>63500</xdr:rowOff>
    </xdr:from>
    <xdr:to>
      <xdr:col>49</xdr:col>
      <xdr:colOff>512445</xdr:colOff>
      <xdr:row>49</xdr:row>
      <xdr:rowOff>34290</xdr:rowOff>
    </xdr:to>
    <xdr:graphicFrame>
      <xdr:nvGraphicFramePr>
        <xdr:cNvPr id="3" name="图表 2"/>
        <xdr:cNvGraphicFramePr/>
      </xdr:nvGraphicFramePr>
      <xdr:xfrm>
        <a:off x="6236335" y="4332605"/>
        <a:ext cx="4194810" cy="374840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60325</xdr:colOff>
      <xdr:row>51</xdr:row>
      <xdr:rowOff>19050</xdr:rowOff>
    </xdr:from>
    <xdr:to>
      <xdr:col>49</xdr:col>
      <xdr:colOff>517525</xdr:colOff>
      <xdr:row>71</xdr:row>
      <xdr:rowOff>142240</xdr:rowOff>
    </xdr:to>
    <xdr:graphicFrame>
      <xdr:nvGraphicFramePr>
        <xdr:cNvPr id="4" name="图表 3"/>
        <xdr:cNvGraphicFramePr/>
      </xdr:nvGraphicFramePr>
      <xdr:xfrm>
        <a:off x="6241415" y="8393430"/>
        <a:ext cx="4194810" cy="340931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48895</xdr:colOff>
      <xdr:row>72</xdr:row>
      <xdr:rowOff>84455</xdr:rowOff>
    </xdr:from>
    <xdr:to>
      <xdr:col>49</xdr:col>
      <xdr:colOff>584200</xdr:colOff>
      <xdr:row>96</xdr:row>
      <xdr:rowOff>96520</xdr:rowOff>
    </xdr:to>
    <xdr:graphicFrame>
      <xdr:nvGraphicFramePr>
        <xdr:cNvPr id="5" name="图表 4"/>
        <xdr:cNvGraphicFramePr/>
      </xdr:nvGraphicFramePr>
      <xdr:xfrm>
        <a:off x="6229985" y="11908790"/>
        <a:ext cx="4272915" cy="395351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43</xdr:col>
      <xdr:colOff>40640</xdr:colOff>
      <xdr:row>97</xdr:row>
      <xdr:rowOff>24765</xdr:rowOff>
    </xdr:from>
    <xdr:to>
      <xdr:col>49</xdr:col>
      <xdr:colOff>541020</xdr:colOff>
      <xdr:row>121</xdr:row>
      <xdr:rowOff>53975</xdr:rowOff>
    </xdr:to>
    <xdr:graphicFrame>
      <xdr:nvGraphicFramePr>
        <xdr:cNvPr id="6" name="图表 5"/>
        <xdr:cNvGraphicFramePr/>
      </xdr:nvGraphicFramePr>
      <xdr:xfrm>
        <a:off x="6221730" y="15954375"/>
        <a:ext cx="4237990" cy="397065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32385</xdr:colOff>
      <xdr:row>122</xdr:row>
      <xdr:rowOff>16510</xdr:rowOff>
    </xdr:from>
    <xdr:to>
      <xdr:col>49</xdr:col>
      <xdr:colOff>561975</xdr:colOff>
      <xdr:row>145</xdr:row>
      <xdr:rowOff>152400</xdr:rowOff>
    </xdr:to>
    <xdr:graphicFrame>
      <xdr:nvGraphicFramePr>
        <xdr:cNvPr id="7" name="图表 6"/>
        <xdr:cNvGraphicFramePr/>
      </xdr:nvGraphicFramePr>
      <xdr:xfrm>
        <a:off x="6213475" y="20051395"/>
        <a:ext cx="4267200" cy="3913505"/>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47625</xdr:colOff>
      <xdr:row>171</xdr:row>
      <xdr:rowOff>13335</xdr:rowOff>
    </xdr:from>
    <xdr:to>
      <xdr:col>49</xdr:col>
      <xdr:colOff>574675</xdr:colOff>
      <xdr:row>196</xdr:row>
      <xdr:rowOff>76200</xdr:rowOff>
    </xdr:to>
    <xdr:graphicFrame>
      <xdr:nvGraphicFramePr>
        <xdr:cNvPr id="8" name="图表 7"/>
        <xdr:cNvGraphicFramePr/>
      </xdr:nvGraphicFramePr>
      <xdr:xfrm>
        <a:off x="6228715" y="28094940"/>
        <a:ext cx="4264660" cy="416814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43</xdr:col>
      <xdr:colOff>75565</xdr:colOff>
      <xdr:row>146</xdr:row>
      <xdr:rowOff>123190</xdr:rowOff>
    </xdr:from>
    <xdr:to>
      <xdr:col>49</xdr:col>
      <xdr:colOff>569595</xdr:colOff>
      <xdr:row>169</xdr:row>
      <xdr:rowOff>131445</xdr:rowOff>
    </xdr:to>
    <xdr:graphicFrame>
      <xdr:nvGraphicFramePr>
        <xdr:cNvPr id="17" name="图表 16"/>
        <xdr:cNvGraphicFramePr/>
      </xdr:nvGraphicFramePr>
      <xdr:xfrm>
        <a:off x="6256655" y="24099520"/>
        <a:ext cx="4231640" cy="378587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38735</xdr:colOff>
      <xdr:row>197</xdr:row>
      <xdr:rowOff>58420</xdr:rowOff>
    </xdr:from>
    <xdr:to>
      <xdr:col>49</xdr:col>
      <xdr:colOff>563880</xdr:colOff>
      <xdr:row>218</xdr:row>
      <xdr:rowOff>143510</xdr:rowOff>
    </xdr:to>
    <xdr:graphicFrame>
      <xdr:nvGraphicFramePr>
        <xdr:cNvPr id="18" name="图表 17"/>
        <xdr:cNvGraphicFramePr/>
      </xdr:nvGraphicFramePr>
      <xdr:xfrm>
        <a:off x="6219825" y="32409130"/>
        <a:ext cx="4262755" cy="3535045"/>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43</xdr:col>
      <xdr:colOff>20955</xdr:colOff>
      <xdr:row>220</xdr:row>
      <xdr:rowOff>17145</xdr:rowOff>
    </xdr:from>
    <xdr:to>
      <xdr:col>49</xdr:col>
      <xdr:colOff>546100</xdr:colOff>
      <xdr:row>241</xdr:row>
      <xdr:rowOff>102235</xdr:rowOff>
    </xdr:to>
    <xdr:graphicFrame>
      <xdr:nvGraphicFramePr>
        <xdr:cNvPr id="9" name="图表 8"/>
        <xdr:cNvGraphicFramePr/>
      </xdr:nvGraphicFramePr>
      <xdr:xfrm>
        <a:off x="6202045" y="36145470"/>
        <a:ext cx="4262755" cy="3535045"/>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8730;&#8730;&#8730;&#36164;&#26009;&#25991;&#20214;\2&#12289;&#24211;&#23384;&#20998;&#26512;\3&#12289;&#20122;&#39532;&#36874;&#24211;&#23384;&#20998;&#26512;\2023&#24180;\10.13\&#20122;&#39532;&#36874;&#24211;&#23384;&#20998;&#26512;20231013.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1店"/>
      <sheetName val="1店辅助表"/>
      <sheetName val="2店"/>
      <sheetName val="2店辅助表"/>
      <sheetName val="3店"/>
      <sheetName val="3店辅助表"/>
      <sheetName val="4店"/>
      <sheetName val="4店辅助表"/>
      <sheetName val="5店"/>
      <sheetName val="5店辅助表"/>
      <sheetName val="6店"/>
      <sheetName val="6店辅助表"/>
      <sheetName val="7店"/>
      <sheetName val="7店辅助表"/>
      <sheetName val="8店"/>
      <sheetName val="8店辅助表"/>
      <sheetName val="9店"/>
      <sheetName val="9店辅助表"/>
      <sheetName val="10店"/>
      <sheetName val="10店辅助表"/>
      <sheetName val="趋势图45天"/>
    </sheetNames>
    <sheetDataSet>
      <sheetData sheetId="0">
        <row r="1">
          <cell r="B1">
            <v>126</v>
          </cell>
          <cell r="C1" t="str">
            <v>已经把长期无库存且决定后期不再做的sku删除</v>
          </cell>
        </row>
        <row r="1">
          <cell r="K1">
            <v>2898</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
（近7天）</v>
          </cell>
          <cell r="X2" t="str">
            <v>库存报警（超1.5个月）45天</v>
          </cell>
          <cell r="Y2" t="str">
            <v>7天
广告花费</v>
          </cell>
          <cell r="Z2" t="str">
            <v>15天
广告花费</v>
          </cell>
          <cell r="AA2" t="str">
            <v>30天
广告花费</v>
          </cell>
          <cell r="AB2" t="str">
            <v>7天
ACOS</v>
          </cell>
        </row>
        <row r="3">
          <cell r="B3" t="str">
            <v>合计</v>
          </cell>
        </row>
        <row r="3">
          <cell r="K3">
            <v>2898</v>
          </cell>
        </row>
        <row r="3">
          <cell r="M3">
            <v>65474.843</v>
          </cell>
          <cell r="N3">
            <v>261</v>
          </cell>
          <cell r="O3">
            <v>453</v>
          </cell>
          <cell r="P3">
            <v>872</v>
          </cell>
          <cell r="Q3">
            <v>216</v>
          </cell>
          <cell r="R3">
            <v>45</v>
          </cell>
        </row>
        <row r="3">
          <cell r="Y3">
            <v>426.05854</v>
          </cell>
          <cell r="Z3">
            <v>842.39344</v>
          </cell>
          <cell r="AA3">
            <v>1496.74524</v>
          </cell>
        </row>
        <row r="4">
          <cell r="A4" t="str">
            <v>晓美</v>
          </cell>
          <cell r="B4" t="str">
            <v>E02000-BL+E02013-1</v>
          </cell>
          <cell r="C4" t="str">
            <v>中性LG Stylo 5 黑色</v>
          </cell>
        </row>
        <row r="4">
          <cell r="E4" t="str">
            <v>B082ZHYZYW</v>
          </cell>
          <cell r="F4">
            <v>0</v>
          </cell>
          <cell r="G4">
            <v>1</v>
          </cell>
          <cell r="H4">
            <v>0</v>
          </cell>
          <cell r="I4">
            <v>0</v>
          </cell>
          <cell r="J4">
            <v>0</v>
          </cell>
          <cell r="K4">
            <v>1</v>
          </cell>
          <cell r="L4">
            <v>13.9</v>
          </cell>
          <cell r="M4">
            <v>13.9</v>
          </cell>
          <cell r="N4">
            <v>0</v>
          </cell>
          <cell r="O4">
            <v>0</v>
          </cell>
          <cell r="P4">
            <v>0</v>
          </cell>
          <cell r="Q4">
            <v>0</v>
          </cell>
          <cell r="R4">
            <v>0</v>
          </cell>
          <cell r="S4" t="str">
            <v>-</v>
          </cell>
          <cell r="T4" t="str">
            <v>-</v>
          </cell>
          <cell r="U4" t="str">
            <v>-</v>
          </cell>
          <cell r="V4" t="str">
            <v>-</v>
          </cell>
          <cell r="W4" t="str">
            <v>有库存无销量</v>
          </cell>
          <cell r="X4" t="str">
            <v>有库存无销量</v>
          </cell>
          <cell r="Y4">
            <v>0</v>
          </cell>
          <cell r="Z4">
            <v>0</v>
          </cell>
          <cell r="AA4">
            <v>0</v>
          </cell>
          <cell r="AB4" t="str">
            <v>-</v>
          </cell>
        </row>
        <row r="5">
          <cell r="A5" t="str">
            <v>晓美</v>
          </cell>
          <cell r="B5" t="str">
            <v>E02055-BL+E02058-1</v>
          </cell>
          <cell r="C5" t="str">
            <v>中性三星 A10e 黑色</v>
          </cell>
        </row>
        <row r="5">
          <cell r="E5" t="str">
            <v>B082ZH8J18</v>
          </cell>
          <cell r="F5">
            <v>0</v>
          </cell>
          <cell r="G5">
            <v>1</v>
          </cell>
          <cell r="H5">
            <v>0</v>
          </cell>
          <cell r="I5">
            <v>0</v>
          </cell>
          <cell r="J5">
            <v>0</v>
          </cell>
          <cell r="K5">
            <v>1</v>
          </cell>
          <cell r="L5">
            <v>13.9</v>
          </cell>
          <cell r="M5">
            <v>13.9</v>
          </cell>
          <cell r="N5">
            <v>0</v>
          </cell>
          <cell r="O5">
            <v>0</v>
          </cell>
          <cell r="P5">
            <v>0</v>
          </cell>
          <cell r="Q5">
            <v>0</v>
          </cell>
          <cell r="R5">
            <v>0</v>
          </cell>
          <cell r="S5" t="str">
            <v>-</v>
          </cell>
          <cell r="T5" t="str">
            <v>-</v>
          </cell>
          <cell r="U5" t="str">
            <v>-</v>
          </cell>
          <cell r="V5" t="str">
            <v>-</v>
          </cell>
          <cell r="W5" t="str">
            <v>有库存无销量</v>
          </cell>
          <cell r="X5" t="str">
            <v>有库存无销量</v>
          </cell>
          <cell r="Y5">
            <v>0</v>
          </cell>
          <cell r="Z5">
            <v>0</v>
          </cell>
          <cell r="AA5">
            <v>0</v>
          </cell>
          <cell r="AB5" t="str">
            <v>-</v>
          </cell>
        </row>
        <row r="6">
          <cell r="A6" t="str">
            <v>晓美</v>
          </cell>
          <cell r="B6" t="str">
            <v>E02391-NB+E02394+E02377</v>
          </cell>
          <cell r="C6" t="str">
            <v>中性三星 A20S 深蓝+蓝色</v>
          </cell>
        </row>
        <row r="6">
          <cell r="E6" t="str">
            <v>B0893WXS3D</v>
          </cell>
          <cell r="F6">
            <v>0</v>
          </cell>
          <cell r="G6">
            <v>1</v>
          </cell>
          <cell r="H6">
            <v>0</v>
          </cell>
          <cell r="I6">
            <v>0</v>
          </cell>
          <cell r="J6">
            <v>0</v>
          </cell>
          <cell r="K6">
            <v>1</v>
          </cell>
          <cell r="L6">
            <v>13.9</v>
          </cell>
          <cell r="M6">
            <v>13.9</v>
          </cell>
          <cell r="N6">
            <v>0</v>
          </cell>
          <cell r="O6">
            <v>0</v>
          </cell>
          <cell r="P6">
            <v>0</v>
          </cell>
          <cell r="Q6">
            <v>0</v>
          </cell>
          <cell r="R6">
            <v>0</v>
          </cell>
          <cell r="S6" t="str">
            <v>-</v>
          </cell>
          <cell r="T6" t="str">
            <v>-</v>
          </cell>
          <cell r="U6" t="str">
            <v>-</v>
          </cell>
          <cell r="V6" t="str">
            <v>-</v>
          </cell>
          <cell r="W6" t="str">
            <v>有库存无销量</v>
          </cell>
          <cell r="X6" t="str">
            <v>有库存无销量</v>
          </cell>
          <cell r="Y6">
            <v>0</v>
          </cell>
          <cell r="Z6">
            <v>0</v>
          </cell>
          <cell r="AA6">
            <v>0</v>
          </cell>
          <cell r="AB6" t="str">
            <v>-</v>
          </cell>
        </row>
        <row r="7">
          <cell r="A7" t="str">
            <v>晓美</v>
          </cell>
          <cell r="B7" t="str">
            <v>E02563-OR+E02564+E02571-1</v>
          </cell>
          <cell r="C7" t="str">
            <v>中性三星 A11 黑橙</v>
          </cell>
        </row>
        <row r="7">
          <cell r="E7" t="str">
            <v>B08GCM8SD7</v>
          </cell>
          <cell r="F7">
            <v>0</v>
          </cell>
          <cell r="G7">
            <v>1</v>
          </cell>
          <cell r="H7">
            <v>0</v>
          </cell>
          <cell r="I7">
            <v>0</v>
          </cell>
          <cell r="J7">
            <v>0</v>
          </cell>
          <cell r="K7">
            <v>1</v>
          </cell>
          <cell r="L7">
            <v>13.9</v>
          </cell>
          <cell r="M7">
            <v>13.9</v>
          </cell>
          <cell r="N7">
            <v>0</v>
          </cell>
          <cell r="O7">
            <v>0</v>
          </cell>
          <cell r="P7">
            <v>0</v>
          </cell>
          <cell r="Q7">
            <v>0</v>
          </cell>
          <cell r="R7">
            <v>0</v>
          </cell>
          <cell r="S7" t="str">
            <v>-</v>
          </cell>
          <cell r="T7" t="str">
            <v>-</v>
          </cell>
          <cell r="U7" t="str">
            <v>-</v>
          </cell>
          <cell r="V7" t="str">
            <v>-</v>
          </cell>
          <cell r="W7" t="str">
            <v>有库存无销量</v>
          </cell>
          <cell r="X7" t="str">
            <v>有库存无销量</v>
          </cell>
          <cell r="Y7">
            <v>0</v>
          </cell>
          <cell r="Z7">
            <v>0</v>
          </cell>
          <cell r="AA7">
            <v>0</v>
          </cell>
          <cell r="AB7" t="str">
            <v>-</v>
          </cell>
        </row>
        <row r="8">
          <cell r="A8" t="str">
            <v>晓美</v>
          </cell>
          <cell r="B8" t="str">
            <v>E02610-BL+E02613+E02634-1</v>
          </cell>
          <cell r="C8" t="str">
            <v>中性iPhone 12 5.4 黑色</v>
          </cell>
        </row>
        <row r="8">
          <cell r="E8" t="str">
            <v>B08K7DG3ZM</v>
          </cell>
          <cell r="F8">
            <v>0</v>
          </cell>
          <cell r="G8">
            <v>1</v>
          </cell>
          <cell r="H8">
            <v>0</v>
          </cell>
          <cell r="I8">
            <v>0</v>
          </cell>
          <cell r="J8">
            <v>0</v>
          </cell>
          <cell r="K8">
            <v>1</v>
          </cell>
          <cell r="L8">
            <v>13.9</v>
          </cell>
          <cell r="M8">
            <v>13.9</v>
          </cell>
          <cell r="N8">
            <v>0</v>
          </cell>
          <cell r="O8">
            <v>0</v>
          </cell>
          <cell r="P8">
            <v>0</v>
          </cell>
          <cell r="Q8">
            <v>0</v>
          </cell>
          <cell r="R8">
            <v>0</v>
          </cell>
          <cell r="S8" t="str">
            <v>-</v>
          </cell>
          <cell r="T8" t="str">
            <v>-</v>
          </cell>
          <cell r="U8" t="str">
            <v>-</v>
          </cell>
          <cell r="V8" t="str">
            <v>-</v>
          </cell>
          <cell r="W8" t="str">
            <v>有库存无销量</v>
          </cell>
          <cell r="X8" t="str">
            <v>有库存无销量</v>
          </cell>
          <cell r="Y8">
            <v>0</v>
          </cell>
          <cell r="Z8">
            <v>0</v>
          </cell>
          <cell r="AA8">
            <v>0</v>
          </cell>
          <cell r="AB8" t="str">
            <v>-</v>
          </cell>
        </row>
        <row r="9">
          <cell r="A9" t="str">
            <v>晓美</v>
          </cell>
          <cell r="B9" t="str">
            <v>E02611-NB+E02614+E02635</v>
          </cell>
          <cell r="C9" t="str">
            <v>中性iPhone 12 6.1 深蓝+蓝色</v>
          </cell>
        </row>
        <row r="9">
          <cell r="E9" t="str">
            <v>B08J3L63G9</v>
          </cell>
          <cell r="F9">
            <v>0</v>
          </cell>
          <cell r="G9">
            <v>4</v>
          </cell>
          <cell r="H9">
            <v>0</v>
          </cell>
          <cell r="I9">
            <v>0</v>
          </cell>
          <cell r="J9">
            <v>0</v>
          </cell>
          <cell r="K9">
            <v>4</v>
          </cell>
          <cell r="L9">
            <v>13.9</v>
          </cell>
          <cell r="M9">
            <v>55.6</v>
          </cell>
          <cell r="N9">
            <v>0</v>
          </cell>
          <cell r="O9">
            <v>0</v>
          </cell>
          <cell r="P9">
            <v>0</v>
          </cell>
          <cell r="Q9">
            <v>0</v>
          </cell>
          <cell r="R9">
            <v>0</v>
          </cell>
          <cell r="S9" t="str">
            <v>-</v>
          </cell>
          <cell r="T9" t="str">
            <v>-</v>
          </cell>
          <cell r="U9" t="str">
            <v>-</v>
          </cell>
          <cell r="V9" t="str">
            <v>-</v>
          </cell>
          <cell r="W9" t="str">
            <v>有库存无销量</v>
          </cell>
          <cell r="X9" t="str">
            <v>有库存无销量</v>
          </cell>
          <cell r="Y9">
            <v>0</v>
          </cell>
          <cell r="Z9">
            <v>0</v>
          </cell>
          <cell r="AA9">
            <v>0</v>
          </cell>
          <cell r="AB9" t="str">
            <v>-</v>
          </cell>
        </row>
        <row r="10">
          <cell r="A10" t="str">
            <v>晓美</v>
          </cell>
          <cell r="B10" t="str">
            <v>E02615+2</v>
          </cell>
          <cell r="C10" t="str">
            <v>中性背夹两只装iphone 13 6.7</v>
          </cell>
        </row>
        <row r="10">
          <cell r="E10" t="str">
            <v>B09MVS2CHC</v>
          </cell>
          <cell r="F10">
            <v>0</v>
          </cell>
          <cell r="G10">
            <v>1</v>
          </cell>
          <cell r="H10">
            <v>0</v>
          </cell>
          <cell r="I10">
            <v>0</v>
          </cell>
          <cell r="J10">
            <v>0</v>
          </cell>
          <cell r="K10">
            <v>1</v>
          </cell>
          <cell r="L10">
            <v>6</v>
          </cell>
          <cell r="M10">
            <v>6</v>
          </cell>
          <cell r="N10">
            <v>0</v>
          </cell>
          <cell r="O10">
            <v>0</v>
          </cell>
          <cell r="P10">
            <v>0</v>
          </cell>
          <cell r="Q10">
            <v>0</v>
          </cell>
          <cell r="R10">
            <v>0</v>
          </cell>
          <cell r="S10" t="str">
            <v>-</v>
          </cell>
          <cell r="T10" t="str">
            <v>-</v>
          </cell>
          <cell r="U10" t="str">
            <v>-</v>
          </cell>
          <cell r="V10" t="str">
            <v>-</v>
          </cell>
          <cell r="W10" t="str">
            <v>有库存无销量</v>
          </cell>
          <cell r="X10" t="str">
            <v>有库存无销量</v>
          </cell>
          <cell r="Y10">
            <v>0</v>
          </cell>
          <cell r="Z10">
            <v>0</v>
          </cell>
          <cell r="AA10">
            <v>0</v>
          </cell>
          <cell r="AB10" t="str">
            <v>-</v>
          </cell>
        </row>
        <row r="11">
          <cell r="A11" t="str">
            <v>晓美</v>
          </cell>
          <cell r="B11" t="str">
            <v>E02648-BL+E02649+E02381-1</v>
          </cell>
          <cell r="C11" t="str">
            <v>中性三星A71 5G 黑色</v>
          </cell>
        </row>
        <row r="11">
          <cell r="E11" t="str">
            <v>B08GCNMWTF</v>
          </cell>
          <cell r="F11">
            <v>0</v>
          </cell>
          <cell r="G11">
            <v>1</v>
          </cell>
          <cell r="H11">
            <v>0</v>
          </cell>
          <cell r="I11">
            <v>0</v>
          </cell>
          <cell r="J11">
            <v>0</v>
          </cell>
          <cell r="K11">
            <v>1</v>
          </cell>
          <cell r="L11">
            <v>13.9</v>
          </cell>
          <cell r="M11">
            <v>13.9</v>
          </cell>
          <cell r="N11">
            <v>0</v>
          </cell>
          <cell r="O11">
            <v>0</v>
          </cell>
          <cell r="P11">
            <v>0</v>
          </cell>
          <cell r="Q11">
            <v>0</v>
          </cell>
          <cell r="R11">
            <v>0</v>
          </cell>
          <cell r="S11" t="str">
            <v>-</v>
          </cell>
          <cell r="T11" t="str">
            <v>-</v>
          </cell>
          <cell r="U11" t="str">
            <v>-</v>
          </cell>
          <cell r="V11" t="str">
            <v>-</v>
          </cell>
          <cell r="W11" t="str">
            <v>有库存无销量</v>
          </cell>
          <cell r="X11" t="str">
            <v>有库存无销量</v>
          </cell>
          <cell r="Y11">
            <v>0</v>
          </cell>
          <cell r="Z11">
            <v>0</v>
          </cell>
          <cell r="AA11">
            <v>0</v>
          </cell>
          <cell r="AB11" t="str">
            <v>-</v>
          </cell>
        </row>
        <row r="12">
          <cell r="A12" t="str">
            <v>晓美</v>
          </cell>
          <cell r="B12" t="str">
            <v>E02648-NB+E02649+E02381-1</v>
          </cell>
          <cell r="C12" t="str">
            <v>中性三星A71 5G 深蓝+蓝色</v>
          </cell>
        </row>
        <row r="12">
          <cell r="E12" t="str">
            <v>B08GCNFS6G</v>
          </cell>
          <cell r="F12">
            <v>0</v>
          </cell>
          <cell r="G12">
            <v>1</v>
          </cell>
          <cell r="H12">
            <v>0</v>
          </cell>
          <cell r="I12">
            <v>0</v>
          </cell>
          <cell r="J12">
            <v>0</v>
          </cell>
          <cell r="K12">
            <v>1</v>
          </cell>
          <cell r="L12">
            <v>13.9</v>
          </cell>
          <cell r="M12">
            <v>13.9</v>
          </cell>
          <cell r="N12">
            <v>0</v>
          </cell>
          <cell r="O12">
            <v>0</v>
          </cell>
          <cell r="P12">
            <v>0</v>
          </cell>
          <cell r="Q12">
            <v>0</v>
          </cell>
          <cell r="R12">
            <v>0</v>
          </cell>
          <cell r="S12" t="str">
            <v>-</v>
          </cell>
          <cell r="T12" t="str">
            <v>-</v>
          </cell>
          <cell r="U12" t="str">
            <v>-</v>
          </cell>
          <cell r="V12" t="str">
            <v>-</v>
          </cell>
          <cell r="W12" t="str">
            <v>有库存无销量</v>
          </cell>
          <cell r="X12" t="str">
            <v>有库存无销量</v>
          </cell>
          <cell r="Y12">
            <v>0</v>
          </cell>
          <cell r="Z12">
            <v>0</v>
          </cell>
          <cell r="AA12">
            <v>0</v>
          </cell>
          <cell r="AB12" t="str">
            <v>-</v>
          </cell>
        </row>
        <row r="13">
          <cell r="A13" t="str">
            <v>晓美</v>
          </cell>
          <cell r="B13" t="str">
            <v>E02691-BL+E02692+E02734-1</v>
          </cell>
          <cell r="C13" t="str">
            <v>中性Moto G Fast 黑色</v>
          </cell>
        </row>
        <row r="13">
          <cell r="E13" t="str">
            <v>B08J7K7WL3</v>
          </cell>
          <cell r="F13">
            <v>0</v>
          </cell>
          <cell r="G13">
            <v>1</v>
          </cell>
          <cell r="H13">
            <v>0</v>
          </cell>
          <cell r="I13">
            <v>0</v>
          </cell>
          <cell r="J13">
            <v>0</v>
          </cell>
          <cell r="K13">
            <v>1</v>
          </cell>
          <cell r="L13">
            <v>13.9</v>
          </cell>
          <cell r="M13">
            <v>13.9</v>
          </cell>
          <cell r="N13">
            <v>0</v>
          </cell>
          <cell r="O13">
            <v>0</v>
          </cell>
          <cell r="P13">
            <v>0</v>
          </cell>
          <cell r="Q13">
            <v>0</v>
          </cell>
          <cell r="R13">
            <v>0</v>
          </cell>
          <cell r="S13" t="str">
            <v>-</v>
          </cell>
          <cell r="T13" t="str">
            <v>-</v>
          </cell>
          <cell r="U13" t="str">
            <v>-</v>
          </cell>
          <cell r="V13" t="str">
            <v>-</v>
          </cell>
          <cell r="W13" t="str">
            <v>有库存无销量</v>
          </cell>
          <cell r="X13" t="str">
            <v>有库存无销量</v>
          </cell>
          <cell r="Y13">
            <v>0</v>
          </cell>
          <cell r="Z13">
            <v>0</v>
          </cell>
          <cell r="AA13">
            <v>0</v>
          </cell>
          <cell r="AB13" t="str">
            <v>-</v>
          </cell>
        </row>
        <row r="14">
          <cell r="A14" t="str">
            <v>晓美</v>
          </cell>
          <cell r="B14" t="str">
            <v>E02995-DB+E02997+E03011-1</v>
          </cell>
          <cell r="C14" t="str">
            <v>中性LG K92 5G 深蓝+蓝色</v>
          </cell>
        </row>
        <row r="14">
          <cell r="E14" t="str">
            <v>B08T79XTRF</v>
          </cell>
          <cell r="F14">
            <v>0</v>
          </cell>
          <cell r="G14">
            <v>1</v>
          </cell>
          <cell r="H14">
            <v>0</v>
          </cell>
          <cell r="I14">
            <v>0</v>
          </cell>
          <cell r="J14">
            <v>0</v>
          </cell>
          <cell r="K14">
            <v>1</v>
          </cell>
          <cell r="L14">
            <v>13.9</v>
          </cell>
          <cell r="M14">
            <v>13.9</v>
          </cell>
          <cell r="N14">
            <v>0</v>
          </cell>
          <cell r="O14">
            <v>0</v>
          </cell>
          <cell r="P14">
            <v>0</v>
          </cell>
          <cell r="Q14">
            <v>0</v>
          </cell>
          <cell r="R14">
            <v>0</v>
          </cell>
          <cell r="S14" t="str">
            <v>-</v>
          </cell>
          <cell r="T14" t="str">
            <v>-</v>
          </cell>
          <cell r="U14" t="str">
            <v>-</v>
          </cell>
          <cell r="V14" t="str">
            <v>-</v>
          </cell>
          <cell r="W14" t="str">
            <v>有库存无销量</v>
          </cell>
          <cell r="X14" t="str">
            <v>有库存无销量</v>
          </cell>
          <cell r="Y14">
            <v>0</v>
          </cell>
          <cell r="Z14">
            <v>0</v>
          </cell>
          <cell r="AA14">
            <v>0</v>
          </cell>
          <cell r="AB14" t="str">
            <v>-</v>
          </cell>
        </row>
        <row r="15">
          <cell r="A15" t="str">
            <v>晓美</v>
          </cell>
          <cell r="B15" t="str">
            <v>E03040-OR+E03045+E03043-1</v>
          </cell>
          <cell r="C15" t="str">
            <v>中性三星 A02S 黑橙</v>
          </cell>
        </row>
        <row r="15">
          <cell r="E15" t="str">
            <v>B08T7C72Q8</v>
          </cell>
          <cell r="F15">
            <v>0</v>
          </cell>
          <cell r="G15">
            <v>2</v>
          </cell>
          <cell r="H15">
            <v>0</v>
          </cell>
          <cell r="I15">
            <v>0</v>
          </cell>
          <cell r="J15">
            <v>0</v>
          </cell>
          <cell r="K15">
            <v>2</v>
          </cell>
          <cell r="L15">
            <v>13.9</v>
          </cell>
          <cell r="M15">
            <v>27.8</v>
          </cell>
          <cell r="N15">
            <v>0</v>
          </cell>
          <cell r="O15">
            <v>0</v>
          </cell>
          <cell r="P15">
            <v>0</v>
          </cell>
          <cell r="Q15">
            <v>0</v>
          </cell>
          <cell r="R15">
            <v>0</v>
          </cell>
          <cell r="S15" t="str">
            <v>-</v>
          </cell>
          <cell r="T15" t="str">
            <v>-</v>
          </cell>
          <cell r="U15" t="str">
            <v>-</v>
          </cell>
          <cell r="V15" t="str">
            <v>-</v>
          </cell>
          <cell r="W15" t="str">
            <v>有库存无销量</v>
          </cell>
          <cell r="X15" t="str">
            <v>有库存无销量</v>
          </cell>
          <cell r="Y15">
            <v>0</v>
          </cell>
          <cell r="Z15">
            <v>0</v>
          </cell>
          <cell r="AA15">
            <v>0</v>
          </cell>
          <cell r="AB15" t="str">
            <v>-</v>
          </cell>
        </row>
        <row r="16">
          <cell r="A16" t="str">
            <v>晓美</v>
          </cell>
          <cell r="B16" t="str">
            <v>E03134-BL+E03137+E03268</v>
          </cell>
          <cell r="C16" t="str">
            <v>中性Moto G Power 2021 黑色</v>
          </cell>
        </row>
        <row r="16">
          <cell r="E16" t="str">
            <v>B0936R1WXN</v>
          </cell>
          <cell r="F16">
            <v>0</v>
          </cell>
          <cell r="G16">
            <v>2</v>
          </cell>
          <cell r="H16">
            <v>0</v>
          </cell>
          <cell r="I16">
            <v>0</v>
          </cell>
          <cell r="J16">
            <v>0</v>
          </cell>
          <cell r="K16">
            <v>2</v>
          </cell>
          <cell r="L16">
            <v>13.9</v>
          </cell>
          <cell r="M16">
            <v>27.8</v>
          </cell>
          <cell r="N16">
            <v>0</v>
          </cell>
          <cell r="O16">
            <v>0</v>
          </cell>
          <cell r="P16">
            <v>0</v>
          </cell>
          <cell r="Q16">
            <v>0</v>
          </cell>
          <cell r="R16">
            <v>0</v>
          </cell>
          <cell r="S16" t="str">
            <v>-</v>
          </cell>
          <cell r="T16" t="str">
            <v>-</v>
          </cell>
          <cell r="U16" t="str">
            <v>-</v>
          </cell>
          <cell r="V16" t="str">
            <v>-</v>
          </cell>
          <cell r="W16" t="str">
            <v>有库存无销量</v>
          </cell>
          <cell r="X16" t="str">
            <v>有库存无销量</v>
          </cell>
          <cell r="Y16">
            <v>0</v>
          </cell>
          <cell r="Z16">
            <v>0</v>
          </cell>
          <cell r="AA16">
            <v>0</v>
          </cell>
          <cell r="AB16" t="str">
            <v>-</v>
          </cell>
        </row>
        <row r="17">
          <cell r="A17" t="str">
            <v>晓美</v>
          </cell>
          <cell r="B17" t="str">
            <v>E03134-OR+E03137+E03268</v>
          </cell>
          <cell r="C17" t="str">
            <v>中性Moto G Power 2021 黑橙</v>
          </cell>
        </row>
        <row r="17">
          <cell r="E17" t="str">
            <v>B09369PSCV</v>
          </cell>
          <cell r="F17">
            <v>0</v>
          </cell>
          <cell r="G17">
            <v>2</v>
          </cell>
          <cell r="H17">
            <v>0</v>
          </cell>
          <cell r="I17">
            <v>0</v>
          </cell>
          <cell r="J17">
            <v>0</v>
          </cell>
          <cell r="K17">
            <v>2</v>
          </cell>
          <cell r="L17">
            <v>13.9</v>
          </cell>
          <cell r="M17">
            <v>27.8</v>
          </cell>
          <cell r="N17">
            <v>0</v>
          </cell>
          <cell r="O17">
            <v>0</v>
          </cell>
          <cell r="P17">
            <v>0</v>
          </cell>
          <cell r="Q17">
            <v>0</v>
          </cell>
          <cell r="R17">
            <v>0</v>
          </cell>
          <cell r="S17" t="str">
            <v>-</v>
          </cell>
          <cell r="T17" t="str">
            <v>-</v>
          </cell>
          <cell r="U17" t="str">
            <v>-</v>
          </cell>
          <cell r="V17" t="str">
            <v>-</v>
          </cell>
          <cell r="W17" t="str">
            <v>有库存无销量</v>
          </cell>
          <cell r="X17" t="str">
            <v>有库存无销量</v>
          </cell>
          <cell r="Y17">
            <v>0</v>
          </cell>
          <cell r="Z17">
            <v>0</v>
          </cell>
          <cell r="AA17">
            <v>0</v>
          </cell>
          <cell r="AB17" t="str">
            <v>-</v>
          </cell>
        </row>
        <row r="18">
          <cell r="A18" t="str">
            <v>晓美</v>
          </cell>
          <cell r="B18" t="str">
            <v>E03230-BL+E03231+E03240</v>
          </cell>
          <cell r="C18" t="str">
            <v> 中性三星 A32 5G 黑色</v>
          </cell>
        </row>
        <row r="18">
          <cell r="E18" t="str">
            <v>B091T9YF4Y</v>
          </cell>
          <cell r="F18">
            <v>0</v>
          </cell>
          <cell r="G18">
            <v>1</v>
          </cell>
          <cell r="H18">
            <v>0</v>
          </cell>
          <cell r="I18">
            <v>0</v>
          </cell>
          <cell r="J18">
            <v>0</v>
          </cell>
          <cell r="K18">
            <v>1</v>
          </cell>
          <cell r="L18">
            <v>13.9</v>
          </cell>
          <cell r="M18">
            <v>13.9</v>
          </cell>
          <cell r="N18">
            <v>0</v>
          </cell>
          <cell r="O18">
            <v>0</v>
          </cell>
          <cell r="P18">
            <v>0</v>
          </cell>
          <cell r="Q18">
            <v>0</v>
          </cell>
          <cell r="R18">
            <v>0</v>
          </cell>
          <cell r="S18" t="str">
            <v>-</v>
          </cell>
          <cell r="T18" t="str">
            <v>-</v>
          </cell>
          <cell r="U18" t="str">
            <v>-</v>
          </cell>
          <cell r="V18" t="str">
            <v>-</v>
          </cell>
          <cell r="W18" t="str">
            <v>有库存无销量</v>
          </cell>
          <cell r="X18" t="str">
            <v>有库存无销量</v>
          </cell>
          <cell r="Y18">
            <v>0</v>
          </cell>
          <cell r="Z18">
            <v>0</v>
          </cell>
          <cell r="AA18">
            <v>0</v>
          </cell>
          <cell r="AB18" t="str">
            <v>-</v>
          </cell>
        </row>
        <row r="19">
          <cell r="A19" t="str">
            <v>晓美</v>
          </cell>
          <cell r="B19" t="str">
            <v>E03405-NA+E03406+E03397</v>
          </cell>
          <cell r="C19" t="str">
            <v>中性三星 A42 5G 深蓝+蓝</v>
          </cell>
        </row>
        <row r="19">
          <cell r="E19" t="str">
            <v>B095RXWMKG</v>
          </cell>
          <cell r="F19">
            <v>0</v>
          </cell>
          <cell r="G19">
            <v>2</v>
          </cell>
          <cell r="H19">
            <v>0</v>
          </cell>
          <cell r="I19">
            <v>0</v>
          </cell>
          <cell r="J19">
            <v>0</v>
          </cell>
          <cell r="K19">
            <v>2</v>
          </cell>
          <cell r="L19">
            <v>13.9</v>
          </cell>
          <cell r="M19">
            <v>27.8</v>
          </cell>
          <cell r="N19">
            <v>0</v>
          </cell>
          <cell r="O19">
            <v>0</v>
          </cell>
          <cell r="P19">
            <v>0</v>
          </cell>
          <cell r="Q19">
            <v>0</v>
          </cell>
          <cell r="R19">
            <v>0</v>
          </cell>
          <cell r="S19" t="str">
            <v>-</v>
          </cell>
          <cell r="T19" t="str">
            <v>-</v>
          </cell>
          <cell r="U19" t="str">
            <v>-</v>
          </cell>
          <cell r="V19" t="str">
            <v>-</v>
          </cell>
          <cell r="W19" t="str">
            <v>有库存无销量</v>
          </cell>
          <cell r="X19" t="str">
            <v>有库存无销量</v>
          </cell>
          <cell r="Y19">
            <v>0</v>
          </cell>
          <cell r="Z19">
            <v>0</v>
          </cell>
          <cell r="AA19">
            <v>0</v>
          </cell>
          <cell r="AB19" t="str">
            <v>-</v>
          </cell>
        </row>
        <row r="20">
          <cell r="A20" t="str">
            <v>晓美</v>
          </cell>
          <cell r="B20" t="str">
            <v>E03474-BL+E02614+Y03477</v>
          </cell>
          <cell r="C20" t="str">
            <v>中性iphone 13 pro 黑</v>
          </cell>
        </row>
        <row r="20">
          <cell r="E20" t="str">
            <v>B09BCPCM7F</v>
          </cell>
          <cell r="F20">
            <v>0</v>
          </cell>
          <cell r="G20">
            <v>1</v>
          </cell>
          <cell r="H20">
            <v>0</v>
          </cell>
          <cell r="I20">
            <v>0</v>
          </cell>
          <cell r="J20">
            <v>0</v>
          </cell>
          <cell r="K20">
            <v>1</v>
          </cell>
          <cell r="L20">
            <v>13.9</v>
          </cell>
          <cell r="M20">
            <v>13.9</v>
          </cell>
          <cell r="N20">
            <v>0</v>
          </cell>
          <cell r="O20">
            <v>0</v>
          </cell>
          <cell r="P20">
            <v>0</v>
          </cell>
          <cell r="Q20">
            <v>0</v>
          </cell>
          <cell r="R20">
            <v>0</v>
          </cell>
          <cell r="S20" t="str">
            <v>-</v>
          </cell>
          <cell r="T20" t="str">
            <v>-</v>
          </cell>
          <cell r="U20" t="str">
            <v>-</v>
          </cell>
          <cell r="V20" t="str">
            <v>-</v>
          </cell>
          <cell r="W20" t="str">
            <v>有库存无销量</v>
          </cell>
          <cell r="X20" t="str">
            <v>有库存无销量</v>
          </cell>
          <cell r="Y20">
            <v>0</v>
          </cell>
          <cell r="Z20">
            <v>0</v>
          </cell>
          <cell r="AA20">
            <v>0</v>
          </cell>
          <cell r="AB20" t="str">
            <v>-</v>
          </cell>
        </row>
        <row r="21">
          <cell r="A21" t="str">
            <v>晓美</v>
          </cell>
          <cell r="B21" t="str">
            <v>E03475-BL+E02615+Y03478</v>
          </cell>
          <cell r="C21" t="str">
            <v>中性iphone 13 pro max 黑</v>
          </cell>
        </row>
        <row r="21">
          <cell r="E21" t="str">
            <v>B09BCP7B4K</v>
          </cell>
          <cell r="F21">
            <v>0</v>
          </cell>
          <cell r="G21">
            <v>1</v>
          </cell>
          <cell r="H21">
            <v>0</v>
          </cell>
          <cell r="I21">
            <v>0</v>
          </cell>
          <cell r="J21">
            <v>0</v>
          </cell>
          <cell r="K21">
            <v>1</v>
          </cell>
          <cell r="L21">
            <v>13.9</v>
          </cell>
          <cell r="M21">
            <v>13.9</v>
          </cell>
          <cell r="N21">
            <v>0</v>
          </cell>
          <cell r="O21">
            <v>0</v>
          </cell>
          <cell r="P21">
            <v>0</v>
          </cell>
          <cell r="Q21">
            <v>0</v>
          </cell>
          <cell r="R21">
            <v>0</v>
          </cell>
          <cell r="S21" t="str">
            <v>-</v>
          </cell>
          <cell r="T21" t="str">
            <v>-</v>
          </cell>
          <cell r="U21" t="str">
            <v>-</v>
          </cell>
          <cell r="V21" t="str">
            <v>-</v>
          </cell>
          <cell r="W21" t="str">
            <v>有库存无销量</v>
          </cell>
          <cell r="X21" t="str">
            <v>有库存无销量</v>
          </cell>
          <cell r="Y21">
            <v>0</v>
          </cell>
          <cell r="Z21">
            <v>0</v>
          </cell>
          <cell r="AA21">
            <v>0</v>
          </cell>
          <cell r="AB21" t="str">
            <v>-</v>
          </cell>
        </row>
        <row r="22">
          <cell r="A22" t="str">
            <v>晓美</v>
          </cell>
          <cell r="B22" t="str">
            <v>E03475-BU+E02615+Y03478</v>
          </cell>
          <cell r="C22" t="str">
            <v>中性iphone 13 pro max 黑+蓝</v>
          </cell>
        </row>
        <row r="22">
          <cell r="E22" t="str">
            <v>B09BCMTXJ9</v>
          </cell>
          <cell r="F22">
            <v>1</v>
          </cell>
          <cell r="G22">
            <v>0</v>
          </cell>
          <cell r="H22">
            <v>0</v>
          </cell>
          <cell r="I22">
            <v>0</v>
          </cell>
          <cell r="J22">
            <v>0</v>
          </cell>
          <cell r="K22">
            <v>1</v>
          </cell>
          <cell r="L22">
            <v>13.9</v>
          </cell>
          <cell r="M22">
            <v>13.9</v>
          </cell>
          <cell r="N22">
            <v>0</v>
          </cell>
          <cell r="O22">
            <v>0</v>
          </cell>
          <cell r="P22">
            <v>0</v>
          </cell>
          <cell r="Q22">
            <v>0</v>
          </cell>
          <cell r="R22">
            <v>0</v>
          </cell>
          <cell r="S22" t="str">
            <v>-</v>
          </cell>
          <cell r="T22" t="str">
            <v>-</v>
          </cell>
          <cell r="U22" t="str">
            <v>-</v>
          </cell>
          <cell r="V22" t="str">
            <v>-</v>
          </cell>
          <cell r="W22" t="str">
            <v>有库存无销量</v>
          </cell>
          <cell r="X22" t="str">
            <v>有库存无销量</v>
          </cell>
          <cell r="Y22">
            <v>0</v>
          </cell>
          <cell r="Z22">
            <v>0</v>
          </cell>
          <cell r="AA22">
            <v>0</v>
          </cell>
          <cell r="AB22" t="str">
            <v>-</v>
          </cell>
        </row>
        <row r="23">
          <cell r="A23" t="str">
            <v>晓美</v>
          </cell>
          <cell r="B23" t="str">
            <v>E03554-BL+E03555+Y03566</v>
          </cell>
          <cell r="C23" t="str">
            <v>中性Moto Edge 2021 黑</v>
          </cell>
        </row>
        <row r="23">
          <cell r="E23" t="str">
            <v>B09HS8V8YQ</v>
          </cell>
          <cell r="F23">
            <v>0</v>
          </cell>
          <cell r="G23">
            <v>1</v>
          </cell>
          <cell r="H23">
            <v>0</v>
          </cell>
          <cell r="I23">
            <v>0</v>
          </cell>
          <cell r="J23">
            <v>0</v>
          </cell>
          <cell r="K23">
            <v>1</v>
          </cell>
          <cell r="L23">
            <v>13.9</v>
          </cell>
          <cell r="M23">
            <v>13.9</v>
          </cell>
          <cell r="N23">
            <v>0</v>
          </cell>
          <cell r="O23">
            <v>0</v>
          </cell>
          <cell r="P23">
            <v>0</v>
          </cell>
          <cell r="Q23">
            <v>0</v>
          </cell>
          <cell r="R23">
            <v>0</v>
          </cell>
          <cell r="S23" t="str">
            <v>-</v>
          </cell>
          <cell r="T23" t="str">
            <v>-</v>
          </cell>
          <cell r="U23" t="str">
            <v>-</v>
          </cell>
          <cell r="V23" t="str">
            <v>-</v>
          </cell>
          <cell r="W23" t="str">
            <v>有库存无销量</v>
          </cell>
          <cell r="X23" t="str">
            <v>有库存无销量</v>
          </cell>
          <cell r="Y23">
            <v>0</v>
          </cell>
          <cell r="Z23">
            <v>0</v>
          </cell>
          <cell r="AA23">
            <v>0</v>
          </cell>
          <cell r="AB23" t="str">
            <v>-</v>
          </cell>
        </row>
        <row r="24">
          <cell r="A24" t="str">
            <v>晓美</v>
          </cell>
          <cell r="B24" t="str">
            <v>E03630-BL+E03635+Y03643</v>
          </cell>
          <cell r="C24" t="str">
            <v>中性Moto G Pure 黑</v>
          </cell>
        </row>
        <row r="24">
          <cell r="E24" t="str">
            <v>B09KTY4DHF</v>
          </cell>
          <cell r="F24">
            <v>0</v>
          </cell>
          <cell r="G24">
            <v>1</v>
          </cell>
          <cell r="H24">
            <v>0</v>
          </cell>
          <cell r="I24">
            <v>0</v>
          </cell>
          <cell r="J24">
            <v>0</v>
          </cell>
          <cell r="K24">
            <v>1</v>
          </cell>
          <cell r="L24">
            <v>13.9</v>
          </cell>
          <cell r="M24">
            <v>13.9</v>
          </cell>
          <cell r="N24">
            <v>0</v>
          </cell>
          <cell r="O24">
            <v>0</v>
          </cell>
          <cell r="P24">
            <v>0</v>
          </cell>
          <cell r="Q24">
            <v>0</v>
          </cell>
          <cell r="R24">
            <v>0</v>
          </cell>
          <cell r="S24" t="str">
            <v>-</v>
          </cell>
          <cell r="T24" t="str">
            <v>-</v>
          </cell>
          <cell r="U24" t="str">
            <v>-</v>
          </cell>
          <cell r="V24" t="str">
            <v>-</v>
          </cell>
          <cell r="W24" t="str">
            <v>有库存无销量</v>
          </cell>
          <cell r="X24" t="str">
            <v>有库存无销量</v>
          </cell>
          <cell r="Y24">
            <v>0</v>
          </cell>
          <cell r="Z24">
            <v>0</v>
          </cell>
          <cell r="AA24">
            <v>0</v>
          </cell>
          <cell r="AB24" t="str">
            <v>-</v>
          </cell>
        </row>
        <row r="25">
          <cell r="A25" t="str">
            <v>晓美</v>
          </cell>
          <cell r="B25" t="str">
            <v>E03630-BU+E03635+Y03643</v>
          </cell>
          <cell r="C25" t="str">
            <v>中性Moto G Pure 黑+蓝</v>
          </cell>
        </row>
        <row r="25">
          <cell r="E25" t="str">
            <v>B09PBH7ML8</v>
          </cell>
          <cell r="F25">
            <v>0</v>
          </cell>
          <cell r="G25">
            <v>1</v>
          </cell>
          <cell r="H25">
            <v>0</v>
          </cell>
          <cell r="I25">
            <v>0</v>
          </cell>
          <cell r="J25">
            <v>0</v>
          </cell>
          <cell r="K25">
            <v>1</v>
          </cell>
          <cell r="L25">
            <v>13.9</v>
          </cell>
          <cell r="M25">
            <v>13.9</v>
          </cell>
          <cell r="N25">
            <v>0</v>
          </cell>
          <cell r="O25">
            <v>0</v>
          </cell>
          <cell r="P25">
            <v>0</v>
          </cell>
          <cell r="Q25">
            <v>0</v>
          </cell>
          <cell r="R25">
            <v>0</v>
          </cell>
          <cell r="S25" t="str">
            <v>-</v>
          </cell>
          <cell r="T25" t="str">
            <v>-</v>
          </cell>
          <cell r="U25" t="str">
            <v>-</v>
          </cell>
          <cell r="V25" t="str">
            <v>-</v>
          </cell>
          <cell r="W25" t="str">
            <v>有库存无销量</v>
          </cell>
          <cell r="X25" t="str">
            <v>有库存无销量</v>
          </cell>
          <cell r="Y25">
            <v>0</v>
          </cell>
          <cell r="Z25">
            <v>0</v>
          </cell>
          <cell r="AA25">
            <v>0</v>
          </cell>
          <cell r="AB25" t="str">
            <v>-</v>
          </cell>
        </row>
        <row r="26">
          <cell r="A26" t="str">
            <v>晓美</v>
          </cell>
          <cell r="B26" t="str">
            <v>E03630-OR+E03635+Y03643</v>
          </cell>
          <cell r="C26" t="str">
            <v>中性Moto G Pure 黑+橙</v>
          </cell>
        </row>
        <row r="26">
          <cell r="E26" t="str">
            <v>B09KTVCFF4</v>
          </cell>
          <cell r="F26">
            <v>0</v>
          </cell>
          <cell r="G26">
            <v>1</v>
          </cell>
          <cell r="H26">
            <v>0</v>
          </cell>
          <cell r="I26">
            <v>0</v>
          </cell>
          <cell r="J26">
            <v>0</v>
          </cell>
          <cell r="K26">
            <v>1</v>
          </cell>
          <cell r="L26">
            <v>13.9</v>
          </cell>
          <cell r="M26">
            <v>13.9</v>
          </cell>
          <cell r="N26">
            <v>0</v>
          </cell>
          <cell r="O26">
            <v>0</v>
          </cell>
          <cell r="P26">
            <v>0</v>
          </cell>
          <cell r="Q26">
            <v>0</v>
          </cell>
          <cell r="R26">
            <v>0</v>
          </cell>
          <cell r="S26" t="str">
            <v>-</v>
          </cell>
          <cell r="T26" t="str">
            <v>-</v>
          </cell>
          <cell r="U26" t="str">
            <v>-</v>
          </cell>
          <cell r="V26" t="str">
            <v>-</v>
          </cell>
          <cell r="W26" t="str">
            <v>有库存无销量</v>
          </cell>
          <cell r="X26" t="str">
            <v>有库存无销量</v>
          </cell>
          <cell r="Y26">
            <v>0</v>
          </cell>
          <cell r="Z26">
            <v>0</v>
          </cell>
          <cell r="AA26">
            <v>0</v>
          </cell>
          <cell r="AB26" t="str">
            <v>-</v>
          </cell>
        </row>
        <row r="27">
          <cell r="A27" t="str">
            <v>秀青</v>
          </cell>
          <cell r="B27" t="str">
            <v>Y1037</v>
          </cell>
          <cell r="C27" t="str">
            <v>油箱配套倒油管+8mm钻头</v>
          </cell>
          <cell r="D27">
            <v>44922</v>
          </cell>
          <cell r="E27" t="str">
            <v>B0BMQ7R71D</v>
          </cell>
          <cell r="F27">
            <v>70</v>
          </cell>
          <cell r="G27">
            <v>0</v>
          </cell>
          <cell r="H27">
            <v>1</v>
          </cell>
          <cell r="I27">
            <v>0</v>
          </cell>
          <cell r="J27">
            <v>0</v>
          </cell>
          <cell r="K27">
            <v>71</v>
          </cell>
          <cell r="L27">
            <v>13.069</v>
          </cell>
          <cell r="M27">
            <v>927.899</v>
          </cell>
          <cell r="N27">
            <v>3</v>
          </cell>
          <cell r="O27">
            <v>6</v>
          </cell>
          <cell r="P27">
            <v>12</v>
          </cell>
          <cell r="Q27">
            <v>4</v>
          </cell>
          <cell r="R27">
            <v>-1</v>
          </cell>
          <cell r="S27">
            <v>173.372093023256</v>
          </cell>
          <cell r="T27">
            <v>5.77906976744186</v>
          </cell>
          <cell r="U27">
            <v>4.48965517241379</v>
          </cell>
          <cell r="V27">
            <v>1.28941459502807</v>
          </cell>
          <cell r="W27" t="str">
            <v>库存过高</v>
          </cell>
          <cell r="X27" t="str">
            <v>库存过高</v>
          </cell>
          <cell r="Y27">
            <v>7.5</v>
          </cell>
          <cell r="Z27">
            <v>17.33</v>
          </cell>
          <cell r="AA27">
            <v>40.25</v>
          </cell>
          <cell r="AB27">
            <v>0.194401244167963</v>
          </cell>
        </row>
        <row r="28">
          <cell r="A28" t="str">
            <v>秀青</v>
          </cell>
          <cell r="B28" t="str">
            <v>Y1041-RE</v>
          </cell>
          <cell r="C28" t="str">
            <v>汽车辅助把手安全锤（红色）</v>
          </cell>
          <cell r="D28">
            <v>44919</v>
          </cell>
          <cell r="E28" t="str">
            <v>B0BN38LNGW</v>
          </cell>
          <cell r="F28">
            <v>29</v>
          </cell>
          <cell r="G28">
            <v>0</v>
          </cell>
          <cell r="H28">
            <v>0</v>
          </cell>
          <cell r="I28">
            <v>1</v>
          </cell>
          <cell r="J28">
            <v>0</v>
          </cell>
          <cell r="K28">
            <v>30</v>
          </cell>
          <cell r="L28">
            <v>22</v>
          </cell>
          <cell r="M28">
            <v>660</v>
          </cell>
          <cell r="N28">
            <v>6</v>
          </cell>
          <cell r="O28">
            <v>10</v>
          </cell>
          <cell r="P28">
            <v>14</v>
          </cell>
          <cell r="Q28">
            <v>2</v>
          </cell>
          <cell r="R28">
            <v>4</v>
          </cell>
          <cell r="S28">
            <v>45.2153110047847</v>
          </cell>
          <cell r="T28">
            <v>1.50717703349282</v>
          </cell>
          <cell r="U28">
            <v>9.35036496350365</v>
          </cell>
          <cell r="V28">
            <v>-7.84318793001083</v>
          </cell>
          <cell r="W28" t="str">
            <v>正常</v>
          </cell>
          <cell r="X28" t="str">
            <v>库存过高</v>
          </cell>
          <cell r="Y28">
            <v>10.33</v>
          </cell>
          <cell r="Z28">
            <v>53.12</v>
          </cell>
          <cell r="AA28">
            <v>92.36</v>
          </cell>
          <cell r="AB28">
            <v>0.202668236217383</v>
          </cell>
        </row>
        <row r="29">
          <cell r="A29" t="str">
            <v>秀青</v>
          </cell>
          <cell r="B29" t="str">
            <v>Y1041-BU</v>
          </cell>
          <cell r="C29" t="str">
            <v>汽车辅助把手安全锤（蓝色）</v>
          </cell>
          <cell r="D29">
            <v>44919</v>
          </cell>
          <cell r="E29" t="str">
            <v>B0BN36ND1X</v>
          </cell>
          <cell r="F29">
            <v>30</v>
          </cell>
          <cell r="G29">
            <v>1</v>
          </cell>
          <cell r="H29">
            <v>0</v>
          </cell>
          <cell r="I29">
            <v>1</v>
          </cell>
          <cell r="J29">
            <v>0</v>
          </cell>
          <cell r="K29">
            <v>32</v>
          </cell>
          <cell r="L29">
            <v>22</v>
          </cell>
          <cell r="M29">
            <v>704</v>
          </cell>
          <cell r="N29">
            <v>1</v>
          </cell>
          <cell r="O29">
            <v>1</v>
          </cell>
          <cell r="P29">
            <v>6</v>
          </cell>
          <cell r="Q29">
            <v>1</v>
          </cell>
          <cell r="R29">
            <v>0</v>
          </cell>
          <cell r="S29">
            <v>234.418604651163</v>
          </cell>
          <cell r="T29">
            <v>7.81395348837209</v>
          </cell>
          <cell r="U29">
            <v>9.83544303797468</v>
          </cell>
          <cell r="V29">
            <v>-2.02148954960259</v>
          </cell>
          <cell r="W29" t="str">
            <v>库存过高</v>
          </cell>
          <cell r="X29" t="str">
            <v>库存过高</v>
          </cell>
          <cell r="Y29">
            <v>6.2</v>
          </cell>
          <cell r="Z29">
            <v>32.59</v>
          </cell>
          <cell r="AA29">
            <v>54.18</v>
          </cell>
          <cell r="AB29" t="str">
            <v>-</v>
          </cell>
        </row>
        <row r="30">
          <cell r="A30" t="str">
            <v>秀青</v>
          </cell>
          <cell r="B30" t="str">
            <v>Y1039</v>
          </cell>
          <cell r="C30" t="str">
            <v>房车内外螺纹黄铜快速接头带球阀</v>
          </cell>
          <cell r="D30">
            <v>44900</v>
          </cell>
          <cell r="E30" t="str">
            <v>B0BN51D93D</v>
          </cell>
          <cell r="F30">
            <v>60</v>
          </cell>
          <cell r="G30">
            <v>1</v>
          </cell>
          <cell r="H30">
            <v>0</v>
          </cell>
          <cell r="I30">
            <v>0</v>
          </cell>
          <cell r="J30">
            <v>0</v>
          </cell>
          <cell r="K30">
            <v>61</v>
          </cell>
          <cell r="L30">
            <v>26.56</v>
          </cell>
          <cell r="M30">
            <v>1620.16</v>
          </cell>
          <cell r="N30">
            <v>0</v>
          </cell>
          <cell r="O30">
            <v>0</v>
          </cell>
          <cell r="P30">
            <v>34</v>
          </cell>
          <cell r="Q30">
            <v>31</v>
          </cell>
          <cell r="R30">
            <v>-31</v>
          </cell>
          <cell r="S30">
            <v>161.470588235294</v>
          </cell>
          <cell r="T30">
            <v>5.38235294117647</v>
          </cell>
          <cell r="U30">
            <v>0.641695416461311</v>
          </cell>
          <cell r="V30">
            <v>4.74065752471516</v>
          </cell>
          <cell r="W30" t="str">
            <v>有库存无销量</v>
          </cell>
          <cell r="X30" t="str">
            <v>库存过高</v>
          </cell>
          <cell r="Y30">
            <v>0</v>
          </cell>
          <cell r="Z30">
            <v>0</v>
          </cell>
          <cell r="AA30">
            <v>0.6</v>
          </cell>
          <cell r="AB30" t="str">
            <v>-</v>
          </cell>
        </row>
        <row r="31">
          <cell r="A31" t="str">
            <v>秀青</v>
          </cell>
          <cell r="B31" t="str">
            <v>Y1040-BL</v>
          </cell>
          <cell r="C31" t="str">
            <v>房车花园软管适配器（黑色管）</v>
          </cell>
          <cell r="D31">
            <v>44900</v>
          </cell>
          <cell r="E31" t="str">
            <v>B0BN52D4VR</v>
          </cell>
          <cell r="F31">
            <v>7</v>
          </cell>
          <cell r="G31">
            <v>0</v>
          </cell>
          <cell r="H31">
            <v>0</v>
          </cell>
          <cell r="I31">
            <v>0</v>
          </cell>
          <cell r="J31">
            <v>0</v>
          </cell>
          <cell r="K31">
            <v>7</v>
          </cell>
          <cell r="L31">
            <v>31.683</v>
          </cell>
          <cell r="M31">
            <v>221.781</v>
          </cell>
          <cell r="N31">
            <v>0</v>
          </cell>
          <cell r="O31">
            <v>0</v>
          </cell>
          <cell r="P31">
            <v>2</v>
          </cell>
          <cell r="Q31">
            <v>2</v>
          </cell>
          <cell r="R31">
            <v>-2</v>
          </cell>
          <cell r="S31">
            <v>315</v>
          </cell>
          <cell r="T31">
            <v>10.5</v>
          </cell>
          <cell r="U31">
            <v>0.761658031088083</v>
          </cell>
          <cell r="V31">
            <v>9.73834196891192</v>
          </cell>
          <cell r="W31" t="str">
            <v>有库存无销量</v>
          </cell>
          <cell r="X31" t="str">
            <v>库存过高</v>
          </cell>
          <cell r="Y31">
            <v>0</v>
          </cell>
          <cell r="Z31">
            <v>0</v>
          </cell>
          <cell r="AA31">
            <v>0</v>
          </cell>
          <cell r="AB31" t="str">
            <v>-</v>
          </cell>
        </row>
        <row r="32">
          <cell r="A32" t="str">
            <v>秀青</v>
          </cell>
          <cell r="B32" t="str">
            <v>Y1040-BU</v>
          </cell>
          <cell r="C32" t="str">
            <v>房车花园软管适配器（蓝色管）</v>
          </cell>
          <cell r="D32">
            <v>44900</v>
          </cell>
          <cell r="E32" t="str">
            <v>B0BN4ZBXVH</v>
          </cell>
          <cell r="F32">
            <v>7</v>
          </cell>
          <cell r="G32">
            <v>0</v>
          </cell>
          <cell r="H32">
            <v>0</v>
          </cell>
          <cell r="I32">
            <v>0</v>
          </cell>
          <cell r="J32">
            <v>0</v>
          </cell>
          <cell r="K32">
            <v>7</v>
          </cell>
          <cell r="L32">
            <v>31.683</v>
          </cell>
          <cell r="M32">
            <v>221.781</v>
          </cell>
          <cell r="N32">
            <v>1</v>
          </cell>
          <cell r="O32">
            <v>1</v>
          </cell>
          <cell r="P32">
            <v>3</v>
          </cell>
          <cell r="Q32">
            <v>0</v>
          </cell>
          <cell r="R32">
            <v>1</v>
          </cell>
          <cell r="S32">
            <v>67.8461538461538</v>
          </cell>
          <cell r="T32">
            <v>2.26153846153846</v>
          </cell>
          <cell r="U32">
            <v>9</v>
          </cell>
          <cell r="V32">
            <v>-6.73846153846154</v>
          </cell>
          <cell r="W32" t="str">
            <v>库存过高</v>
          </cell>
          <cell r="X32" t="str">
            <v>库存过高</v>
          </cell>
          <cell r="Y32">
            <v>0</v>
          </cell>
          <cell r="Z32">
            <v>0</v>
          </cell>
          <cell r="AA32">
            <v>0</v>
          </cell>
          <cell r="AB32" t="str">
            <v>-</v>
          </cell>
        </row>
        <row r="33">
          <cell r="A33" t="str">
            <v>秀青</v>
          </cell>
          <cell r="B33" t="str">
            <v>Y1040-GR</v>
          </cell>
          <cell r="C33" t="str">
            <v>房车花园软管适配器（绿色管）</v>
          </cell>
          <cell r="D33">
            <v>44900</v>
          </cell>
          <cell r="E33" t="str">
            <v>B0BN4YY117</v>
          </cell>
          <cell r="F33">
            <v>31</v>
          </cell>
          <cell r="G33">
            <v>0</v>
          </cell>
          <cell r="H33">
            <v>0</v>
          </cell>
          <cell r="I33">
            <v>0</v>
          </cell>
          <cell r="J33">
            <v>0</v>
          </cell>
          <cell r="K33">
            <v>31</v>
          </cell>
          <cell r="L33">
            <v>31.656</v>
          </cell>
          <cell r="M33">
            <v>981.336</v>
          </cell>
          <cell r="N33">
            <v>1</v>
          </cell>
          <cell r="O33">
            <v>1</v>
          </cell>
          <cell r="P33">
            <v>1</v>
          </cell>
          <cell r="Q33">
            <v>0</v>
          </cell>
          <cell r="R33">
            <v>1</v>
          </cell>
          <cell r="S33">
            <v>382.941176470588</v>
          </cell>
          <cell r="T33">
            <v>12.7647058823529</v>
          </cell>
          <cell r="U33">
            <v>96</v>
          </cell>
          <cell r="V33">
            <v>-83.2352941176471</v>
          </cell>
          <cell r="W33" t="str">
            <v>库存过高</v>
          </cell>
          <cell r="X33" t="str">
            <v>库存过高</v>
          </cell>
          <cell r="Y33">
            <v>0</v>
          </cell>
          <cell r="Z33">
            <v>0</v>
          </cell>
          <cell r="AA33">
            <v>0</v>
          </cell>
          <cell r="AB33" t="str">
            <v>-</v>
          </cell>
        </row>
        <row r="34">
          <cell r="A34" t="str">
            <v>秀青</v>
          </cell>
          <cell r="B34" t="str">
            <v>Y1043-ZH</v>
          </cell>
          <cell r="C34" t="str">
            <v>车载一分二杯架+一个杯垫</v>
          </cell>
          <cell r="D34">
            <v>44917</v>
          </cell>
          <cell r="E34" t="str">
            <v>B0BND5CP99</v>
          </cell>
          <cell r="F34">
            <v>7</v>
          </cell>
          <cell r="G34">
            <v>0</v>
          </cell>
          <cell r="H34">
            <v>0</v>
          </cell>
          <cell r="I34">
            <v>0</v>
          </cell>
          <cell r="J34">
            <v>0</v>
          </cell>
          <cell r="K34">
            <v>7</v>
          </cell>
          <cell r="L34">
            <v>25.36</v>
          </cell>
          <cell r="M34">
            <v>177.52</v>
          </cell>
          <cell r="N34">
            <v>0</v>
          </cell>
          <cell r="O34">
            <v>0</v>
          </cell>
          <cell r="P34">
            <v>1</v>
          </cell>
          <cell r="Q34">
            <v>0</v>
          </cell>
          <cell r="R34">
            <v>0</v>
          </cell>
          <cell r="S34">
            <v>630</v>
          </cell>
          <cell r="T34">
            <v>21</v>
          </cell>
          <cell r="U34" t="str">
            <v>-</v>
          </cell>
          <cell r="V34" t="str">
            <v>-</v>
          </cell>
          <cell r="W34" t="str">
            <v>有库存无销量</v>
          </cell>
          <cell r="X34" t="str">
            <v>库存过高</v>
          </cell>
          <cell r="Y34">
            <v>0</v>
          </cell>
          <cell r="Z34">
            <v>0.6</v>
          </cell>
          <cell r="AA34">
            <v>0.6</v>
          </cell>
          <cell r="AB34" t="str">
            <v>-</v>
          </cell>
        </row>
        <row r="35">
          <cell r="A35" t="str">
            <v>秀青</v>
          </cell>
          <cell r="B35" t="str">
            <v>Y1044-ZH</v>
          </cell>
          <cell r="C35" t="str">
            <v>车载一分二杯架+两个杯垫</v>
          </cell>
          <cell r="D35">
            <v>44917</v>
          </cell>
          <cell r="E35" t="str">
            <v>B0BND5TTCQ</v>
          </cell>
          <cell r="F35">
            <v>39</v>
          </cell>
          <cell r="G35">
            <v>0</v>
          </cell>
          <cell r="H35">
            <v>0</v>
          </cell>
          <cell r="I35">
            <v>0</v>
          </cell>
          <cell r="J35">
            <v>0</v>
          </cell>
          <cell r="K35">
            <v>39</v>
          </cell>
          <cell r="L35">
            <v>26.097</v>
          </cell>
          <cell r="M35">
            <v>1017.783</v>
          </cell>
          <cell r="N35">
            <v>0</v>
          </cell>
          <cell r="O35">
            <v>0</v>
          </cell>
          <cell r="P35">
            <v>1</v>
          </cell>
          <cell r="Q35">
            <v>1</v>
          </cell>
          <cell r="R35">
            <v>-1</v>
          </cell>
          <cell r="S35">
            <v>3510</v>
          </cell>
          <cell r="T35">
            <v>117</v>
          </cell>
          <cell r="U35">
            <v>16.0588235294118</v>
          </cell>
          <cell r="V35">
            <v>100.941176470588</v>
          </cell>
          <cell r="W35" t="str">
            <v>有库存无销量</v>
          </cell>
          <cell r="X35" t="str">
            <v>库存过高</v>
          </cell>
          <cell r="Y35">
            <v>0</v>
          </cell>
          <cell r="Z35">
            <v>0</v>
          </cell>
          <cell r="AA35">
            <v>0</v>
          </cell>
          <cell r="AB35" t="str">
            <v>-</v>
          </cell>
        </row>
        <row r="36">
          <cell r="A36" t="str">
            <v>秀青</v>
          </cell>
          <cell r="B36" t="str">
            <v>Y1045-ZH</v>
          </cell>
          <cell r="C36" t="str">
            <v>车载加大号水杯架+一个杯垫</v>
          </cell>
          <cell r="D36">
            <v>44930</v>
          </cell>
          <cell r="E36" t="str">
            <v>B0BND7TV52</v>
          </cell>
          <cell r="F36">
            <v>12</v>
          </cell>
          <cell r="G36">
            <v>0</v>
          </cell>
          <cell r="H36">
            <v>0</v>
          </cell>
          <cell r="I36">
            <v>0</v>
          </cell>
          <cell r="J36">
            <v>0</v>
          </cell>
          <cell r="K36">
            <v>12</v>
          </cell>
          <cell r="L36">
            <v>18.985</v>
          </cell>
          <cell r="M36">
            <v>227.82</v>
          </cell>
          <cell r="N36">
            <v>0</v>
          </cell>
          <cell r="O36">
            <v>2</v>
          </cell>
          <cell r="P36">
            <v>10</v>
          </cell>
          <cell r="Q36">
            <v>6</v>
          </cell>
          <cell r="R36">
            <v>-6</v>
          </cell>
          <cell r="S36">
            <v>77.1428571428571</v>
          </cell>
          <cell r="T36">
            <v>2.57142857142857</v>
          </cell>
          <cell r="U36">
            <v>0.256880733944954</v>
          </cell>
          <cell r="V36">
            <v>2.31454783748362</v>
          </cell>
          <cell r="W36" t="str">
            <v>有库存无销量</v>
          </cell>
          <cell r="X36" t="str">
            <v>库存过高</v>
          </cell>
          <cell r="Y36">
            <v>0</v>
          </cell>
          <cell r="Z36">
            <v>0</v>
          </cell>
          <cell r="AA36">
            <v>0</v>
          </cell>
          <cell r="AB36" t="str">
            <v>-</v>
          </cell>
        </row>
        <row r="37">
          <cell r="A37" t="str">
            <v>秀青</v>
          </cell>
          <cell r="B37" t="str">
            <v>Y1046-ZH</v>
          </cell>
          <cell r="C37" t="str">
            <v>车载加大号水杯架+两个杯垫</v>
          </cell>
          <cell r="D37">
            <v>44930</v>
          </cell>
          <cell r="E37" t="str">
            <v>B0BND6SXLD</v>
          </cell>
          <cell r="F37">
            <v>43</v>
          </cell>
          <cell r="G37">
            <v>0</v>
          </cell>
          <cell r="H37">
            <v>0</v>
          </cell>
          <cell r="I37">
            <v>0</v>
          </cell>
          <cell r="J37">
            <v>0</v>
          </cell>
          <cell r="K37">
            <v>43</v>
          </cell>
          <cell r="L37">
            <v>19.564</v>
          </cell>
          <cell r="M37">
            <v>841.252</v>
          </cell>
          <cell r="N37">
            <v>0</v>
          </cell>
          <cell r="O37">
            <v>0</v>
          </cell>
          <cell r="P37">
            <v>0</v>
          </cell>
          <cell r="Q37">
            <v>0</v>
          </cell>
          <cell r="R37">
            <v>0</v>
          </cell>
          <cell r="S37" t="str">
            <v>-</v>
          </cell>
          <cell r="T37" t="str">
            <v>-</v>
          </cell>
          <cell r="U37" t="str">
            <v>-</v>
          </cell>
          <cell r="V37" t="str">
            <v>-</v>
          </cell>
          <cell r="W37" t="str">
            <v>有库存无销量</v>
          </cell>
          <cell r="X37" t="str">
            <v>有库存无销量</v>
          </cell>
          <cell r="Y37">
            <v>0</v>
          </cell>
          <cell r="Z37">
            <v>0</v>
          </cell>
          <cell r="AA37">
            <v>0</v>
          </cell>
          <cell r="AB37" t="str">
            <v>-</v>
          </cell>
        </row>
        <row r="38">
          <cell r="A38" t="str">
            <v>秀青</v>
          </cell>
          <cell r="B38" t="str">
            <v>Y1052-ZH</v>
          </cell>
          <cell r="C38" t="str">
            <v>可伸缩托盘水杯架+一个杯垫</v>
          </cell>
          <cell r="D38">
            <v>44917</v>
          </cell>
          <cell r="E38" t="str">
            <v>B0BNND5225</v>
          </cell>
          <cell r="F38">
            <v>19</v>
          </cell>
          <cell r="G38">
            <v>0</v>
          </cell>
          <cell r="H38">
            <v>0</v>
          </cell>
          <cell r="I38">
            <v>0</v>
          </cell>
          <cell r="J38">
            <v>0</v>
          </cell>
          <cell r="K38">
            <v>19</v>
          </cell>
          <cell r="L38">
            <v>40.809</v>
          </cell>
          <cell r="M38">
            <v>775.371</v>
          </cell>
          <cell r="N38">
            <v>2</v>
          </cell>
          <cell r="O38">
            <v>3</v>
          </cell>
          <cell r="P38">
            <v>8</v>
          </cell>
          <cell r="Q38">
            <v>2</v>
          </cell>
          <cell r="R38">
            <v>0</v>
          </cell>
          <cell r="S38">
            <v>75.7594936708861</v>
          </cell>
          <cell r="T38">
            <v>2.5253164556962</v>
          </cell>
          <cell r="U38">
            <v>5.00917431192661</v>
          </cell>
          <cell r="V38">
            <v>-2.48385785623041</v>
          </cell>
          <cell r="W38" t="str">
            <v>库存过高</v>
          </cell>
          <cell r="X38" t="str">
            <v>库存过高</v>
          </cell>
          <cell r="Y38">
            <v>0</v>
          </cell>
          <cell r="Z38">
            <v>0</v>
          </cell>
          <cell r="AA38">
            <v>0</v>
          </cell>
          <cell r="AB38" t="str">
            <v>-</v>
          </cell>
        </row>
        <row r="39">
          <cell r="A39" t="str">
            <v>秀青</v>
          </cell>
          <cell r="B39" t="str">
            <v>Y1053-ZH</v>
          </cell>
          <cell r="C39" t="str">
            <v>车载水杯架带正方形托盘+杯垫</v>
          </cell>
          <cell r="D39">
            <v>44917</v>
          </cell>
          <cell r="E39" t="str">
            <v>B0BNNBJQD5</v>
          </cell>
          <cell r="F39">
            <v>30</v>
          </cell>
          <cell r="G39">
            <v>0</v>
          </cell>
          <cell r="H39">
            <v>0</v>
          </cell>
          <cell r="I39">
            <v>0</v>
          </cell>
          <cell r="J39">
            <v>0</v>
          </cell>
          <cell r="K39">
            <v>30</v>
          </cell>
          <cell r="L39">
            <v>3.812</v>
          </cell>
          <cell r="M39">
            <v>114.36</v>
          </cell>
          <cell r="N39">
            <v>0</v>
          </cell>
          <cell r="O39">
            <v>0</v>
          </cell>
          <cell r="P39">
            <v>1</v>
          </cell>
          <cell r="Q39">
            <v>0</v>
          </cell>
          <cell r="R39">
            <v>0</v>
          </cell>
          <cell r="S39">
            <v>2700</v>
          </cell>
          <cell r="T39">
            <v>90</v>
          </cell>
          <cell r="U39">
            <v>0</v>
          </cell>
          <cell r="V39">
            <v>90</v>
          </cell>
          <cell r="W39" t="str">
            <v>有库存无销量</v>
          </cell>
          <cell r="X39" t="str">
            <v>库存过高</v>
          </cell>
          <cell r="Y39">
            <v>0</v>
          </cell>
          <cell r="Z39">
            <v>0</v>
          </cell>
          <cell r="AA39">
            <v>0</v>
          </cell>
          <cell r="AB39" t="str">
            <v>-</v>
          </cell>
        </row>
        <row r="40">
          <cell r="A40" t="str">
            <v>秀青</v>
          </cell>
          <cell r="B40" t="str">
            <v>Y1054</v>
          </cell>
          <cell r="C40" t="str">
            <v>小飞机车载出风口香薰（ 哈科熊）</v>
          </cell>
          <cell r="D40">
            <v>44919</v>
          </cell>
          <cell r="E40" t="str">
            <v>B0BPLHD839</v>
          </cell>
          <cell r="F40">
            <v>49</v>
          </cell>
          <cell r="G40">
            <v>3</v>
          </cell>
          <cell r="H40">
            <v>80</v>
          </cell>
          <cell r="I40">
            <v>1</v>
          </cell>
          <cell r="J40">
            <v>0</v>
          </cell>
          <cell r="K40">
            <v>133</v>
          </cell>
          <cell r="L40">
            <v>26.696</v>
          </cell>
          <cell r="M40">
            <v>3550.568</v>
          </cell>
          <cell r="N40">
            <v>16</v>
          </cell>
          <cell r="O40">
            <v>23</v>
          </cell>
          <cell r="P40">
            <v>47</v>
          </cell>
          <cell r="Q40">
            <v>12</v>
          </cell>
          <cell r="R40">
            <v>4</v>
          </cell>
          <cell r="S40">
            <v>74.0848806366048</v>
          </cell>
          <cell r="T40">
            <v>2.46949602122016</v>
          </cell>
          <cell r="U40">
            <v>0.515439429928741</v>
          </cell>
          <cell r="V40">
            <v>1.95405659129142</v>
          </cell>
          <cell r="W40" t="str">
            <v>库存过高</v>
          </cell>
          <cell r="X40" t="str">
            <v>库存过高</v>
          </cell>
          <cell r="Y40">
            <v>26.95</v>
          </cell>
          <cell r="Z40">
            <v>44.79</v>
          </cell>
          <cell r="AA40">
            <v>81.62</v>
          </cell>
          <cell r="AB40">
            <v>0.143465531008784</v>
          </cell>
        </row>
        <row r="41">
          <cell r="A41" t="str">
            <v>秀青</v>
          </cell>
          <cell r="B41" t="str">
            <v>Y1055</v>
          </cell>
          <cell r="C41" t="str">
            <v>小飞机车载出风口香薰（ 小黄鸭）</v>
          </cell>
          <cell r="D41">
            <v>44921</v>
          </cell>
          <cell r="E41" t="str">
            <v>B0BPLH6Y2M</v>
          </cell>
          <cell r="F41">
            <v>45</v>
          </cell>
          <cell r="G41">
            <v>0</v>
          </cell>
          <cell r="H41">
            <v>0</v>
          </cell>
          <cell r="I41">
            <v>1</v>
          </cell>
          <cell r="J41">
            <v>0</v>
          </cell>
          <cell r="K41">
            <v>46</v>
          </cell>
          <cell r="L41">
            <v>29</v>
          </cell>
          <cell r="M41">
            <v>1334</v>
          </cell>
          <cell r="N41">
            <v>20</v>
          </cell>
          <cell r="O41">
            <v>48</v>
          </cell>
          <cell r="P41">
            <v>81</v>
          </cell>
          <cell r="Q41">
            <v>12</v>
          </cell>
          <cell r="R41">
            <v>8</v>
          </cell>
          <cell r="S41">
            <v>15.7585644371941</v>
          </cell>
          <cell r="T41">
            <v>0.525285481239804</v>
          </cell>
          <cell r="U41">
            <v>2.35993485342019</v>
          </cell>
          <cell r="V41">
            <v>-1.83464937218039</v>
          </cell>
          <cell r="W41" t="str">
            <v>正常</v>
          </cell>
          <cell r="X41" t="str">
            <v>正常</v>
          </cell>
          <cell r="Y41">
            <v>36.08899</v>
          </cell>
          <cell r="Z41">
            <v>81.2905933333333</v>
          </cell>
          <cell r="AA41">
            <v>161.17099</v>
          </cell>
          <cell r="AB41">
            <v>0.307061941631924</v>
          </cell>
        </row>
        <row r="42">
          <cell r="A42" t="str">
            <v>秀青</v>
          </cell>
          <cell r="B42" t="str">
            <v>Y1056</v>
          </cell>
          <cell r="C42" t="str">
            <v>小飞机车载出风口香薰（ DADA熊）</v>
          </cell>
          <cell r="D42">
            <v>44921</v>
          </cell>
          <cell r="E42" t="str">
            <v>B0BPLLR7N8</v>
          </cell>
          <cell r="F42">
            <v>10</v>
          </cell>
          <cell r="G42">
            <v>0</v>
          </cell>
          <cell r="H42">
            <v>20</v>
          </cell>
          <cell r="I42">
            <v>0</v>
          </cell>
          <cell r="J42">
            <v>0</v>
          </cell>
          <cell r="K42">
            <v>30</v>
          </cell>
          <cell r="L42">
            <v>27</v>
          </cell>
          <cell r="M42">
            <v>810</v>
          </cell>
          <cell r="N42">
            <v>1</v>
          </cell>
          <cell r="O42">
            <v>3</v>
          </cell>
          <cell r="P42">
            <v>12</v>
          </cell>
          <cell r="Q42">
            <v>5</v>
          </cell>
          <cell r="R42">
            <v>-4</v>
          </cell>
          <cell r="S42">
            <v>121.153846153846</v>
          </cell>
          <cell r="T42">
            <v>4.03846153846154</v>
          </cell>
          <cell r="U42">
            <v>0.720823798627002</v>
          </cell>
          <cell r="V42">
            <v>3.31763773983454</v>
          </cell>
          <cell r="W42" t="str">
            <v>库存过高</v>
          </cell>
          <cell r="X42" t="str">
            <v>库存过高</v>
          </cell>
          <cell r="Y42">
            <v>7.44307</v>
          </cell>
          <cell r="Z42">
            <v>14.77558</v>
          </cell>
          <cell r="AA42">
            <v>34.88921</v>
          </cell>
          <cell r="AB42">
            <v>0.122883770843652</v>
          </cell>
        </row>
        <row r="43">
          <cell r="A43" t="str">
            <v>秀青</v>
          </cell>
          <cell r="B43" t="str">
            <v>Y1057</v>
          </cell>
          <cell r="C43" t="str">
            <v>小飞机车载出风口香薰（POPO兔）</v>
          </cell>
          <cell r="D43">
            <v>44921</v>
          </cell>
          <cell r="E43" t="str">
            <v>B0BPLK6Q8D</v>
          </cell>
          <cell r="F43">
            <v>8</v>
          </cell>
          <cell r="G43">
            <v>0</v>
          </cell>
          <cell r="H43">
            <v>0</v>
          </cell>
          <cell r="I43">
            <v>0</v>
          </cell>
          <cell r="J43">
            <v>0</v>
          </cell>
          <cell r="K43">
            <v>8</v>
          </cell>
          <cell r="L43">
            <v>27</v>
          </cell>
          <cell r="M43">
            <v>216</v>
          </cell>
          <cell r="N43">
            <v>1</v>
          </cell>
          <cell r="O43">
            <v>4</v>
          </cell>
          <cell r="P43">
            <v>9</v>
          </cell>
          <cell r="Q43">
            <v>3</v>
          </cell>
          <cell r="R43">
            <v>-2</v>
          </cell>
          <cell r="S43">
            <v>33.8255033557047</v>
          </cell>
          <cell r="T43">
            <v>1.12751677852349</v>
          </cell>
          <cell r="U43">
            <v>1.03018867924528</v>
          </cell>
          <cell r="V43">
            <v>0.0973280992782102</v>
          </cell>
          <cell r="W43" t="str">
            <v>库存过高</v>
          </cell>
          <cell r="X43" t="str">
            <v>正常</v>
          </cell>
          <cell r="Y43">
            <v>10.84345</v>
          </cell>
          <cell r="Z43">
            <v>17.24691</v>
          </cell>
          <cell r="AA43">
            <v>29.19762</v>
          </cell>
          <cell r="AB43">
            <v>0.124694687212512</v>
          </cell>
        </row>
        <row r="44">
          <cell r="A44" t="str">
            <v>秀青</v>
          </cell>
          <cell r="B44" t="str">
            <v>Y1058</v>
          </cell>
          <cell r="C44" t="str">
            <v>小飞机车载出风口香薰（泰迪熊）</v>
          </cell>
          <cell r="D44">
            <v>44921</v>
          </cell>
          <cell r="E44" t="str">
            <v>B0BPLHWMFV</v>
          </cell>
          <cell r="F44">
            <v>20</v>
          </cell>
          <cell r="G44">
            <v>0</v>
          </cell>
          <cell r="H44">
            <v>0</v>
          </cell>
          <cell r="I44">
            <v>1</v>
          </cell>
          <cell r="J44">
            <v>0</v>
          </cell>
          <cell r="K44">
            <v>21</v>
          </cell>
          <cell r="L44">
            <v>31</v>
          </cell>
          <cell r="M44">
            <v>651</v>
          </cell>
          <cell r="N44">
            <v>5</v>
          </cell>
          <cell r="O44">
            <v>9</v>
          </cell>
          <cell r="P44">
            <v>13</v>
          </cell>
          <cell r="Q44">
            <v>2</v>
          </cell>
          <cell r="R44">
            <v>3</v>
          </cell>
          <cell r="S44">
            <v>36.0490463215259</v>
          </cell>
          <cell r="T44">
            <v>1.2016348773842</v>
          </cell>
          <cell r="U44">
            <v>3.7258064516129</v>
          </cell>
          <cell r="V44">
            <v>-2.5241715742287</v>
          </cell>
          <cell r="W44" t="str">
            <v>正常</v>
          </cell>
          <cell r="X44" t="str">
            <v>正常</v>
          </cell>
          <cell r="Y44">
            <v>0.21346</v>
          </cell>
          <cell r="Z44">
            <v>0.51667</v>
          </cell>
          <cell r="AA44">
            <v>0.9967</v>
          </cell>
          <cell r="AB44">
            <v>0.00702633311389072</v>
          </cell>
        </row>
        <row r="45">
          <cell r="A45" t="str">
            <v>秀青</v>
          </cell>
          <cell r="B45" t="str">
            <v>Y1059-SI</v>
          </cell>
          <cell r="C45" t="str">
            <v>小飞机车载出风口香薰（凸凸狗亮银色）</v>
          </cell>
          <cell r="D45">
            <v>44921</v>
          </cell>
          <cell r="E45" t="str">
            <v>B0BPLJXZCH</v>
          </cell>
          <cell r="F45">
            <v>36</v>
          </cell>
          <cell r="G45">
            <v>0</v>
          </cell>
          <cell r="H45">
            <v>0</v>
          </cell>
          <cell r="I45">
            <v>0</v>
          </cell>
          <cell r="J45">
            <v>0</v>
          </cell>
          <cell r="K45">
            <v>36</v>
          </cell>
          <cell r="L45">
            <v>34</v>
          </cell>
          <cell r="M45">
            <v>1224</v>
          </cell>
          <cell r="N45">
            <v>0</v>
          </cell>
          <cell r="O45">
            <v>0</v>
          </cell>
          <cell r="P45">
            <v>1</v>
          </cell>
          <cell r="Q45">
            <v>0</v>
          </cell>
          <cell r="R45">
            <v>0</v>
          </cell>
          <cell r="S45">
            <v>3240</v>
          </cell>
          <cell r="T45">
            <v>108</v>
          </cell>
          <cell r="U45">
            <v>18.5</v>
          </cell>
          <cell r="V45">
            <v>89.5</v>
          </cell>
          <cell r="W45" t="str">
            <v>有库存无销量</v>
          </cell>
          <cell r="X45" t="str">
            <v>库存过高</v>
          </cell>
          <cell r="Y45">
            <v>1.47348</v>
          </cell>
          <cell r="Z45">
            <v>2.51725</v>
          </cell>
          <cell r="AA45">
            <v>7.07564</v>
          </cell>
          <cell r="AB45">
            <v>0.102396108408617</v>
          </cell>
        </row>
        <row r="46">
          <cell r="A46" t="str">
            <v>秀青</v>
          </cell>
          <cell r="B46" t="str">
            <v>Y1060-BL</v>
          </cell>
          <cell r="C46" t="str">
            <v>小飞机车载出风口香薰（黑色哈士奇）</v>
          </cell>
          <cell r="D46">
            <v>44921</v>
          </cell>
          <cell r="E46" t="str">
            <v>B0BPLH7GYS</v>
          </cell>
          <cell r="F46">
            <v>31</v>
          </cell>
          <cell r="G46">
            <v>0</v>
          </cell>
          <cell r="H46">
            <v>0</v>
          </cell>
          <cell r="I46">
            <v>1</v>
          </cell>
          <cell r="J46">
            <v>0</v>
          </cell>
          <cell r="K46">
            <v>32</v>
          </cell>
          <cell r="L46">
            <v>27.248</v>
          </cell>
          <cell r="M46">
            <v>871.936</v>
          </cell>
          <cell r="N46">
            <v>2</v>
          </cell>
          <cell r="O46">
            <v>4</v>
          </cell>
          <cell r="P46">
            <v>8</v>
          </cell>
          <cell r="Q46">
            <v>2</v>
          </cell>
          <cell r="R46">
            <v>0</v>
          </cell>
          <cell r="S46">
            <v>117.209302325581</v>
          </cell>
          <cell r="T46">
            <v>3.90697674418603</v>
          </cell>
          <cell r="U46">
            <v>5.39583333333333</v>
          </cell>
          <cell r="V46">
            <v>-1.4888565891473</v>
          </cell>
          <cell r="W46" t="str">
            <v>库存过高</v>
          </cell>
          <cell r="X46" t="str">
            <v>库存过高</v>
          </cell>
          <cell r="Y46">
            <v>0.17977</v>
          </cell>
          <cell r="Z46">
            <v>0.41075</v>
          </cell>
          <cell r="AA46">
            <v>0.83022</v>
          </cell>
          <cell r="AB46">
            <v>0.0046118522319138</v>
          </cell>
        </row>
        <row r="47">
          <cell r="A47" t="str">
            <v>秀青</v>
          </cell>
          <cell r="B47" t="str">
            <v>Y1060-GR</v>
          </cell>
          <cell r="C47" t="str">
            <v>小飞机车载出风口香薰（绿色哈士奇）</v>
          </cell>
          <cell r="D47">
            <v>44921</v>
          </cell>
          <cell r="E47" t="str">
            <v>B0BPLH79XD</v>
          </cell>
          <cell r="F47">
            <v>16</v>
          </cell>
          <cell r="G47">
            <v>0</v>
          </cell>
          <cell r="H47">
            <v>10</v>
          </cell>
          <cell r="I47">
            <v>0</v>
          </cell>
          <cell r="J47">
            <v>0</v>
          </cell>
          <cell r="K47">
            <v>26</v>
          </cell>
          <cell r="L47">
            <v>27.27</v>
          </cell>
          <cell r="M47">
            <v>709.02</v>
          </cell>
          <cell r="N47">
            <v>0</v>
          </cell>
          <cell r="O47">
            <v>6</v>
          </cell>
          <cell r="P47">
            <v>20</v>
          </cell>
          <cell r="Q47">
            <v>4</v>
          </cell>
          <cell r="R47">
            <v>-4</v>
          </cell>
          <cell r="S47">
            <v>73.125</v>
          </cell>
          <cell r="T47">
            <v>2.4375</v>
          </cell>
          <cell r="U47">
            <v>1.18548387096774</v>
          </cell>
          <cell r="V47">
            <v>1.25201612903226</v>
          </cell>
          <cell r="W47" t="str">
            <v>有库存无销量</v>
          </cell>
          <cell r="X47" t="str">
            <v>库存过高</v>
          </cell>
          <cell r="Y47">
            <v>0.15014</v>
          </cell>
          <cell r="Z47">
            <v>0.36945</v>
          </cell>
          <cell r="AA47">
            <v>0.85389</v>
          </cell>
          <cell r="AB47" t="str">
            <v>-</v>
          </cell>
        </row>
        <row r="48">
          <cell r="A48" t="str">
            <v>秀青</v>
          </cell>
          <cell r="B48" t="str">
            <v>Y1061</v>
          </cell>
          <cell r="C48" t="str">
            <v>小飞机车载出风口香薰（点赞机长）</v>
          </cell>
          <cell r="D48">
            <v>44921</v>
          </cell>
          <cell r="E48" t="str">
            <v>B0BPLH27DX</v>
          </cell>
          <cell r="F48">
            <v>6</v>
          </cell>
          <cell r="G48">
            <v>0</v>
          </cell>
          <cell r="H48">
            <v>0</v>
          </cell>
          <cell r="I48">
            <v>0</v>
          </cell>
          <cell r="J48">
            <v>0</v>
          </cell>
          <cell r="K48">
            <v>6</v>
          </cell>
          <cell r="L48">
            <v>28.263</v>
          </cell>
          <cell r="M48">
            <v>169.578</v>
          </cell>
          <cell r="N48">
            <v>0</v>
          </cell>
          <cell r="O48">
            <v>8</v>
          </cell>
          <cell r="P48">
            <v>10</v>
          </cell>
          <cell r="Q48">
            <v>0</v>
          </cell>
          <cell r="R48">
            <v>0</v>
          </cell>
          <cell r="S48">
            <v>20.7692307692308</v>
          </cell>
          <cell r="T48">
            <v>0.692307692307693</v>
          </cell>
          <cell r="U48">
            <v>4.5</v>
          </cell>
          <cell r="V48">
            <v>-3.80769230769231</v>
          </cell>
          <cell r="W48" t="str">
            <v>有库存无销量</v>
          </cell>
          <cell r="X48" t="str">
            <v>正常</v>
          </cell>
          <cell r="Y48">
            <v>0.20596</v>
          </cell>
          <cell r="Z48">
            <v>0.44893</v>
          </cell>
          <cell r="AA48">
            <v>0.83856</v>
          </cell>
          <cell r="AB48">
            <v>0.00370631635774699</v>
          </cell>
        </row>
        <row r="49">
          <cell r="A49" t="str">
            <v>秀青</v>
          </cell>
          <cell r="B49" t="str">
            <v>Y1062</v>
          </cell>
          <cell r="C49" t="str">
            <v>飞行员车载香片（古龙味）</v>
          </cell>
          <cell r="D49">
            <v>44932</v>
          </cell>
          <cell r="E49" t="str">
            <v>B0BPLH187M</v>
          </cell>
          <cell r="F49">
            <v>4</v>
          </cell>
          <cell r="G49">
            <v>0</v>
          </cell>
          <cell r="H49">
            <v>5</v>
          </cell>
          <cell r="I49">
            <v>0</v>
          </cell>
          <cell r="J49">
            <v>0</v>
          </cell>
          <cell r="K49">
            <v>9</v>
          </cell>
          <cell r="L49">
            <v>4.375</v>
          </cell>
          <cell r="M49">
            <v>39.375</v>
          </cell>
          <cell r="N49">
            <v>0</v>
          </cell>
          <cell r="O49">
            <v>0</v>
          </cell>
          <cell r="P49">
            <v>2</v>
          </cell>
          <cell r="Q49">
            <v>1</v>
          </cell>
          <cell r="R49">
            <v>-1</v>
          </cell>
          <cell r="S49">
            <v>405</v>
          </cell>
          <cell r="T49">
            <v>13.5</v>
          </cell>
          <cell r="U49">
            <v>1.65789473684211</v>
          </cell>
          <cell r="V49">
            <v>11.8421052631579</v>
          </cell>
          <cell r="W49" t="str">
            <v>有库存无销量</v>
          </cell>
          <cell r="X49" t="str">
            <v>库存过高</v>
          </cell>
          <cell r="Y49">
            <v>0</v>
          </cell>
          <cell r="Z49">
            <v>0</v>
          </cell>
          <cell r="AA49">
            <v>0</v>
          </cell>
          <cell r="AB49" t="str">
            <v>-</v>
          </cell>
        </row>
        <row r="50">
          <cell r="A50" t="str">
            <v>秀青</v>
          </cell>
          <cell r="B50" t="str">
            <v>Y1063</v>
          </cell>
          <cell r="C50" t="str">
            <v>飞行员车载香片（茉莉味）</v>
          </cell>
          <cell r="D50">
            <v>44932</v>
          </cell>
          <cell r="E50" t="str">
            <v>B0BPLJ443H</v>
          </cell>
          <cell r="F50">
            <v>17</v>
          </cell>
          <cell r="G50">
            <v>0</v>
          </cell>
          <cell r="H50">
            <v>18</v>
          </cell>
          <cell r="I50">
            <v>2</v>
          </cell>
          <cell r="J50">
            <v>0</v>
          </cell>
          <cell r="K50">
            <v>37</v>
          </cell>
          <cell r="L50">
            <v>4.625</v>
          </cell>
          <cell r="M50">
            <v>171.125</v>
          </cell>
          <cell r="N50">
            <v>4</v>
          </cell>
          <cell r="O50">
            <v>5</v>
          </cell>
          <cell r="P50">
            <v>11</v>
          </cell>
          <cell r="Q50">
            <v>2</v>
          </cell>
          <cell r="R50">
            <v>2</v>
          </cell>
          <cell r="S50">
            <v>87.3033707865169</v>
          </cell>
          <cell r="T50">
            <v>2.91011235955056</v>
          </cell>
          <cell r="U50">
            <v>1.18766066838046</v>
          </cell>
          <cell r="V50">
            <v>1.7224516911701</v>
          </cell>
          <cell r="W50" t="str">
            <v>库存过高</v>
          </cell>
          <cell r="X50" t="str">
            <v>库存过高</v>
          </cell>
          <cell r="Y50">
            <v>0</v>
          </cell>
          <cell r="Z50">
            <v>0</v>
          </cell>
          <cell r="AA50">
            <v>0</v>
          </cell>
          <cell r="AB50" t="str">
            <v>-</v>
          </cell>
        </row>
        <row r="51">
          <cell r="A51" t="str">
            <v>秀青</v>
          </cell>
          <cell r="B51" t="str">
            <v>Y1064</v>
          </cell>
          <cell r="C51" t="str">
            <v>飞行员车载香片（海洋味）</v>
          </cell>
          <cell r="D51">
            <v>44932</v>
          </cell>
          <cell r="E51" t="str">
            <v>B0BPLH99RF</v>
          </cell>
          <cell r="F51">
            <v>43</v>
          </cell>
          <cell r="G51">
            <v>0</v>
          </cell>
          <cell r="H51">
            <v>0</v>
          </cell>
          <cell r="I51">
            <v>0</v>
          </cell>
          <cell r="J51">
            <v>1</v>
          </cell>
          <cell r="K51">
            <v>44</v>
          </cell>
          <cell r="L51">
            <v>4.556</v>
          </cell>
          <cell r="M51">
            <v>200.464</v>
          </cell>
          <cell r="N51">
            <v>2</v>
          </cell>
          <cell r="O51">
            <v>4</v>
          </cell>
          <cell r="P51">
            <v>6</v>
          </cell>
          <cell r="Q51">
            <v>0</v>
          </cell>
          <cell r="R51">
            <v>2</v>
          </cell>
          <cell r="S51">
            <v>175.443037974684</v>
          </cell>
          <cell r="T51">
            <v>5.8481012658228</v>
          </cell>
          <cell r="U51">
            <v>50</v>
          </cell>
          <cell r="V51">
            <v>-44.1518987341772</v>
          </cell>
          <cell r="W51" t="str">
            <v>库存过高</v>
          </cell>
          <cell r="X51" t="str">
            <v>库存过高</v>
          </cell>
          <cell r="Y51">
            <v>0</v>
          </cell>
          <cell r="Z51">
            <v>0</v>
          </cell>
          <cell r="AA51">
            <v>0</v>
          </cell>
          <cell r="AB51" t="str">
            <v>-</v>
          </cell>
        </row>
        <row r="52">
          <cell r="A52" t="str">
            <v>秀青</v>
          </cell>
          <cell r="B52" t="str">
            <v>Y1038-SI</v>
          </cell>
          <cell r="C52" t="str">
            <v>汽车子弹头天线 银色</v>
          </cell>
          <cell r="D52">
            <v>44936</v>
          </cell>
          <cell r="E52" t="str">
            <v>B0BQ2CTDGC</v>
          </cell>
          <cell r="F52">
            <v>33</v>
          </cell>
          <cell r="G52">
            <v>1</v>
          </cell>
          <cell r="H52">
            <v>4</v>
          </cell>
          <cell r="I52">
            <v>0</v>
          </cell>
          <cell r="J52">
            <v>0</v>
          </cell>
          <cell r="K52">
            <v>38</v>
          </cell>
          <cell r="L52">
            <v>12.854</v>
          </cell>
          <cell r="M52">
            <v>488.452</v>
          </cell>
          <cell r="N52">
            <v>6</v>
          </cell>
          <cell r="O52">
            <v>11</v>
          </cell>
          <cell r="P52">
            <v>25</v>
          </cell>
          <cell r="Q52">
            <v>8</v>
          </cell>
          <cell r="R52">
            <v>-2</v>
          </cell>
          <cell r="S52">
            <v>47.0333988212181</v>
          </cell>
          <cell r="T52">
            <v>1.56777996070727</v>
          </cell>
          <cell r="U52">
            <v>2.44088176352705</v>
          </cell>
          <cell r="V52">
            <v>-0.87310180281978</v>
          </cell>
          <cell r="W52" t="str">
            <v>正常</v>
          </cell>
          <cell r="X52" t="str">
            <v>库存过高</v>
          </cell>
          <cell r="Y52">
            <v>8.17</v>
          </cell>
          <cell r="Z52">
            <v>19.92</v>
          </cell>
          <cell r="AA52">
            <v>49.21</v>
          </cell>
          <cell r="AB52" t="str">
            <v>-</v>
          </cell>
        </row>
        <row r="53">
          <cell r="A53" t="str">
            <v>秀青</v>
          </cell>
          <cell r="B53" t="str">
            <v>Y1065-BL</v>
          </cell>
          <cell r="C53" t="str">
            <v>汽车遮阳板太阳镜支架（黑色）+车载隐形挂钩</v>
          </cell>
          <cell r="D53">
            <v>44936</v>
          </cell>
          <cell r="E53" t="str">
            <v>B0BQHXN5N9</v>
          </cell>
          <cell r="F53">
            <v>35</v>
          </cell>
          <cell r="G53">
            <v>0</v>
          </cell>
          <cell r="H53">
            <v>0</v>
          </cell>
          <cell r="I53">
            <v>0</v>
          </cell>
          <cell r="J53">
            <v>0</v>
          </cell>
          <cell r="K53">
            <v>35</v>
          </cell>
          <cell r="L53">
            <v>12.422</v>
          </cell>
          <cell r="M53">
            <v>434.77</v>
          </cell>
          <cell r="N53">
            <v>1</v>
          </cell>
          <cell r="O53">
            <v>1</v>
          </cell>
          <cell r="P53">
            <v>1</v>
          </cell>
          <cell r="Q53">
            <v>0</v>
          </cell>
          <cell r="R53">
            <v>1</v>
          </cell>
          <cell r="S53">
            <v>432.352941176471</v>
          </cell>
          <cell r="T53">
            <v>14.4117647058824</v>
          </cell>
          <cell r="U53">
            <v>108</v>
          </cell>
          <cell r="V53">
            <v>-93.5882352941176</v>
          </cell>
          <cell r="W53" t="str">
            <v>库存过高</v>
          </cell>
          <cell r="X53" t="str">
            <v>库存过高</v>
          </cell>
          <cell r="Y53">
            <v>0</v>
          </cell>
          <cell r="Z53">
            <v>0</v>
          </cell>
          <cell r="AA53">
            <v>0</v>
          </cell>
          <cell r="AB53" t="str">
            <v>-</v>
          </cell>
        </row>
        <row r="54">
          <cell r="A54" t="str">
            <v>秀青</v>
          </cell>
          <cell r="B54" t="str">
            <v>Y1066-BE</v>
          </cell>
          <cell r="C54" t="str">
            <v>汽车遮阳板太阳镜支架（米色）两个装+车载隐形挂钩 （四个装）</v>
          </cell>
          <cell r="D54">
            <v>44936</v>
          </cell>
          <cell r="E54" t="str">
            <v>B0BQHVXHLK</v>
          </cell>
          <cell r="F54">
            <v>37</v>
          </cell>
          <cell r="G54">
            <v>0</v>
          </cell>
          <cell r="H54">
            <v>0</v>
          </cell>
          <cell r="I54">
            <v>0</v>
          </cell>
          <cell r="J54">
            <v>0</v>
          </cell>
          <cell r="K54">
            <v>37</v>
          </cell>
          <cell r="L54">
            <v>24.826</v>
          </cell>
          <cell r="M54">
            <v>918.562</v>
          </cell>
          <cell r="N54">
            <v>0</v>
          </cell>
          <cell r="O54">
            <v>0</v>
          </cell>
          <cell r="P54">
            <v>4</v>
          </cell>
          <cell r="Q54">
            <v>3</v>
          </cell>
          <cell r="R54">
            <v>-3</v>
          </cell>
          <cell r="S54">
            <v>832.5</v>
          </cell>
          <cell r="T54">
            <v>27.75</v>
          </cell>
          <cell r="U54">
            <v>5.2156862745098</v>
          </cell>
          <cell r="V54">
            <v>22.5343137254902</v>
          </cell>
          <cell r="W54" t="str">
            <v>有库存无销量</v>
          </cell>
          <cell r="X54" t="str">
            <v>库存过高</v>
          </cell>
          <cell r="Y54">
            <v>0</v>
          </cell>
          <cell r="Z54">
            <v>0</v>
          </cell>
          <cell r="AA54">
            <v>15.39</v>
          </cell>
          <cell r="AB54" t="str">
            <v>-</v>
          </cell>
        </row>
        <row r="55">
          <cell r="A55" t="str">
            <v>秀青</v>
          </cell>
          <cell r="B55" t="str">
            <v>Y1066-BL</v>
          </cell>
          <cell r="C55" t="str">
            <v>汽车遮阳板太阳镜支架（黑色）两个装+车载隐形挂钩 （四个装）</v>
          </cell>
          <cell r="D55">
            <v>44936</v>
          </cell>
          <cell r="E55" t="str">
            <v>B0BQHZGBK9</v>
          </cell>
          <cell r="F55">
            <v>33</v>
          </cell>
          <cell r="G55">
            <v>0</v>
          </cell>
          <cell r="H55">
            <v>0</v>
          </cell>
          <cell r="I55">
            <v>1</v>
          </cell>
          <cell r="J55">
            <v>0</v>
          </cell>
          <cell r="K55">
            <v>34</v>
          </cell>
          <cell r="L55">
            <v>24.829</v>
          </cell>
          <cell r="M55">
            <v>844.186</v>
          </cell>
          <cell r="N55">
            <v>0</v>
          </cell>
          <cell r="O55">
            <v>0</v>
          </cell>
          <cell r="P55">
            <v>1</v>
          </cell>
          <cell r="Q55">
            <v>1</v>
          </cell>
          <cell r="R55">
            <v>-1</v>
          </cell>
          <cell r="S55">
            <v>3060</v>
          </cell>
          <cell r="T55">
            <v>102</v>
          </cell>
          <cell r="U55">
            <v>11.3076923076923</v>
          </cell>
          <cell r="V55">
            <v>90.6923076923077</v>
          </cell>
          <cell r="W55" t="str">
            <v>有库存无销量</v>
          </cell>
          <cell r="X55" t="str">
            <v>库存过高</v>
          </cell>
          <cell r="Y55">
            <v>0</v>
          </cell>
          <cell r="Z55">
            <v>0</v>
          </cell>
          <cell r="AA55">
            <v>0</v>
          </cell>
          <cell r="AB55" t="str">
            <v>-</v>
          </cell>
        </row>
        <row r="56">
          <cell r="A56" t="str">
            <v>秀青</v>
          </cell>
          <cell r="B56" t="str">
            <v>Y1066-GA</v>
          </cell>
          <cell r="C56" t="str">
            <v>汽车遮阳板太阳镜支架（灰色）两个装+车载隐形挂钩 （四个装）</v>
          </cell>
          <cell r="D56">
            <v>44936</v>
          </cell>
          <cell r="E56" t="str">
            <v>B0BQHV22J4</v>
          </cell>
          <cell r="F56">
            <v>4</v>
          </cell>
          <cell r="G56">
            <v>0</v>
          </cell>
          <cell r="H56">
            <v>0</v>
          </cell>
          <cell r="I56">
            <v>0</v>
          </cell>
          <cell r="J56">
            <v>0</v>
          </cell>
          <cell r="K56">
            <v>4</v>
          </cell>
          <cell r="L56">
            <v>24.82</v>
          </cell>
          <cell r="M56">
            <v>99.28</v>
          </cell>
          <cell r="N56">
            <v>0</v>
          </cell>
          <cell r="O56">
            <v>1</v>
          </cell>
          <cell r="P56">
            <v>3</v>
          </cell>
          <cell r="Q56">
            <v>0</v>
          </cell>
          <cell r="R56">
            <v>0</v>
          </cell>
          <cell r="S56">
            <v>72</v>
          </cell>
          <cell r="T56">
            <v>2.4</v>
          </cell>
          <cell r="U56" t="str">
            <v>-</v>
          </cell>
          <cell r="V56" t="str">
            <v>-</v>
          </cell>
          <cell r="W56" t="str">
            <v>有库存无销量</v>
          </cell>
          <cell r="X56" t="str">
            <v>库存过高</v>
          </cell>
          <cell r="Y56">
            <v>0.73</v>
          </cell>
          <cell r="Z56">
            <v>1.46</v>
          </cell>
          <cell r="AA56">
            <v>2.9</v>
          </cell>
          <cell r="AB56" t="str">
            <v>-</v>
          </cell>
        </row>
        <row r="57">
          <cell r="A57" t="str">
            <v>秀青</v>
          </cell>
          <cell r="B57" t="str">
            <v>Y1069</v>
          </cell>
          <cell r="C57" t="str">
            <v>18-23款牧马人JL内饰改装中央档位收纳储物盒（带2块橡胶垫）</v>
          </cell>
          <cell r="D57">
            <v>44970</v>
          </cell>
          <cell r="E57" t="str">
            <v>B0BR9KFGF7</v>
          </cell>
          <cell r="F57">
            <v>2</v>
          </cell>
          <cell r="G57">
            <v>0</v>
          </cell>
          <cell r="H57">
            <v>0</v>
          </cell>
          <cell r="I57">
            <v>0</v>
          </cell>
          <cell r="J57">
            <v>0</v>
          </cell>
          <cell r="K57">
            <v>2</v>
          </cell>
          <cell r="L57">
            <v>16.667</v>
          </cell>
          <cell r="M57">
            <v>33.334</v>
          </cell>
          <cell r="N57">
            <v>0</v>
          </cell>
          <cell r="O57">
            <v>1</v>
          </cell>
          <cell r="P57">
            <v>3</v>
          </cell>
          <cell r="Q57">
            <v>2</v>
          </cell>
          <cell r="R57">
            <v>-2</v>
          </cell>
          <cell r="S57">
            <v>36</v>
          </cell>
          <cell r="T57">
            <v>1.2</v>
          </cell>
          <cell r="U57">
            <v>0.543103448275862</v>
          </cell>
          <cell r="V57">
            <v>0.656896551724138</v>
          </cell>
          <cell r="W57" t="str">
            <v>有库存无销量</v>
          </cell>
          <cell r="X57" t="str">
            <v>正常</v>
          </cell>
          <cell r="Y57">
            <v>0</v>
          </cell>
          <cell r="Z57">
            <v>0</v>
          </cell>
          <cell r="AA57">
            <v>0</v>
          </cell>
          <cell r="AB57" t="str">
            <v>-</v>
          </cell>
        </row>
        <row r="58">
          <cell r="A58" t="str">
            <v>秀青</v>
          </cell>
          <cell r="B58" t="str">
            <v>Y1071-BG</v>
          </cell>
          <cell r="C58" t="str">
            <v>斯巴鲁汽车钥匙套（棕绿色）+编织白绳汽车钥匙扣</v>
          </cell>
          <cell r="D58">
            <v>44981</v>
          </cell>
          <cell r="E58" t="str">
            <v>B0BRN5STCY</v>
          </cell>
          <cell r="F58">
            <v>18</v>
          </cell>
          <cell r="G58">
            <v>0</v>
          </cell>
          <cell r="H58">
            <v>0</v>
          </cell>
          <cell r="I58">
            <v>0</v>
          </cell>
          <cell r="J58">
            <v>0</v>
          </cell>
          <cell r="K58">
            <v>18</v>
          </cell>
          <cell r="L58">
            <v>8.598</v>
          </cell>
          <cell r="M58">
            <v>154.764</v>
          </cell>
          <cell r="N58">
            <v>0</v>
          </cell>
          <cell r="O58">
            <v>0</v>
          </cell>
          <cell r="P58">
            <v>0</v>
          </cell>
          <cell r="Q58">
            <v>0</v>
          </cell>
          <cell r="R58">
            <v>0</v>
          </cell>
          <cell r="S58" t="str">
            <v>-</v>
          </cell>
          <cell r="T58" t="str">
            <v>-</v>
          </cell>
          <cell r="U58">
            <v>0</v>
          </cell>
          <cell r="V58" t="str">
            <v>-</v>
          </cell>
          <cell r="W58" t="str">
            <v>有库存无销量</v>
          </cell>
          <cell r="X58" t="str">
            <v>有库存无销量</v>
          </cell>
          <cell r="Y58">
            <v>0.00658</v>
          </cell>
          <cell r="Z58">
            <v>0.01272</v>
          </cell>
          <cell r="AA58">
            <v>0.03214</v>
          </cell>
          <cell r="AB58" t="str">
            <v>-</v>
          </cell>
        </row>
        <row r="59">
          <cell r="A59" t="str">
            <v>秀青</v>
          </cell>
          <cell r="B59" t="str">
            <v>Y1071-BL</v>
          </cell>
          <cell r="C59" t="str">
            <v>斯巴鲁汽车钥匙套（黑色）编织白绳汽车钥匙扣+安装螺丝刀打包进去</v>
          </cell>
          <cell r="D59">
            <v>44970</v>
          </cell>
          <cell r="E59" t="str">
            <v>B0BRN5STD1</v>
          </cell>
          <cell r="F59">
            <v>28</v>
          </cell>
          <cell r="G59">
            <v>0</v>
          </cell>
          <cell r="H59">
            <v>0</v>
          </cell>
          <cell r="I59">
            <v>0</v>
          </cell>
          <cell r="J59">
            <v>0</v>
          </cell>
          <cell r="K59">
            <v>28</v>
          </cell>
          <cell r="L59">
            <v>8.597</v>
          </cell>
          <cell r="M59">
            <v>240.716</v>
          </cell>
          <cell r="N59">
            <v>0</v>
          </cell>
          <cell r="O59">
            <v>0</v>
          </cell>
          <cell r="P59">
            <v>0</v>
          </cell>
          <cell r="Q59">
            <v>0</v>
          </cell>
          <cell r="R59">
            <v>0</v>
          </cell>
          <cell r="S59" t="str">
            <v>-</v>
          </cell>
          <cell r="T59" t="str">
            <v>-</v>
          </cell>
          <cell r="U59" t="str">
            <v>-</v>
          </cell>
          <cell r="V59" t="str">
            <v>-</v>
          </cell>
          <cell r="W59" t="str">
            <v>有库存无销量</v>
          </cell>
          <cell r="X59" t="str">
            <v>有库存无销量</v>
          </cell>
          <cell r="Y59">
            <v>0.00799</v>
          </cell>
          <cell r="Z59">
            <v>0.01495</v>
          </cell>
          <cell r="AA59">
            <v>0.03801</v>
          </cell>
          <cell r="AB59" t="str">
            <v>-</v>
          </cell>
        </row>
        <row r="60">
          <cell r="A60" t="str">
            <v>秀青</v>
          </cell>
          <cell r="B60" t="str">
            <v>Y1071-RE</v>
          </cell>
          <cell r="C60" t="str">
            <v>斯巴鲁汽车钥匙套（红色）+编织白绳汽车钥匙扣</v>
          </cell>
          <cell r="D60">
            <v>44970</v>
          </cell>
          <cell r="E60" t="str">
            <v>B0BRN79WL5</v>
          </cell>
          <cell r="F60">
            <v>18</v>
          </cell>
          <cell r="G60">
            <v>0</v>
          </cell>
          <cell r="H60">
            <v>0</v>
          </cell>
          <cell r="I60">
            <v>0</v>
          </cell>
          <cell r="J60">
            <v>0</v>
          </cell>
          <cell r="K60">
            <v>18</v>
          </cell>
          <cell r="L60">
            <v>8.597</v>
          </cell>
          <cell r="M60">
            <v>154.746</v>
          </cell>
          <cell r="N60">
            <v>0</v>
          </cell>
          <cell r="O60">
            <v>0</v>
          </cell>
          <cell r="P60">
            <v>0</v>
          </cell>
          <cell r="Q60">
            <v>0</v>
          </cell>
          <cell r="R60">
            <v>0</v>
          </cell>
          <cell r="S60" t="str">
            <v>-</v>
          </cell>
          <cell r="T60" t="str">
            <v>-</v>
          </cell>
          <cell r="U60" t="str">
            <v>-</v>
          </cell>
          <cell r="V60" t="str">
            <v>-</v>
          </cell>
          <cell r="W60" t="str">
            <v>有库存无销量</v>
          </cell>
          <cell r="X60" t="str">
            <v>有库存无销量</v>
          </cell>
          <cell r="Y60">
            <v>0.00244</v>
          </cell>
          <cell r="Z60">
            <v>0.00749</v>
          </cell>
          <cell r="AA60">
            <v>0.04731</v>
          </cell>
          <cell r="AB60" t="str">
            <v>-</v>
          </cell>
        </row>
        <row r="61">
          <cell r="A61" t="str">
            <v>秀青</v>
          </cell>
          <cell r="B61" t="str">
            <v>Y1071-WH</v>
          </cell>
          <cell r="C61" t="str">
            <v>斯巴鲁汽车钥匙套（白色）+编织白绳汽车钥匙扣</v>
          </cell>
          <cell r="D61">
            <v>44981</v>
          </cell>
          <cell r="E61" t="str">
            <v>B0BRN6SVB3</v>
          </cell>
          <cell r="F61">
            <v>37</v>
          </cell>
          <cell r="G61">
            <v>0</v>
          </cell>
          <cell r="H61">
            <v>0</v>
          </cell>
          <cell r="I61">
            <v>0</v>
          </cell>
          <cell r="J61">
            <v>0</v>
          </cell>
          <cell r="K61">
            <v>37</v>
          </cell>
          <cell r="L61">
            <v>8.598</v>
          </cell>
          <cell r="M61">
            <v>318.126</v>
          </cell>
          <cell r="N61">
            <v>0</v>
          </cell>
          <cell r="O61">
            <v>0</v>
          </cell>
          <cell r="P61">
            <v>0</v>
          </cell>
          <cell r="Q61">
            <v>0</v>
          </cell>
          <cell r="R61">
            <v>0</v>
          </cell>
          <cell r="S61" t="str">
            <v>-</v>
          </cell>
          <cell r="T61" t="str">
            <v>-</v>
          </cell>
          <cell r="U61" t="str">
            <v>-</v>
          </cell>
          <cell r="V61" t="str">
            <v>-</v>
          </cell>
          <cell r="W61" t="str">
            <v>有库存无销量</v>
          </cell>
          <cell r="X61" t="str">
            <v>有库存无销量</v>
          </cell>
          <cell r="Y61">
            <v>0.01281</v>
          </cell>
          <cell r="Z61">
            <v>0.73686</v>
          </cell>
          <cell r="AA61">
            <v>2.38984</v>
          </cell>
          <cell r="AB61" t="str">
            <v>-</v>
          </cell>
        </row>
        <row r="62">
          <cell r="A62" t="str">
            <v>秀青</v>
          </cell>
          <cell r="B62" t="str">
            <v>Y1073-BG</v>
          </cell>
          <cell r="C62" t="str">
            <v>日产【尼桑】汽车5键钥匙保护套（棕绿色）+编织绳汽车钥匙扣+安装螺丝刀（白色）</v>
          </cell>
          <cell r="D62">
            <v>44972</v>
          </cell>
          <cell r="E62" t="str">
            <v>B0BRSPP9G4</v>
          </cell>
          <cell r="F62">
            <v>21</v>
          </cell>
          <cell r="G62">
            <v>0</v>
          </cell>
          <cell r="H62">
            <v>0</v>
          </cell>
          <cell r="I62">
            <v>0</v>
          </cell>
          <cell r="J62">
            <v>0</v>
          </cell>
          <cell r="K62">
            <v>21</v>
          </cell>
          <cell r="L62">
            <v>9</v>
          </cell>
          <cell r="M62">
            <v>189</v>
          </cell>
          <cell r="N62">
            <v>0</v>
          </cell>
          <cell r="O62">
            <v>0</v>
          </cell>
          <cell r="P62">
            <v>0</v>
          </cell>
          <cell r="Q62">
            <v>0</v>
          </cell>
          <cell r="R62">
            <v>0</v>
          </cell>
          <cell r="S62" t="str">
            <v>-</v>
          </cell>
          <cell r="T62" t="str">
            <v>-</v>
          </cell>
          <cell r="U62" t="str">
            <v>-</v>
          </cell>
          <cell r="V62" t="str">
            <v>-</v>
          </cell>
          <cell r="W62" t="str">
            <v>有库存无销量</v>
          </cell>
          <cell r="X62" t="str">
            <v>有库存无销量</v>
          </cell>
          <cell r="Y62">
            <v>0</v>
          </cell>
          <cell r="Z62">
            <v>0.01037</v>
          </cell>
          <cell r="AA62">
            <v>0.01285</v>
          </cell>
          <cell r="AB62" t="str">
            <v>-</v>
          </cell>
        </row>
        <row r="63">
          <cell r="A63" t="str">
            <v>秀青</v>
          </cell>
          <cell r="B63" t="str">
            <v>Y1073-BL</v>
          </cell>
          <cell r="C63" t="str">
            <v>日产【尼桑】汽车5键钥匙保护套（黑色）+编织绳汽车钥匙扣+安装螺丝刀（白色）</v>
          </cell>
          <cell r="D63">
            <v>44972</v>
          </cell>
          <cell r="E63" t="str">
            <v>B0BRSP3ZJ3</v>
          </cell>
          <cell r="F63">
            <v>9</v>
          </cell>
          <cell r="G63">
            <v>0</v>
          </cell>
          <cell r="H63">
            <v>0</v>
          </cell>
          <cell r="I63">
            <v>0</v>
          </cell>
          <cell r="J63">
            <v>0</v>
          </cell>
          <cell r="K63">
            <v>9</v>
          </cell>
          <cell r="L63">
            <v>9</v>
          </cell>
          <cell r="M63">
            <v>81</v>
          </cell>
          <cell r="N63">
            <v>0</v>
          </cell>
          <cell r="O63">
            <v>1</v>
          </cell>
          <cell r="P63">
            <v>2</v>
          </cell>
          <cell r="Q63">
            <v>1</v>
          </cell>
          <cell r="R63">
            <v>-1</v>
          </cell>
          <cell r="S63">
            <v>202.5</v>
          </cell>
          <cell r="T63">
            <v>6.75</v>
          </cell>
          <cell r="U63">
            <v>2.68604651162791</v>
          </cell>
          <cell r="V63">
            <v>4.06395348837209</v>
          </cell>
          <cell r="W63" t="str">
            <v>有库存无销量</v>
          </cell>
          <cell r="X63" t="str">
            <v>库存过高</v>
          </cell>
          <cell r="Y63">
            <v>0.2</v>
          </cell>
          <cell r="Z63">
            <v>0.2</v>
          </cell>
          <cell r="AA63">
            <v>0.37</v>
          </cell>
          <cell r="AB63" t="str">
            <v>-</v>
          </cell>
        </row>
        <row r="64">
          <cell r="A64" t="str">
            <v>秀青</v>
          </cell>
          <cell r="B64" t="str">
            <v>Y1074-BG</v>
          </cell>
          <cell r="C64" t="str">
            <v>日产【尼桑】汽车4键钥匙保护套（棕绿色）+编织绳汽车钥匙扣+安装螺丝刀（白色）</v>
          </cell>
          <cell r="D64">
            <v>44973</v>
          </cell>
          <cell r="E64" t="str">
            <v>B0BRSP1DKN</v>
          </cell>
          <cell r="F64">
            <v>15</v>
          </cell>
          <cell r="G64">
            <v>0</v>
          </cell>
          <cell r="H64">
            <v>0</v>
          </cell>
          <cell r="I64">
            <v>0</v>
          </cell>
          <cell r="J64">
            <v>0</v>
          </cell>
          <cell r="K64">
            <v>15</v>
          </cell>
          <cell r="L64">
            <v>9</v>
          </cell>
          <cell r="M64">
            <v>135</v>
          </cell>
          <cell r="N64">
            <v>0</v>
          </cell>
          <cell r="O64">
            <v>0</v>
          </cell>
          <cell r="P64">
            <v>0</v>
          </cell>
          <cell r="Q64">
            <v>0</v>
          </cell>
          <cell r="R64">
            <v>0</v>
          </cell>
          <cell r="S64" t="str">
            <v>-</v>
          </cell>
          <cell r="T64" t="str">
            <v>-</v>
          </cell>
          <cell r="U64">
            <v>15</v>
          </cell>
          <cell r="V64" t="str">
            <v>-</v>
          </cell>
          <cell r="W64" t="str">
            <v>有库存无销量</v>
          </cell>
          <cell r="X64" t="str">
            <v>有库存无销量</v>
          </cell>
          <cell r="Y64">
            <v>0.00941</v>
          </cell>
          <cell r="Z64">
            <v>0.01716</v>
          </cell>
          <cell r="AA64">
            <v>0.02591</v>
          </cell>
          <cell r="AB64" t="str">
            <v>-</v>
          </cell>
        </row>
        <row r="65">
          <cell r="A65" t="str">
            <v>秀青</v>
          </cell>
          <cell r="B65" t="str">
            <v>Y1074-BL</v>
          </cell>
          <cell r="C65" t="str">
            <v>日产【尼桑】汽车4键钥匙保护套（黑色）+编织绳汽车钥匙扣+安装螺丝刀（白色）</v>
          </cell>
          <cell r="D65">
            <v>44973</v>
          </cell>
          <cell r="E65" t="str">
            <v>B0BRSM9ZCG</v>
          </cell>
          <cell r="F65">
            <v>9</v>
          </cell>
          <cell r="G65">
            <v>0</v>
          </cell>
          <cell r="H65">
            <v>0</v>
          </cell>
          <cell r="I65">
            <v>0</v>
          </cell>
          <cell r="J65">
            <v>0</v>
          </cell>
          <cell r="K65">
            <v>9</v>
          </cell>
          <cell r="L65">
            <v>9.237</v>
          </cell>
          <cell r="M65">
            <v>83.133</v>
          </cell>
          <cell r="N65">
            <v>0</v>
          </cell>
          <cell r="O65">
            <v>0</v>
          </cell>
          <cell r="P65">
            <v>2</v>
          </cell>
          <cell r="Q65">
            <v>2</v>
          </cell>
          <cell r="R65">
            <v>-2</v>
          </cell>
          <cell r="S65">
            <v>405</v>
          </cell>
          <cell r="T65">
            <v>13.5</v>
          </cell>
          <cell r="U65">
            <v>1.53658536585366</v>
          </cell>
          <cell r="V65">
            <v>11.9634146341463</v>
          </cell>
          <cell r="W65" t="str">
            <v>有库存无销量</v>
          </cell>
          <cell r="X65" t="str">
            <v>库存过高</v>
          </cell>
          <cell r="Y65">
            <v>0.00757</v>
          </cell>
          <cell r="Z65">
            <v>0.01147</v>
          </cell>
          <cell r="AA65">
            <v>0.01533</v>
          </cell>
          <cell r="AB65" t="str">
            <v>-</v>
          </cell>
        </row>
        <row r="66">
          <cell r="A66" t="str">
            <v>秀青</v>
          </cell>
          <cell r="B66" t="str">
            <v>Y1074-MG</v>
          </cell>
          <cell r="C66" t="str">
            <v>日产【尼桑】汽车4键钥匙保护套（抹茶绿色）+编织绳汽车钥匙扣+安装螺丝刀（白色）</v>
          </cell>
          <cell r="D66">
            <v>44973</v>
          </cell>
          <cell r="E66" t="str">
            <v>B0BRSMQ9MZ</v>
          </cell>
          <cell r="F66">
            <v>9</v>
          </cell>
          <cell r="G66">
            <v>0</v>
          </cell>
          <cell r="H66">
            <v>0</v>
          </cell>
          <cell r="I66">
            <v>0</v>
          </cell>
          <cell r="J66">
            <v>0</v>
          </cell>
          <cell r="K66">
            <v>9</v>
          </cell>
          <cell r="L66">
            <v>9.37</v>
          </cell>
          <cell r="M66">
            <v>84.33</v>
          </cell>
          <cell r="N66">
            <v>2</v>
          </cell>
          <cell r="O66">
            <v>2</v>
          </cell>
          <cell r="P66">
            <v>3</v>
          </cell>
          <cell r="Q66">
            <v>0</v>
          </cell>
          <cell r="R66">
            <v>2</v>
          </cell>
          <cell r="S66">
            <v>52.0183486238532</v>
          </cell>
          <cell r="T66">
            <v>1.73394495412844</v>
          </cell>
          <cell r="U66">
            <v>7.5</v>
          </cell>
          <cell r="V66">
            <v>-5.76605504587156</v>
          </cell>
          <cell r="W66" t="str">
            <v>正常</v>
          </cell>
          <cell r="X66" t="str">
            <v>库存过高</v>
          </cell>
          <cell r="Y66">
            <v>0.00808</v>
          </cell>
          <cell r="Z66">
            <v>0.01314</v>
          </cell>
          <cell r="AA66">
            <v>0.02011</v>
          </cell>
          <cell r="AB66" t="str">
            <v>-</v>
          </cell>
        </row>
        <row r="67">
          <cell r="A67" t="str">
            <v>秀青</v>
          </cell>
          <cell r="B67" t="str">
            <v>Y1074-WH</v>
          </cell>
          <cell r="C67" t="str">
            <v>日产【尼桑】汽车4键钥匙保护套（白色）+编织绳汽车钥匙扣+安装螺丝刀（白色）</v>
          </cell>
          <cell r="D67">
            <v>44973</v>
          </cell>
          <cell r="E67" t="str">
            <v>B0BRSNR54R</v>
          </cell>
          <cell r="F67">
            <v>18</v>
          </cell>
          <cell r="G67">
            <v>0</v>
          </cell>
          <cell r="H67">
            <v>0</v>
          </cell>
          <cell r="I67">
            <v>1</v>
          </cell>
          <cell r="J67">
            <v>0</v>
          </cell>
          <cell r="K67">
            <v>19</v>
          </cell>
          <cell r="L67">
            <v>9.289</v>
          </cell>
          <cell r="M67">
            <v>176.491</v>
          </cell>
          <cell r="N67">
            <v>2</v>
          </cell>
          <cell r="O67">
            <v>2</v>
          </cell>
          <cell r="P67">
            <v>3</v>
          </cell>
          <cell r="Q67">
            <v>1</v>
          </cell>
          <cell r="R67">
            <v>1</v>
          </cell>
          <cell r="S67">
            <v>109.816513761468</v>
          </cell>
          <cell r="T67">
            <v>3.6605504587156</v>
          </cell>
          <cell r="U67">
            <v>8.23529411764706</v>
          </cell>
          <cell r="V67">
            <v>-4.57474365893146</v>
          </cell>
          <cell r="W67" t="str">
            <v>库存过高</v>
          </cell>
          <cell r="X67" t="str">
            <v>库存过高</v>
          </cell>
          <cell r="Y67">
            <v>0.4</v>
          </cell>
          <cell r="Z67">
            <v>0.6</v>
          </cell>
          <cell r="AA67">
            <v>1.2</v>
          </cell>
          <cell r="AB67">
            <v>0.0444938820912125</v>
          </cell>
        </row>
        <row r="68">
          <cell r="A68" t="str">
            <v>秀青</v>
          </cell>
          <cell r="B68" t="str">
            <v>Y1075-MG</v>
          </cell>
          <cell r="C68" t="str">
            <v>5键款福特F150 F250 F350金边车钥匙套包壳（抹茶绿色）+编织绳汽车钥匙扣+安装螺丝刀</v>
          </cell>
          <cell r="D68">
            <v>44973</v>
          </cell>
          <cell r="E68" t="str">
            <v>B0BRXZXRV5</v>
          </cell>
          <cell r="F68">
            <v>27</v>
          </cell>
          <cell r="G68">
            <v>0</v>
          </cell>
          <cell r="H68">
            <v>0</v>
          </cell>
          <cell r="I68">
            <v>0</v>
          </cell>
          <cell r="J68">
            <v>0</v>
          </cell>
          <cell r="K68">
            <v>27</v>
          </cell>
          <cell r="L68">
            <v>8.8</v>
          </cell>
          <cell r="M68">
            <v>237.6</v>
          </cell>
          <cell r="N68">
            <v>0</v>
          </cell>
          <cell r="O68">
            <v>0</v>
          </cell>
          <cell r="P68">
            <v>0</v>
          </cell>
          <cell r="Q68">
            <v>0</v>
          </cell>
          <cell r="R68">
            <v>0</v>
          </cell>
          <cell r="S68" t="str">
            <v>-</v>
          </cell>
          <cell r="T68" t="str">
            <v>-</v>
          </cell>
          <cell r="U68" t="str">
            <v>-</v>
          </cell>
          <cell r="V68" t="str">
            <v>-</v>
          </cell>
          <cell r="W68" t="str">
            <v>有库存无销量</v>
          </cell>
          <cell r="X68" t="str">
            <v>有库存无销量</v>
          </cell>
          <cell r="Y68">
            <v>0.02056</v>
          </cell>
          <cell r="Z68">
            <v>0.02319</v>
          </cell>
          <cell r="AA68">
            <v>0.05885</v>
          </cell>
          <cell r="AB68" t="str">
            <v>-</v>
          </cell>
        </row>
        <row r="69">
          <cell r="A69" t="str">
            <v>秀青</v>
          </cell>
          <cell r="B69" t="str">
            <v>Y1075-RE</v>
          </cell>
          <cell r="C69" t="str">
            <v>5键款福特F150 F250 F350金边车钥匙套包壳（红色）+编织绳汽车钥匙扣+安装螺丝刀</v>
          </cell>
          <cell r="D69">
            <v>44973</v>
          </cell>
          <cell r="E69" t="str">
            <v>B0BRY14RTZ</v>
          </cell>
          <cell r="F69">
            <v>25</v>
          </cell>
          <cell r="G69">
            <v>0</v>
          </cell>
          <cell r="H69">
            <v>0</v>
          </cell>
          <cell r="I69">
            <v>0</v>
          </cell>
          <cell r="J69">
            <v>0</v>
          </cell>
          <cell r="K69">
            <v>25</v>
          </cell>
          <cell r="L69">
            <v>8.8</v>
          </cell>
          <cell r="M69">
            <v>220</v>
          </cell>
          <cell r="N69">
            <v>0</v>
          </cell>
          <cell r="O69">
            <v>0</v>
          </cell>
          <cell r="P69">
            <v>1</v>
          </cell>
          <cell r="Q69">
            <v>0</v>
          </cell>
          <cell r="R69">
            <v>0</v>
          </cell>
          <cell r="S69">
            <v>2250</v>
          </cell>
          <cell r="T69">
            <v>75</v>
          </cell>
          <cell r="U69">
            <v>0</v>
          </cell>
          <cell r="V69">
            <v>75</v>
          </cell>
          <cell r="W69" t="str">
            <v>有库存无销量</v>
          </cell>
          <cell r="X69" t="str">
            <v>库存过高</v>
          </cell>
          <cell r="Y69">
            <v>0.00745</v>
          </cell>
          <cell r="Z69">
            <v>0.9182</v>
          </cell>
          <cell r="AA69">
            <v>0.94327</v>
          </cell>
          <cell r="AB69" t="str">
            <v>-</v>
          </cell>
        </row>
        <row r="70">
          <cell r="A70" t="str">
            <v>秀青</v>
          </cell>
          <cell r="B70" t="str">
            <v>Y1075-WH</v>
          </cell>
          <cell r="C70" t="str">
            <v>5键款福特F150 F250 F350金边车钥匙套包壳（白色）+编织绳汽车钥匙扣+安装螺丝刀</v>
          </cell>
          <cell r="D70">
            <v>44973</v>
          </cell>
          <cell r="E70" t="str">
            <v>B0BRXZCGZC</v>
          </cell>
          <cell r="F70">
            <v>47</v>
          </cell>
          <cell r="G70">
            <v>0</v>
          </cell>
          <cell r="H70">
            <v>0</v>
          </cell>
          <cell r="I70">
            <v>0</v>
          </cell>
          <cell r="J70">
            <v>0</v>
          </cell>
          <cell r="K70">
            <v>47</v>
          </cell>
          <cell r="L70">
            <v>4.8</v>
          </cell>
          <cell r="M70">
            <v>225.6</v>
          </cell>
          <cell r="N70">
            <v>0</v>
          </cell>
          <cell r="O70">
            <v>0</v>
          </cell>
          <cell r="P70">
            <v>2</v>
          </cell>
          <cell r="Q70">
            <v>1</v>
          </cell>
          <cell r="R70">
            <v>-1</v>
          </cell>
          <cell r="S70">
            <v>2115</v>
          </cell>
          <cell r="T70">
            <v>70.5</v>
          </cell>
          <cell r="U70">
            <v>10.8387096774194</v>
          </cell>
          <cell r="V70">
            <v>59.6612903225806</v>
          </cell>
          <cell r="W70" t="str">
            <v>有库存无销量</v>
          </cell>
          <cell r="X70" t="str">
            <v>库存过高</v>
          </cell>
          <cell r="Y70">
            <v>0.28</v>
          </cell>
          <cell r="Z70">
            <v>0.93</v>
          </cell>
          <cell r="AA70">
            <v>2.78</v>
          </cell>
          <cell r="AB70" t="str">
            <v>-</v>
          </cell>
        </row>
        <row r="71">
          <cell r="A71" t="str">
            <v>秀青</v>
          </cell>
          <cell r="B71" t="str">
            <v>Y1076-BG</v>
          </cell>
          <cell r="C71" t="str">
            <v>5键jeep钥匙套适用自由光侠大切诺基指挥官道奇（棕绿色）+菱形纹汽车皮质钥匙扣带螺丝刀（灰蓝色）</v>
          </cell>
          <cell r="D71">
            <v>44973</v>
          </cell>
          <cell r="E71" t="str">
            <v>B0BS12MJSQ</v>
          </cell>
          <cell r="F71">
            <v>25</v>
          </cell>
          <cell r="G71">
            <v>0</v>
          </cell>
          <cell r="H71">
            <v>10</v>
          </cell>
          <cell r="I71">
            <v>0</v>
          </cell>
          <cell r="J71">
            <v>0</v>
          </cell>
          <cell r="K71">
            <v>35</v>
          </cell>
          <cell r="L71">
            <v>8.758</v>
          </cell>
          <cell r="M71">
            <v>306.53</v>
          </cell>
          <cell r="N71">
            <v>0</v>
          </cell>
          <cell r="O71">
            <v>0</v>
          </cell>
          <cell r="P71">
            <v>1</v>
          </cell>
          <cell r="Q71">
            <v>1</v>
          </cell>
          <cell r="R71">
            <v>-1</v>
          </cell>
          <cell r="S71">
            <v>3150</v>
          </cell>
          <cell r="T71">
            <v>105</v>
          </cell>
          <cell r="U71">
            <v>9.0379746835443</v>
          </cell>
          <cell r="V71">
            <v>95.9620253164557</v>
          </cell>
          <cell r="W71" t="str">
            <v>有库存无销量</v>
          </cell>
          <cell r="X71" t="str">
            <v>库存过高</v>
          </cell>
          <cell r="Y71">
            <v>0.01169</v>
          </cell>
          <cell r="Z71">
            <v>0.02285</v>
          </cell>
          <cell r="AA71">
            <v>0.05241</v>
          </cell>
          <cell r="AB71" t="str">
            <v>-</v>
          </cell>
        </row>
        <row r="72">
          <cell r="A72" t="str">
            <v>秀青</v>
          </cell>
          <cell r="B72" t="str">
            <v>Y1076-BL</v>
          </cell>
          <cell r="C72" t="str">
            <v>5键jeep钥匙套适用自由光侠大切诺基指挥官道奇（黑色）+菱形纹汽车皮质钥匙扣带螺丝刀（黑色）</v>
          </cell>
          <cell r="D72">
            <v>44973</v>
          </cell>
          <cell r="E72" t="str">
            <v>B0BS133PLR</v>
          </cell>
          <cell r="F72">
            <v>35</v>
          </cell>
          <cell r="G72">
            <v>0</v>
          </cell>
          <cell r="H72">
            <v>0</v>
          </cell>
          <cell r="I72">
            <v>0</v>
          </cell>
          <cell r="J72">
            <v>0</v>
          </cell>
          <cell r="K72">
            <v>35</v>
          </cell>
          <cell r="L72">
            <v>8.758</v>
          </cell>
          <cell r="M72">
            <v>306.53</v>
          </cell>
          <cell r="N72">
            <v>0</v>
          </cell>
          <cell r="O72">
            <v>1</v>
          </cell>
          <cell r="P72">
            <v>1</v>
          </cell>
          <cell r="Q72">
            <v>0</v>
          </cell>
          <cell r="R72">
            <v>0</v>
          </cell>
          <cell r="S72">
            <v>1050</v>
          </cell>
          <cell r="T72">
            <v>35</v>
          </cell>
          <cell r="U72">
            <v>15.6</v>
          </cell>
          <cell r="V72">
            <v>19.4</v>
          </cell>
          <cell r="W72" t="str">
            <v>有库存无销量</v>
          </cell>
          <cell r="X72" t="str">
            <v>库存过高</v>
          </cell>
          <cell r="Y72">
            <v>0.56871</v>
          </cell>
          <cell r="Z72">
            <v>1.70481</v>
          </cell>
          <cell r="AA72">
            <v>3.89321</v>
          </cell>
          <cell r="AB72" t="str">
            <v>-</v>
          </cell>
        </row>
        <row r="73">
          <cell r="A73" t="str">
            <v>秀青</v>
          </cell>
          <cell r="B73" t="str">
            <v>Y1076-MG</v>
          </cell>
          <cell r="C73" t="str">
            <v>5键jeep钥匙套适用自由光侠大切诺基指挥官道奇（抹茶绿色）+菱形纹汽车皮质钥匙扣带螺丝刀（绿色）</v>
          </cell>
          <cell r="D73">
            <v>44973</v>
          </cell>
          <cell r="E73" t="str">
            <v>B0BS13H4JM</v>
          </cell>
          <cell r="F73">
            <v>20</v>
          </cell>
          <cell r="G73">
            <v>0</v>
          </cell>
          <cell r="H73">
            <v>0</v>
          </cell>
          <cell r="I73">
            <v>0</v>
          </cell>
          <cell r="J73">
            <v>0</v>
          </cell>
          <cell r="K73">
            <v>20</v>
          </cell>
          <cell r="L73">
            <v>8.758</v>
          </cell>
          <cell r="M73">
            <v>175.16</v>
          </cell>
          <cell r="N73">
            <v>0</v>
          </cell>
          <cell r="O73">
            <v>0</v>
          </cell>
          <cell r="P73">
            <v>1</v>
          </cell>
          <cell r="Q73">
            <v>0</v>
          </cell>
          <cell r="R73">
            <v>0</v>
          </cell>
          <cell r="S73">
            <v>1800</v>
          </cell>
          <cell r="T73">
            <v>60</v>
          </cell>
          <cell r="U73">
            <v>10</v>
          </cell>
          <cell r="V73">
            <v>50</v>
          </cell>
          <cell r="W73" t="str">
            <v>有库存无销量</v>
          </cell>
          <cell r="X73" t="str">
            <v>库存过高</v>
          </cell>
          <cell r="Y73">
            <v>0.00931</v>
          </cell>
          <cell r="Z73">
            <v>0.01091</v>
          </cell>
          <cell r="AA73">
            <v>0.03073</v>
          </cell>
          <cell r="AB73" t="str">
            <v>-</v>
          </cell>
        </row>
        <row r="74">
          <cell r="A74" t="str">
            <v>秀青</v>
          </cell>
          <cell r="B74" t="str">
            <v>Y1076-RE</v>
          </cell>
          <cell r="C74" t="str">
            <v>5键jeep钥匙套适用自由光侠大切诺基指挥官道奇（红色）+菱形纹汽车皮质钥匙扣带螺丝刀（红色）</v>
          </cell>
          <cell r="D74">
            <v>44973</v>
          </cell>
          <cell r="E74" t="str">
            <v>B0BS12FW4M</v>
          </cell>
          <cell r="F74">
            <v>15</v>
          </cell>
          <cell r="G74">
            <v>0</v>
          </cell>
          <cell r="H74">
            <v>0</v>
          </cell>
          <cell r="I74">
            <v>0</v>
          </cell>
          <cell r="J74">
            <v>0</v>
          </cell>
          <cell r="K74">
            <v>15</v>
          </cell>
          <cell r="L74">
            <v>8.758</v>
          </cell>
          <cell r="M74">
            <v>131.37</v>
          </cell>
          <cell r="N74">
            <v>0</v>
          </cell>
          <cell r="O74">
            <v>3</v>
          </cell>
          <cell r="P74">
            <v>3</v>
          </cell>
          <cell r="Q74">
            <v>0</v>
          </cell>
          <cell r="R74">
            <v>0</v>
          </cell>
          <cell r="S74">
            <v>150</v>
          </cell>
          <cell r="T74">
            <v>5</v>
          </cell>
          <cell r="U74">
            <v>18</v>
          </cell>
          <cell r="V74">
            <v>-13</v>
          </cell>
          <cell r="W74" t="str">
            <v>有库存无销量</v>
          </cell>
          <cell r="X74" t="str">
            <v>库存过高</v>
          </cell>
          <cell r="Y74">
            <v>0.00714</v>
          </cell>
          <cell r="Z74">
            <v>0.02035</v>
          </cell>
          <cell r="AA74">
            <v>0.03645</v>
          </cell>
          <cell r="AB74" t="str">
            <v>-</v>
          </cell>
        </row>
        <row r="75">
          <cell r="A75" t="str">
            <v>秀青</v>
          </cell>
          <cell r="B75" t="str">
            <v>Y1078-BL</v>
          </cell>
          <cell r="C75" t="str">
            <v>5键本田钥匙套适用22款本田艾力绅奥德赛，21款混动车（金边黑色）+编织绳汽车钥匙扣+安装螺丝刀</v>
          </cell>
          <cell r="D75">
            <v>44981</v>
          </cell>
          <cell r="E75" t="str">
            <v>B0BSF6DY4D</v>
          </cell>
          <cell r="F75">
            <v>37</v>
          </cell>
          <cell r="G75">
            <v>0</v>
          </cell>
          <cell r="H75">
            <v>0</v>
          </cell>
          <cell r="I75">
            <v>0</v>
          </cell>
          <cell r="J75">
            <v>0</v>
          </cell>
          <cell r="K75">
            <v>37</v>
          </cell>
          <cell r="L75">
            <v>8.8</v>
          </cell>
          <cell r="M75">
            <v>325.6</v>
          </cell>
          <cell r="N75">
            <v>2</v>
          </cell>
          <cell r="O75">
            <v>2</v>
          </cell>
          <cell r="P75">
            <v>2</v>
          </cell>
          <cell r="Q75">
            <v>0</v>
          </cell>
          <cell r="R75">
            <v>2</v>
          </cell>
          <cell r="S75">
            <v>228.529411764706</v>
          </cell>
          <cell r="T75">
            <v>7.61764705882353</v>
          </cell>
          <cell r="U75">
            <v>22.2</v>
          </cell>
          <cell r="V75">
            <v>-14.5823529411765</v>
          </cell>
          <cell r="W75" t="str">
            <v>库存过高</v>
          </cell>
          <cell r="X75" t="str">
            <v>库存过高</v>
          </cell>
          <cell r="Y75">
            <v>0.00689</v>
          </cell>
          <cell r="Z75">
            <v>0.01305</v>
          </cell>
          <cell r="AA75">
            <v>0.03122</v>
          </cell>
          <cell r="AB75" t="str">
            <v>-</v>
          </cell>
        </row>
        <row r="76">
          <cell r="A76" t="str">
            <v>秀青</v>
          </cell>
          <cell r="B76" t="str">
            <v>Y1078-GRA</v>
          </cell>
          <cell r="C76" t="str">
            <v>5键本田钥匙套适用22款本田艾力绅奥德赛，21款混动车（金边棕色）+编织绳汽车钥匙扣+安装螺丝刀</v>
          </cell>
          <cell r="D76">
            <v>44981</v>
          </cell>
          <cell r="E76" t="str">
            <v>B0BSF5MT9C</v>
          </cell>
          <cell r="F76">
            <v>27</v>
          </cell>
          <cell r="G76">
            <v>0</v>
          </cell>
          <cell r="H76">
            <v>0</v>
          </cell>
          <cell r="I76">
            <v>0</v>
          </cell>
          <cell r="J76">
            <v>0</v>
          </cell>
          <cell r="K76">
            <v>27</v>
          </cell>
          <cell r="L76">
            <v>8.8</v>
          </cell>
          <cell r="M76">
            <v>237.6</v>
          </cell>
          <cell r="N76">
            <v>0</v>
          </cell>
          <cell r="O76">
            <v>0</v>
          </cell>
          <cell r="P76">
            <v>1</v>
          </cell>
          <cell r="Q76">
            <v>1</v>
          </cell>
          <cell r="R76">
            <v>-1</v>
          </cell>
          <cell r="S76">
            <v>2430</v>
          </cell>
          <cell r="T76">
            <v>81</v>
          </cell>
          <cell r="U76">
            <v>7.875</v>
          </cell>
          <cell r="V76">
            <v>73.125</v>
          </cell>
          <cell r="W76" t="str">
            <v>有库存无销量</v>
          </cell>
          <cell r="X76" t="str">
            <v>库存过高</v>
          </cell>
          <cell r="Y76">
            <v>0.00229</v>
          </cell>
          <cell r="Z76">
            <v>0.01211</v>
          </cell>
          <cell r="AA76">
            <v>0.0135</v>
          </cell>
          <cell r="AB76" t="str">
            <v>-</v>
          </cell>
        </row>
        <row r="77">
          <cell r="A77" t="str">
            <v>秀青</v>
          </cell>
          <cell r="B77" t="str">
            <v>Y1078-WH</v>
          </cell>
          <cell r="C77" t="str">
            <v>5键本田钥匙套适用22款本田艾力绅奥德赛，21款混动车（金边白色）+编织绳汽车钥匙扣+安装螺丝刀</v>
          </cell>
          <cell r="D77">
            <v>44981</v>
          </cell>
          <cell r="E77" t="str">
            <v>B0BSF5TCZ6</v>
          </cell>
          <cell r="F77">
            <v>23</v>
          </cell>
          <cell r="G77">
            <v>0</v>
          </cell>
          <cell r="H77">
            <v>0</v>
          </cell>
          <cell r="I77">
            <v>1</v>
          </cell>
          <cell r="J77">
            <v>0</v>
          </cell>
          <cell r="K77">
            <v>24</v>
          </cell>
          <cell r="L77">
            <v>8.8</v>
          </cell>
          <cell r="M77">
            <v>211.2</v>
          </cell>
          <cell r="N77">
            <v>1</v>
          </cell>
          <cell r="O77">
            <v>1</v>
          </cell>
          <cell r="P77">
            <v>3</v>
          </cell>
          <cell r="Q77">
            <v>1</v>
          </cell>
          <cell r="R77">
            <v>0</v>
          </cell>
          <cell r="S77">
            <v>232.615384615385</v>
          </cell>
          <cell r="T77">
            <v>7.75384615384617</v>
          </cell>
          <cell r="U77">
            <v>5.25</v>
          </cell>
          <cell r="V77">
            <v>2.50384615384617</v>
          </cell>
          <cell r="W77" t="str">
            <v>库存过高</v>
          </cell>
          <cell r="X77" t="str">
            <v>库存过高</v>
          </cell>
          <cell r="Y77">
            <v>0.37</v>
          </cell>
          <cell r="Z77">
            <v>1.04</v>
          </cell>
          <cell r="AA77">
            <v>3.28</v>
          </cell>
          <cell r="AB77" t="str">
            <v>-</v>
          </cell>
        </row>
        <row r="78">
          <cell r="A78" t="str">
            <v>秀青</v>
          </cell>
          <cell r="B78" t="str">
            <v>Y1079-BL</v>
          </cell>
          <cell r="C78" t="str">
            <v>5键本田钥匙套适用22款本田艾力绅奥德赛，21款混动车（银边黑色）+编织绳汽车钥匙扣+安装螺丝刀</v>
          </cell>
          <cell r="D78">
            <v>44981</v>
          </cell>
          <cell r="E78" t="str">
            <v>B0BSF63HXT</v>
          </cell>
          <cell r="F78">
            <v>39</v>
          </cell>
          <cell r="G78">
            <v>0</v>
          </cell>
          <cell r="H78">
            <v>0</v>
          </cell>
          <cell r="I78">
            <v>0</v>
          </cell>
          <cell r="J78">
            <v>0</v>
          </cell>
          <cell r="K78">
            <v>39</v>
          </cell>
          <cell r="L78">
            <v>8.799</v>
          </cell>
          <cell r="M78">
            <v>343.161</v>
          </cell>
          <cell r="N78">
            <v>0</v>
          </cell>
          <cell r="O78">
            <v>0</v>
          </cell>
          <cell r="P78">
            <v>3</v>
          </cell>
          <cell r="Q78">
            <v>1</v>
          </cell>
          <cell r="R78">
            <v>-1</v>
          </cell>
          <cell r="S78">
            <v>1170</v>
          </cell>
          <cell r="T78">
            <v>39</v>
          </cell>
          <cell r="U78">
            <v>9.03225806451613</v>
          </cell>
          <cell r="V78">
            <v>29.9677419354839</v>
          </cell>
          <cell r="W78" t="str">
            <v>有库存无销量</v>
          </cell>
          <cell r="X78" t="str">
            <v>库存过高</v>
          </cell>
          <cell r="Y78">
            <v>0.00357</v>
          </cell>
          <cell r="Z78">
            <v>0.00985</v>
          </cell>
          <cell r="AA78">
            <v>0.01265</v>
          </cell>
          <cell r="AB78" t="str">
            <v>-</v>
          </cell>
        </row>
        <row r="79">
          <cell r="A79" t="str">
            <v>秀青</v>
          </cell>
          <cell r="B79" t="str">
            <v>Y1079-WH</v>
          </cell>
          <cell r="C79" t="str">
            <v>5键本田钥匙套适用22款本田艾力绅奥德赛，21款混动车（银边白色）+编织绳汽车钥匙扣+安装螺丝刀</v>
          </cell>
          <cell r="D79">
            <v>44981</v>
          </cell>
          <cell r="E79" t="str">
            <v>B0BSF5H6Q6</v>
          </cell>
          <cell r="F79">
            <v>20</v>
          </cell>
          <cell r="G79">
            <v>0</v>
          </cell>
          <cell r="H79">
            <v>0</v>
          </cell>
          <cell r="I79">
            <v>0</v>
          </cell>
          <cell r="J79">
            <v>0</v>
          </cell>
          <cell r="K79">
            <v>20</v>
          </cell>
          <cell r="L79">
            <v>8.799</v>
          </cell>
          <cell r="M79">
            <v>175.98</v>
          </cell>
          <cell r="N79">
            <v>0</v>
          </cell>
          <cell r="O79">
            <v>0</v>
          </cell>
          <cell r="P79">
            <v>0</v>
          </cell>
          <cell r="Q79">
            <v>0</v>
          </cell>
          <cell r="R79">
            <v>0</v>
          </cell>
          <cell r="S79" t="str">
            <v>-</v>
          </cell>
          <cell r="T79" t="str">
            <v>-</v>
          </cell>
          <cell r="U79">
            <v>4.61538461538461</v>
          </cell>
          <cell r="V79" t="str">
            <v>-</v>
          </cell>
          <cell r="W79" t="str">
            <v>有库存无销量</v>
          </cell>
          <cell r="X79" t="str">
            <v>有库存无销量</v>
          </cell>
          <cell r="Y79">
            <v>5.21346</v>
          </cell>
          <cell r="Z79">
            <v>8.425</v>
          </cell>
          <cell r="AA79">
            <v>13.53143</v>
          </cell>
          <cell r="AB79">
            <v>0.579917686318131</v>
          </cell>
        </row>
        <row r="80">
          <cell r="A80" t="str">
            <v>秀青</v>
          </cell>
          <cell r="B80" t="str">
            <v>Y1080-BU</v>
          </cell>
          <cell r="C80" t="str">
            <v>5键本田钥匙套适用22款本田艾力绅奥德赛，21款混动车（青花瓷）+编织绳汽车钥匙扣+安装螺丝刀</v>
          </cell>
          <cell r="D80">
            <v>44981</v>
          </cell>
          <cell r="E80" t="str">
            <v>B0BSF6TYWW</v>
          </cell>
          <cell r="F80">
            <v>9</v>
          </cell>
          <cell r="G80">
            <v>1</v>
          </cell>
          <cell r="H80">
            <v>0</v>
          </cell>
          <cell r="I80">
            <v>0</v>
          </cell>
          <cell r="J80">
            <v>0</v>
          </cell>
          <cell r="K80">
            <v>10</v>
          </cell>
          <cell r="L80">
            <v>11.533</v>
          </cell>
          <cell r="M80">
            <v>115.33</v>
          </cell>
          <cell r="N80">
            <v>0</v>
          </cell>
          <cell r="O80">
            <v>0</v>
          </cell>
          <cell r="P80">
            <v>6</v>
          </cell>
          <cell r="Q80">
            <v>3</v>
          </cell>
          <cell r="R80">
            <v>-3</v>
          </cell>
          <cell r="S80">
            <v>150</v>
          </cell>
          <cell r="T80">
            <v>5</v>
          </cell>
          <cell r="U80">
            <v>0.510810810810811</v>
          </cell>
          <cell r="V80">
            <v>4.48918918918919</v>
          </cell>
          <cell r="W80" t="str">
            <v>有库存无销量</v>
          </cell>
          <cell r="X80" t="str">
            <v>库存过高</v>
          </cell>
          <cell r="Y80">
            <v>0</v>
          </cell>
          <cell r="Z80">
            <v>0</v>
          </cell>
          <cell r="AA80">
            <v>12.86169</v>
          </cell>
          <cell r="AB80" t="str">
            <v>-</v>
          </cell>
        </row>
        <row r="81">
          <cell r="A81" t="str">
            <v>秀青</v>
          </cell>
          <cell r="B81" t="str">
            <v>Y1080-GR</v>
          </cell>
          <cell r="C81" t="str">
            <v>5键本田钥匙套适用22款本田艾力绅奥德赛，21款混动车（翡翠玉）+编织绳汽车钥匙扣+安装螺丝刀</v>
          </cell>
          <cell r="D81">
            <v>44981</v>
          </cell>
          <cell r="E81" t="str">
            <v>B0BSF5H3N3</v>
          </cell>
          <cell r="F81">
            <v>9</v>
          </cell>
          <cell r="G81">
            <v>1</v>
          </cell>
          <cell r="H81">
            <v>0</v>
          </cell>
          <cell r="I81">
            <v>0</v>
          </cell>
          <cell r="J81">
            <v>0</v>
          </cell>
          <cell r="K81">
            <v>10</v>
          </cell>
          <cell r="L81">
            <v>11.395</v>
          </cell>
          <cell r="M81">
            <v>113.95</v>
          </cell>
          <cell r="N81">
            <v>0</v>
          </cell>
          <cell r="O81">
            <v>0</v>
          </cell>
          <cell r="P81">
            <v>4</v>
          </cell>
          <cell r="Q81">
            <v>2</v>
          </cell>
          <cell r="R81">
            <v>-2</v>
          </cell>
          <cell r="S81">
            <v>225</v>
          </cell>
          <cell r="T81">
            <v>7.5</v>
          </cell>
          <cell r="U81">
            <v>0.945</v>
          </cell>
          <cell r="V81">
            <v>6.555</v>
          </cell>
          <cell r="W81" t="str">
            <v>有库存无销量</v>
          </cell>
          <cell r="X81" t="str">
            <v>库存过高</v>
          </cell>
          <cell r="Y81">
            <v>0</v>
          </cell>
          <cell r="Z81">
            <v>0</v>
          </cell>
          <cell r="AA81">
            <v>3.37</v>
          </cell>
          <cell r="AB81" t="str">
            <v>-</v>
          </cell>
        </row>
        <row r="82">
          <cell r="A82" t="str">
            <v>秀青</v>
          </cell>
          <cell r="B82" t="str">
            <v>Y1081-BG</v>
          </cell>
          <cell r="C82" t="str">
            <v>6键GMC金边钥匙保护套（棕绿色）+菱形纹汽车皮质钥匙扣带螺丝刀（灰蓝色）</v>
          </cell>
          <cell r="D82">
            <v>44994</v>
          </cell>
          <cell r="E82" t="str">
            <v>B0BSFKQ92H</v>
          </cell>
          <cell r="F82">
            <v>26</v>
          </cell>
          <cell r="G82">
            <v>0</v>
          </cell>
          <cell r="H82">
            <v>0</v>
          </cell>
          <cell r="I82">
            <v>0</v>
          </cell>
          <cell r="J82">
            <v>0</v>
          </cell>
          <cell r="K82">
            <v>26</v>
          </cell>
          <cell r="L82">
            <v>4.8</v>
          </cell>
          <cell r="M82">
            <v>124.8</v>
          </cell>
          <cell r="N82">
            <v>0</v>
          </cell>
          <cell r="O82">
            <v>0</v>
          </cell>
          <cell r="P82">
            <v>0</v>
          </cell>
          <cell r="Q82">
            <v>0</v>
          </cell>
          <cell r="R82">
            <v>0</v>
          </cell>
          <cell r="S82" t="str">
            <v>-</v>
          </cell>
          <cell r="T82" t="str">
            <v>-</v>
          </cell>
          <cell r="U82">
            <v>8.4</v>
          </cell>
          <cell r="V82" t="str">
            <v>-</v>
          </cell>
          <cell r="W82" t="str">
            <v>有库存无销量</v>
          </cell>
          <cell r="X82" t="str">
            <v>有库存无销量</v>
          </cell>
          <cell r="Y82">
            <v>0.00702</v>
          </cell>
          <cell r="Z82">
            <v>0.01329</v>
          </cell>
          <cell r="AA82">
            <v>0.03625</v>
          </cell>
          <cell r="AB82" t="str">
            <v>-</v>
          </cell>
        </row>
        <row r="83">
          <cell r="A83" t="str">
            <v>秀青</v>
          </cell>
          <cell r="B83" t="str">
            <v>Y1081-BL</v>
          </cell>
          <cell r="C83" t="str">
            <v>6键GMC金边钥匙保护套（黑色）+菱形纹汽车皮质钥匙扣带螺丝刀（黑色）</v>
          </cell>
          <cell r="D83">
            <v>44994</v>
          </cell>
          <cell r="E83" t="str">
            <v>B0BSFKQ92J</v>
          </cell>
          <cell r="F83">
            <v>4</v>
          </cell>
          <cell r="G83">
            <v>0</v>
          </cell>
          <cell r="H83">
            <v>0</v>
          </cell>
          <cell r="I83">
            <v>0</v>
          </cell>
          <cell r="J83">
            <v>0</v>
          </cell>
          <cell r="K83">
            <v>4</v>
          </cell>
          <cell r="L83">
            <v>8.757</v>
          </cell>
          <cell r="M83">
            <v>35.028</v>
          </cell>
          <cell r="N83">
            <v>1</v>
          </cell>
          <cell r="O83">
            <v>1</v>
          </cell>
          <cell r="P83">
            <v>1</v>
          </cell>
          <cell r="Q83">
            <v>0</v>
          </cell>
          <cell r="R83">
            <v>1</v>
          </cell>
          <cell r="S83">
            <v>49.4117647058824</v>
          </cell>
          <cell r="T83">
            <v>1.64705882352941</v>
          </cell>
          <cell r="U83">
            <v>1.2</v>
          </cell>
          <cell r="V83">
            <v>0.447058823529413</v>
          </cell>
          <cell r="W83" t="str">
            <v>正常</v>
          </cell>
          <cell r="X83" t="str">
            <v>库存过高</v>
          </cell>
          <cell r="Y83">
            <v>1.4771</v>
          </cell>
          <cell r="Z83">
            <v>3.32363</v>
          </cell>
          <cell r="AA83">
            <v>5.14024</v>
          </cell>
          <cell r="AB83">
            <v>0.164304783092325</v>
          </cell>
        </row>
        <row r="84">
          <cell r="A84" t="str">
            <v>秀青</v>
          </cell>
          <cell r="B84" t="str">
            <v>Y1081-WH</v>
          </cell>
          <cell r="C84" t="str">
            <v>6键GMC金边钥匙保护套（白色）+菱形纹汽车皮质钥匙扣带螺丝刀（白色）</v>
          </cell>
          <cell r="D84">
            <v>44994</v>
          </cell>
          <cell r="E84" t="str">
            <v>B0BSFJX84G</v>
          </cell>
          <cell r="F84">
            <v>18</v>
          </cell>
          <cell r="G84">
            <v>0</v>
          </cell>
          <cell r="H84">
            <v>0</v>
          </cell>
          <cell r="I84">
            <v>0</v>
          </cell>
          <cell r="J84">
            <v>0</v>
          </cell>
          <cell r="K84">
            <v>18</v>
          </cell>
          <cell r="L84">
            <v>8.757</v>
          </cell>
          <cell r="M84">
            <v>157.626</v>
          </cell>
          <cell r="N84">
            <v>0</v>
          </cell>
          <cell r="O84">
            <v>1</v>
          </cell>
          <cell r="P84">
            <v>1</v>
          </cell>
          <cell r="Q84">
            <v>0</v>
          </cell>
          <cell r="R84">
            <v>0</v>
          </cell>
          <cell r="S84">
            <v>540</v>
          </cell>
          <cell r="T84">
            <v>18</v>
          </cell>
          <cell r="U84">
            <v>57</v>
          </cell>
          <cell r="V84">
            <v>-39</v>
          </cell>
          <cell r="W84" t="str">
            <v>有库存无销量</v>
          </cell>
          <cell r="X84" t="str">
            <v>库存过高</v>
          </cell>
          <cell r="Y84">
            <v>0.00283</v>
          </cell>
          <cell r="Z84">
            <v>0.00446</v>
          </cell>
          <cell r="AA84">
            <v>0.02429</v>
          </cell>
          <cell r="AB84" t="str">
            <v>-</v>
          </cell>
        </row>
        <row r="85">
          <cell r="A85" t="str">
            <v>秀青</v>
          </cell>
          <cell r="B85" t="str">
            <v>Y1083</v>
          </cell>
          <cell r="C85" t="str">
            <v>小飞机车载出风口香薰（ 蜘蛛侠）</v>
          </cell>
          <cell r="D85">
            <v>44964</v>
          </cell>
          <cell r="E85" t="str">
            <v>B0BSKLT31P</v>
          </cell>
          <cell r="F85">
            <v>25</v>
          </cell>
          <cell r="G85">
            <v>1</v>
          </cell>
          <cell r="H85">
            <v>36</v>
          </cell>
          <cell r="I85">
            <v>0</v>
          </cell>
          <cell r="J85">
            <v>0</v>
          </cell>
          <cell r="K85">
            <v>62</v>
          </cell>
          <cell r="L85">
            <v>35.468</v>
          </cell>
          <cell r="M85">
            <v>2199.016</v>
          </cell>
          <cell r="N85">
            <v>17</v>
          </cell>
          <cell r="O85">
            <v>31</v>
          </cell>
          <cell r="P85">
            <v>55</v>
          </cell>
          <cell r="Q85">
            <v>13</v>
          </cell>
          <cell r="R85">
            <v>4</v>
          </cell>
          <cell r="S85">
            <v>29.3905191873589</v>
          </cell>
          <cell r="T85">
            <v>0.979683972911963</v>
          </cell>
          <cell r="U85">
            <v>1.01994796183868</v>
          </cell>
          <cell r="V85">
            <v>-0.0402639889267166</v>
          </cell>
          <cell r="W85" t="str">
            <v>正常</v>
          </cell>
          <cell r="X85" t="str">
            <v>正常</v>
          </cell>
          <cell r="Y85">
            <v>26.36593</v>
          </cell>
          <cell r="Z85">
            <v>43.63335</v>
          </cell>
          <cell r="AA85">
            <v>86.19491</v>
          </cell>
          <cell r="AB85">
            <v>0.154466752592419</v>
          </cell>
        </row>
        <row r="86">
          <cell r="A86" t="str">
            <v>秀青</v>
          </cell>
          <cell r="B86" t="str">
            <v>Y1084</v>
          </cell>
          <cell r="C86" t="str">
            <v>小飞机车载出风口香薰（ 米奇）</v>
          </cell>
          <cell r="D86">
            <v>44965</v>
          </cell>
          <cell r="E86" t="str">
            <v>B0BSKVG5TZ</v>
          </cell>
          <cell r="F86">
            <v>60</v>
          </cell>
          <cell r="G86">
            <v>0</v>
          </cell>
          <cell r="H86">
            <v>2</v>
          </cell>
          <cell r="I86">
            <v>1</v>
          </cell>
          <cell r="J86">
            <v>0</v>
          </cell>
          <cell r="K86">
            <v>63</v>
          </cell>
          <cell r="L86">
            <v>35.506</v>
          </cell>
          <cell r="M86">
            <v>2236.878</v>
          </cell>
          <cell r="N86">
            <v>15</v>
          </cell>
          <cell r="O86">
            <v>20</v>
          </cell>
          <cell r="P86">
            <v>30</v>
          </cell>
          <cell r="Q86">
            <v>6</v>
          </cell>
          <cell r="R86">
            <v>9</v>
          </cell>
          <cell r="S86">
            <v>42.2234042553191</v>
          </cell>
          <cell r="T86">
            <v>1.40744680851064</v>
          </cell>
          <cell r="U86">
            <v>2.03731343283582</v>
          </cell>
          <cell r="V86">
            <v>-0.629866624325183</v>
          </cell>
          <cell r="W86" t="str">
            <v>正常</v>
          </cell>
          <cell r="X86" t="str">
            <v>正常</v>
          </cell>
          <cell r="Y86">
            <v>13.93734</v>
          </cell>
          <cell r="Z86">
            <v>26.2035</v>
          </cell>
          <cell r="AA86">
            <v>47.67609</v>
          </cell>
          <cell r="AB86">
            <v>0.205081518540318</v>
          </cell>
        </row>
        <row r="87">
          <cell r="A87" t="str">
            <v>秀青</v>
          </cell>
          <cell r="B87" t="str">
            <v>Y1085</v>
          </cell>
          <cell r="C87" t="str">
            <v>小飞机车载出风口香薰（ 米妮）</v>
          </cell>
          <cell r="D87">
            <v>44965</v>
          </cell>
          <cell r="E87" t="str">
            <v>B0BSKXSTBJ</v>
          </cell>
          <cell r="F87">
            <v>90</v>
          </cell>
          <cell r="G87">
            <v>0</v>
          </cell>
          <cell r="H87">
            <v>0</v>
          </cell>
          <cell r="I87">
            <v>0</v>
          </cell>
          <cell r="J87">
            <v>0</v>
          </cell>
          <cell r="K87">
            <v>90</v>
          </cell>
          <cell r="L87">
            <v>35.873</v>
          </cell>
          <cell r="M87">
            <v>3228.57</v>
          </cell>
          <cell r="N87">
            <v>13</v>
          </cell>
          <cell r="O87">
            <v>19</v>
          </cell>
          <cell r="P87">
            <v>24</v>
          </cell>
          <cell r="Q87">
            <v>4</v>
          </cell>
          <cell r="R87">
            <v>9</v>
          </cell>
          <cell r="S87">
            <v>68.8106796116505</v>
          </cell>
          <cell r="T87">
            <v>2.29368932038835</v>
          </cell>
          <cell r="U87">
            <v>2.64953271028037</v>
          </cell>
          <cell r="V87">
            <v>-0.35584338989202</v>
          </cell>
          <cell r="W87" t="str">
            <v>库存过高</v>
          </cell>
          <cell r="X87" t="str">
            <v>库存过高</v>
          </cell>
          <cell r="Y87">
            <v>12.76337</v>
          </cell>
          <cell r="Z87">
            <v>20.66357</v>
          </cell>
          <cell r="AA87">
            <v>38.07328</v>
          </cell>
          <cell r="AB87">
            <v>0.043170539489261</v>
          </cell>
        </row>
        <row r="88">
          <cell r="A88" t="str">
            <v>秀青</v>
          </cell>
          <cell r="B88" t="str">
            <v>Y1087</v>
          </cell>
          <cell r="C88" t="str">
            <v>小飞机车载出风口香薰（ 凯蒂猫）</v>
          </cell>
          <cell r="D88">
            <v>44965</v>
          </cell>
          <cell r="E88" t="str">
            <v>B0BSL4HJZ7</v>
          </cell>
          <cell r="F88">
            <v>29</v>
          </cell>
          <cell r="G88">
            <v>2</v>
          </cell>
          <cell r="H88">
            <v>34</v>
          </cell>
          <cell r="I88">
            <v>0</v>
          </cell>
          <cell r="J88">
            <v>1</v>
          </cell>
          <cell r="K88">
            <v>66</v>
          </cell>
          <cell r="L88">
            <v>29</v>
          </cell>
          <cell r="M88">
            <v>1914</v>
          </cell>
          <cell r="N88">
            <v>34</v>
          </cell>
          <cell r="O88">
            <v>53</v>
          </cell>
          <cell r="P88">
            <v>96</v>
          </cell>
          <cell r="Q88">
            <v>20</v>
          </cell>
          <cell r="R88">
            <v>14</v>
          </cell>
          <cell r="S88">
            <v>17.0829909613804</v>
          </cell>
          <cell r="T88">
            <v>0.569433032046015</v>
          </cell>
          <cell r="U88">
            <v>0.7</v>
          </cell>
          <cell r="V88">
            <v>-0.130566967953985</v>
          </cell>
          <cell r="W88" t="str">
            <v>库存过低</v>
          </cell>
          <cell r="X88" t="str">
            <v>正常</v>
          </cell>
          <cell r="Y88">
            <v>45.87335</v>
          </cell>
          <cell r="Z88">
            <v>74.96775</v>
          </cell>
          <cell r="AA88">
            <v>136.58197</v>
          </cell>
          <cell r="AB88">
            <v>0.17613111921674</v>
          </cell>
        </row>
        <row r="89">
          <cell r="A89" t="str">
            <v>秀青</v>
          </cell>
          <cell r="B89" t="str">
            <v>Y1088</v>
          </cell>
          <cell r="C89" t="str">
            <v>小飞机车载出风口香薰（ 阿狸）</v>
          </cell>
          <cell r="D89">
            <v>44965</v>
          </cell>
          <cell r="E89" t="str">
            <v>B0BSL2JNM5</v>
          </cell>
          <cell r="F89">
            <v>1</v>
          </cell>
          <cell r="G89">
            <v>0</v>
          </cell>
          <cell r="H89">
            <v>0</v>
          </cell>
          <cell r="I89">
            <v>1</v>
          </cell>
          <cell r="J89">
            <v>0</v>
          </cell>
          <cell r="K89">
            <v>2</v>
          </cell>
          <cell r="L89">
            <v>28</v>
          </cell>
          <cell r="M89">
            <v>56</v>
          </cell>
          <cell r="N89">
            <v>1</v>
          </cell>
          <cell r="O89">
            <v>5</v>
          </cell>
          <cell r="P89">
            <v>9</v>
          </cell>
          <cell r="Q89">
            <v>0</v>
          </cell>
          <cell r="R89">
            <v>1</v>
          </cell>
          <cell r="S89">
            <v>7.73006134969325</v>
          </cell>
          <cell r="T89">
            <v>0.257668711656442</v>
          </cell>
          <cell r="U89">
            <v>4.28571428571429</v>
          </cell>
          <cell r="V89">
            <v>-4.02804557405785</v>
          </cell>
          <cell r="W89" t="str">
            <v>库存过低</v>
          </cell>
          <cell r="X89" t="str">
            <v>库存过低</v>
          </cell>
          <cell r="Y89">
            <v>2.32844</v>
          </cell>
          <cell r="Z89">
            <v>4.25264</v>
          </cell>
          <cell r="AA89">
            <v>6.79858</v>
          </cell>
          <cell r="AB89" t="str">
            <v>-</v>
          </cell>
        </row>
        <row r="90">
          <cell r="A90" t="str">
            <v>秀青</v>
          </cell>
          <cell r="B90" t="str">
            <v>Y1089</v>
          </cell>
          <cell r="C90" t="str">
            <v>小飞机车载出风口香薰（ NENE狗）</v>
          </cell>
          <cell r="D90">
            <v>44965</v>
          </cell>
          <cell r="E90" t="str">
            <v>B0BSL4V5GH</v>
          </cell>
          <cell r="F90">
            <v>23</v>
          </cell>
          <cell r="G90">
            <v>0</v>
          </cell>
          <cell r="H90">
            <v>0</v>
          </cell>
          <cell r="I90">
            <v>0</v>
          </cell>
          <cell r="J90">
            <v>0</v>
          </cell>
          <cell r="K90">
            <v>23</v>
          </cell>
          <cell r="L90">
            <v>27</v>
          </cell>
          <cell r="M90">
            <v>621</v>
          </cell>
          <cell r="N90">
            <v>2</v>
          </cell>
          <cell r="O90">
            <v>2</v>
          </cell>
          <cell r="P90">
            <v>5</v>
          </cell>
          <cell r="Q90">
            <v>1</v>
          </cell>
          <cell r="R90">
            <v>1</v>
          </cell>
          <cell r="S90">
            <v>117.804878048781</v>
          </cell>
          <cell r="T90">
            <v>3.9268292682927</v>
          </cell>
          <cell r="U90">
            <v>4.04444444444445</v>
          </cell>
          <cell r="V90">
            <v>-0.117615176151749</v>
          </cell>
          <cell r="W90" t="str">
            <v>库存过高</v>
          </cell>
          <cell r="X90" t="str">
            <v>库存过高</v>
          </cell>
          <cell r="Y90">
            <v>4.85161</v>
          </cell>
          <cell r="Z90">
            <v>8.4091</v>
          </cell>
          <cell r="AA90">
            <v>12.15444</v>
          </cell>
          <cell r="AB90">
            <v>0.0579227554918816</v>
          </cell>
        </row>
        <row r="91">
          <cell r="A91" t="str">
            <v>秀青</v>
          </cell>
          <cell r="B91" t="str">
            <v>Y1038-BU</v>
          </cell>
          <cell r="C91" t="str">
            <v>汽车子弹头天线 蓝色</v>
          </cell>
          <cell r="D91">
            <v>44998</v>
          </cell>
          <cell r="E91" t="str">
            <v>B0BTD9HZNV</v>
          </cell>
          <cell r="F91">
            <v>6</v>
          </cell>
          <cell r="G91">
            <v>0</v>
          </cell>
          <cell r="H91">
            <v>0</v>
          </cell>
          <cell r="I91">
            <v>0</v>
          </cell>
          <cell r="J91">
            <v>0</v>
          </cell>
          <cell r="K91">
            <v>6</v>
          </cell>
          <cell r="L91">
            <v>13.165</v>
          </cell>
          <cell r="M91">
            <v>78.99</v>
          </cell>
          <cell r="N91">
            <v>1</v>
          </cell>
          <cell r="O91">
            <v>1</v>
          </cell>
          <cell r="P91">
            <v>1</v>
          </cell>
          <cell r="Q91">
            <v>0</v>
          </cell>
          <cell r="R91">
            <v>1</v>
          </cell>
          <cell r="S91">
            <v>74.1176470588235</v>
          </cell>
          <cell r="T91">
            <v>2.47058823529412</v>
          </cell>
          <cell r="U91">
            <v>10.5</v>
          </cell>
          <cell r="V91">
            <v>-8.02941176470588</v>
          </cell>
          <cell r="W91" t="str">
            <v>正常</v>
          </cell>
          <cell r="X91" t="str">
            <v>库存过高</v>
          </cell>
          <cell r="Y91">
            <v>0.01074</v>
          </cell>
          <cell r="Z91">
            <v>0.01074</v>
          </cell>
          <cell r="AA91">
            <v>0.01074</v>
          </cell>
          <cell r="AB91">
            <v>0.00107507507507508</v>
          </cell>
        </row>
        <row r="92">
          <cell r="A92" t="str">
            <v>秀青</v>
          </cell>
          <cell r="B92" t="str">
            <v>Y1038-GL</v>
          </cell>
          <cell r="C92" t="str">
            <v>汽车子弹头天线 金色</v>
          </cell>
          <cell r="D92">
            <v>44998</v>
          </cell>
          <cell r="E92" t="str">
            <v>B0BTD9QY9N</v>
          </cell>
          <cell r="F92">
            <v>21</v>
          </cell>
          <cell r="G92">
            <v>0</v>
          </cell>
          <cell r="H92">
            <v>1</v>
          </cell>
          <cell r="I92">
            <v>0</v>
          </cell>
          <cell r="J92">
            <v>0</v>
          </cell>
          <cell r="K92">
            <v>22</v>
          </cell>
          <cell r="L92">
            <v>13.165</v>
          </cell>
          <cell r="M92">
            <v>289.63</v>
          </cell>
          <cell r="N92">
            <v>0</v>
          </cell>
          <cell r="O92">
            <v>1</v>
          </cell>
          <cell r="P92">
            <v>4</v>
          </cell>
          <cell r="Q92">
            <v>2</v>
          </cell>
          <cell r="R92">
            <v>-2</v>
          </cell>
          <cell r="S92">
            <v>330</v>
          </cell>
          <cell r="T92">
            <v>11</v>
          </cell>
          <cell r="U92">
            <v>4.3448275862069</v>
          </cell>
          <cell r="V92">
            <v>6.6551724137931</v>
          </cell>
          <cell r="W92" t="str">
            <v>有库存无销量</v>
          </cell>
          <cell r="X92" t="str">
            <v>库存过高</v>
          </cell>
          <cell r="Y92">
            <v>0.00659</v>
          </cell>
          <cell r="Z92">
            <v>0.00659</v>
          </cell>
          <cell r="AA92">
            <v>0.00659</v>
          </cell>
          <cell r="AB92" t="str">
            <v>-</v>
          </cell>
        </row>
        <row r="93">
          <cell r="A93" t="str">
            <v>秀青</v>
          </cell>
          <cell r="B93" t="str">
            <v>Y1038-PU</v>
          </cell>
          <cell r="C93" t="str">
            <v>汽车子弹头天线 紫色</v>
          </cell>
          <cell r="D93">
            <v>44998</v>
          </cell>
          <cell r="E93" t="str">
            <v>B0BTD8GG33</v>
          </cell>
          <cell r="F93">
            <v>19</v>
          </cell>
          <cell r="G93">
            <v>0</v>
          </cell>
          <cell r="H93">
            <v>0</v>
          </cell>
          <cell r="I93">
            <v>0</v>
          </cell>
          <cell r="J93">
            <v>0</v>
          </cell>
          <cell r="K93">
            <v>19</v>
          </cell>
          <cell r="L93">
            <v>13.165</v>
          </cell>
          <cell r="M93">
            <v>250.135</v>
          </cell>
          <cell r="N93">
            <v>0</v>
          </cell>
          <cell r="O93">
            <v>1</v>
          </cell>
          <cell r="P93">
            <v>1</v>
          </cell>
          <cell r="Q93">
            <v>0</v>
          </cell>
          <cell r="R93">
            <v>0</v>
          </cell>
          <cell r="S93">
            <v>570</v>
          </cell>
          <cell r="T93">
            <v>19</v>
          </cell>
          <cell r="U93">
            <v>10</v>
          </cell>
          <cell r="V93">
            <v>9</v>
          </cell>
          <cell r="W93" t="str">
            <v>有库存无销量</v>
          </cell>
          <cell r="X93" t="str">
            <v>库存过高</v>
          </cell>
          <cell r="Y93">
            <v>0.78156</v>
          </cell>
          <cell r="Z93">
            <v>1.80156</v>
          </cell>
          <cell r="AA93">
            <v>5.53156</v>
          </cell>
          <cell r="AB93">
            <v>0.0391171171171171</v>
          </cell>
        </row>
        <row r="94">
          <cell r="A94" t="str">
            <v>秀青</v>
          </cell>
          <cell r="B94" t="str">
            <v>Y1038-RE</v>
          </cell>
          <cell r="C94" t="str">
            <v>汽车子弹头天线 红色</v>
          </cell>
          <cell r="D94">
            <v>44998</v>
          </cell>
          <cell r="E94" t="str">
            <v>B0BTD6K52M</v>
          </cell>
          <cell r="F94">
            <v>8</v>
          </cell>
          <cell r="G94">
            <v>0</v>
          </cell>
          <cell r="H94">
            <v>0</v>
          </cell>
          <cell r="I94">
            <v>0</v>
          </cell>
          <cell r="J94">
            <v>0</v>
          </cell>
          <cell r="K94">
            <v>8</v>
          </cell>
          <cell r="L94">
            <v>13.182</v>
          </cell>
          <cell r="M94">
            <v>105.456</v>
          </cell>
          <cell r="N94">
            <v>0</v>
          </cell>
          <cell r="O94">
            <v>2</v>
          </cell>
          <cell r="P94">
            <v>5</v>
          </cell>
          <cell r="Q94">
            <v>1</v>
          </cell>
          <cell r="R94">
            <v>-1</v>
          </cell>
          <cell r="S94">
            <v>80</v>
          </cell>
          <cell r="T94">
            <v>2.66666666666667</v>
          </cell>
          <cell r="U94">
            <v>2.21052631578947</v>
          </cell>
          <cell r="V94">
            <v>0.456140350877197</v>
          </cell>
          <cell r="W94" t="str">
            <v>有库存无销量</v>
          </cell>
          <cell r="X94" t="str">
            <v>库存过高</v>
          </cell>
          <cell r="Y94">
            <v>0</v>
          </cell>
          <cell r="Z94">
            <v>0</v>
          </cell>
          <cell r="AA94">
            <v>0</v>
          </cell>
          <cell r="AB94" t="str">
            <v>-</v>
          </cell>
        </row>
        <row r="95">
          <cell r="A95" t="str">
            <v>秀青</v>
          </cell>
          <cell r="B95" t="str">
            <v>Y1054-ZH</v>
          </cell>
          <cell r="C95" t="str">
            <v>小飞机车载出风口香薰 哈科熊+蜘蛛侠</v>
          </cell>
          <cell r="D95">
            <v>44972</v>
          </cell>
          <cell r="E95" t="str">
            <v>B0BTLRZ257</v>
          </cell>
          <cell r="F95">
            <v>76</v>
          </cell>
          <cell r="G95">
            <v>0</v>
          </cell>
          <cell r="H95">
            <v>1</v>
          </cell>
          <cell r="I95">
            <v>4</v>
          </cell>
          <cell r="J95">
            <v>0</v>
          </cell>
          <cell r="K95">
            <v>81</v>
          </cell>
          <cell r="L95">
            <v>61.237</v>
          </cell>
          <cell r="M95">
            <v>4960.197</v>
          </cell>
          <cell r="N95">
            <v>19</v>
          </cell>
          <cell r="O95">
            <v>35</v>
          </cell>
          <cell r="P95">
            <v>51</v>
          </cell>
          <cell r="Q95">
            <v>8</v>
          </cell>
          <cell r="R95">
            <v>11</v>
          </cell>
          <cell r="S95">
            <v>36.0127028934368</v>
          </cell>
          <cell r="T95">
            <v>1.20042342978123</v>
          </cell>
          <cell r="U95">
            <v>2.96075581395349</v>
          </cell>
          <cell r="V95">
            <v>-1.76033238417226</v>
          </cell>
          <cell r="W95" t="str">
            <v>正常</v>
          </cell>
          <cell r="X95" t="str">
            <v>正常</v>
          </cell>
          <cell r="Y95">
            <v>64.42854</v>
          </cell>
          <cell r="Z95">
            <v>110.51282</v>
          </cell>
          <cell r="AA95">
            <v>176.01667</v>
          </cell>
          <cell r="AB95">
            <v>0.157673486368753</v>
          </cell>
        </row>
        <row r="96">
          <cell r="A96" t="str">
            <v>秀青</v>
          </cell>
          <cell r="B96" t="str">
            <v>Y1057-ZH</v>
          </cell>
          <cell r="C96" t="str">
            <v>小飞机车载出风口香薰 POPO兔+凯迪猫</v>
          </cell>
          <cell r="D96">
            <v>44972</v>
          </cell>
          <cell r="E96" t="str">
            <v>B0BTLVJWH9</v>
          </cell>
          <cell r="F96">
            <v>29</v>
          </cell>
          <cell r="G96">
            <v>1</v>
          </cell>
          <cell r="H96">
            <v>0</v>
          </cell>
          <cell r="I96">
            <v>0</v>
          </cell>
          <cell r="J96">
            <v>0</v>
          </cell>
          <cell r="K96">
            <v>30</v>
          </cell>
          <cell r="L96">
            <v>56</v>
          </cell>
          <cell r="M96">
            <v>1680</v>
          </cell>
          <cell r="N96">
            <v>14</v>
          </cell>
          <cell r="O96">
            <v>19</v>
          </cell>
          <cell r="P96">
            <v>34</v>
          </cell>
          <cell r="Q96">
            <v>9</v>
          </cell>
          <cell r="R96">
            <v>5</v>
          </cell>
          <cell r="S96">
            <v>20.4545454545455</v>
          </cell>
          <cell r="T96">
            <v>0.681818181818182</v>
          </cell>
          <cell r="U96">
            <v>1.52218934911243</v>
          </cell>
          <cell r="V96">
            <v>-0.840371167294248</v>
          </cell>
          <cell r="W96" t="str">
            <v>库存过低</v>
          </cell>
          <cell r="X96" t="str">
            <v>正常</v>
          </cell>
          <cell r="Y96">
            <v>30.48</v>
          </cell>
          <cell r="Z96">
            <v>52.4732233333333</v>
          </cell>
          <cell r="AA96">
            <v>103.55414</v>
          </cell>
          <cell r="AB96">
            <v>0.142230517965469</v>
          </cell>
        </row>
        <row r="97">
          <cell r="A97" t="str">
            <v>秀青</v>
          </cell>
          <cell r="B97" t="str">
            <v>Y1058-ZH</v>
          </cell>
          <cell r="C97" t="str">
            <v>小飞机车载出风口香薰 哈科熊+泰迪熊</v>
          </cell>
          <cell r="D97">
            <v>44972</v>
          </cell>
          <cell r="E97" t="str">
            <v>B0BTLSNFTQ</v>
          </cell>
          <cell r="F97">
            <v>35</v>
          </cell>
          <cell r="G97">
            <v>0</v>
          </cell>
          <cell r="H97">
            <v>1</v>
          </cell>
          <cell r="I97">
            <v>2</v>
          </cell>
          <cell r="J97">
            <v>0</v>
          </cell>
          <cell r="K97">
            <v>38</v>
          </cell>
          <cell r="L97">
            <v>57.45</v>
          </cell>
          <cell r="M97">
            <v>2183.1</v>
          </cell>
          <cell r="N97">
            <v>7</v>
          </cell>
          <cell r="O97">
            <v>11</v>
          </cell>
          <cell r="P97">
            <v>26</v>
          </cell>
          <cell r="Q97">
            <v>7</v>
          </cell>
          <cell r="R97">
            <v>0</v>
          </cell>
          <cell r="S97">
            <v>43.8461538461538</v>
          </cell>
          <cell r="T97">
            <v>1.46153846153846</v>
          </cell>
          <cell r="U97">
            <v>2.05263157894737</v>
          </cell>
          <cell r="V97">
            <v>-0.591093117408908</v>
          </cell>
          <cell r="W97" t="str">
            <v>正常</v>
          </cell>
          <cell r="X97" t="str">
            <v>正常</v>
          </cell>
          <cell r="Y97">
            <v>13.45503</v>
          </cell>
          <cell r="Z97">
            <v>27.0725133333333</v>
          </cell>
          <cell r="AA97">
            <v>46.5068</v>
          </cell>
          <cell r="AB97">
            <v>0.211690213971051</v>
          </cell>
        </row>
        <row r="98">
          <cell r="A98" t="str">
            <v>秀青</v>
          </cell>
          <cell r="B98" t="str">
            <v>Y1060-GR-ZH</v>
          </cell>
          <cell r="C98" t="str">
            <v>小飞机车载出风口香薰 绿色哈士奇+柴犬</v>
          </cell>
          <cell r="D98">
            <v>44972</v>
          </cell>
          <cell r="E98" t="str">
            <v>B0BTLSB925</v>
          </cell>
          <cell r="F98">
            <v>37</v>
          </cell>
          <cell r="G98">
            <v>0</v>
          </cell>
          <cell r="H98">
            <v>1</v>
          </cell>
          <cell r="I98">
            <v>0</v>
          </cell>
          <cell r="J98">
            <v>0</v>
          </cell>
          <cell r="K98">
            <v>38</v>
          </cell>
          <cell r="L98">
            <v>55.565</v>
          </cell>
          <cell r="M98">
            <v>2111.47</v>
          </cell>
          <cell r="N98">
            <v>6</v>
          </cell>
          <cell r="O98">
            <v>6</v>
          </cell>
          <cell r="P98">
            <v>6</v>
          </cell>
          <cell r="Q98">
            <v>0</v>
          </cell>
          <cell r="R98">
            <v>6</v>
          </cell>
          <cell r="S98">
            <v>78.2352941176471</v>
          </cell>
          <cell r="T98">
            <v>2.6078431372549</v>
          </cell>
          <cell r="U98" t="str">
            <v>-</v>
          </cell>
          <cell r="V98" t="str">
            <v>-</v>
          </cell>
          <cell r="W98" t="str">
            <v>正常</v>
          </cell>
          <cell r="X98" t="str">
            <v>库存过高</v>
          </cell>
          <cell r="Y98">
            <v>6.40416</v>
          </cell>
          <cell r="Z98">
            <v>6.40416</v>
          </cell>
          <cell r="AA98">
            <v>8.86905</v>
          </cell>
          <cell r="AB98">
            <v>0.0690475471698113</v>
          </cell>
        </row>
        <row r="99">
          <cell r="A99" t="str">
            <v>秀青</v>
          </cell>
          <cell r="B99" t="str">
            <v>Y1088-ZH</v>
          </cell>
          <cell r="C99" t="str">
            <v>小飞机车载出风口香薰 小黄鸭+阿狸</v>
          </cell>
          <cell r="D99">
            <v>44972</v>
          </cell>
          <cell r="E99" t="str">
            <v>B0BTLT57SZ</v>
          </cell>
          <cell r="F99">
            <v>6</v>
          </cell>
          <cell r="G99">
            <v>0</v>
          </cell>
          <cell r="H99">
            <v>0</v>
          </cell>
          <cell r="I99">
            <v>0</v>
          </cell>
          <cell r="J99">
            <v>0</v>
          </cell>
          <cell r="K99">
            <v>6</v>
          </cell>
          <cell r="L99">
            <v>57</v>
          </cell>
          <cell r="M99">
            <v>342</v>
          </cell>
          <cell r="N99">
            <v>0</v>
          </cell>
          <cell r="O99">
            <v>1</v>
          </cell>
          <cell r="P99">
            <v>4</v>
          </cell>
          <cell r="Q99">
            <v>3</v>
          </cell>
          <cell r="R99">
            <v>-3</v>
          </cell>
          <cell r="S99">
            <v>90</v>
          </cell>
          <cell r="T99">
            <v>3</v>
          </cell>
          <cell r="U99">
            <v>0.880239520958084</v>
          </cell>
          <cell r="V99">
            <v>2.11976047904192</v>
          </cell>
          <cell r="W99" t="str">
            <v>有库存无销量</v>
          </cell>
          <cell r="X99" t="str">
            <v>库存过高</v>
          </cell>
          <cell r="Y99">
            <v>0.5535</v>
          </cell>
          <cell r="Z99">
            <v>0.68601</v>
          </cell>
          <cell r="AA99">
            <v>1.59007</v>
          </cell>
          <cell r="AB99" t="str">
            <v>-</v>
          </cell>
        </row>
        <row r="100">
          <cell r="A100" t="str">
            <v>秀青</v>
          </cell>
          <cell r="B100" t="str">
            <v>Y1093-BU</v>
          </cell>
          <cell r="C100" t="str">
            <v>五合一汽车把手(蓝色)单个</v>
          </cell>
          <cell r="D100">
            <v>44972</v>
          </cell>
          <cell r="E100" t="str">
            <v>B0BV2XTCCV</v>
          </cell>
          <cell r="F100">
            <v>1</v>
          </cell>
          <cell r="G100">
            <v>0</v>
          </cell>
          <cell r="H100">
            <v>0</v>
          </cell>
          <cell r="I100">
            <v>0</v>
          </cell>
          <cell r="J100">
            <v>0</v>
          </cell>
          <cell r="K100">
            <v>1</v>
          </cell>
          <cell r="L100">
            <v>16</v>
          </cell>
          <cell r="M100">
            <v>16</v>
          </cell>
          <cell r="N100">
            <v>0</v>
          </cell>
          <cell r="O100">
            <v>1</v>
          </cell>
          <cell r="P100">
            <v>3</v>
          </cell>
          <cell r="Q100">
            <v>1</v>
          </cell>
          <cell r="R100">
            <v>-1</v>
          </cell>
          <cell r="S100">
            <v>18</v>
          </cell>
          <cell r="T100">
            <v>0.6</v>
          </cell>
          <cell r="U100">
            <v>0.488372093023256</v>
          </cell>
          <cell r="V100">
            <v>0.111627906976744</v>
          </cell>
          <cell r="W100" t="str">
            <v>有库存无销量</v>
          </cell>
          <cell r="X100" t="str">
            <v>正常</v>
          </cell>
          <cell r="Y100">
            <v>0</v>
          </cell>
          <cell r="Z100">
            <v>0</v>
          </cell>
          <cell r="AA100">
            <v>0</v>
          </cell>
          <cell r="AB100" t="str">
            <v>-</v>
          </cell>
        </row>
        <row r="101">
          <cell r="A101" t="str">
            <v>秀青</v>
          </cell>
          <cell r="B101" t="str">
            <v>Y1093-RE</v>
          </cell>
          <cell r="C101" t="str">
            <v>五合一汽车把手(红色)单个</v>
          </cell>
          <cell r="D101">
            <v>44972</v>
          </cell>
          <cell r="E101" t="str">
            <v>B0BV2Y7GVY</v>
          </cell>
          <cell r="F101">
            <v>6</v>
          </cell>
          <cell r="G101">
            <v>0</v>
          </cell>
          <cell r="H101">
            <v>0</v>
          </cell>
          <cell r="I101">
            <v>0</v>
          </cell>
          <cell r="J101">
            <v>0</v>
          </cell>
          <cell r="K101">
            <v>6</v>
          </cell>
          <cell r="L101">
            <v>16</v>
          </cell>
          <cell r="M101">
            <v>96</v>
          </cell>
          <cell r="N101">
            <v>1</v>
          </cell>
          <cell r="O101">
            <v>1</v>
          </cell>
          <cell r="P101">
            <v>3</v>
          </cell>
          <cell r="Q101">
            <v>0</v>
          </cell>
          <cell r="R101">
            <v>1</v>
          </cell>
          <cell r="S101">
            <v>58.1538461538461</v>
          </cell>
          <cell r="T101">
            <v>1.93846153846154</v>
          </cell>
          <cell r="U101" t="str">
            <v>-</v>
          </cell>
          <cell r="V101" t="str">
            <v>-</v>
          </cell>
          <cell r="W101" t="str">
            <v>正常</v>
          </cell>
          <cell r="X101" t="str">
            <v>库存过高</v>
          </cell>
          <cell r="Y101">
            <v>0</v>
          </cell>
          <cell r="Z101">
            <v>0</v>
          </cell>
          <cell r="AA101">
            <v>0</v>
          </cell>
          <cell r="AB101" t="str">
            <v>-</v>
          </cell>
        </row>
        <row r="102">
          <cell r="A102" t="str">
            <v>秀青</v>
          </cell>
          <cell r="B102" t="str">
            <v>Y1094-BL</v>
          </cell>
          <cell r="C102" t="str">
            <v>汽车方向盘钢绳锁 黑色</v>
          </cell>
          <cell r="D102">
            <v>45033</v>
          </cell>
          <cell r="E102" t="str">
            <v>B0BVT85T5K</v>
          </cell>
          <cell r="F102">
            <v>26</v>
          </cell>
          <cell r="G102">
            <v>0</v>
          </cell>
          <cell r="H102">
            <v>0</v>
          </cell>
          <cell r="I102">
            <v>0</v>
          </cell>
          <cell r="J102">
            <v>0</v>
          </cell>
          <cell r="K102">
            <v>26</v>
          </cell>
          <cell r="L102">
            <v>33</v>
          </cell>
          <cell r="M102">
            <v>858</v>
          </cell>
          <cell r="N102">
            <v>0</v>
          </cell>
          <cell r="O102">
            <v>0</v>
          </cell>
          <cell r="P102">
            <v>0</v>
          </cell>
          <cell r="Q102">
            <v>0</v>
          </cell>
          <cell r="R102">
            <v>0</v>
          </cell>
          <cell r="S102" t="str">
            <v>-</v>
          </cell>
          <cell r="T102" t="str">
            <v>-</v>
          </cell>
          <cell r="U102" t="str">
            <v>-</v>
          </cell>
          <cell r="V102" t="str">
            <v>-</v>
          </cell>
          <cell r="W102" t="str">
            <v>有库存无销量</v>
          </cell>
          <cell r="X102" t="str">
            <v>有库存无销量</v>
          </cell>
          <cell r="Y102">
            <v>0</v>
          </cell>
          <cell r="Z102">
            <v>0</v>
          </cell>
          <cell r="AA102">
            <v>0</v>
          </cell>
          <cell r="AB102" t="str">
            <v>-</v>
          </cell>
        </row>
        <row r="103">
          <cell r="A103" t="str">
            <v>秀青</v>
          </cell>
          <cell r="B103" t="str">
            <v>Y1094-RE</v>
          </cell>
          <cell r="C103" t="str">
            <v>汽车方向盘钢绳锁 红色</v>
          </cell>
          <cell r="D103">
            <v>45033</v>
          </cell>
          <cell r="E103" t="str">
            <v>B0BVTDDLYC</v>
          </cell>
          <cell r="F103">
            <v>29</v>
          </cell>
          <cell r="G103">
            <v>0</v>
          </cell>
          <cell r="H103">
            <v>0</v>
          </cell>
          <cell r="I103">
            <v>0</v>
          </cell>
          <cell r="J103">
            <v>0</v>
          </cell>
          <cell r="K103">
            <v>29</v>
          </cell>
          <cell r="L103">
            <v>33</v>
          </cell>
          <cell r="M103">
            <v>957</v>
          </cell>
          <cell r="N103">
            <v>0</v>
          </cell>
          <cell r="O103">
            <v>0</v>
          </cell>
          <cell r="P103">
            <v>0</v>
          </cell>
          <cell r="Q103">
            <v>0</v>
          </cell>
          <cell r="R103">
            <v>0</v>
          </cell>
          <cell r="S103" t="str">
            <v>-</v>
          </cell>
          <cell r="T103" t="str">
            <v>-</v>
          </cell>
          <cell r="U103" t="str">
            <v>-</v>
          </cell>
          <cell r="V103" t="str">
            <v>-</v>
          </cell>
          <cell r="W103" t="str">
            <v>有库存无销量</v>
          </cell>
          <cell r="X103" t="str">
            <v>有库存无销量</v>
          </cell>
          <cell r="Y103">
            <v>0.54275</v>
          </cell>
          <cell r="Z103">
            <v>0.54275</v>
          </cell>
          <cell r="AA103">
            <v>0.54275</v>
          </cell>
          <cell r="AB103" t="str">
            <v>-</v>
          </cell>
        </row>
        <row r="104">
          <cell r="A104" t="str">
            <v>秀青</v>
          </cell>
          <cell r="B104" t="str">
            <v>Y1094-YW</v>
          </cell>
          <cell r="C104" t="str">
            <v>汽车方向盘钢绳锁 黄色</v>
          </cell>
          <cell r="D104">
            <v>45027</v>
          </cell>
          <cell r="E104" t="str">
            <v>B0BVT3HRQS</v>
          </cell>
          <cell r="F104">
            <v>27</v>
          </cell>
          <cell r="G104">
            <v>0</v>
          </cell>
          <cell r="H104">
            <v>1</v>
          </cell>
          <cell r="I104">
            <v>0</v>
          </cell>
          <cell r="J104">
            <v>0</v>
          </cell>
          <cell r="K104">
            <v>28</v>
          </cell>
          <cell r="L104">
            <v>33</v>
          </cell>
          <cell r="M104">
            <v>924</v>
          </cell>
          <cell r="N104">
            <v>1</v>
          </cell>
          <cell r="O104">
            <v>1</v>
          </cell>
          <cell r="P104">
            <v>1</v>
          </cell>
          <cell r="Q104">
            <v>0</v>
          </cell>
          <cell r="R104">
            <v>1</v>
          </cell>
          <cell r="S104">
            <v>345.882352941177</v>
          </cell>
          <cell r="T104">
            <v>11.5294117647059</v>
          </cell>
          <cell r="U104" t="str">
            <v>-</v>
          </cell>
          <cell r="V104" t="str">
            <v>-</v>
          </cell>
          <cell r="W104" t="str">
            <v>库存过高</v>
          </cell>
          <cell r="X104" t="str">
            <v>库存过高</v>
          </cell>
          <cell r="Y104">
            <v>3.47788</v>
          </cell>
          <cell r="Z104">
            <v>4.28788</v>
          </cell>
          <cell r="AA104">
            <v>5.28788</v>
          </cell>
          <cell r="AB104">
            <v>0.173980990495248</v>
          </cell>
        </row>
        <row r="105">
          <cell r="A105" t="str">
            <v>秀青</v>
          </cell>
          <cell r="B105" t="str">
            <v>Y1038-BL</v>
          </cell>
          <cell r="C105" t="str">
            <v>汽车子弹头天线 黑色</v>
          </cell>
          <cell r="D105">
            <v>44999</v>
          </cell>
          <cell r="E105" t="str">
            <v>B0BWRNFX4D</v>
          </cell>
          <cell r="F105">
            <v>71</v>
          </cell>
          <cell r="G105">
            <v>0</v>
          </cell>
          <cell r="H105">
            <v>0</v>
          </cell>
          <cell r="I105">
            <v>0</v>
          </cell>
          <cell r="J105">
            <v>0</v>
          </cell>
          <cell r="K105">
            <v>71</v>
          </cell>
          <cell r="L105">
            <v>13</v>
          </cell>
          <cell r="M105">
            <v>923</v>
          </cell>
          <cell r="N105">
            <v>2</v>
          </cell>
          <cell r="O105">
            <v>3</v>
          </cell>
          <cell r="P105">
            <v>8</v>
          </cell>
          <cell r="Q105">
            <v>3</v>
          </cell>
          <cell r="R105">
            <v>-1</v>
          </cell>
          <cell r="S105">
            <v>283.101265822785</v>
          </cell>
          <cell r="T105">
            <v>9.43670886075949</v>
          </cell>
          <cell r="U105">
            <v>6.09926470588235</v>
          </cell>
          <cell r="V105">
            <v>3.33744415487714</v>
          </cell>
          <cell r="W105" t="str">
            <v>库存过高</v>
          </cell>
          <cell r="X105" t="str">
            <v>库存过高</v>
          </cell>
          <cell r="Y105">
            <v>0</v>
          </cell>
          <cell r="Z105">
            <v>0</v>
          </cell>
          <cell r="AA105">
            <v>0</v>
          </cell>
          <cell r="AB105" t="str">
            <v>-</v>
          </cell>
        </row>
        <row r="106">
          <cell r="A106" t="str">
            <v>秀青</v>
          </cell>
          <cell r="B106" t="str">
            <v>Y1060-ZH-</v>
          </cell>
          <cell r="C106" t="str">
            <v>小飞机车载出风口香薰 哈科熊+绿色哈士奇</v>
          </cell>
          <cell r="D106">
            <v>45016</v>
          </cell>
          <cell r="E106" t="str">
            <v>B0BY7RYYVC</v>
          </cell>
          <cell r="F106">
            <v>11</v>
          </cell>
          <cell r="G106">
            <v>0</v>
          </cell>
          <cell r="H106">
            <v>19</v>
          </cell>
          <cell r="I106">
            <v>0</v>
          </cell>
          <cell r="J106">
            <v>0</v>
          </cell>
          <cell r="K106">
            <v>30</v>
          </cell>
          <cell r="L106">
            <v>53.331</v>
          </cell>
          <cell r="M106">
            <v>1599.93</v>
          </cell>
          <cell r="N106">
            <v>8</v>
          </cell>
          <cell r="O106">
            <v>9</v>
          </cell>
          <cell r="P106">
            <v>11</v>
          </cell>
          <cell r="Q106">
            <v>0</v>
          </cell>
          <cell r="R106">
            <v>8</v>
          </cell>
          <cell r="S106">
            <v>42.6636568848758</v>
          </cell>
          <cell r="T106">
            <v>1.42212189616253</v>
          </cell>
          <cell r="U106">
            <v>0</v>
          </cell>
          <cell r="V106">
            <v>1.42212189616253</v>
          </cell>
          <cell r="W106" t="str">
            <v>正常</v>
          </cell>
          <cell r="X106" t="str">
            <v>正常</v>
          </cell>
          <cell r="Y106">
            <v>0.21852</v>
          </cell>
          <cell r="Z106">
            <v>0.39376</v>
          </cell>
          <cell r="AA106">
            <v>0.40372</v>
          </cell>
          <cell r="AB106">
            <v>0.00412535397394752</v>
          </cell>
        </row>
        <row r="107">
          <cell r="A107" t="str">
            <v>秀青</v>
          </cell>
          <cell r="B107" t="str">
            <v>Y1095</v>
          </cell>
          <cell r="C107" t="str">
            <v>汽车车载改装子弹头天线</v>
          </cell>
          <cell r="D107">
            <v>45053</v>
          </cell>
          <cell r="E107" t="str">
            <v>B0C1Z22VN3</v>
          </cell>
          <cell r="F107">
            <v>16</v>
          </cell>
          <cell r="G107">
            <v>0</v>
          </cell>
          <cell r="H107">
            <v>0</v>
          </cell>
          <cell r="I107">
            <v>0</v>
          </cell>
          <cell r="J107">
            <v>0</v>
          </cell>
          <cell r="K107">
            <v>16</v>
          </cell>
          <cell r="L107">
            <v>13.73</v>
          </cell>
          <cell r="M107">
            <v>219.68</v>
          </cell>
          <cell r="N107">
            <v>2</v>
          </cell>
          <cell r="O107">
            <v>2</v>
          </cell>
          <cell r="P107">
            <v>5</v>
          </cell>
          <cell r="Q107">
            <v>1</v>
          </cell>
          <cell r="R107">
            <v>1</v>
          </cell>
          <cell r="S107">
            <v>81.9512195121951</v>
          </cell>
          <cell r="T107">
            <v>2.73170731707317</v>
          </cell>
          <cell r="U107">
            <v>5.83333333333333</v>
          </cell>
          <cell r="V107">
            <v>-3.10162601626016</v>
          </cell>
          <cell r="W107" t="str">
            <v>库存过高</v>
          </cell>
          <cell r="X107" t="str">
            <v>库存过高</v>
          </cell>
          <cell r="Y107">
            <v>0.0188</v>
          </cell>
          <cell r="Z107">
            <v>0.0188</v>
          </cell>
          <cell r="AA107">
            <v>0.5188</v>
          </cell>
          <cell r="AB107" t="str">
            <v>-</v>
          </cell>
        </row>
        <row r="108">
          <cell r="A108" t="str">
            <v>秀青</v>
          </cell>
          <cell r="B108" t="str">
            <v>Y1096</v>
          </cell>
          <cell r="C108" t="str">
            <v>汽车车载改装子弹头天线</v>
          </cell>
          <cell r="D108">
            <v>45053</v>
          </cell>
          <cell r="E108" t="str">
            <v>B0C1Z2L3JF</v>
          </cell>
          <cell r="F108">
            <v>0</v>
          </cell>
          <cell r="G108">
            <v>1</v>
          </cell>
          <cell r="H108">
            <v>0</v>
          </cell>
          <cell r="I108">
            <v>0</v>
          </cell>
          <cell r="J108">
            <v>0</v>
          </cell>
          <cell r="K108">
            <v>1</v>
          </cell>
          <cell r="L108">
            <v>27.23</v>
          </cell>
          <cell r="M108">
            <v>27.23</v>
          </cell>
          <cell r="N108">
            <v>0</v>
          </cell>
          <cell r="O108">
            <v>1</v>
          </cell>
          <cell r="P108">
            <v>3</v>
          </cell>
          <cell r="Q108">
            <v>1</v>
          </cell>
          <cell r="R108">
            <v>-1</v>
          </cell>
          <cell r="S108">
            <v>18</v>
          </cell>
          <cell r="T108">
            <v>0.6</v>
          </cell>
          <cell r="U108">
            <v>0.23728813559322</v>
          </cell>
          <cell r="V108">
            <v>0.36271186440678</v>
          </cell>
          <cell r="W108" t="str">
            <v>有库存无销量</v>
          </cell>
          <cell r="X108" t="str">
            <v>正常</v>
          </cell>
          <cell r="Y108">
            <v>0</v>
          </cell>
          <cell r="Z108">
            <v>0</v>
          </cell>
          <cell r="AA108">
            <v>0</v>
          </cell>
          <cell r="AB108" t="str">
            <v>-</v>
          </cell>
        </row>
        <row r="109">
          <cell r="A109" t="str">
            <v>秀青</v>
          </cell>
          <cell r="B109" t="str">
            <v>Y1099</v>
          </cell>
          <cell r="C109" t="str">
            <v>宇航员香薰车载出风口</v>
          </cell>
          <cell r="D109">
            <v>45054</v>
          </cell>
          <cell r="E109" t="str">
            <v>B0C22SLCM2</v>
          </cell>
          <cell r="F109">
            <v>28</v>
          </cell>
          <cell r="G109">
            <v>0</v>
          </cell>
          <cell r="H109">
            <v>0</v>
          </cell>
          <cell r="I109">
            <v>0</v>
          </cell>
          <cell r="J109">
            <v>0</v>
          </cell>
          <cell r="K109">
            <v>28</v>
          </cell>
          <cell r="L109">
            <v>26</v>
          </cell>
          <cell r="M109">
            <v>728</v>
          </cell>
          <cell r="N109">
            <v>0</v>
          </cell>
          <cell r="O109">
            <v>0</v>
          </cell>
          <cell r="P109">
            <v>0</v>
          </cell>
          <cell r="Q109">
            <v>0</v>
          </cell>
          <cell r="R109">
            <v>0</v>
          </cell>
          <cell r="S109" t="str">
            <v>-</v>
          </cell>
          <cell r="T109" t="str">
            <v>-</v>
          </cell>
          <cell r="U109" t="str">
            <v>-</v>
          </cell>
          <cell r="V109" t="str">
            <v>-</v>
          </cell>
          <cell r="W109" t="str">
            <v>有库存无销量</v>
          </cell>
          <cell r="X109" t="str">
            <v>有库存无销量</v>
          </cell>
          <cell r="Y109">
            <v>0.13618</v>
          </cell>
          <cell r="Z109">
            <v>0.33489</v>
          </cell>
          <cell r="AA109">
            <v>0.62742</v>
          </cell>
          <cell r="AB109" t="str">
            <v>-</v>
          </cell>
        </row>
        <row r="110">
          <cell r="A110" t="str">
            <v>秀青</v>
          </cell>
          <cell r="B110" t="str">
            <v>Y1099-RE</v>
          </cell>
          <cell r="C110" t="str">
            <v>宇航员香薰车载出风口 红色</v>
          </cell>
          <cell r="D110">
            <v>45054</v>
          </cell>
          <cell r="E110" t="str">
            <v>B0C22ZPJ85</v>
          </cell>
          <cell r="F110">
            <v>28</v>
          </cell>
          <cell r="G110">
            <v>0</v>
          </cell>
          <cell r="H110">
            <v>0</v>
          </cell>
          <cell r="I110">
            <v>0</v>
          </cell>
          <cell r="J110">
            <v>0</v>
          </cell>
          <cell r="K110">
            <v>28</v>
          </cell>
          <cell r="L110">
            <v>26</v>
          </cell>
          <cell r="M110">
            <v>728</v>
          </cell>
          <cell r="N110">
            <v>0</v>
          </cell>
          <cell r="O110">
            <v>0</v>
          </cell>
          <cell r="P110">
            <v>1</v>
          </cell>
          <cell r="Q110">
            <v>1</v>
          </cell>
          <cell r="R110">
            <v>-1</v>
          </cell>
          <cell r="S110">
            <v>2520</v>
          </cell>
          <cell r="T110">
            <v>84</v>
          </cell>
          <cell r="U110">
            <v>11.5294117647059</v>
          </cell>
          <cell r="V110">
            <v>72.4705882352941</v>
          </cell>
          <cell r="W110" t="str">
            <v>有库存无销量</v>
          </cell>
          <cell r="X110" t="str">
            <v>库存过高</v>
          </cell>
          <cell r="Y110">
            <v>2.88228</v>
          </cell>
          <cell r="Z110">
            <v>4.71008</v>
          </cell>
          <cell r="AA110">
            <v>6.43699</v>
          </cell>
          <cell r="AB110">
            <v>0.051131452900479</v>
          </cell>
        </row>
        <row r="111">
          <cell r="A111" t="str">
            <v>秀青</v>
          </cell>
          <cell r="B111" t="str">
            <v>Y1100-GA</v>
          </cell>
          <cell r="C111" t="str">
            <v>朋克兔小飞艇车载香薰卡通出风口  灰色</v>
          </cell>
          <cell r="D111">
            <v>45058</v>
          </cell>
          <cell r="E111" t="str">
            <v>B0C2326PCB</v>
          </cell>
          <cell r="F111">
            <v>24</v>
          </cell>
          <cell r="G111">
            <v>0</v>
          </cell>
          <cell r="H111">
            <v>0</v>
          </cell>
          <cell r="I111">
            <v>0</v>
          </cell>
          <cell r="J111">
            <v>0</v>
          </cell>
          <cell r="K111">
            <v>24</v>
          </cell>
          <cell r="L111">
            <v>25</v>
          </cell>
          <cell r="M111">
            <v>600</v>
          </cell>
          <cell r="N111">
            <v>0</v>
          </cell>
          <cell r="O111">
            <v>0</v>
          </cell>
          <cell r="P111">
            <v>0</v>
          </cell>
          <cell r="Q111">
            <v>0</v>
          </cell>
          <cell r="R111">
            <v>0</v>
          </cell>
          <cell r="S111" t="str">
            <v>-</v>
          </cell>
          <cell r="T111" t="str">
            <v>-</v>
          </cell>
          <cell r="U111">
            <v>10.2857142857143</v>
          </cell>
          <cell r="V111" t="str">
            <v>-</v>
          </cell>
          <cell r="W111" t="str">
            <v>有库存无销量</v>
          </cell>
          <cell r="X111" t="str">
            <v>有库存无销量</v>
          </cell>
          <cell r="Y111">
            <v>0.32786</v>
          </cell>
          <cell r="Z111">
            <v>0.74014</v>
          </cell>
          <cell r="AA111">
            <v>1.44152</v>
          </cell>
          <cell r="AB111">
            <v>0.00389613784907903</v>
          </cell>
        </row>
        <row r="112">
          <cell r="A112" t="str">
            <v>秀青</v>
          </cell>
          <cell r="B112" t="str">
            <v>Y1100-RE</v>
          </cell>
          <cell r="C112" t="str">
            <v>朋克兔小飞艇车载香薰卡通出风口  红色</v>
          </cell>
          <cell r="D112">
            <v>45084</v>
          </cell>
          <cell r="E112" t="str">
            <v>B0C233HY1X</v>
          </cell>
          <cell r="F112">
            <v>26</v>
          </cell>
          <cell r="G112">
            <v>0</v>
          </cell>
          <cell r="H112">
            <v>0</v>
          </cell>
          <cell r="I112">
            <v>2</v>
          </cell>
          <cell r="J112">
            <v>0</v>
          </cell>
          <cell r="K112">
            <v>28</v>
          </cell>
          <cell r="L112">
            <v>25</v>
          </cell>
          <cell r="M112">
            <v>700</v>
          </cell>
          <cell r="N112">
            <v>1</v>
          </cell>
          <cell r="O112">
            <v>1</v>
          </cell>
          <cell r="P112">
            <v>1</v>
          </cell>
          <cell r="Q112">
            <v>0</v>
          </cell>
          <cell r="R112">
            <v>1</v>
          </cell>
          <cell r="S112">
            <v>345.882352941177</v>
          </cell>
          <cell r="T112">
            <v>11.5294117647059</v>
          </cell>
          <cell r="U112" t="str">
            <v>-</v>
          </cell>
          <cell r="V112" t="str">
            <v>-</v>
          </cell>
          <cell r="W112" t="str">
            <v>库存过高</v>
          </cell>
          <cell r="X112" t="str">
            <v>库存过高</v>
          </cell>
          <cell r="Y112">
            <v>0.45295</v>
          </cell>
          <cell r="Z112">
            <v>0.84665</v>
          </cell>
          <cell r="AA112">
            <v>1.70414</v>
          </cell>
          <cell r="AB112">
            <v>0.0138178767541184</v>
          </cell>
        </row>
        <row r="113">
          <cell r="A113" t="str">
            <v>秀青</v>
          </cell>
          <cell r="B113" t="str">
            <v>Y1101-CA</v>
          </cell>
          <cell r="C113" t="str">
            <v>出风口香薰片 10片 栀子花香</v>
          </cell>
          <cell r="D113">
            <v>45058</v>
          </cell>
          <cell r="E113" t="str">
            <v>B0C232CPTJ</v>
          </cell>
          <cell r="F113">
            <v>12</v>
          </cell>
          <cell r="G113">
            <v>1</v>
          </cell>
          <cell r="H113">
            <v>0</v>
          </cell>
          <cell r="I113">
            <v>0</v>
          </cell>
          <cell r="J113">
            <v>0</v>
          </cell>
          <cell r="K113">
            <v>13</v>
          </cell>
          <cell r="L113">
            <v>5</v>
          </cell>
          <cell r="M113">
            <v>65</v>
          </cell>
          <cell r="N113">
            <v>0</v>
          </cell>
          <cell r="O113">
            <v>1</v>
          </cell>
          <cell r="P113">
            <v>3</v>
          </cell>
          <cell r="Q113">
            <v>0</v>
          </cell>
          <cell r="R113">
            <v>0</v>
          </cell>
          <cell r="S113">
            <v>234</v>
          </cell>
          <cell r="T113">
            <v>7.8</v>
          </cell>
          <cell r="U113">
            <v>7</v>
          </cell>
          <cell r="V113">
            <v>0.799999999999999</v>
          </cell>
          <cell r="W113" t="str">
            <v>有库存无销量</v>
          </cell>
          <cell r="X113" t="str">
            <v>库存过高</v>
          </cell>
          <cell r="Y113">
            <v>0</v>
          </cell>
          <cell r="Z113">
            <v>0</v>
          </cell>
          <cell r="AA113">
            <v>0</v>
          </cell>
          <cell r="AB113" t="str">
            <v>-</v>
          </cell>
        </row>
        <row r="114">
          <cell r="A114" t="str">
            <v>秀青</v>
          </cell>
          <cell r="B114" t="str">
            <v>Y1101-RO</v>
          </cell>
          <cell r="C114" t="str">
            <v>出风口香薰片 10片 玫瑰香</v>
          </cell>
          <cell r="D114">
            <v>45058</v>
          </cell>
          <cell r="E114" t="str">
            <v>B0C2336K9F</v>
          </cell>
          <cell r="F114">
            <v>7</v>
          </cell>
          <cell r="G114">
            <v>0</v>
          </cell>
          <cell r="H114">
            <v>0</v>
          </cell>
          <cell r="I114">
            <v>0</v>
          </cell>
          <cell r="J114">
            <v>0</v>
          </cell>
          <cell r="K114">
            <v>7</v>
          </cell>
          <cell r="L114">
            <v>5</v>
          </cell>
          <cell r="M114">
            <v>35</v>
          </cell>
          <cell r="N114">
            <v>0</v>
          </cell>
          <cell r="O114">
            <v>0</v>
          </cell>
          <cell r="P114">
            <v>3</v>
          </cell>
          <cell r="Q114">
            <v>1</v>
          </cell>
          <cell r="R114">
            <v>-1</v>
          </cell>
          <cell r="S114">
            <v>210</v>
          </cell>
          <cell r="T114">
            <v>7</v>
          </cell>
          <cell r="U114">
            <v>2.25806451612903</v>
          </cell>
          <cell r="V114">
            <v>4.74193548387097</v>
          </cell>
          <cell r="W114" t="str">
            <v>有库存无销量</v>
          </cell>
          <cell r="X114" t="str">
            <v>库存过高</v>
          </cell>
          <cell r="Y114">
            <v>0</v>
          </cell>
          <cell r="Z114">
            <v>0</v>
          </cell>
          <cell r="AA114">
            <v>0</v>
          </cell>
          <cell r="AB114" t="str">
            <v>-</v>
          </cell>
        </row>
        <row r="115">
          <cell r="A115" t="str">
            <v>秀青</v>
          </cell>
          <cell r="B115" t="str">
            <v>Y1097-BU</v>
          </cell>
          <cell r="C115" t="str">
            <v>小黄鸭CD唱片机车载出风口 蓝色</v>
          </cell>
          <cell r="D115">
            <v>45058</v>
          </cell>
          <cell r="E115" t="str">
            <v>B0C27P74P9</v>
          </cell>
          <cell r="F115">
            <v>17</v>
          </cell>
          <cell r="G115">
            <v>0</v>
          </cell>
          <cell r="H115">
            <v>0</v>
          </cell>
          <cell r="I115">
            <v>0</v>
          </cell>
          <cell r="J115">
            <v>0</v>
          </cell>
          <cell r="K115">
            <v>17</v>
          </cell>
          <cell r="L115">
            <v>24</v>
          </cell>
          <cell r="M115">
            <v>408</v>
          </cell>
          <cell r="N115">
            <v>0</v>
          </cell>
          <cell r="O115">
            <v>0</v>
          </cell>
          <cell r="P115">
            <v>1</v>
          </cell>
          <cell r="Q115">
            <v>0</v>
          </cell>
          <cell r="R115">
            <v>0</v>
          </cell>
          <cell r="S115">
            <v>1530</v>
          </cell>
          <cell r="T115">
            <v>51</v>
          </cell>
          <cell r="U115">
            <v>18</v>
          </cell>
          <cell r="V115">
            <v>33</v>
          </cell>
          <cell r="W115" t="str">
            <v>有库存无销量</v>
          </cell>
          <cell r="X115" t="str">
            <v>库存过高</v>
          </cell>
          <cell r="Y115">
            <v>0.71426</v>
          </cell>
          <cell r="Z115">
            <v>1.11564</v>
          </cell>
          <cell r="AA115">
            <v>2.77668</v>
          </cell>
          <cell r="AB115">
            <v>0.0470217248189598</v>
          </cell>
        </row>
        <row r="116">
          <cell r="A116" t="str">
            <v>秀青</v>
          </cell>
          <cell r="B116" t="str">
            <v>Y1097-RE</v>
          </cell>
          <cell r="C116" t="str">
            <v>小黄鸭CD唱片机车载出风口 红色</v>
          </cell>
          <cell r="D116">
            <v>45082</v>
          </cell>
          <cell r="E116" t="str">
            <v>B0C27PXBB6</v>
          </cell>
          <cell r="F116">
            <v>23</v>
          </cell>
          <cell r="G116">
            <v>0</v>
          </cell>
          <cell r="H116">
            <v>0</v>
          </cell>
          <cell r="I116">
            <v>0</v>
          </cell>
          <cell r="J116">
            <v>0</v>
          </cell>
          <cell r="K116">
            <v>23</v>
          </cell>
          <cell r="L116">
            <v>24</v>
          </cell>
          <cell r="M116">
            <v>552</v>
          </cell>
          <cell r="N116">
            <v>0</v>
          </cell>
          <cell r="O116">
            <v>0</v>
          </cell>
          <cell r="P116">
            <v>1</v>
          </cell>
          <cell r="Q116">
            <v>0</v>
          </cell>
          <cell r="R116">
            <v>0</v>
          </cell>
          <cell r="S116">
            <v>2070</v>
          </cell>
          <cell r="T116">
            <v>69</v>
          </cell>
          <cell r="U116">
            <v>24</v>
          </cell>
          <cell r="V116">
            <v>45</v>
          </cell>
          <cell r="W116" t="str">
            <v>有库存无销量</v>
          </cell>
          <cell r="X116" t="str">
            <v>库存过高</v>
          </cell>
          <cell r="Y116">
            <v>0.17563</v>
          </cell>
          <cell r="Z116">
            <v>0.61314</v>
          </cell>
          <cell r="AA116">
            <v>1.42331</v>
          </cell>
          <cell r="AB116">
            <v>0.00593745774171738</v>
          </cell>
        </row>
        <row r="117">
          <cell r="A117" t="str">
            <v>秀青</v>
          </cell>
          <cell r="B117" t="str">
            <v>Y1098</v>
          </cell>
          <cell r="C117" t="str">
            <v>小黄鸭车载出风口香薰片</v>
          </cell>
          <cell r="D117">
            <v>45058</v>
          </cell>
          <cell r="E117" t="str">
            <v>B0C27R8ZWM</v>
          </cell>
          <cell r="F117">
            <v>18</v>
          </cell>
          <cell r="G117">
            <v>0</v>
          </cell>
          <cell r="H117">
            <v>0</v>
          </cell>
          <cell r="I117">
            <v>0</v>
          </cell>
          <cell r="J117">
            <v>0</v>
          </cell>
          <cell r="K117">
            <v>18</v>
          </cell>
          <cell r="L117">
            <v>5</v>
          </cell>
          <cell r="M117">
            <v>90</v>
          </cell>
          <cell r="N117">
            <v>0</v>
          </cell>
          <cell r="O117">
            <v>0</v>
          </cell>
          <cell r="P117">
            <v>0</v>
          </cell>
          <cell r="Q117">
            <v>0</v>
          </cell>
          <cell r="R117">
            <v>0</v>
          </cell>
          <cell r="S117" t="str">
            <v>-</v>
          </cell>
          <cell r="T117" t="str">
            <v>-</v>
          </cell>
          <cell r="U117">
            <v>18</v>
          </cell>
          <cell r="V117" t="str">
            <v>-</v>
          </cell>
          <cell r="W117" t="str">
            <v>有库存无销量</v>
          </cell>
          <cell r="X117" t="str">
            <v>有库存无销量</v>
          </cell>
          <cell r="Y117">
            <v>0</v>
          </cell>
          <cell r="Z117">
            <v>0</v>
          </cell>
          <cell r="AA117">
            <v>0</v>
          </cell>
          <cell r="AB117" t="str">
            <v>-</v>
          </cell>
        </row>
        <row r="118">
          <cell r="A118" t="str">
            <v>秀青</v>
          </cell>
          <cell r="B118" t="str">
            <v>Y1038-BLACK</v>
          </cell>
          <cell r="C118" t="str">
            <v>CA 汽车子弹头天线 黑色</v>
          </cell>
          <cell r="D118">
            <v>45061</v>
          </cell>
          <cell r="E118" t="str">
            <v>B0C3LKDC86</v>
          </cell>
          <cell r="F118">
            <v>27</v>
          </cell>
          <cell r="G118">
            <v>5</v>
          </cell>
          <cell r="H118">
            <v>3</v>
          </cell>
          <cell r="I118">
            <v>0</v>
          </cell>
          <cell r="J118">
            <v>0</v>
          </cell>
          <cell r="K118">
            <v>35</v>
          </cell>
          <cell r="L118">
            <v>13</v>
          </cell>
          <cell r="M118">
            <v>455</v>
          </cell>
          <cell r="N118">
            <v>2</v>
          </cell>
          <cell r="O118">
            <v>5</v>
          </cell>
          <cell r="P118">
            <v>9</v>
          </cell>
          <cell r="Q118">
            <v>4</v>
          </cell>
          <cell r="R118">
            <v>-2</v>
          </cell>
          <cell r="S118">
            <v>114.248704663212</v>
          </cell>
          <cell r="T118">
            <v>3.80829015544041</v>
          </cell>
          <cell r="U118">
            <v>3.0625</v>
          </cell>
          <cell r="V118">
            <v>0.745790155440414</v>
          </cell>
          <cell r="W118" t="str">
            <v>库存过高</v>
          </cell>
          <cell r="X118" t="str">
            <v>库存过高</v>
          </cell>
          <cell r="Y118">
            <v>4.91</v>
          </cell>
          <cell r="Z118">
            <v>9.5</v>
          </cell>
          <cell r="AA118">
            <v>14.23</v>
          </cell>
          <cell r="AB118">
            <v>0.307066916823014</v>
          </cell>
        </row>
        <row r="119">
          <cell r="A119" t="str">
            <v>秀青</v>
          </cell>
          <cell r="B119" t="str">
            <v>Y1038-BLUE</v>
          </cell>
          <cell r="C119" t="str">
            <v>CA 汽车子弹头天线 蓝色</v>
          </cell>
          <cell r="D119">
            <v>45061</v>
          </cell>
          <cell r="E119" t="str">
            <v>B0C3LN38TL</v>
          </cell>
          <cell r="F119">
            <v>39</v>
          </cell>
          <cell r="G119">
            <v>2</v>
          </cell>
          <cell r="H119">
            <v>0</v>
          </cell>
          <cell r="I119">
            <v>0</v>
          </cell>
          <cell r="J119">
            <v>0</v>
          </cell>
          <cell r="K119">
            <v>41</v>
          </cell>
          <cell r="L119">
            <v>13</v>
          </cell>
          <cell r="M119">
            <v>533</v>
          </cell>
          <cell r="N119">
            <v>0</v>
          </cell>
          <cell r="O119">
            <v>1</v>
          </cell>
          <cell r="P119">
            <v>2</v>
          </cell>
          <cell r="Q119">
            <v>1</v>
          </cell>
          <cell r="R119">
            <v>-1</v>
          </cell>
          <cell r="S119">
            <v>922.5</v>
          </cell>
          <cell r="T119">
            <v>30.75</v>
          </cell>
          <cell r="U119">
            <v>12.5416666666667</v>
          </cell>
          <cell r="V119">
            <v>18.2083333333333</v>
          </cell>
          <cell r="W119" t="str">
            <v>有库存无销量</v>
          </cell>
          <cell r="X119" t="str">
            <v>库存过高</v>
          </cell>
          <cell r="Y119">
            <v>0</v>
          </cell>
          <cell r="Z119">
            <v>0</v>
          </cell>
          <cell r="AA119">
            <v>0</v>
          </cell>
          <cell r="AB119" t="str">
            <v>-</v>
          </cell>
        </row>
        <row r="120">
          <cell r="A120" t="str">
            <v>秀青</v>
          </cell>
          <cell r="B120" t="str">
            <v>Y1038-SILVER</v>
          </cell>
          <cell r="C120" t="str">
            <v>CA 汽车子弹头天线 银色</v>
          </cell>
          <cell r="D120">
            <v>45061</v>
          </cell>
          <cell r="E120" t="str">
            <v>B0C3LNV2JL</v>
          </cell>
          <cell r="F120">
            <v>17</v>
          </cell>
          <cell r="G120">
            <v>1</v>
          </cell>
          <cell r="H120">
            <v>0</v>
          </cell>
          <cell r="I120">
            <v>1</v>
          </cell>
          <cell r="J120">
            <v>0</v>
          </cell>
          <cell r="K120">
            <v>19</v>
          </cell>
          <cell r="L120">
            <v>13</v>
          </cell>
          <cell r="M120">
            <v>247</v>
          </cell>
          <cell r="N120">
            <v>7</v>
          </cell>
          <cell r="O120">
            <v>13</v>
          </cell>
          <cell r="P120">
            <v>18</v>
          </cell>
          <cell r="Q120">
            <v>3</v>
          </cell>
          <cell r="R120">
            <v>4</v>
          </cell>
          <cell r="S120">
            <v>23.1081081081081</v>
          </cell>
          <cell r="T120">
            <v>0.77027027027027</v>
          </cell>
          <cell r="U120">
            <v>2.50996015936255</v>
          </cell>
          <cell r="V120">
            <v>-1.73968988909228</v>
          </cell>
          <cell r="W120" t="str">
            <v>正常</v>
          </cell>
          <cell r="X120" t="str">
            <v>正常</v>
          </cell>
          <cell r="Y120">
            <v>4.5</v>
          </cell>
          <cell r="Z120">
            <v>10.18</v>
          </cell>
          <cell r="AA120">
            <v>11.08</v>
          </cell>
          <cell r="AB120">
            <v>0.264861683343143</v>
          </cell>
        </row>
        <row r="121">
          <cell r="A121" t="str">
            <v>秀青</v>
          </cell>
          <cell r="B121" t="str">
            <v>Y1102-PU</v>
          </cell>
          <cell r="C121" t="str">
            <v>CA 汽车子弹头天线 紫色</v>
          </cell>
          <cell r="D121">
            <v>45119</v>
          </cell>
          <cell r="E121" t="str">
            <v>B0C9PX2YFL</v>
          </cell>
          <cell r="F121">
            <v>28</v>
          </cell>
          <cell r="G121">
            <v>0</v>
          </cell>
          <cell r="H121">
            <v>0</v>
          </cell>
          <cell r="I121">
            <v>0</v>
          </cell>
          <cell r="J121">
            <v>0</v>
          </cell>
          <cell r="K121">
            <v>28</v>
          </cell>
          <cell r="L121">
            <v>13.188</v>
          </cell>
          <cell r="M121">
            <v>369.264</v>
          </cell>
          <cell r="N121">
            <v>0</v>
          </cell>
          <cell r="O121">
            <v>0</v>
          </cell>
          <cell r="P121">
            <v>1</v>
          </cell>
          <cell r="Q121">
            <v>0</v>
          </cell>
          <cell r="R121">
            <v>0</v>
          </cell>
          <cell r="S121">
            <v>2520</v>
          </cell>
          <cell r="T121">
            <v>84</v>
          </cell>
          <cell r="U121">
            <v>28</v>
          </cell>
          <cell r="V121">
            <v>56</v>
          </cell>
          <cell r="W121" t="str">
            <v>有库存无销量</v>
          </cell>
          <cell r="X121" t="str">
            <v>库存过高</v>
          </cell>
          <cell r="Y121">
            <v>0</v>
          </cell>
          <cell r="Z121">
            <v>0</v>
          </cell>
          <cell r="AA121">
            <v>0</v>
          </cell>
          <cell r="AB121" t="str">
            <v>-</v>
          </cell>
        </row>
        <row r="122">
          <cell r="A122" t="str">
            <v>秀青</v>
          </cell>
          <cell r="B122" t="str">
            <v>Y1102-RE</v>
          </cell>
          <cell r="C122" t="str">
            <v>CA 汽车子弹头天线 红色</v>
          </cell>
          <cell r="D122">
            <v>45119</v>
          </cell>
          <cell r="E122" t="str">
            <v>B0C9PYKSPV</v>
          </cell>
          <cell r="F122">
            <v>23</v>
          </cell>
          <cell r="G122">
            <v>0</v>
          </cell>
          <cell r="H122">
            <v>0</v>
          </cell>
          <cell r="I122">
            <v>0</v>
          </cell>
          <cell r="J122">
            <v>0</v>
          </cell>
          <cell r="K122">
            <v>23</v>
          </cell>
          <cell r="L122">
            <v>13.188</v>
          </cell>
          <cell r="M122">
            <v>303.324</v>
          </cell>
          <cell r="N122">
            <v>0</v>
          </cell>
          <cell r="O122">
            <v>2</v>
          </cell>
          <cell r="P122">
            <v>3</v>
          </cell>
          <cell r="Q122">
            <v>0</v>
          </cell>
          <cell r="R122">
            <v>0</v>
          </cell>
          <cell r="S122">
            <v>295.714285714286</v>
          </cell>
          <cell r="T122">
            <v>9.85714285714286</v>
          </cell>
          <cell r="U122">
            <v>12.5</v>
          </cell>
          <cell r="V122">
            <v>-2.64285714285714</v>
          </cell>
          <cell r="W122" t="str">
            <v>有库存无销量</v>
          </cell>
          <cell r="X122" t="str">
            <v>库存过高</v>
          </cell>
          <cell r="Y122">
            <v>0</v>
          </cell>
          <cell r="Z122">
            <v>0</v>
          </cell>
          <cell r="AA122">
            <v>0</v>
          </cell>
          <cell r="AB122" t="str">
            <v>-</v>
          </cell>
        </row>
        <row r="123">
          <cell r="A123" t="str">
            <v>秀青</v>
          </cell>
          <cell r="B123" t="str">
            <v>Y1084-ZH</v>
          </cell>
          <cell r="C123" t="str">
            <v>小飞机车载出风口香薰 米奇+米妮</v>
          </cell>
          <cell r="D123">
            <v>45140</v>
          </cell>
          <cell r="E123" t="str">
            <v>B0CBK7YJ77</v>
          </cell>
          <cell r="F123">
            <v>19</v>
          </cell>
          <cell r="G123">
            <v>0</v>
          </cell>
          <cell r="H123">
            <v>0</v>
          </cell>
          <cell r="I123">
            <v>1</v>
          </cell>
          <cell r="J123">
            <v>0</v>
          </cell>
          <cell r="K123">
            <v>20</v>
          </cell>
          <cell r="L123">
            <v>70</v>
          </cell>
          <cell r="M123">
            <v>1400</v>
          </cell>
          <cell r="N123">
            <v>13</v>
          </cell>
          <cell r="O123">
            <v>16</v>
          </cell>
          <cell r="P123">
            <v>25</v>
          </cell>
          <cell r="Q123">
            <v>5</v>
          </cell>
          <cell r="R123">
            <v>8</v>
          </cell>
          <cell r="S123">
            <v>15.9695817490494</v>
          </cell>
          <cell r="T123">
            <v>0.532319391634981</v>
          </cell>
          <cell r="U123">
            <v>1.96317280453258</v>
          </cell>
          <cell r="V123">
            <v>-1.4308534128976</v>
          </cell>
          <cell r="W123" t="str">
            <v>库存过低</v>
          </cell>
          <cell r="X123" t="str">
            <v>正常</v>
          </cell>
          <cell r="Y123">
            <v>6.79819</v>
          </cell>
          <cell r="Z123">
            <v>14.12833</v>
          </cell>
          <cell r="AA123">
            <v>29.61476</v>
          </cell>
          <cell r="AB123">
            <v>0.0383839986449099</v>
          </cell>
        </row>
        <row r="124">
          <cell r="A124" t="str">
            <v>秀青</v>
          </cell>
          <cell r="B124" t="str">
            <v>Y1062-1</v>
          </cell>
          <cell r="C124" t="str">
            <v>飞行员车载香片（古龙味）</v>
          </cell>
          <cell r="D124">
            <v>45156</v>
          </cell>
          <cell r="E124" t="str">
            <v>B0CD1TFNWH</v>
          </cell>
          <cell r="F124">
            <v>10</v>
          </cell>
          <cell r="G124">
            <v>0</v>
          </cell>
          <cell r="H124">
            <v>9</v>
          </cell>
          <cell r="I124">
            <v>0</v>
          </cell>
          <cell r="J124">
            <v>0</v>
          </cell>
          <cell r="K124">
            <v>19</v>
          </cell>
          <cell r="L124">
            <v>4.3</v>
          </cell>
          <cell r="M124">
            <v>81.7</v>
          </cell>
          <cell r="N124">
            <v>1</v>
          </cell>
          <cell r="O124">
            <v>2</v>
          </cell>
          <cell r="P124">
            <v>5</v>
          </cell>
          <cell r="Q124">
            <v>1</v>
          </cell>
          <cell r="R124">
            <v>0</v>
          </cell>
          <cell r="S124">
            <v>128.709677419355</v>
          </cell>
          <cell r="T124">
            <v>4.29032258064516</v>
          </cell>
          <cell r="U124">
            <v>3.17441860465116</v>
          </cell>
          <cell r="V124">
            <v>1.115903975994</v>
          </cell>
          <cell r="W124" t="str">
            <v>库存过高</v>
          </cell>
          <cell r="X124" t="str">
            <v>库存过高</v>
          </cell>
          <cell r="Y124">
            <v>0</v>
          </cell>
          <cell r="Z124">
            <v>0</v>
          </cell>
          <cell r="AA124">
            <v>0</v>
          </cell>
          <cell r="AB124" t="str">
            <v>-</v>
          </cell>
        </row>
        <row r="125">
          <cell r="A125" t="str">
            <v>秀青</v>
          </cell>
          <cell r="B125" t="str">
            <v>Y1038-BL-1</v>
          </cell>
          <cell r="C125" t="str">
            <v>汽车子弹头天线 黑色</v>
          </cell>
          <cell r="D125">
            <v>45156</v>
          </cell>
          <cell r="E125" t="str">
            <v>B0CDH3MR1F</v>
          </cell>
          <cell r="F125">
            <v>39</v>
          </cell>
          <cell r="G125">
            <v>0</v>
          </cell>
          <cell r="H125">
            <v>0</v>
          </cell>
          <cell r="I125">
            <v>0</v>
          </cell>
          <cell r="J125">
            <v>0</v>
          </cell>
          <cell r="K125">
            <v>39</v>
          </cell>
          <cell r="L125">
            <v>13.22</v>
          </cell>
          <cell r="M125">
            <v>515.58</v>
          </cell>
          <cell r="N125">
            <v>2</v>
          </cell>
          <cell r="O125">
            <v>2</v>
          </cell>
          <cell r="P125">
            <v>3</v>
          </cell>
          <cell r="Q125">
            <v>0</v>
          </cell>
          <cell r="R125">
            <v>2</v>
          </cell>
          <cell r="S125">
            <v>225.412844036697</v>
          </cell>
          <cell r="T125">
            <v>7.51376146788991</v>
          </cell>
          <cell r="U125">
            <v>28.5</v>
          </cell>
          <cell r="V125">
            <v>-20.9862385321101</v>
          </cell>
          <cell r="W125" t="str">
            <v>库存过高</v>
          </cell>
          <cell r="X125" t="str">
            <v>库存过高</v>
          </cell>
          <cell r="Y125">
            <v>9.76</v>
          </cell>
          <cell r="Z125">
            <v>14.2</v>
          </cell>
          <cell r="AA125">
            <v>24.79</v>
          </cell>
          <cell r="AB125">
            <v>0.287312334412717</v>
          </cell>
        </row>
        <row r="126">
          <cell r="A126" t="str">
            <v>秀青</v>
          </cell>
          <cell r="B126" t="str">
            <v>Y1096-2</v>
          </cell>
          <cell r="C126" t="str">
            <v>汽车车载改装子弹头天线</v>
          </cell>
          <cell r="D126">
            <v>45156</v>
          </cell>
          <cell r="E126" t="str">
            <v>B0CDKCZNNC</v>
          </cell>
          <cell r="F126">
            <v>48</v>
          </cell>
          <cell r="G126">
            <v>0</v>
          </cell>
          <cell r="H126">
            <v>0</v>
          </cell>
          <cell r="I126">
            <v>0</v>
          </cell>
          <cell r="J126">
            <v>0</v>
          </cell>
          <cell r="K126">
            <v>48</v>
          </cell>
          <cell r="L126">
            <v>27.279</v>
          </cell>
          <cell r="M126">
            <v>1309.392</v>
          </cell>
          <cell r="N126">
            <v>0</v>
          </cell>
          <cell r="O126">
            <v>0</v>
          </cell>
          <cell r="P126">
            <v>2</v>
          </cell>
          <cell r="Q126">
            <v>0</v>
          </cell>
          <cell r="R126">
            <v>0</v>
          </cell>
          <cell r="S126">
            <v>2160</v>
          </cell>
          <cell r="T126">
            <v>72</v>
          </cell>
          <cell r="U126">
            <v>19</v>
          </cell>
          <cell r="V126">
            <v>53</v>
          </cell>
          <cell r="W126" t="str">
            <v>有库存无销量</v>
          </cell>
          <cell r="X126" t="str">
            <v>库存过高</v>
          </cell>
          <cell r="Y126">
            <v>0.16</v>
          </cell>
          <cell r="Z126">
            <v>0.16</v>
          </cell>
          <cell r="AA126">
            <v>0.39</v>
          </cell>
          <cell r="AB126" t="str">
            <v>-</v>
          </cell>
        </row>
        <row r="127">
          <cell r="A127" t="str">
            <v>秀青</v>
          </cell>
          <cell r="B127" t="str">
            <v>Y1103-BL</v>
          </cell>
          <cell r="C127" t="str">
            <v>汽车车载改装子弹头天线  黑色</v>
          </cell>
          <cell r="D127">
            <v>45191</v>
          </cell>
          <cell r="E127" t="str">
            <v>B0CFDY1DQH</v>
          </cell>
          <cell r="F127">
            <v>18</v>
          </cell>
          <cell r="G127">
            <v>0</v>
          </cell>
          <cell r="H127">
            <v>1</v>
          </cell>
          <cell r="I127">
            <v>2</v>
          </cell>
          <cell r="J127">
            <v>0</v>
          </cell>
          <cell r="K127">
            <v>21</v>
          </cell>
          <cell r="L127">
            <v>16.767</v>
          </cell>
          <cell r="M127">
            <v>352.107</v>
          </cell>
          <cell r="N127">
            <v>8</v>
          </cell>
          <cell r="O127">
            <v>13</v>
          </cell>
          <cell r="P127">
            <v>13</v>
          </cell>
          <cell r="Q127">
            <v>0</v>
          </cell>
          <cell r="R127">
            <v>8</v>
          </cell>
          <cell r="S127">
            <v>25.7894736842105</v>
          </cell>
          <cell r="T127">
            <v>0.859649122807017</v>
          </cell>
          <cell r="U127" t="str">
            <v>-</v>
          </cell>
          <cell r="V127" t="str">
            <v>-</v>
          </cell>
          <cell r="W127" t="str">
            <v>正常</v>
          </cell>
          <cell r="X127" t="str">
            <v>正常</v>
          </cell>
          <cell r="Y127">
            <v>41.89377</v>
          </cell>
          <cell r="Z127">
            <v>67.53377</v>
          </cell>
          <cell r="AA127">
            <v>68.98377</v>
          </cell>
          <cell r="AB127">
            <v>0.70587649536647</v>
          </cell>
        </row>
        <row r="128">
          <cell r="A128" t="str">
            <v>秀青</v>
          </cell>
          <cell r="B128" t="str">
            <v>Y1103-SI</v>
          </cell>
          <cell r="C128" t="str">
            <v>汽车车载改装子弹头天线  银色</v>
          </cell>
          <cell r="D128">
            <v>45191</v>
          </cell>
          <cell r="E128" t="str">
            <v>B0CFDX8X5Y</v>
          </cell>
          <cell r="F128">
            <v>26</v>
          </cell>
          <cell r="G128">
            <v>0</v>
          </cell>
          <cell r="H128">
            <v>0</v>
          </cell>
          <cell r="I128">
            <v>4</v>
          </cell>
          <cell r="J128">
            <v>0</v>
          </cell>
          <cell r="K128">
            <v>30</v>
          </cell>
          <cell r="L128">
            <v>16.767</v>
          </cell>
          <cell r="M128">
            <v>503.01</v>
          </cell>
          <cell r="N128">
            <v>3</v>
          </cell>
          <cell r="O128">
            <v>5</v>
          </cell>
          <cell r="P128">
            <v>5</v>
          </cell>
          <cell r="Q128">
            <v>0</v>
          </cell>
          <cell r="R128">
            <v>3</v>
          </cell>
          <cell r="S128">
            <v>96.9230769230769</v>
          </cell>
          <cell r="T128">
            <v>3.23076923076923</v>
          </cell>
          <cell r="U128" t="str">
            <v>-</v>
          </cell>
          <cell r="V128" t="str">
            <v>-</v>
          </cell>
          <cell r="W128" t="str">
            <v>库存过高</v>
          </cell>
          <cell r="X128" t="str">
            <v>库存过高</v>
          </cell>
          <cell r="Y128">
            <v>1.72809</v>
          </cell>
          <cell r="Z128">
            <v>30.50809</v>
          </cell>
          <cell r="AA128">
            <v>33.71809</v>
          </cell>
          <cell r="AB128">
            <v>0.13303233256351</v>
          </cell>
        </row>
        <row r="129">
          <cell r="A129" t="str">
            <v>秀青</v>
          </cell>
          <cell r="B129" t="str">
            <v>Y1104</v>
          </cell>
          <cell r="C129" t="str">
            <v>新款小黄鸭车载香薰出风口</v>
          </cell>
          <cell r="D129">
            <v>45212</v>
          </cell>
          <cell r="E129" t="str">
            <v>B0CJ8WX9XC</v>
          </cell>
          <cell r="F129">
            <v>0</v>
          </cell>
          <cell r="G129">
            <v>0</v>
          </cell>
          <cell r="H129">
            <v>28</v>
          </cell>
          <cell r="I129">
            <v>0</v>
          </cell>
          <cell r="J129">
            <v>0</v>
          </cell>
          <cell r="K129">
            <v>28</v>
          </cell>
          <cell r="L129">
            <v>32</v>
          </cell>
          <cell r="M129">
            <v>896</v>
          </cell>
          <cell r="N129">
            <v>1</v>
          </cell>
          <cell r="O129">
            <v>1</v>
          </cell>
          <cell r="P129">
            <v>1</v>
          </cell>
          <cell r="Q129">
            <v>0</v>
          </cell>
          <cell r="R129">
            <v>1</v>
          </cell>
          <cell r="S129">
            <v>345.882352941177</v>
          </cell>
          <cell r="T129">
            <v>11.5294117647059</v>
          </cell>
          <cell r="U129">
            <v>0</v>
          </cell>
          <cell r="V129">
            <v>11.5294117647059</v>
          </cell>
          <cell r="W129" t="str">
            <v>本月刚到货</v>
          </cell>
          <cell r="X129" t="str">
            <v>本月刚到货</v>
          </cell>
          <cell r="Y129">
            <v>0</v>
          </cell>
          <cell r="Z129">
            <v>0</v>
          </cell>
          <cell r="AA129">
            <v>0</v>
          </cell>
          <cell r="AB129" t="str">
            <v>-</v>
          </cell>
        </row>
      </sheetData>
      <sheetData sheetId="1"/>
      <sheetData sheetId="2">
        <row r="1">
          <cell r="B1">
            <v>18</v>
          </cell>
          <cell r="C1" t="str">
            <v>已经把长期无库存且决定后期不再做的sku删除</v>
          </cell>
        </row>
        <row r="1">
          <cell r="K1">
            <v>50</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50</v>
          </cell>
        </row>
        <row r="3">
          <cell r="M3">
            <v>3863.815</v>
          </cell>
          <cell r="N3">
            <v>15</v>
          </cell>
          <cell r="O3">
            <v>23</v>
          </cell>
          <cell r="P3">
            <v>32</v>
          </cell>
          <cell r="Q3">
            <v>4</v>
          </cell>
          <cell r="R3">
            <v>11</v>
          </cell>
        </row>
        <row r="3">
          <cell r="Y3">
            <v>21.31</v>
          </cell>
          <cell r="Z3">
            <v>37.04</v>
          </cell>
          <cell r="AA3">
            <v>91.62</v>
          </cell>
        </row>
        <row r="4">
          <cell r="A4" t="str">
            <v>欣彤</v>
          </cell>
          <cell r="B4" t="str">
            <v>E02091-WH+E02021</v>
          </cell>
          <cell r="C4" t="str">
            <v>祺航三星系列手机壳（带背夹）A20/A30</v>
          </cell>
        </row>
        <row r="4">
          <cell r="E4" t="str">
            <v>B07WXGKWQ9</v>
          </cell>
          <cell r="F4">
            <v>0</v>
          </cell>
          <cell r="G4">
            <v>1</v>
          </cell>
          <cell r="H4">
            <v>0</v>
          </cell>
          <cell r="I4">
            <v>0</v>
          </cell>
          <cell r="J4">
            <v>0</v>
          </cell>
          <cell r="K4">
            <v>1</v>
          </cell>
          <cell r="L4">
            <v>8</v>
          </cell>
          <cell r="M4">
            <v>8</v>
          </cell>
          <cell r="N4">
            <v>0</v>
          </cell>
          <cell r="O4">
            <v>0</v>
          </cell>
          <cell r="P4">
            <v>0</v>
          </cell>
          <cell r="Q4">
            <v>0</v>
          </cell>
          <cell r="R4">
            <v>0</v>
          </cell>
          <cell r="S4" t="str">
            <v>-</v>
          </cell>
          <cell r="T4" t="str">
            <v>-</v>
          </cell>
          <cell r="U4" t="str">
            <v>-</v>
          </cell>
          <cell r="V4" t="str">
            <v>-</v>
          </cell>
          <cell r="W4" t="str">
            <v>有库存无销量</v>
          </cell>
          <cell r="X4" t="str">
            <v>有库存无销量</v>
          </cell>
          <cell r="Y4">
            <v>0</v>
          </cell>
          <cell r="Z4">
            <v>0</v>
          </cell>
          <cell r="AA4">
            <v>0</v>
          </cell>
          <cell r="AB4" t="str">
            <v>-</v>
          </cell>
        </row>
        <row r="5">
          <cell r="A5" t="str">
            <v>欣彤</v>
          </cell>
          <cell r="B5" t="str">
            <v>FXC03655-BL</v>
          </cell>
          <cell r="C5" t="str">
            <v>通勤者二代手机壳+钢化膜+镜头膜+酒精包iPhone 13 6.1 黑</v>
          </cell>
        </row>
        <row r="5">
          <cell r="E5" t="str">
            <v>B09KY2NY1W</v>
          </cell>
          <cell r="F5">
            <v>0</v>
          </cell>
          <cell r="G5">
            <v>1</v>
          </cell>
          <cell r="H5">
            <v>0</v>
          </cell>
          <cell r="I5">
            <v>0</v>
          </cell>
          <cell r="J5">
            <v>0</v>
          </cell>
          <cell r="K5">
            <v>1</v>
          </cell>
          <cell r="L5">
            <v>13.077</v>
          </cell>
          <cell r="M5">
            <v>13.077</v>
          </cell>
          <cell r="N5">
            <v>0</v>
          </cell>
          <cell r="O5">
            <v>0</v>
          </cell>
          <cell r="P5">
            <v>0</v>
          </cell>
          <cell r="Q5">
            <v>0</v>
          </cell>
          <cell r="R5">
            <v>0</v>
          </cell>
          <cell r="S5" t="str">
            <v>-</v>
          </cell>
          <cell r="T5" t="str">
            <v>-</v>
          </cell>
          <cell r="U5" t="str">
            <v>-</v>
          </cell>
          <cell r="V5" t="str">
            <v>-</v>
          </cell>
          <cell r="W5" t="str">
            <v>有库存无销量</v>
          </cell>
          <cell r="X5" t="str">
            <v>有库存无销量</v>
          </cell>
          <cell r="Y5">
            <v>0</v>
          </cell>
          <cell r="Z5">
            <v>0</v>
          </cell>
          <cell r="AA5">
            <v>0</v>
          </cell>
          <cell r="AB5" t="str">
            <v>-</v>
          </cell>
        </row>
        <row r="6">
          <cell r="A6" t="str">
            <v>欣彤</v>
          </cell>
          <cell r="B6" t="str">
            <v>FXC03656-PI</v>
          </cell>
          <cell r="C6" t="str">
            <v>通勤者二代手机壳+钢化膜+镜头膜+酒精包iPhone 13 Pro 6.1 粉</v>
          </cell>
        </row>
        <row r="6">
          <cell r="E6" t="str">
            <v>B09KY2HXNH</v>
          </cell>
          <cell r="F6">
            <v>0</v>
          </cell>
          <cell r="G6">
            <v>1</v>
          </cell>
          <cell r="H6">
            <v>0</v>
          </cell>
          <cell r="I6">
            <v>2</v>
          </cell>
          <cell r="J6">
            <v>0</v>
          </cell>
          <cell r="K6">
            <v>3</v>
          </cell>
          <cell r="L6">
            <v>13.183</v>
          </cell>
          <cell r="M6">
            <v>39.549</v>
          </cell>
          <cell r="N6">
            <v>0</v>
          </cell>
          <cell r="O6">
            <v>0</v>
          </cell>
          <cell r="P6">
            <v>0</v>
          </cell>
          <cell r="Q6">
            <v>0</v>
          </cell>
          <cell r="R6">
            <v>0</v>
          </cell>
          <cell r="S6" t="str">
            <v>-</v>
          </cell>
          <cell r="T6" t="str">
            <v>-</v>
          </cell>
          <cell r="U6">
            <v>10</v>
          </cell>
          <cell r="V6" t="str">
            <v>-</v>
          </cell>
          <cell r="W6" t="str">
            <v>有库存无销量</v>
          </cell>
          <cell r="X6" t="str">
            <v>有库存无销量</v>
          </cell>
          <cell r="Y6">
            <v>0</v>
          </cell>
          <cell r="Z6">
            <v>0</v>
          </cell>
          <cell r="AA6">
            <v>0</v>
          </cell>
          <cell r="AB6" t="str">
            <v>-</v>
          </cell>
        </row>
        <row r="7">
          <cell r="A7" t="str">
            <v>欣彤</v>
          </cell>
          <cell r="B7" t="str">
            <v>FXC03656-TG</v>
          </cell>
          <cell r="C7" t="str">
            <v>通勤者二代手机壳+钢化膜+镜头膜+酒精包iPhone 13 Pro 6.1 绿</v>
          </cell>
        </row>
        <row r="7">
          <cell r="E7" t="str">
            <v>B09KY2YCNH</v>
          </cell>
          <cell r="F7">
            <v>0</v>
          </cell>
          <cell r="G7">
            <v>1</v>
          </cell>
          <cell r="H7">
            <v>0</v>
          </cell>
          <cell r="I7">
            <v>0</v>
          </cell>
          <cell r="J7">
            <v>0</v>
          </cell>
          <cell r="K7">
            <v>1</v>
          </cell>
          <cell r="L7">
            <v>13.181</v>
          </cell>
          <cell r="M7">
            <v>13.181</v>
          </cell>
          <cell r="N7">
            <v>0</v>
          </cell>
          <cell r="O7">
            <v>1</v>
          </cell>
          <cell r="P7">
            <v>4</v>
          </cell>
          <cell r="Q7">
            <v>2</v>
          </cell>
          <cell r="R7">
            <v>-2</v>
          </cell>
          <cell r="S7">
            <v>15</v>
          </cell>
          <cell r="T7">
            <v>0.5</v>
          </cell>
          <cell r="U7">
            <v>0.265822784810127</v>
          </cell>
          <cell r="V7">
            <v>0.234177215189873</v>
          </cell>
          <cell r="W7" t="str">
            <v>有库存无销量</v>
          </cell>
          <cell r="X7" t="str">
            <v>库存过低</v>
          </cell>
          <cell r="Y7">
            <v>0</v>
          </cell>
          <cell r="Z7">
            <v>0</v>
          </cell>
          <cell r="AA7">
            <v>5.87</v>
          </cell>
          <cell r="AB7" t="str">
            <v>-</v>
          </cell>
        </row>
        <row r="8">
          <cell r="A8" t="str">
            <v>欣彤</v>
          </cell>
          <cell r="B8" t="str">
            <v>FXC03656-YW</v>
          </cell>
          <cell r="C8" t="str">
            <v>通勤者二代手机壳+钢化膜+镜头膜+酒精包iPhone 13 Pro 6.1 黄</v>
          </cell>
        </row>
        <row r="8">
          <cell r="E8" t="str">
            <v>B09NKVCRDV</v>
          </cell>
          <cell r="F8">
            <v>1</v>
          </cell>
          <cell r="G8">
            <v>0</v>
          </cell>
          <cell r="H8">
            <v>0</v>
          </cell>
          <cell r="I8">
            <v>0</v>
          </cell>
          <cell r="J8">
            <v>0</v>
          </cell>
          <cell r="K8">
            <v>1</v>
          </cell>
          <cell r="L8">
            <v>13.188</v>
          </cell>
          <cell r="M8">
            <v>13.188</v>
          </cell>
          <cell r="N8">
            <v>0</v>
          </cell>
          <cell r="O8">
            <v>0</v>
          </cell>
          <cell r="P8">
            <v>0</v>
          </cell>
          <cell r="Q8">
            <v>0</v>
          </cell>
          <cell r="R8">
            <v>0</v>
          </cell>
          <cell r="S8" t="str">
            <v>-</v>
          </cell>
          <cell r="T8" t="str">
            <v>-</v>
          </cell>
          <cell r="U8" t="str">
            <v>-</v>
          </cell>
          <cell r="V8" t="str">
            <v>-</v>
          </cell>
          <cell r="W8" t="str">
            <v>有库存无销量</v>
          </cell>
          <cell r="X8" t="str">
            <v>有库存无销量</v>
          </cell>
          <cell r="Y8">
            <v>0</v>
          </cell>
          <cell r="Z8">
            <v>0</v>
          </cell>
          <cell r="AA8">
            <v>0</v>
          </cell>
          <cell r="AB8" t="str">
            <v>-</v>
          </cell>
        </row>
        <row r="9">
          <cell r="A9" t="str">
            <v>欣彤</v>
          </cell>
          <cell r="B9" t="str">
            <v>FXC03677-BL</v>
          </cell>
          <cell r="C9" t="str">
            <v>通勤者二代手机壳+软膜+镜头膜带包装+酒精包+翘板S22 黑</v>
          </cell>
        </row>
        <row r="9">
          <cell r="E9" t="str">
            <v>B09PR56QB8</v>
          </cell>
          <cell r="F9">
            <v>0</v>
          </cell>
          <cell r="G9">
            <v>1</v>
          </cell>
          <cell r="H9">
            <v>0</v>
          </cell>
          <cell r="I9">
            <v>0</v>
          </cell>
          <cell r="J9">
            <v>0</v>
          </cell>
          <cell r="K9">
            <v>1</v>
          </cell>
          <cell r="L9">
            <v>14.05</v>
          </cell>
          <cell r="M9">
            <v>14.05</v>
          </cell>
          <cell r="N9">
            <v>0</v>
          </cell>
          <cell r="O9">
            <v>0</v>
          </cell>
          <cell r="P9">
            <v>0</v>
          </cell>
          <cell r="Q9">
            <v>0</v>
          </cell>
          <cell r="R9">
            <v>0</v>
          </cell>
          <cell r="S9" t="str">
            <v>-</v>
          </cell>
          <cell r="T9" t="str">
            <v>-</v>
          </cell>
          <cell r="U9" t="str">
            <v>-</v>
          </cell>
          <cell r="V9" t="str">
            <v>-</v>
          </cell>
          <cell r="W9" t="str">
            <v>有库存无销量</v>
          </cell>
          <cell r="X9" t="str">
            <v>有库存无销量</v>
          </cell>
          <cell r="Y9">
            <v>0</v>
          </cell>
          <cell r="Z9">
            <v>0</v>
          </cell>
          <cell r="AA9">
            <v>0</v>
          </cell>
          <cell r="AB9" t="str">
            <v>-</v>
          </cell>
        </row>
        <row r="10">
          <cell r="A10" t="str">
            <v>欣彤</v>
          </cell>
          <cell r="B10" t="str">
            <v>FXC03679-BL</v>
          </cell>
          <cell r="C10" t="str">
            <v>通勤者二代手机壳+镜头膜带包装+酒精包+翘板S22 Ultra 5G 黑</v>
          </cell>
        </row>
        <row r="10">
          <cell r="E10" t="str">
            <v>B09PRC1N6Y</v>
          </cell>
          <cell r="F10">
            <v>2</v>
          </cell>
          <cell r="G10">
            <v>0</v>
          </cell>
          <cell r="H10">
            <v>0</v>
          </cell>
          <cell r="I10">
            <v>0</v>
          </cell>
          <cell r="J10">
            <v>0</v>
          </cell>
          <cell r="K10">
            <v>2</v>
          </cell>
          <cell r="L10">
            <v>11.35</v>
          </cell>
          <cell r="M10">
            <v>22.7</v>
          </cell>
          <cell r="N10">
            <v>0</v>
          </cell>
          <cell r="O10">
            <v>0</v>
          </cell>
          <cell r="P10">
            <v>0</v>
          </cell>
          <cell r="Q10">
            <v>0</v>
          </cell>
          <cell r="R10">
            <v>0</v>
          </cell>
          <cell r="S10" t="str">
            <v>-</v>
          </cell>
          <cell r="T10" t="str">
            <v>-</v>
          </cell>
          <cell r="U10" t="str">
            <v>-</v>
          </cell>
          <cell r="V10" t="str">
            <v>-</v>
          </cell>
          <cell r="W10" t="str">
            <v>有库存无销量</v>
          </cell>
          <cell r="X10" t="str">
            <v>有库存无销量</v>
          </cell>
          <cell r="Y10">
            <v>0</v>
          </cell>
          <cell r="Z10">
            <v>0</v>
          </cell>
          <cell r="AA10">
            <v>0</v>
          </cell>
          <cell r="AB10" t="str">
            <v>-</v>
          </cell>
        </row>
        <row r="11">
          <cell r="A11" t="str">
            <v>欣彤</v>
          </cell>
          <cell r="B11" t="str">
            <v>FXC03680-NA</v>
          </cell>
          <cell r="C11" t="str">
            <v>通勤者二代手机壳+钢化膜+镜头膜+酒精包S21 FE 5G 蓝</v>
          </cell>
        </row>
        <row r="11">
          <cell r="E11" t="str">
            <v>B09R1MH1J4</v>
          </cell>
          <cell r="F11">
            <v>0</v>
          </cell>
          <cell r="G11">
            <v>0</v>
          </cell>
          <cell r="H11">
            <v>1</v>
          </cell>
          <cell r="I11">
            <v>0</v>
          </cell>
          <cell r="J11">
            <v>0</v>
          </cell>
          <cell r="K11">
            <v>1</v>
          </cell>
          <cell r="L11">
            <v>13.2</v>
          </cell>
          <cell r="M11">
            <v>13.2</v>
          </cell>
          <cell r="N11">
            <v>0</v>
          </cell>
          <cell r="O11">
            <v>0</v>
          </cell>
          <cell r="P11">
            <v>0</v>
          </cell>
          <cell r="Q11">
            <v>0</v>
          </cell>
          <cell r="R11">
            <v>0</v>
          </cell>
          <cell r="S11" t="str">
            <v>-</v>
          </cell>
          <cell r="T11" t="str">
            <v>-</v>
          </cell>
          <cell r="U11" t="str">
            <v>-</v>
          </cell>
          <cell r="V11" t="str">
            <v>-</v>
          </cell>
          <cell r="W11" t="str">
            <v>有库存无销量</v>
          </cell>
          <cell r="X11" t="str">
            <v>有库存无销量</v>
          </cell>
          <cell r="Y11">
            <v>0</v>
          </cell>
          <cell r="Z11">
            <v>0</v>
          </cell>
          <cell r="AA11">
            <v>0</v>
          </cell>
          <cell r="AB11" t="str">
            <v>-</v>
          </cell>
        </row>
        <row r="12">
          <cell r="A12" t="str">
            <v>欣彤</v>
          </cell>
          <cell r="B12" t="str">
            <v>Y2006-DK</v>
          </cell>
          <cell r="C12" t="str">
            <v>通勤者二代手机壳+钢化膜+镜头膜+酒精包iPhone 14 6.1 墨绿</v>
          </cell>
        </row>
        <row r="12">
          <cell r="E12" t="str">
            <v>B0BB1XYYFG</v>
          </cell>
          <cell r="F12">
            <v>0</v>
          </cell>
          <cell r="G12">
            <v>0</v>
          </cell>
          <cell r="H12">
            <v>0</v>
          </cell>
          <cell r="I12">
            <v>1</v>
          </cell>
          <cell r="J12">
            <v>0</v>
          </cell>
          <cell r="K12">
            <v>1</v>
          </cell>
          <cell r="L12">
            <v>13</v>
          </cell>
          <cell r="M12">
            <v>13</v>
          </cell>
          <cell r="N12">
            <v>0</v>
          </cell>
          <cell r="O12">
            <v>0</v>
          </cell>
          <cell r="P12">
            <v>0</v>
          </cell>
          <cell r="Q12">
            <v>0</v>
          </cell>
          <cell r="R12">
            <v>0</v>
          </cell>
          <cell r="S12" t="str">
            <v>-</v>
          </cell>
          <cell r="T12" t="str">
            <v>-</v>
          </cell>
          <cell r="U12" t="str">
            <v>-</v>
          </cell>
          <cell r="V12" t="str">
            <v>-</v>
          </cell>
          <cell r="W12" t="str">
            <v>有库存无销量</v>
          </cell>
          <cell r="X12" t="str">
            <v>有库存无销量</v>
          </cell>
          <cell r="Y12">
            <v>0</v>
          </cell>
          <cell r="Z12">
            <v>0</v>
          </cell>
          <cell r="AA12">
            <v>0</v>
          </cell>
          <cell r="AB12" t="str">
            <v>-</v>
          </cell>
        </row>
        <row r="13">
          <cell r="A13" t="str">
            <v>欣彤</v>
          </cell>
          <cell r="B13" t="str">
            <v>Y2006-PG</v>
          </cell>
          <cell r="C13" t="str">
            <v>通勤者二代手机壳+钢化膜+镜头膜+酒精包iPhone 14 6.1 松绿</v>
          </cell>
        </row>
        <row r="13">
          <cell r="E13" t="str">
            <v>B0BB1SH8KF</v>
          </cell>
          <cell r="F13">
            <v>0</v>
          </cell>
          <cell r="G13">
            <v>0</v>
          </cell>
          <cell r="H13">
            <v>0</v>
          </cell>
          <cell r="I13">
            <v>1</v>
          </cell>
          <cell r="J13">
            <v>0</v>
          </cell>
          <cell r="K13">
            <v>1</v>
          </cell>
          <cell r="L13">
            <v>13</v>
          </cell>
          <cell r="M13">
            <v>13</v>
          </cell>
          <cell r="N13">
            <v>0</v>
          </cell>
          <cell r="O13">
            <v>0</v>
          </cell>
          <cell r="P13">
            <v>0</v>
          </cell>
          <cell r="Q13">
            <v>0</v>
          </cell>
          <cell r="R13">
            <v>0</v>
          </cell>
          <cell r="S13" t="str">
            <v>-</v>
          </cell>
          <cell r="T13" t="str">
            <v>-</v>
          </cell>
          <cell r="U13">
            <v>30</v>
          </cell>
          <cell r="V13" t="str">
            <v>-</v>
          </cell>
          <cell r="W13" t="str">
            <v>有库存无销量</v>
          </cell>
          <cell r="X13" t="str">
            <v>有库存无销量</v>
          </cell>
          <cell r="Y13">
            <v>0</v>
          </cell>
          <cell r="Z13">
            <v>0</v>
          </cell>
          <cell r="AA13">
            <v>0</v>
          </cell>
          <cell r="AB13" t="str">
            <v>-</v>
          </cell>
        </row>
        <row r="14">
          <cell r="A14" t="str">
            <v>欣彤</v>
          </cell>
          <cell r="B14" t="str">
            <v>Y2007-DK</v>
          </cell>
          <cell r="C14" t="str">
            <v>通勤者二代手机壳+钢化膜+镜头膜+酒精包iPhone 14 Pro 6.1墨绿</v>
          </cell>
        </row>
        <row r="14">
          <cell r="E14" t="str">
            <v>B0BB77P23N</v>
          </cell>
          <cell r="F14">
            <v>1</v>
          </cell>
          <cell r="G14">
            <v>0</v>
          </cell>
          <cell r="H14">
            <v>0</v>
          </cell>
          <cell r="I14">
            <v>0</v>
          </cell>
          <cell r="J14">
            <v>0</v>
          </cell>
          <cell r="K14">
            <v>1</v>
          </cell>
          <cell r="L14">
            <v>13</v>
          </cell>
          <cell r="M14">
            <v>13</v>
          </cell>
          <cell r="N14">
            <v>0</v>
          </cell>
          <cell r="O14">
            <v>0</v>
          </cell>
          <cell r="P14">
            <v>0</v>
          </cell>
          <cell r="Q14">
            <v>0</v>
          </cell>
          <cell r="R14">
            <v>0</v>
          </cell>
          <cell r="S14" t="str">
            <v>-</v>
          </cell>
          <cell r="T14" t="str">
            <v>-</v>
          </cell>
          <cell r="U14" t="str">
            <v>-</v>
          </cell>
          <cell r="V14" t="str">
            <v>-</v>
          </cell>
          <cell r="W14" t="str">
            <v>有库存无销量</v>
          </cell>
          <cell r="X14" t="str">
            <v>有库存无销量</v>
          </cell>
          <cell r="Y14">
            <v>0</v>
          </cell>
          <cell r="Z14">
            <v>0</v>
          </cell>
          <cell r="AA14">
            <v>0</v>
          </cell>
          <cell r="AB14" t="str">
            <v>-</v>
          </cell>
        </row>
        <row r="15">
          <cell r="A15" t="str">
            <v>欣彤</v>
          </cell>
          <cell r="B15" t="str">
            <v>Y2007-NA</v>
          </cell>
          <cell r="C15" t="str">
            <v>通勤者二代手机壳+钢化膜+镜头膜+酒精包iPhone 14 Pro 6.1 蓝</v>
          </cell>
        </row>
        <row r="15">
          <cell r="E15" t="str">
            <v>B0BB78TC7R</v>
          </cell>
          <cell r="F15">
            <v>0</v>
          </cell>
          <cell r="G15">
            <v>0</v>
          </cell>
          <cell r="H15">
            <v>0</v>
          </cell>
          <cell r="I15">
            <v>1</v>
          </cell>
          <cell r="J15">
            <v>0</v>
          </cell>
          <cell r="K15">
            <v>1</v>
          </cell>
          <cell r="L15">
            <v>13</v>
          </cell>
          <cell r="M15">
            <v>13</v>
          </cell>
          <cell r="N15">
            <v>0</v>
          </cell>
          <cell r="O15">
            <v>0</v>
          </cell>
          <cell r="P15">
            <v>0</v>
          </cell>
          <cell r="Q15">
            <v>0</v>
          </cell>
          <cell r="R15">
            <v>0</v>
          </cell>
          <cell r="S15" t="str">
            <v>-</v>
          </cell>
          <cell r="T15" t="str">
            <v>-</v>
          </cell>
          <cell r="U15" t="str">
            <v>-</v>
          </cell>
          <cell r="V15" t="str">
            <v>-</v>
          </cell>
          <cell r="W15" t="str">
            <v>有库存无销量</v>
          </cell>
          <cell r="X15" t="str">
            <v>有库存无销量</v>
          </cell>
          <cell r="Y15">
            <v>0</v>
          </cell>
          <cell r="Z15">
            <v>0</v>
          </cell>
          <cell r="AA15">
            <v>0</v>
          </cell>
          <cell r="AB15" t="str">
            <v>-</v>
          </cell>
        </row>
        <row r="16">
          <cell r="A16" t="str">
            <v>欣彤</v>
          </cell>
          <cell r="B16" t="str">
            <v>Y2007-PG</v>
          </cell>
          <cell r="C16" t="str">
            <v>通勤者二代手机壳+钢化膜+镜头膜+酒精包iPhone 14 Pro 6.1松绿</v>
          </cell>
        </row>
        <row r="16">
          <cell r="E16" t="str">
            <v>B0BB77VZF7</v>
          </cell>
          <cell r="F16">
            <v>0</v>
          </cell>
          <cell r="G16">
            <v>0</v>
          </cell>
          <cell r="H16">
            <v>1</v>
          </cell>
          <cell r="I16">
            <v>0</v>
          </cell>
          <cell r="J16">
            <v>0</v>
          </cell>
          <cell r="K16">
            <v>1</v>
          </cell>
          <cell r="L16">
            <v>13</v>
          </cell>
          <cell r="M16">
            <v>13</v>
          </cell>
          <cell r="N16">
            <v>1</v>
          </cell>
          <cell r="O16">
            <v>1</v>
          </cell>
          <cell r="P16">
            <v>1</v>
          </cell>
          <cell r="Q16">
            <v>0</v>
          </cell>
          <cell r="R16">
            <v>1</v>
          </cell>
          <cell r="S16">
            <v>12.3529411764706</v>
          </cell>
          <cell r="T16">
            <v>0.411764705882353</v>
          </cell>
          <cell r="U16" t="str">
            <v>-</v>
          </cell>
          <cell r="V16" t="str">
            <v>-</v>
          </cell>
          <cell r="W16" t="str">
            <v>库存过低</v>
          </cell>
          <cell r="X16" t="str">
            <v>库存过低</v>
          </cell>
          <cell r="Y16">
            <v>0</v>
          </cell>
          <cell r="Z16">
            <v>0</v>
          </cell>
          <cell r="AA16">
            <v>0</v>
          </cell>
          <cell r="AB16" t="str">
            <v>-</v>
          </cell>
        </row>
        <row r="17">
          <cell r="A17" t="str">
            <v>欣彤</v>
          </cell>
          <cell r="B17" t="str">
            <v>Y2009-BL</v>
          </cell>
          <cell r="C17" t="str">
            <v>通勤者二代手机壳+钢化膜+镜头膜+酒精包iPhone 14 Pro Max 6.7黑</v>
          </cell>
        </row>
        <row r="17">
          <cell r="E17" t="str">
            <v>B0BB78NR8Z</v>
          </cell>
          <cell r="F17">
            <v>0</v>
          </cell>
          <cell r="G17">
            <v>1</v>
          </cell>
          <cell r="H17">
            <v>0</v>
          </cell>
          <cell r="I17">
            <v>0</v>
          </cell>
          <cell r="J17">
            <v>0</v>
          </cell>
          <cell r="K17">
            <v>1</v>
          </cell>
          <cell r="L17">
            <v>13</v>
          </cell>
          <cell r="M17">
            <v>13</v>
          </cell>
          <cell r="N17">
            <v>0</v>
          </cell>
          <cell r="O17">
            <v>0</v>
          </cell>
          <cell r="P17">
            <v>0</v>
          </cell>
          <cell r="Q17">
            <v>0</v>
          </cell>
          <cell r="R17">
            <v>0</v>
          </cell>
          <cell r="S17" t="str">
            <v>-</v>
          </cell>
          <cell r="T17" t="str">
            <v>-</v>
          </cell>
          <cell r="U17">
            <v>0</v>
          </cell>
          <cell r="V17" t="str">
            <v>-</v>
          </cell>
          <cell r="W17" t="str">
            <v>有库存无销量</v>
          </cell>
          <cell r="X17" t="str">
            <v>有库存无销量</v>
          </cell>
          <cell r="Y17">
            <v>0</v>
          </cell>
          <cell r="Z17">
            <v>0</v>
          </cell>
          <cell r="AA17">
            <v>0</v>
          </cell>
          <cell r="AB17" t="str">
            <v>-</v>
          </cell>
        </row>
        <row r="18">
          <cell r="A18" t="str">
            <v>欣彤</v>
          </cell>
          <cell r="B18" t="str">
            <v>Y2009-DK</v>
          </cell>
          <cell r="C18" t="str">
            <v>通勤者二代手机壳+钢化膜+镜头膜+酒精包iPhone 14 Pro Max 6.7 墨绿</v>
          </cell>
        </row>
        <row r="18">
          <cell r="E18" t="str">
            <v>B0BB7JSCJV</v>
          </cell>
          <cell r="F18">
            <v>1</v>
          </cell>
          <cell r="G18">
            <v>0</v>
          </cell>
          <cell r="H18">
            <v>0</v>
          </cell>
          <cell r="I18">
            <v>0</v>
          </cell>
          <cell r="J18">
            <v>0</v>
          </cell>
          <cell r="K18">
            <v>1</v>
          </cell>
          <cell r="L18">
            <v>13</v>
          </cell>
          <cell r="M18">
            <v>13</v>
          </cell>
          <cell r="N18">
            <v>1</v>
          </cell>
          <cell r="O18">
            <v>1</v>
          </cell>
          <cell r="P18">
            <v>1</v>
          </cell>
          <cell r="Q18">
            <v>0</v>
          </cell>
          <cell r="R18">
            <v>1</v>
          </cell>
          <cell r="S18">
            <v>12.3529411764706</v>
          </cell>
          <cell r="T18">
            <v>0.411764705882353</v>
          </cell>
          <cell r="U18" t="str">
            <v>-</v>
          </cell>
          <cell r="V18" t="str">
            <v>-</v>
          </cell>
          <cell r="W18" t="str">
            <v>库存过低</v>
          </cell>
          <cell r="X18" t="str">
            <v>库存过低</v>
          </cell>
          <cell r="Y18">
            <v>0</v>
          </cell>
          <cell r="Z18">
            <v>0</v>
          </cell>
          <cell r="AA18">
            <v>0</v>
          </cell>
          <cell r="AB18" t="str">
            <v>-</v>
          </cell>
        </row>
        <row r="19">
          <cell r="A19" t="str">
            <v>欣彤</v>
          </cell>
          <cell r="B19" t="str">
            <v>Y2008-BL-1</v>
          </cell>
          <cell r="C19" t="str">
            <v>通勤者二代手机壳+钢化膜+镜头膜+酒精包iphone 14 plus 6.7  黑</v>
          </cell>
        </row>
        <row r="19">
          <cell r="E19" t="str">
            <v>B0BBFLCM84</v>
          </cell>
          <cell r="F19">
            <v>1</v>
          </cell>
          <cell r="G19">
            <v>0</v>
          </cell>
          <cell r="H19">
            <v>0</v>
          </cell>
          <cell r="I19">
            <v>1</v>
          </cell>
          <cell r="J19">
            <v>0</v>
          </cell>
          <cell r="K19">
            <v>2</v>
          </cell>
          <cell r="L19">
            <v>13</v>
          </cell>
          <cell r="M19">
            <v>26</v>
          </cell>
          <cell r="N19">
            <v>2</v>
          </cell>
          <cell r="O19">
            <v>3</v>
          </cell>
          <cell r="P19">
            <v>3</v>
          </cell>
          <cell r="Q19">
            <v>0</v>
          </cell>
          <cell r="R19">
            <v>2</v>
          </cell>
          <cell r="S19">
            <v>10.2439024390244</v>
          </cell>
          <cell r="T19">
            <v>0.341463414634146</v>
          </cell>
          <cell r="U19" t="str">
            <v>-</v>
          </cell>
          <cell r="V19" t="str">
            <v>-</v>
          </cell>
          <cell r="W19" t="str">
            <v>库存过低</v>
          </cell>
          <cell r="X19" t="str">
            <v>库存过低</v>
          </cell>
          <cell r="Y19">
            <v>3.92</v>
          </cell>
          <cell r="Z19">
            <v>7.33</v>
          </cell>
          <cell r="AA19">
            <v>11.12</v>
          </cell>
          <cell r="AB19">
            <v>0.490613266583229</v>
          </cell>
        </row>
        <row r="20">
          <cell r="A20" t="str">
            <v>欣彤</v>
          </cell>
          <cell r="B20" t="str">
            <v>Y2008-DG-1</v>
          </cell>
          <cell r="C20" t="str">
            <v>通勤者二代手机壳+钢化膜+镜头膜+酒精包iphone 14 plus 6.7墨绿</v>
          </cell>
        </row>
        <row r="20">
          <cell r="E20" t="str">
            <v>B0BBFJCP1D</v>
          </cell>
          <cell r="F20">
            <v>0</v>
          </cell>
          <cell r="G20">
            <v>0</v>
          </cell>
          <cell r="H20">
            <v>0</v>
          </cell>
          <cell r="I20">
            <v>1</v>
          </cell>
          <cell r="J20">
            <v>0</v>
          </cell>
          <cell r="K20">
            <v>1</v>
          </cell>
          <cell r="L20">
            <v>13</v>
          </cell>
          <cell r="M20">
            <v>13</v>
          </cell>
          <cell r="N20">
            <v>0</v>
          </cell>
          <cell r="O20">
            <v>0</v>
          </cell>
          <cell r="P20">
            <v>0</v>
          </cell>
          <cell r="Q20">
            <v>0</v>
          </cell>
          <cell r="R20">
            <v>0</v>
          </cell>
          <cell r="S20" t="str">
            <v>-</v>
          </cell>
          <cell r="T20" t="str">
            <v>-</v>
          </cell>
          <cell r="U20" t="str">
            <v>-</v>
          </cell>
          <cell r="V20" t="str">
            <v>-</v>
          </cell>
          <cell r="W20" t="str">
            <v>有库存无销量</v>
          </cell>
          <cell r="X20" t="str">
            <v>有库存无销量</v>
          </cell>
          <cell r="Y20">
            <v>0</v>
          </cell>
          <cell r="Z20">
            <v>0</v>
          </cell>
          <cell r="AA20">
            <v>0</v>
          </cell>
          <cell r="AB20" t="str">
            <v>-</v>
          </cell>
        </row>
        <row r="21">
          <cell r="A21" t="str">
            <v>美珠</v>
          </cell>
          <cell r="B21" t="str">
            <v>Y2010</v>
          </cell>
          <cell r="C21" t="str">
            <v>小型水冷风扇USB迷你冷风机 美规</v>
          </cell>
          <cell r="D21">
            <v>45034</v>
          </cell>
          <cell r="E21" t="str">
            <v>B0BZ7SHKXZ</v>
          </cell>
          <cell r="F21">
            <v>8</v>
          </cell>
          <cell r="G21">
            <v>20</v>
          </cell>
          <cell r="H21">
            <v>1</v>
          </cell>
          <cell r="I21">
            <v>0</v>
          </cell>
          <cell r="J21">
            <v>0</v>
          </cell>
          <cell r="K21">
            <v>29</v>
          </cell>
          <cell r="L21">
            <v>124.03</v>
          </cell>
          <cell r="M21">
            <v>3596.87</v>
          </cell>
          <cell r="N21">
            <v>11</v>
          </cell>
          <cell r="O21">
            <v>17</v>
          </cell>
          <cell r="P21">
            <v>23</v>
          </cell>
          <cell r="Q21">
            <v>2</v>
          </cell>
          <cell r="R21">
            <v>9</v>
          </cell>
          <cell r="S21">
            <v>25.0617283950617</v>
          </cell>
          <cell r="T21">
            <v>0.835390946502058</v>
          </cell>
          <cell r="U21">
            <v>2.43347639484978</v>
          </cell>
          <cell r="V21">
            <v>-1.59808544834772</v>
          </cell>
          <cell r="W21" t="str">
            <v>正常</v>
          </cell>
          <cell r="X21" t="str">
            <v>正常</v>
          </cell>
          <cell r="Y21">
            <v>17.39</v>
          </cell>
          <cell r="Z21">
            <v>29.71</v>
          </cell>
          <cell r="AA21">
            <v>74.63</v>
          </cell>
          <cell r="AB21">
            <v>0.11149580047445</v>
          </cell>
        </row>
      </sheetData>
      <sheetData sheetId="3"/>
      <sheetData sheetId="4">
        <row r="1">
          <cell r="B1">
            <v>246</v>
          </cell>
          <cell r="C1" t="str">
            <v>已经把长期无库存且决定后期不再做的sku删除</v>
          </cell>
        </row>
        <row r="1">
          <cell r="K1">
            <v>11213</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11213</v>
          </cell>
        </row>
        <row r="3">
          <cell r="M3">
            <v>155569.925</v>
          </cell>
          <cell r="N3">
            <v>951</v>
          </cell>
          <cell r="O3">
            <v>1864</v>
          </cell>
          <cell r="P3">
            <v>4279</v>
          </cell>
          <cell r="Q3">
            <v>1091</v>
          </cell>
          <cell r="R3">
            <v>-140</v>
          </cell>
        </row>
        <row r="3">
          <cell r="Y3">
            <v>963.21</v>
          </cell>
          <cell r="Z3">
            <v>1862.29</v>
          </cell>
          <cell r="AA3">
            <v>3928.96</v>
          </cell>
        </row>
        <row r="4">
          <cell r="A4" t="str">
            <v>欣彤</v>
          </cell>
          <cell r="B4" t="str">
            <v>E03135-bl</v>
          </cell>
          <cell r="C4" t="str">
            <v>三防机器人手机壳带背夹G Play（2021）黑</v>
          </cell>
        </row>
        <row r="4">
          <cell r="E4" t="str">
            <v>B093KZ59LY</v>
          </cell>
          <cell r="F4">
            <v>25</v>
          </cell>
          <cell r="G4">
            <v>0</v>
          </cell>
          <cell r="H4">
            <v>59</v>
          </cell>
          <cell r="I4">
            <v>3</v>
          </cell>
          <cell r="J4">
            <v>0</v>
          </cell>
          <cell r="K4">
            <v>87</v>
          </cell>
          <cell r="L4">
            <v>13.7</v>
          </cell>
          <cell r="M4">
            <v>1191.9</v>
          </cell>
          <cell r="N4">
            <v>16</v>
          </cell>
          <cell r="O4">
            <v>20</v>
          </cell>
          <cell r="P4">
            <v>46</v>
          </cell>
          <cell r="Q4">
            <v>16</v>
          </cell>
          <cell r="R4">
            <v>0</v>
          </cell>
          <cell r="S4">
            <v>50.6561922365989</v>
          </cell>
          <cell r="T4">
            <v>1.68853974121996</v>
          </cell>
          <cell r="U4">
            <v>0.924157303370787</v>
          </cell>
          <cell r="V4">
            <v>0.764382437849176</v>
          </cell>
          <cell r="W4" t="str">
            <v>正常</v>
          </cell>
          <cell r="X4" t="str">
            <v>库存过高</v>
          </cell>
          <cell r="Y4">
            <v>19.39</v>
          </cell>
          <cell r="Z4">
            <v>34.8</v>
          </cell>
          <cell r="AA4">
            <v>67.71</v>
          </cell>
          <cell r="AB4">
            <v>0.190247252747253</v>
          </cell>
        </row>
        <row r="5">
          <cell r="A5" t="str">
            <v>欣彤</v>
          </cell>
          <cell r="B5" t="str">
            <v>E03135-db</v>
          </cell>
          <cell r="C5" t="str">
            <v>三防机器人手机壳带背夹G Play（2021）蓝</v>
          </cell>
        </row>
        <row r="5">
          <cell r="E5" t="str">
            <v>B093KYKS43</v>
          </cell>
          <cell r="F5">
            <v>15</v>
          </cell>
          <cell r="G5">
            <v>2</v>
          </cell>
          <cell r="H5">
            <v>20</v>
          </cell>
          <cell r="I5">
            <v>0</v>
          </cell>
          <cell r="J5">
            <v>0</v>
          </cell>
          <cell r="K5">
            <v>37</v>
          </cell>
          <cell r="L5">
            <v>13.7</v>
          </cell>
          <cell r="M5">
            <v>506.9</v>
          </cell>
          <cell r="N5">
            <v>3</v>
          </cell>
          <cell r="O5">
            <v>4</v>
          </cell>
          <cell r="P5">
            <v>11</v>
          </cell>
          <cell r="Q5">
            <v>2</v>
          </cell>
          <cell r="R5">
            <v>1</v>
          </cell>
          <cell r="S5">
            <v>104.529147982063</v>
          </cell>
          <cell r="T5">
            <v>3.48430493273543</v>
          </cell>
          <cell r="U5">
            <v>3.35361216730038</v>
          </cell>
          <cell r="V5">
            <v>0.130692765435046</v>
          </cell>
          <cell r="W5" t="str">
            <v>库存过高</v>
          </cell>
          <cell r="X5" t="str">
            <v>库存过高</v>
          </cell>
          <cell r="Y5">
            <v>0</v>
          </cell>
          <cell r="Z5">
            <v>0</v>
          </cell>
          <cell r="AA5">
            <v>0</v>
          </cell>
          <cell r="AB5" t="str">
            <v>-</v>
          </cell>
        </row>
        <row r="6">
          <cell r="A6" t="str">
            <v>欣彤</v>
          </cell>
          <cell r="B6" t="str">
            <v>E03135-or</v>
          </cell>
          <cell r="C6" t="str">
            <v>三防机器人手机壳带背夹G Play（2021）橙</v>
          </cell>
        </row>
        <row r="6">
          <cell r="E6" t="str">
            <v>B093L2V62Y</v>
          </cell>
          <cell r="F6">
            <v>86</v>
          </cell>
          <cell r="G6">
            <v>0</v>
          </cell>
          <cell r="H6">
            <v>25</v>
          </cell>
          <cell r="I6">
            <v>0</v>
          </cell>
          <cell r="J6">
            <v>0</v>
          </cell>
          <cell r="K6">
            <v>111</v>
          </cell>
          <cell r="L6">
            <v>13.7</v>
          </cell>
          <cell r="M6">
            <v>1520.7</v>
          </cell>
          <cell r="N6">
            <v>2</v>
          </cell>
          <cell r="O6">
            <v>5</v>
          </cell>
          <cell r="P6">
            <v>5</v>
          </cell>
          <cell r="Q6">
            <v>0</v>
          </cell>
          <cell r="R6">
            <v>2</v>
          </cell>
          <cell r="S6">
            <v>423.818181818182</v>
          </cell>
          <cell r="T6">
            <v>14.1272727272727</v>
          </cell>
          <cell r="U6">
            <v>345</v>
          </cell>
          <cell r="V6">
            <v>-330.872727272727</v>
          </cell>
          <cell r="W6" t="str">
            <v>库存过高</v>
          </cell>
          <cell r="X6" t="str">
            <v>库存过高</v>
          </cell>
          <cell r="Y6">
            <v>0</v>
          </cell>
          <cell r="Z6">
            <v>0</v>
          </cell>
          <cell r="AA6">
            <v>0</v>
          </cell>
          <cell r="AB6" t="str">
            <v>-</v>
          </cell>
        </row>
        <row r="7">
          <cell r="A7" t="str">
            <v>欣彤</v>
          </cell>
          <cell r="B7" t="str">
            <v>E03375-BL+E03380+E03397</v>
          </cell>
          <cell r="C7" t="str">
            <v>三防机器人手机壳A42 黑</v>
          </cell>
        </row>
        <row r="7">
          <cell r="E7" t="str">
            <v>B096TKYS6R</v>
          </cell>
          <cell r="F7">
            <v>174</v>
          </cell>
          <cell r="G7">
            <v>1</v>
          </cell>
          <cell r="H7">
            <v>684</v>
          </cell>
          <cell r="I7">
            <v>9</v>
          </cell>
          <cell r="J7">
            <v>5</v>
          </cell>
          <cell r="K7">
            <v>873</v>
          </cell>
          <cell r="L7">
            <v>13.7</v>
          </cell>
          <cell r="M7">
            <v>11960.1</v>
          </cell>
          <cell r="N7">
            <v>77</v>
          </cell>
          <cell r="O7">
            <v>135</v>
          </cell>
          <cell r="P7">
            <v>246</v>
          </cell>
          <cell r="Q7">
            <v>69</v>
          </cell>
          <cell r="R7">
            <v>8</v>
          </cell>
          <cell r="S7">
            <v>92.8723404255319</v>
          </cell>
          <cell r="T7">
            <v>3.09574468085106</v>
          </cell>
          <cell r="U7">
            <v>0.170432845321451</v>
          </cell>
          <cell r="V7">
            <v>2.92531183552961</v>
          </cell>
          <cell r="W7" t="str">
            <v>库存过高</v>
          </cell>
          <cell r="X7" t="str">
            <v>库存过高</v>
          </cell>
          <cell r="Y7">
            <v>39.05</v>
          </cell>
          <cell r="Z7">
            <v>76.92</v>
          </cell>
          <cell r="AA7">
            <v>134.7</v>
          </cell>
          <cell r="AB7">
            <v>0.112303002415737</v>
          </cell>
        </row>
        <row r="8">
          <cell r="A8" t="str">
            <v>欣彤</v>
          </cell>
          <cell r="B8" t="str">
            <v>E03375-DG+E03380+E03397</v>
          </cell>
          <cell r="C8" t="str">
            <v>三防机器人手机壳A42 深灰+柠檬黄</v>
          </cell>
        </row>
        <row r="8">
          <cell r="E8" t="str">
            <v>B09CM5DD9F</v>
          </cell>
          <cell r="F8">
            <v>27</v>
          </cell>
          <cell r="G8">
            <v>0</v>
          </cell>
          <cell r="H8">
            <v>0</v>
          </cell>
          <cell r="I8">
            <v>1</v>
          </cell>
          <cell r="J8">
            <v>28</v>
          </cell>
          <cell r="K8">
            <v>56</v>
          </cell>
          <cell r="L8">
            <v>13.7</v>
          </cell>
          <cell r="M8">
            <v>767.2</v>
          </cell>
          <cell r="N8">
            <v>12</v>
          </cell>
          <cell r="O8">
            <v>22</v>
          </cell>
          <cell r="P8">
            <v>32</v>
          </cell>
          <cell r="Q8">
            <v>6</v>
          </cell>
          <cell r="R8">
            <v>6</v>
          </cell>
          <cell r="S8">
            <v>39.5515695067265</v>
          </cell>
          <cell r="T8">
            <v>1.31838565022422</v>
          </cell>
          <cell r="U8">
            <v>3.14345114345114</v>
          </cell>
          <cell r="V8">
            <v>-1.82506549322692</v>
          </cell>
          <cell r="W8" t="str">
            <v>正常</v>
          </cell>
          <cell r="X8" t="str">
            <v>正常</v>
          </cell>
          <cell r="Y8">
            <v>0</v>
          </cell>
          <cell r="Z8">
            <v>0</v>
          </cell>
          <cell r="AA8">
            <v>0</v>
          </cell>
          <cell r="AB8" t="str">
            <v>-</v>
          </cell>
        </row>
        <row r="9">
          <cell r="A9" t="str">
            <v>欣彤</v>
          </cell>
          <cell r="B9" t="str">
            <v>E03375-NB+E03380+E03397</v>
          </cell>
          <cell r="C9" t="str">
            <v>三防机器人手机壳A42 蓝</v>
          </cell>
        </row>
        <row r="9">
          <cell r="E9" t="str">
            <v>B096TMB4ZM</v>
          </cell>
          <cell r="F9">
            <v>39</v>
          </cell>
          <cell r="G9">
            <v>2</v>
          </cell>
          <cell r="H9">
            <v>62</v>
          </cell>
          <cell r="I9">
            <v>2</v>
          </cell>
          <cell r="J9">
            <v>3</v>
          </cell>
          <cell r="K9">
            <v>108</v>
          </cell>
          <cell r="L9">
            <v>13.7</v>
          </cell>
          <cell r="M9">
            <v>1479.6</v>
          </cell>
          <cell r="N9">
            <v>13</v>
          </cell>
          <cell r="O9">
            <v>30</v>
          </cell>
          <cell r="P9">
            <v>55</v>
          </cell>
          <cell r="Q9">
            <v>8</v>
          </cell>
          <cell r="R9">
            <v>5</v>
          </cell>
          <cell r="S9">
            <v>56.9372384937238</v>
          </cell>
          <cell r="T9">
            <v>1.89790794979079</v>
          </cell>
          <cell r="U9">
            <v>1.01612903225806</v>
          </cell>
          <cell r="V9">
            <v>0.881778917532735</v>
          </cell>
          <cell r="W9" t="str">
            <v>库存过高</v>
          </cell>
          <cell r="X9" t="str">
            <v>库存过高</v>
          </cell>
          <cell r="Y9">
            <v>0</v>
          </cell>
          <cell r="Z9">
            <v>6.32</v>
          </cell>
          <cell r="AA9">
            <v>14.85</v>
          </cell>
          <cell r="AB9" t="str">
            <v>-</v>
          </cell>
        </row>
        <row r="10">
          <cell r="A10" t="str">
            <v>欣彤</v>
          </cell>
          <cell r="B10" t="str">
            <v>E03375-OR+E03380+E03397</v>
          </cell>
          <cell r="C10" t="str">
            <v>三防机器人手机壳A42 橙</v>
          </cell>
        </row>
        <row r="10">
          <cell r="E10" t="str">
            <v>B096TKPWD7</v>
          </cell>
          <cell r="F10">
            <v>49</v>
          </cell>
          <cell r="G10">
            <v>9</v>
          </cell>
          <cell r="H10">
            <v>2</v>
          </cell>
          <cell r="I10">
            <v>0</v>
          </cell>
          <cell r="J10">
            <v>0</v>
          </cell>
          <cell r="K10">
            <v>60</v>
          </cell>
          <cell r="L10">
            <v>13.7</v>
          </cell>
          <cell r="M10">
            <v>822</v>
          </cell>
          <cell r="N10">
            <v>2</v>
          </cell>
          <cell r="O10">
            <v>11</v>
          </cell>
          <cell r="P10">
            <v>56</v>
          </cell>
          <cell r="Q10">
            <v>4</v>
          </cell>
          <cell r="R10">
            <v>-2</v>
          </cell>
          <cell r="S10">
            <v>62.3762376237624</v>
          </cell>
          <cell r="T10">
            <v>2.07920792079208</v>
          </cell>
          <cell r="U10">
            <v>3.0864553314121</v>
          </cell>
          <cell r="V10">
            <v>-1.00724741062002</v>
          </cell>
          <cell r="W10" t="str">
            <v>库存过高</v>
          </cell>
          <cell r="X10" t="str">
            <v>库存过高</v>
          </cell>
          <cell r="Y10">
            <v>0</v>
          </cell>
          <cell r="Z10">
            <v>0</v>
          </cell>
          <cell r="AA10">
            <v>0</v>
          </cell>
          <cell r="AB10" t="str">
            <v>-</v>
          </cell>
        </row>
        <row r="11">
          <cell r="A11" t="str">
            <v>欣彤</v>
          </cell>
          <cell r="B11" t="str">
            <v>E03375-TG+E03380+E03397</v>
          </cell>
          <cell r="C11" t="str">
            <v>三防机器人手机壳A42 蓝绿+浅绿</v>
          </cell>
        </row>
        <row r="11">
          <cell r="E11" t="str">
            <v>B09CM4S4MM</v>
          </cell>
          <cell r="F11">
            <v>22</v>
          </cell>
          <cell r="G11">
            <v>0</v>
          </cell>
          <cell r="H11">
            <v>11</v>
          </cell>
          <cell r="I11">
            <v>0</v>
          </cell>
          <cell r="J11">
            <v>0</v>
          </cell>
          <cell r="K11">
            <v>33</v>
          </cell>
          <cell r="L11">
            <v>13.7</v>
          </cell>
          <cell r="M11">
            <v>452.1</v>
          </cell>
          <cell r="N11">
            <v>7</v>
          </cell>
          <cell r="O11">
            <v>16</v>
          </cell>
          <cell r="P11">
            <v>20</v>
          </cell>
          <cell r="Q11">
            <v>2</v>
          </cell>
          <cell r="R11">
            <v>5</v>
          </cell>
          <cell r="S11">
            <v>36.219512195122</v>
          </cell>
          <cell r="T11">
            <v>1.20731707317073</v>
          </cell>
          <cell r="U11">
            <v>3.47107438016529</v>
          </cell>
          <cell r="V11">
            <v>-2.26375730699456</v>
          </cell>
          <cell r="W11" t="str">
            <v>正常</v>
          </cell>
          <cell r="X11" t="str">
            <v>正常</v>
          </cell>
          <cell r="Y11">
            <v>0</v>
          </cell>
          <cell r="Z11">
            <v>0</v>
          </cell>
          <cell r="AA11">
            <v>0</v>
          </cell>
          <cell r="AB11" t="str">
            <v>-</v>
          </cell>
        </row>
        <row r="12">
          <cell r="A12" t="str">
            <v>欣彤</v>
          </cell>
          <cell r="B12" t="str">
            <v>E03386-BL+E03268-02</v>
          </cell>
          <cell r="C12" t="str">
            <v>三防机器人手机壳带背夹G Power（2021）黑</v>
          </cell>
        </row>
        <row r="12">
          <cell r="E12" t="str">
            <v>B09CPPMYNK</v>
          </cell>
          <cell r="F12">
            <v>0</v>
          </cell>
          <cell r="G12">
            <v>0</v>
          </cell>
          <cell r="H12">
            <v>0</v>
          </cell>
          <cell r="I12">
            <v>0</v>
          </cell>
          <cell r="J12">
            <v>0</v>
          </cell>
          <cell r="K12">
            <v>0</v>
          </cell>
          <cell r="L12">
            <v>13.7</v>
          </cell>
          <cell r="M12">
            <v>0</v>
          </cell>
          <cell r="N12">
            <v>1</v>
          </cell>
          <cell r="O12">
            <v>3</v>
          </cell>
          <cell r="P12">
            <v>12</v>
          </cell>
          <cell r="Q12">
            <v>3</v>
          </cell>
          <cell r="R12">
            <v>-2</v>
          </cell>
          <cell r="S12">
            <v>0</v>
          </cell>
          <cell r="T12">
            <v>0</v>
          </cell>
          <cell r="U12">
            <v>0.21105527638191</v>
          </cell>
          <cell r="V12">
            <v>-0.21105527638191</v>
          </cell>
          <cell r="W12" t="str">
            <v>无库存有销量</v>
          </cell>
          <cell r="X12" t="str">
            <v>无库存有销量</v>
          </cell>
          <cell r="Y12">
            <v>3.04</v>
          </cell>
          <cell r="Z12">
            <v>5.65</v>
          </cell>
          <cell r="AA12">
            <v>30.64</v>
          </cell>
          <cell r="AB12">
            <v>0.304304304304304</v>
          </cell>
        </row>
        <row r="13">
          <cell r="A13" t="str">
            <v>欣彤</v>
          </cell>
          <cell r="B13" t="str">
            <v>E03386-NB+E03268-02</v>
          </cell>
          <cell r="C13" t="str">
            <v>三防机器人手机壳带背夹G Power（2021）蓝</v>
          </cell>
        </row>
        <row r="13">
          <cell r="E13" t="str">
            <v>B09CPQ77F1</v>
          </cell>
          <cell r="F13">
            <v>3</v>
          </cell>
          <cell r="G13">
            <v>0</v>
          </cell>
          <cell r="H13">
            <v>0</v>
          </cell>
          <cell r="I13">
            <v>0</v>
          </cell>
          <cell r="J13">
            <v>0</v>
          </cell>
          <cell r="K13">
            <v>3</v>
          </cell>
          <cell r="L13">
            <v>13.7</v>
          </cell>
          <cell r="M13">
            <v>41.1</v>
          </cell>
          <cell r="N13">
            <v>2</v>
          </cell>
          <cell r="O13">
            <v>5</v>
          </cell>
          <cell r="P13">
            <v>7</v>
          </cell>
          <cell r="Q13">
            <v>0</v>
          </cell>
          <cell r="R13">
            <v>2</v>
          </cell>
          <cell r="S13">
            <v>10.5586592178771</v>
          </cell>
          <cell r="T13">
            <v>0.35195530726257</v>
          </cell>
          <cell r="U13">
            <v>2.30769230769231</v>
          </cell>
          <cell r="V13">
            <v>-1.95573700042974</v>
          </cell>
          <cell r="W13" t="str">
            <v>库存过低</v>
          </cell>
          <cell r="X13" t="str">
            <v>库存过低</v>
          </cell>
          <cell r="Y13">
            <v>5.97</v>
          </cell>
          <cell r="Z13">
            <v>10.56</v>
          </cell>
          <cell r="AA13">
            <v>16.68</v>
          </cell>
          <cell r="AB13">
            <v>0.248957464553795</v>
          </cell>
        </row>
        <row r="14">
          <cell r="A14" t="str">
            <v>欣彤</v>
          </cell>
          <cell r="B14" t="str">
            <v>E03386-OR+E03268-02</v>
          </cell>
          <cell r="C14" t="str">
            <v>三防机器人手机壳带背夹G Power（2021）橙</v>
          </cell>
        </row>
        <row r="14">
          <cell r="E14" t="str">
            <v>B09CPPSVMQ</v>
          </cell>
          <cell r="F14">
            <v>10</v>
          </cell>
          <cell r="G14">
            <v>0</v>
          </cell>
          <cell r="H14">
            <v>0</v>
          </cell>
          <cell r="I14">
            <v>0</v>
          </cell>
          <cell r="J14">
            <v>0</v>
          </cell>
          <cell r="K14">
            <v>10</v>
          </cell>
          <cell r="L14">
            <v>13.7</v>
          </cell>
          <cell r="M14">
            <v>137</v>
          </cell>
          <cell r="N14">
            <v>1</v>
          </cell>
          <cell r="O14">
            <v>3</v>
          </cell>
          <cell r="P14">
            <v>7</v>
          </cell>
          <cell r="Q14">
            <v>1</v>
          </cell>
          <cell r="R14">
            <v>0</v>
          </cell>
          <cell r="S14">
            <v>52.0661157024793</v>
          </cell>
          <cell r="T14">
            <v>1.73553719008264</v>
          </cell>
          <cell r="U14">
            <v>3.61290322580645</v>
          </cell>
          <cell r="V14">
            <v>-1.87736603572381</v>
          </cell>
          <cell r="W14" t="str">
            <v>库存过高</v>
          </cell>
          <cell r="X14" t="str">
            <v>库存过高</v>
          </cell>
          <cell r="Y14">
            <v>3.95</v>
          </cell>
          <cell r="Z14">
            <v>8.17</v>
          </cell>
          <cell r="AA14">
            <v>15.96</v>
          </cell>
          <cell r="AB14">
            <v>0.329441201000834</v>
          </cell>
        </row>
        <row r="15">
          <cell r="A15" t="str">
            <v>欣彤</v>
          </cell>
          <cell r="B15" t="str">
            <v>E03388-BL+E03267</v>
          </cell>
          <cell r="C15" t="str">
            <v>三防机器人手机壳带背夹G Stylus (2021) 黑</v>
          </cell>
        </row>
        <row r="15">
          <cell r="E15" t="str">
            <v>B093W782KT</v>
          </cell>
          <cell r="F15">
            <v>38</v>
          </cell>
          <cell r="G15">
            <v>1</v>
          </cell>
          <cell r="H15">
            <v>5</v>
          </cell>
          <cell r="I15">
            <v>0</v>
          </cell>
          <cell r="J15">
            <v>0</v>
          </cell>
          <cell r="K15">
            <v>44</v>
          </cell>
          <cell r="L15">
            <v>13.7</v>
          </cell>
          <cell r="M15">
            <v>602.8</v>
          </cell>
          <cell r="N15">
            <v>5</v>
          </cell>
          <cell r="O15">
            <v>11</v>
          </cell>
          <cell r="P15">
            <v>20</v>
          </cell>
          <cell r="Q15">
            <v>2</v>
          </cell>
          <cell r="R15">
            <v>3</v>
          </cell>
          <cell r="S15">
            <v>62.4324324324324</v>
          </cell>
          <cell r="T15">
            <v>2.08108108108108</v>
          </cell>
          <cell r="U15">
            <v>5.05154639175258</v>
          </cell>
          <cell r="V15">
            <v>-2.9704653106715</v>
          </cell>
          <cell r="W15" t="str">
            <v>库存过高</v>
          </cell>
          <cell r="X15" t="str">
            <v>库存过高</v>
          </cell>
          <cell r="Y15">
            <v>11.95</v>
          </cell>
          <cell r="Z15">
            <v>18.92</v>
          </cell>
          <cell r="AA15">
            <v>38.31</v>
          </cell>
          <cell r="AB15">
            <v>0.278101000698162</v>
          </cell>
        </row>
        <row r="16">
          <cell r="A16" t="str">
            <v>欣彤</v>
          </cell>
          <cell r="B16" t="str">
            <v>E03388-NB+E03267</v>
          </cell>
          <cell r="C16" t="str">
            <v>三防机器人手机壳带背夹G Stylus (2021) 蓝</v>
          </cell>
        </row>
        <row r="16">
          <cell r="E16" t="str">
            <v>B093W8PSZW</v>
          </cell>
          <cell r="F16">
            <v>7</v>
          </cell>
          <cell r="G16">
            <v>0</v>
          </cell>
          <cell r="H16">
            <v>0</v>
          </cell>
          <cell r="I16">
            <v>0</v>
          </cell>
          <cell r="J16">
            <v>0</v>
          </cell>
          <cell r="K16">
            <v>7</v>
          </cell>
          <cell r="L16">
            <v>13.7</v>
          </cell>
          <cell r="M16">
            <v>95.9</v>
          </cell>
          <cell r="N16">
            <v>2</v>
          </cell>
          <cell r="O16">
            <v>5</v>
          </cell>
          <cell r="P16">
            <v>12</v>
          </cell>
          <cell r="Q16">
            <v>4</v>
          </cell>
          <cell r="R16">
            <v>-2</v>
          </cell>
          <cell r="S16">
            <v>20.607476635514</v>
          </cell>
          <cell r="T16">
            <v>0.686915887850467</v>
          </cell>
          <cell r="U16">
            <v>1.19572953736655</v>
          </cell>
          <cell r="V16">
            <v>-0.508813649516083</v>
          </cell>
          <cell r="W16" t="str">
            <v>正常</v>
          </cell>
          <cell r="X16" t="str">
            <v>正常</v>
          </cell>
          <cell r="Y16">
            <v>0</v>
          </cell>
          <cell r="Z16">
            <v>0</v>
          </cell>
          <cell r="AA16">
            <v>0</v>
          </cell>
          <cell r="AB16" t="str">
            <v>-</v>
          </cell>
        </row>
        <row r="17">
          <cell r="A17" t="str">
            <v>欣彤</v>
          </cell>
          <cell r="B17" t="str">
            <v>E03388-OR+E03267</v>
          </cell>
          <cell r="C17" t="str">
            <v>三防机器人手机壳带背夹G Stylus (2021) 橙</v>
          </cell>
        </row>
        <row r="17">
          <cell r="E17" t="str">
            <v>B093W9BDQM</v>
          </cell>
          <cell r="F17">
            <v>44</v>
          </cell>
          <cell r="G17">
            <v>0</v>
          </cell>
          <cell r="H17">
            <v>0</v>
          </cell>
          <cell r="I17">
            <v>0</v>
          </cell>
          <cell r="J17">
            <v>0</v>
          </cell>
          <cell r="K17">
            <v>44</v>
          </cell>
          <cell r="L17">
            <v>13.7</v>
          </cell>
          <cell r="M17">
            <v>602.8</v>
          </cell>
          <cell r="N17">
            <v>4</v>
          </cell>
          <cell r="O17">
            <v>6</v>
          </cell>
          <cell r="P17">
            <v>11</v>
          </cell>
          <cell r="Q17">
            <v>2</v>
          </cell>
          <cell r="R17">
            <v>2</v>
          </cell>
          <cell r="S17">
            <v>98.6476868327402</v>
          </cell>
          <cell r="T17">
            <v>3.28825622775801</v>
          </cell>
          <cell r="U17">
            <v>6.91139240506329</v>
          </cell>
          <cell r="V17">
            <v>-3.62313617730528</v>
          </cell>
          <cell r="W17" t="str">
            <v>库存过高</v>
          </cell>
          <cell r="X17" t="str">
            <v>库存过高</v>
          </cell>
          <cell r="Y17">
            <v>0</v>
          </cell>
          <cell r="Z17">
            <v>0</v>
          </cell>
          <cell r="AA17">
            <v>0</v>
          </cell>
          <cell r="AB17" t="str">
            <v>-</v>
          </cell>
        </row>
        <row r="18">
          <cell r="A18" t="str">
            <v>欣彤</v>
          </cell>
          <cell r="B18" t="str">
            <v>E03390-BL+E03240</v>
          </cell>
          <cell r="C18" t="str">
            <v>三防机器人手机壳带背夹 A32 黑</v>
          </cell>
        </row>
        <row r="18">
          <cell r="E18" t="str">
            <v>B094FTXFCS</v>
          </cell>
          <cell r="F18">
            <v>48</v>
          </cell>
          <cell r="G18">
            <v>4</v>
          </cell>
          <cell r="H18">
            <v>166</v>
          </cell>
          <cell r="I18">
            <v>4</v>
          </cell>
          <cell r="J18">
            <v>0</v>
          </cell>
          <cell r="K18">
            <v>222</v>
          </cell>
          <cell r="L18">
            <v>13.7</v>
          </cell>
          <cell r="M18">
            <v>3041.4</v>
          </cell>
          <cell r="N18">
            <v>29</v>
          </cell>
          <cell r="O18">
            <v>42</v>
          </cell>
          <cell r="P18">
            <v>103</v>
          </cell>
          <cell r="Q18">
            <v>31</v>
          </cell>
          <cell r="R18">
            <v>-2</v>
          </cell>
          <cell r="S18">
            <v>64.1854061496099</v>
          </cell>
          <cell r="T18">
            <v>2.13951353832033</v>
          </cell>
          <cell r="U18">
            <v>0.835187057633974</v>
          </cell>
          <cell r="V18">
            <v>1.30432648068636</v>
          </cell>
          <cell r="W18" t="str">
            <v>库存过高</v>
          </cell>
          <cell r="X18" t="str">
            <v>库存过高</v>
          </cell>
          <cell r="Y18">
            <v>49.69</v>
          </cell>
          <cell r="Z18">
            <v>94.52</v>
          </cell>
          <cell r="AA18">
            <v>195.49</v>
          </cell>
          <cell r="AB18">
            <v>0.189888413329257</v>
          </cell>
        </row>
        <row r="19">
          <cell r="A19" t="str">
            <v>欣彤</v>
          </cell>
          <cell r="B19" t="str">
            <v>E03390-NB+E03240</v>
          </cell>
          <cell r="C19" t="str">
            <v>三防机器人手机壳带背夹 A32 蓝</v>
          </cell>
        </row>
        <row r="19">
          <cell r="E19" t="str">
            <v>B094FQS1FC</v>
          </cell>
          <cell r="F19">
            <v>0</v>
          </cell>
          <cell r="G19">
            <v>0</v>
          </cell>
          <cell r="H19">
            <v>49</v>
          </cell>
          <cell r="I19">
            <v>1</v>
          </cell>
          <cell r="J19">
            <v>0</v>
          </cell>
          <cell r="K19">
            <v>50</v>
          </cell>
          <cell r="L19">
            <v>13.7</v>
          </cell>
          <cell r="M19">
            <v>685</v>
          </cell>
          <cell r="N19">
            <v>7</v>
          </cell>
          <cell r="O19">
            <v>19</v>
          </cell>
          <cell r="P19">
            <v>36</v>
          </cell>
          <cell r="Q19">
            <v>8</v>
          </cell>
          <cell r="R19">
            <v>-1</v>
          </cell>
          <cell r="S19">
            <v>43.2692307692308</v>
          </cell>
          <cell r="T19">
            <v>1.44230769230769</v>
          </cell>
          <cell r="U19">
            <v>1.62816455696203</v>
          </cell>
          <cell r="V19">
            <v>-0.185856864654338</v>
          </cell>
          <cell r="W19" t="str">
            <v>库存过高</v>
          </cell>
          <cell r="X19" t="str">
            <v>正常</v>
          </cell>
          <cell r="Y19">
            <v>0</v>
          </cell>
          <cell r="Z19">
            <v>0</v>
          </cell>
          <cell r="AA19">
            <v>0</v>
          </cell>
          <cell r="AB19" t="str">
            <v>-</v>
          </cell>
        </row>
        <row r="20">
          <cell r="A20" t="str">
            <v>欣彤</v>
          </cell>
          <cell r="B20" t="str">
            <v>E03390-OR+E03240</v>
          </cell>
          <cell r="C20" t="str">
            <v>三防机器人手机壳带背夹 A32 橙</v>
          </cell>
        </row>
        <row r="20">
          <cell r="E20" t="str">
            <v>B094FR2LXM</v>
          </cell>
          <cell r="F20">
            <v>27</v>
          </cell>
          <cell r="G20">
            <v>0</v>
          </cell>
          <cell r="H20">
            <v>0</v>
          </cell>
          <cell r="I20">
            <v>0</v>
          </cell>
          <cell r="J20">
            <v>0</v>
          </cell>
          <cell r="K20">
            <v>27</v>
          </cell>
          <cell r="L20">
            <v>13.7</v>
          </cell>
          <cell r="M20">
            <v>369.9</v>
          </cell>
          <cell r="N20">
            <v>5</v>
          </cell>
          <cell r="O20">
            <v>8</v>
          </cell>
          <cell r="P20">
            <v>15</v>
          </cell>
          <cell r="Q20">
            <v>1</v>
          </cell>
          <cell r="R20">
            <v>4</v>
          </cell>
          <cell r="S20">
            <v>46.3487738419619</v>
          </cell>
          <cell r="T20">
            <v>1.54495912806539</v>
          </cell>
          <cell r="U20">
            <v>1.67256637168142</v>
          </cell>
          <cell r="V20">
            <v>-0.127607243616025</v>
          </cell>
          <cell r="W20" t="str">
            <v>正常</v>
          </cell>
          <cell r="X20" t="str">
            <v>库存过高</v>
          </cell>
          <cell r="Y20">
            <v>0</v>
          </cell>
          <cell r="Z20">
            <v>0</v>
          </cell>
          <cell r="AA20">
            <v>0</v>
          </cell>
          <cell r="AB20" t="str">
            <v>-</v>
          </cell>
        </row>
        <row r="21">
          <cell r="A21" t="str">
            <v>欣彤</v>
          </cell>
          <cell r="B21" t="str">
            <v>E03391-BL+E03271</v>
          </cell>
          <cell r="C21" t="str">
            <v>三防机器人手机壳带背夹 A52 黑</v>
          </cell>
        </row>
        <row r="21">
          <cell r="E21" t="str">
            <v>B094HRCLXF</v>
          </cell>
          <cell r="F21">
            <v>113</v>
          </cell>
          <cell r="G21">
            <v>4</v>
          </cell>
          <cell r="H21">
            <v>1</v>
          </cell>
          <cell r="I21">
            <v>0</v>
          </cell>
          <cell r="J21">
            <v>85</v>
          </cell>
          <cell r="K21">
            <v>203</v>
          </cell>
          <cell r="L21">
            <v>13.647</v>
          </cell>
          <cell r="M21">
            <v>2770.341</v>
          </cell>
          <cell r="N21">
            <v>12</v>
          </cell>
          <cell r="O21">
            <v>19</v>
          </cell>
          <cell r="P21">
            <v>50</v>
          </cell>
          <cell r="Q21">
            <v>11</v>
          </cell>
          <cell r="R21">
            <v>1</v>
          </cell>
          <cell r="S21">
            <v>131.034836065574</v>
          </cell>
          <cell r="T21">
            <v>4.36782786885246</v>
          </cell>
          <cell r="U21">
            <v>3.29663608562691</v>
          </cell>
          <cell r="V21">
            <v>1.07119178322555</v>
          </cell>
          <cell r="W21" t="str">
            <v>库存过高</v>
          </cell>
          <cell r="X21" t="str">
            <v>库存过高</v>
          </cell>
          <cell r="Y21">
            <v>16.94</v>
          </cell>
          <cell r="Z21">
            <v>31.59</v>
          </cell>
          <cell r="AA21">
            <v>60.42</v>
          </cell>
          <cell r="AB21">
            <v>0.151520572450805</v>
          </cell>
        </row>
        <row r="22">
          <cell r="A22" t="str">
            <v>欣彤</v>
          </cell>
          <cell r="B22" t="str">
            <v>E03391-NB+E03271</v>
          </cell>
          <cell r="C22" t="str">
            <v>三防机器人手机壳带背夹 A52 蓝</v>
          </cell>
        </row>
        <row r="22">
          <cell r="E22" t="str">
            <v>B094HQ8MSM</v>
          </cell>
          <cell r="F22">
            <v>12</v>
          </cell>
          <cell r="G22">
            <v>0</v>
          </cell>
          <cell r="H22">
            <v>24</v>
          </cell>
          <cell r="I22">
            <v>75</v>
          </cell>
          <cell r="J22">
            <v>0</v>
          </cell>
          <cell r="K22">
            <v>111</v>
          </cell>
          <cell r="L22">
            <v>13.7</v>
          </cell>
          <cell r="M22">
            <v>1520.7</v>
          </cell>
          <cell r="N22">
            <v>2</v>
          </cell>
          <cell r="O22">
            <v>7</v>
          </cell>
          <cell r="P22">
            <v>15</v>
          </cell>
          <cell r="Q22">
            <v>3</v>
          </cell>
          <cell r="R22">
            <v>-1</v>
          </cell>
          <cell r="S22">
            <v>265.893536121673</v>
          </cell>
          <cell r="T22">
            <v>8.86311787072243</v>
          </cell>
          <cell r="U22">
            <v>2.55913978494624</v>
          </cell>
          <cell r="V22">
            <v>6.30397808577619</v>
          </cell>
          <cell r="W22" t="str">
            <v>库存过高</v>
          </cell>
          <cell r="X22" t="str">
            <v>库存过高</v>
          </cell>
          <cell r="Y22">
            <v>0</v>
          </cell>
          <cell r="Z22">
            <v>0</v>
          </cell>
          <cell r="AA22">
            <v>0</v>
          </cell>
          <cell r="AB22" t="str">
            <v>-</v>
          </cell>
        </row>
        <row r="23">
          <cell r="A23" t="str">
            <v>欣彤</v>
          </cell>
          <cell r="B23" t="str">
            <v>E03391-OR+E03271</v>
          </cell>
          <cell r="C23" t="str">
            <v>三防机器人手机壳带背夹 A52 橙</v>
          </cell>
        </row>
        <row r="23">
          <cell r="E23" t="str">
            <v>B094HQNRN7</v>
          </cell>
          <cell r="F23">
            <v>9</v>
          </cell>
          <cell r="G23">
            <v>0</v>
          </cell>
          <cell r="H23">
            <v>10</v>
          </cell>
          <cell r="I23">
            <v>0</v>
          </cell>
          <cell r="J23">
            <v>0</v>
          </cell>
          <cell r="K23">
            <v>19</v>
          </cell>
          <cell r="L23">
            <v>13.7</v>
          </cell>
          <cell r="M23">
            <v>260.3</v>
          </cell>
          <cell r="N23">
            <v>3</v>
          </cell>
          <cell r="O23">
            <v>5</v>
          </cell>
          <cell r="P23">
            <v>11</v>
          </cell>
          <cell r="Q23">
            <v>4</v>
          </cell>
          <cell r="R23">
            <v>-1</v>
          </cell>
          <cell r="S23">
            <v>50.5063291139241</v>
          </cell>
          <cell r="T23">
            <v>1.68354430379747</v>
          </cell>
          <cell r="U23">
            <v>1.35254237288136</v>
          </cell>
          <cell r="V23">
            <v>0.331001930916109</v>
          </cell>
          <cell r="W23" t="str">
            <v>正常</v>
          </cell>
          <cell r="X23" t="str">
            <v>库存过高</v>
          </cell>
          <cell r="Y23">
            <v>0</v>
          </cell>
          <cell r="Z23">
            <v>0</v>
          </cell>
          <cell r="AA23">
            <v>0</v>
          </cell>
          <cell r="AB23" t="str">
            <v>-</v>
          </cell>
        </row>
        <row r="24">
          <cell r="A24" t="str">
            <v>欣彤</v>
          </cell>
          <cell r="B24" t="str">
            <v>Y03449-BL+Y03476</v>
          </cell>
          <cell r="C24" t="str">
            <v>三防机器人手机壳带背夹iPhone 13 黑</v>
          </cell>
        </row>
        <row r="24">
          <cell r="E24" t="str">
            <v>B09FP627KW</v>
          </cell>
          <cell r="F24">
            <v>21</v>
          </cell>
          <cell r="G24">
            <v>3</v>
          </cell>
          <cell r="H24">
            <v>69</v>
          </cell>
          <cell r="I24">
            <v>98</v>
          </cell>
          <cell r="J24">
            <v>0</v>
          </cell>
          <cell r="K24">
            <v>191</v>
          </cell>
          <cell r="L24">
            <v>13.7</v>
          </cell>
          <cell r="M24">
            <v>2616.7</v>
          </cell>
          <cell r="N24">
            <v>88</v>
          </cell>
          <cell r="O24">
            <v>171</v>
          </cell>
          <cell r="P24">
            <v>480</v>
          </cell>
          <cell r="Q24">
            <v>120</v>
          </cell>
          <cell r="R24">
            <v>-32</v>
          </cell>
          <cell r="S24">
            <v>14.3352394567548</v>
          </cell>
          <cell r="T24">
            <v>0.477841315225161</v>
          </cell>
          <cell r="U24">
            <v>0.752175853604106</v>
          </cell>
          <cell r="V24">
            <v>-0.274334538378945</v>
          </cell>
          <cell r="W24" t="str">
            <v>正常</v>
          </cell>
          <cell r="X24" t="str">
            <v>库存过低</v>
          </cell>
          <cell r="Y24">
            <v>47.65</v>
          </cell>
          <cell r="Z24">
            <v>88.39</v>
          </cell>
          <cell r="AA24">
            <v>166.24</v>
          </cell>
          <cell r="AB24">
            <v>0.160627001516939</v>
          </cell>
        </row>
        <row r="25">
          <cell r="A25" t="str">
            <v>欣彤</v>
          </cell>
          <cell r="B25" t="str">
            <v>Y03449-DG+Y03476</v>
          </cell>
          <cell r="C25" t="str">
            <v>三防机器人手机壳带背夹iPhone 13 深灰+柠檬黄</v>
          </cell>
        </row>
        <row r="25">
          <cell r="E25" t="str">
            <v>B09FNT64S9</v>
          </cell>
          <cell r="F25">
            <v>0</v>
          </cell>
          <cell r="G25">
            <v>1</v>
          </cell>
          <cell r="H25">
            <v>8</v>
          </cell>
          <cell r="I25">
            <v>0</v>
          </cell>
          <cell r="J25">
            <v>0</v>
          </cell>
          <cell r="K25">
            <v>9</v>
          </cell>
          <cell r="L25">
            <v>13.7</v>
          </cell>
          <cell r="M25">
            <v>123.3</v>
          </cell>
          <cell r="N25">
            <v>2</v>
          </cell>
          <cell r="O25">
            <v>10</v>
          </cell>
          <cell r="P25">
            <v>37</v>
          </cell>
          <cell r="Q25">
            <v>9</v>
          </cell>
          <cell r="R25">
            <v>-7</v>
          </cell>
          <cell r="S25">
            <v>12.3529411764706</v>
          </cell>
          <cell r="T25">
            <v>0.411764705882353</v>
          </cell>
          <cell r="U25">
            <v>1.95710059171598</v>
          </cell>
          <cell r="V25">
            <v>-1.54533588583363</v>
          </cell>
          <cell r="W25" t="str">
            <v>正常</v>
          </cell>
          <cell r="X25" t="str">
            <v>库存过低</v>
          </cell>
          <cell r="Y25">
            <v>0</v>
          </cell>
          <cell r="Z25">
            <v>0</v>
          </cell>
          <cell r="AA25">
            <v>0</v>
          </cell>
          <cell r="AB25" t="str">
            <v>-</v>
          </cell>
        </row>
        <row r="26">
          <cell r="A26" t="str">
            <v>欣彤</v>
          </cell>
          <cell r="B26" t="str">
            <v>Y03449-NB+Y03476</v>
          </cell>
          <cell r="C26" t="str">
            <v>三防机器人手机壳带背夹iPhone 13 蓝</v>
          </cell>
        </row>
        <row r="26">
          <cell r="E26" t="str">
            <v>B09FNYDGY5</v>
          </cell>
          <cell r="F26">
            <v>2</v>
          </cell>
          <cell r="G26">
            <v>0</v>
          </cell>
          <cell r="H26">
            <v>63</v>
          </cell>
          <cell r="I26">
            <v>3</v>
          </cell>
          <cell r="J26">
            <v>0</v>
          </cell>
          <cell r="K26">
            <v>68</v>
          </cell>
          <cell r="L26">
            <v>13.7</v>
          </cell>
          <cell r="M26">
            <v>931.6</v>
          </cell>
          <cell r="N26">
            <v>11</v>
          </cell>
          <cell r="O26">
            <v>18</v>
          </cell>
          <cell r="P26">
            <v>57</v>
          </cell>
          <cell r="Q26">
            <v>31</v>
          </cell>
          <cell r="R26">
            <v>-20</v>
          </cell>
          <cell r="S26">
            <v>43.6697247706422</v>
          </cell>
          <cell r="T26">
            <v>1.45565749235474</v>
          </cell>
          <cell r="U26">
            <v>1.04781704781705</v>
          </cell>
          <cell r="V26">
            <v>0.40784044453769</v>
          </cell>
          <cell r="W26" t="str">
            <v>正常</v>
          </cell>
          <cell r="X26" t="str">
            <v>正常</v>
          </cell>
          <cell r="Y26">
            <v>0</v>
          </cell>
          <cell r="Z26">
            <v>0</v>
          </cell>
          <cell r="AA26">
            <v>0</v>
          </cell>
          <cell r="AB26" t="str">
            <v>-</v>
          </cell>
        </row>
        <row r="27">
          <cell r="A27" t="str">
            <v>欣彤</v>
          </cell>
          <cell r="B27" t="str">
            <v>Y03449-OR+Y03476</v>
          </cell>
          <cell r="C27" t="str">
            <v>三防机器人手机壳带背夹iPhone 13 橙</v>
          </cell>
        </row>
        <row r="27">
          <cell r="E27" t="str">
            <v>B09FP3Y2WP</v>
          </cell>
          <cell r="F27">
            <v>0</v>
          </cell>
          <cell r="G27">
            <v>0</v>
          </cell>
          <cell r="H27">
            <v>52</v>
          </cell>
          <cell r="I27">
            <v>0</v>
          </cell>
          <cell r="J27">
            <v>0</v>
          </cell>
          <cell r="K27">
            <v>52</v>
          </cell>
          <cell r="L27">
            <v>13.7</v>
          </cell>
          <cell r="M27">
            <v>712.4</v>
          </cell>
          <cell r="N27">
            <v>1</v>
          </cell>
          <cell r="O27">
            <v>9</v>
          </cell>
          <cell r="P27">
            <v>18</v>
          </cell>
          <cell r="Q27">
            <v>5</v>
          </cell>
          <cell r="R27">
            <v>-4</v>
          </cell>
          <cell r="S27">
            <v>116.170212765957</v>
          </cell>
          <cell r="T27">
            <v>3.87234042553191</v>
          </cell>
          <cell r="U27">
            <v>2.80296610169492</v>
          </cell>
          <cell r="V27">
            <v>1.06937432383699</v>
          </cell>
          <cell r="W27" t="str">
            <v>库存过高</v>
          </cell>
          <cell r="X27" t="str">
            <v>库存过高</v>
          </cell>
          <cell r="Y27">
            <v>0</v>
          </cell>
          <cell r="Z27">
            <v>0</v>
          </cell>
          <cell r="AA27">
            <v>0</v>
          </cell>
          <cell r="AB27" t="str">
            <v>-</v>
          </cell>
        </row>
        <row r="28">
          <cell r="A28" t="str">
            <v>欣彤</v>
          </cell>
          <cell r="B28" t="str">
            <v>Y03449-TG+Y03476</v>
          </cell>
          <cell r="C28" t="str">
            <v>三防机器人手机壳带背夹iPhone 13 蓝绿+浅绿</v>
          </cell>
        </row>
        <row r="28">
          <cell r="E28" t="str">
            <v>B09FPBNRWX</v>
          </cell>
          <cell r="F28">
            <v>12</v>
          </cell>
          <cell r="G28">
            <v>0</v>
          </cell>
          <cell r="H28">
            <v>0</v>
          </cell>
          <cell r="I28">
            <v>0</v>
          </cell>
          <cell r="J28">
            <v>0</v>
          </cell>
          <cell r="K28">
            <v>12</v>
          </cell>
          <cell r="L28">
            <v>13.7</v>
          </cell>
          <cell r="M28">
            <v>164.4</v>
          </cell>
          <cell r="N28">
            <v>2</v>
          </cell>
          <cell r="O28">
            <v>8</v>
          </cell>
          <cell r="P28">
            <v>17</v>
          </cell>
          <cell r="Q28">
            <v>4</v>
          </cell>
          <cell r="R28">
            <v>-2</v>
          </cell>
          <cell r="S28">
            <v>25.979381443299</v>
          </cell>
          <cell r="T28">
            <v>0.865979381443299</v>
          </cell>
          <cell r="U28">
            <v>1.77966101694915</v>
          </cell>
          <cell r="V28">
            <v>-0.913681635505851</v>
          </cell>
          <cell r="W28" t="str">
            <v>正常</v>
          </cell>
          <cell r="X28" t="str">
            <v>正常</v>
          </cell>
          <cell r="Y28">
            <v>0</v>
          </cell>
          <cell r="Z28">
            <v>0</v>
          </cell>
          <cell r="AA28">
            <v>0</v>
          </cell>
          <cell r="AB28" t="str">
            <v>-</v>
          </cell>
        </row>
        <row r="29">
          <cell r="A29" t="str">
            <v>欣彤</v>
          </cell>
          <cell r="B29" t="str">
            <v>Y03450-NB+Y03477</v>
          </cell>
          <cell r="C29" t="str">
            <v>三防机器人手机壳带背夹iPhone 13 pro 蓝</v>
          </cell>
        </row>
        <row r="29">
          <cell r="E29" t="str">
            <v>B09FPDDPNN</v>
          </cell>
          <cell r="F29">
            <v>8</v>
          </cell>
          <cell r="G29">
            <v>0</v>
          </cell>
          <cell r="H29">
            <v>0</v>
          </cell>
          <cell r="I29">
            <v>0</v>
          </cell>
          <cell r="J29">
            <v>0</v>
          </cell>
          <cell r="K29">
            <v>8</v>
          </cell>
          <cell r="L29">
            <v>13.7</v>
          </cell>
          <cell r="M29">
            <v>109.6</v>
          </cell>
          <cell r="N29">
            <v>0</v>
          </cell>
          <cell r="O29">
            <v>0</v>
          </cell>
          <cell r="P29">
            <v>3</v>
          </cell>
          <cell r="Q29">
            <v>0</v>
          </cell>
          <cell r="R29">
            <v>0</v>
          </cell>
          <cell r="S29">
            <v>240</v>
          </cell>
          <cell r="T29">
            <v>8</v>
          </cell>
          <cell r="U29">
            <v>33</v>
          </cell>
          <cell r="V29">
            <v>-25</v>
          </cell>
          <cell r="W29" t="str">
            <v>有库存无销量</v>
          </cell>
          <cell r="X29" t="str">
            <v>库存过高</v>
          </cell>
          <cell r="Y29">
            <v>1.2</v>
          </cell>
          <cell r="Z29">
            <v>2.48</v>
          </cell>
          <cell r="AA29">
            <v>5.75</v>
          </cell>
          <cell r="AB29" t="str">
            <v>-</v>
          </cell>
        </row>
        <row r="30">
          <cell r="A30" t="str">
            <v>欣彤</v>
          </cell>
          <cell r="B30" t="str">
            <v>Y03450-OR+Y03477</v>
          </cell>
          <cell r="C30" t="str">
            <v>三防机器人手机壳带背夹iPhone 13 pro 橙</v>
          </cell>
        </row>
        <row r="30">
          <cell r="E30" t="str">
            <v>B09FNSXT22</v>
          </cell>
          <cell r="F30">
            <v>5</v>
          </cell>
          <cell r="G30">
            <v>0</v>
          </cell>
          <cell r="H30">
            <v>0</v>
          </cell>
          <cell r="I30">
            <v>0</v>
          </cell>
          <cell r="J30">
            <v>0</v>
          </cell>
          <cell r="K30">
            <v>5</v>
          </cell>
          <cell r="L30">
            <v>13.7</v>
          </cell>
          <cell r="M30">
            <v>68.5</v>
          </cell>
          <cell r="N30">
            <v>5</v>
          </cell>
          <cell r="O30">
            <v>7</v>
          </cell>
          <cell r="P30">
            <v>7</v>
          </cell>
          <cell r="Q30">
            <v>0</v>
          </cell>
          <cell r="R30">
            <v>5</v>
          </cell>
          <cell r="S30">
            <v>10.6060606060606</v>
          </cell>
          <cell r="T30">
            <v>0.353535353535354</v>
          </cell>
          <cell r="U30">
            <v>21</v>
          </cell>
          <cell r="V30">
            <v>-20.6464646464646</v>
          </cell>
          <cell r="W30" t="str">
            <v>库存过低</v>
          </cell>
          <cell r="X30" t="str">
            <v>库存过低</v>
          </cell>
          <cell r="Y30">
            <v>0</v>
          </cell>
          <cell r="Z30">
            <v>0</v>
          </cell>
          <cell r="AA30">
            <v>0</v>
          </cell>
          <cell r="AB30" t="str">
            <v>-</v>
          </cell>
        </row>
        <row r="31">
          <cell r="A31" t="str">
            <v>欣彤</v>
          </cell>
          <cell r="B31" t="str">
            <v>Y03451-BL+Y03478</v>
          </cell>
          <cell r="C31" t="str">
            <v>三防机器人手机壳带背夹iPhone 13 Pro max 黑</v>
          </cell>
        </row>
        <row r="31">
          <cell r="E31" t="str">
            <v>B09FKY9NB2</v>
          </cell>
          <cell r="F31">
            <v>81</v>
          </cell>
          <cell r="G31">
            <v>0</v>
          </cell>
          <cell r="H31">
            <v>42</v>
          </cell>
          <cell r="I31">
            <v>0</v>
          </cell>
          <cell r="J31">
            <v>9</v>
          </cell>
          <cell r="K31">
            <v>132</v>
          </cell>
          <cell r="L31">
            <v>13.491</v>
          </cell>
          <cell r="M31">
            <v>1780.812</v>
          </cell>
          <cell r="N31">
            <v>6</v>
          </cell>
          <cell r="O31">
            <v>8</v>
          </cell>
          <cell r="P31">
            <v>24</v>
          </cell>
          <cell r="Q31">
            <v>14</v>
          </cell>
          <cell r="R31">
            <v>-8</v>
          </cell>
          <cell r="S31">
            <v>180.782608695652</v>
          </cell>
          <cell r="T31">
            <v>6.02608695652174</v>
          </cell>
          <cell r="U31">
            <v>0.410958904109589</v>
          </cell>
          <cell r="V31">
            <v>5.61512805241215</v>
          </cell>
          <cell r="W31" t="str">
            <v>库存过高</v>
          </cell>
          <cell r="X31" t="str">
            <v>库存过高</v>
          </cell>
          <cell r="Y31">
            <v>0</v>
          </cell>
          <cell r="Z31">
            <v>0</v>
          </cell>
          <cell r="AA31">
            <v>4.04</v>
          </cell>
          <cell r="AB31" t="str">
            <v>-</v>
          </cell>
        </row>
        <row r="32">
          <cell r="A32" t="str">
            <v>欣彤</v>
          </cell>
          <cell r="B32" t="str">
            <v>Y03451-DG+Y03478</v>
          </cell>
          <cell r="C32" t="str">
            <v>三防机器人手机壳带背夹iPhone 13 Pro max 深灰+柠檬黄</v>
          </cell>
        </row>
        <row r="32">
          <cell r="E32" t="str">
            <v>B09FKZBMCJ</v>
          </cell>
          <cell r="F32">
            <v>15</v>
          </cell>
          <cell r="G32">
            <v>2</v>
          </cell>
          <cell r="H32">
            <v>0</v>
          </cell>
          <cell r="I32">
            <v>0</v>
          </cell>
          <cell r="J32">
            <v>0</v>
          </cell>
          <cell r="K32">
            <v>17</v>
          </cell>
          <cell r="L32">
            <v>13.297</v>
          </cell>
          <cell r="M32">
            <v>226.049</v>
          </cell>
          <cell r="N32">
            <v>1</v>
          </cell>
          <cell r="O32">
            <v>2</v>
          </cell>
          <cell r="P32">
            <v>3</v>
          </cell>
          <cell r="Q32">
            <v>0</v>
          </cell>
          <cell r="R32">
            <v>1</v>
          </cell>
          <cell r="S32">
            <v>135.569620253165</v>
          </cell>
          <cell r="T32">
            <v>4.51898734177215</v>
          </cell>
          <cell r="U32">
            <v>14.25</v>
          </cell>
          <cell r="V32">
            <v>-9.73101265822785</v>
          </cell>
          <cell r="W32" t="str">
            <v>库存过高</v>
          </cell>
          <cell r="X32" t="str">
            <v>库存过高</v>
          </cell>
          <cell r="Y32">
            <v>0</v>
          </cell>
          <cell r="Z32">
            <v>0</v>
          </cell>
          <cell r="AA32">
            <v>0</v>
          </cell>
          <cell r="AB32" t="str">
            <v>-</v>
          </cell>
        </row>
        <row r="33">
          <cell r="A33" t="str">
            <v>欣彤</v>
          </cell>
          <cell r="B33" t="str">
            <v>Y03451-NB+Y03478</v>
          </cell>
          <cell r="C33" t="str">
            <v>三防机器人手机壳带背夹iPhone 13 Pro max 蓝</v>
          </cell>
        </row>
        <row r="33">
          <cell r="E33" t="str">
            <v>B09FKWZKZQ</v>
          </cell>
          <cell r="F33">
            <v>4</v>
          </cell>
          <cell r="G33">
            <v>0</v>
          </cell>
          <cell r="H33">
            <v>0</v>
          </cell>
          <cell r="I33">
            <v>0</v>
          </cell>
          <cell r="J33">
            <v>20</v>
          </cell>
          <cell r="K33">
            <v>24</v>
          </cell>
          <cell r="L33">
            <v>13.7</v>
          </cell>
          <cell r="M33">
            <v>328.8</v>
          </cell>
          <cell r="N33">
            <v>13</v>
          </cell>
          <cell r="O33">
            <v>14</v>
          </cell>
          <cell r="P33">
            <v>15</v>
          </cell>
          <cell r="Q33">
            <v>0</v>
          </cell>
          <cell r="R33">
            <v>13</v>
          </cell>
          <cell r="S33">
            <v>21.8813314037627</v>
          </cell>
          <cell r="T33">
            <v>0.729377713458755</v>
          </cell>
          <cell r="U33">
            <v>13.2857142857143</v>
          </cell>
          <cell r="V33">
            <v>-12.5563365722555</v>
          </cell>
          <cell r="W33" t="str">
            <v>库存过低</v>
          </cell>
          <cell r="X33" t="str">
            <v>正常</v>
          </cell>
          <cell r="Y33">
            <v>6.99</v>
          </cell>
          <cell r="Z33">
            <v>11.75</v>
          </cell>
          <cell r="AA33">
            <v>14.97</v>
          </cell>
          <cell r="AB33">
            <v>0.291492910758966</v>
          </cell>
        </row>
        <row r="34">
          <cell r="A34" t="str">
            <v>欣彤</v>
          </cell>
          <cell r="B34" t="str">
            <v>Y03451-OR+Y03478</v>
          </cell>
          <cell r="C34" t="str">
            <v>三防机器人手机壳带背夹iPhone 13 Pro max 橙</v>
          </cell>
        </row>
        <row r="34">
          <cell r="E34" t="str">
            <v>B09FKYBRXJ</v>
          </cell>
          <cell r="F34">
            <v>36</v>
          </cell>
          <cell r="G34">
            <v>0</v>
          </cell>
          <cell r="H34">
            <v>0</v>
          </cell>
          <cell r="I34">
            <v>0</v>
          </cell>
          <cell r="J34">
            <v>0</v>
          </cell>
          <cell r="K34">
            <v>36</v>
          </cell>
          <cell r="L34">
            <v>13.542</v>
          </cell>
          <cell r="M34">
            <v>487.512</v>
          </cell>
          <cell r="N34">
            <v>2</v>
          </cell>
          <cell r="O34">
            <v>4</v>
          </cell>
          <cell r="P34">
            <v>5</v>
          </cell>
          <cell r="Q34">
            <v>0</v>
          </cell>
          <cell r="R34">
            <v>2</v>
          </cell>
          <cell r="S34">
            <v>150.198675496689</v>
          </cell>
          <cell r="T34">
            <v>5.00662251655629</v>
          </cell>
          <cell r="U34">
            <v>63</v>
          </cell>
          <cell r="V34">
            <v>-57.9933774834437</v>
          </cell>
          <cell r="W34" t="str">
            <v>库存过高</v>
          </cell>
          <cell r="X34" t="str">
            <v>库存过高</v>
          </cell>
          <cell r="Y34">
            <v>0</v>
          </cell>
          <cell r="Z34">
            <v>0</v>
          </cell>
          <cell r="AA34">
            <v>0</v>
          </cell>
          <cell r="AB34" t="str">
            <v>-</v>
          </cell>
        </row>
        <row r="35">
          <cell r="A35" t="str">
            <v>欣彤</v>
          </cell>
          <cell r="B35" t="str">
            <v>Y03451-TG+Y03478</v>
          </cell>
          <cell r="C35" t="str">
            <v>三防机器人手机壳带背夹iPhone 13 Pro max 蓝绿+浅绿</v>
          </cell>
        </row>
        <row r="35">
          <cell r="E35" t="str">
            <v>B09FKX7J3C</v>
          </cell>
          <cell r="F35">
            <v>21</v>
          </cell>
          <cell r="G35">
            <v>0</v>
          </cell>
          <cell r="H35">
            <v>0</v>
          </cell>
          <cell r="I35">
            <v>0</v>
          </cell>
          <cell r="J35">
            <v>0</v>
          </cell>
          <cell r="K35">
            <v>21</v>
          </cell>
          <cell r="L35">
            <v>13.7</v>
          </cell>
          <cell r="M35">
            <v>287.7</v>
          </cell>
          <cell r="N35">
            <v>10</v>
          </cell>
          <cell r="O35">
            <v>12</v>
          </cell>
          <cell r="P35">
            <v>12</v>
          </cell>
          <cell r="Q35">
            <v>0</v>
          </cell>
          <cell r="R35">
            <v>10</v>
          </cell>
          <cell r="S35">
            <v>23.9673913043478</v>
          </cell>
          <cell r="T35">
            <v>0.798913043478261</v>
          </cell>
          <cell r="U35" t="str">
            <v>-</v>
          </cell>
          <cell r="V35" t="str">
            <v>-</v>
          </cell>
          <cell r="W35" t="str">
            <v>库存过低</v>
          </cell>
          <cell r="X35" t="str">
            <v>正常</v>
          </cell>
          <cell r="Y35">
            <v>0</v>
          </cell>
          <cell r="Z35">
            <v>0</v>
          </cell>
          <cell r="AA35">
            <v>0</v>
          </cell>
          <cell r="AB35" t="str">
            <v>-</v>
          </cell>
        </row>
        <row r="36">
          <cell r="A36" t="str">
            <v>欣彤</v>
          </cell>
          <cell r="B36" t="str">
            <v>Y03466-BL+E03063</v>
          </cell>
          <cell r="C36" t="str">
            <v>三防机器人手机壳带背夹A02S 黑</v>
          </cell>
        </row>
        <row r="36">
          <cell r="E36" t="str">
            <v>B098T1675V</v>
          </cell>
          <cell r="F36">
            <v>15</v>
          </cell>
          <cell r="G36">
            <v>3</v>
          </cell>
          <cell r="H36">
            <v>76</v>
          </cell>
          <cell r="I36">
            <v>17</v>
          </cell>
          <cell r="J36">
            <v>20</v>
          </cell>
          <cell r="K36">
            <v>131</v>
          </cell>
          <cell r="L36">
            <v>13.7</v>
          </cell>
          <cell r="M36">
            <v>1794.7</v>
          </cell>
          <cell r="N36">
            <v>18</v>
          </cell>
          <cell r="O36">
            <v>34</v>
          </cell>
          <cell r="P36">
            <v>84</v>
          </cell>
          <cell r="Q36">
            <v>24</v>
          </cell>
          <cell r="R36">
            <v>-6</v>
          </cell>
          <cell r="S36">
            <v>51.4526184538653</v>
          </cell>
          <cell r="T36">
            <v>1.71508728179551</v>
          </cell>
          <cell r="U36">
            <v>1.14701378254211</v>
          </cell>
          <cell r="V36">
            <v>0.568073499253401</v>
          </cell>
          <cell r="W36" t="str">
            <v>库存过高</v>
          </cell>
          <cell r="X36" t="str">
            <v>库存过高</v>
          </cell>
          <cell r="Y36">
            <v>23.19</v>
          </cell>
          <cell r="Z36">
            <v>35.93</v>
          </cell>
          <cell r="AA36">
            <v>71.16</v>
          </cell>
          <cell r="AB36">
            <v>0.184193804606831</v>
          </cell>
        </row>
        <row r="37">
          <cell r="A37" t="str">
            <v>欣彤</v>
          </cell>
          <cell r="B37" t="str">
            <v>Y03466-DG+E03063</v>
          </cell>
          <cell r="C37" t="str">
            <v>三防机器人手机壳带背夹A02S 深灰+柠檬黄</v>
          </cell>
        </row>
        <row r="37">
          <cell r="E37" t="str">
            <v>B09DFFRTPG</v>
          </cell>
          <cell r="F37">
            <v>3</v>
          </cell>
          <cell r="G37">
            <v>0</v>
          </cell>
          <cell r="H37">
            <v>25</v>
          </cell>
          <cell r="I37">
            <v>0</v>
          </cell>
          <cell r="J37">
            <v>0</v>
          </cell>
          <cell r="K37">
            <v>28</v>
          </cell>
          <cell r="L37">
            <v>13.7</v>
          </cell>
          <cell r="M37">
            <v>383.6</v>
          </cell>
          <cell r="N37">
            <v>1</v>
          </cell>
          <cell r="O37">
            <v>2</v>
          </cell>
          <cell r="P37">
            <v>12</v>
          </cell>
          <cell r="Q37">
            <v>4</v>
          </cell>
          <cell r="R37">
            <v>-3</v>
          </cell>
          <cell r="S37">
            <v>124.225352112676</v>
          </cell>
          <cell r="T37">
            <v>4.14084507042254</v>
          </cell>
          <cell r="U37">
            <v>0.679611650485437</v>
          </cell>
          <cell r="V37">
            <v>3.4612334199371</v>
          </cell>
          <cell r="W37" t="str">
            <v>库存过高</v>
          </cell>
          <cell r="X37" t="str">
            <v>库存过高</v>
          </cell>
          <cell r="Y37">
            <v>0</v>
          </cell>
          <cell r="Z37">
            <v>0</v>
          </cell>
          <cell r="AA37">
            <v>0</v>
          </cell>
          <cell r="AB37" t="str">
            <v>-</v>
          </cell>
        </row>
        <row r="38">
          <cell r="A38" t="str">
            <v>欣彤</v>
          </cell>
          <cell r="B38" t="str">
            <v>Y03466-NB+E03063</v>
          </cell>
          <cell r="C38" t="str">
            <v>三防机器人手机壳带背夹A02S 蓝</v>
          </cell>
        </row>
        <row r="38">
          <cell r="E38" t="str">
            <v>B098T19BMD</v>
          </cell>
          <cell r="F38">
            <v>13</v>
          </cell>
          <cell r="G38">
            <v>1</v>
          </cell>
          <cell r="H38">
            <v>25</v>
          </cell>
          <cell r="I38">
            <v>0</v>
          </cell>
          <cell r="J38">
            <v>7</v>
          </cell>
          <cell r="K38">
            <v>46</v>
          </cell>
          <cell r="L38">
            <v>13.7</v>
          </cell>
          <cell r="M38">
            <v>630.2</v>
          </cell>
          <cell r="N38">
            <v>4</v>
          </cell>
          <cell r="O38">
            <v>9</v>
          </cell>
          <cell r="P38">
            <v>24</v>
          </cell>
          <cell r="Q38">
            <v>5</v>
          </cell>
          <cell r="R38">
            <v>-1</v>
          </cell>
          <cell r="S38">
            <v>70</v>
          </cell>
          <cell r="T38">
            <v>2.33333333333333</v>
          </cell>
          <cell r="U38">
            <v>1.87414187643021</v>
          </cell>
          <cell r="V38">
            <v>0.459191456903123</v>
          </cell>
          <cell r="W38" t="str">
            <v>库存过高</v>
          </cell>
          <cell r="X38" t="str">
            <v>库存过高</v>
          </cell>
          <cell r="Y38">
            <v>0</v>
          </cell>
          <cell r="Z38">
            <v>0</v>
          </cell>
          <cell r="AA38">
            <v>0</v>
          </cell>
          <cell r="AB38" t="str">
            <v>-</v>
          </cell>
        </row>
        <row r="39">
          <cell r="A39" t="str">
            <v>欣彤</v>
          </cell>
          <cell r="B39" t="str">
            <v>Y03466-OR+E03063</v>
          </cell>
          <cell r="C39" t="str">
            <v>三防机器人手机壳带背夹A02S 橙</v>
          </cell>
        </row>
        <row r="39">
          <cell r="E39" t="str">
            <v>B098T16TQT</v>
          </cell>
          <cell r="F39">
            <v>16</v>
          </cell>
          <cell r="G39">
            <v>0</v>
          </cell>
          <cell r="H39">
            <v>0</v>
          </cell>
          <cell r="I39">
            <v>1</v>
          </cell>
          <cell r="J39">
            <v>0</v>
          </cell>
          <cell r="K39">
            <v>17</v>
          </cell>
          <cell r="L39">
            <v>13.7</v>
          </cell>
          <cell r="M39">
            <v>232.9</v>
          </cell>
          <cell r="N39">
            <v>3</v>
          </cell>
          <cell r="O39">
            <v>4</v>
          </cell>
          <cell r="P39">
            <v>12</v>
          </cell>
          <cell r="Q39">
            <v>5</v>
          </cell>
          <cell r="R39">
            <v>-2</v>
          </cell>
          <cell r="S39">
            <v>46.5652173913043</v>
          </cell>
          <cell r="T39">
            <v>1.55217391304348</v>
          </cell>
          <cell r="U39">
            <v>1.08247422680412</v>
          </cell>
          <cell r="V39">
            <v>0.469699686239358</v>
          </cell>
          <cell r="W39" t="str">
            <v>正常</v>
          </cell>
          <cell r="X39" t="str">
            <v>库存过高</v>
          </cell>
          <cell r="Y39">
            <v>0</v>
          </cell>
          <cell r="Z39">
            <v>0</v>
          </cell>
          <cell r="AA39">
            <v>0</v>
          </cell>
          <cell r="AB39" t="str">
            <v>-</v>
          </cell>
        </row>
        <row r="40">
          <cell r="A40" t="str">
            <v>欣彤</v>
          </cell>
          <cell r="B40" t="str">
            <v>Y03466-TG+E03063</v>
          </cell>
          <cell r="C40" t="str">
            <v>三防机器人手机壳带背夹A02S 蓝绿+浅绿</v>
          </cell>
        </row>
        <row r="40">
          <cell r="E40" t="str">
            <v>B09DFRLP5Y</v>
          </cell>
          <cell r="F40">
            <v>10</v>
          </cell>
          <cell r="G40">
            <v>0</v>
          </cell>
          <cell r="H40">
            <v>0</v>
          </cell>
          <cell r="I40">
            <v>0</v>
          </cell>
          <cell r="J40">
            <v>0</v>
          </cell>
          <cell r="K40">
            <v>10</v>
          </cell>
          <cell r="L40">
            <v>13.7</v>
          </cell>
          <cell r="M40">
            <v>137</v>
          </cell>
          <cell r="N40">
            <v>2</v>
          </cell>
          <cell r="O40">
            <v>5</v>
          </cell>
          <cell r="P40">
            <v>9</v>
          </cell>
          <cell r="Q40">
            <v>4</v>
          </cell>
          <cell r="R40">
            <v>-2</v>
          </cell>
          <cell r="S40">
            <v>32.6424870466321</v>
          </cell>
          <cell r="T40">
            <v>1.0880829015544</v>
          </cell>
          <cell r="U40">
            <v>1.10975609756098</v>
          </cell>
          <cell r="V40">
            <v>-0.0216731960065759</v>
          </cell>
          <cell r="W40" t="str">
            <v>正常</v>
          </cell>
          <cell r="X40" t="str">
            <v>正常</v>
          </cell>
          <cell r="Y40">
            <v>0</v>
          </cell>
          <cell r="Z40">
            <v>0</v>
          </cell>
          <cell r="AA40">
            <v>0</v>
          </cell>
          <cell r="AB40" t="str">
            <v>-</v>
          </cell>
        </row>
        <row r="41">
          <cell r="A41" t="str">
            <v>欣彤</v>
          </cell>
          <cell r="B41" t="str">
            <v>Y03507-BL+Y03508+Y03509</v>
          </cell>
          <cell r="C41" t="str">
            <v>Moto中性手机壳 G Stylus 5G 黑</v>
          </cell>
        </row>
        <row r="41">
          <cell r="E41" t="str">
            <v>B09B1M73FL</v>
          </cell>
          <cell r="F41">
            <v>80</v>
          </cell>
          <cell r="G41">
            <v>12</v>
          </cell>
          <cell r="H41">
            <v>220</v>
          </cell>
          <cell r="I41">
            <v>89</v>
          </cell>
          <cell r="J41">
            <v>0</v>
          </cell>
          <cell r="K41">
            <v>401</v>
          </cell>
          <cell r="L41">
            <v>13.9</v>
          </cell>
          <cell r="M41">
            <v>5573.9</v>
          </cell>
          <cell r="N41">
            <v>26</v>
          </cell>
          <cell r="O41">
            <v>48</v>
          </cell>
          <cell r="P41">
            <v>108</v>
          </cell>
          <cell r="Q41">
            <v>26</v>
          </cell>
          <cell r="R41">
            <v>0</v>
          </cell>
          <cell r="S41">
            <v>114.415760869565</v>
          </cell>
          <cell r="T41">
            <v>3.81385869565217</v>
          </cell>
          <cell r="U41">
            <v>1.11385459533608</v>
          </cell>
          <cell r="V41">
            <v>2.70000410031609</v>
          </cell>
          <cell r="W41" t="str">
            <v>库存过高</v>
          </cell>
          <cell r="X41" t="str">
            <v>库存过高</v>
          </cell>
          <cell r="Y41">
            <v>42.47</v>
          </cell>
          <cell r="Z41">
            <v>75.7</v>
          </cell>
          <cell r="AA41">
            <v>169.51</v>
          </cell>
          <cell r="AB41">
            <v>0.216860702614379</v>
          </cell>
        </row>
        <row r="42">
          <cell r="A42" t="str">
            <v>欣彤</v>
          </cell>
          <cell r="B42" t="str">
            <v>Y03507-GR+Y03508+Y03509</v>
          </cell>
          <cell r="C42" t="str">
            <v>Moto中性手机壳 G Stylus 5G 灰+绿</v>
          </cell>
        </row>
        <row r="42">
          <cell r="E42" t="str">
            <v>B09DP3W7BQ</v>
          </cell>
          <cell r="F42">
            <v>16</v>
          </cell>
          <cell r="G42">
            <v>0</v>
          </cell>
          <cell r="H42">
            <v>6</v>
          </cell>
          <cell r="I42">
            <v>0</v>
          </cell>
          <cell r="J42">
            <v>6</v>
          </cell>
          <cell r="K42">
            <v>28</v>
          </cell>
          <cell r="L42">
            <v>13.9</v>
          </cell>
          <cell r="M42">
            <v>389.2</v>
          </cell>
          <cell r="N42">
            <v>1</v>
          </cell>
          <cell r="O42">
            <v>2</v>
          </cell>
          <cell r="P42">
            <v>2</v>
          </cell>
          <cell r="Q42">
            <v>0</v>
          </cell>
          <cell r="R42">
            <v>1</v>
          </cell>
          <cell r="S42">
            <v>245</v>
          </cell>
          <cell r="T42">
            <v>8.16666666666667</v>
          </cell>
          <cell r="U42" t="str">
            <v>-</v>
          </cell>
          <cell r="V42" t="str">
            <v>-</v>
          </cell>
          <cell r="W42" t="str">
            <v>库存过高</v>
          </cell>
          <cell r="X42" t="str">
            <v>库存过高</v>
          </cell>
          <cell r="Y42">
            <v>0</v>
          </cell>
          <cell r="Z42">
            <v>0</v>
          </cell>
          <cell r="AA42">
            <v>0</v>
          </cell>
          <cell r="AB42" t="str">
            <v>-</v>
          </cell>
        </row>
        <row r="43">
          <cell r="A43" t="str">
            <v>欣彤</v>
          </cell>
          <cell r="B43" t="str">
            <v>Y03507-NB+Y03508+Y03509</v>
          </cell>
          <cell r="C43" t="str">
            <v>Moto中性手机壳 G Stylus 5G 蓝</v>
          </cell>
        </row>
        <row r="43">
          <cell r="E43" t="str">
            <v>B09B1N5SXM</v>
          </cell>
          <cell r="F43">
            <v>19</v>
          </cell>
          <cell r="G43">
            <v>2</v>
          </cell>
          <cell r="H43">
            <v>0</v>
          </cell>
          <cell r="I43">
            <v>0</v>
          </cell>
          <cell r="J43">
            <v>0</v>
          </cell>
          <cell r="K43">
            <v>21</v>
          </cell>
          <cell r="L43">
            <v>13.9</v>
          </cell>
          <cell r="M43">
            <v>291.9</v>
          </cell>
          <cell r="N43">
            <v>6</v>
          </cell>
          <cell r="O43">
            <v>9</v>
          </cell>
          <cell r="P43">
            <v>24</v>
          </cell>
          <cell r="Q43">
            <v>9</v>
          </cell>
          <cell r="R43">
            <v>-3</v>
          </cell>
          <cell r="S43">
            <v>27.9113924050633</v>
          </cell>
          <cell r="T43">
            <v>0.930379746835443</v>
          </cell>
          <cell r="U43">
            <v>0.531645569620253</v>
          </cell>
          <cell r="V43">
            <v>0.39873417721519</v>
          </cell>
          <cell r="W43" t="str">
            <v>正常</v>
          </cell>
          <cell r="X43" t="str">
            <v>正常</v>
          </cell>
          <cell r="Y43">
            <v>0</v>
          </cell>
          <cell r="Z43">
            <v>0</v>
          </cell>
          <cell r="AA43">
            <v>0</v>
          </cell>
          <cell r="AB43" t="str">
            <v>-</v>
          </cell>
        </row>
        <row r="44">
          <cell r="A44" t="str">
            <v>欣彤</v>
          </cell>
          <cell r="B44" t="str">
            <v>Y03507-OR+Y03508+Y03509</v>
          </cell>
          <cell r="C44" t="str">
            <v>Moto中性手机壳 G Stylus 5G 橙</v>
          </cell>
        </row>
        <row r="44">
          <cell r="E44" t="str">
            <v>B09B1MQZPN</v>
          </cell>
          <cell r="F44">
            <v>18</v>
          </cell>
          <cell r="G44">
            <v>1</v>
          </cell>
          <cell r="H44">
            <v>0</v>
          </cell>
          <cell r="I44">
            <v>0</v>
          </cell>
          <cell r="J44">
            <v>0</v>
          </cell>
          <cell r="K44">
            <v>19</v>
          </cell>
          <cell r="L44">
            <v>13.9</v>
          </cell>
          <cell r="M44">
            <v>264.1</v>
          </cell>
          <cell r="N44">
            <v>3</v>
          </cell>
          <cell r="O44">
            <v>4</v>
          </cell>
          <cell r="P44">
            <v>11</v>
          </cell>
          <cell r="Q44">
            <v>3</v>
          </cell>
          <cell r="R44">
            <v>0</v>
          </cell>
          <cell r="S44">
            <v>53.677130044843</v>
          </cell>
          <cell r="T44">
            <v>1.78923766816143</v>
          </cell>
          <cell r="U44">
            <v>0.15035799522673</v>
          </cell>
          <cell r="V44">
            <v>1.6388796729347</v>
          </cell>
          <cell r="W44" t="str">
            <v>正常</v>
          </cell>
          <cell r="X44" t="str">
            <v>库存过高</v>
          </cell>
          <cell r="Y44">
            <v>0</v>
          </cell>
          <cell r="Z44">
            <v>0</v>
          </cell>
          <cell r="AA44">
            <v>0</v>
          </cell>
          <cell r="AB44" t="str">
            <v>-</v>
          </cell>
        </row>
        <row r="45">
          <cell r="A45" t="str">
            <v>欣彤</v>
          </cell>
          <cell r="B45" t="str">
            <v>Y03561-BL+Y03562+Y03565</v>
          </cell>
          <cell r="C45" t="str">
            <v>Moto中性手机壳One 5G Ace 黑</v>
          </cell>
        </row>
        <row r="45">
          <cell r="E45" t="str">
            <v>B09H2FVVKR</v>
          </cell>
          <cell r="F45">
            <v>0</v>
          </cell>
          <cell r="G45">
            <v>1</v>
          </cell>
          <cell r="H45">
            <v>0</v>
          </cell>
          <cell r="I45">
            <v>0</v>
          </cell>
          <cell r="J45">
            <v>0</v>
          </cell>
          <cell r="K45">
            <v>1</v>
          </cell>
          <cell r="L45">
            <v>13.9</v>
          </cell>
          <cell r="M45">
            <v>13.9</v>
          </cell>
          <cell r="N45">
            <v>0</v>
          </cell>
          <cell r="O45">
            <v>12</v>
          </cell>
          <cell r="P45">
            <v>27</v>
          </cell>
          <cell r="Q45">
            <v>5</v>
          </cell>
          <cell r="R45">
            <v>-5</v>
          </cell>
          <cell r="S45">
            <v>1.76470588235294</v>
          </cell>
          <cell r="T45">
            <v>0.0588235294117647</v>
          </cell>
          <cell r="U45">
            <v>1.16105769230769</v>
          </cell>
          <cell r="V45">
            <v>-1.10223416289593</v>
          </cell>
          <cell r="W45" t="str">
            <v>有库存无销量</v>
          </cell>
          <cell r="X45" t="str">
            <v>库存过低</v>
          </cell>
          <cell r="Y45">
            <v>5.88</v>
          </cell>
          <cell r="Z45">
            <v>15.79</v>
          </cell>
          <cell r="AA45">
            <v>26.51</v>
          </cell>
          <cell r="AB45">
            <v>0.245204336947456</v>
          </cell>
        </row>
        <row r="46">
          <cell r="A46" t="str">
            <v>欣彤</v>
          </cell>
          <cell r="B46" t="str">
            <v>Y03561-NB+Y03562+Y03565</v>
          </cell>
          <cell r="C46" t="str">
            <v>Moto中性手机壳One 5G Ace 蓝</v>
          </cell>
        </row>
        <row r="46">
          <cell r="E46" t="str">
            <v>B09H29PZXG</v>
          </cell>
          <cell r="F46">
            <v>8</v>
          </cell>
          <cell r="G46">
            <v>0</v>
          </cell>
          <cell r="H46">
            <v>0</v>
          </cell>
          <cell r="I46">
            <v>0</v>
          </cell>
          <cell r="J46">
            <v>0</v>
          </cell>
          <cell r="K46">
            <v>8</v>
          </cell>
          <cell r="L46">
            <v>13.9</v>
          </cell>
          <cell r="M46">
            <v>111.2</v>
          </cell>
          <cell r="N46">
            <v>5</v>
          </cell>
          <cell r="O46">
            <v>8</v>
          </cell>
          <cell r="P46">
            <v>13</v>
          </cell>
          <cell r="Q46">
            <v>3</v>
          </cell>
          <cell r="R46">
            <v>2</v>
          </cell>
          <cell r="S46">
            <v>14.2776203966006</v>
          </cell>
          <cell r="T46">
            <v>0.475920679886686</v>
          </cell>
          <cell r="U46">
            <v>1.66336633663366</v>
          </cell>
          <cell r="V46">
            <v>-1.18744565674697</v>
          </cell>
          <cell r="W46" t="str">
            <v>库存过低</v>
          </cell>
          <cell r="X46" t="str">
            <v>库存过低</v>
          </cell>
          <cell r="Y46">
            <v>0</v>
          </cell>
          <cell r="Z46">
            <v>0</v>
          </cell>
          <cell r="AA46">
            <v>0</v>
          </cell>
          <cell r="AB46" t="str">
            <v>-</v>
          </cell>
        </row>
        <row r="47">
          <cell r="A47" t="str">
            <v>欣彤</v>
          </cell>
          <cell r="B47" t="str">
            <v>Y03561-OR+Y03562+Y03565</v>
          </cell>
          <cell r="C47" t="str">
            <v>Moto中性手机壳One 5G Ace 橙</v>
          </cell>
        </row>
        <row r="47">
          <cell r="E47" t="str">
            <v>B09H29QXK4</v>
          </cell>
          <cell r="F47">
            <v>0</v>
          </cell>
          <cell r="G47">
            <v>2</v>
          </cell>
          <cell r="H47">
            <v>0</v>
          </cell>
          <cell r="I47">
            <v>0</v>
          </cell>
          <cell r="J47">
            <v>0</v>
          </cell>
          <cell r="K47">
            <v>2</v>
          </cell>
          <cell r="L47">
            <v>13.9</v>
          </cell>
          <cell r="M47">
            <v>27.8</v>
          </cell>
          <cell r="N47">
            <v>1</v>
          </cell>
          <cell r="O47">
            <v>2</v>
          </cell>
          <cell r="P47">
            <v>5</v>
          </cell>
          <cell r="Q47">
            <v>1</v>
          </cell>
          <cell r="R47">
            <v>0</v>
          </cell>
          <cell r="S47">
            <v>13.5483870967742</v>
          </cell>
          <cell r="T47">
            <v>0.451612903225806</v>
          </cell>
          <cell r="U47">
            <v>0.422818791946309</v>
          </cell>
          <cell r="V47">
            <v>0.0287941112794974</v>
          </cell>
          <cell r="W47" t="str">
            <v>库存过低</v>
          </cell>
          <cell r="X47" t="str">
            <v>库存过低</v>
          </cell>
          <cell r="Y47">
            <v>3.98</v>
          </cell>
          <cell r="Z47">
            <v>7.21</v>
          </cell>
          <cell r="AA47">
            <v>16.9</v>
          </cell>
          <cell r="AB47" t="str">
            <v>-</v>
          </cell>
        </row>
        <row r="48">
          <cell r="A48" t="str">
            <v>欣彤</v>
          </cell>
          <cell r="B48" t="str">
            <v>Y03564-BL+Y03565+Y03566</v>
          </cell>
          <cell r="C48" t="str">
            <v>Moto中性手机壳Egde (2021) 黑</v>
          </cell>
        </row>
        <row r="48">
          <cell r="E48" t="str">
            <v>B09HGDHZQ1</v>
          </cell>
          <cell r="F48">
            <v>38</v>
          </cell>
          <cell r="G48">
            <v>2</v>
          </cell>
          <cell r="H48">
            <v>148</v>
          </cell>
          <cell r="I48">
            <v>2</v>
          </cell>
          <cell r="J48">
            <v>0</v>
          </cell>
          <cell r="K48">
            <v>190</v>
          </cell>
          <cell r="L48">
            <v>13.9</v>
          </cell>
          <cell r="M48">
            <v>2641</v>
          </cell>
          <cell r="N48">
            <v>6</v>
          </cell>
          <cell r="O48">
            <v>12</v>
          </cell>
          <cell r="P48">
            <v>30</v>
          </cell>
          <cell r="Q48">
            <v>11</v>
          </cell>
          <cell r="R48">
            <v>-5</v>
          </cell>
          <cell r="S48">
            <v>214.516129032258</v>
          </cell>
          <cell r="T48">
            <v>7.1505376344086</v>
          </cell>
          <cell r="U48">
            <v>3.02140309155767</v>
          </cell>
          <cell r="V48">
            <v>4.12913454285093</v>
          </cell>
          <cell r="W48" t="str">
            <v>库存过高</v>
          </cell>
          <cell r="X48" t="str">
            <v>库存过高</v>
          </cell>
          <cell r="Y48">
            <v>22.66</v>
          </cell>
          <cell r="Z48">
            <v>45.76</v>
          </cell>
          <cell r="AA48">
            <v>107.08</v>
          </cell>
          <cell r="AB48">
            <v>0.314984709480122</v>
          </cell>
        </row>
        <row r="49">
          <cell r="A49" t="str">
            <v>欣彤</v>
          </cell>
          <cell r="B49" t="str">
            <v>Y03564-NB+Y03565+Y03566</v>
          </cell>
          <cell r="C49" t="str">
            <v>Moto中性手机壳Egde (2021) 蓝</v>
          </cell>
        </row>
        <row r="49">
          <cell r="E49" t="str">
            <v>B09HGMN29X</v>
          </cell>
          <cell r="F49">
            <v>36</v>
          </cell>
          <cell r="G49">
            <v>1</v>
          </cell>
          <cell r="H49">
            <v>26</v>
          </cell>
          <cell r="I49">
            <v>1</v>
          </cell>
          <cell r="J49">
            <v>0</v>
          </cell>
          <cell r="K49">
            <v>64</v>
          </cell>
          <cell r="L49">
            <v>13.9</v>
          </cell>
          <cell r="M49">
            <v>889.6</v>
          </cell>
          <cell r="N49">
            <v>3</v>
          </cell>
          <cell r="O49">
            <v>7</v>
          </cell>
          <cell r="P49">
            <v>17</v>
          </cell>
          <cell r="Q49">
            <v>8</v>
          </cell>
          <cell r="R49">
            <v>-5</v>
          </cell>
          <cell r="S49">
            <v>131.335504885993</v>
          </cell>
          <cell r="T49">
            <v>4.37785016286645</v>
          </cell>
          <cell r="U49">
            <v>1.47368421052632</v>
          </cell>
          <cell r="V49">
            <v>2.90416595234013</v>
          </cell>
          <cell r="W49" t="str">
            <v>库存过高</v>
          </cell>
          <cell r="X49" t="str">
            <v>库存过高</v>
          </cell>
          <cell r="Y49">
            <v>0</v>
          </cell>
          <cell r="Z49">
            <v>0</v>
          </cell>
          <cell r="AA49">
            <v>0</v>
          </cell>
          <cell r="AB49" t="str">
            <v>-</v>
          </cell>
        </row>
        <row r="50">
          <cell r="A50" t="str">
            <v>欣彤</v>
          </cell>
          <cell r="B50" t="str">
            <v>Y03564-OR+Y03565+Y03566</v>
          </cell>
          <cell r="C50" t="str">
            <v>Moto中性手机壳Egde (2021) 橙</v>
          </cell>
        </row>
        <row r="50">
          <cell r="E50" t="str">
            <v>B09HH4MC8R</v>
          </cell>
          <cell r="F50">
            <v>29</v>
          </cell>
          <cell r="G50">
            <v>0</v>
          </cell>
          <cell r="H50">
            <v>3</v>
          </cell>
          <cell r="I50">
            <v>0</v>
          </cell>
          <cell r="J50">
            <v>0</v>
          </cell>
          <cell r="K50">
            <v>32</v>
          </cell>
          <cell r="L50">
            <v>13.9</v>
          </cell>
          <cell r="M50">
            <v>444.8</v>
          </cell>
          <cell r="N50">
            <v>6</v>
          </cell>
          <cell r="O50">
            <v>6</v>
          </cell>
          <cell r="P50">
            <v>11</v>
          </cell>
          <cell r="Q50">
            <v>3</v>
          </cell>
          <cell r="R50">
            <v>3</v>
          </cell>
          <cell r="S50">
            <v>59.1202346041056</v>
          </cell>
          <cell r="T50">
            <v>1.97067448680352</v>
          </cell>
          <cell r="U50">
            <v>3.17441860465116</v>
          </cell>
          <cell r="V50">
            <v>-1.20374411784764</v>
          </cell>
          <cell r="W50" t="str">
            <v>正常</v>
          </cell>
          <cell r="X50" t="str">
            <v>库存过高</v>
          </cell>
          <cell r="Y50">
            <v>0</v>
          </cell>
          <cell r="Z50">
            <v>0</v>
          </cell>
          <cell r="AA50">
            <v>0</v>
          </cell>
          <cell r="AB50" t="str">
            <v>-</v>
          </cell>
        </row>
        <row r="51">
          <cell r="A51" t="str">
            <v>欣彤</v>
          </cell>
          <cell r="B51" t="str">
            <v>Y03652-BL+Y03653+Y03654</v>
          </cell>
          <cell r="C51" t="str">
            <v>Moto中性手机壳G PURE 2021 黑</v>
          </cell>
        </row>
        <row r="51">
          <cell r="E51" t="str">
            <v>B09MHS412L</v>
          </cell>
          <cell r="F51">
            <v>116</v>
          </cell>
          <cell r="G51">
            <v>1</v>
          </cell>
          <cell r="H51">
            <v>19</v>
          </cell>
          <cell r="I51">
            <v>0</v>
          </cell>
          <cell r="J51">
            <v>1</v>
          </cell>
          <cell r="K51">
            <v>137</v>
          </cell>
          <cell r="L51">
            <v>13.9</v>
          </cell>
          <cell r="M51">
            <v>1904.3</v>
          </cell>
          <cell r="N51">
            <v>41</v>
          </cell>
          <cell r="O51">
            <v>80</v>
          </cell>
          <cell r="P51">
            <v>174</v>
          </cell>
          <cell r="Q51">
            <v>61</v>
          </cell>
          <cell r="R51">
            <v>-20</v>
          </cell>
          <cell r="S51">
            <v>24.1900224215247</v>
          </cell>
          <cell r="T51">
            <v>0.806334080717489</v>
          </cell>
          <cell r="U51">
            <v>1.61851672321861</v>
          </cell>
          <cell r="V51">
            <v>-0.812182642501121</v>
          </cell>
          <cell r="W51" t="str">
            <v>正常</v>
          </cell>
          <cell r="X51" t="str">
            <v>正常</v>
          </cell>
          <cell r="Y51">
            <v>25.14</v>
          </cell>
          <cell r="Z51">
            <v>46.94</v>
          </cell>
          <cell r="AA51">
            <v>111.3</v>
          </cell>
          <cell r="AB51">
            <v>0.0630565100704808</v>
          </cell>
        </row>
        <row r="52">
          <cell r="A52" t="str">
            <v>欣彤</v>
          </cell>
          <cell r="B52" t="str">
            <v>Y03652-DB+Y03653+Y03654</v>
          </cell>
          <cell r="C52" t="str">
            <v>Moto中性手机壳G PURE 2021 蓝</v>
          </cell>
        </row>
        <row r="52">
          <cell r="E52" t="str">
            <v>B09MHRWLB5</v>
          </cell>
          <cell r="F52">
            <v>64</v>
          </cell>
          <cell r="G52">
            <v>2</v>
          </cell>
          <cell r="H52">
            <v>0</v>
          </cell>
          <cell r="I52">
            <v>0</v>
          </cell>
          <cell r="J52">
            <v>0</v>
          </cell>
          <cell r="K52">
            <v>66</v>
          </cell>
          <cell r="L52">
            <v>13.9</v>
          </cell>
          <cell r="M52">
            <v>917.4</v>
          </cell>
          <cell r="N52">
            <v>13</v>
          </cell>
          <cell r="O52">
            <v>23</v>
          </cell>
          <cell r="P52">
            <v>44</v>
          </cell>
          <cell r="Q52">
            <v>9</v>
          </cell>
          <cell r="R52">
            <v>4</v>
          </cell>
          <cell r="S52">
            <v>40.7647058823529</v>
          </cell>
          <cell r="T52">
            <v>1.35882352941176</v>
          </cell>
          <cell r="U52">
            <v>2.70789473684211</v>
          </cell>
          <cell r="V52">
            <v>-1.34907120743035</v>
          </cell>
          <cell r="W52" t="str">
            <v>正常</v>
          </cell>
          <cell r="X52" t="str">
            <v>正常</v>
          </cell>
          <cell r="Y52">
            <v>0</v>
          </cell>
          <cell r="Z52">
            <v>0</v>
          </cell>
          <cell r="AA52">
            <v>0</v>
          </cell>
          <cell r="AB52" t="str">
            <v>-</v>
          </cell>
        </row>
        <row r="53">
          <cell r="A53" t="str">
            <v>欣彤</v>
          </cell>
          <cell r="B53" t="str">
            <v>Y03652-OR+Y03653+Y03654</v>
          </cell>
          <cell r="C53" t="str">
            <v>Moto中性手机壳G PURE 2021 橙</v>
          </cell>
        </row>
        <row r="53">
          <cell r="E53" t="str">
            <v>B09MHRVV79</v>
          </cell>
          <cell r="F53">
            <v>19</v>
          </cell>
          <cell r="G53">
            <v>0</v>
          </cell>
          <cell r="H53">
            <v>40</v>
          </cell>
          <cell r="I53">
            <v>1</v>
          </cell>
          <cell r="J53">
            <v>0</v>
          </cell>
          <cell r="K53">
            <v>60</v>
          </cell>
          <cell r="L53">
            <v>13.9</v>
          </cell>
          <cell r="M53">
            <v>834</v>
          </cell>
          <cell r="N53">
            <v>3</v>
          </cell>
          <cell r="O53">
            <v>6</v>
          </cell>
          <cell r="P53">
            <v>11</v>
          </cell>
          <cell r="Q53">
            <v>2</v>
          </cell>
          <cell r="R53">
            <v>1</v>
          </cell>
          <cell r="S53">
            <v>150.597609561753</v>
          </cell>
          <cell r="T53">
            <v>5.0199203187251</v>
          </cell>
          <cell r="U53">
            <v>2.64953271028037</v>
          </cell>
          <cell r="V53">
            <v>2.37038760844473</v>
          </cell>
          <cell r="W53" t="str">
            <v>库存过高</v>
          </cell>
          <cell r="X53" t="str">
            <v>库存过高</v>
          </cell>
          <cell r="Y53">
            <v>0</v>
          </cell>
          <cell r="Z53">
            <v>0</v>
          </cell>
          <cell r="AA53">
            <v>0</v>
          </cell>
          <cell r="AB53" t="str">
            <v>-</v>
          </cell>
        </row>
        <row r="54">
          <cell r="A54" t="str">
            <v>欣彤</v>
          </cell>
          <cell r="B54" t="str">
            <v>Y3006-NB+Y3008</v>
          </cell>
          <cell r="C54" t="str">
            <v>三防机器人手机壳带背夹S22 蓝</v>
          </cell>
        </row>
        <row r="54">
          <cell r="E54" t="str">
            <v>B09T2T9QCT</v>
          </cell>
          <cell r="F54">
            <v>0</v>
          </cell>
          <cell r="G54">
            <v>1</v>
          </cell>
          <cell r="H54">
            <v>0</v>
          </cell>
          <cell r="I54">
            <v>0</v>
          </cell>
          <cell r="J54">
            <v>0</v>
          </cell>
          <cell r="K54">
            <v>1</v>
          </cell>
          <cell r="L54">
            <v>13.7</v>
          </cell>
          <cell r="M54">
            <v>13.7</v>
          </cell>
          <cell r="N54">
            <v>0</v>
          </cell>
          <cell r="O54">
            <v>0</v>
          </cell>
          <cell r="P54">
            <v>0</v>
          </cell>
          <cell r="Q54">
            <v>0</v>
          </cell>
          <cell r="R54">
            <v>0</v>
          </cell>
          <cell r="S54" t="str">
            <v>-</v>
          </cell>
          <cell r="T54" t="str">
            <v>-</v>
          </cell>
          <cell r="U54" t="str">
            <v>-</v>
          </cell>
          <cell r="V54" t="str">
            <v>-</v>
          </cell>
          <cell r="W54" t="str">
            <v>有库存无销量</v>
          </cell>
          <cell r="X54" t="str">
            <v>有库存无销量</v>
          </cell>
          <cell r="Y54">
            <v>0</v>
          </cell>
          <cell r="Z54">
            <v>0</v>
          </cell>
          <cell r="AA54">
            <v>0</v>
          </cell>
          <cell r="AB54" t="str">
            <v>-</v>
          </cell>
        </row>
        <row r="55">
          <cell r="A55" t="str">
            <v>欣彤</v>
          </cell>
          <cell r="B55" t="str">
            <v>Y3007-OR+Y3009</v>
          </cell>
          <cell r="C55" t="str">
            <v>三防机器人手机壳带背夹S22 Plus 橙</v>
          </cell>
        </row>
        <row r="55">
          <cell r="E55" t="str">
            <v>B09T2KMQY3</v>
          </cell>
          <cell r="F55">
            <v>3</v>
          </cell>
          <cell r="G55">
            <v>0</v>
          </cell>
          <cell r="H55">
            <v>0</v>
          </cell>
          <cell r="I55">
            <v>0</v>
          </cell>
          <cell r="J55">
            <v>0</v>
          </cell>
          <cell r="K55">
            <v>3</v>
          </cell>
          <cell r="L55">
            <v>13.7</v>
          </cell>
          <cell r="M55">
            <v>41.1</v>
          </cell>
          <cell r="N55">
            <v>1</v>
          </cell>
          <cell r="O55">
            <v>3</v>
          </cell>
          <cell r="P55">
            <v>6</v>
          </cell>
          <cell r="Q55">
            <v>2</v>
          </cell>
          <cell r="R55">
            <v>-1</v>
          </cell>
          <cell r="S55">
            <v>16.5789473684211</v>
          </cell>
          <cell r="T55">
            <v>0.552631578947368</v>
          </cell>
          <cell r="U55">
            <v>1.44827586206897</v>
          </cell>
          <cell r="V55">
            <v>-0.895644283121602</v>
          </cell>
          <cell r="W55" t="str">
            <v>正常</v>
          </cell>
          <cell r="X55" t="str">
            <v>正常</v>
          </cell>
          <cell r="Y55">
            <v>0</v>
          </cell>
          <cell r="Z55">
            <v>0</v>
          </cell>
          <cell r="AA55">
            <v>0</v>
          </cell>
          <cell r="AB55" t="str">
            <v>-</v>
          </cell>
        </row>
        <row r="56">
          <cell r="A56" t="str">
            <v>欣彤</v>
          </cell>
          <cell r="B56" t="str">
            <v>Y3007-TG+Y3009</v>
          </cell>
          <cell r="C56" t="str">
            <v>三防机器人手机壳带背夹S22 Plus 蓝绿+浅绿</v>
          </cell>
        </row>
        <row r="56">
          <cell r="E56" t="str">
            <v>B09T2LCZ9H</v>
          </cell>
          <cell r="F56">
            <v>5</v>
          </cell>
          <cell r="G56">
            <v>0</v>
          </cell>
          <cell r="H56">
            <v>0</v>
          </cell>
          <cell r="I56">
            <v>0</v>
          </cell>
          <cell r="J56">
            <v>0</v>
          </cell>
          <cell r="K56">
            <v>5</v>
          </cell>
          <cell r="L56">
            <v>13.7</v>
          </cell>
          <cell r="M56">
            <v>68.5</v>
          </cell>
          <cell r="N56">
            <v>1</v>
          </cell>
          <cell r="O56">
            <v>1</v>
          </cell>
          <cell r="P56">
            <v>1</v>
          </cell>
          <cell r="Q56">
            <v>0</v>
          </cell>
          <cell r="R56">
            <v>1</v>
          </cell>
          <cell r="S56">
            <v>61.7647058823529</v>
          </cell>
          <cell r="T56">
            <v>2.05882352941176</v>
          </cell>
          <cell r="U56">
            <v>4.5</v>
          </cell>
          <cell r="V56">
            <v>-2.44117647058823</v>
          </cell>
          <cell r="W56" t="str">
            <v>正常</v>
          </cell>
          <cell r="X56" t="str">
            <v>库存过高</v>
          </cell>
          <cell r="Y56">
            <v>0</v>
          </cell>
          <cell r="Z56">
            <v>0</v>
          </cell>
          <cell r="AA56">
            <v>0</v>
          </cell>
          <cell r="AB56" t="str">
            <v>-</v>
          </cell>
        </row>
        <row r="57">
          <cell r="A57" t="str">
            <v>欣彤</v>
          </cell>
          <cell r="B57" t="str">
            <v>Y3013-BL+Y3014</v>
          </cell>
          <cell r="C57" t="str">
            <v>三防机器人手机壳带背夹A03S美版 黑</v>
          </cell>
        </row>
        <row r="57">
          <cell r="E57" t="str">
            <v>B09V278J16</v>
          </cell>
          <cell r="F57">
            <v>118</v>
          </cell>
          <cell r="G57">
            <v>9</v>
          </cell>
          <cell r="H57">
            <v>247</v>
          </cell>
          <cell r="I57">
            <v>89</v>
          </cell>
          <cell r="J57">
            <v>0</v>
          </cell>
          <cell r="K57">
            <v>463</v>
          </cell>
          <cell r="L57">
            <v>13.7</v>
          </cell>
          <cell r="M57">
            <v>6343.1</v>
          </cell>
          <cell r="N57">
            <v>66</v>
          </cell>
          <cell r="O57">
            <v>143</v>
          </cell>
          <cell r="P57">
            <v>357</v>
          </cell>
          <cell r="Q57">
            <v>83</v>
          </cell>
          <cell r="R57">
            <v>-17</v>
          </cell>
          <cell r="S57">
            <v>45.0069433729363</v>
          </cell>
          <cell r="T57">
            <v>1.50023144576454</v>
          </cell>
          <cell r="U57">
            <v>1.02999485066941</v>
          </cell>
          <cell r="V57">
            <v>0.470236595095132</v>
          </cell>
          <cell r="W57" t="str">
            <v>库存过高</v>
          </cell>
          <cell r="X57" t="str">
            <v>库存过高</v>
          </cell>
          <cell r="Y57">
            <v>48.83</v>
          </cell>
          <cell r="Z57">
            <v>86.26</v>
          </cell>
          <cell r="AA57">
            <v>209.56</v>
          </cell>
          <cell r="AB57">
            <v>0.238649137383315</v>
          </cell>
        </row>
        <row r="58">
          <cell r="A58" t="str">
            <v>欣彤</v>
          </cell>
          <cell r="B58" t="str">
            <v>Y3013-DG+Y3014</v>
          </cell>
          <cell r="C58" t="str">
            <v>三防机器人手机壳带背夹A03S美版 深灰+柠檬黄</v>
          </cell>
        </row>
        <row r="58">
          <cell r="E58" t="str">
            <v>B09V289STH</v>
          </cell>
          <cell r="F58">
            <v>61</v>
          </cell>
          <cell r="G58">
            <v>0</v>
          </cell>
          <cell r="H58">
            <v>0</v>
          </cell>
          <cell r="I58">
            <v>2</v>
          </cell>
          <cell r="J58">
            <v>19</v>
          </cell>
          <cell r="K58">
            <v>82</v>
          </cell>
          <cell r="L58">
            <v>13.7</v>
          </cell>
          <cell r="M58">
            <v>1123.4</v>
          </cell>
          <cell r="N58">
            <v>8</v>
          </cell>
          <cell r="O58">
            <v>17</v>
          </cell>
          <cell r="P58">
            <v>35</v>
          </cell>
          <cell r="Q58">
            <v>9</v>
          </cell>
          <cell r="R58">
            <v>-1</v>
          </cell>
          <cell r="S58">
            <v>71.4522821576763</v>
          </cell>
          <cell r="T58">
            <v>2.38174273858921</v>
          </cell>
          <cell r="U58">
            <v>0.932391523713421</v>
          </cell>
          <cell r="V58">
            <v>1.44935121487579</v>
          </cell>
          <cell r="W58" t="str">
            <v>库存过高</v>
          </cell>
          <cell r="X58" t="str">
            <v>库存过高</v>
          </cell>
          <cell r="Y58">
            <v>0</v>
          </cell>
          <cell r="Z58">
            <v>0</v>
          </cell>
          <cell r="AA58">
            <v>0</v>
          </cell>
          <cell r="AB58" t="str">
            <v>-</v>
          </cell>
        </row>
        <row r="59">
          <cell r="A59" t="str">
            <v>欣彤</v>
          </cell>
          <cell r="B59" t="str">
            <v>Y3013-NB+Y3014</v>
          </cell>
          <cell r="C59" t="str">
            <v>三防机器人手机壳带背夹A03S美版 蓝</v>
          </cell>
        </row>
        <row r="59">
          <cell r="E59" t="str">
            <v>B09V27JQ4S</v>
          </cell>
          <cell r="F59">
            <v>0</v>
          </cell>
          <cell r="G59">
            <v>0</v>
          </cell>
          <cell r="H59">
            <v>255</v>
          </cell>
          <cell r="I59">
            <v>1</v>
          </cell>
          <cell r="J59">
            <v>0</v>
          </cell>
          <cell r="K59">
            <v>256</v>
          </cell>
          <cell r="L59">
            <v>13.7</v>
          </cell>
          <cell r="M59">
            <v>3507.2</v>
          </cell>
          <cell r="N59">
            <v>7</v>
          </cell>
          <cell r="O59">
            <v>17</v>
          </cell>
          <cell r="P59">
            <v>52</v>
          </cell>
          <cell r="Q59">
            <v>23</v>
          </cell>
          <cell r="R59">
            <v>-16</v>
          </cell>
          <cell r="S59">
            <v>198.620689655172</v>
          </cell>
          <cell r="T59">
            <v>6.62068965517241</v>
          </cell>
          <cell r="U59">
            <v>0.202996616723055</v>
          </cell>
          <cell r="V59">
            <v>6.41769303844936</v>
          </cell>
          <cell r="W59" t="str">
            <v>库存过高</v>
          </cell>
          <cell r="X59" t="str">
            <v>库存过高</v>
          </cell>
          <cell r="Y59">
            <v>0</v>
          </cell>
          <cell r="Z59">
            <v>0</v>
          </cell>
          <cell r="AA59">
            <v>0</v>
          </cell>
          <cell r="AB59" t="str">
            <v>-</v>
          </cell>
        </row>
        <row r="60">
          <cell r="A60" t="str">
            <v>欣彤</v>
          </cell>
          <cell r="B60" t="str">
            <v>Y3013-OR+Y3014</v>
          </cell>
          <cell r="C60" t="str">
            <v>三防机器人手机壳带背夹A03S美版 橙</v>
          </cell>
        </row>
        <row r="60">
          <cell r="E60" t="str">
            <v>B09V27VN42</v>
          </cell>
          <cell r="F60">
            <v>30</v>
          </cell>
          <cell r="G60">
            <v>1</v>
          </cell>
          <cell r="H60">
            <v>65</v>
          </cell>
          <cell r="I60">
            <v>37</v>
          </cell>
          <cell r="J60">
            <v>0</v>
          </cell>
          <cell r="K60">
            <v>133</v>
          </cell>
          <cell r="L60">
            <v>13.7</v>
          </cell>
          <cell r="M60">
            <v>1822.1</v>
          </cell>
          <cell r="N60">
            <v>6</v>
          </cell>
          <cell r="O60">
            <v>15</v>
          </cell>
          <cell r="P60">
            <v>32</v>
          </cell>
          <cell r="Q60">
            <v>6</v>
          </cell>
          <cell r="R60">
            <v>0</v>
          </cell>
          <cell r="S60">
            <v>136.465798045603</v>
          </cell>
          <cell r="T60">
            <v>4.54885993485342</v>
          </cell>
          <cell r="U60">
            <v>3.60566037735849</v>
          </cell>
          <cell r="V60">
            <v>0.94319955749493</v>
          </cell>
          <cell r="W60" t="str">
            <v>库存过高</v>
          </cell>
          <cell r="X60" t="str">
            <v>库存过高</v>
          </cell>
          <cell r="Y60">
            <v>0</v>
          </cell>
          <cell r="Z60">
            <v>0</v>
          </cell>
          <cell r="AA60">
            <v>0</v>
          </cell>
          <cell r="AB60" t="str">
            <v>-</v>
          </cell>
        </row>
        <row r="61">
          <cell r="A61" t="str">
            <v>欣彤</v>
          </cell>
          <cell r="B61" t="str">
            <v>Y3013-TG+Y3014</v>
          </cell>
          <cell r="C61" t="str">
            <v>三防机器人手机壳带背夹A03S美版 蓝绿+浅绿</v>
          </cell>
        </row>
        <row r="61">
          <cell r="E61" t="str">
            <v>B09V27L3BY</v>
          </cell>
          <cell r="F61">
            <v>31</v>
          </cell>
          <cell r="G61">
            <v>0</v>
          </cell>
          <cell r="H61">
            <v>2</v>
          </cell>
          <cell r="I61">
            <v>1</v>
          </cell>
          <cell r="J61">
            <v>24</v>
          </cell>
          <cell r="K61">
            <v>58</v>
          </cell>
          <cell r="L61">
            <v>13.7</v>
          </cell>
          <cell r="M61">
            <v>794.6</v>
          </cell>
          <cell r="N61">
            <v>11</v>
          </cell>
          <cell r="O61">
            <v>23</v>
          </cell>
          <cell r="P61">
            <v>42</v>
          </cell>
          <cell r="Q61">
            <v>12</v>
          </cell>
          <cell r="R61">
            <v>-1</v>
          </cell>
          <cell r="S61">
            <v>38.6257928118393</v>
          </cell>
          <cell r="T61">
            <v>1.28752642706131</v>
          </cell>
          <cell r="U61">
            <v>0.929425837320574</v>
          </cell>
          <cell r="V61">
            <v>0.358100589740737</v>
          </cell>
          <cell r="W61" t="str">
            <v>正常</v>
          </cell>
          <cell r="X61" t="str">
            <v>正常</v>
          </cell>
          <cell r="Y61">
            <v>0</v>
          </cell>
          <cell r="Z61">
            <v>0</v>
          </cell>
          <cell r="AA61">
            <v>0</v>
          </cell>
          <cell r="AB61" t="str">
            <v>-</v>
          </cell>
        </row>
        <row r="62">
          <cell r="A62" t="str">
            <v>欣彤</v>
          </cell>
          <cell r="B62" t="str">
            <v>Y3015-BL+Y3016+Y3017</v>
          </cell>
          <cell r="C62" t="str">
            <v>Moto中性手机壳G Stylus 2022 4G 黑</v>
          </cell>
        </row>
        <row r="62">
          <cell r="E62" t="str">
            <v>B09V2H6GTC</v>
          </cell>
          <cell r="F62">
            <v>110</v>
          </cell>
          <cell r="G62">
            <v>1</v>
          </cell>
          <cell r="H62">
            <v>1</v>
          </cell>
          <cell r="I62">
            <v>1</v>
          </cell>
          <cell r="J62">
            <v>0</v>
          </cell>
          <cell r="K62">
            <v>113</v>
          </cell>
          <cell r="L62">
            <v>13.9</v>
          </cell>
          <cell r="M62">
            <v>1570.7</v>
          </cell>
          <cell r="N62">
            <v>9</v>
          </cell>
          <cell r="O62">
            <v>23</v>
          </cell>
          <cell r="P62">
            <v>46</v>
          </cell>
          <cell r="Q62">
            <v>11</v>
          </cell>
          <cell r="R62">
            <v>-2</v>
          </cell>
          <cell r="S62">
            <v>77.8884026258206</v>
          </cell>
          <cell r="T62">
            <v>2.59628008752735</v>
          </cell>
          <cell r="U62">
            <v>3.15567567567568</v>
          </cell>
          <cell r="V62">
            <v>-0.559395588148328</v>
          </cell>
          <cell r="W62" t="str">
            <v>库存过高</v>
          </cell>
          <cell r="X62" t="str">
            <v>库存过高</v>
          </cell>
          <cell r="Y62">
            <v>18.58</v>
          </cell>
          <cell r="Z62">
            <v>41.78</v>
          </cell>
          <cell r="AA62">
            <v>78.65</v>
          </cell>
          <cell r="AB62">
            <v>0.244666842243877</v>
          </cell>
        </row>
        <row r="63">
          <cell r="A63" t="str">
            <v>欣彤</v>
          </cell>
          <cell r="B63" t="str">
            <v>Y3015-NB+Y3016+Y3017</v>
          </cell>
          <cell r="C63" t="str">
            <v>Moto中性手机壳G Stylus 2022 4G 蓝</v>
          </cell>
        </row>
        <row r="63">
          <cell r="E63" t="str">
            <v>B09V2GXNWZ</v>
          </cell>
          <cell r="F63">
            <v>39</v>
          </cell>
          <cell r="G63">
            <v>0</v>
          </cell>
          <cell r="H63">
            <v>1</v>
          </cell>
          <cell r="I63">
            <v>0</v>
          </cell>
          <cell r="J63">
            <v>0</v>
          </cell>
          <cell r="K63">
            <v>40</v>
          </cell>
          <cell r="L63">
            <v>13.9</v>
          </cell>
          <cell r="M63">
            <v>556</v>
          </cell>
          <cell r="N63">
            <v>2</v>
          </cell>
          <cell r="O63">
            <v>6</v>
          </cell>
          <cell r="P63">
            <v>9</v>
          </cell>
          <cell r="Q63">
            <v>0</v>
          </cell>
          <cell r="R63">
            <v>2</v>
          </cell>
          <cell r="S63">
            <v>121.739130434783</v>
          </cell>
          <cell r="T63">
            <v>4.05797101449275</v>
          </cell>
          <cell r="U63">
            <v>24.5</v>
          </cell>
          <cell r="V63">
            <v>-20.4420289855072</v>
          </cell>
          <cell r="W63" t="str">
            <v>库存过高</v>
          </cell>
          <cell r="X63" t="str">
            <v>库存过高</v>
          </cell>
          <cell r="Y63">
            <v>0</v>
          </cell>
          <cell r="Z63">
            <v>0</v>
          </cell>
          <cell r="AA63">
            <v>0</v>
          </cell>
          <cell r="AB63" t="str">
            <v>-</v>
          </cell>
        </row>
        <row r="64">
          <cell r="A64" t="str">
            <v>欣彤</v>
          </cell>
          <cell r="B64" t="str">
            <v>Y3015-OR+Y3016+Y3017</v>
          </cell>
          <cell r="C64" t="str">
            <v>Moto中性手机壳G Stylus 2022 4G 橙</v>
          </cell>
        </row>
        <row r="64">
          <cell r="E64" t="str">
            <v>B09V2GY7PT</v>
          </cell>
          <cell r="F64">
            <v>25</v>
          </cell>
          <cell r="G64">
            <v>1</v>
          </cell>
          <cell r="H64">
            <v>0</v>
          </cell>
          <cell r="I64">
            <v>0</v>
          </cell>
          <cell r="J64">
            <v>0</v>
          </cell>
          <cell r="K64">
            <v>26</v>
          </cell>
          <cell r="L64">
            <v>13.9</v>
          </cell>
          <cell r="M64">
            <v>361.4</v>
          </cell>
          <cell r="N64">
            <v>3</v>
          </cell>
          <cell r="O64">
            <v>3</v>
          </cell>
          <cell r="P64">
            <v>7</v>
          </cell>
          <cell r="Q64">
            <v>0</v>
          </cell>
          <cell r="R64">
            <v>3</v>
          </cell>
          <cell r="S64">
            <v>90.4972375690608</v>
          </cell>
          <cell r="T64">
            <v>3.01657458563536</v>
          </cell>
          <cell r="U64">
            <v>8</v>
          </cell>
          <cell r="V64">
            <v>-4.98342541436464</v>
          </cell>
          <cell r="W64" t="str">
            <v>库存过高</v>
          </cell>
          <cell r="X64" t="str">
            <v>库存过高</v>
          </cell>
          <cell r="Y64">
            <v>0</v>
          </cell>
          <cell r="Z64">
            <v>0</v>
          </cell>
          <cell r="AA64">
            <v>0</v>
          </cell>
          <cell r="AB64" t="str">
            <v>-</v>
          </cell>
        </row>
        <row r="65">
          <cell r="A65" t="str">
            <v>欣彤</v>
          </cell>
          <cell r="B65" t="str">
            <v>Y3018-BL+Y3019</v>
          </cell>
          <cell r="C65" t="str">
            <v>三防机器人手机壳带背夹A53 5G 黑</v>
          </cell>
        </row>
        <row r="65">
          <cell r="E65" t="str">
            <v>B09WZYBG5Y</v>
          </cell>
          <cell r="F65">
            <v>33</v>
          </cell>
          <cell r="G65">
            <v>1</v>
          </cell>
          <cell r="H65">
            <v>21</v>
          </cell>
          <cell r="I65">
            <v>0</v>
          </cell>
          <cell r="J65">
            <v>8</v>
          </cell>
          <cell r="K65">
            <v>63</v>
          </cell>
          <cell r="L65">
            <v>13.7</v>
          </cell>
          <cell r="M65">
            <v>863.1</v>
          </cell>
          <cell r="N65">
            <v>10</v>
          </cell>
          <cell r="O65">
            <v>18</v>
          </cell>
          <cell r="P65">
            <v>48</v>
          </cell>
          <cell r="Q65">
            <v>15</v>
          </cell>
          <cell r="R65">
            <v>-5</v>
          </cell>
          <cell r="S65">
            <v>44.6959459459459</v>
          </cell>
          <cell r="T65">
            <v>1.48986486486486</v>
          </cell>
          <cell r="U65">
            <v>0.762621789193977</v>
          </cell>
          <cell r="V65">
            <v>0.727243075670888</v>
          </cell>
          <cell r="W65" t="str">
            <v>正常</v>
          </cell>
          <cell r="X65" t="str">
            <v>正常</v>
          </cell>
          <cell r="Y65">
            <v>18.42</v>
          </cell>
          <cell r="Z65">
            <v>30.4</v>
          </cell>
          <cell r="AA65">
            <v>60.04</v>
          </cell>
          <cell r="AB65">
            <v>0.161862917398946</v>
          </cell>
        </row>
        <row r="66">
          <cell r="A66" t="str">
            <v>欣彤</v>
          </cell>
          <cell r="B66" t="str">
            <v>Y3018-DG+Y3019</v>
          </cell>
          <cell r="C66" t="str">
            <v>三防机器人手机壳带背夹A53 5G 深灰+柠檬黄</v>
          </cell>
        </row>
        <row r="66">
          <cell r="E66" t="str">
            <v>B09WZXRLPX</v>
          </cell>
          <cell r="F66">
            <v>3</v>
          </cell>
          <cell r="G66">
            <v>0</v>
          </cell>
          <cell r="H66">
            <v>10</v>
          </cell>
          <cell r="I66">
            <v>0</v>
          </cell>
          <cell r="J66">
            <v>0</v>
          </cell>
          <cell r="K66">
            <v>13</v>
          </cell>
          <cell r="L66">
            <v>13.7</v>
          </cell>
          <cell r="M66">
            <v>178.1</v>
          </cell>
          <cell r="N66">
            <v>1</v>
          </cell>
          <cell r="O66">
            <v>2</v>
          </cell>
          <cell r="P66">
            <v>8</v>
          </cell>
          <cell r="Q66">
            <v>2</v>
          </cell>
          <cell r="R66">
            <v>-1</v>
          </cell>
          <cell r="S66">
            <v>71.8421052631579</v>
          </cell>
          <cell r="T66">
            <v>2.39473684210526</v>
          </cell>
          <cell r="U66">
            <v>1.05586592178771</v>
          </cell>
          <cell r="V66">
            <v>1.33887092031755</v>
          </cell>
          <cell r="W66" t="str">
            <v>库存过高</v>
          </cell>
          <cell r="X66" t="str">
            <v>库存过高</v>
          </cell>
          <cell r="Y66">
            <v>0</v>
          </cell>
          <cell r="Z66">
            <v>0</v>
          </cell>
          <cell r="AA66">
            <v>0</v>
          </cell>
          <cell r="AB66" t="str">
            <v>-</v>
          </cell>
        </row>
        <row r="67">
          <cell r="A67" t="str">
            <v>欣彤</v>
          </cell>
          <cell r="B67" t="str">
            <v>Y3018-NB+Y3019</v>
          </cell>
          <cell r="C67" t="str">
            <v>三防机器人手机壳带背夹A53 5G 蓝</v>
          </cell>
        </row>
        <row r="67">
          <cell r="E67" t="str">
            <v>B09WZYJWPY</v>
          </cell>
          <cell r="F67">
            <v>26</v>
          </cell>
          <cell r="G67">
            <v>0</v>
          </cell>
          <cell r="H67">
            <v>0</v>
          </cell>
          <cell r="I67">
            <v>0</v>
          </cell>
          <cell r="J67">
            <v>0</v>
          </cell>
          <cell r="K67">
            <v>26</v>
          </cell>
          <cell r="L67">
            <v>13.7</v>
          </cell>
          <cell r="M67">
            <v>356.2</v>
          </cell>
          <cell r="N67">
            <v>1</v>
          </cell>
          <cell r="O67">
            <v>1</v>
          </cell>
          <cell r="P67">
            <v>4</v>
          </cell>
          <cell r="Q67">
            <v>3</v>
          </cell>
          <cell r="R67">
            <v>-2</v>
          </cell>
          <cell r="S67">
            <v>227.5</v>
          </cell>
          <cell r="T67">
            <v>7.58333333333333</v>
          </cell>
          <cell r="U67">
            <v>2.00682593856655</v>
          </cell>
          <cell r="V67">
            <v>5.57650739476678</v>
          </cell>
          <cell r="W67" t="str">
            <v>库存过高</v>
          </cell>
          <cell r="X67" t="str">
            <v>库存过高</v>
          </cell>
          <cell r="Y67">
            <v>0</v>
          </cell>
          <cell r="Z67">
            <v>0</v>
          </cell>
          <cell r="AA67">
            <v>0</v>
          </cell>
          <cell r="AB67" t="str">
            <v>-</v>
          </cell>
        </row>
        <row r="68">
          <cell r="A68" t="str">
            <v>欣彤</v>
          </cell>
          <cell r="B68" t="str">
            <v>Y3018-OR+Y3019</v>
          </cell>
          <cell r="C68" t="str">
            <v>三防机器人手机壳带背夹A53 5G 橙</v>
          </cell>
        </row>
        <row r="68">
          <cell r="E68" t="str">
            <v>B09WZZM9VS</v>
          </cell>
          <cell r="F68">
            <v>6</v>
          </cell>
          <cell r="G68">
            <v>0</v>
          </cell>
          <cell r="H68">
            <v>0</v>
          </cell>
          <cell r="I68">
            <v>0</v>
          </cell>
          <cell r="J68">
            <v>0</v>
          </cell>
          <cell r="K68">
            <v>6</v>
          </cell>
          <cell r="L68">
            <v>13.7</v>
          </cell>
          <cell r="M68">
            <v>82.2</v>
          </cell>
          <cell r="N68">
            <v>0</v>
          </cell>
          <cell r="O68">
            <v>1</v>
          </cell>
          <cell r="P68">
            <v>6</v>
          </cell>
          <cell r="Q68">
            <v>2</v>
          </cell>
          <cell r="R68">
            <v>-2</v>
          </cell>
          <cell r="S68">
            <v>67.5</v>
          </cell>
          <cell r="T68">
            <v>2.25</v>
          </cell>
          <cell r="U68">
            <v>1.27272727272727</v>
          </cell>
          <cell r="V68">
            <v>0.97727272727273</v>
          </cell>
          <cell r="W68" t="str">
            <v>有库存无销量</v>
          </cell>
          <cell r="X68" t="str">
            <v>库存过高</v>
          </cell>
          <cell r="Y68">
            <v>0</v>
          </cell>
          <cell r="Z68">
            <v>0</v>
          </cell>
          <cell r="AA68">
            <v>0</v>
          </cell>
          <cell r="AB68" t="str">
            <v>-</v>
          </cell>
        </row>
        <row r="69">
          <cell r="A69" t="str">
            <v>欣彤</v>
          </cell>
          <cell r="B69" t="str">
            <v>Y3018-TG+Y3019</v>
          </cell>
          <cell r="C69" t="str">
            <v>三防机器人手机壳带背夹A53 5G 蓝绿+浅绿</v>
          </cell>
        </row>
        <row r="69">
          <cell r="E69" t="str">
            <v>B09WZZ1LM2</v>
          </cell>
          <cell r="F69">
            <v>18</v>
          </cell>
          <cell r="G69">
            <v>0</v>
          </cell>
          <cell r="H69">
            <v>0</v>
          </cell>
          <cell r="I69">
            <v>0</v>
          </cell>
          <cell r="J69">
            <v>0</v>
          </cell>
          <cell r="K69">
            <v>18</v>
          </cell>
          <cell r="L69">
            <v>13.7</v>
          </cell>
          <cell r="M69">
            <v>246.6</v>
          </cell>
          <cell r="N69">
            <v>2</v>
          </cell>
          <cell r="O69">
            <v>2</v>
          </cell>
          <cell r="P69">
            <v>4</v>
          </cell>
          <cell r="Q69">
            <v>2</v>
          </cell>
          <cell r="R69">
            <v>0</v>
          </cell>
          <cell r="S69">
            <v>97.7586206896552</v>
          </cell>
          <cell r="T69">
            <v>3.25862068965517</v>
          </cell>
          <cell r="U69">
            <v>3.0625</v>
          </cell>
          <cell r="V69">
            <v>0.196120689655173</v>
          </cell>
          <cell r="W69" t="str">
            <v>库存过高</v>
          </cell>
          <cell r="X69" t="str">
            <v>库存过高</v>
          </cell>
          <cell r="Y69">
            <v>0</v>
          </cell>
          <cell r="Z69">
            <v>0</v>
          </cell>
          <cell r="AA69">
            <v>0</v>
          </cell>
          <cell r="AB69" t="str">
            <v>-</v>
          </cell>
        </row>
        <row r="70">
          <cell r="A70" t="str">
            <v>欣彤</v>
          </cell>
          <cell r="B70" t="str">
            <v>Y03507-DN+Y03508+Y03509</v>
          </cell>
          <cell r="C70" t="str">
            <v>Moto中性手机壳 G Stylus 5G 暗绿+绿</v>
          </cell>
          <cell r="D70">
            <v>44840</v>
          </cell>
          <cell r="E70" t="str">
            <v>B09X331PFB</v>
          </cell>
          <cell r="F70">
            <v>21</v>
          </cell>
          <cell r="G70">
            <v>0</v>
          </cell>
          <cell r="H70">
            <v>8</v>
          </cell>
          <cell r="I70">
            <v>4</v>
          </cell>
          <cell r="J70">
            <v>0</v>
          </cell>
          <cell r="K70">
            <v>33</v>
          </cell>
          <cell r="L70">
            <v>13.9</v>
          </cell>
          <cell r="M70">
            <v>458.7</v>
          </cell>
          <cell r="N70">
            <v>2</v>
          </cell>
          <cell r="O70">
            <v>2</v>
          </cell>
          <cell r="P70">
            <v>4</v>
          </cell>
          <cell r="Q70">
            <v>1</v>
          </cell>
          <cell r="R70">
            <v>1</v>
          </cell>
          <cell r="S70">
            <v>179.224137931035</v>
          </cell>
          <cell r="T70">
            <v>5.97413793103448</v>
          </cell>
          <cell r="U70">
            <v>0</v>
          </cell>
          <cell r="V70">
            <v>5.97413793103448</v>
          </cell>
          <cell r="W70" t="str">
            <v>库存过高</v>
          </cell>
          <cell r="X70" t="str">
            <v>库存过高</v>
          </cell>
          <cell r="Y70">
            <v>0</v>
          </cell>
          <cell r="Z70">
            <v>0</v>
          </cell>
          <cell r="AA70">
            <v>0</v>
          </cell>
          <cell r="AB70" t="str">
            <v>-</v>
          </cell>
        </row>
        <row r="71">
          <cell r="A71" t="str">
            <v>欣彤</v>
          </cell>
          <cell r="B71" t="str">
            <v>Y03742-BL+Y03743</v>
          </cell>
          <cell r="C71" t="str">
            <v>三防机器人手机壳带背夹A13 5G 黑</v>
          </cell>
        </row>
        <row r="71">
          <cell r="E71" t="str">
            <v>B09Y19ZRB9</v>
          </cell>
          <cell r="F71">
            <v>65</v>
          </cell>
          <cell r="G71">
            <v>3</v>
          </cell>
          <cell r="H71">
            <v>115</v>
          </cell>
          <cell r="I71">
            <v>1</v>
          </cell>
          <cell r="J71">
            <v>1</v>
          </cell>
          <cell r="K71">
            <v>185</v>
          </cell>
          <cell r="L71">
            <v>13.727</v>
          </cell>
          <cell r="M71">
            <v>2539.495</v>
          </cell>
          <cell r="N71">
            <v>18</v>
          </cell>
          <cell r="O71">
            <v>28</v>
          </cell>
          <cell r="P71">
            <v>72</v>
          </cell>
          <cell r="Q71">
            <v>27</v>
          </cell>
          <cell r="R71">
            <v>-9</v>
          </cell>
          <cell r="S71">
            <v>81.1629526462395</v>
          </cell>
          <cell r="T71">
            <v>2.70543175487465</v>
          </cell>
          <cell r="U71">
            <v>0.636651583710407</v>
          </cell>
          <cell r="V71">
            <v>2.06878017116424</v>
          </cell>
          <cell r="W71" t="str">
            <v>库存过高</v>
          </cell>
          <cell r="X71" t="str">
            <v>库存过高</v>
          </cell>
          <cell r="Y71">
            <v>36.86</v>
          </cell>
          <cell r="Z71">
            <v>75.54</v>
          </cell>
          <cell r="AA71">
            <v>153.69</v>
          </cell>
          <cell r="AB71">
            <v>0.312637828668363</v>
          </cell>
        </row>
        <row r="72">
          <cell r="A72" t="str">
            <v>欣彤</v>
          </cell>
          <cell r="B72" t="str">
            <v>Y03742-DG+Y03743</v>
          </cell>
          <cell r="C72" t="str">
            <v>三防机器人手机壳带背夹A13 5G 深灰+柠檬黄</v>
          </cell>
        </row>
        <row r="72">
          <cell r="E72" t="str">
            <v>B09Y1Q5PK6</v>
          </cell>
          <cell r="F72">
            <v>20</v>
          </cell>
          <cell r="G72">
            <v>0</v>
          </cell>
          <cell r="H72">
            <v>0</v>
          </cell>
          <cell r="I72">
            <v>0</v>
          </cell>
          <cell r="J72">
            <v>3</v>
          </cell>
          <cell r="K72">
            <v>23</v>
          </cell>
          <cell r="L72">
            <v>13.727</v>
          </cell>
          <cell r="M72">
            <v>315.721</v>
          </cell>
          <cell r="N72">
            <v>0</v>
          </cell>
          <cell r="O72">
            <v>3</v>
          </cell>
          <cell r="P72">
            <v>9</v>
          </cell>
          <cell r="Q72">
            <v>1</v>
          </cell>
          <cell r="R72">
            <v>-1</v>
          </cell>
          <cell r="S72">
            <v>138</v>
          </cell>
          <cell r="T72">
            <v>4.6</v>
          </cell>
          <cell r="U72">
            <v>4.06806282722513</v>
          </cell>
          <cell r="V72">
            <v>0.53193717277487</v>
          </cell>
          <cell r="W72" t="str">
            <v>有库存无销量</v>
          </cell>
          <cell r="X72" t="str">
            <v>库存过高</v>
          </cell>
          <cell r="Y72">
            <v>0</v>
          </cell>
          <cell r="Z72">
            <v>0</v>
          </cell>
          <cell r="AA72">
            <v>0</v>
          </cell>
          <cell r="AB72" t="str">
            <v>-</v>
          </cell>
        </row>
        <row r="73">
          <cell r="A73" t="str">
            <v>欣彤</v>
          </cell>
          <cell r="B73" t="str">
            <v>Y03742-NB+Y03743</v>
          </cell>
          <cell r="C73" t="str">
            <v>三防机器人手机壳带背夹A13 5G 蓝</v>
          </cell>
        </row>
        <row r="73">
          <cell r="E73" t="str">
            <v>B09Y1BSTNT</v>
          </cell>
          <cell r="F73">
            <v>38</v>
          </cell>
          <cell r="G73">
            <v>0</v>
          </cell>
          <cell r="H73">
            <v>0</v>
          </cell>
          <cell r="I73">
            <v>0</v>
          </cell>
          <cell r="J73">
            <v>0</v>
          </cell>
          <cell r="K73">
            <v>38</v>
          </cell>
          <cell r="L73">
            <v>13.727</v>
          </cell>
          <cell r="M73">
            <v>521.626</v>
          </cell>
          <cell r="N73">
            <v>8</v>
          </cell>
          <cell r="O73">
            <v>15</v>
          </cell>
          <cell r="P73">
            <v>26</v>
          </cell>
          <cell r="Q73">
            <v>6</v>
          </cell>
          <cell r="R73">
            <v>2</v>
          </cell>
          <cell r="S73">
            <v>37.879746835443</v>
          </cell>
          <cell r="T73">
            <v>1.2626582278481</v>
          </cell>
          <cell r="U73">
            <v>1.91231028667791</v>
          </cell>
          <cell r="V73">
            <v>-0.649652058829809</v>
          </cell>
          <cell r="W73" t="str">
            <v>正常</v>
          </cell>
          <cell r="X73" t="str">
            <v>正常</v>
          </cell>
          <cell r="Y73">
            <v>0</v>
          </cell>
          <cell r="Z73">
            <v>0</v>
          </cell>
          <cell r="AA73">
            <v>0</v>
          </cell>
          <cell r="AB73" t="str">
            <v>-</v>
          </cell>
        </row>
        <row r="74">
          <cell r="A74" t="str">
            <v>欣彤</v>
          </cell>
          <cell r="B74" t="str">
            <v>Y03742-OR+Y03743</v>
          </cell>
          <cell r="C74" t="str">
            <v>三防机器人手机壳带背夹A13 5G 橙</v>
          </cell>
        </row>
        <row r="74">
          <cell r="E74" t="str">
            <v>B09Y185WLW</v>
          </cell>
          <cell r="F74">
            <v>23</v>
          </cell>
          <cell r="G74">
            <v>0</v>
          </cell>
          <cell r="H74">
            <v>0</v>
          </cell>
          <cell r="I74">
            <v>0</v>
          </cell>
          <cell r="J74">
            <v>0</v>
          </cell>
          <cell r="K74">
            <v>23</v>
          </cell>
          <cell r="L74">
            <v>13.727</v>
          </cell>
          <cell r="M74">
            <v>315.721</v>
          </cell>
          <cell r="N74">
            <v>1</v>
          </cell>
          <cell r="O74">
            <v>1</v>
          </cell>
          <cell r="P74">
            <v>6</v>
          </cell>
          <cell r="Q74">
            <v>2</v>
          </cell>
          <cell r="R74">
            <v>-1</v>
          </cell>
          <cell r="S74">
            <v>168.488372093023</v>
          </cell>
          <cell r="T74">
            <v>5.61627906976744</v>
          </cell>
          <cell r="U74">
            <v>4.29197080291971</v>
          </cell>
          <cell r="V74">
            <v>1.32430826684773</v>
          </cell>
          <cell r="W74" t="str">
            <v>库存过高</v>
          </cell>
          <cell r="X74" t="str">
            <v>库存过高</v>
          </cell>
          <cell r="Y74">
            <v>0</v>
          </cell>
          <cell r="Z74">
            <v>0</v>
          </cell>
          <cell r="AA74">
            <v>0</v>
          </cell>
          <cell r="AB74" t="str">
            <v>-</v>
          </cell>
        </row>
        <row r="75">
          <cell r="A75" t="str">
            <v>欣彤</v>
          </cell>
          <cell r="B75" t="str">
            <v>Y03742-TG+Y03743</v>
          </cell>
          <cell r="C75" t="str">
            <v>三防机器人手机壳带背夹A13 5G 蓝绿+浅绿</v>
          </cell>
        </row>
        <row r="75">
          <cell r="E75" t="str">
            <v>B09Y1B9G8T</v>
          </cell>
          <cell r="F75">
            <v>7</v>
          </cell>
          <cell r="G75">
            <v>1</v>
          </cell>
          <cell r="H75">
            <v>15</v>
          </cell>
          <cell r="I75">
            <v>1</v>
          </cell>
          <cell r="J75">
            <v>0</v>
          </cell>
          <cell r="K75">
            <v>24</v>
          </cell>
          <cell r="L75">
            <v>13.727</v>
          </cell>
          <cell r="M75">
            <v>329.448</v>
          </cell>
          <cell r="N75">
            <v>2</v>
          </cell>
          <cell r="O75">
            <v>2</v>
          </cell>
          <cell r="P75">
            <v>6</v>
          </cell>
          <cell r="Q75">
            <v>2</v>
          </cell>
          <cell r="R75">
            <v>0</v>
          </cell>
          <cell r="S75">
            <v>116.307692307692</v>
          </cell>
          <cell r="T75">
            <v>3.87692307692308</v>
          </cell>
          <cell r="U75">
            <v>1.23529411764706</v>
          </cell>
          <cell r="V75">
            <v>2.64162895927602</v>
          </cell>
          <cell r="W75" t="str">
            <v>库存过高</v>
          </cell>
          <cell r="X75" t="str">
            <v>库存过高</v>
          </cell>
          <cell r="Y75">
            <v>0</v>
          </cell>
          <cell r="Z75">
            <v>0</v>
          </cell>
          <cell r="AA75">
            <v>0</v>
          </cell>
          <cell r="AB75" t="str">
            <v>-</v>
          </cell>
        </row>
        <row r="76">
          <cell r="A76" t="str">
            <v>欣彤</v>
          </cell>
          <cell r="B76" t="str">
            <v>Y03652-BY+Y03653+Y03654</v>
          </cell>
          <cell r="C76" t="str">
            <v>Moto中性手机壳G PURE 2021 黑+黄</v>
          </cell>
        </row>
        <row r="76">
          <cell r="E76" t="str">
            <v>B0B2QVCZ4W</v>
          </cell>
          <cell r="F76">
            <v>24</v>
          </cell>
          <cell r="G76">
            <v>0</v>
          </cell>
          <cell r="H76">
            <v>20</v>
          </cell>
          <cell r="I76">
            <v>0</v>
          </cell>
          <cell r="J76">
            <v>0</v>
          </cell>
          <cell r="K76">
            <v>44</v>
          </cell>
          <cell r="L76">
            <v>13.9</v>
          </cell>
          <cell r="M76">
            <v>611.6</v>
          </cell>
          <cell r="N76">
            <v>4</v>
          </cell>
          <cell r="O76">
            <v>9</v>
          </cell>
          <cell r="P76">
            <v>20</v>
          </cell>
          <cell r="Q76">
            <v>3</v>
          </cell>
          <cell r="R76">
            <v>1</v>
          </cell>
          <cell r="S76">
            <v>71.8134715025907</v>
          </cell>
          <cell r="T76">
            <v>2.39378238341969</v>
          </cell>
          <cell r="U76">
            <v>2.60828025477707</v>
          </cell>
          <cell r="V76">
            <v>-0.21449787135738</v>
          </cell>
          <cell r="W76" t="str">
            <v>库存过高</v>
          </cell>
          <cell r="X76" t="str">
            <v>库存过高</v>
          </cell>
          <cell r="Y76">
            <v>0</v>
          </cell>
          <cell r="Z76">
            <v>0</v>
          </cell>
          <cell r="AA76">
            <v>0</v>
          </cell>
          <cell r="AB76" t="str">
            <v>-</v>
          </cell>
        </row>
        <row r="77">
          <cell r="A77" t="str">
            <v>欣彤</v>
          </cell>
          <cell r="B77" t="str">
            <v>Y03652-GK+Y03653+Y03654</v>
          </cell>
          <cell r="C77" t="str">
            <v>Moto中性手机壳G PURE 2021果绿+黑</v>
          </cell>
        </row>
        <row r="77">
          <cell r="E77" t="str">
            <v>B0B2QTY69B</v>
          </cell>
          <cell r="F77">
            <v>12</v>
          </cell>
          <cell r="G77">
            <v>0</v>
          </cell>
          <cell r="H77">
            <v>0</v>
          </cell>
          <cell r="I77">
            <v>0</v>
          </cell>
          <cell r="J77">
            <v>0</v>
          </cell>
          <cell r="K77">
            <v>12</v>
          </cell>
          <cell r="L77">
            <v>13.9</v>
          </cell>
          <cell r="M77">
            <v>166.8</v>
          </cell>
          <cell r="N77">
            <v>4</v>
          </cell>
          <cell r="O77">
            <v>8</v>
          </cell>
          <cell r="P77">
            <v>14</v>
          </cell>
          <cell r="Q77">
            <v>6</v>
          </cell>
          <cell r="R77">
            <v>-2</v>
          </cell>
          <cell r="S77">
            <v>22.9090909090909</v>
          </cell>
          <cell r="T77">
            <v>0.763636363636364</v>
          </cell>
          <cell r="U77">
            <v>0.592941176470588</v>
          </cell>
          <cell r="V77">
            <v>0.170695187165776</v>
          </cell>
          <cell r="W77" t="str">
            <v>正常</v>
          </cell>
          <cell r="X77" t="str">
            <v>正常</v>
          </cell>
          <cell r="Y77">
            <v>0</v>
          </cell>
          <cell r="Z77">
            <v>0</v>
          </cell>
          <cell r="AA77">
            <v>0</v>
          </cell>
          <cell r="AB77" t="str">
            <v>-</v>
          </cell>
        </row>
        <row r="78">
          <cell r="A78" t="str">
            <v>欣彤</v>
          </cell>
          <cell r="B78" t="str">
            <v>Y3015-BY+Y3016+Y3017</v>
          </cell>
          <cell r="C78" t="str">
            <v>Moto中性手机壳 g stylus 2022 4G 黑+黄</v>
          </cell>
        </row>
        <row r="78">
          <cell r="E78" t="str">
            <v>B0B58731G6</v>
          </cell>
          <cell r="F78">
            <v>39</v>
          </cell>
          <cell r="G78">
            <v>0</v>
          </cell>
          <cell r="H78">
            <v>1</v>
          </cell>
          <cell r="I78">
            <v>0</v>
          </cell>
          <cell r="J78">
            <v>0</v>
          </cell>
          <cell r="K78">
            <v>40</v>
          </cell>
          <cell r="L78">
            <v>13.9</v>
          </cell>
          <cell r="M78">
            <v>556</v>
          </cell>
          <cell r="N78">
            <v>1</v>
          </cell>
          <cell r="O78">
            <v>3</v>
          </cell>
          <cell r="P78">
            <v>6</v>
          </cell>
          <cell r="Q78">
            <v>2</v>
          </cell>
          <cell r="R78">
            <v>-1</v>
          </cell>
          <cell r="S78">
            <v>221.052631578947</v>
          </cell>
          <cell r="T78">
            <v>7.36842105263158</v>
          </cell>
          <cell r="U78">
            <v>4.725</v>
          </cell>
          <cell r="V78">
            <v>2.64342105263158</v>
          </cell>
          <cell r="W78" t="str">
            <v>库存过高</v>
          </cell>
          <cell r="X78" t="str">
            <v>库存过高</v>
          </cell>
          <cell r="Y78">
            <v>0</v>
          </cell>
          <cell r="Z78">
            <v>0</v>
          </cell>
          <cell r="AA78">
            <v>0</v>
          </cell>
          <cell r="AB78" t="str">
            <v>-</v>
          </cell>
        </row>
        <row r="79">
          <cell r="A79" t="str">
            <v>欣彤</v>
          </cell>
          <cell r="B79" t="str">
            <v>Y3015-GK+Y3016+Y3017</v>
          </cell>
          <cell r="C79" t="str">
            <v>Moto中性手机壳 G Stylus  2022 4G 果绿+黑</v>
          </cell>
        </row>
        <row r="79">
          <cell r="E79" t="str">
            <v>B0B589R1T4</v>
          </cell>
          <cell r="F79">
            <v>16</v>
          </cell>
          <cell r="G79">
            <v>0</v>
          </cell>
          <cell r="H79">
            <v>1</v>
          </cell>
          <cell r="I79">
            <v>0</v>
          </cell>
          <cell r="J79">
            <v>0</v>
          </cell>
          <cell r="K79">
            <v>17</v>
          </cell>
          <cell r="L79">
            <v>13.9</v>
          </cell>
          <cell r="M79">
            <v>236.3</v>
          </cell>
          <cell r="N79">
            <v>1</v>
          </cell>
          <cell r="O79">
            <v>3</v>
          </cell>
          <cell r="P79">
            <v>4</v>
          </cell>
          <cell r="Q79">
            <v>0</v>
          </cell>
          <cell r="R79">
            <v>1</v>
          </cell>
          <cell r="S79">
            <v>107.1</v>
          </cell>
          <cell r="T79">
            <v>3.57</v>
          </cell>
          <cell r="U79">
            <v>63</v>
          </cell>
          <cell r="V79">
            <v>-59.43</v>
          </cell>
          <cell r="W79" t="str">
            <v>库存过高</v>
          </cell>
          <cell r="X79" t="str">
            <v>库存过高</v>
          </cell>
          <cell r="Y79">
            <v>0</v>
          </cell>
          <cell r="Z79">
            <v>0</v>
          </cell>
          <cell r="AA79">
            <v>0</v>
          </cell>
          <cell r="AB79" t="str">
            <v>-</v>
          </cell>
        </row>
        <row r="80">
          <cell r="A80" t="str">
            <v>欣彤</v>
          </cell>
          <cell r="B80" t="str">
            <v>Y3022-GK+Y3023+Y3024</v>
          </cell>
          <cell r="C80" t="str">
            <v>Moto中性手机壳Moto g stylus 5g 2022</v>
          </cell>
          <cell r="D80">
            <v>44798</v>
          </cell>
          <cell r="E80" t="str">
            <v>B0B6V94936</v>
          </cell>
          <cell r="F80">
            <v>18</v>
          </cell>
          <cell r="G80">
            <v>0</v>
          </cell>
          <cell r="H80">
            <v>1</v>
          </cell>
          <cell r="I80">
            <v>0</v>
          </cell>
          <cell r="J80">
            <v>0</v>
          </cell>
          <cell r="K80">
            <v>19</v>
          </cell>
          <cell r="L80">
            <v>13.9</v>
          </cell>
          <cell r="M80">
            <v>264.1</v>
          </cell>
          <cell r="N80">
            <v>3</v>
          </cell>
          <cell r="O80">
            <v>3</v>
          </cell>
          <cell r="P80">
            <v>4</v>
          </cell>
          <cell r="Q80">
            <v>0</v>
          </cell>
          <cell r="R80">
            <v>3</v>
          </cell>
          <cell r="S80">
            <v>74.8125</v>
          </cell>
          <cell r="T80">
            <v>2.49375</v>
          </cell>
          <cell r="U80" t="str">
            <v>-</v>
          </cell>
          <cell r="V80" t="str">
            <v>-</v>
          </cell>
          <cell r="W80" t="str">
            <v>正常</v>
          </cell>
          <cell r="X80" t="str">
            <v>库存过高</v>
          </cell>
          <cell r="Y80">
            <v>3.79</v>
          </cell>
          <cell r="Z80">
            <v>13.28</v>
          </cell>
          <cell r="AA80">
            <v>21.66</v>
          </cell>
          <cell r="AB80">
            <v>0.172429481346679</v>
          </cell>
        </row>
        <row r="81">
          <cell r="A81" t="str">
            <v>欣彤</v>
          </cell>
          <cell r="B81" t="str">
            <v>Y03564-BY+Y03565+Y03566</v>
          </cell>
          <cell r="C81" t="str">
            <v>Moto中性手机壳Motorola edge 2021 黑+黄</v>
          </cell>
          <cell r="D81">
            <v>44798</v>
          </cell>
          <cell r="E81" t="str">
            <v>B0B6V92FQD</v>
          </cell>
          <cell r="F81">
            <v>24</v>
          </cell>
          <cell r="G81">
            <v>0</v>
          </cell>
          <cell r="H81">
            <v>4</v>
          </cell>
          <cell r="I81">
            <v>0</v>
          </cell>
          <cell r="J81">
            <v>0</v>
          </cell>
          <cell r="K81">
            <v>28</v>
          </cell>
          <cell r="L81">
            <v>13.9</v>
          </cell>
          <cell r="M81">
            <v>389.2</v>
          </cell>
          <cell r="N81">
            <v>2</v>
          </cell>
          <cell r="O81">
            <v>4</v>
          </cell>
          <cell r="P81">
            <v>9</v>
          </cell>
          <cell r="Q81">
            <v>2</v>
          </cell>
          <cell r="R81">
            <v>0</v>
          </cell>
          <cell r="S81">
            <v>98.5474860335195</v>
          </cell>
          <cell r="T81">
            <v>3.28491620111732</v>
          </cell>
          <cell r="U81">
            <v>4.91772151898734</v>
          </cell>
          <cell r="V81">
            <v>-1.63280531787002</v>
          </cell>
          <cell r="W81" t="str">
            <v>库存过高</v>
          </cell>
          <cell r="X81" t="str">
            <v>库存过高</v>
          </cell>
          <cell r="Y81">
            <v>0</v>
          </cell>
          <cell r="Z81">
            <v>0</v>
          </cell>
          <cell r="AA81">
            <v>0</v>
          </cell>
          <cell r="AB81" t="str">
            <v>-</v>
          </cell>
        </row>
        <row r="82">
          <cell r="A82" t="str">
            <v>欣彤</v>
          </cell>
          <cell r="B82" t="str">
            <v>Y03564-GK+Y03565+Y03566</v>
          </cell>
          <cell r="C82" t="str">
            <v>Moto中性手机壳Motorola edge 2021 果绿+黑</v>
          </cell>
          <cell r="D82">
            <v>44798</v>
          </cell>
          <cell r="E82" t="str">
            <v>B0B6V75VF1</v>
          </cell>
          <cell r="F82">
            <v>8</v>
          </cell>
          <cell r="G82">
            <v>0</v>
          </cell>
          <cell r="H82">
            <v>15</v>
          </cell>
          <cell r="I82">
            <v>1</v>
          </cell>
          <cell r="J82">
            <v>0</v>
          </cell>
          <cell r="K82">
            <v>24</v>
          </cell>
          <cell r="L82">
            <v>13.9</v>
          </cell>
          <cell r="M82">
            <v>333.6</v>
          </cell>
          <cell r="N82">
            <v>1</v>
          </cell>
          <cell r="O82">
            <v>6</v>
          </cell>
          <cell r="P82">
            <v>10</v>
          </cell>
          <cell r="Q82">
            <v>1</v>
          </cell>
          <cell r="R82">
            <v>0</v>
          </cell>
          <cell r="S82">
            <v>82.1739130434783</v>
          </cell>
          <cell r="T82">
            <v>2.73913043478261</v>
          </cell>
          <cell r="U82">
            <v>4.31775700934579</v>
          </cell>
          <cell r="V82">
            <v>-1.57862657456318</v>
          </cell>
          <cell r="W82" t="str">
            <v>库存过高</v>
          </cell>
          <cell r="X82" t="str">
            <v>库存过高</v>
          </cell>
          <cell r="Y82">
            <v>0</v>
          </cell>
          <cell r="Z82">
            <v>0</v>
          </cell>
          <cell r="AA82">
            <v>0</v>
          </cell>
          <cell r="AB82" t="str">
            <v>-</v>
          </cell>
        </row>
        <row r="83">
          <cell r="A83" t="str">
            <v>欣彤</v>
          </cell>
          <cell r="B83" t="str">
            <v>Y3033-BL+Y3034+Y3035</v>
          </cell>
          <cell r="C83" t="str">
            <v>中性手机壳Google Pixel 6a 黑</v>
          </cell>
        </row>
        <row r="83">
          <cell r="E83" t="str">
            <v>B0B7MS7DMW</v>
          </cell>
          <cell r="F83">
            <v>96</v>
          </cell>
          <cell r="G83">
            <v>2</v>
          </cell>
          <cell r="H83">
            <v>1</v>
          </cell>
          <cell r="I83">
            <v>1</v>
          </cell>
          <cell r="J83">
            <v>0</v>
          </cell>
          <cell r="K83">
            <v>100</v>
          </cell>
          <cell r="L83">
            <v>13.9</v>
          </cell>
          <cell r="M83">
            <v>1390</v>
          </cell>
          <cell r="N83">
            <v>7</v>
          </cell>
          <cell r="O83">
            <v>24</v>
          </cell>
          <cell r="P83">
            <v>42</v>
          </cell>
          <cell r="Q83">
            <v>6</v>
          </cell>
          <cell r="R83">
            <v>1</v>
          </cell>
          <cell r="S83">
            <v>75</v>
          </cell>
          <cell r="T83">
            <v>2.5</v>
          </cell>
          <cell r="U83">
            <v>5.58227848101266</v>
          </cell>
          <cell r="V83">
            <v>-3.08227848101266</v>
          </cell>
          <cell r="W83" t="str">
            <v>库存过高</v>
          </cell>
          <cell r="X83" t="str">
            <v>库存过高</v>
          </cell>
          <cell r="Y83">
            <v>4.72</v>
          </cell>
          <cell r="Z83">
            <v>9.78</v>
          </cell>
          <cell r="AA83">
            <v>29.08</v>
          </cell>
          <cell r="AB83" t="str">
            <v>-</v>
          </cell>
        </row>
        <row r="84">
          <cell r="A84" t="str">
            <v>欣彤</v>
          </cell>
          <cell r="B84" t="str">
            <v>Y3033-BY+Y3034+Y3035</v>
          </cell>
          <cell r="C84" t="str">
            <v>中性手机壳Google Pixel 6a 黑+黄</v>
          </cell>
        </row>
        <row r="84">
          <cell r="E84" t="str">
            <v>B0B7MMFS3J</v>
          </cell>
          <cell r="F84">
            <v>16</v>
          </cell>
          <cell r="G84">
            <v>0</v>
          </cell>
          <cell r="H84">
            <v>0</v>
          </cell>
          <cell r="I84">
            <v>0</v>
          </cell>
          <cell r="J84">
            <v>0</v>
          </cell>
          <cell r="K84">
            <v>16</v>
          </cell>
          <cell r="L84">
            <v>13.9</v>
          </cell>
          <cell r="M84">
            <v>222.4</v>
          </cell>
          <cell r="N84">
            <v>0</v>
          </cell>
          <cell r="O84">
            <v>1</v>
          </cell>
          <cell r="P84">
            <v>4</v>
          </cell>
          <cell r="Q84">
            <v>0</v>
          </cell>
          <cell r="R84">
            <v>0</v>
          </cell>
          <cell r="S84">
            <v>240</v>
          </cell>
          <cell r="T84">
            <v>8</v>
          </cell>
          <cell r="U84">
            <v>6</v>
          </cell>
          <cell r="V84">
            <v>2</v>
          </cell>
          <cell r="W84" t="str">
            <v>有库存无销量</v>
          </cell>
          <cell r="X84" t="str">
            <v>库存过高</v>
          </cell>
          <cell r="Y84">
            <v>0</v>
          </cell>
          <cell r="Z84">
            <v>0</v>
          </cell>
          <cell r="AA84">
            <v>0</v>
          </cell>
          <cell r="AB84" t="str">
            <v>-</v>
          </cell>
        </row>
        <row r="85">
          <cell r="A85" t="str">
            <v>欣彤</v>
          </cell>
          <cell r="B85" t="str">
            <v>Y3033-DB+Y3034+Y3035</v>
          </cell>
          <cell r="C85" t="str">
            <v>中性手机壳Google Pixel 6a 蓝</v>
          </cell>
        </row>
        <row r="85">
          <cell r="E85" t="str">
            <v>B0B7NK6JNL</v>
          </cell>
          <cell r="F85">
            <v>19</v>
          </cell>
          <cell r="G85">
            <v>0</v>
          </cell>
          <cell r="H85">
            <v>0</v>
          </cell>
          <cell r="I85">
            <v>1</v>
          </cell>
          <cell r="J85">
            <v>0</v>
          </cell>
          <cell r="K85">
            <v>20</v>
          </cell>
          <cell r="L85">
            <v>13.9</v>
          </cell>
          <cell r="M85">
            <v>278</v>
          </cell>
          <cell r="N85">
            <v>5</v>
          </cell>
          <cell r="O85">
            <v>8</v>
          </cell>
          <cell r="P85">
            <v>16</v>
          </cell>
          <cell r="Q85">
            <v>5</v>
          </cell>
          <cell r="R85">
            <v>0</v>
          </cell>
          <cell r="S85">
            <v>33.6898395721925</v>
          </cell>
          <cell r="T85">
            <v>1.12299465240642</v>
          </cell>
          <cell r="U85">
            <v>1.72521246458924</v>
          </cell>
          <cell r="V85">
            <v>-0.602217812182823</v>
          </cell>
          <cell r="W85" t="str">
            <v>正常</v>
          </cell>
          <cell r="X85" t="str">
            <v>正常</v>
          </cell>
          <cell r="Y85">
            <v>11.92</v>
          </cell>
          <cell r="Z85">
            <v>21.48</v>
          </cell>
          <cell r="AA85">
            <v>39.93</v>
          </cell>
          <cell r="AB85">
            <v>0.149111833875407</v>
          </cell>
        </row>
        <row r="86">
          <cell r="A86" t="str">
            <v>欣彤</v>
          </cell>
          <cell r="B86" t="str">
            <v>Y3033-GK+Y3034+Y3035</v>
          </cell>
          <cell r="C86" t="str">
            <v>中性手机壳Google Pixel 6a 果绿+黑</v>
          </cell>
        </row>
        <row r="86">
          <cell r="E86" t="str">
            <v>B0B7MPP93H</v>
          </cell>
          <cell r="F86">
            <v>1</v>
          </cell>
          <cell r="G86">
            <v>0</v>
          </cell>
          <cell r="H86">
            <v>15</v>
          </cell>
          <cell r="I86">
            <v>1</v>
          </cell>
          <cell r="J86">
            <v>0</v>
          </cell>
          <cell r="K86">
            <v>17</v>
          </cell>
          <cell r="L86">
            <v>13.9</v>
          </cell>
          <cell r="M86">
            <v>236.3</v>
          </cell>
          <cell r="N86">
            <v>3</v>
          </cell>
          <cell r="O86">
            <v>4</v>
          </cell>
          <cell r="P86">
            <v>6</v>
          </cell>
          <cell r="Q86">
            <v>2</v>
          </cell>
          <cell r="R86">
            <v>1</v>
          </cell>
          <cell r="S86">
            <v>56.968085106383</v>
          </cell>
          <cell r="T86">
            <v>1.89893617021277</v>
          </cell>
          <cell r="U86">
            <v>0.544041450777202</v>
          </cell>
          <cell r="V86">
            <v>1.35489471943556</v>
          </cell>
          <cell r="W86" t="str">
            <v>正常</v>
          </cell>
          <cell r="X86" t="str">
            <v>库存过高</v>
          </cell>
          <cell r="Y86">
            <v>0</v>
          </cell>
          <cell r="Z86">
            <v>0</v>
          </cell>
          <cell r="AA86">
            <v>0</v>
          </cell>
          <cell r="AB86" t="str">
            <v>-</v>
          </cell>
        </row>
        <row r="87">
          <cell r="A87" t="str">
            <v>欣彤</v>
          </cell>
          <cell r="B87" t="str">
            <v>Y3033-OR+Y3034+Y3035</v>
          </cell>
          <cell r="C87" t="str">
            <v>中性手机壳Google Pixel 6a 橙</v>
          </cell>
        </row>
        <row r="87">
          <cell r="E87" t="str">
            <v>B0B7MT3VYL</v>
          </cell>
          <cell r="F87">
            <v>8</v>
          </cell>
          <cell r="G87">
            <v>0</v>
          </cell>
          <cell r="H87">
            <v>0</v>
          </cell>
          <cell r="I87">
            <v>0</v>
          </cell>
          <cell r="J87">
            <v>0</v>
          </cell>
          <cell r="K87">
            <v>8</v>
          </cell>
          <cell r="L87">
            <v>13.9</v>
          </cell>
          <cell r="M87">
            <v>111.2</v>
          </cell>
          <cell r="N87">
            <v>2</v>
          </cell>
          <cell r="O87">
            <v>2</v>
          </cell>
          <cell r="P87">
            <v>4</v>
          </cell>
          <cell r="Q87">
            <v>0</v>
          </cell>
          <cell r="R87">
            <v>2</v>
          </cell>
          <cell r="S87">
            <v>43.448275862069</v>
          </cell>
          <cell r="T87">
            <v>1.44827586206897</v>
          </cell>
          <cell r="U87">
            <v>12</v>
          </cell>
          <cell r="V87">
            <v>-10.551724137931</v>
          </cell>
          <cell r="W87" t="str">
            <v>正常</v>
          </cell>
          <cell r="X87" t="str">
            <v>正常</v>
          </cell>
          <cell r="Y87">
            <v>0</v>
          </cell>
          <cell r="Z87">
            <v>0</v>
          </cell>
          <cell r="AA87">
            <v>0</v>
          </cell>
          <cell r="AB87" t="str">
            <v>-</v>
          </cell>
        </row>
        <row r="88">
          <cell r="A88" t="str">
            <v>欣彤</v>
          </cell>
          <cell r="B88" t="str">
            <v>Y3045-BL</v>
          </cell>
          <cell r="C88" t="str">
            <v>三星 Z Fold4 喷油款 黑色</v>
          </cell>
        </row>
        <row r="88">
          <cell r="E88" t="str">
            <v>B0B8N44FQ4</v>
          </cell>
          <cell r="F88">
            <v>0</v>
          </cell>
          <cell r="G88">
            <v>1</v>
          </cell>
          <cell r="H88">
            <v>0</v>
          </cell>
          <cell r="I88">
            <v>0</v>
          </cell>
          <cell r="J88">
            <v>0</v>
          </cell>
          <cell r="K88">
            <v>1</v>
          </cell>
          <cell r="L88">
            <v>15</v>
          </cell>
          <cell r="M88">
            <v>15</v>
          </cell>
          <cell r="N88">
            <v>0</v>
          </cell>
          <cell r="O88">
            <v>8</v>
          </cell>
          <cell r="P88">
            <v>25</v>
          </cell>
          <cell r="Q88">
            <v>4</v>
          </cell>
          <cell r="R88">
            <v>-4</v>
          </cell>
          <cell r="S88">
            <v>2.19512195121951</v>
          </cell>
          <cell r="T88">
            <v>0.0731707317073171</v>
          </cell>
          <cell r="U88">
            <v>1.49466192170819</v>
          </cell>
          <cell r="V88">
            <v>-1.42149119000087</v>
          </cell>
          <cell r="W88" t="str">
            <v>有库存无销量</v>
          </cell>
          <cell r="X88" t="str">
            <v>库存过低</v>
          </cell>
          <cell r="Y88">
            <v>0</v>
          </cell>
          <cell r="Z88">
            <v>0</v>
          </cell>
          <cell r="AA88">
            <v>0</v>
          </cell>
          <cell r="AB88" t="str">
            <v>-</v>
          </cell>
        </row>
        <row r="89">
          <cell r="A89" t="str">
            <v>欣彤</v>
          </cell>
          <cell r="B89" t="str">
            <v>Y3025-BL+Y3026</v>
          </cell>
          <cell r="C89" t="str">
            <v>三防机器人手机壳带背夹iPhone 14 6.1‘’ </v>
          </cell>
        </row>
        <row r="89">
          <cell r="E89" t="str">
            <v>B0B8N6JY13</v>
          </cell>
          <cell r="F89">
            <v>55</v>
          </cell>
          <cell r="G89">
            <v>4</v>
          </cell>
          <cell r="H89">
            <v>1</v>
          </cell>
          <cell r="I89">
            <v>3</v>
          </cell>
          <cell r="J89">
            <v>36</v>
          </cell>
          <cell r="K89">
            <v>99</v>
          </cell>
          <cell r="L89">
            <v>13.7</v>
          </cell>
          <cell r="M89">
            <v>1356.3</v>
          </cell>
          <cell r="N89">
            <v>28</v>
          </cell>
          <cell r="O89">
            <v>48</v>
          </cell>
          <cell r="P89">
            <v>76</v>
          </cell>
          <cell r="Q89">
            <v>15</v>
          </cell>
          <cell r="R89">
            <v>13</v>
          </cell>
          <cell r="S89">
            <v>30.513698630137</v>
          </cell>
          <cell r="T89">
            <v>1.01712328767123</v>
          </cell>
          <cell r="U89">
            <v>1.66147859922179</v>
          </cell>
          <cell r="V89">
            <v>-0.644355311550557</v>
          </cell>
          <cell r="W89" t="str">
            <v>正常</v>
          </cell>
          <cell r="X89" t="str">
            <v>正常</v>
          </cell>
          <cell r="Y89">
            <v>44.72</v>
          </cell>
          <cell r="Z89">
            <v>74.04</v>
          </cell>
          <cell r="AA89">
            <v>138</v>
          </cell>
          <cell r="AB89">
            <v>0.263275638761333</v>
          </cell>
        </row>
        <row r="90">
          <cell r="A90" t="str">
            <v>欣彤</v>
          </cell>
          <cell r="B90" t="str">
            <v>Y3025-DG+Y3026</v>
          </cell>
          <cell r="C90" t="str">
            <v>三防机器人手机壳带背夹iPhone 14 6.1‘’ 深灰+柠檬黄</v>
          </cell>
        </row>
        <row r="90">
          <cell r="E90" t="str">
            <v>B0B8N4P5GT</v>
          </cell>
          <cell r="F90">
            <v>3</v>
          </cell>
          <cell r="G90">
            <v>0</v>
          </cell>
          <cell r="H90">
            <v>10</v>
          </cell>
          <cell r="I90">
            <v>0</v>
          </cell>
          <cell r="J90">
            <v>0</v>
          </cell>
          <cell r="K90">
            <v>13</v>
          </cell>
          <cell r="L90">
            <v>13.7</v>
          </cell>
          <cell r="M90">
            <v>178.1</v>
          </cell>
          <cell r="N90">
            <v>1</v>
          </cell>
          <cell r="O90">
            <v>5</v>
          </cell>
          <cell r="P90">
            <v>6</v>
          </cell>
          <cell r="Q90">
            <v>1</v>
          </cell>
          <cell r="R90">
            <v>0</v>
          </cell>
          <cell r="S90">
            <v>57.6760563380282</v>
          </cell>
          <cell r="T90">
            <v>1.92253521126761</v>
          </cell>
          <cell r="U90">
            <v>3.15</v>
          </cell>
          <cell r="V90">
            <v>-1.22746478873239</v>
          </cell>
          <cell r="W90" t="str">
            <v>库存过高</v>
          </cell>
          <cell r="X90" t="str">
            <v>库存过高</v>
          </cell>
          <cell r="Y90">
            <v>0</v>
          </cell>
          <cell r="Z90">
            <v>0</v>
          </cell>
          <cell r="AA90">
            <v>0</v>
          </cell>
          <cell r="AB90" t="str">
            <v>-</v>
          </cell>
        </row>
        <row r="91">
          <cell r="A91" t="str">
            <v>欣彤</v>
          </cell>
          <cell r="B91" t="str">
            <v>Y3025-NB+Y3026</v>
          </cell>
          <cell r="C91" t="str">
            <v>三防机器人手机壳带背夹iPhone 14 6.1‘’ 蓝</v>
          </cell>
        </row>
        <row r="91">
          <cell r="E91" t="str">
            <v>B0B8N3VX4F</v>
          </cell>
          <cell r="F91">
            <v>22</v>
          </cell>
          <cell r="G91">
            <v>0</v>
          </cell>
          <cell r="H91">
            <v>11</v>
          </cell>
          <cell r="I91">
            <v>1</v>
          </cell>
          <cell r="J91">
            <v>0</v>
          </cell>
          <cell r="K91">
            <v>34</v>
          </cell>
          <cell r="L91">
            <v>13.7</v>
          </cell>
          <cell r="M91">
            <v>465.8</v>
          </cell>
          <cell r="N91">
            <v>5</v>
          </cell>
          <cell r="O91">
            <v>6</v>
          </cell>
          <cell r="P91">
            <v>11</v>
          </cell>
          <cell r="Q91">
            <v>1</v>
          </cell>
          <cell r="R91">
            <v>4</v>
          </cell>
          <cell r="S91">
            <v>68.8745980707396</v>
          </cell>
          <cell r="T91">
            <v>2.29581993569132</v>
          </cell>
          <cell r="U91">
            <v>0.864705882352941</v>
          </cell>
          <cell r="V91">
            <v>1.43111405333838</v>
          </cell>
          <cell r="W91" t="str">
            <v>库存过高</v>
          </cell>
          <cell r="X91" t="str">
            <v>库存过高</v>
          </cell>
          <cell r="Y91">
            <v>0</v>
          </cell>
          <cell r="Z91">
            <v>0</v>
          </cell>
          <cell r="AA91">
            <v>0</v>
          </cell>
          <cell r="AB91" t="str">
            <v>-</v>
          </cell>
        </row>
        <row r="92">
          <cell r="A92" t="str">
            <v>欣彤</v>
          </cell>
          <cell r="B92" t="str">
            <v>Y3025-OR+Y3026</v>
          </cell>
          <cell r="C92" t="str">
            <v>三防机器人手机壳带背夹iPhone 14 6.1‘’ 橙</v>
          </cell>
        </row>
        <row r="92">
          <cell r="E92" t="str">
            <v>B0B8N43RJL</v>
          </cell>
          <cell r="F92">
            <v>2</v>
          </cell>
          <cell r="G92">
            <v>0</v>
          </cell>
          <cell r="H92">
            <v>14</v>
          </cell>
          <cell r="I92">
            <v>1</v>
          </cell>
          <cell r="J92">
            <v>0</v>
          </cell>
          <cell r="K92">
            <v>17</v>
          </cell>
          <cell r="L92">
            <v>13.7</v>
          </cell>
          <cell r="M92">
            <v>232.9</v>
          </cell>
          <cell r="N92">
            <v>1</v>
          </cell>
          <cell r="O92">
            <v>4</v>
          </cell>
          <cell r="P92">
            <v>18</v>
          </cell>
          <cell r="Q92">
            <v>0</v>
          </cell>
          <cell r="R92">
            <v>1</v>
          </cell>
          <cell r="S92">
            <v>50.5188679245283</v>
          </cell>
          <cell r="T92">
            <v>1.68396226415094</v>
          </cell>
          <cell r="U92">
            <v>0.327272727272727</v>
          </cell>
          <cell r="V92">
            <v>1.35668953687822</v>
          </cell>
          <cell r="W92" t="str">
            <v>库存过高</v>
          </cell>
          <cell r="X92" t="str">
            <v>库存过高</v>
          </cell>
          <cell r="Y92">
            <v>0</v>
          </cell>
          <cell r="Z92">
            <v>0</v>
          </cell>
          <cell r="AA92">
            <v>0</v>
          </cell>
          <cell r="AB92" t="str">
            <v>-</v>
          </cell>
        </row>
        <row r="93">
          <cell r="A93" t="str">
            <v>欣彤</v>
          </cell>
          <cell r="B93" t="str">
            <v>Y3025-TG+Y3026</v>
          </cell>
          <cell r="C93" t="str">
            <v>三防机器人手机壳带背夹iPhone 14 6.1‘’ 蓝绿+浅绿</v>
          </cell>
        </row>
        <row r="93">
          <cell r="E93" t="str">
            <v>B0B8N5DJY6</v>
          </cell>
          <cell r="F93">
            <v>19</v>
          </cell>
          <cell r="G93">
            <v>0</v>
          </cell>
          <cell r="H93">
            <v>0</v>
          </cell>
          <cell r="I93">
            <v>0</v>
          </cell>
          <cell r="J93">
            <v>0</v>
          </cell>
          <cell r="K93">
            <v>19</v>
          </cell>
          <cell r="L93">
            <v>13.7</v>
          </cell>
          <cell r="M93">
            <v>260.3</v>
          </cell>
          <cell r="N93">
            <v>0</v>
          </cell>
          <cell r="O93">
            <v>3</v>
          </cell>
          <cell r="P93">
            <v>4</v>
          </cell>
          <cell r="Q93">
            <v>1</v>
          </cell>
          <cell r="R93">
            <v>-1</v>
          </cell>
          <cell r="S93">
            <v>171</v>
          </cell>
          <cell r="T93">
            <v>5.7</v>
          </cell>
          <cell r="U93">
            <v>7.60344827586207</v>
          </cell>
          <cell r="V93">
            <v>-1.90344827586207</v>
          </cell>
          <cell r="W93" t="str">
            <v>有库存无销量</v>
          </cell>
          <cell r="X93" t="str">
            <v>库存过高</v>
          </cell>
          <cell r="Y93">
            <v>0</v>
          </cell>
          <cell r="Z93">
            <v>0</v>
          </cell>
          <cell r="AA93">
            <v>0</v>
          </cell>
          <cell r="AB93" t="str">
            <v>-</v>
          </cell>
        </row>
        <row r="94">
          <cell r="A94" t="str">
            <v>欣彤</v>
          </cell>
          <cell r="B94" t="str">
            <v>Y3027-NB+Y3028</v>
          </cell>
          <cell r="C94" t="str">
            <v>三防机器人手机壳带背夹iPhone 14 Pro 6.1‘’ 蓝</v>
          </cell>
          <cell r="D94">
            <v>44804</v>
          </cell>
          <cell r="E94" t="str">
            <v>B0B8N6RT96</v>
          </cell>
          <cell r="F94">
            <v>1</v>
          </cell>
          <cell r="G94">
            <v>0</v>
          </cell>
          <cell r="H94">
            <v>0</v>
          </cell>
          <cell r="I94">
            <v>4</v>
          </cell>
          <cell r="J94">
            <v>0</v>
          </cell>
          <cell r="K94">
            <v>5</v>
          </cell>
          <cell r="L94">
            <v>13.7</v>
          </cell>
          <cell r="M94">
            <v>68.5</v>
          </cell>
          <cell r="N94">
            <v>0</v>
          </cell>
          <cell r="O94">
            <v>0</v>
          </cell>
          <cell r="P94">
            <v>0</v>
          </cell>
          <cell r="Q94">
            <v>0</v>
          </cell>
          <cell r="R94">
            <v>0</v>
          </cell>
          <cell r="S94" t="str">
            <v>-</v>
          </cell>
          <cell r="T94" t="str">
            <v>-</v>
          </cell>
          <cell r="U94" t="str">
            <v>-</v>
          </cell>
          <cell r="V94" t="str">
            <v>-</v>
          </cell>
          <cell r="W94" t="str">
            <v>有库存无销量</v>
          </cell>
          <cell r="X94" t="str">
            <v>有库存无销量</v>
          </cell>
          <cell r="Y94">
            <v>0</v>
          </cell>
          <cell r="Z94">
            <v>0</v>
          </cell>
          <cell r="AA94">
            <v>0</v>
          </cell>
          <cell r="AB94" t="str">
            <v>-</v>
          </cell>
        </row>
        <row r="95">
          <cell r="A95" t="str">
            <v>欣彤</v>
          </cell>
          <cell r="B95" t="str">
            <v>Y3027-TG+Y3028</v>
          </cell>
          <cell r="C95" t="str">
            <v>三防机器人手机壳带背夹iPhone 14 Pro 6.1‘’ 蓝绿+浅绿</v>
          </cell>
          <cell r="D95">
            <v>44804</v>
          </cell>
          <cell r="E95" t="str">
            <v>B0B8N7MBLZ</v>
          </cell>
          <cell r="F95">
            <v>19</v>
          </cell>
          <cell r="G95">
            <v>0</v>
          </cell>
          <cell r="H95">
            <v>0</v>
          </cell>
          <cell r="I95">
            <v>0</v>
          </cell>
          <cell r="J95">
            <v>0</v>
          </cell>
          <cell r="K95">
            <v>19</v>
          </cell>
          <cell r="L95">
            <v>13.7</v>
          </cell>
          <cell r="M95">
            <v>260.3</v>
          </cell>
          <cell r="N95">
            <v>0</v>
          </cell>
          <cell r="O95">
            <v>0</v>
          </cell>
          <cell r="P95">
            <v>1</v>
          </cell>
          <cell r="Q95">
            <v>0</v>
          </cell>
          <cell r="R95">
            <v>0</v>
          </cell>
          <cell r="S95">
            <v>1710</v>
          </cell>
          <cell r="T95">
            <v>57</v>
          </cell>
          <cell r="U95">
            <v>19</v>
          </cell>
          <cell r="V95">
            <v>38</v>
          </cell>
          <cell r="W95" t="str">
            <v>有库存无销量</v>
          </cell>
          <cell r="X95" t="str">
            <v>库存过高</v>
          </cell>
          <cell r="Y95">
            <v>0</v>
          </cell>
          <cell r="Z95">
            <v>0</v>
          </cell>
          <cell r="AA95">
            <v>0</v>
          </cell>
          <cell r="AB95" t="str">
            <v>-</v>
          </cell>
        </row>
        <row r="96">
          <cell r="A96" t="str">
            <v>欣彤</v>
          </cell>
          <cell r="B96" t="str">
            <v>Y3027-BL+Y3028</v>
          </cell>
          <cell r="C96" t="str">
            <v>三防机器人手机壳带背夹iPhone 14 Pro 6.1‘’ </v>
          </cell>
          <cell r="D96">
            <v>44804</v>
          </cell>
          <cell r="E96" t="str">
            <v>B0B8N8W6KW</v>
          </cell>
          <cell r="F96">
            <v>41</v>
          </cell>
          <cell r="G96">
            <v>0</v>
          </cell>
          <cell r="H96">
            <v>0</v>
          </cell>
          <cell r="I96">
            <v>0</v>
          </cell>
          <cell r="J96">
            <v>0</v>
          </cell>
          <cell r="K96">
            <v>41</v>
          </cell>
          <cell r="L96">
            <v>13.7</v>
          </cell>
          <cell r="M96">
            <v>561.7</v>
          </cell>
          <cell r="N96">
            <v>1</v>
          </cell>
          <cell r="O96">
            <v>4</v>
          </cell>
          <cell r="P96">
            <v>10</v>
          </cell>
          <cell r="Q96">
            <v>1</v>
          </cell>
          <cell r="R96">
            <v>0</v>
          </cell>
          <cell r="S96">
            <v>165.576923076923</v>
          </cell>
          <cell r="T96">
            <v>5.51923076923077</v>
          </cell>
          <cell r="U96">
            <v>18.1034482758621</v>
          </cell>
          <cell r="V96">
            <v>-12.5842175066313</v>
          </cell>
          <cell r="W96" t="str">
            <v>库存过高</v>
          </cell>
          <cell r="X96" t="str">
            <v>库存过高</v>
          </cell>
          <cell r="Y96">
            <v>5.68</v>
          </cell>
          <cell r="Z96">
            <v>13.29</v>
          </cell>
          <cell r="AA96">
            <v>26.34</v>
          </cell>
          <cell r="AB96" t="str">
            <v>-</v>
          </cell>
        </row>
        <row r="97">
          <cell r="A97" t="str">
            <v>欣彤</v>
          </cell>
          <cell r="B97" t="str">
            <v>Y3027-DG+Y3028</v>
          </cell>
          <cell r="C97" t="str">
            <v>三防机器人手机壳带背夹iPhone 14 Pro 6.1‘’ ’ 深灰+柠檬黄</v>
          </cell>
          <cell r="D97">
            <v>44804</v>
          </cell>
          <cell r="E97" t="str">
            <v>B0B8N95ZKJ</v>
          </cell>
          <cell r="F97">
            <v>1</v>
          </cell>
          <cell r="G97">
            <v>1</v>
          </cell>
          <cell r="H97">
            <v>0</v>
          </cell>
          <cell r="I97">
            <v>0</v>
          </cell>
          <cell r="J97">
            <v>0</v>
          </cell>
          <cell r="K97">
            <v>2</v>
          </cell>
          <cell r="L97">
            <v>13.7</v>
          </cell>
          <cell r="M97">
            <v>27.4</v>
          </cell>
          <cell r="N97">
            <v>0</v>
          </cell>
          <cell r="O97">
            <v>0</v>
          </cell>
          <cell r="P97">
            <v>0</v>
          </cell>
          <cell r="Q97">
            <v>0</v>
          </cell>
          <cell r="R97">
            <v>0</v>
          </cell>
          <cell r="S97" t="str">
            <v>-</v>
          </cell>
          <cell r="T97" t="str">
            <v>-</v>
          </cell>
          <cell r="U97">
            <v>34.5</v>
          </cell>
          <cell r="V97" t="str">
            <v>-</v>
          </cell>
          <cell r="W97" t="str">
            <v>有库存无销量</v>
          </cell>
          <cell r="X97" t="str">
            <v>有库存无销量</v>
          </cell>
          <cell r="Y97">
            <v>0</v>
          </cell>
          <cell r="Z97">
            <v>0</v>
          </cell>
          <cell r="AA97">
            <v>0</v>
          </cell>
          <cell r="AB97" t="str">
            <v>-</v>
          </cell>
        </row>
        <row r="98">
          <cell r="A98" t="str">
            <v>欣彤</v>
          </cell>
          <cell r="B98" t="str">
            <v>Y3027-OR+Y3028</v>
          </cell>
          <cell r="C98" t="str">
            <v>三防机器人手机壳带背夹iPhone 14 Pro 6.1‘’  橙</v>
          </cell>
          <cell r="D98">
            <v>44804</v>
          </cell>
          <cell r="E98" t="str">
            <v>B0B8N8JM3J</v>
          </cell>
          <cell r="F98">
            <v>6</v>
          </cell>
          <cell r="G98">
            <v>0</v>
          </cell>
          <cell r="H98">
            <v>0</v>
          </cell>
          <cell r="I98">
            <v>1</v>
          </cell>
          <cell r="J98">
            <v>0</v>
          </cell>
          <cell r="K98">
            <v>7</v>
          </cell>
          <cell r="L98">
            <v>13.7</v>
          </cell>
          <cell r="M98">
            <v>95.9</v>
          </cell>
          <cell r="N98">
            <v>0</v>
          </cell>
          <cell r="O98">
            <v>0</v>
          </cell>
          <cell r="P98">
            <v>0</v>
          </cell>
          <cell r="Q98">
            <v>0</v>
          </cell>
          <cell r="R98">
            <v>0</v>
          </cell>
          <cell r="S98" t="str">
            <v>-</v>
          </cell>
          <cell r="T98" t="str">
            <v>-</v>
          </cell>
          <cell r="U98" t="str">
            <v>-</v>
          </cell>
          <cell r="V98" t="str">
            <v>-</v>
          </cell>
          <cell r="W98" t="str">
            <v>有库存无销量</v>
          </cell>
          <cell r="X98" t="str">
            <v>有库存无销量</v>
          </cell>
          <cell r="Y98">
            <v>0</v>
          </cell>
          <cell r="Z98">
            <v>0</v>
          </cell>
          <cell r="AA98">
            <v>0</v>
          </cell>
          <cell r="AB98" t="str">
            <v>-</v>
          </cell>
        </row>
        <row r="99">
          <cell r="A99" t="str">
            <v>欣彤</v>
          </cell>
          <cell r="B99" t="str">
            <v>Y3029-BL+Y3030</v>
          </cell>
          <cell r="C99" t="str">
            <v>三防机器人手机壳带背夹iphone 14 plus 6.7</v>
          </cell>
          <cell r="D99">
            <v>44804</v>
          </cell>
          <cell r="E99" t="str">
            <v>B0B8NBWGMM</v>
          </cell>
          <cell r="F99">
            <v>31</v>
          </cell>
          <cell r="G99">
            <v>0</v>
          </cell>
          <cell r="H99">
            <v>56</v>
          </cell>
          <cell r="I99">
            <v>0</v>
          </cell>
          <cell r="J99">
            <v>0</v>
          </cell>
          <cell r="K99">
            <v>87</v>
          </cell>
          <cell r="L99">
            <v>13.7</v>
          </cell>
          <cell r="M99">
            <v>1191.9</v>
          </cell>
          <cell r="N99">
            <v>13</v>
          </cell>
          <cell r="O99">
            <v>17</v>
          </cell>
          <cell r="P99">
            <v>32</v>
          </cell>
          <cell r="Q99">
            <v>8</v>
          </cell>
          <cell r="R99">
            <v>5</v>
          </cell>
          <cell r="S99">
            <v>64.330985915493</v>
          </cell>
          <cell r="T99">
            <v>2.1443661971831</v>
          </cell>
          <cell r="U99">
            <v>2.25125628140704</v>
          </cell>
          <cell r="V99">
            <v>-0.106890084223942</v>
          </cell>
          <cell r="W99" t="str">
            <v>库存过高</v>
          </cell>
          <cell r="X99" t="str">
            <v>库存过高</v>
          </cell>
          <cell r="Y99">
            <v>18.66</v>
          </cell>
          <cell r="Z99">
            <v>33.14</v>
          </cell>
          <cell r="AA99">
            <v>73.6399999999999</v>
          </cell>
          <cell r="AB99">
            <v>0.38907422852377</v>
          </cell>
        </row>
        <row r="100">
          <cell r="A100" t="str">
            <v>欣彤</v>
          </cell>
          <cell r="B100" t="str">
            <v>Y3029-DG+Y3030</v>
          </cell>
          <cell r="C100" t="str">
            <v>三防机器人手机壳带背夹iphone 14 plus 6.7 深灰+柠檬黄</v>
          </cell>
          <cell r="D100">
            <v>44804</v>
          </cell>
          <cell r="E100" t="str">
            <v>B0B8NBD1GB</v>
          </cell>
          <cell r="F100">
            <v>15</v>
          </cell>
          <cell r="G100">
            <v>0</v>
          </cell>
          <cell r="H100">
            <v>4</v>
          </cell>
          <cell r="I100">
            <v>0</v>
          </cell>
          <cell r="J100">
            <v>0</v>
          </cell>
          <cell r="K100">
            <v>19</v>
          </cell>
          <cell r="L100">
            <v>13.7</v>
          </cell>
          <cell r="M100">
            <v>260.3</v>
          </cell>
          <cell r="N100">
            <v>0</v>
          </cell>
          <cell r="O100">
            <v>2</v>
          </cell>
          <cell r="P100">
            <v>3</v>
          </cell>
          <cell r="Q100">
            <v>0</v>
          </cell>
          <cell r="R100">
            <v>0</v>
          </cell>
          <cell r="S100">
            <v>244.285714285714</v>
          </cell>
          <cell r="T100">
            <v>8.14285714285714</v>
          </cell>
          <cell r="U100">
            <v>12</v>
          </cell>
          <cell r="V100">
            <v>-3.85714285714286</v>
          </cell>
          <cell r="W100" t="str">
            <v>有库存无销量</v>
          </cell>
          <cell r="X100" t="str">
            <v>库存过高</v>
          </cell>
          <cell r="Y100">
            <v>0</v>
          </cell>
          <cell r="Z100">
            <v>0</v>
          </cell>
          <cell r="AA100">
            <v>0</v>
          </cell>
          <cell r="AB100" t="str">
            <v>-</v>
          </cell>
        </row>
        <row r="101">
          <cell r="A101" t="str">
            <v>欣彤</v>
          </cell>
          <cell r="B101" t="str">
            <v>Y3029-NB+Y3030</v>
          </cell>
          <cell r="C101" t="str">
            <v>三防机器人手机壳带背夹iphone 14 plus 6.7 蓝</v>
          </cell>
          <cell r="D101">
            <v>44804</v>
          </cell>
          <cell r="E101" t="str">
            <v>B0B8N96D3H</v>
          </cell>
          <cell r="F101">
            <v>36</v>
          </cell>
          <cell r="G101">
            <v>0</v>
          </cell>
          <cell r="H101">
            <v>0</v>
          </cell>
          <cell r="I101">
            <v>0</v>
          </cell>
          <cell r="J101">
            <v>0</v>
          </cell>
          <cell r="K101">
            <v>36</v>
          </cell>
          <cell r="L101">
            <v>13.7</v>
          </cell>
          <cell r="M101">
            <v>493.2</v>
          </cell>
          <cell r="N101">
            <v>2</v>
          </cell>
          <cell r="O101">
            <v>2</v>
          </cell>
          <cell r="P101">
            <v>7</v>
          </cell>
          <cell r="Q101">
            <v>5</v>
          </cell>
          <cell r="R101">
            <v>-3</v>
          </cell>
          <cell r="S101">
            <v>165.547445255474</v>
          </cell>
          <cell r="T101">
            <v>5.51824817518248</v>
          </cell>
          <cell r="U101">
            <v>2.4983922829582</v>
          </cell>
          <cell r="V101">
            <v>3.01985589222428</v>
          </cell>
          <cell r="W101" t="str">
            <v>库存过高</v>
          </cell>
          <cell r="X101" t="str">
            <v>库存过高</v>
          </cell>
          <cell r="Y101">
            <v>0</v>
          </cell>
          <cell r="Z101">
            <v>0</v>
          </cell>
          <cell r="AA101">
            <v>0</v>
          </cell>
          <cell r="AB101" t="str">
            <v>-</v>
          </cell>
        </row>
        <row r="102">
          <cell r="A102" t="str">
            <v>欣彤</v>
          </cell>
          <cell r="B102" t="str">
            <v>Y3029-OR+Y3030</v>
          </cell>
          <cell r="C102" t="str">
            <v>三防机器人手机壳带背夹iphone 14 plus 6.7橙</v>
          </cell>
          <cell r="D102">
            <v>44804</v>
          </cell>
          <cell r="E102" t="str">
            <v>B0B8NCT531</v>
          </cell>
          <cell r="F102">
            <v>32</v>
          </cell>
          <cell r="G102">
            <v>0</v>
          </cell>
          <cell r="H102">
            <v>0</v>
          </cell>
          <cell r="I102">
            <v>0</v>
          </cell>
          <cell r="J102">
            <v>0</v>
          </cell>
          <cell r="K102">
            <v>32</v>
          </cell>
          <cell r="L102">
            <v>13.7</v>
          </cell>
          <cell r="M102">
            <v>438.4</v>
          </cell>
          <cell r="N102">
            <v>1</v>
          </cell>
          <cell r="O102">
            <v>1</v>
          </cell>
          <cell r="P102">
            <v>2</v>
          </cell>
          <cell r="Q102">
            <v>0</v>
          </cell>
          <cell r="R102">
            <v>1</v>
          </cell>
          <cell r="S102">
            <v>347.586206896552</v>
          </cell>
          <cell r="T102">
            <v>11.5862068965517</v>
          </cell>
          <cell r="U102">
            <v>102</v>
          </cell>
          <cell r="V102">
            <v>-90.4137931034483</v>
          </cell>
          <cell r="W102" t="str">
            <v>库存过高</v>
          </cell>
          <cell r="X102" t="str">
            <v>库存过高</v>
          </cell>
          <cell r="Y102">
            <v>0</v>
          </cell>
          <cell r="Z102">
            <v>0</v>
          </cell>
          <cell r="AA102">
            <v>0</v>
          </cell>
          <cell r="AB102" t="str">
            <v>-</v>
          </cell>
        </row>
        <row r="103">
          <cell r="A103" t="str">
            <v>欣彤</v>
          </cell>
          <cell r="B103" t="str">
            <v>Y3029-TG+Y3030</v>
          </cell>
          <cell r="C103" t="str">
            <v>三防机器人手机壳带背夹iphone 14 plus 6.7蓝绿+浅绿</v>
          </cell>
          <cell r="D103">
            <v>44804</v>
          </cell>
          <cell r="E103" t="str">
            <v>B0B8NBX1LW</v>
          </cell>
          <cell r="F103">
            <v>6</v>
          </cell>
          <cell r="G103">
            <v>1</v>
          </cell>
          <cell r="H103">
            <v>0</v>
          </cell>
          <cell r="I103">
            <v>0</v>
          </cell>
          <cell r="J103">
            <v>0</v>
          </cell>
          <cell r="K103">
            <v>7</v>
          </cell>
          <cell r="L103">
            <v>13.7</v>
          </cell>
          <cell r="M103">
            <v>95.9</v>
          </cell>
          <cell r="N103">
            <v>1</v>
          </cell>
          <cell r="O103">
            <v>1</v>
          </cell>
          <cell r="P103">
            <v>2</v>
          </cell>
          <cell r="Q103">
            <v>0</v>
          </cell>
          <cell r="R103">
            <v>1</v>
          </cell>
          <cell r="S103">
            <v>76.0344827586207</v>
          </cell>
          <cell r="T103">
            <v>2.53448275862069</v>
          </cell>
          <cell r="U103">
            <v>3</v>
          </cell>
          <cell r="V103">
            <v>-0.46551724137931</v>
          </cell>
          <cell r="W103" t="str">
            <v>库存过高</v>
          </cell>
          <cell r="X103" t="str">
            <v>库存过高</v>
          </cell>
          <cell r="Y103">
            <v>0</v>
          </cell>
          <cell r="Z103">
            <v>0</v>
          </cell>
          <cell r="AA103">
            <v>0</v>
          </cell>
          <cell r="AB103" t="str">
            <v>-</v>
          </cell>
        </row>
        <row r="104">
          <cell r="A104" t="str">
            <v>欣彤</v>
          </cell>
          <cell r="B104" t="str">
            <v>Y3031-DG+Y3032</v>
          </cell>
          <cell r="C104" t="str">
            <v>三防机器人手机壳带背夹iPhone 14 Pro Max 6.7‘’ ’ 深灰+柠檬黄</v>
          </cell>
          <cell r="D104">
            <v>44804</v>
          </cell>
          <cell r="E104" t="str">
            <v>B0B8NFS2Q3</v>
          </cell>
          <cell r="F104">
            <v>42</v>
          </cell>
          <cell r="G104">
            <v>0</v>
          </cell>
          <cell r="H104">
            <v>0</v>
          </cell>
          <cell r="I104">
            <v>0</v>
          </cell>
          <cell r="J104">
            <v>0</v>
          </cell>
          <cell r="K104">
            <v>42</v>
          </cell>
          <cell r="L104">
            <v>13.7</v>
          </cell>
          <cell r="M104">
            <v>575.4</v>
          </cell>
          <cell r="N104">
            <v>0</v>
          </cell>
          <cell r="O104">
            <v>0</v>
          </cell>
          <cell r="P104">
            <v>0</v>
          </cell>
          <cell r="Q104">
            <v>0</v>
          </cell>
          <cell r="R104">
            <v>0</v>
          </cell>
          <cell r="S104" t="str">
            <v>-</v>
          </cell>
          <cell r="T104" t="str">
            <v>-</v>
          </cell>
          <cell r="U104">
            <v>63</v>
          </cell>
          <cell r="V104" t="str">
            <v>-</v>
          </cell>
          <cell r="W104" t="str">
            <v>有库存无销量</v>
          </cell>
          <cell r="X104" t="str">
            <v>有库存无销量</v>
          </cell>
          <cell r="Y104">
            <v>0</v>
          </cell>
          <cell r="Z104">
            <v>0</v>
          </cell>
          <cell r="AA104">
            <v>0</v>
          </cell>
          <cell r="AB104" t="str">
            <v>-</v>
          </cell>
        </row>
        <row r="105">
          <cell r="A105" t="str">
            <v>欣彤</v>
          </cell>
          <cell r="B105" t="str">
            <v>Y3031-NB+Y3032</v>
          </cell>
          <cell r="C105" t="str">
            <v>三防机器人手机壳带背夹iPhone 14 Pro Max 6.7‘’蓝</v>
          </cell>
          <cell r="D105">
            <v>44804</v>
          </cell>
          <cell r="E105" t="str">
            <v>B0B8NG2TXD</v>
          </cell>
          <cell r="F105">
            <v>3</v>
          </cell>
          <cell r="G105">
            <v>0</v>
          </cell>
          <cell r="H105">
            <v>0</v>
          </cell>
          <cell r="I105">
            <v>1</v>
          </cell>
          <cell r="J105">
            <v>0</v>
          </cell>
          <cell r="K105">
            <v>4</v>
          </cell>
          <cell r="L105">
            <v>13.7</v>
          </cell>
          <cell r="M105">
            <v>54.8</v>
          </cell>
          <cell r="N105">
            <v>0</v>
          </cell>
          <cell r="O105">
            <v>0</v>
          </cell>
          <cell r="P105">
            <v>1</v>
          </cell>
          <cell r="Q105">
            <v>1</v>
          </cell>
          <cell r="R105">
            <v>-1</v>
          </cell>
          <cell r="S105">
            <v>360</v>
          </cell>
          <cell r="T105">
            <v>12</v>
          </cell>
          <cell r="U105">
            <v>16.625</v>
          </cell>
          <cell r="V105">
            <v>-4.625</v>
          </cell>
          <cell r="W105" t="str">
            <v>有库存无销量</v>
          </cell>
          <cell r="X105" t="str">
            <v>库存过高</v>
          </cell>
          <cell r="Y105">
            <v>1.81</v>
          </cell>
          <cell r="Z105">
            <v>1.81</v>
          </cell>
          <cell r="AA105">
            <v>1.81</v>
          </cell>
          <cell r="AB105" t="str">
            <v>-</v>
          </cell>
        </row>
        <row r="106">
          <cell r="A106" t="str">
            <v>欣彤</v>
          </cell>
          <cell r="B106" t="str">
            <v>Y3031-OR+Y3032</v>
          </cell>
          <cell r="C106" t="str">
            <v>三防机器人手机壳带背夹iPhone 14 Pro Max 6.7‘’  橙</v>
          </cell>
          <cell r="D106">
            <v>44804</v>
          </cell>
          <cell r="E106" t="str">
            <v>B0B8NCD14D</v>
          </cell>
          <cell r="F106">
            <v>2</v>
          </cell>
          <cell r="G106">
            <v>0</v>
          </cell>
          <cell r="H106">
            <v>0</v>
          </cell>
          <cell r="I106">
            <v>2</v>
          </cell>
          <cell r="J106">
            <v>0</v>
          </cell>
          <cell r="K106">
            <v>4</v>
          </cell>
          <cell r="L106">
            <v>13.7</v>
          </cell>
          <cell r="M106">
            <v>54.8</v>
          </cell>
          <cell r="N106">
            <v>0</v>
          </cell>
          <cell r="O106">
            <v>0</v>
          </cell>
          <cell r="P106">
            <v>1</v>
          </cell>
          <cell r="Q106">
            <v>1</v>
          </cell>
          <cell r="R106">
            <v>-1</v>
          </cell>
          <cell r="S106">
            <v>360</v>
          </cell>
          <cell r="T106">
            <v>12</v>
          </cell>
          <cell r="U106">
            <v>17.7058823529412</v>
          </cell>
          <cell r="V106">
            <v>-5.7058823529412</v>
          </cell>
          <cell r="W106" t="str">
            <v>有库存无销量</v>
          </cell>
          <cell r="X106" t="str">
            <v>库存过高</v>
          </cell>
          <cell r="Y106">
            <v>0</v>
          </cell>
          <cell r="Z106">
            <v>0</v>
          </cell>
          <cell r="AA106">
            <v>0</v>
          </cell>
          <cell r="AB106" t="str">
            <v>-</v>
          </cell>
        </row>
        <row r="107">
          <cell r="A107" t="str">
            <v>欣彤</v>
          </cell>
          <cell r="B107" t="str">
            <v>Y3031-TG+Y3032</v>
          </cell>
          <cell r="C107" t="str">
            <v>三防机器人手机壳带背夹iPhone 14 Pro Max 6.7‘’ 蓝绿+浅绿</v>
          </cell>
          <cell r="D107">
            <v>44804</v>
          </cell>
          <cell r="E107" t="str">
            <v>B0B8NDVMPK</v>
          </cell>
          <cell r="F107">
            <v>9</v>
          </cell>
          <cell r="G107">
            <v>0</v>
          </cell>
          <cell r="H107">
            <v>0</v>
          </cell>
          <cell r="I107">
            <v>3</v>
          </cell>
          <cell r="J107">
            <v>0</v>
          </cell>
          <cell r="K107">
            <v>12</v>
          </cell>
          <cell r="L107">
            <v>13.7</v>
          </cell>
          <cell r="M107">
            <v>164.4</v>
          </cell>
          <cell r="N107">
            <v>0</v>
          </cell>
          <cell r="O107">
            <v>0</v>
          </cell>
          <cell r="P107">
            <v>1</v>
          </cell>
          <cell r="Q107">
            <v>0</v>
          </cell>
          <cell r="R107">
            <v>0</v>
          </cell>
          <cell r="S107">
            <v>1080</v>
          </cell>
          <cell r="T107">
            <v>36</v>
          </cell>
          <cell r="U107">
            <v>25.5</v>
          </cell>
          <cell r="V107">
            <v>10.5</v>
          </cell>
          <cell r="W107" t="str">
            <v>有库存无销量</v>
          </cell>
          <cell r="X107" t="str">
            <v>库存过高</v>
          </cell>
          <cell r="Y107">
            <v>0</v>
          </cell>
          <cell r="Z107">
            <v>0</v>
          </cell>
          <cell r="AA107">
            <v>0</v>
          </cell>
          <cell r="AB107" t="str">
            <v>-</v>
          </cell>
        </row>
        <row r="108">
          <cell r="A108" t="str">
            <v>欣彤</v>
          </cell>
          <cell r="B108" t="str">
            <v>Y3042-BL</v>
          </cell>
          <cell r="C108" t="str">
            <v>三星 Z Flip4 利甲 黑色</v>
          </cell>
          <cell r="D108">
            <v>44800</v>
          </cell>
          <cell r="E108" t="str">
            <v>B0B8YVKG4S</v>
          </cell>
          <cell r="F108">
            <v>0</v>
          </cell>
          <cell r="G108">
            <v>0</v>
          </cell>
          <cell r="H108">
            <v>0</v>
          </cell>
          <cell r="I108">
            <v>1</v>
          </cell>
          <cell r="J108">
            <v>0</v>
          </cell>
          <cell r="K108">
            <v>1</v>
          </cell>
          <cell r="L108">
            <v>13.7</v>
          </cell>
          <cell r="M108">
            <v>13.7</v>
          </cell>
          <cell r="N108">
            <v>0</v>
          </cell>
          <cell r="O108">
            <v>0</v>
          </cell>
          <cell r="P108">
            <v>1</v>
          </cell>
          <cell r="Q108">
            <v>1</v>
          </cell>
          <cell r="R108">
            <v>-1</v>
          </cell>
          <cell r="S108">
            <v>90</v>
          </cell>
          <cell r="T108">
            <v>3</v>
          </cell>
          <cell r="U108">
            <v>4.3448275862069</v>
          </cell>
          <cell r="V108">
            <v>-1.3448275862069</v>
          </cell>
          <cell r="W108" t="str">
            <v>有库存无销量</v>
          </cell>
          <cell r="X108" t="str">
            <v>库存过高</v>
          </cell>
          <cell r="Y108">
            <v>0.45</v>
          </cell>
          <cell r="Z108">
            <v>0.45</v>
          </cell>
          <cell r="AA108">
            <v>0.45</v>
          </cell>
          <cell r="AB108" t="str">
            <v>-</v>
          </cell>
        </row>
        <row r="109">
          <cell r="A109" t="str">
            <v>欣彤</v>
          </cell>
          <cell r="B109" t="str">
            <v>Y3042-DK</v>
          </cell>
          <cell r="C109" t="str">
            <v>三星 Z Flip4 利甲 墨绿</v>
          </cell>
          <cell r="D109">
            <v>44800</v>
          </cell>
          <cell r="E109" t="str">
            <v>B0B8YV7XSN</v>
          </cell>
          <cell r="F109">
            <v>5</v>
          </cell>
          <cell r="G109">
            <v>0</v>
          </cell>
          <cell r="H109">
            <v>0</v>
          </cell>
          <cell r="I109">
            <v>4</v>
          </cell>
          <cell r="J109">
            <v>0</v>
          </cell>
          <cell r="K109">
            <v>9</v>
          </cell>
          <cell r="L109">
            <v>13.7</v>
          </cell>
          <cell r="M109">
            <v>123.3</v>
          </cell>
          <cell r="N109">
            <v>0</v>
          </cell>
          <cell r="O109">
            <v>0</v>
          </cell>
          <cell r="P109">
            <v>0</v>
          </cell>
          <cell r="Q109">
            <v>0</v>
          </cell>
          <cell r="R109">
            <v>0</v>
          </cell>
          <cell r="S109" t="str">
            <v>-</v>
          </cell>
          <cell r="T109" t="str">
            <v>-</v>
          </cell>
          <cell r="U109" t="str">
            <v>-</v>
          </cell>
          <cell r="V109" t="str">
            <v>-</v>
          </cell>
          <cell r="W109" t="str">
            <v>有库存无销量</v>
          </cell>
          <cell r="X109" t="str">
            <v>有库存无销量</v>
          </cell>
          <cell r="Y109">
            <v>0</v>
          </cell>
          <cell r="Z109">
            <v>0</v>
          </cell>
          <cell r="AA109">
            <v>0</v>
          </cell>
          <cell r="AB109" t="str">
            <v>-</v>
          </cell>
        </row>
        <row r="110">
          <cell r="A110" t="str">
            <v>欣彤</v>
          </cell>
          <cell r="B110" t="str">
            <v>Y3042-NB</v>
          </cell>
          <cell r="C110" t="str">
            <v>三星 Z Flip4 利甲 宝蓝</v>
          </cell>
          <cell r="D110">
            <v>44800</v>
          </cell>
          <cell r="E110" t="str">
            <v>B0B8YW7CHK</v>
          </cell>
          <cell r="F110">
            <v>3</v>
          </cell>
          <cell r="G110">
            <v>0</v>
          </cell>
          <cell r="H110">
            <v>0</v>
          </cell>
          <cell r="I110">
            <v>2</v>
          </cell>
          <cell r="J110">
            <v>0</v>
          </cell>
          <cell r="K110">
            <v>5</v>
          </cell>
          <cell r="L110">
            <v>13.7</v>
          </cell>
          <cell r="M110">
            <v>68.5</v>
          </cell>
          <cell r="N110">
            <v>0</v>
          </cell>
          <cell r="O110">
            <v>0</v>
          </cell>
          <cell r="P110">
            <v>0</v>
          </cell>
          <cell r="Q110">
            <v>0</v>
          </cell>
          <cell r="R110">
            <v>0</v>
          </cell>
          <cell r="S110" t="str">
            <v>-</v>
          </cell>
          <cell r="T110" t="str">
            <v>-</v>
          </cell>
          <cell r="U110">
            <v>18</v>
          </cell>
          <cell r="V110" t="str">
            <v>-</v>
          </cell>
          <cell r="W110" t="str">
            <v>有库存无销量</v>
          </cell>
          <cell r="X110" t="str">
            <v>有库存无销量</v>
          </cell>
          <cell r="Y110">
            <v>0</v>
          </cell>
          <cell r="Z110">
            <v>0</v>
          </cell>
          <cell r="AA110">
            <v>0</v>
          </cell>
          <cell r="AB110" t="str">
            <v>-</v>
          </cell>
        </row>
        <row r="111">
          <cell r="A111" t="str">
            <v>欣彤</v>
          </cell>
          <cell r="B111" t="str">
            <v>Y3042-RE</v>
          </cell>
          <cell r="C111" t="str">
            <v>三星 Z Flip4 利甲 红色</v>
          </cell>
          <cell r="D111">
            <v>44800</v>
          </cell>
          <cell r="E111" t="str">
            <v>B0B8YTN2BT</v>
          </cell>
          <cell r="F111">
            <v>6</v>
          </cell>
          <cell r="G111">
            <v>0</v>
          </cell>
          <cell r="H111">
            <v>0</v>
          </cell>
          <cell r="I111">
            <v>2</v>
          </cell>
          <cell r="J111">
            <v>0</v>
          </cell>
          <cell r="K111">
            <v>8</v>
          </cell>
          <cell r="L111">
            <v>13.7</v>
          </cell>
          <cell r="M111">
            <v>109.6</v>
          </cell>
          <cell r="N111">
            <v>0</v>
          </cell>
          <cell r="O111">
            <v>0</v>
          </cell>
          <cell r="P111">
            <v>0</v>
          </cell>
          <cell r="Q111">
            <v>0</v>
          </cell>
          <cell r="R111">
            <v>0</v>
          </cell>
          <cell r="S111" t="str">
            <v>-</v>
          </cell>
          <cell r="T111" t="str">
            <v>-</v>
          </cell>
          <cell r="U111">
            <v>26</v>
          </cell>
          <cell r="V111" t="str">
            <v>-</v>
          </cell>
          <cell r="W111" t="str">
            <v>有库存无销量</v>
          </cell>
          <cell r="X111" t="str">
            <v>有库存无销量</v>
          </cell>
          <cell r="Y111">
            <v>0</v>
          </cell>
          <cell r="Z111">
            <v>0</v>
          </cell>
          <cell r="AA111">
            <v>0</v>
          </cell>
          <cell r="AB111" t="str">
            <v>-</v>
          </cell>
        </row>
        <row r="112">
          <cell r="A112" t="str">
            <v>欣彤</v>
          </cell>
          <cell r="B112" t="str">
            <v>Y3044-DK</v>
          </cell>
          <cell r="C112" t="str">
            <v>三星 Z Fold4 利甲 墨绿</v>
          </cell>
          <cell r="D112">
            <v>44795</v>
          </cell>
          <cell r="E112" t="str">
            <v>B0B92K7KPG</v>
          </cell>
          <cell r="F112">
            <v>1</v>
          </cell>
          <cell r="G112">
            <v>0</v>
          </cell>
          <cell r="H112">
            <v>0</v>
          </cell>
          <cell r="I112">
            <v>1</v>
          </cell>
          <cell r="J112">
            <v>0</v>
          </cell>
          <cell r="K112">
            <v>2</v>
          </cell>
          <cell r="L112">
            <v>11</v>
          </cell>
          <cell r="M112">
            <v>22</v>
          </cell>
          <cell r="N112">
            <v>1</v>
          </cell>
          <cell r="O112">
            <v>1</v>
          </cell>
          <cell r="P112">
            <v>2</v>
          </cell>
          <cell r="Q112">
            <v>0</v>
          </cell>
          <cell r="R112">
            <v>1</v>
          </cell>
          <cell r="S112">
            <v>21.7241379310345</v>
          </cell>
          <cell r="T112">
            <v>0.724137931034483</v>
          </cell>
          <cell r="U112">
            <v>22.2857142857143</v>
          </cell>
          <cell r="V112">
            <v>-21.5615763546798</v>
          </cell>
          <cell r="W112" t="str">
            <v>库存过低</v>
          </cell>
          <cell r="X112" t="str">
            <v>正常</v>
          </cell>
          <cell r="Y112">
            <v>1.12</v>
          </cell>
          <cell r="Z112">
            <v>5.93</v>
          </cell>
          <cell r="AA112">
            <v>12.54</v>
          </cell>
          <cell r="AB112" t="str">
            <v>-</v>
          </cell>
        </row>
        <row r="113">
          <cell r="A113" t="str">
            <v>欣彤</v>
          </cell>
          <cell r="B113" t="str">
            <v>Y3044-RE</v>
          </cell>
          <cell r="C113" t="str">
            <v>三星 Z Fold4 利甲 红色</v>
          </cell>
          <cell r="D113">
            <v>44800</v>
          </cell>
          <cell r="E113" t="str">
            <v>B0B9278DLQ</v>
          </cell>
          <cell r="F113">
            <v>4</v>
          </cell>
          <cell r="G113">
            <v>0</v>
          </cell>
          <cell r="H113">
            <v>0</v>
          </cell>
          <cell r="I113">
            <v>6</v>
          </cell>
          <cell r="J113">
            <v>0</v>
          </cell>
          <cell r="K113">
            <v>10</v>
          </cell>
          <cell r="L113">
            <v>11</v>
          </cell>
          <cell r="M113">
            <v>110</v>
          </cell>
          <cell r="N113">
            <v>0</v>
          </cell>
          <cell r="O113">
            <v>0</v>
          </cell>
          <cell r="P113">
            <v>1</v>
          </cell>
          <cell r="Q113">
            <v>0</v>
          </cell>
          <cell r="R113">
            <v>0</v>
          </cell>
          <cell r="S113">
            <v>900</v>
          </cell>
          <cell r="T113">
            <v>30</v>
          </cell>
          <cell r="U113" t="str">
            <v>-</v>
          </cell>
          <cell r="V113" t="str">
            <v>-</v>
          </cell>
          <cell r="W113" t="str">
            <v>有库存无销量</v>
          </cell>
          <cell r="X113" t="str">
            <v>库存过高</v>
          </cell>
          <cell r="Y113">
            <v>0</v>
          </cell>
          <cell r="Z113">
            <v>0</v>
          </cell>
          <cell r="AA113">
            <v>0</v>
          </cell>
          <cell r="AB113" t="str">
            <v>-</v>
          </cell>
        </row>
        <row r="114">
          <cell r="A114" t="str">
            <v>欣彤</v>
          </cell>
          <cell r="B114" t="str">
            <v>Y3043-AG</v>
          </cell>
          <cell r="C114" t="str">
            <v>三星 Z Flip4 铰链荔枝纹指环 军绿色</v>
          </cell>
          <cell r="D114">
            <v>44800</v>
          </cell>
          <cell r="E114" t="str">
            <v>B0B9M91M61</v>
          </cell>
          <cell r="F114">
            <v>1</v>
          </cell>
          <cell r="G114">
            <v>0</v>
          </cell>
          <cell r="H114">
            <v>0</v>
          </cell>
          <cell r="I114">
            <v>0</v>
          </cell>
          <cell r="J114">
            <v>0</v>
          </cell>
          <cell r="K114">
            <v>1</v>
          </cell>
          <cell r="L114">
            <v>13.7</v>
          </cell>
          <cell r="M114">
            <v>13.7</v>
          </cell>
          <cell r="N114">
            <v>0</v>
          </cell>
          <cell r="O114">
            <v>0</v>
          </cell>
          <cell r="P114">
            <v>1</v>
          </cell>
          <cell r="Q114">
            <v>1</v>
          </cell>
          <cell r="R114">
            <v>-1</v>
          </cell>
          <cell r="S114">
            <v>90</v>
          </cell>
          <cell r="T114">
            <v>3</v>
          </cell>
          <cell r="U114">
            <v>2.47058823529412</v>
          </cell>
          <cell r="V114">
            <v>0.52941176470588</v>
          </cell>
          <cell r="W114" t="str">
            <v>有库存无销量</v>
          </cell>
          <cell r="X114" t="str">
            <v>库存过高</v>
          </cell>
          <cell r="Y114">
            <v>0</v>
          </cell>
          <cell r="Z114">
            <v>0</v>
          </cell>
          <cell r="AA114">
            <v>0</v>
          </cell>
          <cell r="AB114" t="str">
            <v>-</v>
          </cell>
        </row>
        <row r="115">
          <cell r="A115" t="str">
            <v>欣彤</v>
          </cell>
          <cell r="B115" t="str">
            <v>Y3043-LP</v>
          </cell>
          <cell r="C115" t="str">
            <v>三星 Z Flip4 铰链荔枝纹指环 紫色</v>
          </cell>
          <cell r="D115">
            <v>44800</v>
          </cell>
          <cell r="E115" t="str">
            <v>B0B9M9V6MF</v>
          </cell>
          <cell r="F115">
            <v>23</v>
          </cell>
          <cell r="G115">
            <v>0</v>
          </cell>
          <cell r="H115">
            <v>0</v>
          </cell>
          <cell r="I115">
            <v>1</v>
          </cell>
          <cell r="J115">
            <v>0</v>
          </cell>
          <cell r="K115">
            <v>24</v>
          </cell>
          <cell r="L115">
            <v>33</v>
          </cell>
          <cell r="M115">
            <v>792</v>
          </cell>
          <cell r="N115">
            <v>0</v>
          </cell>
          <cell r="O115">
            <v>0</v>
          </cell>
          <cell r="P115">
            <v>0</v>
          </cell>
          <cell r="Q115">
            <v>0</v>
          </cell>
          <cell r="R115">
            <v>0</v>
          </cell>
          <cell r="S115" t="str">
            <v>-</v>
          </cell>
          <cell r="T115" t="str">
            <v>-</v>
          </cell>
          <cell r="U115" t="str">
            <v>-</v>
          </cell>
          <cell r="V115" t="str">
            <v>-</v>
          </cell>
          <cell r="W115" t="str">
            <v>有库存无销量</v>
          </cell>
          <cell r="X115" t="str">
            <v>有库存无销量</v>
          </cell>
          <cell r="Y115">
            <v>0</v>
          </cell>
          <cell r="Z115">
            <v>0</v>
          </cell>
          <cell r="AA115">
            <v>0</v>
          </cell>
          <cell r="AB115" t="str">
            <v>-</v>
          </cell>
        </row>
        <row r="116">
          <cell r="A116" t="str">
            <v>欣彤</v>
          </cell>
          <cell r="B116" t="str">
            <v>Y3041-BL</v>
          </cell>
          <cell r="C116" t="str">
            <v>三星 Z Flip4 喷油指环标配版 黑色</v>
          </cell>
          <cell r="D116">
            <v>44798</v>
          </cell>
          <cell r="E116" t="str">
            <v>B0B9MSWP9V</v>
          </cell>
          <cell r="F116">
            <v>6</v>
          </cell>
          <cell r="G116">
            <v>0</v>
          </cell>
          <cell r="H116">
            <v>0</v>
          </cell>
          <cell r="I116">
            <v>3</v>
          </cell>
          <cell r="J116">
            <v>0</v>
          </cell>
          <cell r="K116">
            <v>9</v>
          </cell>
          <cell r="L116">
            <v>13.7</v>
          </cell>
          <cell r="M116">
            <v>123.3</v>
          </cell>
          <cell r="N116">
            <v>0</v>
          </cell>
          <cell r="O116">
            <v>0</v>
          </cell>
          <cell r="P116">
            <v>0</v>
          </cell>
          <cell r="Q116">
            <v>0</v>
          </cell>
          <cell r="R116">
            <v>0</v>
          </cell>
          <cell r="S116" t="str">
            <v>-</v>
          </cell>
          <cell r="T116" t="str">
            <v>-</v>
          </cell>
          <cell r="U116">
            <v>64.5</v>
          </cell>
          <cell r="V116" t="str">
            <v>-</v>
          </cell>
          <cell r="W116" t="str">
            <v>有库存无销量</v>
          </cell>
          <cell r="X116" t="str">
            <v>有库存无销量</v>
          </cell>
          <cell r="Y116">
            <v>0</v>
          </cell>
          <cell r="Z116">
            <v>0</v>
          </cell>
          <cell r="AA116">
            <v>0</v>
          </cell>
          <cell r="AB116" t="str">
            <v>-</v>
          </cell>
        </row>
        <row r="117">
          <cell r="A117" t="str">
            <v>欣彤</v>
          </cell>
          <cell r="B117" t="str">
            <v>Y3041-GR</v>
          </cell>
          <cell r="C117" t="str">
            <v>三星 Z Flip4 喷油指环标配版 绿色</v>
          </cell>
          <cell r="D117">
            <v>44800</v>
          </cell>
          <cell r="E117" t="str">
            <v>B0B9N5S7RZ</v>
          </cell>
          <cell r="F117">
            <v>4</v>
          </cell>
          <cell r="G117">
            <v>0</v>
          </cell>
          <cell r="H117">
            <v>0</v>
          </cell>
          <cell r="I117">
            <v>3</v>
          </cell>
          <cell r="J117">
            <v>0</v>
          </cell>
          <cell r="K117">
            <v>7</v>
          </cell>
          <cell r="L117">
            <v>13.7</v>
          </cell>
          <cell r="M117">
            <v>95.9</v>
          </cell>
          <cell r="N117">
            <v>0</v>
          </cell>
          <cell r="O117">
            <v>0</v>
          </cell>
          <cell r="P117">
            <v>1</v>
          </cell>
          <cell r="Q117">
            <v>0</v>
          </cell>
          <cell r="R117">
            <v>0</v>
          </cell>
          <cell r="S117">
            <v>630</v>
          </cell>
          <cell r="T117">
            <v>21</v>
          </cell>
          <cell r="U117" t="str">
            <v>-</v>
          </cell>
          <cell r="V117" t="str">
            <v>-</v>
          </cell>
          <cell r="W117" t="str">
            <v>有库存无销量</v>
          </cell>
          <cell r="X117" t="str">
            <v>库存过高</v>
          </cell>
          <cell r="Y117">
            <v>0</v>
          </cell>
          <cell r="Z117">
            <v>0</v>
          </cell>
          <cell r="AA117">
            <v>0</v>
          </cell>
          <cell r="AB117" t="str">
            <v>-</v>
          </cell>
        </row>
        <row r="118">
          <cell r="A118" t="str">
            <v>欣彤</v>
          </cell>
          <cell r="B118" t="str">
            <v>Y3041-LP</v>
          </cell>
          <cell r="C118" t="str">
            <v>三星 Z Flip4 喷油指环标配版 紫色</v>
          </cell>
          <cell r="D118">
            <v>44800</v>
          </cell>
          <cell r="E118" t="str">
            <v>B0B9MSG3M5</v>
          </cell>
          <cell r="F118">
            <v>0</v>
          </cell>
          <cell r="G118">
            <v>0</v>
          </cell>
          <cell r="H118">
            <v>0</v>
          </cell>
          <cell r="I118">
            <v>8</v>
          </cell>
          <cell r="J118">
            <v>0</v>
          </cell>
          <cell r="K118">
            <v>8</v>
          </cell>
          <cell r="L118">
            <v>13.7</v>
          </cell>
          <cell r="M118">
            <v>109.6</v>
          </cell>
          <cell r="N118">
            <v>0</v>
          </cell>
          <cell r="O118">
            <v>0</v>
          </cell>
          <cell r="P118">
            <v>0</v>
          </cell>
          <cell r="Q118">
            <v>0</v>
          </cell>
          <cell r="R118">
            <v>0</v>
          </cell>
          <cell r="S118" t="str">
            <v>-</v>
          </cell>
          <cell r="T118" t="str">
            <v>-</v>
          </cell>
          <cell r="U118">
            <v>114</v>
          </cell>
          <cell r="V118" t="str">
            <v>-</v>
          </cell>
          <cell r="W118" t="str">
            <v>有库存无销量</v>
          </cell>
          <cell r="X118" t="str">
            <v>有库存无销量</v>
          </cell>
          <cell r="Y118">
            <v>0</v>
          </cell>
          <cell r="Z118">
            <v>0</v>
          </cell>
          <cell r="AA118">
            <v>0</v>
          </cell>
          <cell r="AB118" t="str">
            <v>-</v>
          </cell>
        </row>
        <row r="119">
          <cell r="A119" t="str">
            <v>欣彤</v>
          </cell>
          <cell r="B119" t="str">
            <v>Y3036-BL</v>
          </cell>
          <cell r="C119" t="str">
            <v>中性手机壳Google Pixel 7+背夹</v>
          </cell>
          <cell r="D119">
            <v>44840</v>
          </cell>
          <cell r="E119" t="str">
            <v>B0B9XK7L5X</v>
          </cell>
          <cell r="F119">
            <v>0</v>
          </cell>
          <cell r="G119">
            <v>0</v>
          </cell>
          <cell r="H119">
            <v>4</v>
          </cell>
          <cell r="I119">
            <v>0</v>
          </cell>
          <cell r="J119">
            <v>0</v>
          </cell>
          <cell r="K119">
            <v>4</v>
          </cell>
          <cell r="L119">
            <v>13.9</v>
          </cell>
          <cell r="M119">
            <v>55.6</v>
          </cell>
          <cell r="N119">
            <v>2</v>
          </cell>
          <cell r="O119">
            <v>9</v>
          </cell>
          <cell r="P119">
            <v>17</v>
          </cell>
          <cell r="Q119">
            <v>6</v>
          </cell>
          <cell r="R119">
            <v>-4</v>
          </cell>
          <cell r="S119">
            <v>8.26229508196721</v>
          </cell>
          <cell r="T119">
            <v>0.275409836065574</v>
          </cell>
          <cell r="U119">
            <v>0.887323943661972</v>
          </cell>
          <cell r="V119">
            <v>-0.611914107596398</v>
          </cell>
          <cell r="W119" t="str">
            <v>库存过低</v>
          </cell>
          <cell r="X119" t="str">
            <v>库存过低</v>
          </cell>
          <cell r="Y119">
            <v>6.71</v>
          </cell>
          <cell r="Z119">
            <v>11.75</v>
          </cell>
          <cell r="AA119">
            <v>32.01</v>
          </cell>
          <cell r="AB119">
            <v>0.279816513761468</v>
          </cell>
        </row>
        <row r="120">
          <cell r="A120" t="str">
            <v>欣彤</v>
          </cell>
          <cell r="B120" t="str">
            <v>Y3036-BY</v>
          </cell>
          <cell r="C120" t="str">
            <v>中性手机壳Google Pixel 7+背夹</v>
          </cell>
          <cell r="D120">
            <v>44840</v>
          </cell>
          <cell r="E120" t="str">
            <v>B0B9XJW9J7</v>
          </cell>
          <cell r="F120">
            <v>18</v>
          </cell>
          <cell r="G120">
            <v>1</v>
          </cell>
          <cell r="H120">
            <v>0</v>
          </cell>
          <cell r="I120">
            <v>0</v>
          </cell>
          <cell r="J120">
            <v>0</v>
          </cell>
          <cell r="K120">
            <v>19</v>
          </cell>
          <cell r="L120">
            <v>13.9</v>
          </cell>
          <cell r="M120">
            <v>264.1</v>
          </cell>
          <cell r="N120">
            <v>0</v>
          </cell>
          <cell r="O120">
            <v>1</v>
          </cell>
          <cell r="P120">
            <v>1</v>
          </cell>
          <cell r="Q120">
            <v>0</v>
          </cell>
          <cell r="R120">
            <v>0</v>
          </cell>
          <cell r="S120">
            <v>570</v>
          </cell>
          <cell r="T120">
            <v>19</v>
          </cell>
          <cell r="U120">
            <v>8.14285714285714</v>
          </cell>
          <cell r="V120">
            <v>10.8571428571429</v>
          </cell>
          <cell r="W120" t="str">
            <v>有库存无销量</v>
          </cell>
          <cell r="X120" t="str">
            <v>库存过高</v>
          </cell>
          <cell r="Y120">
            <v>0</v>
          </cell>
          <cell r="Z120">
            <v>0</v>
          </cell>
          <cell r="AA120">
            <v>0</v>
          </cell>
          <cell r="AB120" t="str">
            <v>-</v>
          </cell>
        </row>
        <row r="121">
          <cell r="A121" t="str">
            <v>欣彤</v>
          </cell>
          <cell r="B121" t="str">
            <v>Y3036-DB</v>
          </cell>
          <cell r="C121" t="str">
            <v>中性手机壳Google Pixel 7+背夹</v>
          </cell>
          <cell r="D121">
            <v>44840</v>
          </cell>
          <cell r="E121" t="str">
            <v>B0B9XNCNHP</v>
          </cell>
          <cell r="F121">
            <v>4</v>
          </cell>
          <cell r="G121">
            <v>1</v>
          </cell>
          <cell r="H121">
            <v>0</v>
          </cell>
          <cell r="I121">
            <v>0</v>
          </cell>
          <cell r="J121">
            <v>0</v>
          </cell>
          <cell r="K121">
            <v>5</v>
          </cell>
          <cell r="L121">
            <v>13.9</v>
          </cell>
          <cell r="M121">
            <v>69.5</v>
          </cell>
          <cell r="N121">
            <v>1</v>
          </cell>
          <cell r="O121">
            <v>1</v>
          </cell>
          <cell r="P121">
            <v>2</v>
          </cell>
          <cell r="Q121">
            <v>0</v>
          </cell>
          <cell r="R121">
            <v>1</v>
          </cell>
          <cell r="S121">
            <v>54.3103448275862</v>
          </cell>
          <cell r="T121">
            <v>1.81034482758621</v>
          </cell>
          <cell r="U121">
            <v>0.8</v>
          </cell>
          <cell r="V121">
            <v>1.01034482758621</v>
          </cell>
          <cell r="W121" t="str">
            <v>正常</v>
          </cell>
          <cell r="X121" t="str">
            <v>库存过高</v>
          </cell>
          <cell r="Y121">
            <v>0</v>
          </cell>
          <cell r="Z121">
            <v>0</v>
          </cell>
          <cell r="AA121">
            <v>0</v>
          </cell>
          <cell r="AB121" t="str">
            <v>-</v>
          </cell>
        </row>
        <row r="122">
          <cell r="A122" t="str">
            <v>欣彤</v>
          </cell>
          <cell r="B122" t="str">
            <v>Y3036-GK</v>
          </cell>
          <cell r="C122" t="str">
            <v>中性手机壳Google Pixel 7+背夹</v>
          </cell>
          <cell r="D122">
            <v>44840</v>
          </cell>
          <cell r="E122" t="str">
            <v>B0B9XTKZTH</v>
          </cell>
          <cell r="F122">
            <v>13</v>
          </cell>
          <cell r="G122">
            <v>0</v>
          </cell>
          <cell r="H122">
            <v>0</v>
          </cell>
          <cell r="I122">
            <v>0</v>
          </cell>
          <cell r="J122">
            <v>0</v>
          </cell>
          <cell r="K122">
            <v>13</v>
          </cell>
          <cell r="L122">
            <v>13.9</v>
          </cell>
          <cell r="M122">
            <v>180.7</v>
          </cell>
          <cell r="N122">
            <v>1</v>
          </cell>
          <cell r="O122">
            <v>1</v>
          </cell>
          <cell r="P122">
            <v>3</v>
          </cell>
          <cell r="Q122">
            <v>0</v>
          </cell>
          <cell r="R122">
            <v>1</v>
          </cell>
          <cell r="S122">
            <v>126</v>
          </cell>
          <cell r="T122">
            <v>4.2</v>
          </cell>
          <cell r="U122" t="str">
            <v>-</v>
          </cell>
          <cell r="V122" t="str">
            <v>-</v>
          </cell>
          <cell r="W122" t="str">
            <v>库存过高</v>
          </cell>
          <cell r="X122" t="str">
            <v>库存过高</v>
          </cell>
          <cell r="Y122">
            <v>0</v>
          </cell>
          <cell r="Z122">
            <v>0</v>
          </cell>
          <cell r="AA122">
            <v>0</v>
          </cell>
          <cell r="AB122" t="str">
            <v>-</v>
          </cell>
        </row>
        <row r="123">
          <cell r="A123" t="str">
            <v>欣彤</v>
          </cell>
          <cell r="B123" t="str">
            <v>Y3036-OR</v>
          </cell>
          <cell r="C123" t="str">
            <v>中性手机壳Google Pixel 7+背夹</v>
          </cell>
          <cell r="D123">
            <v>44840</v>
          </cell>
          <cell r="E123" t="str">
            <v>B0B9XJN2XQ</v>
          </cell>
          <cell r="F123">
            <v>0</v>
          </cell>
          <cell r="G123">
            <v>0</v>
          </cell>
          <cell r="H123">
            <v>10</v>
          </cell>
          <cell r="I123">
            <v>0</v>
          </cell>
          <cell r="J123">
            <v>0</v>
          </cell>
          <cell r="K123">
            <v>10</v>
          </cell>
          <cell r="L123">
            <v>13.9</v>
          </cell>
          <cell r="M123">
            <v>139</v>
          </cell>
          <cell r="N123">
            <v>1</v>
          </cell>
          <cell r="O123">
            <v>2</v>
          </cell>
          <cell r="P123">
            <v>7</v>
          </cell>
          <cell r="Q123">
            <v>3</v>
          </cell>
          <cell r="R123">
            <v>-2</v>
          </cell>
          <cell r="S123">
            <v>58.8785046728972</v>
          </cell>
          <cell r="T123">
            <v>1.96261682242991</v>
          </cell>
          <cell r="U123">
            <v>0.362068965517241</v>
          </cell>
          <cell r="V123">
            <v>1.60054785691267</v>
          </cell>
          <cell r="W123" t="str">
            <v>库存过高</v>
          </cell>
          <cell r="X123" t="str">
            <v>库存过高</v>
          </cell>
          <cell r="Y123">
            <v>0</v>
          </cell>
          <cell r="Z123">
            <v>0</v>
          </cell>
          <cell r="AA123">
            <v>0</v>
          </cell>
          <cell r="AB123" t="str">
            <v>-</v>
          </cell>
        </row>
        <row r="124">
          <cell r="A124" t="str">
            <v>欣彤</v>
          </cell>
          <cell r="B124" t="str">
            <v>Y3039-BY</v>
          </cell>
          <cell r="C124" t="str">
            <v>中性手机壳Google Pixel 7 Pro+背夹</v>
          </cell>
          <cell r="D124">
            <v>44840</v>
          </cell>
          <cell r="E124" t="str">
            <v>B0B9XJM8X7</v>
          </cell>
          <cell r="F124">
            <v>1</v>
          </cell>
          <cell r="G124">
            <v>0</v>
          </cell>
          <cell r="H124">
            <v>0</v>
          </cell>
          <cell r="I124">
            <v>0</v>
          </cell>
          <cell r="J124">
            <v>0</v>
          </cell>
          <cell r="K124">
            <v>1</v>
          </cell>
          <cell r="L124">
            <v>13.9</v>
          </cell>
          <cell r="M124">
            <v>13.9</v>
          </cell>
          <cell r="N124">
            <v>1</v>
          </cell>
          <cell r="O124">
            <v>1</v>
          </cell>
          <cell r="P124">
            <v>2</v>
          </cell>
          <cell r="Q124">
            <v>1</v>
          </cell>
          <cell r="R124">
            <v>0</v>
          </cell>
          <cell r="S124">
            <v>10.8620689655172</v>
          </cell>
          <cell r="T124">
            <v>0.362068965517241</v>
          </cell>
          <cell r="U124">
            <v>1.08620689655172</v>
          </cell>
          <cell r="V124">
            <v>-0.724137931034479</v>
          </cell>
          <cell r="W124" t="str">
            <v>库存过低</v>
          </cell>
          <cell r="X124" t="str">
            <v>库存过低</v>
          </cell>
          <cell r="Y124">
            <v>0</v>
          </cell>
          <cell r="Z124">
            <v>0</v>
          </cell>
          <cell r="AA124">
            <v>0</v>
          </cell>
          <cell r="AB124" t="str">
            <v>-</v>
          </cell>
        </row>
        <row r="125">
          <cell r="A125" t="str">
            <v>欣彤</v>
          </cell>
          <cell r="B125" t="str">
            <v>Y3039-DB</v>
          </cell>
          <cell r="C125" t="str">
            <v>中性手机壳Google Pixel 7 Pro+背夹</v>
          </cell>
          <cell r="D125">
            <v>44840</v>
          </cell>
          <cell r="E125" t="str">
            <v>B0B9XMDH6L</v>
          </cell>
          <cell r="F125">
            <v>0</v>
          </cell>
          <cell r="G125">
            <v>1</v>
          </cell>
          <cell r="H125">
            <v>0</v>
          </cell>
          <cell r="I125">
            <v>0</v>
          </cell>
          <cell r="J125">
            <v>0</v>
          </cell>
          <cell r="K125">
            <v>1</v>
          </cell>
          <cell r="L125">
            <v>13.9</v>
          </cell>
          <cell r="M125">
            <v>13.9</v>
          </cell>
          <cell r="N125">
            <v>0</v>
          </cell>
          <cell r="O125">
            <v>0</v>
          </cell>
          <cell r="P125">
            <v>1</v>
          </cell>
          <cell r="Q125">
            <v>0</v>
          </cell>
          <cell r="R125">
            <v>0</v>
          </cell>
          <cell r="S125">
            <v>90</v>
          </cell>
          <cell r="T125">
            <v>3</v>
          </cell>
          <cell r="U125" t="str">
            <v>-</v>
          </cell>
          <cell r="V125" t="str">
            <v>-</v>
          </cell>
          <cell r="W125" t="str">
            <v>有库存无销量</v>
          </cell>
          <cell r="X125" t="str">
            <v>库存过高</v>
          </cell>
          <cell r="Y125">
            <v>0</v>
          </cell>
          <cell r="Z125">
            <v>0</v>
          </cell>
          <cell r="AA125">
            <v>0</v>
          </cell>
          <cell r="AB125" t="str">
            <v>-</v>
          </cell>
        </row>
        <row r="126">
          <cell r="A126" t="str">
            <v>欣彤</v>
          </cell>
          <cell r="B126" t="str">
            <v>Y3039-GK</v>
          </cell>
          <cell r="C126" t="str">
            <v>中性手机壳Google Pixel 7 Pro+背夹</v>
          </cell>
          <cell r="D126">
            <v>44840</v>
          </cell>
          <cell r="E126" t="str">
            <v>B0B9XJNDBZ</v>
          </cell>
          <cell r="F126">
            <v>4</v>
          </cell>
          <cell r="G126">
            <v>0</v>
          </cell>
          <cell r="H126">
            <v>0</v>
          </cell>
          <cell r="I126">
            <v>0</v>
          </cell>
          <cell r="J126">
            <v>0</v>
          </cell>
          <cell r="K126">
            <v>4</v>
          </cell>
          <cell r="L126">
            <v>13.9</v>
          </cell>
          <cell r="M126">
            <v>55.6</v>
          </cell>
          <cell r="N126">
            <v>1</v>
          </cell>
          <cell r="O126">
            <v>2</v>
          </cell>
          <cell r="P126">
            <v>4</v>
          </cell>
          <cell r="Q126">
            <v>1</v>
          </cell>
          <cell r="R126">
            <v>0</v>
          </cell>
          <cell r="S126">
            <v>29.3023255813954</v>
          </cell>
          <cell r="T126">
            <v>0.976744186046512</v>
          </cell>
          <cell r="U126">
            <v>2.58461538461538</v>
          </cell>
          <cell r="V126">
            <v>-1.60787119856887</v>
          </cell>
          <cell r="W126" t="str">
            <v>正常</v>
          </cell>
          <cell r="X126" t="str">
            <v>正常</v>
          </cell>
          <cell r="Y126">
            <v>2.51</v>
          </cell>
          <cell r="Z126">
            <v>6.36</v>
          </cell>
          <cell r="AA126">
            <v>10.78</v>
          </cell>
          <cell r="AB126" t="str">
            <v>-</v>
          </cell>
        </row>
        <row r="127">
          <cell r="A127" t="str">
            <v>欣彤</v>
          </cell>
          <cell r="B127" t="str">
            <v>Y3049-BL+Y3050+Y3051</v>
          </cell>
          <cell r="C127" t="str">
            <v>中性手机壳 A23 5G黑 背甲+软膜</v>
          </cell>
          <cell r="D127">
            <v>44840</v>
          </cell>
          <cell r="E127" t="str">
            <v>B0BFQY2HCW</v>
          </cell>
          <cell r="F127">
            <v>5</v>
          </cell>
          <cell r="G127">
            <v>3</v>
          </cell>
          <cell r="H127">
            <v>87</v>
          </cell>
          <cell r="I127">
            <v>55</v>
          </cell>
          <cell r="J127">
            <v>0</v>
          </cell>
          <cell r="K127">
            <v>150</v>
          </cell>
          <cell r="L127">
            <v>13.9</v>
          </cell>
          <cell r="M127">
            <v>2085</v>
          </cell>
          <cell r="N127">
            <v>5</v>
          </cell>
          <cell r="O127">
            <v>10</v>
          </cell>
          <cell r="P127">
            <v>27</v>
          </cell>
          <cell r="Q127">
            <v>8</v>
          </cell>
          <cell r="R127">
            <v>-3</v>
          </cell>
          <cell r="S127">
            <v>197.286012526096</v>
          </cell>
          <cell r="T127">
            <v>6.57620041753654</v>
          </cell>
          <cell r="U127">
            <v>1.80061983471074</v>
          </cell>
          <cell r="V127">
            <v>4.7755805828258</v>
          </cell>
          <cell r="W127" t="str">
            <v>库存过高</v>
          </cell>
          <cell r="X127" t="str">
            <v>库存过高</v>
          </cell>
          <cell r="Y127">
            <v>27.18</v>
          </cell>
          <cell r="Z127">
            <v>44.2</v>
          </cell>
          <cell r="AA127">
            <v>96.28</v>
          </cell>
          <cell r="AB127">
            <v>0.345274390243902</v>
          </cell>
        </row>
        <row r="128">
          <cell r="A128" t="str">
            <v>欣彤</v>
          </cell>
          <cell r="B128" t="str">
            <v>Y3049-BY+Y3050+Y3051</v>
          </cell>
          <cell r="C128" t="str">
            <v>中性手机壳 A23 5G 背甲+软膜 黑+黄</v>
          </cell>
          <cell r="D128">
            <v>44840</v>
          </cell>
          <cell r="E128" t="str">
            <v>B0BFQZJXSG</v>
          </cell>
          <cell r="F128">
            <v>13</v>
          </cell>
          <cell r="G128">
            <v>1</v>
          </cell>
          <cell r="H128">
            <v>9</v>
          </cell>
          <cell r="I128">
            <v>0</v>
          </cell>
          <cell r="J128">
            <v>0</v>
          </cell>
          <cell r="K128">
            <v>23</v>
          </cell>
          <cell r="L128">
            <v>13.9</v>
          </cell>
          <cell r="M128">
            <v>319.7</v>
          </cell>
          <cell r="N128">
            <v>2</v>
          </cell>
          <cell r="O128">
            <v>3</v>
          </cell>
          <cell r="P128">
            <v>3</v>
          </cell>
          <cell r="Q128">
            <v>0</v>
          </cell>
          <cell r="R128">
            <v>2</v>
          </cell>
          <cell r="S128">
            <v>117.80487804878</v>
          </cell>
          <cell r="T128">
            <v>3.92682926829268</v>
          </cell>
          <cell r="U128">
            <v>78</v>
          </cell>
          <cell r="V128">
            <v>-74.0731707317073</v>
          </cell>
          <cell r="W128" t="str">
            <v>库存过高</v>
          </cell>
          <cell r="X128" t="str">
            <v>库存过高</v>
          </cell>
          <cell r="Y128">
            <v>0</v>
          </cell>
          <cell r="Z128">
            <v>0</v>
          </cell>
          <cell r="AA128">
            <v>0</v>
          </cell>
          <cell r="AB128" t="str">
            <v>-</v>
          </cell>
        </row>
        <row r="129">
          <cell r="A129" t="str">
            <v>欣彤</v>
          </cell>
          <cell r="B129" t="str">
            <v>Y3049-DB+Y3050+Y3051</v>
          </cell>
          <cell r="C129" t="str">
            <v>中性手机壳 A23 5G 背甲+软膜 蓝</v>
          </cell>
          <cell r="D129">
            <v>44840</v>
          </cell>
          <cell r="E129" t="str">
            <v>B0BFR1HGZX</v>
          </cell>
          <cell r="F129">
            <v>31</v>
          </cell>
          <cell r="G129">
            <v>0</v>
          </cell>
          <cell r="H129">
            <v>0</v>
          </cell>
          <cell r="I129">
            <v>0</v>
          </cell>
          <cell r="J129">
            <v>7</v>
          </cell>
          <cell r="K129">
            <v>38</v>
          </cell>
          <cell r="L129">
            <v>13.9</v>
          </cell>
          <cell r="M129">
            <v>528.2</v>
          </cell>
          <cell r="N129">
            <v>1</v>
          </cell>
          <cell r="O129">
            <v>4</v>
          </cell>
          <cell r="P129">
            <v>13</v>
          </cell>
          <cell r="Q129">
            <v>6</v>
          </cell>
          <cell r="R129">
            <v>-5</v>
          </cell>
          <cell r="S129">
            <v>135.254237288136</v>
          </cell>
          <cell r="T129">
            <v>4.50847457627119</v>
          </cell>
          <cell r="U129">
            <v>2.10478359908884</v>
          </cell>
          <cell r="V129">
            <v>2.40369097718235</v>
          </cell>
          <cell r="W129" t="str">
            <v>库存过高</v>
          </cell>
          <cell r="X129" t="str">
            <v>库存过高</v>
          </cell>
          <cell r="Y129">
            <v>0</v>
          </cell>
          <cell r="Z129">
            <v>0</v>
          </cell>
          <cell r="AA129">
            <v>0</v>
          </cell>
          <cell r="AB129" t="str">
            <v>-</v>
          </cell>
        </row>
        <row r="130">
          <cell r="A130" t="str">
            <v>欣彤</v>
          </cell>
          <cell r="B130" t="str">
            <v>Y3049-GK+Y3050+Y3051</v>
          </cell>
          <cell r="C130" t="str">
            <v>中性手机壳 A23 5G 背甲+软膜 果绿+黑</v>
          </cell>
          <cell r="D130">
            <v>44840</v>
          </cell>
          <cell r="E130" t="str">
            <v>B0BFR2JK9C</v>
          </cell>
          <cell r="F130">
            <v>9</v>
          </cell>
          <cell r="G130">
            <v>0</v>
          </cell>
          <cell r="H130">
            <v>0</v>
          </cell>
          <cell r="I130">
            <v>0</v>
          </cell>
          <cell r="J130">
            <v>0</v>
          </cell>
          <cell r="K130">
            <v>9</v>
          </cell>
          <cell r="L130">
            <v>13.9</v>
          </cell>
          <cell r="M130">
            <v>125.1</v>
          </cell>
          <cell r="N130">
            <v>1</v>
          </cell>
          <cell r="O130">
            <v>2</v>
          </cell>
          <cell r="P130">
            <v>3</v>
          </cell>
          <cell r="Q130">
            <v>0</v>
          </cell>
          <cell r="R130">
            <v>1</v>
          </cell>
          <cell r="S130">
            <v>71.7721518987342</v>
          </cell>
          <cell r="T130">
            <v>2.39240506329114</v>
          </cell>
          <cell r="U130">
            <v>11</v>
          </cell>
          <cell r="V130">
            <v>-8.60759493670886</v>
          </cell>
          <cell r="W130" t="str">
            <v>库存过高</v>
          </cell>
          <cell r="X130" t="str">
            <v>库存过高</v>
          </cell>
          <cell r="Y130">
            <v>0</v>
          </cell>
          <cell r="Z130">
            <v>0</v>
          </cell>
          <cell r="AA130">
            <v>0</v>
          </cell>
          <cell r="AB130" t="str">
            <v>-</v>
          </cell>
        </row>
        <row r="131">
          <cell r="A131" t="str">
            <v>欣彤</v>
          </cell>
          <cell r="B131" t="str">
            <v>Y3049-OR+Y3050+Y3051</v>
          </cell>
          <cell r="C131" t="str">
            <v>中性手机壳 A23 5G 背甲+软膜 橙</v>
          </cell>
          <cell r="D131">
            <v>44840</v>
          </cell>
          <cell r="E131" t="str">
            <v>B0BFQZM17H</v>
          </cell>
          <cell r="F131">
            <v>23</v>
          </cell>
          <cell r="G131">
            <v>0</v>
          </cell>
          <cell r="H131">
            <v>0</v>
          </cell>
          <cell r="I131">
            <v>0</v>
          </cell>
          <cell r="J131">
            <v>0</v>
          </cell>
          <cell r="K131">
            <v>23</v>
          </cell>
          <cell r="L131">
            <v>13.9</v>
          </cell>
          <cell r="M131">
            <v>319.7</v>
          </cell>
          <cell r="N131">
            <v>2</v>
          </cell>
          <cell r="O131">
            <v>5</v>
          </cell>
          <cell r="P131">
            <v>10</v>
          </cell>
          <cell r="Q131">
            <v>2</v>
          </cell>
          <cell r="R131">
            <v>0</v>
          </cell>
          <cell r="S131">
            <v>72.45</v>
          </cell>
          <cell r="T131">
            <v>2.415</v>
          </cell>
          <cell r="U131">
            <v>4.25316455696202</v>
          </cell>
          <cell r="V131">
            <v>-1.83816455696202</v>
          </cell>
          <cell r="W131" t="str">
            <v>库存过高</v>
          </cell>
          <cell r="X131" t="str">
            <v>库存过高</v>
          </cell>
          <cell r="Y131">
            <v>0</v>
          </cell>
          <cell r="Z131">
            <v>0</v>
          </cell>
          <cell r="AA131">
            <v>0</v>
          </cell>
          <cell r="AB131" t="str">
            <v>-</v>
          </cell>
        </row>
        <row r="132">
          <cell r="A132" t="str">
            <v>欣彤</v>
          </cell>
          <cell r="B132" t="str">
            <v>Y3046-BL+Y3047+Y3048</v>
          </cell>
          <cell r="C132" t="str">
            <v>中性 Motorola edge 2022 带背夹 +软膜 黑</v>
          </cell>
          <cell r="D132">
            <v>44840</v>
          </cell>
          <cell r="E132" t="str">
            <v>B0BFVNJNYV</v>
          </cell>
          <cell r="F132">
            <v>96</v>
          </cell>
          <cell r="G132">
            <v>2</v>
          </cell>
          <cell r="H132">
            <v>33</v>
          </cell>
          <cell r="I132">
            <v>2</v>
          </cell>
          <cell r="J132">
            <v>0</v>
          </cell>
          <cell r="K132">
            <v>133</v>
          </cell>
          <cell r="L132">
            <v>13.9</v>
          </cell>
          <cell r="M132">
            <v>1848.7</v>
          </cell>
          <cell r="N132">
            <v>7</v>
          </cell>
          <cell r="O132">
            <v>14</v>
          </cell>
          <cell r="P132">
            <v>52</v>
          </cell>
          <cell r="Q132">
            <v>21</v>
          </cell>
          <cell r="R132">
            <v>-14</v>
          </cell>
          <cell r="S132">
            <v>108.818181818182</v>
          </cell>
          <cell r="T132">
            <v>3.62727272727273</v>
          </cell>
          <cell r="U132">
            <v>2.07317073170732</v>
          </cell>
          <cell r="V132">
            <v>1.55410199556541</v>
          </cell>
          <cell r="W132" t="str">
            <v>库存过高</v>
          </cell>
          <cell r="X132" t="str">
            <v>库存过高</v>
          </cell>
          <cell r="Y132">
            <v>16.04</v>
          </cell>
          <cell r="Z132">
            <v>34.75</v>
          </cell>
          <cell r="AA132">
            <v>98.01</v>
          </cell>
          <cell r="AB132">
            <v>0.458678867600801</v>
          </cell>
        </row>
        <row r="133">
          <cell r="A133" t="str">
            <v>欣彤</v>
          </cell>
          <cell r="B133" t="str">
            <v>Y3046-BY+Y3047+Y3048</v>
          </cell>
          <cell r="C133" t="str">
            <v>中性 Motorola edge 2022 带背夹 +软膜 黑+黄</v>
          </cell>
          <cell r="D133">
            <v>44840</v>
          </cell>
          <cell r="E133" t="str">
            <v>B0BFW7BCXR</v>
          </cell>
          <cell r="F133">
            <v>19</v>
          </cell>
          <cell r="G133">
            <v>0</v>
          </cell>
          <cell r="H133">
            <v>0</v>
          </cell>
          <cell r="I133">
            <v>0</v>
          </cell>
          <cell r="J133">
            <v>0</v>
          </cell>
          <cell r="K133">
            <v>19</v>
          </cell>
          <cell r="L133">
            <v>13.9</v>
          </cell>
          <cell r="M133">
            <v>264.1</v>
          </cell>
          <cell r="N133">
            <v>0</v>
          </cell>
          <cell r="O133">
            <v>0</v>
          </cell>
          <cell r="P133">
            <v>3</v>
          </cell>
          <cell r="Q133">
            <v>0</v>
          </cell>
          <cell r="R133">
            <v>0</v>
          </cell>
          <cell r="S133">
            <v>570</v>
          </cell>
          <cell r="T133">
            <v>19</v>
          </cell>
          <cell r="U133">
            <v>20</v>
          </cell>
          <cell r="V133">
            <v>-1</v>
          </cell>
          <cell r="W133" t="str">
            <v>有库存无销量</v>
          </cell>
          <cell r="X133" t="str">
            <v>库存过高</v>
          </cell>
          <cell r="Y133">
            <v>0</v>
          </cell>
          <cell r="Z133">
            <v>0</v>
          </cell>
          <cell r="AA133">
            <v>0</v>
          </cell>
          <cell r="AB133" t="str">
            <v>-</v>
          </cell>
        </row>
        <row r="134">
          <cell r="A134" t="str">
            <v>欣彤</v>
          </cell>
          <cell r="B134" t="str">
            <v>Y3046-DB+Y3047+Y3048</v>
          </cell>
          <cell r="C134" t="str">
            <v>中性 Motorola edge 2022 带背夹 +软膜 蓝</v>
          </cell>
          <cell r="D134">
            <v>44840</v>
          </cell>
          <cell r="E134" t="str">
            <v>B0BFVRPPHJ</v>
          </cell>
          <cell r="F134">
            <v>28</v>
          </cell>
          <cell r="G134">
            <v>0</v>
          </cell>
          <cell r="H134">
            <v>1</v>
          </cell>
          <cell r="I134">
            <v>2</v>
          </cell>
          <cell r="J134">
            <v>39</v>
          </cell>
          <cell r="K134">
            <v>70</v>
          </cell>
          <cell r="L134">
            <v>13.9</v>
          </cell>
          <cell r="M134">
            <v>973</v>
          </cell>
          <cell r="N134">
            <v>4</v>
          </cell>
          <cell r="O134">
            <v>9</v>
          </cell>
          <cell r="P134">
            <v>21</v>
          </cell>
          <cell r="Q134">
            <v>7</v>
          </cell>
          <cell r="R134">
            <v>-3</v>
          </cell>
          <cell r="S134">
            <v>112.213740458015</v>
          </cell>
          <cell r="T134">
            <v>3.74045801526718</v>
          </cell>
          <cell r="U134">
            <v>4.89705882352941</v>
          </cell>
          <cell r="V134">
            <v>-1.15660080826223</v>
          </cell>
          <cell r="W134" t="str">
            <v>库存过高</v>
          </cell>
          <cell r="X134" t="str">
            <v>库存过高</v>
          </cell>
          <cell r="Y134">
            <v>0</v>
          </cell>
          <cell r="Z134">
            <v>0</v>
          </cell>
          <cell r="AA134">
            <v>0</v>
          </cell>
          <cell r="AB134" t="str">
            <v>-</v>
          </cell>
        </row>
        <row r="135">
          <cell r="A135" t="str">
            <v>欣彤</v>
          </cell>
          <cell r="B135" t="str">
            <v>Y3046-GK+Y3047+Y3048</v>
          </cell>
          <cell r="C135" t="str">
            <v>中性 Motorola edge 2022 带背夹 +软膜 果绿+黑</v>
          </cell>
          <cell r="D135">
            <v>44840</v>
          </cell>
          <cell r="E135" t="str">
            <v>B0BFVG46SH</v>
          </cell>
          <cell r="F135">
            <v>22</v>
          </cell>
          <cell r="G135">
            <v>0</v>
          </cell>
          <cell r="H135">
            <v>1</v>
          </cell>
          <cell r="I135">
            <v>0</v>
          </cell>
          <cell r="J135">
            <v>0</v>
          </cell>
          <cell r="K135">
            <v>23</v>
          </cell>
          <cell r="L135">
            <v>13.9</v>
          </cell>
          <cell r="M135">
            <v>319.7</v>
          </cell>
          <cell r="N135">
            <v>2</v>
          </cell>
          <cell r="O135">
            <v>2</v>
          </cell>
          <cell r="P135">
            <v>5</v>
          </cell>
          <cell r="Q135">
            <v>1</v>
          </cell>
          <cell r="R135">
            <v>1</v>
          </cell>
          <cell r="S135">
            <v>117.804878048781</v>
          </cell>
          <cell r="T135">
            <v>3.92682926829268</v>
          </cell>
          <cell r="U135">
            <v>6.50704225352113</v>
          </cell>
          <cell r="V135">
            <v>-2.58021298522845</v>
          </cell>
          <cell r="W135" t="str">
            <v>库存过高</v>
          </cell>
          <cell r="X135" t="str">
            <v>库存过高</v>
          </cell>
          <cell r="Y135">
            <v>0</v>
          </cell>
          <cell r="Z135">
            <v>0</v>
          </cell>
          <cell r="AA135">
            <v>0</v>
          </cell>
          <cell r="AB135" t="str">
            <v>-</v>
          </cell>
        </row>
        <row r="136">
          <cell r="A136" t="str">
            <v>欣彤</v>
          </cell>
          <cell r="B136" t="str">
            <v>Y3046-OR+Y3047+Y3048</v>
          </cell>
          <cell r="C136" t="str">
            <v>中性 Motorola edge 2022 带背夹 +软膜 橙</v>
          </cell>
          <cell r="D136">
            <v>44840</v>
          </cell>
          <cell r="E136" t="str">
            <v>B0BFVR2BK9</v>
          </cell>
          <cell r="F136">
            <v>41</v>
          </cell>
          <cell r="G136">
            <v>0</v>
          </cell>
          <cell r="H136">
            <v>0</v>
          </cell>
          <cell r="I136">
            <v>0</v>
          </cell>
          <cell r="J136">
            <v>0</v>
          </cell>
          <cell r="K136">
            <v>41</v>
          </cell>
          <cell r="L136">
            <v>13.9</v>
          </cell>
          <cell r="M136">
            <v>569.9</v>
          </cell>
          <cell r="N136">
            <v>1</v>
          </cell>
          <cell r="O136">
            <v>1</v>
          </cell>
          <cell r="P136">
            <v>8</v>
          </cell>
          <cell r="Q136">
            <v>6</v>
          </cell>
          <cell r="R136">
            <v>-5</v>
          </cell>
          <cell r="S136">
            <v>258.3</v>
          </cell>
          <cell r="T136">
            <v>8.61</v>
          </cell>
          <cell r="U136">
            <v>4.55284552845528</v>
          </cell>
          <cell r="V136">
            <v>4.05715447154472</v>
          </cell>
          <cell r="W136" t="str">
            <v>库存过高</v>
          </cell>
          <cell r="X136" t="str">
            <v>库存过高</v>
          </cell>
          <cell r="Y136">
            <v>0</v>
          </cell>
          <cell r="Z136">
            <v>0</v>
          </cell>
          <cell r="AA136">
            <v>0</v>
          </cell>
          <cell r="AB136" t="str">
            <v>-</v>
          </cell>
        </row>
        <row r="137">
          <cell r="A137" t="str">
            <v>欣彤</v>
          </cell>
          <cell r="B137" t="str">
            <v>Y3031-LP+Y3032</v>
          </cell>
          <cell r="C137" t="str">
            <v>三防机器人手机壳带背夹iPhone 14 Pro Max 6.7‘’ 紫红+黑色</v>
          </cell>
          <cell r="D137">
            <v>44863</v>
          </cell>
          <cell r="E137" t="str">
            <v>B0BFWY4QJK</v>
          </cell>
          <cell r="F137">
            <v>11</v>
          </cell>
          <cell r="G137">
            <v>0</v>
          </cell>
          <cell r="H137">
            <v>10</v>
          </cell>
          <cell r="I137">
            <v>0</v>
          </cell>
          <cell r="J137">
            <v>0</v>
          </cell>
          <cell r="K137">
            <v>21</v>
          </cell>
          <cell r="L137">
            <v>13.7</v>
          </cell>
          <cell r="M137">
            <v>287.7</v>
          </cell>
          <cell r="N137">
            <v>1</v>
          </cell>
          <cell r="O137">
            <v>2</v>
          </cell>
          <cell r="P137">
            <v>4</v>
          </cell>
          <cell r="Q137">
            <v>1</v>
          </cell>
          <cell r="R137">
            <v>0</v>
          </cell>
          <cell r="S137">
            <v>153.837209302326</v>
          </cell>
          <cell r="T137">
            <v>5.12790697674419</v>
          </cell>
          <cell r="U137">
            <v>3.41860465116279</v>
          </cell>
          <cell r="V137">
            <v>1.7093023255814</v>
          </cell>
          <cell r="W137" t="str">
            <v>库存过高</v>
          </cell>
          <cell r="X137" t="str">
            <v>库存过高</v>
          </cell>
          <cell r="Y137">
            <v>0</v>
          </cell>
          <cell r="Z137">
            <v>0</v>
          </cell>
          <cell r="AA137">
            <v>0</v>
          </cell>
          <cell r="AB137" t="str">
            <v>-</v>
          </cell>
        </row>
        <row r="138">
          <cell r="A138" t="str">
            <v>欣彤</v>
          </cell>
          <cell r="B138" t="str">
            <v>Y3052-DG+Y3053</v>
          </cell>
          <cell r="C138" t="str">
            <v>三防机器人手机壳带背夹iPhone 14 Pro 6.1‘’ ’ 深灰+柠檬黄</v>
          </cell>
          <cell r="D138">
            <v>44863</v>
          </cell>
          <cell r="E138" t="str">
            <v>B0BJ6KYW12</v>
          </cell>
          <cell r="F138">
            <v>13</v>
          </cell>
          <cell r="G138">
            <v>0</v>
          </cell>
          <cell r="H138">
            <v>0</v>
          </cell>
          <cell r="I138">
            <v>0</v>
          </cell>
          <cell r="J138">
            <v>0</v>
          </cell>
          <cell r="K138">
            <v>13</v>
          </cell>
          <cell r="L138">
            <v>13.7</v>
          </cell>
          <cell r="M138">
            <v>178.1</v>
          </cell>
          <cell r="N138">
            <v>0</v>
          </cell>
          <cell r="O138">
            <v>0</v>
          </cell>
          <cell r="P138">
            <v>0</v>
          </cell>
          <cell r="Q138">
            <v>0</v>
          </cell>
          <cell r="R138">
            <v>0</v>
          </cell>
          <cell r="S138" t="str">
            <v>-</v>
          </cell>
          <cell r="T138" t="str">
            <v>-</v>
          </cell>
          <cell r="U138" t="str">
            <v>-</v>
          </cell>
          <cell r="V138" t="str">
            <v>-</v>
          </cell>
          <cell r="W138" t="str">
            <v>有库存无销量</v>
          </cell>
          <cell r="X138" t="str">
            <v>有库存无销量</v>
          </cell>
          <cell r="Y138">
            <v>0</v>
          </cell>
          <cell r="Z138">
            <v>0</v>
          </cell>
          <cell r="AA138">
            <v>0</v>
          </cell>
          <cell r="AB138" t="str">
            <v>-</v>
          </cell>
        </row>
        <row r="139">
          <cell r="A139" t="str">
            <v>欣彤</v>
          </cell>
          <cell r="B139" t="str">
            <v>Y3052-LP+Y3053</v>
          </cell>
          <cell r="C139" t="str">
            <v>三防机器人手机壳带背夹iPhone 14 Pro 6.1‘’ 紫色</v>
          </cell>
          <cell r="D139">
            <v>44863</v>
          </cell>
          <cell r="E139" t="str">
            <v>B0BJ6CS82T</v>
          </cell>
          <cell r="F139">
            <v>11</v>
          </cell>
          <cell r="G139">
            <v>0</v>
          </cell>
          <cell r="H139">
            <v>0</v>
          </cell>
          <cell r="I139">
            <v>0</v>
          </cell>
          <cell r="J139">
            <v>0</v>
          </cell>
          <cell r="K139">
            <v>11</v>
          </cell>
          <cell r="L139">
            <v>13.7</v>
          </cell>
          <cell r="M139">
            <v>150.7</v>
          </cell>
          <cell r="N139">
            <v>0</v>
          </cell>
          <cell r="O139">
            <v>0</v>
          </cell>
          <cell r="P139">
            <v>0</v>
          </cell>
          <cell r="Q139">
            <v>0</v>
          </cell>
          <cell r="R139">
            <v>0</v>
          </cell>
          <cell r="S139" t="str">
            <v>-</v>
          </cell>
          <cell r="T139" t="str">
            <v>-</v>
          </cell>
          <cell r="U139" t="str">
            <v>-</v>
          </cell>
          <cell r="V139" t="str">
            <v>-</v>
          </cell>
          <cell r="W139" t="str">
            <v>有库存无销量</v>
          </cell>
          <cell r="X139" t="str">
            <v>有库存无销量</v>
          </cell>
          <cell r="Y139">
            <v>0</v>
          </cell>
          <cell r="Z139">
            <v>0</v>
          </cell>
          <cell r="AA139">
            <v>0</v>
          </cell>
          <cell r="AB139" t="str">
            <v>-</v>
          </cell>
        </row>
        <row r="140">
          <cell r="A140" t="str">
            <v>欣彤</v>
          </cell>
          <cell r="B140" t="str">
            <v>Y3052-NB+Y3053</v>
          </cell>
          <cell r="C140" t="str">
            <v>三防机器人手机壳带背夹iPhone 14 Pro 6.1‘’ 蓝</v>
          </cell>
          <cell r="D140">
            <v>44863</v>
          </cell>
          <cell r="E140" t="str">
            <v>B0BJ6GLSG2</v>
          </cell>
          <cell r="F140">
            <v>23</v>
          </cell>
          <cell r="G140">
            <v>0</v>
          </cell>
          <cell r="H140">
            <v>0</v>
          </cell>
          <cell r="I140">
            <v>1</v>
          </cell>
          <cell r="J140">
            <v>0</v>
          </cell>
          <cell r="K140">
            <v>24</v>
          </cell>
          <cell r="L140">
            <v>13.7</v>
          </cell>
          <cell r="M140">
            <v>328.8</v>
          </cell>
          <cell r="N140">
            <v>0</v>
          </cell>
          <cell r="O140">
            <v>0</v>
          </cell>
          <cell r="P140">
            <v>0</v>
          </cell>
          <cell r="Q140">
            <v>0</v>
          </cell>
          <cell r="R140">
            <v>0</v>
          </cell>
          <cell r="S140" t="str">
            <v>-</v>
          </cell>
          <cell r="T140" t="str">
            <v>-</v>
          </cell>
          <cell r="U140" t="str">
            <v>-</v>
          </cell>
          <cell r="V140" t="str">
            <v>-</v>
          </cell>
          <cell r="W140" t="str">
            <v>有库存无销量</v>
          </cell>
          <cell r="X140" t="str">
            <v>有库存无销量</v>
          </cell>
          <cell r="Y140">
            <v>0</v>
          </cell>
          <cell r="Z140">
            <v>0.62</v>
          </cell>
          <cell r="AA140">
            <v>4.74</v>
          </cell>
          <cell r="AB140" t="str">
            <v>-</v>
          </cell>
        </row>
        <row r="141">
          <cell r="A141" t="str">
            <v>欣彤</v>
          </cell>
          <cell r="B141" t="str">
            <v>Y3052-OR+Y3053</v>
          </cell>
          <cell r="C141" t="str">
            <v>三防机器人手机壳带背夹iPhone 14 Pro 6.1‘’  橙</v>
          </cell>
          <cell r="D141">
            <v>44863</v>
          </cell>
          <cell r="E141" t="str">
            <v>B0BJ6R8GQP</v>
          </cell>
          <cell r="F141">
            <v>23</v>
          </cell>
          <cell r="G141">
            <v>0</v>
          </cell>
          <cell r="H141">
            <v>0</v>
          </cell>
          <cell r="I141">
            <v>0</v>
          </cell>
          <cell r="J141">
            <v>0</v>
          </cell>
          <cell r="K141">
            <v>23</v>
          </cell>
          <cell r="L141">
            <v>13.7</v>
          </cell>
          <cell r="M141">
            <v>315.1</v>
          </cell>
          <cell r="N141">
            <v>0</v>
          </cell>
          <cell r="O141">
            <v>0</v>
          </cell>
          <cell r="P141">
            <v>0</v>
          </cell>
          <cell r="Q141">
            <v>0</v>
          </cell>
          <cell r="R141">
            <v>0</v>
          </cell>
          <cell r="S141" t="str">
            <v>-</v>
          </cell>
          <cell r="T141" t="str">
            <v>-</v>
          </cell>
          <cell r="U141" t="str">
            <v>-</v>
          </cell>
          <cell r="V141" t="str">
            <v>-</v>
          </cell>
          <cell r="W141" t="str">
            <v>有库存无销量</v>
          </cell>
          <cell r="X141" t="str">
            <v>有库存无销量</v>
          </cell>
          <cell r="Y141">
            <v>0</v>
          </cell>
          <cell r="Z141">
            <v>0</v>
          </cell>
          <cell r="AA141">
            <v>0</v>
          </cell>
          <cell r="AB141" t="str">
            <v>-</v>
          </cell>
        </row>
        <row r="142">
          <cell r="A142" t="str">
            <v>欣彤</v>
          </cell>
          <cell r="B142" t="str">
            <v>Y3052-TG+Y3053</v>
          </cell>
          <cell r="C142" t="str">
            <v>三防机器人手机壳带背夹iPhone 14 Pro 6.1‘’ 蓝绿+浅绿</v>
          </cell>
          <cell r="D142">
            <v>44863</v>
          </cell>
          <cell r="E142" t="str">
            <v>B0BJ69YF4P</v>
          </cell>
          <cell r="F142">
            <v>13</v>
          </cell>
          <cell r="G142">
            <v>0</v>
          </cell>
          <cell r="H142">
            <v>0</v>
          </cell>
          <cell r="I142">
            <v>0</v>
          </cell>
          <cell r="J142">
            <v>0</v>
          </cell>
          <cell r="K142">
            <v>13</v>
          </cell>
          <cell r="L142">
            <v>13.7</v>
          </cell>
          <cell r="M142">
            <v>178.1</v>
          </cell>
          <cell r="N142">
            <v>0</v>
          </cell>
          <cell r="O142">
            <v>0</v>
          </cell>
          <cell r="P142">
            <v>0</v>
          </cell>
          <cell r="Q142">
            <v>0</v>
          </cell>
          <cell r="R142">
            <v>0</v>
          </cell>
          <cell r="S142" t="str">
            <v>-</v>
          </cell>
          <cell r="T142" t="str">
            <v>-</v>
          </cell>
          <cell r="U142" t="str">
            <v>-</v>
          </cell>
          <cell r="V142" t="str">
            <v>-</v>
          </cell>
          <cell r="W142" t="str">
            <v>有库存无销量</v>
          </cell>
          <cell r="X142" t="str">
            <v>有库存无销量</v>
          </cell>
          <cell r="Y142">
            <v>0</v>
          </cell>
          <cell r="Z142">
            <v>0</v>
          </cell>
          <cell r="AA142">
            <v>0</v>
          </cell>
          <cell r="AB142" t="str">
            <v>-</v>
          </cell>
        </row>
        <row r="143">
          <cell r="A143" t="str">
            <v>欣彤</v>
          </cell>
          <cell r="B143" t="str">
            <v>Y3060-BL+Y3061+Y3062</v>
          </cell>
          <cell r="C143" t="str">
            <v>中性手机壳Samsung A14 5G 黑</v>
          </cell>
          <cell r="D143">
            <v>44938</v>
          </cell>
          <cell r="E143" t="str">
            <v>B0BMFRH2YG</v>
          </cell>
          <cell r="F143">
            <v>127</v>
          </cell>
          <cell r="G143">
            <v>2</v>
          </cell>
          <cell r="H143">
            <v>133</v>
          </cell>
          <cell r="I143">
            <v>4</v>
          </cell>
          <cell r="J143">
            <v>0</v>
          </cell>
          <cell r="K143">
            <v>266</v>
          </cell>
          <cell r="L143">
            <v>13.9</v>
          </cell>
          <cell r="M143">
            <v>3697.4</v>
          </cell>
          <cell r="N143">
            <v>28</v>
          </cell>
          <cell r="O143">
            <v>51</v>
          </cell>
          <cell r="P143">
            <v>145</v>
          </cell>
          <cell r="Q143">
            <v>36</v>
          </cell>
          <cell r="R143">
            <v>-8</v>
          </cell>
          <cell r="S143">
            <v>65.2316076294278</v>
          </cell>
          <cell r="T143">
            <v>2.17438692098093</v>
          </cell>
          <cell r="U143">
            <v>1.13094798967171</v>
          </cell>
          <cell r="V143">
            <v>1.04343893130922</v>
          </cell>
          <cell r="W143" t="str">
            <v>库存过高</v>
          </cell>
          <cell r="X143" t="str">
            <v>库存过高</v>
          </cell>
          <cell r="Y143">
            <v>16.856</v>
          </cell>
          <cell r="Z143">
            <v>31.196</v>
          </cell>
          <cell r="AA143">
            <v>78.994</v>
          </cell>
          <cell r="AB143">
            <v>0.196608113467236</v>
          </cell>
        </row>
        <row r="144">
          <cell r="A144" t="str">
            <v>欣彤</v>
          </cell>
          <cell r="B144" t="str">
            <v>Y3060-BY+Y3061+Y3062</v>
          </cell>
          <cell r="C144" t="str">
            <v>中性手机壳Samsung A14 5G  黑+黄</v>
          </cell>
          <cell r="D144">
            <v>44938</v>
          </cell>
          <cell r="E144" t="str">
            <v>B0BMFPR37C</v>
          </cell>
          <cell r="F144">
            <v>67</v>
          </cell>
          <cell r="G144">
            <v>0</v>
          </cell>
          <cell r="H144">
            <v>0</v>
          </cell>
          <cell r="I144">
            <v>0</v>
          </cell>
          <cell r="J144">
            <v>0</v>
          </cell>
          <cell r="K144">
            <v>67</v>
          </cell>
          <cell r="L144">
            <v>13.9</v>
          </cell>
          <cell r="M144">
            <v>931.3</v>
          </cell>
          <cell r="N144">
            <v>3</v>
          </cell>
          <cell r="O144">
            <v>6</v>
          </cell>
          <cell r="P144">
            <v>17</v>
          </cell>
          <cell r="Q144">
            <v>3</v>
          </cell>
          <cell r="R144">
            <v>0</v>
          </cell>
          <cell r="S144">
            <v>144.061433447099</v>
          </cell>
          <cell r="T144">
            <v>4.80204778156997</v>
          </cell>
          <cell r="U144">
            <v>4.63323782234957</v>
          </cell>
          <cell r="V144">
            <v>0.168809959220396</v>
          </cell>
          <cell r="W144" t="str">
            <v>库存过高</v>
          </cell>
          <cell r="X144" t="str">
            <v>库存过高</v>
          </cell>
          <cell r="Y144">
            <v>6.976</v>
          </cell>
          <cell r="Z144">
            <v>11.246</v>
          </cell>
          <cell r="AA144">
            <v>21.834</v>
          </cell>
          <cell r="AB144">
            <v>0.895047472414678</v>
          </cell>
        </row>
        <row r="145">
          <cell r="A145" t="str">
            <v>欣彤</v>
          </cell>
          <cell r="B145" t="str">
            <v>Y3060-DB+Y3061+Y3062</v>
          </cell>
          <cell r="C145" t="str">
            <v>中性手机壳Samsung A14 5G 蓝</v>
          </cell>
          <cell r="D145">
            <v>44938</v>
          </cell>
          <cell r="E145" t="str">
            <v>B0BMFRQ616</v>
          </cell>
          <cell r="F145">
            <v>45</v>
          </cell>
          <cell r="G145">
            <v>0</v>
          </cell>
          <cell r="H145">
            <v>14</v>
          </cell>
          <cell r="I145">
            <v>1</v>
          </cell>
          <cell r="J145">
            <v>0</v>
          </cell>
          <cell r="K145">
            <v>60</v>
          </cell>
          <cell r="L145">
            <v>13.9</v>
          </cell>
          <cell r="M145">
            <v>834</v>
          </cell>
          <cell r="N145">
            <v>10</v>
          </cell>
          <cell r="O145">
            <v>18</v>
          </cell>
          <cell r="P145">
            <v>43</v>
          </cell>
          <cell r="Q145">
            <v>14</v>
          </cell>
          <cell r="R145">
            <v>-4</v>
          </cell>
          <cell r="S145">
            <v>44.3141852286049</v>
          </cell>
          <cell r="T145">
            <v>1.47713950762016</v>
          </cell>
          <cell r="U145">
            <v>0.994082840236686</v>
          </cell>
          <cell r="V145">
            <v>0.483056667383478</v>
          </cell>
          <cell r="W145" t="str">
            <v>正常</v>
          </cell>
          <cell r="X145" t="str">
            <v>正常</v>
          </cell>
          <cell r="Y145">
            <v>6.976</v>
          </cell>
          <cell r="Z145">
            <v>11.246</v>
          </cell>
          <cell r="AA145">
            <v>21.834</v>
          </cell>
          <cell r="AB145">
            <v>0.895047472414678</v>
          </cell>
        </row>
        <row r="146">
          <cell r="A146" t="str">
            <v>欣彤</v>
          </cell>
          <cell r="B146" t="str">
            <v>Y3060-GK+Y3061+Y3062</v>
          </cell>
          <cell r="C146" t="str">
            <v>中性手机壳Samsung A14 5G果绿+黑</v>
          </cell>
          <cell r="D146">
            <v>44938</v>
          </cell>
          <cell r="E146" t="str">
            <v>B0BMFPBCF9</v>
          </cell>
          <cell r="F146">
            <v>53</v>
          </cell>
          <cell r="G146">
            <v>0</v>
          </cell>
          <cell r="H146">
            <v>0</v>
          </cell>
          <cell r="I146">
            <v>0</v>
          </cell>
          <cell r="J146">
            <v>0</v>
          </cell>
          <cell r="K146">
            <v>53</v>
          </cell>
          <cell r="L146">
            <v>13.9</v>
          </cell>
          <cell r="M146">
            <v>736.7</v>
          </cell>
          <cell r="N146">
            <v>2</v>
          </cell>
          <cell r="O146">
            <v>2</v>
          </cell>
          <cell r="P146">
            <v>11</v>
          </cell>
          <cell r="Q146">
            <v>5</v>
          </cell>
          <cell r="R146">
            <v>-3</v>
          </cell>
          <cell r="S146">
            <v>202.363636363636</v>
          </cell>
          <cell r="T146">
            <v>6.74545454545455</v>
          </cell>
          <cell r="U146">
            <v>2.84035476718404</v>
          </cell>
          <cell r="V146">
            <v>3.90509977827051</v>
          </cell>
          <cell r="W146" t="str">
            <v>库存过高</v>
          </cell>
          <cell r="X146" t="str">
            <v>库存过高</v>
          </cell>
          <cell r="Y146">
            <v>6.976</v>
          </cell>
          <cell r="Z146">
            <v>11.246</v>
          </cell>
          <cell r="AA146">
            <v>21.834</v>
          </cell>
          <cell r="AB146">
            <v>0.895047472414678</v>
          </cell>
        </row>
        <row r="147">
          <cell r="A147" t="str">
            <v>欣彤</v>
          </cell>
          <cell r="B147" t="str">
            <v>Y3060-OR+Y3061+Y3062</v>
          </cell>
          <cell r="C147" t="str">
            <v>中性手机壳Samsung A14 5G 橙</v>
          </cell>
          <cell r="D147">
            <v>44938</v>
          </cell>
          <cell r="E147" t="str">
            <v>B0BMFPDY3X</v>
          </cell>
          <cell r="F147">
            <v>54</v>
          </cell>
          <cell r="G147">
            <v>0</v>
          </cell>
          <cell r="H147">
            <v>26</v>
          </cell>
          <cell r="I147">
            <v>1</v>
          </cell>
          <cell r="J147">
            <v>1</v>
          </cell>
          <cell r="K147">
            <v>82</v>
          </cell>
          <cell r="L147">
            <v>13.9</v>
          </cell>
          <cell r="M147">
            <v>1139.8</v>
          </cell>
          <cell r="N147">
            <v>4</v>
          </cell>
          <cell r="O147">
            <v>12</v>
          </cell>
          <cell r="P147">
            <v>25</v>
          </cell>
          <cell r="Q147">
            <v>5</v>
          </cell>
          <cell r="R147">
            <v>-1</v>
          </cell>
          <cell r="S147">
            <v>111.576673866091</v>
          </cell>
          <cell r="T147">
            <v>3.71922246220302</v>
          </cell>
          <cell r="U147">
            <v>2.12981744421907</v>
          </cell>
          <cell r="V147">
            <v>1.58940501798395</v>
          </cell>
          <cell r="W147" t="str">
            <v>库存过高</v>
          </cell>
          <cell r="X147" t="str">
            <v>库存过高</v>
          </cell>
          <cell r="Y147">
            <v>46.196</v>
          </cell>
          <cell r="Z147">
            <v>85.916</v>
          </cell>
          <cell r="AA147">
            <v>189.984</v>
          </cell>
          <cell r="AB147">
            <v>0.350782875453703</v>
          </cell>
        </row>
        <row r="148">
          <cell r="A148" t="str">
            <v>欣彤</v>
          </cell>
          <cell r="B148" t="str">
            <v>Y3054-GN+Y3055</v>
          </cell>
          <cell r="C148" t="str">
            <v>高A三防机器人Samsung Galaxg S23带背夹+软膜</v>
          </cell>
          <cell r="D148">
            <v>44946</v>
          </cell>
          <cell r="E148" t="str">
            <v>B0BP6M89NF</v>
          </cell>
          <cell r="F148">
            <v>17</v>
          </cell>
          <cell r="G148">
            <v>0</v>
          </cell>
          <cell r="H148">
            <v>0</v>
          </cell>
          <cell r="I148">
            <v>0</v>
          </cell>
          <cell r="J148">
            <v>0</v>
          </cell>
          <cell r="K148">
            <v>17</v>
          </cell>
          <cell r="L148">
            <v>13.7</v>
          </cell>
          <cell r="M148">
            <v>232.9</v>
          </cell>
          <cell r="N148">
            <v>0</v>
          </cell>
          <cell r="O148">
            <v>0</v>
          </cell>
          <cell r="P148">
            <v>3</v>
          </cell>
          <cell r="Q148">
            <v>1</v>
          </cell>
          <cell r="R148">
            <v>-1</v>
          </cell>
          <cell r="S148">
            <v>510</v>
          </cell>
          <cell r="T148">
            <v>17</v>
          </cell>
          <cell r="U148">
            <v>5.31645569620253</v>
          </cell>
          <cell r="V148">
            <v>11.6835443037975</v>
          </cell>
          <cell r="W148" t="str">
            <v>有库存无销量</v>
          </cell>
          <cell r="X148" t="str">
            <v>库存过高</v>
          </cell>
          <cell r="Y148">
            <v>0</v>
          </cell>
          <cell r="Z148">
            <v>0</v>
          </cell>
          <cell r="AA148">
            <v>0</v>
          </cell>
          <cell r="AB148" t="str">
            <v>-</v>
          </cell>
        </row>
        <row r="149">
          <cell r="A149" t="str">
            <v>欣彤</v>
          </cell>
          <cell r="B149" t="str">
            <v>Y3054-GY+Y3055</v>
          </cell>
          <cell r="C149" t="str">
            <v>高A三防机器人Samsung Galaxg S23带背夹+软膜</v>
          </cell>
          <cell r="D149">
            <v>44946</v>
          </cell>
          <cell r="E149" t="str">
            <v>B0BP6GRTJJ</v>
          </cell>
          <cell r="F149">
            <v>6</v>
          </cell>
          <cell r="G149">
            <v>1</v>
          </cell>
          <cell r="H149">
            <v>0</v>
          </cell>
          <cell r="I149">
            <v>0</v>
          </cell>
          <cell r="J149">
            <v>0</v>
          </cell>
          <cell r="K149">
            <v>7</v>
          </cell>
          <cell r="L149">
            <v>13.7</v>
          </cell>
          <cell r="M149">
            <v>95.9</v>
          </cell>
          <cell r="N149">
            <v>2</v>
          </cell>
          <cell r="O149">
            <v>3</v>
          </cell>
          <cell r="P149">
            <v>4</v>
          </cell>
          <cell r="Q149">
            <v>1</v>
          </cell>
          <cell r="R149">
            <v>1</v>
          </cell>
          <cell r="S149">
            <v>33.9230769230769</v>
          </cell>
          <cell r="T149">
            <v>1.13076923076923</v>
          </cell>
          <cell r="U149">
            <v>1.73553719008264</v>
          </cell>
          <cell r="V149">
            <v>-0.604767959313409</v>
          </cell>
          <cell r="W149" t="str">
            <v>正常</v>
          </cell>
          <cell r="X149" t="str">
            <v>正常</v>
          </cell>
          <cell r="Y149">
            <v>0</v>
          </cell>
          <cell r="Z149">
            <v>0</v>
          </cell>
          <cell r="AA149">
            <v>0</v>
          </cell>
          <cell r="AB149" t="str">
            <v>-</v>
          </cell>
        </row>
        <row r="150">
          <cell r="A150" t="str">
            <v>欣彤</v>
          </cell>
          <cell r="B150" t="str">
            <v>Y3054-LP+Y3055</v>
          </cell>
          <cell r="C150" t="str">
            <v>高A三防机器人Samsung Galaxg S23带背夹+软膜</v>
          </cell>
          <cell r="D150">
            <v>44946</v>
          </cell>
          <cell r="E150" t="str">
            <v>B0BP6YDW8P</v>
          </cell>
          <cell r="F150">
            <v>21</v>
          </cell>
          <cell r="G150">
            <v>0</v>
          </cell>
          <cell r="H150">
            <v>0</v>
          </cell>
          <cell r="I150">
            <v>0</v>
          </cell>
          <cell r="J150">
            <v>0</v>
          </cell>
          <cell r="K150">
            <v>21</v>
          </cell>
          <cell r="L150">
            <v>13.7</v>
          </cell>
          <cell r="M150">
            <v>287.7</v>
          </cell>
          <cell r="N150">
            <v>0</v>
          </cell>
          <cell r="O150">
            <v>0</v>
          </cell>
          <cell r="P150">
            <v>0</v>
          </cell>
          <cell r="Q150">
            <v>0</v>
          </cell>
          <cell r="R150">
            <v>0</v>
          </cell>
          <cell r="S150" t="str">
            <v>-</v>
          </cell>
          <cell r="T150" t="str">
            <v>-</v>
          </cell>
          <cell r="U150">
            <v>15.75</v>
          </cell>
          <cell r="V150" t="str">
            <v>-</v>
          </cell>
          <cell r="W150" t="str">
            <v>有库存无销量</v>
          </cell>
          <cell r="X150" t="str">
            <v>有库存无销量</v>
          </cell>
          <cell r="Y150">
            <v>0</v>
          </cell>
          <cell r="Z150">
            <v>0</v>
          </cell>
          <cell r="AA150">
            <v>0</v>
          </cell>
          <cell r="AB150" t="str">
            <v>-</v>
          </cell>
        </row>
        <row r="151">
          <cell r="A151" t="str">
            <v>欣彤</v>
          </cell>
          <cell r="B151" t="str">
            <v>Y3054-NB+Y3055</v>
          </cell>
          <cell r="C151" t="str">
            <v>高A三防机器人Samsung Galaxg S23带背夹+软膜</v>
          </cell>
          <cell r="D151">
            <v>44946</v>
          </cell>
          <cell r="E151" t="str">
            <v>B0BP6MC99V</v>
          </cell>
          <cell r="F151">
            <v>26</v>
          </cell>
          <cell r="G151">
            <v>0</v>
          </cell>
          <cell r="H151">
            <v>0</v>
          </cell>
          <cell r="I151">
            <v>0</v>
          </cell>
          <cell r="J151">
            <v>0</v>
          </cell>
          <cell r="K151">
            <v>26</v>
          </cell>
          <cell r="L151">
            <v>13.7</v>
          </cell>
          <cell r="M151">
            <v>356.2</v>
          </cell>
          <cell r="N151">
            <v>1</v>
          </cell>
          <cell r="O151">
            <v>1</v>
          </cell>
          <cell r="P151">
            <v>6</v>
          </cell>
          <cell r="Q151">
            <v>1</v>
          </cell>
          <cell r="R151">
            <v>0</v>
          </cell>
          <cell r="S151">
            <v>190.46511627907</v>
          </cell>
          <cell r="T151">
            <v>6.34883720930233</v>
          </cell>
          <cell r="U151">
            <v>5.71052631578947</v>
          </cell>
          <cell r="V151">
            <v>0.638310893512856</v>
          </cell>
          <cell r="W151" t="str">
            <v>库存过高</v>
          </cell>
          <cell r="X151" t="str">
            <v>库存过高</v>
          </cell>
          <cell r="Y151">
            <v>10.8</v>
          </cell>
          <cell r="Z151">
            <v>20.67</v>
          </cell>
          <cell r="AA151">
            <v>21.4</v>
          </cell>
          <cell r="AB151">
            <v>0.514775977121068</v>
          </cell>
        </row>
        <row r="152">
          <cell r="A152" t="str">
            <v>欣彤</v>
          </cell>
          <cell r="B152" t="str">
            <v>Y3054-TG+Y3055</v>
          </cell>
          <cell r="C152" t="str">
            <v>高A三防机器人Samsung Galaxg S23带背夹+软膜</v>
          </cell>
          <cell r="D152">
            <v>44946</v>
          </cell>
          <cell r="E152" t="str">
            <v>B0BP6DDHYQ</v>
          </cell>
          <cell r="F152">
            <v>23</v>
          </cell>
          <cell r="G152">
            <v>0</v>
          </cell>
          <cell r="H152">
            <v>0</v>
          </cell>
          <cell r="I152">
            <v>1</v>
          </cell>
          <cell r="J152">
            <v>0</v>
          </cell>
          <cell r="K152">
            <v>24</v>
          </cell>
          <cell r="L152">
            <v>13.7</v>
          </cell>
          <cell r="M152">
            <v>328.8</v>
          </cell>
          <cell r="N152">
            <v>1</v>
          </cell>
          <cell r="O152">
            <v>1</v>
          </cell>
          <cell r="P152">
            <v>3</v>
          </cell>
          <cell r="Q152">
            <v>2</v>
          </cell>
          <cell r="R152">
            <v>-1</v>
          </cell>
          <cell r="S152">
            <v>232.615384615385</v>
          </cell>
          <cell r="T152">
            <v>7.75384615384615</v>
          </cell>
          <cell r="U152">
            <v>5.14705882352941</v>
          </cell>
          <cell r="V152">
            <v>2.60678733031674</v>
          </cell>
          <cell r="W152" t="str">
            <v>库存过高</v>
          </cell>
          <cell r="X152" t="str">
            <v>库存过高</v>
          </cell>
          <cell r="Y152">
            <v>0</v>
          </cell>
          <cell r="Z152">
            <v>0</v>
          </cell>
          <cell r="AA152">
            <v>0</v>
          </cell>
          <cell r="AB152" t="str">
            <v>-</v>
          </cell>
        </row>
        <row r="153">
          <cell r="A153" t="str">
            <v>欣彤</v>
          </cell>
          <cell r="B153" t="str">
            <v>Y3056-BL+Y3057</v>
          </cell>
          <cell r="C153" t="str">
            <v>高A三防机器人Samsung Galaxg S23 Plus带背夹+软膜</v>
          </cell>
          <cell r="D153">
            <v>44946</v>
          </cell>
          <cell r="E153" t="str">
            <v>B0BP6PXXBQ</v>
          </cell>
          <cell r="F153">
            <v>32</v>
          </cell>
          <cell r="G153">
            <v>1</v>
          </cell>
          <cell r="H153">
            <v>0</v>
          </cell>
          <cell r="I153">
            <v>0</v>
          </cell>
          <cell r="J153">
            <v>0</v>
          </cell>
          <cell r="K153">
            <v>33</v>
          </cell>
          <cell r="L153">
            <v>13.7</v>
          </cell>
          <cell r="M153">
            <v>452.1</v>
          </cell>
          <cell r="N153">
            <v>2</v>
          </cell>
          <cell r="O153">
            <v>3</v>
          </cell>
          <cell r="P153">
            <v>15</v>
          </cell>
          <cell r="Q153">
            <v>4</v>
          </cell>
          <cell r="R153">
            <v>-2</v>
          </cell>
          <cell r="S153">
            <v>100.434782608696</v>
          </cell>
          <cell r="T153">
            <v>3.34782608695652</v>
          </cell>
          <cell r="U153">
            <v>2.56395348837209</v>
          </cell>
          <cell r="V153">
            <v>0.783872598584432</v>
          </cell>
          <cell r="W153" t="str">
            <v>库存过高</v>
          </cell>
          <cell r="X153" t="str">
            <v>库存过高</v>
          </cell>
          <cell r="Y153">
            <v>0</v>
          </cell>
          <cell r="Z153">
            <v>0</v>
          </cell>
          <cell r="AA153">
            <v>0</v>
          </cell>
          <cell r="AB153" t="str">
            <v>-</v>
          </cell>
        </row>
        <row r="154">
          <cell r="A154" t="str">
            <v>欣彤</v>
          </cell>
          <cell r="B154" t="str">
            <v>Y3056-GN+Y3057</v>
          </cell>
          <cell r="C154" t="str">
            <v>高A三防机器人Samsung Galaxg S23 Plus带背夹+软膜</v>
          </cell>
          <cell r="D154">
            <v>44946</v>
          </cell>
          <cell r="E154" t="str">
            <v>B0BP6P5ZM2</v>
          </cell>
          <cell r="F154">
            <v>12</v>
          </cell>
          <cell r="G154">
            <v>0</v>
          </cell>
          <cell r="H154">
            <v>0</v>
          </cell>
          <cell r="I154">
            <v>0</v>
          </cell>
          <cell r="J154">
            <v>0</v>
          </cell>
          <cell r="K154">
            <v>12</v>
          </cell>
          <cell r="L154">
            <v>13.7</v>
          </cell>
          <cell r="M154">
            <v>164.4</v>
          </cell>
          <cell r="N154">
            <v>0</v>
          </cell>
          <cell r="O154">
            <v>0</v>
          </cell>
          <cell r="P154">
            <v>2</v>
          </cell>
          <cell r="Q154">
            <v>1</v>
          </cell>
          <cell r="R154">
            <v>-1</v>
          </cell>
          <cell r="S154">
            <v>540</v>
          </cell>
          <cell r="T154">
            <v>18</v>
          </cell>
          <cell r="U154">
            <v>4.70689655172414</v>
          </cell>
          <cell r="V154">
            <v>13.2931034482759</v>
          </cell>
          <cell r="W154" t="str">
            <v>有库存无销量</v>
          </cell>
          <cell r="X154" t="str">
            <v>库存过高</v>
          </cell>
          <cell r="Y154">
            <v>0</v>
          </cell>
          <cell r="Z154">
            <v>0</v>
          </cell>
          <cell r="AA154">
            <v>0</v>
          </cell>
          <cell r="AB154" t="str">
            <v>-</v>
          </cell>
        </row>
        <row r="155">
          <cell r="A155" t="str">
            <v>欣彤</v>
          </cell>
          <cell r="B155" t="str">
            <v>Y3056-GY+Y3057</v>
          </cell>
          <cell r="C155" t="str">
            <v>高A三防机器人Samsung Galaxg S23 Plus带背夹+软膜</v>
          </cell>
          <cell r="D155">
            <v>44946</v>
          </cell>
          <cell r="E155" t="str">
            <v>B0BP6KHKTY</v>
          </cell>
          <cell r="F155">
            <v>6</v>
          </cell>
          <cell r="G155">
            <v>0</v>
          </cell>
          <cell r="H155">
            <v>0</v>
          </cell>
          <cell r="I155">
            <v>1</v>
          </cell>
          <cell r="J155">
            <v>0</v>
          </cell>
          <cell r="K155">
            <v>7</v>
          </cell>
          <cell r="L155">
            <v>13.7</v>
          </cell>
          <cell r="M155">
            <v>95.9</v>
          </cell>
          <cell r="N155">
            <v>2</v>
          </cell>
          <cell r="O155">
            <v>2</v>
          </cell>
          <cell r="P155">
            <v>4</v>
          </cell>
          <cell r="Q155">
            <v>0</v>
          </cell>
          <cell r="R155">
            <v>2</v>
          </cell>
          <cell r="S155">
            <v>38.0172413793103</v>
          </cell>
          <cell r="T155">
            <v>1.26724137931034</v>
          </cell>
          <cell r="U155">
            <v>1.92857142857143</v>
          </cell>
          <cell r="V155">
            <v>-0.661330049261085</v>
          </cell>
          <cell r="W155" t="str">
            <v>正常</v>
          </cell>
          <cell r="X155" t="str">
            <v>正常</v>
          </cell>
          <cell r="Y155">
            <v>0</v>
          </cell>
          <cell r="Z155">
            <v>0</v>
          </cell>
          <cell r="AA155">
            <v>0</v>
          </cell>
          <cell r="AB155" t="str">
            <v>-</v>
          </cell>
        </row>
        <row r="156">
          <cell r="A156" t="str">
            <v>欣彤</v>
          </cell>
          <cell r="B156" t="str">
            <v>Y3056-LP+Y3057</v>
          </cell>
          <cell r="C156" t="str">
            <v>高A三防机器人Samsung Galaxg S23 Plus带背夹+软膜</v>
          </cell>
          <cell r="D156">
            <v>44946</v>
          </cell>
          <cell r="E156" t="str">
            <v>B0BP6FSNJ4</v>
          </cell>
          <cell r="F156">
            <v>21</v>
          </cell>
          <cell r="G156">
            <v>0</v>
          </cell>
          <cell r="H156">
            <v>0</v>
          </cell>
          <cell r="I156">
            <v>0</v>
          </cell>
          <cell r="J156">
            <v>0</v>
          </cell>
          <cell r="K156">
            <v>21</v>
          </cell>
          <cell r="L156">
            <v>13.7</v>
          </cell>
          <cell r="M156">
            <v>287.7</v>
          </cell>
          <cell r="N156">
            <v>1</v>
          </cell>
          <cell r="O156">
            <v>1</v>
          </cell>
          <cell r="P156">
            <v>2</v>
          </cell>
          <cell r="Q156">
            <v>0</v>
          </cell>
          <cell r="R156">
            <v>1</v>
          </cell>
          <cell r="S156">
            <v>228.103448275862</v>
          </cell>
          <cell r="T156">
            <v>7.60344827586207</v>
          </cell>
          <cell r="U156" t="str">
            <v>-</v>
          </cell>
          <cell r="V156" t="str">
            <v>-</v>
          </cell>
          <cell r="W156" t="str">
            <v>库存过高</v>
          </cell>
          <cell r="X156" t="str">
            <v>库存过高</v>
          </cell>
          <cell r="Y156">
            <v>0</v>
          </cell>
          <cell r="Z156">
            <v>0</v>
          </cell>
          <cell r="AA156">
            <v>0</v>
          </cell>
          <cell r="AB156" t="str">
            <v>-</v>
          </cell>
        </row>
        <row r="157">
          <cell r="A157" t="str">
            <v>欣彤</v>
          </cell>
          <cell r="B157" t="str">
            <v>Y3056-NB+Y3057</v>
          </cell>
          <cell r="C157" t="str">
            <v>高A三防机器人Samsung Galaxg S23 Plus带背夹+软膜</v>
          </cell>
          <cell r="D157">
            <v>44946</v>
          </cell>
          <cell r="E157" t="str">
            <v>B0BP6B6XFB</v>
          </cell>
          <cell r="F157">
            <v>1</v>
          </cell>
          <cell r="G157">
            <v>0</v>
          </cell>
          <cell r="H157">
            <v>1</v>
          </cell>
          <cell r="I157">
            <v>0</v>
          </cell>
          <cell r="J157">
            <v>0</v>
          </cell>
          <cell r="K157">
            <v>2</v>
          </cell>
          <cell r="L157">
            <v>13.7</v>
          </cell>
          <cell r="M157">
            <v>27.4</v>
          </cell>
          <cell r="N157">
            <v>4</v>
          </cell>
          <cell r="O157">
            <v>6</v>
          </cell>
          <cell r="P157">
            <v>11</v>
          </cell>
          <cell r="Q157">
            <v>4</v>
          </cell>
          <cell r="R157">
            <v>0</v>
          </cell>
          <cell r="S157">
            <v>4.48398576512456</v>
          </cell>
          <cell r="T157">
            <v>0.149466192170819</v>
          </cell>
          <cell r="U157">
            <v>0.475728155339806</v>
          </cell>
          <cell r="V157">
            <v>-0.326261963168987</v>
          </cell>
          <cell r="W157" t="str">
            <v>库存过低</v>
          </cell>
          <cell r="X157" t="str">
            <v>库存过低</v>
          </cell>
          <cell r="Y157">
            <v>11.22</v>
          </cell>
          <cell r="Z157">
            <v>18.79</v>
          </cell>
          <cell r="AA157">
            <v>38.79</v>
          </cell>
          <cell r="AB157">
            <v>0.561561561561562</v>
          </cell>
        </row>
        <row r="158">
          <cell r="A158" t="str">
            <v>欣彤</v>
          </cell>
          <cell r="B158" t="str">
            <v>Y3056-TG+Y3057</v>
          </cell>
          <cell r="C158" t="str">
            <v>高A三防机器人Samsung Galaxg S23 Plus带背夹+软膜</v>
          </cell>
          <cell r="D158">
            <v>44946</v>
          </cell>
          <cell r="E158" t="str">
            <v>B0BP68SZRC</v>
          </cell>
          <cell r="F158">
            <v>20</v>
          </cell>
          <cell r="G158">
            <v>0</v>
          </cell>
          <cell r="H158">
            <v>0</v>
          </cell>
          <cell r="I158">
            <v>0</v>
          </cell>
          <cell r="J158">
            <v>0</v>
          </cell>
          <cell r="K158">
            <v>20</v>
          </cell>
          <cell r="L158">
            <v>13.7</v>
          </cell>
          <cell r="M158">
            <v>274</v>
          </cell>
          <cell r="N158">
            <v>0</v>
          </cell>
          <cell r="O158">
            <v>0</v>
          </cell>
          <cell r="P158">
            <v>0</v>
          </cell>
          <cell r="Q158">
            <v>0</v>
          </cell>
          <cell r="R158">
            <v>0</v>
          </cell>
          <cell r="S158" t="str">
            <v>-</v>
          </cell>
          <cell r="T158" t="str">
            <v>-</v>
          </cell>
          <cell r="U158">
            <v>11.4</v>
          </cell>
          <cell r="V158" t="str">
            <v>-</v>
          </cell>
          <cell r="W158" t="str">
            <v>有库存无销量</v>
          </cell>
          <cell r="X158" t="str">
            <v>有库存无销量</v>
          </cell>
          <cell r="Y158">
            <v>0</v>
          </cell>
          <cell r="Z158">
            <v>0</v>
          </cell>
          <cell r="AA158">
            <v>0</v>
          </cell>
          <cell r="AB158" t="str">
            <v>-</v>
          </cell>
        </row>
        <row r="159">
          <cell r="A159" t="str">
            <v>欣彤</v>
          </cell>
          <cell r="B159" t="str">
            <v>Y3058-BL</v>
          </cell>
          <cell r="C159" t="str">
            <v>高A三防机器人Samsung Galaxg S23 Ultra带背夹</v>
          </cell>
          <cell r="D159">
            <v>44946</v>
          </cell>
          <cell r="E159" t="str">
            <v>B0BP6RST4R</v>
          </cell>
          <cell r="F159">
            <v>0</v>
          </cell>
          <cell r="G159">
            <v>1</v>
          </cell>
          <cell r="H159">
            <v>0</v>
          </cell>
          <cell r="I159">
            <v>0</v>
          </cell>
          <cell r="J159">
            <v>0</v>
          </cell>
          <cell r="K159">
            <v>1</v>
          </cell>
          <cell r="L159">
            <v>13.7</v>
          </cell>
          <cell r="M159">
            <v>13.7</v>
          </cell>
          <cell r="N159">
            <v>0</v>
          </cell>
          <cell r="O159">
            <v>2</v>
          </cell>
          <cell r="P159">
            <v>18</v>
          </cell>
          <cell r="Q159">
            <v>2</v>
          </cell>
          <cell r="R159">
            <v>-2</v>
          </cell>
          <cell r="S159">
            <v>4.09090909090909</v>
          </cell>
          <cell r="T159">
            <v>0.136363636363636</v>
          </cell>
          <cell r="U159">
            <v>0.885856079404466</v>
          </cell>
          <cell r="V159">
            <v>-0.74949244304083</v>
          </cell>
          <cell r="W159" t="str">
            <v>有库存无销量</v>
          </cell>
          <cell r="X159" t="str">
            <v>库存过低</v>
          </cell>
          <cell r="Y159">
            <v>0</v>
          </cell>
          <cell r="Z159">
            <v>0</v>
          </cell>
          <cell r="AA159">
            <v>0</v>
          </cell>
          <cell r="AB159" t="str">
            <v>-</v>
          </cell>
        </row>
        <row r="160">
          <cell r="A160" t="str">
            <v>欣彤</v>
          </cell>
          <cell r="B160" t="str">
            <v>Y3058-GN</v>
          </cell>
          <cell r="C160" t="str">
            <v>高A三防机器人Samsung Galaxg S23 Ultra带背夹</v>
          </cell>
          <cell r="D160">
            <v>44946</v>
          </cell>
          <cell r="E160" t="str">
            <v>B0BP6LX8RH</v>
          </cell>
          <cell r="F160">
            <v>19</v>
          </cell>
          <cell r="G160">
            <v>1</v>
          </cell>
          <cell r="H160">
            <v>0</v>
          </cell>
          <cell r="I160">
            <v>0</v>
          </cell>
          <cell r="J160">
            <v>0</v>
          </cell>
          <cell r="K160">
            <v>20</v>
          </cell>
          <cell r="L160">
            <v>13.7</v>
          </cell>
          <cell r="M160">
            <v>274</v>
          </cell>
          <cell r="N160">
            <v>1</v>
          </cell>
          <cell r="O160">
            <v>2</v>
          </cell>
          <cell r="P160">
            <v>5</v>
          </cell>
          <cell r="Q160">
            <v>0</v>
          </cell>
          <cell r="R160">
            <v>1</v>
          </cell>
          <cell r="S160">
            <v>135.483870967742</v>
          </cell>
          <cell r="T160">
            <v>4.51612903225806</v>
          </cell>
          <cell r="U160">
            <v>11</v>
          </cell>
          <cell r="V160">
            <v>-6.48387096774194</v>
          </cell>
          <cell r="W160" t="str">
            <v>库存过高</v>
          </cell>
          <cell r="X160" t="str">
            <v>库存过高</v>
          </cell>
          <cell r="Y160">
            <v>0</v>
          </cell>
          <cell r="Z160">
            <v>0</v>
          </cell>
          <cell r="AA160">
            <v>0</v>
          </cell>
          <cell r="AB160" t="str">
            <v>-</v>
          </cell>
        </row>
        <row r="161">
          <cell r="A161" t="str">
            <v>欣彤</v>
          </cell>
          <cell r="B161" t="str">
            <v>Y3058-GY</v>
          </cell>
          <cell r="C161" t="str">
            <v>高A三防机器人Samsung Galaxg S23 Ultra带背夹</v>
          </cell>
          <cell r="D161">
            <v>44946</v>
          </cell>
          <cell r="E161" t="str">
            <v>B0BP6M7Z48</v>
          </cell>
          <cell r="F161">
            <v>18</v>
          </cell>
          <cell r="G161">
            <v>1</v>
          </cell>
          <cell r="H161">
            <v>0</v>
          </cell>
          <cell r="I161">
            <v>0</v>
          </cell>
          <cell r="J161">
            <v>0</v>
          </cell>
          <cell r="K161">
            <v>19</v>
          </cell>
          <cell r="L161">
            <v>13.7</v>
          </cell>
          <cell r="M161">
            <v>260.3</v>
          </cell>
          <cell r="N161">
            <v>0</v>
          </cell>
          <cell r="O161">
            <v>0</v>
          </cell>
          <cell r="P161">
            <v>6</v>
          </cell>
          <cell r="Q161">
            <v>4</v>
          </cell>
          <cell r="R161">
            <v>-4</v>
          </cell>
          <cell r="S161">
            <v>285</v>
          </cell>
          <cell r="T161">
            <v>9.5</v>
          </cell>
          <cell r="U161">
            <v>1.30030959752322</v>
          </cell>
          <cell r="V161">
            <v>8.19969040247678</v>
          </cell>
          <cell r="W161" t="str">
            <v>有库存无销量</v>
          </cell>
          <cell r="X161" t="str">
            <v>库存过高</v>
          </cell>
          <cell r="Y161">
            <v>0</v>
          </cell>
          <cell r="Z161">
            <v>0</v>
          </cell>
          <cell r="AA161">
            <v>0</v>
          </cell>
          <cell r="AB161" t="str">
            <v>-</v>
          </cell>
        </row>
        <row r="162">
          <cell r="A162" t="str">
            <v>欣彤</v>
          </cell>
          <cell r="B162" t="str">
            <v>Y3058-LP</v>
          </cell>
          <cell r="C162" t="str">
            <v>高A三防机器人Samsung Galaxg S23 Ultra带背夹</v>
          </cell>
          <cell r="D162">
            <v>44946</v>
          </cell>
          <cell r="E162" t="str">
            <v>B0BP6GXWSC</v>
          </cell>
          <cell r="F162">
            <v>16</v>
          </cell>
          <cell r="G162">
            <v>0</v>
          </cell>
          <cell r="H162">
            <v>1</v>
          </cell>
          <cell r="I162">
            <v>0</v>
          </cell>
          <cell r="J162">
            <v>0</v>
          </cell>
          <cell r="K162">
            <v>17</v>
          </cell>
          <cell r="L162">
            <v>13.7</v>
          </cell>
          <cell r="M162">
            <v>232.9</v>
          </cell>
          <cell r="N162">
            <v>2</v>
          </cell>
          <cell r="O162">
            <v>3</v>
          </cell>
          <cell r="P162">
            <v>6</v>
          </cell>
          <cell r="Q162">
            <v>3</v>
          </cell>
          <cell r="R162">
            <v>-1</v>
          </cell>
          <cell r="S162">
            <v>74.375</v>
          </cell>
          <cell r="T162">
            <v>2.47916666666667</v>
          </cell>
          <cell r="U162">
            <v>2.8875</v>
          </cell>
          <cell r="V162">
            <v>-0.408333333333334</v>
          </cell>
          <cell r="W162" t="str">
            <v>库存过高</v>
          </cell>
          <cell r="X162" t="str">
            <v>库存过高</v>
          </cell>
          <cell r="Y162">
            <v>0</v>
          </cell>
          <cell r="Z162">
            <v>0</v>
          </cell>
          <cell r="AA162">
            <v>0</v>
          </cell>
          <cell r="AB162" t="str">
            <v>-</v>
          </cell>
        </row>
        <row r="163">
          <cell r="A163" t="str">
            <v>欣彤</v>
          </cell>
          <cell r="B163" t="str">
            <v>Y3058-NB</v>
          </cell>
          <cell r="C163" t="str">
            <v>高A三防机器人Samsung Galaxg S23 Ultra带背夹</v>
          </cell>
          <cell r="D163">
            <v>44946</v>
          </cell>
          <cell r="E163" t="str">
            <v>B0BP6MGMJS</v>
          </cell>
          <cell r="F163">
            <v>28</v>
          </cell>
          <cell r="G163">
            <v>1</v>
          </cell>
          <cell r="H163">
            <v>1</v>
          </cell>
          <cell r="I163">
            <v>0</v>
          </cell>
          <cell r="J163">
            <v>0</v>
          </cell>
          <cell r="K163">
            <v>30</v>
          </cell>
          <cell r="L163">
            <v>13.7</v>
          </cell>
          <cell r="M163">
            <v>411</v>
          </cell>
          <cell r="N163">
            <v>2</v>
          </cell>
          <cell r="O163">
            <v>4</v>
          </cell>
          <cell r="P163">
            <v>8</v>
          </cell>
          <cell r="Q163">
            <v>1</v>
          </cell>
          <cell r="R163">
            <v>1</v>
          </cell>
          <cell r="S163">
            <v>109.883720930233</v>
          </cell>
          <cell r="T163">
            <v>3.66279069767442</v>
          </cell>
          <cell r="U163">
            <v>6.86915887850467</v>
          </cell>
          <cell r="V163">
            <v>-3.20636818083025</v>
          </cell>
          <cell r="W163" t="str">
            <v>库存过高</v>
          </cell>
          <cell r="X163" t="str">
            <v>库存过高</v>
          </cell>
          <cell r="Y163">
            <v>27.4</v>
          </cell>
          <cell r="Z163">
            <v>43.54</v>
          </cell>
          <cell r="AA163">
            <v>72.51</v>
          </cell>
          <cell r="AB163">
            <v>1.01896615842321</v>
          </cell>
        </row>
        <row r="164">
          <cell r="A164" t="str">
            <v>欣彤</v>
          </cell>
          <cell r="B164" t="str">
            <v>Y3058-TG</v>
          </cell>
          <cell r="C164" t="str">
            <v>高A三防机器人Samsung Galaxg S23 Ultra带背夹</v>
          </cell>
          <cell r="D164">
            <v>44946</v>
          </cell>
          <cell r="E164" t="str">
            <v>B0BP6V1VTL</v>
          </cell>
          <cell r="F164">
            <v>26</v>
          </cell>
          <cell r="G164">
            <v>0</v>
          </cell>
          <cell r="H164">
            <v>0</v>
          </cell>
          <cell r="I164">
            <v>0</v>
          </cell>
          <cell r="J164">
            <v>0</v>
          </cell>
          <cell r="K164">
            <v>26</v>
          </cell>
          <cell r="L164">
            <v>13.7</v>
          </cell>
          <cell r="M164">
            <v>356.2</v>
          </cell>
          <cell r="N164">
            <v>0</v>
          </cell>
          <cell r="O164">
            <v>1</v>
          </cell>
          <cell r="P164">
            <v>3</v>
          </cell>
          <cell r="Q164">
            <v>0</v>
          </cell>
          <cell r="R164">
            <v>0</v>
          </cell>
          <cell r="S164">
            <v>468</v>
          </cell>
          <cell r="T164">
            <v>15.6</v>
          </cell>
          <cell r="U164">
            <v>29</v>
          </cell>
          <cell r="V164">
            <v>-13.4</v>
          </cell>
          <cell r="W164" t="str">
            <v>有库存无销量</v>
          </cell>
          <cell r="X164" t="str">
            <v>库存过高</v>
          </cell>
          <cell r="Y164">
            <v>0</v>
          </cell>
          <cell r="Z164">
            <v>0</v>
          </cell>
          <cell r="AA164">
            <v>0</v>
          </cell>
          <cell r="AB164" t="str">
            <v>-</v>
          </cell>
        </row>
        <row r="165">
          <cell r="A165" t="str">
            <v>欣彤</v>
          </cell>
          <cell r="B165" t="str">
            <v>Y3079-BL+Y3079</v>
          </cell>
          <cell r="C165" t="str">
            <v>三防机器人手机壳带背夹Moto g play 2023 黑+软膜</v>
          </cell>
          <cell r="D165">
            <v>44942</v>
          </cell>
          <cell r="E165" t="str">
            <v>B0BRMX26NH</v>
          </cell>
          <cell r="F165">
            <v>39</v>
          </cell>
          <cell r="G165">
            <v>1</v>
          </cell>
          <cell r="H165">
            <v>66</v>
          </cell>
          <cell r="I165">
            <v>10</v>
          </cell>
          <cell r="J165">
            <v>0</v>
          </cell>
          <cell r="K165">
            <v>116</v>
          </cell>
          <cell r="L165">
            <v>12.7</v>
          </cell>
          <cell r="M165">
            <v>1473.2</v>
          </cell>
          <cell r="N165">
            <v>24</v>
          </cell>
          <cell r="O165">
            <v>41</v>
          </cell>
          <cell r="P165">
            <v>77</v>
          </cell>
          <cell r="Q165">
            <v>11</v>
          </cell>
          <cell r="R165">
            <v>13</v>
          </cell>
          <cell r="S165">
            <v>39.8690671031097</v>
          </cell>
          <cell r="T165">
            <v>1.32896890343699</v>
          </cell>
          <cell r="U165">
            <v>0.577695167286245</v>
          </cell>
          <cell r="V165">
            <v>0.751273736150743</v>
          </cell>
          <cell r="W165" t="str">
            <v>正常</v>
          </cell>
          <cell r="X165" t="str">
            <v>正常</v>
          </cell>
          <cell r="Y165">
            <v>0</v>
          </cell>
          <cell r="Z165">
            <v>0</v>
          </cell>
          <cell r="AA165">
            <v>0</v>
          </cell>
          <cell r="AB165" t="str">
            <v>-</v>
          </cell>
        </row>
        <row r="166">
          <cell r="A166" t="str">
            <v>欣彤</v>
          </cell>
          <cell r="B166" t="str">
            <v>Y3079-GB+Y3079</v>
          </cell>
          <cell r="C166" t="str">
            <v>三防机器人手机壳带背夹Moto g play 2023 灰+黑</v>
          </cell>
          <cell r="D166">
            <v>44942</v>
          </cell>
          <cell r="E166" t="str">
            <v>B0BRMWJXZR</v>
          </cell>
          <cell r="F166">
            <v>15</v>
          </cell>
          <cell r="G166">
            <v>0</v>
          </cell>
          <cell r="H166">
            <v>0</v>
          </cell>
          <cell r="I166">
            <v>0</v>
          </cell>
          <cell r="J166">
            <v>0</v>
          </cell>
          <cell r="K166">
            <v>15</v>
          </cell>
          <cell r="L166">
            <v>12.7</v>
          </cell>
          <cell r="M166">
            <v>190.5</v>
          </cell>
          <cell r="N166">
            <v>3</v>
          </cell>
          <cell r="O166">
            <v>7</v>
          </cell>
          <cell r="P166">
            <v>14</v>
          </cell>
          <cell r="Q166">
            <v>2</v>
          </cell>
          <cell r="R166">
            <v>1</v>
          </cell>
          <cell r="S166">
            <v>33.041958041958</v>
          </cell>
          <cell r="T166">
            <v>1.1013986013986</v>
          </cell>
          <cell r="U166">
            <v>0.369718309859155</v>
          </cell>
          <cell r="V166">
            <v>0.731680291539446</v>
          </cell>
          <cell r="W166" t="str">
            <v>正常</v>
          </cell>
          <cell r="X166" t="str">
            <v>正常</v>
          </cell>
          <cell r="Y166">
            <v>0</v>
          </cell>
          <cell r="Z166">
            <v>0</v>
          </cell>
          <cell r="AA166">
            <v>0</v>
          </cell>
          <cell r="AB166" t="str">
            <v>-</v>
          </cell>
        </row>
        <row r="167">
          <cell r="A167" t="str">
            <v>欣彤</v>
          </cell>
          <cell r="B167" t="str">
            <v>Y3079-NB+Y3079</v>
          </cell>
          <cell r="C167" t="str">
            <v>三防机器人手机壳带背夹Moto g play 2023 蓝+软膜</v>
          </cell>
          <cell r="D167">
            <v>44942</v>
          </cell>
          <cell r="E167" t="str">
            <v>B0BRMXH62X</v>
          </cell>
          <cell r="F167">
            <v>0</v>
          </cell>
          <cell r="G167">
            <v>0</v>
          </cell>
          <cell r="H167">
            <v>72</v>
          </cell>
          <cell r="I167">
            <v>0</v>
          </cell>
          <cell r="J167">
            <v>0</v>
          </cell>
          <cell r="K167">
            <v>72</v>
          </cell>
          <cell r="L167">
            <v>12.7</v>
          </cell>
          <cell r="M167">
            <v>914.4</v>
          </cell>
          <cell r="N167">
            <v>2</v>
          </cell>
          <cell r="O167">
            <v>5</v>
          </cell>
          <cell r="P167">
            <v>19</v>
          </cell>
          <cell r="Q167">
            <v>6</v>
          </cell>
          <cell r="R167">
            <v>-4</v>
          </cell>
          <cell r="S167">
            <v>172.471482889734</v>
          </cell>
          <cell r="T167">
            <v>5.74904942965779</v>
          </cell>
          <cell r="U167">
            <v>0.172981878088962</v>
          </cell>
          <cell r="V167">
            <v>5.57606755156883</v>
          </cell>
          <cell r="W167" t="str">
            <v>库存过高</v>
          </cell>
          <cell r="X167" t="str">
            <v>库存过高</v>
          </cell>
          <cell r="Y167">
            <v>10.38</v>
          </cell>
          <cell r="Z167">
            <v>21.74</v>
          </cell>
          <cell r="AA167">
            <v>60.03</v>
          </cell>
          <cell r="AB167">
            <v>0.17942955920484</v>
          </cell>
        </row>
        <row r="168">
          <cell r="A168" t="str">
            <v>欣彤</v>
          </cell>
          <cell r="B168" t="str">
            <v>Y3079-OR+Y3079</v>
          </cell>
          <cell r="C168" t="str">
            <v>三防机器人手机壳带背夹Moto g play 2023 橙+软膜</v>
          </cell>
          <cell r="D168">
            <v>44942</v>
          </cell>
          <cell r="E168" t="str">
            <v>B0BRMWFB9L</v>
          </cell>
          <cell r="F168">
            <v>18</v>
          </cell>
          <cell r="G168">
            <v>0</v>
          </cell>
          <cell r="H168">
            <v>10</v>
          </cell>
          <cell r="I168">
            <v>0</v>
          </cell>
          <cell r="J168">
            <v>0</v>
          </cell>
          <cell r="K168">
            <v>28</v>
          </cell>
          <cell r="L168">
            <v>12.7</v>
          </cell>
          <cell r="M168">
            <v>355.6</v>
          </cell>
          <cell r="N168">
            <v>2</v>
          </cell>
          <cell r="O168">
            <v>6</v>
          </cell>
          <cell r="P168">
            <v>11</v>
          </cell>
          <cell r="Q168">
            <v>3</v>
          </cell>
          <cell r="R168">
            <v>-1</v>
          </cell>
          <cell r="S168">
            <v>79.8190045248869</v>
          </cell>
          <cell r="T168">
            <v>2.6606334841629</v>
          </cell>
          <cell r="U168">
            <v>2.7029702970297</v>
          </cell>
          <cell r="V168">
            <v>-0.0423368128668047</v>
          </cell>
          <cell r="W168" t="str">
            <v>库存过高</v>
          </cell>
          <cell r="X168" t="str">
            <v>库存过高</v>
          </cell>
          <cell r="Y168">
            <v>5.46</v>
          </cell>
          <cell r="Z168">
            <v>12.31</v>
          </cell>
          <cell r="AA168">
            <v>28.24</v>
          </cell>
          <cell r="AB168">
            <v>0.496815286624204</v>
          </cell>
        </row>
        <row r="169">
          <cell r="A169" t="str">
            <v>欣彤</v>
          </cell>
          <cell r="B169" t="str">
            <v>Y3079-TG+Y3079</v>
          </cell>
          <cell r="C169" t="str">
            <v>三防机器人手机壳带背夹Moto g play 2023 蓝绿+浅绿+软膜</v>
          </cell>
          <cell r="D169">
            <v>44942</v>
          </cell>
          <cell r="E169" t="str">
            <v>B0BRMX3QZ7</v>
          </cell>
          <cell r="F169">
            <v>18</v>
          </cell>
          <cell r="G169">
            <v>2</v>
          </cell>
          <cell r="H169">
            <v>0</v>
          </cell>
          <cell r="I169">
            <v>0</v>
          </cell>
          <cell r="J169">
            <v>0</v>
          </cell>
          <cell r="K169">
            <v>20</v>
          </cell>
          <cell r="L169">
            <v>12.7</v>
          </cell>
          <cell r="M169">
            <v>254</v>
          </cell>
          <cell r="N169">
            <v>2</v>
          </cell>
          <cell r="O169">
            <v>6</v>
          </cell>
          <cell r="P169">
            <v>15</v>
          </cell>
          <cell r="Q169">
            <v>5</v>
          </cell>
          <cell r="R169">
            <v>-3</v>
          </cell>
          <cell r="S169">
            <v>50.6024096385542</v>
          </cell>
          <cell r="T169">
            <v>1.68674698795181</v>
          </cell>
          <cell r="U169">
            <v>0.525</v>
          </cell>
          <cell r="V169">
            <v>1.16174698795181</v>
          </cell>
          <cell r="W169" t="str">
            <v>库存过高</v>
          </cell>
          <cell r="X169" t="str">
            <v>库存过高</v>
          </cell>
          <cell r="Y169">
            <v>0</v>
          </cell>
          <cell r="Z169">
            <v>0</v>
          </cell>
          <cell r="AA169">
            <v>0</v>
          </cell>
          <cell r="AB169" t="str">
            <v>-</v>
          </cell>
        </row>
        <row r="170">
          <cell r="A170" t="str">
            <v>欣彤</v>
          </cell>
          <cell r="B170" t="str">
            <v>Y3074-BL</v>
          </cell>
          <cell r="C170" t="str">
            <v>高A三防机器人三星A54 5G 带背夹</v>
          </cell>
          <cell r="D170">
            <v>45012</v>
          </cell>
          <cell r="E170" t="str">
            <v>B0BWYDK4SR</v>
          </cell>
          <cell r="F170">
            <v>63</v>
          </cell>
          <cell r="G170">
            <v>2</v>
          </cell>
          <cell r="H170">
            <v>2</v>
          </cell>
          <cell r="I170">
            <v>35</v>
          </cell>
          <cell r="J170">
            <v>0</v>
          </cell>
          <cell r="K170">
            <v>102</v>
          </cell>
          <cell r="L170">
            <v>12.7</v>
          </cell>
          <cell r="M170">
            <v>1295.4</v>
          </cell>
          <cell r="N170">
            <v>12</v>
          </cell>
          <cell r="O170">
            <v>27</v>
          </cell>
          <cell r="P170">
            <v>56</v>
          </cell>
          <cell r="Q170">
            <v>11</v>
          </cell>
          <cell r="R170">
            <v>1</v>
          </cell>
          <cell r="S170">
            <v>56.8672566371681</v>
          </cell>
          <cell r="T170">
            <v>1.89557522123894</v>
          </cell>
          <cell r="U170">
            <v>2.99682875264271</v>
          </cell>
          <cell r="V170">
            <v>-1.10125353140377</v>
          </cell>
          <cell r="W170" t="str">
            <v>库存过高</v>
          </cell>
          <cell r="X170" t="str">
            <v>库存过高</v>
          </cell>
          <cell r="Y170">
            <v>33.61</v>
          </cell>
          <cell r="Z170">
            <v>81.39</v>
          </cell>
          <cell r="AA170">
            <v>174.1</v>
          </cell>
          <cell r="AB170">
            <v>0.357857751277683</v>
          </cell>
        </row>
        <row r="171">
          <cell r="A171" t="str">
            <v>欣彤</v>
          </cell>
          <cell r="B171" t="str">
            <v>Y3074-GN</v>
          </cell>
          <cell r="C171" t="str">
            <v>高A三防机器人Samsung A54 5G带背夹</v>
          </cell>
          <cell r="D171">
            <v>45012</v>
          </cell>
          <cell r="E171" t="str">
            <v>B0BWYBBC3K</v>
          </cell>
          <cell r="F171">
            <v>11</v>
          </cell>
          <cell r="G171">
            <v>0</v>
          </cell>
          <cell r="H171">
            <v>0</v>
          </cell>
          <cell r="I171">
            <v>0</v>
          </cell>
          <cell r="J171">
            <v>0</v>
          </cell>
          <cell r="K171">
            <v>11</v>
          </cell>
          <cell r="L171">
            <v>12.7</v>
          </cell>
          <cell r="M171">
            <v>139.7</v>
          </cell>
          <cell r="N171">
            <v>1</v>
          </cell>
          <cell r="O171">
            <v>3</v>
          </cell>
          <cell r="P171">
            <v>4</v>
          </cell>
          <cell r="Q171">
            <v>0</v>
          </cell>
          <cell r="R171">
            <v>1</v>
          </cell>
          <cell r="S171">
            <v>69.3</v>
          </cell>
          <cell r="T171">
            <v>2.31</v>
          </cell>
          <cell r="U171">
            <v>15</v>
          </cell>
          <cell r="V171">
            <v>-12.69</v>
          </cell>
          <cell r="W171" t="str">
            <v>库存过高</v>
          </cell>
          <cell r="X171" t="str">
            <v>库存过高</v>
          </cell>
          <cell r="Y171">
            <v>0</v>
          </cell>
          <cell r="Z171">
            <v>0</v>
          </cell>
          <cell r="AA171">
            <v>0</v>
          </cell>
          <cell r="AB171" t="str">
            <v>-</v>
          </cell>
        </row>
        <row r="172">
          <cell r="A172" t="str">
            <v>欣彤</v>
          </cell>
          <cell r="B172" t="str">
            <v>Y3074-GY</v>
          </cell>
          <cell r="C172" t="str">
            <v>高A三防机器人Samsung  A54 5G带背夹</v>
          </cell>
          <cell r="D172">
            <v>45012</v>
          </cell>
          <cell r="E172" t="str">
            <v>B0BWYDSTQ7</v>
          </cell>
          <cell r="F172">
            <v>23</v>
          </cell>
          <cell r="G172">
            <v>2</v>
          </cell>
          <cell r="H172">
            <v>0</v>
          </cell>
          <cell r="I172">
            <v>0</v>
          </cell>
          <cell r="J172">
            <v>0</v>
          </cell>
          <cell r="K172">
            <v>25</v>
          </cell>
          <cell r="L172">
            <v>12.7</v>
          </cell>
          <cell r="M172">
            <v>317.5</v>
          </cell>
          <cell r="N172">
            <v>2</v>
          </cell>
          <cell r="O172">
            <v>5</v>
          </cell>
          <cell r="P172">
            <v>9</v>
          </cell>
          <cell r="Q172">
            <v>2</v>
          </cell>
          <cell r="R172">
            <v>0</v>
          </cell>
          <cell r="S172">
            <v>81.6062176165803</v>
          </cell>
          <cell r="T172">
            <v>2.72020725388601</v>
          </cell>
          <cell r="U172">
            <v>4.375</v>
          </cell>
          <cell r="V172">
            <v>-1.65479274611399</v>
          </cell>
          <cell r="W172" t="str">
            <v>库存过高</v>
          </cell>
          <cell r="X172" t="str">
            <v>库存过高</v>
          </cell>
          <cell r="Y172">
            <v>0</v>
          </cell>
          <cell r="Z172">
            <v>0</v>
          </cell>
          <cell r="AA172">
            <v>0</v>
          </cell>
          <cell r="AB172" t="str">
            <v>-</v>
          </cell>
        </row>
        <row r="173">
          <cell r="A173" t="str">
            <v>欣彤</v>
          </cell>
          <cell r="B173" t="str">
            <v>Y3074-NB</v>
          </cell>
          <cell r="C173" t="str">
            <v>高A三防机器人Samsung A54 5G带背夹</v>
          </cell>
          <cell r="D173">
            <v>45012</v>
          </cell>
          <cell r="E173" t="str">
            <v>B0BWYBCRPY</v>
          </cell>
          <cell r="F173">
            <v>19</v>
          </cell>
          <cell r="G173">
            <v>0</v>
          </cell>
          <cell r="H173">
            <v>0</v>
          </cell>
          <cell r="I173">
            <v>0</v>
          </cell>
          <cell r="J173">
            <v>0</v>
          </cell>
          <cell r="K173">
            <v>19</v>
          </cell>
          <cell r="L173">
            <v>12.7</v>
          </cell>
          <cell r="M173">
            <v>241.3</v>
          </cell>
          <cell r="N173">
            <v>1</v>
          </cell>
          <cell r="O173">
            <v>2</v>
          </cell>
          <cell r="P173">
            <v>10</v>
          </cell>
          <cell r="Q173">
            <v>1</v>
          </cell>
          <cell r="R173">
            <v>0</v>
          </cell>
          <cell r="S173">
            <v>93.515625</v>
          </cell>
          <cell r="T173">
            <v>3.1171875</v>
          </cell>
          <cell r="U173">
            <v>3.21176470588235</v>
          </cell>
          <cell r="V173">
            <v>-0.0945772058823504</v>
          </cell>
          <cell r="W173" t="str">
            <v>库存过高</v>
          </cell>
          <cell r="X173" t="str">
            <v>库存过高</v>
          </cell>
          <cell r="Y173">
            <v>0</v>
          </cell>
          <cell r="Z173">
            <v>0</v>
          </cell>
          <cell r="AA173">
            <v>0</v>
          </cell>
          <cell r="AB173" t="str">
            <v>-</v>
          </cell>
        </row>
        <row r="174">
          <cell r="A174" t="str">
            <v>欣彤</v>
          </cell>
          <cell r="B174" t="str">
            <v>Y3074-TG</v>
          </cell>
          <cell r="C174" t="str">
            <v>高A三防机器人Samsung A54 5G带背夹</v>
          </cell>
          <cell r="D174">
            <v>45012</v>
          </cell>
          <cell r="E174" t="str">
            <v>B0BWYKGC6F</v>
          </cell>
          <cell r="F174">
            <v>19</v>
          </cell>
          <cell r="G174">
            <v>1</v>
          </cell>
          <cell r="H174">
            <v>3</v>
          </cell>
          <cell r="I174">
            <v>0</v>
          </cell>
          <cell r="J174">
            <v>0</v>
          </cell>
          <cell r="K174">
            <v>23</v>
          </cell>
          <cell r="L174">
            <v>12.7</v>
          </cell>
          <cell r="M174">
            <v>292.1</v>
          </cell>
          <cell r="N174">
            <v>1</v>
          </cell>
          <cell r="O174">
            <v>1</v>
          </cell>
          <cell r="P174">
            <v>3</v>
          </cell>
          <cell r="Q174">
            <v>1</v>
          </cell>
          <cell r="R174">
            <v>0</v>
          </cell>
          <cell r="S174">
            <v>222.923076923077</v>
          </cell>
          <cell r="T174">
            <v>7.43076923076923</v>
          </cell>
          <cell r="U174">
            <v>2.90769230769231</v>
          </cell>
          <cell r="V174">
            <v>4.52307692307692</v>
          </cell>
          <cell r="W174" t="str">
            <v>库存过高</v>
          </cell>
          <cell r="X174" t="str">
            <v>库存过高</v>
          </cell>
          <cell r="Y174">
            <v>0</v>
          </cell>
          <cell r="Z174">
            <v>0</v>
          </cell>
          <cell r="AA174">
            <v>0</v>
          </cell>
          <cell r="AB174" t="str">
            <v>-</v>
          </cell>
        </row>
        <row r="175">
          <cell r="A175" t="str">
            <v>欣彤</v>
          </cell>
          <cell r="B175" t="str">
            <v>Y3075-BL</v>
          </cell>
          <cell r="C175" t="str">
            <v>高A三防机器人谷歌Pixel 7A带背夹</v>
          </cell>
          <cell r="D175">
            <v>45059</v>
          </cell>
          <cell r="E175" t="str">
            <v>B0BWYBZ4DM</v>
          </cell>
          <cell r="F175">
            <v>21</v>
          </cell>
          <cell r="G175">
            <v>0</v>
          </cell>
          <cell r="H175">
            <v>0</v>
          </cell>
          <cell r="I175">
            <v>1</v>
          </cell>
          <cell r="J175">
            <v>0</v>
          </cell>
          <cell r="K175">
            <v>22</v>
          </cell>
          <cell r="L175">
            <v>12.7</v>
          </cell>
          <cell r="M175">
            <v>279.4</v>
          </cell>
          <cell r="N175">
            <v>6</v>
          </cell>
          <cell r="O175">
            <v>12</v>
          </cell>
          <cell r="P175">
            <v>34</v>
          </cell>
          <cell r="Q175">
            <v>10</v>
          </cell>
          <cell r="R175">
            <v>-4</v>
          </cell>
          <cell r="S175">
            <v>23.6518771331058</v>
          </cell>
          <cell r="T175">
            <v>0.78839590443686</v>
          </cell>
          <cell r="U175">
            <v>0.941302027748132</v>
          </cell>
          <cell r="V175">
            <v>-0.152906123311272</v>
          </cell>
          <cell r="W175" t="str">
            <v>正常</v>
          </cell>
          <cell r="X175" t="str">
            <v>正常</v>
          </cell>
          <cell r="Y175">
            <v>10.92</v>
          </cell>
          <cell r="Z175">
            <v>18.89</v>
          </cell>
          <cell r="AA175">
            <v>33.74</v>
          </cell>
          <cell r="AB175">
            <v>0.191747146619842</v>
          </cell>
        </row>
        <row r="176">
          <cell r="A176" t="str">
            <v>欣彤</v>
          </cell>
          <cell r="B176" t="str">
            <v>Y3075-GN</v>
          </cell>
          <cell r="C176" t="str">
            <v>高A三防机器人谷歌Pixel 7A带背夹</v>
          </cell>
          <cell r="D176">
            <v>45059</v>
          </cell>
          <cell r="E176" t="str">
            <v>B0BWY9XSLR</v>
          </cell>
          <cell r="F176">
            <v>10</v>
          </cell>
          <cell r="G176">
            <v>0</v>
          </cell>
          <cell r="H176">
            <v>2</v>
          </cell>
          <cell r="I176">
            <v>1</v>
          </cell>
          <cell r="J176">
            <v>0</v>
          </cell>
          <cell r="K176">
            <v>13</v>
          </cell>
          <cell r="L176">
            <v>12.7</v>
          </cell>
          <cell r="M176">
            <v>165.1</v>
          </cell>
          <cell r="N176">
            <v>1</v>
          </cell>
          <cell r="O176">
            <v>3</v>
          </cell>
          <cell r="P176">
            <v>6</v>
          </cell>
          <cell r="Q176">
            <v>1</v>
          </cell>
          <cell r="R176">
            <v>0</v>
          </cell>
          <cell r="S176">
            <v>71.8421052631579</v>
          </cell>
          <cell r="T176">
            <v>2.39473684210526</v>
          </cell>
          <cell r="U176">
            <v>5.16923076923077</v>
          </cell>
          <cell r="V176">
            <v>-2.77449392712551</v>
          </cell>
          <cell r="W176" t="str">
            <v>库存过高</v>
          </cell>
          <cell r="X176" t="str">
            <v>库存过高</v>
          </cell>
          <cell r="Y176">
            <v>0</v>
          </cell>
          <cell r="Z176">
            <v>0</v>
          </cell>
          <cell r="AA176">
            <v>0</v>
          </cell>
          <cell r="AB176" t="str">
            <v>-</v>
          </cell>
        </row>
        <row r="177">
          <cell r="A177" t="str">
            <v>欣彤</v>
          </cell>
          <cell r="B177" t="str">
            <v>Y3075-GR</v>
          </cell>
          <cell r="C177" t="str">
            <v>高A三防机器人谷歌Pixel 7A带背夹 青绿</v>
          </cell>
          <cell r="D177">
            <v>45059</v>
          </cell>
          <cell r="E177" t="str">
            <v>B0BWYC69B9</v>
          </cell>
          <cell r="F177">
            <v>19</v>
          </cell>
          <cell r="G177">
            <v>0</v>
          </cell>
          <cell r="H177">
            <v>0</v>
          </cell>
          <cell r="I177">
            <v>0</v>
          </cell>
          <cell r="J177">
            <v>0</v>
          </cell>
          <cell r="K177">
            <v>19</v>
          </cell>
          <cell r="L177">
            <v>12.7</v>
          </cell>
          <cell r="M177">
            <v>241.3</v>
          </cell>
          <cell r="N177">
            <v>0</v>
          </cell>
          <cell r="O177">
            <v>0</v>
          </cell>
          <cell r="P177">
            <v>1</v>
          </cell>
          <cell r="Q177">
            <v>1</v>
          </cell>
          <cell r="R177">
            <v>-1</v>
          </cell>
          <cell r="S177">
            <v>1710</v>
          </cell>
          <cell r="T177">
            <v>57</v>
          </cell>
          <cell r="U177">
            <v>4.88372093023256</v>
          </cell>
          <cell r="V177">
            <v>52.1162790697674</v>
          </cell>
          <cell r="W177" t="str">
            <v>有库存无销量</v>
          </cell>
          <cell r="X177" t="str">
            <v>库存过高</v>
          </cell>
          <cell r="Y177">
            <v>0</v>
          </cell>
          <cell r="Z177">
            <v>0</v>
          </cell>
          <cell r="AA177">
            <v>0</v>
          </cell>
          <cell r="AB177" t="str">
            <v>-</v>
          </cell>
        </row>
        <row r="178">
          <cell r="A178" t="str">
            <v>欣彤</v>
          </cell>
          <cell r="B178" t="str">
            <v>Y3075-NB</v>
          </cell>
          <cell r="C178" t="str">
            <v>高A三防机器人谷歌Pixel 7A带背夹</v>
          </cell>
          <cell r="D178">
            <v>45059</v>
          </cell>
          <cell r="E178" t="str">
            <v>B0BWY9YYSH</v>
          </cell>
          <cell r="F178">
            <v>16</v>
          </cell>
          <cell r="G178">
            <v>0</v>
          </cell>
          <cell r="H178">
            <v>2</v>
          </cell>
          <cell r="I178">
            <v>0</v>
          </cell>
          <cell r="J178">
            <v>0</v>
          </cell>
          <cell r="K178">
            <v>18</v>
          </cell>
          <cell r="L178">
            <v>12.7</v>
          </cell>
          <cell r="M178">
            <v>228.6</v>
          </cell>
          <cell r="N178">
            <v>4</v>
          </cell>
          <cell r="O178">
            <v>9</v>
          </cell>
          <cell r="P178">
            <v>13</v>
          </cell>
          <cell r="Q178">
            <v>1</v>
          </cell>
          <cell r="R178">
            <v>3</v>
          </cell>
          <cell r="S178">
            <v>33.6498516320475</v>
          </cell>
          <cell r="T178">
            <v>1.12166172106825</v>
          </cell>
          <cell r="U178">
            <v>4.4296875</v>
          </cell>
          <cell r="V178">
            <v>-3.30802577893175</v>
          </cell>
          <cell r="W178" t="str">
            <v>正常</v>
          </cell>
          <cell r="X178" t="str">
            <v>正常</v>
          </cell>
          <cell r="Y178">
            <v>6.04</v>
          </cell>
          <cell r="Z178">
            <v>8.64</v>
          </cell>
          <cell r="AA178">
            <v>20.08</v>
          </cell>
          <cell r="AB178">
            <v>0.549590536851683</v>
          </cell>
        </row>
        <row r="179">
          <cell r="A179" t="str">
            <v>欣彤</v>
          </cell>
          <cell r="B179" t="str">
            <v>Y3075-TG</v>
          </cell>
          <cell r="C179" t="str">
            <v>高A三防机器人谷歌Pixel 7A带背夹</v>
          </cell>
          <cell r="D179">
            <v>45059</v>
          </cell>
          <cell r="E179" t="str">
            <v>B0BWYBY69F</v>
          </cell>
          <cell r="F179">
            <v>17</v>
          </cell>
          <cell r="G179">
            <v>0</v>
          </cell>
          <cell r="H179">
            <v>0</v>
          </cell>
          <cell r="I179">
            <v>0</v>
          </cell>
          <cell r="J179">
            <v>0</v>
          </cell>
          <cell r="K179">
            <v>17</v>
          </cell>
          <cell r="L179">
            <v>12.7</v>
          </cell>
          <cell r="M179">
            <v>215.9</v>
          </cell>
          <cell r="N179">
            <v>1</v>
          </cell>
          <cell r="O179">
            <v>1</v>
          </cell>
          <cell r="P179">
            <v>3</v>
          </cell>
          <cell r="Q179">
            <v>2</v>
          </cell>
          <cell r="R179">
            <v>-1</v>
          </cell>
          <cell r="S179">
            <v>164.769230769231</v>
          </cell>
          <cell r="T179">
            <v>5.49230769230769</v>
          </cell>
          <cell r="U179">
            <v>2.89655172413793</v>
          </cell>
          <cell r="V179">
            <v>2.59575596816976</v>
          </cell>
          <cell r="W179" t="str">
            <v>库存过高</v>
          </cell>
          <cell r="X179" t="str">
            <v>库存过高</v>
          </cell>
          <cell r="Y179">
            <v>0</v>
          </cell>
          <cell r="Z179">
            <v>0</v>
          </cell>
          <cell r="AA179">
            <v>0</v>
          </cell>
          <cell r="AB179" t="str">
            <v>-</v>
          </cell>
        </row>
        <row r="180">
          <cell r="A180" t="str">
            <v>欣彤</v>
          </cell>
          <cell r="B180" t="str">
            <v>Y3080-GB+Y3081</v>
          </cell>
          <cell r="C180" t="str">
            <v>高A三防机器人A34带背夹灰+黑</v>
          </cell>
          <cell r="D180">
            <v>45034</v>
          </cell>
          <cell r="E180" t="str">
            <v>B0BYYZHFXL</v>
          </cell>
          <cell r="F180">
            <v>36</v>
          </cell>
          <cell r="G180">
            <v>0</v>
          </cell>
          <cell r="H180">
            <v>0</v>
          </cell>
          <cell r="I180">
            <v>0</v>
          </cell>
          <cell r="J180">
            <v>0</v>
          </cell>
          <cell r="K180">
            <v>36</v>
          </cell>
          <cell r="L180">
            <v>15.2</v>
          </cell>
          <cell r="M180">
            <v>547.2</v>
          </cell>
          <cell r="N180">
            <v>0</v>
          </cell>
          <cell r="O180">
            <v>0</v>
          </cell>
          <cell r="P180">
            <v>0</v>
          </cell>
          <cell r="Q180">
            <v>0</v>
          </cell>
          <cell r="R180">
            <v>0</v>
          </cell>
          <cell r="S180" t="str">
            <v>-</v>
          </cell>
          <cell r="T180" t="str">
            <v>-</v>
          </cell>
          <cell r="U180">
            <v>36</v>
          </cell>
          <cell r="V180" t="str">
            <v>-</v>
          </cell>
          <cell r="W180" t="str">
            <v>有库存无销量</v>
          </cell>
          <cell r="X180" t="str">
            <v>有库存无销量</v>
          </cell>
          <cell r="Y180">
            <v>0</v>
          </cell>
          <cell r="Z180">
            <v>0</v>
          </cell>
          <cell r="AA180">
            <v>0</v>
          </cell>
          <cell r="AB180" t="str">
            <v>-</v>
          </cell>
        </row>
        <row r="181">
          <cell r="A181" t="str">
            <v>欣彤</v>
          </cell>
          <cell r="B181" t="str">
            <v>Y3080-GN+Y3081</v>
          </cell>
          <cell r="C181" t="str">
            <v>高A三防机器人A34带背夹 灰+蓝</v>
          </cell>
          <cell r="D181">
            <v>45034</v>
          </cell>
          <cell r="E181" t="str">
            <v>B0BYZ3R88W</v>
          </cell>
          <cell r="F181">
            <v>36</v>
          </cell>
          <cell r="G181">
            <v>0</v>
          </cell>
          <cell r="H181">
            <v>0</v>
          </cell>
          <cell r="I181">
            <v>0</v>
          </cell>
          <cell r="J181">
            <v>0</v>
          </cell>
          <cell r="K181">
            <v>36</v>
          </cell>
          <cell r="L181">
            <v>15.2</v>
          </cell>
          <cell r="M181">
            <v>547.2</v>
          </cell>
          <cell r="N181">
            <v>0</v>
          </cell>
          <cell r="O181">
            <v>0</v>
          </cell>
          <cell r="P181">
            <v>0</v>
          </cell>
          <cell r="Q181">
            <v>0</v>
          </cell>
          <cell r="R181">
            <v>0</v>
          </cell>
          <cell r="S181" t="str">
            <v>-</v>
          </cell>
          <cell r="T181" t="str">
            <v>-</v>
          </cell>
          <cell r="U181">
            <v>36</v>
          </cell>
          <cell r="V181" t="str">
            <v>-</v>
          </cell>
          <cell r="W181" t="str">
            <v>有库存无销量</v>
          </cell>
          <cell r="X181" t="str">
            <v>有库存无销量</v>
          </cell>
          <cell r="Y181">
            <v>0</v>
          </cell>
          <cell r="Z181">
            <v>0</v>
          </cell>
          <cell r="AA181">
            <v>0</v>
          </cell>
          <cell r="AB181" t="str">
            <v>-</v>
          </cell>
        </row>
        <row r="182">
          <cell r="A182" t="str">
            <v>欣彤</v>
          </cell>
          <cell r="B182" t="str">
            <v>Y3080-GR+Y3081</v>
          </cell>
          <cell r="C182" t="str">
            <v>高A三防机器人A34带背夹 青绿+青绿</v>
          </cell>
          <cell r="D182">
            <v>45034</v>
          </cell>
          <cell r="E182" t="str">
            <v>B0BYZ4BNBB</v>
          </cell>
          <cell r="F182">
            <v>26</v>
          </cell>
          <cell r="G182">
            <v>0</v>
          </cell>
          <cell r="H182">
            <v>0</v>
          </cell>
          <cell r="I182">
            <v>0</v>
          </cell>
          <cell r="J182">
            <v>0</v>
          </cell>
          <cell r="K182">
            <v>26</v>
          </cell>
          <cell r="L182">
            <v>15.2</v>
          </cell>
          <cell r="M182">
            <v>395.2</v>
          </cell>
          <cell r="N182">
            <v>0</v>
          </cell>
          <cell r="O182">
            <v>0</v>
          </cell>
          <cell r="P182">
            <v>0</v>
          </cell>
          <cell r="Q182">
            <v>0</v>
          </cell>
          <cell r="R182">
            <v>0</v>
          </cell>
          <cell r="S182" t="str">
            <v>-</v>
          </cell>
          <cell r="T182" t="str">
            <v>-</v>
          </cell>
          <cell r="U182">
            <v>78</v>
          </cell>
          <cell r="V182" t="str">
            <v>-</v>
          </cell>
          <cell r="W182" t="str">
            <v>有库存无销量</v>
          </cell>
          <cell r="X182" t="str">
            <v>有库存无销量</v>
          </cell>
          <cell r="Y182">
            <v>0</v>
          </cell>
          <cell r="Z182">
            <v>0</v>
          </cell>
          <cell r="AA182">
            <v>0</v>
          </cell>
          <cell r="AB182" t="str">
            <v>-</v>
          </cell>
        </row>
        <row r="183">
          <cell r="A183" t="str">
            <v>欣彤</v>
          </cell>
          <cell r="B183" t="str">
            <v>Y3080-NB+Y3081</v>
          </cell>
          <cell r="C183" t="str">
            <v>高A三防机器人A34带背夹蓝色</v>
          </cell>
          <cell r="D183">
            <v>45034</v>
          </cell>
          <cell r="E183" t="str">
            <v>B0BYYZDLTR</v>
          </cell>
          <cell r="F183">
            <v>44</v>
          </cell>
          <cell r="G183">
            <v>0</v>
          </cell>
          <cell r="H183">
            <v>0</v>
          </cell>
          <cell r="I183">
            <v>0</v>
          </cell>
          <cell r="J183">
            <v>0</v>
          </cell>
          <cell r="K183">
            <v>44</v>
          </cell>
          <cell r="L183">
            <v>15.2</v>
          </cell>
          <cell r="M183">
            <v>668.8</v>
          </cell>
          <cell r="N183">
            <v>2</v>
          </cell>
          <cell r="O183">
            <v>2</v>
          </cell>
          <cell r="P183">
            <v>2</v>
          </cell>
          <cell r="Q183">
            <v>0</v>
          </cell>
          <cell r="R183">
            <v>2</v>
          </cell>
          <cell r="S183">
            <v>271.764705882353</v>
          </cell>
          <cell r="T183">
            <v>9.05882352941177</v>
          </cell>
          <cell r="U183">
            <v>138</v>
          </cell>
          <cell r="V183">
            <v>-128.941176470588</v>
          </cell>
          <cell r="W183" t="str">
            <v>库存过高</v>
          </cell>
          <cell r="X183" t="str">
            <v>库存过高</v>
          </cell>
          <cell r="Y183">
            <v>0</v>
          </cell>
          <cell r="Z183">
            <v>0</v>
          </cell>
          <cell r="AA183">
            <v>0</v>
          </cell>
          <cell r="AB183" t="str">
            <v>-</v>
          </cell>
        </row>
        <row r="184">
          <cell r="A184" t="str">
            <v>欣彤</v>
          </cell>
          <cell r="B184" t="str">
            <v>Y3080-TG+Y3081</v>
          </cell>
          <cell r="C184" t="str">
            <v>高A三防机器人A34带背夹 水兰+白</v>
          </cell>
          <cell r="D184">
            <v>45034</v>
          </cell>
          <cell r="E184" t="str">
            <v>B0BYZ267CM</v>
          </cell>
          <cell r="F184">
            <v>29</v>
          </cell>
          <cell r="G184">
            <v>0</v>
          </cell>
          <cell r="H184">
            <v>0</v>
          </cell>
          <cell r="I184">
            <v>0</v>
          </cell>
          <cell r="J184">
            <v>0</v>
          </cell>
          <cell r="K184">
            <v>29</v>
          </cell>
          <cell r="L184">
            <v>15.2</v>
          </cell>
          <cell r="M184">
            <v>440.8</v>
          </cell>
          <cell r="N184">
            <v>0</v>
          </cell>
          <cell r="O184">
            <v>0</v>
          </cell>
          <cell r="P184">
            <v>0</v>
          </cell>
          <cell r="Q184">
            <v>0</v>
          </cell>
          <cell r="R184">
            <v>0</v>
          </cell>
          <cell r="S184" t="str">
            <v>-</v>
          </cell>
          <cell r="T184" t="str">
            <v>-</v>
          </cell>
          <cell r="U184" t="str">
            <v>-</v>
          </cell>
          <cell r="V184" t="str">
            <v>-</v>
          </cell>
          <cell r="W184" t="str">
            <v>有库存无销量</v>
          </cell>
          <cell r="X184" t="str">
            <v>有库存无销量</v>
          </cell>
          <cell r="Y184">
            <v>0</v>
          </cell>
          <cell r="Z184">
            <v>0</v>
          </cell>
          <cell r="AA184">
            <v>0</v>
          </cell>
          <cell r="AB184" t="str">
            <v>-</v>
          </cell>
        </row>
        <row r="185">
          <cell r="A185" t="str">
            <v>欣彤</v>
          </cell>
          <cell r="B185" t="str">
            <v>Y3080-BL+Y3081</v>
          </cell>
          <cell r="C185" t="str">
            <v>高A三防机器人A34带背夹黑色</v>
          </cell>
          <cell r="D185">
            <v>45034</v>
          </cell>
          <cell r="E185" t="str">
            <v>B0BYYZWVLM</v>
          </cell>
          <cell r="F185">
            <v>52</v>
          </cell>
          <cell r="G185">
            <v>0</v>
          </cell>
          <cell r="H185">
            <v>0</v>
          </cell>
          <cell r="I185">
            <v>0</v>
          </cell>
          <cell r="J185">
            <v>0</v>
          </cell>
          <cell r="K185">
            <v>52</v>
          </cell>
          <cell r="L185">
            <v>12.7</v>
          </cell>
          <cell r="M185">
            <v>660.4</v>
          </cell>
          <cell r="N185">
            <v>0</v>
          </cell>
          <cell r="O185">
            <v>0</v>
          </cell>
          <cell r="P185">
            <v>2</v>
          </cell>
          <cell r="Q185">
            <v>2</v>
          </cell>
          <cell r="R185">
            <v>-2</v>
          </cell>
          <cell r="S185">
            <v>2340</v>
          </cell>
          <cell r="T185">
            <v>78</v>
          </cell>
          <cell r="U185">
            <v>6.77848101265823</v>
          </cell>
          <cell r="V185">
            <v>71.2215189873418</v>
          </cell>
          <cell r="W185" t="str">
            <v>有库存无销量</v>
          </cell>
          <cell r="X185" t="str">
            <v>库存过高</v>
          </cell>
          <cell r="Y185">
            <v>12.12</v>
          </cell>
          <cell r="Z185">
            <v>15.81</v>
          </cell>
          <cell r="AA185">
            <v>23.62</v>
          </cell>
          <cell r="AB185">
            <v>0.466512702078522</v>
          </cell>
        </row>
        <row r="186">
          <cell r="A186" t="str">
            <v>欣彤</v>
          </cell>
          <cell r="B186" t="str">
            <v>Y3082-BL+Y3083+Y3084</v>
          </cell>
          <cell r="C186" t="str">
            <v>中性手机壳Samsung A24 4G</v>
          </cell>
          <cell r="D186">
            <v>45086</v>
          </cell>
          <cell r="E186" t="str">
            <v>B0C3CKPXV1</v>
          </cell>
          <cell r="F186">
            <v>59</v>
          </cell>
          <cell r="G186">
            <v>0</v>
          </cell>
          <cell r="H186">
            <v>0</v>
          </cell>
          <cell r="I186">
            <v>0</v>
          </cell>
          <cell r="J186">
            <v>0</v>
          </cell>
          <cell r="K186">
            <v>59</v>
          </cell>
          <cell r="L186">
            <v>13.9</v>
          </cell>
          <cell r="M186">
            <v>820.1</v>
          </cell>
          <cell r="N186">
            <v>1</v>
          </cell>
          <cell r="O186">
            <v>2</v>
          </cell>
          <cell r="P186">
            <v>3</v>
          </cell>
          <cell r="Q186">
            <v>1</v>
          </cell>
          <cell r="R186">
            <v>0</v>
          </cell>
          <cell r="S186">
            <v>470.506329113924</v>
          </cell>
          <cell r="T186">
            <v>15.6835443037975</v>
          </cell>
          <cell r="U186">
            <v>19.3846153846154</v>
          </cell>
          <cell r="V186">
            <v>-3.70107108081793</v>
          </cell>
          <cell r="W186" t="str">
            <v>库存过高</v>
          </cell>
          <cell r="X186" t="str">
            <v>库存过高</v>
          </cell>
          <cell r="Y186">
            <v>4.89</v>
          </cell>
          <cell r="Z186">
            <v>8.05</v>
          </cell>
          <cell r="AA186">
            <v>17.44</v>
          </cell>
          <cell r="AB186">
            <v>0.444949954504095</v>
          </cell>
        </row>
        <row r="187">
          <cell r="A187" t="str">
            <v>欣彤</v>
          </cell>
          <cell r="B187" t="str">
            <v>Y3082-BY+Y3083+Y3084</v>
          </cell>
          <cell r="C187" t="str">
            <v>中性手机壳Samsung A24 4G</v>
          </cell>
          <cell r="D187">
            <v>45086</v>
          </cell>
          <cell r="E187" t="str">
            <v>B0C3CMM291</v>
          </cell>
          <cell r="F187">
            <v>29</v>
          </cell>
          <cell r="G187">
            <v>0</v>
          </cell>
          <cell r="H187">
            <v>0</v>
          </cell>
          <cell r="I187">
            <v>0</v>
          </cell>
          <cell r="J187">
            <v>0</v>
          </cell>
          <cell r="K187">
            <v>29</v>
          </cell>
          <cell r="L187">
            <v>13.9</v>
          </cell>
          <cell r="M187">
            <v>403.1</v>
          </cell>
          <cell r="N187">
            <v>0</v>
          </cell>
          <cell r="O187">
            <v>0</v>
          </cell>
          <cell r="P187">
            <v>1</v>
          </cell>
          <cell r="Q187">
            <v>0</v>
          </cell>
          <cell r="R187">
            <v>0</v>
          </cell>
          <cell r="S187">
            <v>2610</v>
          </cell>
          <cell r="T187">
            <v>87</v>
          </cell>
          <cell r="U187" t="str">
            <v>-</v>
          </cell>
          <cell r="V187" t="str">
            <v>-</v>
          </cell>
          <cell r="W187" t="str">
            <v>有库存无销量</v>
          </cell>
          <cell r="X187" t="str">
            <v>库存过高</v>
          </cell>
          <cell r="Y187">
            <v>0</v>
          </cell>
          <cell r="Z187">
            <v>0</v>
          </cell>
          <cell r="AA187">
            <v>0</v>
          </cell>
          <cell r="AB187" t="str">
            <v>-</v>
          </cell>
        </row>
        <row r="188">
          <cell r="A188" t="str">
            <v>欣彤</v>
          </cell>
          <cell r="B188" t="str">
            <v>Y3082-DB+Y3083+Y3084</v>
          </cell>
          <cell r="C188" t="str">
            <v>中性手机壳Samsung A24 4G</v>
          </cell>
          <cell r="D188">
            <v>45086</v>
          </cell>
          <cell r="E188" t="str">
            <v>B0C3CJG41W</v>
          </cell>
          <cell r="F188">
            <v>45</v>
          </cell>
          <cell r="G188">
            <v>0</v>
          </cell>
          <cell r="H188">
            <v>0</v>
          </cell>
          <cell r="I188">
            <v>0</v>
          </cell>
          <cell r="J188">
            <v>0</v>
          </cell>
          <cell r="K188">
            <v>45</v>
          </cell>
          <cell r="L188">
            <v>13.9</v>
          </cell>
          <cell r="M188">
            <v>625.5</v>
          </cell>
          <cell r="N188">
            <v>0</v>
          </cell>
          <cell r="O188">
            <v>0</v>
          </cell>
          <cell r="P188">
            <v>1</v>
          </cell>
          <cell r="Q188">
            <v>1</v>
          </cell>
          <cell r="R188">
            <v>-1</v>
          </cell>
          <cell r="S188">
            <v>4050</v>
          </cell>
          <cell r="T188">
            <v>135</v>
          </cell>
          <cell r="U188">
            <v>18.5294117647059</v>
          </cell>
          <cell r="V188">
            <v>116.470588235294</v>
          </cell>
          <cell r="W188" t="str">
            <v>有库存无销量</v>
          </cell>
          <cell r="X188" t="str">
            <v>库存过高</v>
          </cell>
          <cell r="Y188">
            <v>0</v>
          </cell>
          <cell r="Z188">
            <v>0</v>
          </cell>
          <cell r="AA188">
            <v>0</v>
          </cell>
          <cell r="AB188" t="str">
            <v>-</v>
          </cell>
        </row>
        <row r="189">
          <cell r="A189" t="str">
            <v>欣彤</v>
          </cell>
          <cell r="B189" t="str">
            <v>Y3082-GK+Y3083+Y3084</v>
          </cell>
          <cell r="C189" t="str">
            <v>中性手机壳Samsung A24 4G</v>
          </cell>
          <cell r="D189">
            <v>45086</v>
          </cell>
          <cell r="E189" t="str">
            <v>B0C3CLQ5HD</v>
          </cell>
          <cell r="F189">
            <v>27</v>
          </cell>
          <cell r="G189">
            <v>0</v>
          </cell>
          <cell r="H189">
            <v>0</v>
          </cell>
          <cell r="I189">
            <v>2</v>
          </cell>
          <cell r="J189">
            <v>0</v>
          </cell>
          <cell r="K189">
            <v>29</v>
          </cell>
          <cell r="L189">
            <v>13.9</v>
          </cell>
          <cell r="M189">
            <v>403.1</v>
          </cell>
          <cell r="N189">
            <v>0</v>
          </cell>
          <cell r="O189">
            <v>0</v>
          </cell>
          <cell r="P189">
            <v>0</v>
          </cell>
          <cell r="Q189">
            <v>0</v>
          </cell>
          <cell r="R189">
            <v>0</v>
          </cell>
          <cell r="S189" t="str">
            <v>-</v>
          </cell>
          <cell r="T189" t="str">
            <v>-</v>
          </cell>
          <cell r="U189" t="str">
            <v>-</v>
          </cell>
          <cell r="V189" t="str">
            <v>-</v>
          </cell>
          <cell r="W189" t="str">
            <v>有库存无销量</v>
          </cell>
          <cell r="X189" t="str">
            <v>有库存无销量</v>
          </cell>
          <cell r="Y189">
            <v>0</v>
          </cell>
          <cell r="Z189">
            <v>0</v>
          </cell>
          <cell r="AA189">
            <v>0</v>
          </cell>
          <cell r="AB189" t="str">
            <v>-</v>
          </cell>
        </row>
        <row r="190">
          <cell r="A190" t="str">
            <v>欣彤</v>
          </cell>
          <cell r="B190" t="str">
            <v>Y3082-OR+Y3083+Y3084</v>
          </cell>
          <cell r="C190" t="str">
            <v>中性手机壳Samsung A24 4G</v>
          </cell>
          <cell r="D190">
            <v>45086</v>
          </cell>
          <cell r="E190" t="str">
            <v>B0C3CLT91T</v>
          </cell>
          <cell r="F190">
            <v>33</v>
          </cell>
          <cell r="G190">
            <v>0</v>
          </cell>
          <cell r="H190">
            <v>0</v>
          </cell>
          <cell r="I190">
            <v>7</v>
          </cell>
          <cell r="J190">
            <v>0</v>
          </cell>
          <cell r="K190">
            <v>40</v>
          </cell>
          <cell r="L190">
            <v>13.9</v>
          </cell>
          <cell r="M190">
            <v>556</v>
          </cell>
          <cell r="N190">
            <v>0</v>
          </cell>
          <cell r="O190">
            <v>0</v>
          </cell>
          <cell r="P190">
            <v>0</v>
          </cell>
          <cell r="Q190">
            <v>0</v>
          </cell>
          <cell r="R190">
            <v>0</v>
          </cell>
          <cell r="S190" t="str">
            <v>-</v>
          </cell>
          <cell r="T190" t="str">
            <v>-</v>
          </cell>
          <cell r="U190" t="str">
            <v>-</v>
          </cell>
          <cell r="V190" t="str">
            <v>-</v>
          </cell>
          <cell r="W190" t="str">
            <v>有库存无销量</v>
          </cell>
          <cell r="X190" t="str">
            <v>有库存无销量</v>
          </cell>
          <cell r="Y190">
            <v>0</v>
          </cell>
          <cell r="Z190">
            <v>0.66</v>
          </cell>
          <cell r="AA190">
            <v>0.66</v>
          </cell>
          <cell r="AB190" t="str">
            <v>-</v>
          </cell>
        </row>
        <row r="191">
          <cell r="A191" t="str">
            <v>欣彤</v>
          </cell>
          <cell r="B191" t="str">
            <v>Y3085-BL+Y3086+Y3087</v>
          </cell>
          <cell r="C191" t="str">
            <v>中性手机壳Moto g power 5g 2023</v>
          </cell>
          <cell r="D191">
            <v>45052</v>
          </cell>
          <cell r="E191" t="str">
            <v>B0C3CMYH84</v>
          </cell>
          <cell r="F191">
            <v>40</v>
          </cell>
          <cell r="G191">
            <v>1</v>
          </cell>
          <cell r="H191">
            <v>0</v>
          </cell>
          <cell r="I191">
            <v>0</v>
          </cell>
          <cell r="J191">
            <v>0</v>
          </cell>
          <cell r="K191">
            <v>41</v>
          </cell>
          <cell r="L191">
            <v>13.9</v>
          </cell>
          <cell r="M191">
            <v>569.9</v>
          </cell>
          <cell r="N191">
            <v>0</v>
          </cell>
          <cell r="O191">
            <v>4</v>
          </cell>
          <cell r="P191">
            <v>7</v>
          </cell>
          <cell r="Q191">
            <v>2</v>
          </cell>
          <cell r="R191">
            <v>-2</v>
          </cell>
          <cell r="S191">
            <v>246</v>
          </cell>
          <cell r="T191">
            <v>8.2</v>
          </cell>
          <cell r="U191">
            <v>6.85416666666667</v>
          </cell>
          <cell r="V191">
            <v>1.34583333333333</v>
          </cell>
          <cell r="W191" t="str">
            <v>有库存无销量</v>
          </cell>
          <cell r="X191" t="str">
            <v>库存过高</v>
          </cell>
          <cell r="Y191">
            <v>3.83</v>
          </cell>
          <cell r="Z191">
            <v>11.51</v>
          </cell>
          <cell r="AA191">
            <v>28.81</v>
          </cell>
          <cell r="AB191">
            <v>0.294842186297152</v>
          </cell>
        </row>
        <row r="192">
          <cell r="A192" t="str">
            <v>欣彤</v>
          </cell>
          <cell r="B192" t="str">
            <v>Y3085-BY+Y3086+Y3087</v>
          </cell>
          <cell r="C192" t="str">
            <v>中性手机壳Moto g power 5g 2023</v>
          </cell>
          <cell r="D192">
            <v>45052</v>
          </cell>
          <cell r="E192" t="str">
            <v>B0C3CLLSR4</v>
          </cell>
          <cell r="F192">
            <v>25</v>
          </cell>
          <cell r="G192">
            <v>0</v>
          </cell>
          <cell r="H192">
            <v>0</v>
          </cell>
          <cell r="I192">
            <v>0</v>
          </cell>
          <cell r="J192">
            <v>0</v>
          </cell>
          <cell r="K192">
            <v>25</v>
          </cell>
          <cell r="L192">
            <v>13.9</v>
          </cell>
          <cell r="M192">
            <v>347.5</v>
          </cell>
          <cell r="N192">
            <v>0</v>
          </cell>
          <cell r="O192">
            <v>0</v>
          </cell>
          <cell r="P192">
            <v>1</v>
          </cell>
          <cell r="Q192">
            <v>0</v>
          </cell>
          <cell r="R192">
            <v>0</v>
          </cell>
          <cell r="S192">
            <v>2250</v>
          </cell>
          <cell r="T192">
            <v>75</v>
          </cell>
          <cell r="U192">
            <v>78</v>
          </cell>
          <cell r="V192">
            <v>-3</v>
          </cell>
          <cell r="W192" t="str">
            <v>有库存无销量</v>
          </cell>
          <cell r="X192" t="str">
            <v>库存过高</v>
          </cell>
          <cell r="Y192">
            <v>0</v>
          </cell>
          <cell r="Z192">
            <v>0</v>
          </cell>
          <cell r="AA192">
            <v>0</v>
          </cell>
          <cell r="AB192" t="str">
            <v>-</v>
          </cell>
        </row>
        <row r="193">
          <cell r="A193" t="str">
            <v>欣彤</v>
          </cell>
          <cell r="B193" t="str">
            <v>Y3085-DB+Y3086+Y3087</v>
          </cell>
          <cell r="C193" t="str">
            <v>中性手机壳Moto g power 5g 2023</v>
          </cell>
          <cell r="D193">
            <v>45052</v>
          </cell>
          <cell r="E193" t="str">
            <v>B0C3CJHH5Z</v>
          </cell>
          <cell r="F193">
            <v>26</v>
          </cell>
          <cell r="G193">
            <v>1</v>
          </cell>
          <cell r="H193">
            <v>0</v>
          </cell>
          <cell r="I193">
            <v>0</v>
          </cell>
          <cell r="J193">
            <v>0</v>
          </cell>
          <cell r="K193">
            <v>27</v>
          </cell>
          <cell r="L193">
            <v>13.9</v>
          </cell>
          <cell r="M193">
            <v>375.3</v>
          </cell>
          <cell r="N193">
            <v>1</v>
          </cell>
          <cell r="O193">
            <v>1</v>
          </cell>
          <cell r="P193">
            <v>3</v>
          </cell>
          <cell r="Q193">
            <v>0</v>
          </cell>
          <cell r="R193">
            <v>1</v>
          </cell>
          <cell r="S193">
            <v>261.692307692308</v>
          </cell>
          <cell r="T193">
            <v>8.72307692307692</v>
          </cell>
          <cell r="U193">
            <v>9</v>
          </cell>
          <cell r="V193">
            <v>-0.276923076923078</v>
          </cell>
          <cell r="W193" t="str">
            <v>库存过高</v>
          </cell>
          <cell r="X193" t="str">
            <v>库存过高</v>
          </cell>
          <cell r="Y193">
            <v>6.26</v>
          </cell>
          <cell r="Z193">
            <v>10.72</v>
          </cell>
          <cell r="AA193">
            <v>22.01</v>
          </cell>
          <cell r="AB193">
            <v>0.299808429118774</v>
          </cell>
        </row>
        <row r="194">
          <cell r="A194" t="str">
            <v>欣彤</v>
          </cell>
          <cell r="B194" t="str">
            <v>Y3085-GK+Y3086+Y3087</v>
          </cell>
          <cell r="C194" t="str">
            <v>中性手机壳Moto g power 5g 2023</v>
          </cell>
          <cell r="D194">
            <v>45052</v>
          </cell>
          <cell r="E194" t="str">
            <v>B0C3CLR6GX</v>
          </cell>
          <cell r="F194">
            <v>27</v>
          </cell>
          <cell r="G194">
            <v>0</v>
          </cell>
          <cell r="H194">
            <v>1</v>
          </cell>
          <cell r="I194">
            <v>0</v>
          </cell>
          <cell r="J194">
            <v>0</v>
          </cell>
          <cell r="K194">
            <v>28</v>
          </cell>
          <cell r="L194">
            <v>13.9</v>
          </cell>
          <cell r="M194">
            <v>389.2</v>
          </cell>
          <cell r="N194">
            <v>0</v>
          </cell>
          <cell r="O194">
            <v>0</v>
          </cell>
          <cell r="P194">
            <v>2</v>
          </cell>
          <cell r="Q194">
            <v>1</v>
          </cell>
          <cell r="R194">
            <v>-1</v>
          </cell>
          <cell r="S194">
            <v>1260</v>
          </cell>
          <cell r="T194">
            <v>42</v>
          </cell>
          <cell r="U194">
            <v>7.17721518987342</v>
          </cell>
          <cell r="V194">
            <v>34.8227848101266</v>
          </cell>
          <cell r="W194" t="str">
            <v>有库存无销量</v>
          </cell>
          <cell r="X194" t="str">
            <v>库存过高</v>
          </cell>
          <cell r="Y194">
            <v>0</v>
          </cell>
          <cell r="Z194">
            <v>0</v>
          </cell>
          <cell r="AA194">
            <v>0</v>
          </cell>
          <cell r="AB194" t="str">
            <v>-</v>
          </cell>
        </row>
        <row r="195">
          <cell r="A195" t="str">
            <v>欣彤</v>
          </cell>
          <cell r="B195" t="str">
            <v>Y3085-OR+Y3086+Y3087</v>
          </cell>
          <cell r="C195" t="str">
            <v>中性手机壳Moto g power 5g 2023</v>
          </cell>
          <cell r="D195">
            <v>45052</v>
          </cell>
          <cell r="E195" t="str">
            <v>B0C3CMNJLX</v>
          </cell>
          <cell r="F195">
            <v>33</v>
          </cell>
          <cell r="G195">
            <v>0</v>
          </cell>
          <cell r="H195">
            <v>0</v>
          </cell>
          <cell r="I195">
            <v>0</v>
          </cell>
          <cell r="J195">
            <v>0</v>
          </cell>
          <cell r="K195">
            <v>33</v>
          </cell>
          <cell r="L195">
            <v>13.9</v>
          </cell>
          <cell r="M195">
            <v>458.7</v>
          </cell>
          <cell r="N195">
            <v>0</v>
          </cell>
          <cell r="O195">
            <v>0</v>
          </cell>
          <cell r="P195">
            <v>1</v>
          </cell>
          <cell r="Q195">
            <v>1</v>
          </cell>
          <cell r="R195">
            <v>-1</v>
          </cell>
          <cell r="S195">
            <v>2970</v>
          </cell>
          <cell r="T195">
            <v>99</v>
          </cell>
          <cell r="U195">
            <v>14</v>
          </cell>
          <cell r="V195">
            <v>85</v>
          </cell>
          <cell r="W195" t="str">
            <v>有库存无销量</v>
          </cell>
          <cell r="X195" t="str">
            <v>库存过高</v>
          </cell>
          <cell r="Y195">
            <v>0</v>
          </cell>
          <cell r="Z195">
            <v>0</v>
          </cell>
          <cell r="AA195">
            <v>0</v>
          </cell>
          <cell r="AB195" t="str">
            <v>-</v>
          </cell>
        </row>
        <row r="196">
          <cell r="A196" t="str">
            <v>欣彤</v>
          </cell>
          <cell r="B196" t="str">
            <v>Y3022-BL+Y3023+Y3024</v>
          </cell>
          <cell r="C196" t="str">
            <v>Moto中性手机壳G Stylus 2022 5G 黑</v>
          </cell>
        </row>
        <row r="196">
          <cell r="E196" t="str">
            <v>B0B2P3JS91</v>
          </cell>
          <cell r="F196">
            <v>1</v>
          </cell>
          <cell r="G196">
            <v>0</v>
          </cell>
          <cell r="H196">
            <v>0</v>
          </cell>
          <cell r="I196">
            <v>0</v>
          </cell>
          <cell r="J196">
            <v>0</v>
          </cell>
          <cell r="K196">
            <v>1</v>
          </cell>
          <cell r="L196">
            <v>13.9</v>
          </cell>
          <cell r="M196">
            <v>13.9</v>
          </cell>
          <cell r="N196">
            <v>0</v>
          </cell>
          <cell r="O196">
            <v>0</v>
          </cell>
          <cell r="P196">
            <v>0</v>
          </cell>
          <cell r="Q196">
            <v>0</v>
          </cell>
          <cell r="R196">
            <v>0</v>
          </cell>
          <cell r="S196" t="str">
            <v>-</v>
          </cell>
          <cell r="T196" t="str">
            <v>-</v>
          </cell>
          <cell r="U196" t="str">
            <v>-</v>
          </cell>
          <cell r="V196" t="str">
            <v>-</v>
          </cell>
          <cell r="W196" t="str">
            <v>有库存无销量</v>
          </cell>
          <cell r="X196" t="str">
            <v>有库存无销量</v>
          </cell>
          <cell r="Y196">
            <v>0</v>
          </cell>
          <cell r="Z196">
            <v>0</v>
          </cell>
          <cell r="AA196">
            <v>0</v>
          </cell>
          <cell r="AB196" t="str">
            <v>-</v>
          </cell>
        </row>
        <row r="197">
          <cell r="A197" t="str">
            <v>欣彤</v>
          </cell>
          <cell r="B197" t="str">
            <v>Y3043-BL</v>
          </cell>
          <cell r="C197" t="str">
            <v>三星 Z Flip4 铰链荔枝纹指环 黑色</v>
          </cell>
          <cell r="D197">
            <v>44800</v>
          </cell>
          <cell r="E197" t="str">
            <v>B0B9M8LQ18</v>
          </cell>
          <cell r="F197">
            <v>3</v>
          </cell>
          <cell r="G197">
            <v>0</v>
          </cell>
          <cell r="H197">
            <v>0</v>
          </cell>
          <cell r="I197">
            <v>2</v>
          </cell>
          <cell r="J197">
            <v>0</v>
          </cell>
          <cell r="K197">
            <v>5</v>
          </cell>
          <cell r="L197">
            <v>13.7</v>
          </cell>
          <cell r="M197">
            <v>68.5</v>
          </cell>
          <cell r="N197">
            <v>1</v>
          </cell>
          <cell r="O197">
            <v>1</v>
          </cell>
          <cell r="P197">
            <v>2</v>
          </cell>
          <cell r="Q197">
            <v>1</v>
          </cell>
          <cell r="R197">
            <v>0</v>
          </cell>
          <cell r="S197">
            <v>54.3103448275862</v>
          </cell>
          <cell r="T197">
            <v>1.81034482758621</v>
          </cell>
          <cell r="U197">
            <v>11.1176470588235</v>
          </cell>
          <cell r="V197">
            <v>-9.30730223123729</v>
          </cell>
          <cell r="W197" t="str">
            <v>正常</v>
          </cell>
          <cell r="X197" t="str">
            <v>库存过高</v>
          </cell>
          <cell r="Y197">
            <v>2.12</v>
          </cell>
          <cell r="Z197">
            <v>4.27</v>
          </cell>
          <cell r="AA197">
            <v>5.02</v>
          </cell>
          <cell r="AB197" t="str">
            <v>-</v>
          </cell>
        </row>
        <row r="198">
          <cell r="A198" t="str">
            <v>欣彤</v>
          </cell>
          <cell r="B198" t="str">
            <v>Y3088-BL</v>
          </cell>
          <cell r="C198" t="str">
            <v>CA高A三防机器人三星A54 5G 带背夹</v>
          </cell>
          <cell r="D198">
            <v>45070</v>
          </cell>
          <cell r="E198" t="str">
            <v>B0C4NFGQYS</v>
          </cell>
          <cell r="F198">
            <v>16</v>
          </cell>
          <cell r="G198">
            <v>0</v>
          </cell>
          <cell r="H198">
            <v>0</v>
          </cell>
          <cell r="I198">
            <v>0</v>
          </cell>
          <cell r="J198">
            <v>0</v>
          </cell>
          <cell r="K198">
            <v>16</v>
          </cell>
          <cell r="L198">
            <v>12.5</v>
          </cell>
          <cell r="M198">
            <v>200</v>
          </cell>
          <cell r="N198">
            <v>1</v>
          </cell>
          <cell r="O198">
            <v>1</v>
          </cell>
          <cell r="P198">
            <v>2</v>
          </cell>
          <cell r="Q198">
            <v>0</v>
          </cell>
          <cell r="R198">
            <v>1</v>
          </cell>
          <cell r="S198">
            <v>173.793103448276</v>
          </cell>
          <cell r="T198">
            <v>5.79310344827586</v>
          </cell>
          <cell r="U198">
            <v>7.71428571428571</v>
          </cell>
          <cell r="V198">
            <v>-1.92118226600985</v>
          </cell>
          <cell r="W198" t="str">
            <v>库存过高</v>
          </cell>
          <cell r="X198" t="str">
            <v>库存过高</v>
          </cell>
          <cell r="Y198">
            <v>9.63</v>
          </cell>
          <cell r="Z198">
            <v>19.07</v>
          </cell>
          <cell r="AA198">
            <v>30.91</v>
          </cell>
          <cell r="AB198">
            <v>0.344051446945338</v>
          </cell>
        </row>
        <row r="199">
          <cell r="A199" t="str">
            <v>欣彤</v>
          </cell>
          <cell r="B199" t="str">
            <v>Y3088-GN</v>
          </cell>
          <cell r="C199" t="str">
            <v>CA高A三防机器人Samsung A54 5G带背夹</v>
          </cell>
          <cell r="D199">
            <v>45070</v>
          </cell>
          <cell r="E199" t="str">
            <v>B0C4NKKZP2</v>
          </cell>
          <cell r="F199">
            <v>18</v>
          </cell>
          <cell r="G199">
            <v>0</v>
          </cell>
          <cell r="H199">
            <v>0</v>
          </cell>
          <cell r="I199">
            <v>0</v>
          </cell>
          <cell r="J199">
            <v>0</v>
          </cell>
          <cell r="K199">
            <v>18</v>
          </cell>
          <cell r="L199">
            <v>12.5</v>
          </cell>
          <cell r="M199">
            <v>225</v>
          </cell>
          <cell r="N199">
            <v>0</v>
          </cell>
          <cell r="O199">
            <v>0</v>
          </cell>
          <cell r="P199">
            <v>1</v>
          </cell>
          <cell r="Q199">
            <v>1</v>
          </cell>
          <cell r="R199">
            <v>-1</v>
          </cell>
          <cell r="S199">
            <v>1620</v>
          </cell>
          <cell r="T199">
            <v>54</v>
          </cell>
          <cell r="U199">
            <v>7.82352941176471</v>
          </cell>
          <cell r="V199">
            <v>46.1764705882353</v>
          </cell>
          <cell r="W199" t="str">
            <v>有库存无销量</v>
          </cell>
          <cell r="X199" t="str">
            <v>库存过高</v>
          </cell>
          <cell r="Y199">
            <v>0</v>
          </cell>
          <cell r="Z199">
            <v>0</v>
          </cell>
          <cell r="AA199">
            <v>0</v>
          </cell>
          <cell r="AB199" t="str">
            <v>-</v>
          </cell>
        </row>
        <row r="200">
          <cell r="A200" t="str">
            <v>欣彤</v>
          </cell>
          <cell r="B200" t="str">
            <v>Y3088-GY</v>
          </cell>
          <cell r="C200" t="str">
            <v>CA高A三防机器人Samsung  A54 5G带背夹</v>
          </cell>
          <cell r="D200">
            <v>45070</v>
          </cell>
          <cell r="E200" t="str">
            <v>B0C4NJLDST</v>
          </cell>
          <cell r="F200">
            <v>20</v>
          </cell>
          <cell r="G200">
            <v>0</v>
          </cell>
          <cell r="H200">
            <v>0</v>
          </cell>
          <cell r="I200">
            <v>0</v>
          </cell>
          <cell r="J200">
            <v>0</v>
          </cell>
          <cell r="K200">
            <v>20</v>
          </cell>
          <cell r="L200">
            <v>12.5</v>
          </cell>
          <cell r="M200">
            <v>250</v>
          </cell>
          <cell r="N200">
            <v>1</v>
          </cell>
          <cell r="O200">
            <v>1</v>
          </cell>
          <cell r="P200">
            <v>1</v>
          </cell>
          <cell r="Q200">
            <v>0</v>
          </cell>
          <cell r="R200">
            <v>1</v>
          </cell>
          <cell r="S200">
            <v>247.058823529412</v>
          </cell>
          <cell r="T200">
            <v>8.23529411764706</v>
          </cell>
          <cell r="U200" t="str">
            <v>-</v>
          </cell>
          <cell r="V200" t="str">
            <v>-</v>
          </cell>
          <cell r="W200" t="str">
            <v>库存过高</v>
          </cell>
          <cell r="X200" t="str">
            <v>库存过高</v>
          </cell>
          <cell r="Y200">
            <v>0</v>
          </cell>
          <cell r="Z200">
            <v>0</v>
          </cell>
          <cell r="AA200">
            <v>0</v>
          </cell>
          <cell r="AB200" t="str">
            <v>-</v>
          </cell>
        </row>
        <row r="201">
          <cell r="A201" t="str">
            <v>欣彤</v>
          </cell>
          <cell r="B201" t="str">
            <v>Y3088-NB</v>
          </cell>
          <cell r="C201" t="str">
            <v>CA高A三防机器人Samsung A54 5G带背夹</v>
          </cell>
          <cell r="D201">
            <v>45070</v>
          </cell>
          <cell r="E201" t="str">
            <v>B0C4NK4Y64</v>
          </cell>
          <cell r="F201">
            <v>29</v>
          </cell>
          <cell r="G201">
            <v>0</v>
          </cell>
          <cell r="H201">
            <v>0</v>
          </cell>
          <cell r="I201">
            <v>0</v>
          </cell>
          <cell r="J201">
            <v>0</v>
          </cell>
          <cell r="K201">
            <v>29</v>
          </cell>
          <cell r="L201">
            <v>12.5</v>
          </cell>
          <cell r="M201">
            <v>362.5</v>
          </cell>
          <cell r="N201">
            <v>0</v>
          </cell>
          <cell r="O201">
            <v>0</v>
          </cell>
          <cell r="P201">
            <v>2</v>
          </cell>
          <cell r="Q201">
            <v>0</v>
          </cell>
          <cell r="R201">
            <v>0</v>
          </cell>
          <cell r="S201">
            <v>1305</v>
          </cell>
          <cell r="T201">
            <v>43.5</v>
          </cell>
          <cell r="U201">
            <v>14.5</v>
          </cell>
          <cell r="V201">
            <v>29</v>
          </cell>
          <cell r="W201" t="str">
            <v>有库存无销量</v>
          </cell>
          <cell r="X201" t="str">
            <v>库存过高</v>
          </cell>
          <cell r="Y201">
            <v>0</v>
          </cell>
          <cell r="Z201">
            <v>0</v>
          </cell>
          <cell r="AA201">
            <v>0</v>
          </cell>
          <cell r="AB201" t="str">
            <v>-</v>
          </cell>
        </row>
        <row r="202">
          <cell r="A202" t="str">
            <v>欣彤</v>
          </cell>
          <cell r="B202" t="str">
            <v>Y3089-BY+Y3090+Y3091</v>
          </cell>
          <cell r="C202" t="str">
            <v>CA中性手机壳Moto g power 5g 2023</v>
          </cell>
          <cell r="D202">
            <v>45070</v>
          </cell>
          <cell r="E202" t="str">
            <v>B0C4NK5BG9</v>
          </cell>
          <cell r="F202">
            <v>10</v>
          </cell>
          <cell r="G202">
            <v>0</v>
          </cell>
          <cell r="H202">
            <v>0</v>
          </cell>
          <cell r="I202">
            <v>0</v>
          </cell>
          <cell r="J202">
            <v>0</v>
          </cell>
          <cell r="K202">
            <v>10</v>
          </cell>
          <cell r="L202">
            <v>13.9</v>
          </cell>
          <cell r="M202">
            <v>139</v>
          </cell>
          <cell r="N202">
            <v>0</v>
          </cell>
          <cell r="O202">
            <v>0</v>
          </cell>
          <cell r="P202">
            <v>0</v>
          </cell>
          <cell r="Q202">
            <v>0</v>
          </cell>
          <cell r="R202">
            <v>0</v>
          </cell>
          <cell r="S202" t="str">
            <v>-</v>
          </cell>
          <cell r="T202" t="str">
            <v>-</v>
          </cell>
          <cell r="U202" t="str">
            <v>-</v>
          </cell>
          <cell r="V202" t="str">
            <v>-</v>
          </cell>
          <cell r="W202" t="str">
            <v>有库存无销量</v>
          </cell>
          <cell r="X202" t="str">
            <v>有库存无销量</v>
          </cell>
          <cell r="Y202">
            <v>0</v>
          </cell>
          <cell r="Z202">
            <v>0</v>
          </cell>
          <cell r="AA202">
            <v>0</v>
          </cell>
          <cell r="AB202" t="str">
            <v>-</v>
          </cell>
        </row>
        <row r="203">
          <cell r="A203" t="str">
            <v>欣彤</v>
          </cell>
          <cell r="B203" t="str">
            <v>Y3089-DB+Y3090+Y3091</v>
          </cell>
          <cell r="C203" t="str">
            <v>CA中性手机壳Moto g power 5g 2023</v>
          </cell>
          <cell r="D203">
            <v>45070</v>
          </cell>
          <cell r="E203" t="str">
            <v>B0C4NM8PWD</v>
          </cell>
          <cell r="F203">
            <v>19</v>
          </cell>
          <cell r="G203">
            <v>0</v>
          </cell>
          <cell r="H203">
            <v>0</v>
          </cell>
          <cell r="I203">
            <v>0</v>
          </cell>
          <cell r="J203">
            <v>0</v>
          </cell>
          <cell r="K203">
            <v>19</v>
          </cell>
          <cell r="L203">
            <v>13.9</v>
          </cell>
          <cell r="M203">
            <v>264.1</v>
          </cell>
          <cell r="N203">
            <v>0</v>
          </cell>
          <cell r="O203">
            <v>0</v>
          </cell>
          <cell r="P203">
            <v>0</v>
          </cell>
          <cell r="Q203">
            <v>0</v>
          </cell>
          <cell r="R203">
            <v>0</v>
          </cell>
          <cell r="S203" t="str">
            <v>-</v>
          </cell>
          <cell r="T203" t="str">
            <v>-</v>
          </cell>
          <cell r="U203">
            <v>57</v>
          </cell>
          <cell r="V203" t="str">
            <v>-</v>
          </cell>
          <cell r="W203" t="str">
            <v>有库存无销量</v>
          </cell>
          <cell r="X203" t="str">
            <v>有库存无销量</v>
          </cell>
          <cell r="Y203">
            <v>0</v>
          </cell>
          <cell r="Z203">
            <v>0</v>
          </cell>
          <cell r="AA203">
            <v>0</v>
          </cell>
          <cell r="AB203" t="str">
            <v>-</v>
          </cell>
        </row>
        <row r="204">
          <cell r="A204" t="str">
            <v>欣彤</v>
          </cell>
          <cell r="B204" t="str">
            <v>Y3089-GK+Y3090+Y3091</v>
          </cell>
          <cell r="C204" t="str">
            <v>CA中性手机壳Moto g power 5g 2023</v>
          </cell>
          <cell r="D204">
            <v>45070</v>
          </cell>
          <cell r="E204" t="str">
            <v>B0C4NH2HJ7</v>
          </cell>
          <cell r="F204">
            <v>9</v>
          </cell>
          <cell r="G204">
            <v>0</v>
          </cell>
          <cell r="H204">
            <v>0</v>
          </cell>
          <cell r="I204">
            <v>0</v>
          </cell>
          <cell r="J204">
            <v>0</v>
          </cell>
          <cell r="K204">
            <v>9</v>
          </cell>
          <cell r="L204">
            <v>13.9</v>
          </cell>
          <cell r="M204">
            <v>125.1</v>
          </cell>
          <cell r="N204">
            <v>0</v>
          </cell>
          <cell r="O204">
            <v>0</v>
          </cell>
          <cell r="P204">
            <v>0</v>
          </cell>
          <cell r="Q204">
            <v>0</v>
          </cell>
          <cell r="R204">
            <v>0</v>
          </cell>
          <cell r="S204" t="str">
            <v>-</v>
          </cell>
          <cell r="T204" t="str">
            <v>-</v>
          </cell>
          <cell r="U204" t="str">
            <v>-</v>
          </cell>
          <cell r="V204" t="str">
            <v>-</v>
          </cell>
          <cell r="W204" t="str">
            <v>有库存无销量</v>
          </cell>
          <cell r="X204" t="str">
            <v>有库存无销量</v>
          </cell>
          <cell r="Y204">
            <v>0</v>
          </cell>
          <cell r="Z204">
            <v>0</v>
          </cell>
          <cell r="AA204">
            <v>0</v>
          </cell>
          <cell r="AB204" t="str">
            <v>-</v>
          </cell>
        </row>
        <row r="205">
          <cell r="A205" t="str">
            <v>欣彤</v>
          </cell>
          <cell r="B205" t="str">
            <v>Y3092-BL+Y3093+Y3094</v>
          </cell>
          <cell r="C205" t="str">
            <v>CA中性手机壳Samsung A14 5G</v>
          </cell>
          <cell r="D205">
            <v>45070</v>
          </cell>
          <cell r="E205" t="str">
            <v>B0C5CPJ62G</v>
          </cell>
          <cell r="F205">
            <v>4</v>
          </cell>
          <cell r="G205">
            <v>1</v>
          </cell>
          <cell r="H205">
            <v>0</v>
          </cell>
          <cell r="I205">
            <v>1</v>
          </cell>
          <cell r="J205">
            <v>0</v>
          </cell>
          <cell r="K205">
            <v>6</v>
          </cell>
          <cell r="L205">
            <v>13.9</v>
          </cell>
          <cell r="M205">
            <v>83.4</v>
          </cell>
          <cell r="N205">
            <v>1</v>
          </cell>
          <cell r="O205">
            <v>8</v>
          </cell>
          <cell r="P205">
            <v>16</v>
          </cell>
          <cell r="Q205">
            <v>5</v>
          </cell>
          <cell r="R205">
            <v>-4</v>
          </cell>
          <cell r="S205">
            <v>14.8818897637795</v>
          </cell>
          <cell r="T205">
            <v>0.496062992125984</v>
          </cell>
          <cell r="U205">
            <v>0.756756756756757</v>
          </cell>
          <cell r="V205">
            <v>-0.260693764630773</v>
          </cell>
          <cell r="W205" t="str">
            <v>正常</v>
          </cell>
          <cell r="X205" t="str">
            <v>库存过低</v>
          </cell>
          <cell r="Y205">
            <v>7.62</v>
          </cell>
          <cell r="Z205">
            <v>14.19</v>
          </cell>
          <cell r="AA205">
            <v>27.12</v>
          </cell>
          <cell r="AB205">
            <v>0.129349855712103</v>
          </cell>
        </row>
        <row r="206">
          <cell r="A206" t="str">
            <v>欣彤</v>
          </cell>
          <cell r="B206" t="str">
            <v>Y3092-BY+Y3093+Y3094</v>
          </cell>
          <cell r="C206" t="str">
            <v>CA中性手机壳Samsung A14 5G</v>
          </cell>
          <cell r="D206">
            <v>45070</v>
          </cell>
          <cell r="E206" t="str">
            <v>B0C5CFPRRN</v>
          </cell>
          <cell r="F206">
            <v>17</v>
          </cell>
          <cell r="G206">
            <v>0</v>
          </cell>
          <cell r="H206">
            <v>0</v>
          </cell>
          <cell r="I206">
            <v>0</v>
          </cell>
          <cell r="J206">
            <v>0</v>
          </cell>
          <cell r="K206">
            <v>17</v>
          </cell>
          <cell r="L206">
            <v>13.9</v>
          </cell>
          <cell r="M206">
            <v>236.3</v>
          </cell>
          <cell r="N206">
            <v>0</v>
          </cell>
          <cell r="O206">
            <v>1</v>
          </cell>
          <cell r="P206">
            <v>1</v>
          </cell>
          <cell r="Q206">
            <v>0</v>
          </cell>
          <cell r="R206">
            <v>0</v>
          </cell>
          <cell r="S206">
            <v>510</v>
          </cell>
          <cell r="T206">
            <v>17</v>
          </cell>
          <cell r="U206" t="str">
            <v>-</v>
          </cell>
          <cell r="V206" t="str">
            <v>-</v>
          </cell>
          <cell r="W206" t="str">
            <v>有库存无销量</v>
          </cell>
          <cell r="X206" t="str">
            <v>库存过高</v>
          </cell>
          <cell r="Y206">
            <v>0</v>
          </cell>
          <cell r="Z206">
            <v>0</v>
          </cell>
          <cell r="AA206">
            <v>0</v>
          </cell>
          <cell r="AB206" t="str">
            <v>-</v>
          </cell>
        </row>
        <row r="207">
          <cell r="A207" t="str">
            <v>欣彤</v>
          </cell>
          <cell r="B207" t="str">
            <v>Y3092-DB+Y3093+Y3094</v>
          </cell>
          <cell r="C207" t="str">
            <v>CA中性手机壳Samsung A14 5G</v>
          </cell>
          <cell r="D207">
            <v>45070</v>
          </cell>
          <cell r="E207" t="str">
            <v>B0C5CD5ZQM</v>
          </cell>
          <cell r="F207">
            <v>12</v>
          </cell>
          <cell r="G207">
            <v>1</v>
          </cell>
          <cell r="H207">
            <v>0</v>
          </cell>
          <cell r="I207">
            <v>0</v>
          </cell>
          <cell r="J207">
            <v>0</v>
          </cell>
          <cell r="K207">
            <v>13</v>
          </cell>
          <cell r="L207">
            <v>13.9</v>
          </cell>
          <cell r="M207">
            <v>180.7</v>
          </cell>
          <cell r="N207">
            <v>0</v>
          </cell>
          <cell r="O207">
            <v>1</v>
          </cell>
          <cell r="P207">
            <v>1</v>
          </cell>
          <cell r="Q207">
            <v>0</v>
          </cell>
          <cell r="R207">
            <v>0</v>
          </cell>
          <cell r="S207">
            <v>390</v>
          </cell>
          <cell r="T207">
            <v>13</v>
          </cell>
          <cell r="U207" t="str">
            <v>-</v>
          </cell>
          <cell r="V207" t="str">
            <v>-</v>
          </cell>
          <cell r="W207" t="str">
            <v>有库存无销量</v>
          </cell>
          <cell r="X207" t="str">
            <v>库存过高</v>
          </cell>
          <cell r="Y207">
            <v>0</v>
          </cell>
          <cell r="Z207">
            <v>0</v>
          </cell>
          <cell r="AA207">
            <v>0</v>
          </cell>
          <cell r="AB207" t="str">
            <v>-</v>
          </cell>
        </row>
        <row r="208">
          <cell r="A208" t="str">
            <v>欣彤</v>
          </cell>
          <cell r="B208" t="str">
            <v>Y3092-GK+Y3093+Y3094</v>
          </cell>
          <cell r="C208" t="str">
            <v>CA中性手机壳Samsung A14 5G</v>
          </cell>
          <cell r="D208">
            <v>45070</v>
          </cell>
          <cell r="E208" t="str">
            <v>B0C5CDFS4N</v>
          </cell>
          <cell r="F208">
            <v>18</v>
          </cell>
          <cell r="G208">
            <v>0</v>
          </cell>
          <cell r="H208">
            <v>0</v>
          </cell>
          <cell r="I208">
            <v>0</v>
          </cell>
          <cell r="J208">
            <v>0</v>
          </cell>
          <cell r="K208">
            <v>18</v>
          </cell>
          <cell r="L208">
            <v>13.9</v>
          </cell>
          <cell r="M208">
            <v>250.2</v>
          </cell>
          <cell r="N208">
            <v>0</v>
          </cell>
          <cell r="O208">
            <v>0</v>
          </cell>
          <cell r="P208">
            <v>1</v>
          </cell>
          <cell r="Q208">
            <v>1</v>
          </cell>
          <cell r="R208">
            <v>-1</v>
          </cell>
          <cell r="S208">
            <v>1620</v>
          </cell>
          <cell r="T208">
            <v>54</v>
          </cell>
          <cell r="U208">
            <v>6.51724137931035</v>
          </cell>
          <cell r="V208">
            <v>47.4827586206897</v>
          </cell>
          <cell r="W208" t="str">
            <v>有库存无销量</v>
          </cell>
          <cell r="X208" t="str">
            <v>库存过高</v>
          </cell>
          <cell r="Y208">
            <v>0</v>
          </cell>
          <cell r="Z208">
            <v>0</v>
          </cell>
          <cell r="AA208">
            <v>0</v>
          </cell>
          <cell r="AB208" t="str">
            <v>-</v>
          </cell>
        </row>
        <row r="209">
          <cell r="A209" t="str">
            <v>欣彤</v>
          </cell>
          <cell r="B209" t="str">
            <v>Y3092-OR+Y3093+Y3094</v>
          </cell>
          <cell r="C209" t="str">
            <v>CA中性手机壳Samsung A14 5G</v>
          </cell>
          <cell r="D209">
            <v>45070</v>
          </cell>
          <cell r="E209" t="str">
            <v>B0C5CCV144</v>
          </cell>
          <cell r="F209">
            <v>26</v>
          </cell>
          <cell r="G209">
            <v>0</v>
          </cell>
          <cell r="H209">
            <v>0</v>
          </cell>
          <cell r="I209">
            <v>0</v>
          </cell>
          <cell r="J209">
            <v>0</v>
          </cell>
          <cell r="K209">
            <v>26</v>
          </cell>
          <cell r="L209">
            <v>13.9</v>
          </cell>
          <cell r="M209">
            <v>361.4</v>
          </cell>
          <cell r="N209">
            <v>0</v>
          </cell>
          <cell r="O209">
            <v>0</v>
          </cell>
          <cell r="P209">
            <v>1</v>
          </cell>
          <cell r="Q209">
            <v>0</v>
          </cell>
          <cell r="R209">
            <v>0</v>
          </cell>
          <cell r="S209">
            <v>2340</v>
          </cell>
          <cell r="T209">
            <v>78</v>
          </cell>
          <cell r="U209">
            <v>19.5</v>
          </cell>
          <cell r="V209">
            <v>58.5</v>
          </cell>
          <cell r="W209" t="str">
            <v>有库存无销量</v>
          </cell>
          <cell r="X209" t="str">
            <v>库存过高</v>
          </cell>
          <cell r="Y209">
            <v>0</v>
          </cell>
          <cell r="Z209">
            <v>0</v>
          </cell>
          <cell r="AA209">
            <v>0</v>
          </cell>
          <cell r="AB209" t="str">
            <v>-</v>
          </cell>
        </row>
        <row r="210">
          <cell r="A210" t="str">
            <v>欣彤</v>
          </cell>
          <cell r="B210" t="str">
            <v>Y3095-GN</v>
          </cell>
          <cell r="C210" t="str">
            <v>CA高A三防机器人谷歌Pixel 7A带背夹</v>
          </cell>
          <cell r="D210">
            <v>45070</v>
          </cell>
          <cell r="E210" t="str">
            <v>B0C5CPK12F</v>
          </cell>
          <cell r="F210">
            <v>19</v>
          </cell>
          <cell r="G210">
            <v>0</v>
          </cell>
          <cell r="H210">
            <v>0</v>
          </cell>
          <cell r="I210">
            <v>0</v>
          </cell>
          <cell r="J210">
            <v>0</v>
          </cell>
          <cell r="K210">
            <v>19</v>
          </cell>
          <cell r="L210">
            <v>13.7</v>
          </cell>
          <cell r="M210">
            <v>260.3</v>
          </cell>
          <cell r="N210">
            <v>0</v>
          </cell>
          <cell r="O210">
            <v>0</v>
          </cell>
          <cell r="P210">
            <v>0</v>
          </cell>
          <cell r="Q210">
            <v>0</v>
          </cell>
          <cell r="R210">
            <v>0</v>
          </cell>
          <cell r="S210" t="str">
            <v>-</v>
          </cell>
          <cell r="T210" t="str">
            <v>-</v>
          </cell>
          <cell r="U210" t="str">
            <v>-</v>
          </cell>
          <cell r="V210" t="str">
            <v>-</v>
          </cell>
          <cell r="W210" t="str">
            <v>有库存无销量</v>
          </cell>
          <cell r="X210" t="str">
            <v>有库存无销量</v>
          </cell>
          <cell r="Y210">
            <v>0</v>
          </cell>
          <cell r="Z210">
            <v>0</v>
          </cell>
          <cell r="AA210">
            <v>0</v>
          </cell>
          <cell r="AB210" t="str">
            <v>-</v>
          </cell>
        </row>
        <row r="211">
          <cell r="A211" t="str">
            <v>欣彤</v>
          </cell>
          <cell r="B211" t="str">
            <v>Y3095-GR</v>
          </cell>
          <cell r="C211" t="str">
            <v>CA高A三防机器人谷歌Pixel 7A带背夹 青绿</v>
          </cell>
          <cell r="D211">
            <v>45070</v>
          </cell>
          <cell r="E211" t="str">
            <v>B0C5CJ7SRR</v>
          </cell>
          <cell r="F211">
            <v>20</v>
          </cell>
          <cell r="G211">
            <v>0</v>
          </cell>
          <cell r="H211">
            <v>0</v>
          </cell>
          <cell r="I211">
            <v>0</v>
          </cell>
          <cell r="J211">
            <v>0</v>
          </cell>
          <cell r="K211">
            <v>20</v>
          </cell>
          <cell r="L211">
            <v>13.7</v>
          </cell>
          <cell r="M211">
            <v>274</v>
          </cell>
          <cell r="N211">
            <v>0</v>
          </cell>
          <cell r="O211">
            <v>0</v>
          </cell>
          <cell r="P211">
            <v>0</v>
          </cell>
          <cell r="Q211">
            <v>0</v>
          </cell>
          <cell r="R211">
            <v>0</v>
          </cell>
          <cell r="S211" t="str">
            <v>-</v>
          </cell>
          <cell r="T211" t="str">
            <v>-</v>
          </cell>
          <cell r="U211" t="str">
            <v>-</v>
          </cell>
          <cell r="V211" t="str">
            <v>-</v>
          </cell>
          <cell r="W211" t="str">
            <v>有库存无销量</v>
          </cell>
          <cell r="X211" t="str">
            <v>有库存无销量</v>
          </cell>
          <cell r="Y211">
            <v>0</v>
          </cell>
          <cell r="Z211">
            <v>0</v>
          </cell>
          <cell r="AA211">
            <v>0</v>
          </cell>
          <cell r="AB211" t="str">
            <v>-</v>
          </cell>
        </row>
        <row r="212">
          <cell r="A212" t="str">
            <v>欣彤</v>
          </cell>
          <cell r="B212" t="str">
            <v>Y3095-NB</v>
          </cell>
          <cell r="C212" t="str">
            <v>CA高A三防机器人谷歌pixel 7A</v>
          </cell>
          <cell r="D212">
            <v>45070</v>
          </cell>
          <cell r="E212" t="str">
            <v>B0C5CHNFNY</v>
          </cell>
          <cell r="F212">
            <v>34</v>
          </cell>
          <cell r="G212">
            <v>0</v>
          </cell>
          <cell r="H212">
            <v>0</v>
          </cell>
          <cell r="I212">
            <v>0</v>
          </cell>
          <cell r="J212">
            <v>0</v>
          </cell>
          <cell r="K212">
            <v>34</v>
          </cell>
          <cell r="L212">
            <v>13.7</v>
          </cell>
          <cell r="M212">
            <v>465.8</v>
          </cell>
          <cell r="N212">
            <v>0</v>
          </cell>
          <cell r="O212">
            <v>0</v>
          </cell>
          <cell r="P212">
            <v>0</v>
          </cell>
          <cell r="Q212">
            <v>0</v>
          </cell>
          <cell r="R212">
            <v>0</v>
          </cell>
          <cell r="S212" t="str">
            <v>-</v>
          </cell>
          <cell r="T212" t="str">
            <v>-</v>
          </cell>
          <cell r="U212" t="str">
            <v>-</v>
          </cell>
          <cell r="V212" t="str">
            <v>-</v>
          </cell>
          <cell r="W212" t="str">
            <v>有库存无销量</v>
          </cell>
          <cell r="X212" t="str">
            <v>有库存无销量</v>
          </cell>
          <cell r="Y212">
            <v>0</v>
          </cell>
          <cell r="Z212">
            <v>0</v>
          </cell>
          <cell r="AA212">
            <v>0</v>
          </cell>
          <cell r="AB212" t="str">
            <v>-</v>
          </cell>
        </row>
        <row r="213">
          <cell r="A213" t="str">
            <v>欣彤</v>
          </cell>
          <cell r="B213" t="str">
            <v>Y3096-BL+Y3097+Y3098</v>
          </cell>
          <cell r="C213" t="str">
            <v>中性Moto g stylus 5g 2023手机壳</v>
          </cell>
          <cell r="D213">
            <v>45107</v>
          </cell>
          <cell r="E213" t="str">
            <v>B0C84X13TP</v>
          </cell>
          <cell r="F213">
            <v>106</v>
          </cell>
          <cell r="G213">
            <v>0</v>
          </cell>
          <cell r="H213">
            <v>1</v>
          </cell>
          <cell r="I213">
            <v>1</v>
          </cell>
          <cell r="J213">
            <v>4</v>
          </cell>
          <cell r="K213">
            <v>112</v>
          </cell>
          <cell r="L213">
            <v>13.9</v>
          </cell>
          <cell r="M213">
            <v>1556.8</v>
          </cell>
          <cell r="N213">
            <v>5</v>
          </cell>
          <cell r="O213">
            <v>10</v>
          </cell>
          <cell r="P213">
            <v>14</v>
          </cell>
          <cell r="Q213">
            <v>1</v>
          </cell>
          <cell r="R213">
            <v>4</v>
          </cell>
          <cell r="S213">
            <v>181.855670103093</v>
          </cell>
          <cell r="T213">
            <v>6.06185567010309</v>
          </cell>
          <cell r="U213">
            <v>31.6329113924051</v>
          </cell>
          <cell r="V213">
            <v>-25.571055722302</v>
          </cell>
          <cell r="W213" t="str">
            <v>库存过高</v>
          </cell>
          <cell r="X213" t="str">
            <v>库存过高</v>
          </cell>
          <cell r="Y213">
            <v>0</v>
          </cell>
          <cell r="Z213">
            <v>0</v>
          </cell>
          <cell r="AA213">
            <v>0</v>
          </cell>
          <cell r="AB213" t="str">
            <v>-</v>
          </cell>
        </row>
        <row r="214">
          <cell r="A214" t="str">
            <v>欣彤</v>
          </cell>
          <cell r="B214" t="str">
            <v>Y3096-DB+Y3097+Y3098</v>
          </cell>
          <cell r="C214" t="str">
            <v>中性Moto g stylus 5g 2023手机壳</v>
          </cell>
          <cell r="D214">
            <v>45107</v>
          </cell>
          <cell r="E214" t="str">
            <v>B0C84VPJMX</v>
          </cell>
          <cell r="F214">
            <v>47</v>
          </cell>
          <cell r="G214">
            <v>1</v>
          </cell>
          <cell r="H214">
            <v>10</v>
          </cell>
          <cell r="I214">
            <v>1</v>
          </cell>
          <cell r="J214">
            <v>1</v>
          </cell>
          <cell r="K214">
            <v>60</v>
          </cell>
          <cell r="L214">
            <v>13.9</v>
          </cell>
          <cell r="M214">
            <v>834</v>
          </cell>
          <cell r="N214">
            <v>4</v>
          </cell>
          <cell r="O214">
            <v>9</v>
          </cell>
          <cell r="P214">
            <v>17</v>
          </cell>
          <cell r="Q214">
            <v>4</v>
          </cell>
          <cell r="R214">
            <v>0</v>
          </cell>
          <cell r="S214">
            <v>103.561643835616</v>
          </cell>
          <cell r="T214">
            <v>3.45205479452055</v>
          </cell>
          <cell r="U214">
            <v>4.04748603351955</v>
          </cell>
          <cell r="V214">
            <v>-0.595431238999002</v>
          </cell>
          <cell r="W214" t="str">
            <v>库存过高</v>
          </cell>
          <cell r="X214" t="str">
            <v>库存过高</v>
          </cell>
          <cell r="Y214">
            <v>0.45</v>
          </cell>
          <cell r="Z214">
            <v>0.45</v>
          </cell>
          <cell r="AA214">
            <v>0.45</v>
          </cell>
          <cell r="AB214" t="str">
            <v>-</v>
          </cell>
        </row>
        <row r="215">
          <cell r="A215" t="str">
            <v>欣彤</v>
          </cell>
          <cell r="B215" t="str">
            <v>Y3096-GK+Y3097+Y3098</v>
          </cell>
          <cell r="C215" t="str">
            <v>中性Moto g stylus 5g 2023手机壳</v>
          </cell>
          <cell r="D215">
            <v>45107</v>
          </cell>
          <cell r="E215" t="str">
            <v>B0C84W9MND</v>
          </cell>
          <cell r="F215">
            <v>51</v>
          </cell>
          <cell r="G215">
            <v>0</v>
          </cell>
          <cell r="H215">
            <v>0</v>
          </cell>
          <cell r="I215">
            <v>0</v>
          </cell>
          <cell r="J215">
            <v>4</v>
          </cell>
          <cell r="K215">
            <v>55</v>
          </cell>
          <cell r="L215">
            <v>13.9</v>
          </cell>
          <cell r="M215">
            <v>764.5</v>
          </cell>
          <cell r="N215">
            <v>0</v>
          </cell>
          <cell r="O215">
            <v>0</v>
          </cell>
          <cell r="P215">
            <v>4</v>
          </cell>
          <cell r="Q215">
            <v>3</v>
          </cell>
          <cell r="R215">
            <v>-3</v>
          </cell>
          <cell r="S215">
            <v>1237.5</v>
          </cell>
          <cell r="T215">
            <v>41.25</v>
          </cell>
          <cell r="U215">
            <v>5.92021276595745</v>
          </cell>
          <cell r="V215">
            <v>35.3297872340425</v>
          </cell>
          <cell r="W215" t="str">
            <v>有库存无销量</v>
          </cell>
          <cell r="X215" t="str">
            <v>库存过高</v>
          </cell>
          <cell r="Y215">
            <v>0</v>
          </cell>
          <cell r="Z215">
            <v>0</v>
          </cell>
          <cell r="AA215">
            <v>0</v>
          </cell>
          <cell r="AB215" t="str">
            <v>-</v>
          </cell>
        </row>
        <row r="216">
          <cell r="A216" t="str">
            <v>欣彤</v>
          </cell>
          <cell r="B216" t="str">
            <v>Y3096-BY+Y3097+Y3098</v>
          </cell>
          <cell r="C216" t="str">
            <v>中性Moto g stylus 5g 2023手机壳</v>
          </cell>
          <cell r="D216">
            <v>45107</v>
          </cell>
          <cell r="E216" t="str">
            <v>B0C84W3155</v>
          </cell>
          <cell r="F216">
            <v>30</v>
          </cell>
          <cell r="G216">
            <v>0</v>
          </cell>
          <cell r="H216">
            <v>0</v>
          </cell>
          <cell r="I216">
            <v>0</v>
          </cell>
          <cell r="J216">
            <v>22</v>
          </cell>
          <cell r="K216">
            <v>52</v>
          </cell>
          <cell r="L216">
            <v>13.9</v>
          </cell>
          <cell r="M216">
            <v>722.8</v>
          </cell>
          <cell r="N216">
            <v>0</v>
          </cell>
          <cell r="O216">
            <v>0</v>
          </cell>
          <cell r="P216">
            <v>2</v>
          </cell>
          <cell r="Q216">
            <v>1</v>
          </cell>
          <cell r="R216">
            <v>-1</v>
          </cell>
          <cell r="S216">
            <v>2340</v>
          </cell>
          <cell r="T216">
            <v>78</v>
          </cell>
          <cell r="U216">
            <v>17.1230769230769</v>
          </cell>
          <cell r="V216">
            <v>60.8769230769231</v>
          </cell>
          <cell r="W216" t="str">
            <v>有库存无销量</v>
          </cell>
          <cell r="X216" t="str">
            <v>库存过高</v>
          </cell>
          <cell r="Y216">
            <v>0</v>
          </cell>
          <cell r="Z216">
            <v>0</v>
          </cell>
          <cell r="AA216">
            <v>0</v>
          </cell>
          <cell r="AB216" t="str">
            <v>-</v>
          </cell>
        </row>
        <row r="217">
          <cell r="A217" t="str">
            <v>欣彤</v>
          </cell>
          <cell r="B217" t="str">
            <v>Y3096-OR+Y3097+Y3098</v>
          </cell>
          <cell r="C217" t="str">
            <v>中性Moto g stylus 5g 2023手机壳</v>
          </cell>
          <cell r="D217">
            <v>45107</v>
          </cell>
          <cell r="E217" t="str">
            <v>B0C84VL5PH</v>
          </cell>
          <cell r="F217">
            <v>16</v>
          </cell>
          <cell r="G217">
            <v>1</v>
          </cell>
          <cell r="H217">
            <v>39</v>
          </cell>
          <cell r="I217">
            <v>40</v>
          </cell>
          <cell r="J217">
            <v>0</v>
          </cell>
          <cell r="K217">
            <v>96</v>
          </cell>
          <cell r="L217">
            <v>13.9</v>
          </cell>
          <cell r="M217">
            <v>1334.4</v>
          </cell>
          <cell r="N217">
            <v>4</v>
          </cell>
          <cell r="O217">
            <v>9</v>
          </cell>
          <cell r="P217">
            <v>18</v>
          </cell>
          <cell r="Q217">
            <v>7</v>
          </cell>
          <cell r="R217">
            <v>-3</v>
          </cell>
          <cell r="S217">
            <v>162.58064516129</v>
          </cell>
          <cell r="T217">
            <v>5.41935483870968</v>
          </cell>
          <cell r="U217">
            <v>3.40677966101695</v>
          </cell>
          <cell r="V217">
            <v>2.01257517769273</v>
          </cell>
          <cell r="W217" t="str">
            <v>库存过高</v>
          </cell>
          <cell r="X217" t="str">
            <v>库存过高</v>
          </cell>
          <cell r="Y217">
            <v>53.55</v>
          </cell>
          <cell r="Z217">
            <v>115.19</v>
          </cell>
          <cell r="AA217">
            <v>213.83</v>
          </cell>
          <cell r="AB217">
            <v>0.564159292035398</v>
          </cell>
        </row>
        <row r="218">
          <cell r="A218" t="str">
            <v>欣彤</v>
          </cell>
          <cell r="B218" t="str">
            <v>E03375-BL+E03380+E03397-001</v>
          </cell>
          <cell r="C218" t="str">
            <v>中性三星 A42 5G 黑</v>
          </cell>
        </row>
        <row r="218">
          <cell r="E218" t="str">
            <v>B0BVLH6LSR</v>
          </cell>
          <cell r="F218">
            <v>8</v>
          </cell>
          <cell r="G218">
            <v>2</v>
          </cell>
          <cell r="H218">
            <v>0</v>
          </cell>
          <cell r="I218">
            <v>1</v>
          </cell>
          <cell r="J218">
            <v>0</v>
          </cell>
          <cell r="K218">
            <v>11</v>
          </cell>
          <cell r="L218">
            <v>13.9</v>
          </cell>
          <cell r="M218">
            <v>152.9</v>
          </cell>
          <cell r="N218">
            <v>4</v>
          </cell>
          <cell r="O218">
            <v>14</v>
          </cell>
          <cell r="P218">
            <v>23</v>
          </cell>
          <cell r="Q218">
            <v>1</v>
          </cell>
          <cell r="R218">
            <v>3</v>
          </cell>
          <cell r="S218">
            <v>14.5283018867925</v>
          </cell>
          <cell r="T218">
            <v>0.484276729559748</v>
          </cell>
          <cell r="U218">
            <v>8.16666666666667</v>
          </cell>
          <cell r="V218">
            <v>-7.68238993710692</v>
          </cell>
          <cell r="W218" t="str">
            <v>正常</v>
          </cell>
          <cell r="X218" t="str">
            <v>库存过低</v>
          </cell>
          <cell r="Y218">
            <v>0</v>
          </cell>
          <cell r="Z218">
            <v>0</v>
          </cell>
          <cell r="AA218">
            <v>0</v>
          </cell>
          <cell r="AB218" t="str">
            <v>-</v>
          </cell>
        </row>
        <row r="219">
          <cell r="A219" t="str">
            <v>欣彤</v>
          </cell>
          <cell r="B219" t="str">
            <v>Y3102-BG+Y3103</v>
          </cell>
          <cell r="C219" t="str">
            <v>高A三防机器人iPhone 15 6.1 带背夹黑+青绿</v>
          </cell>
          <cell r="D219">
            <v>45182</v>
          </cell>
          <cell r="E219" t="str">
            <v>B0CF1NTWBL</v>
          </cell>
          <cell r="F219">
            <v>29</v>
          </cell>
          <cell r="G219">
            <v>0</v>
          </cell>
          <cell r="H219">
            <v>0</v>
          </cell>
          <cell r="I219">
            <v>0</v>
          </cell>
          <cell r="J219">
            <v>0</v>
          </cell>
          <cell r="K219">
            <v>29</v>
          </cell>
          <cell r="L219">
            <v>15.2</v>
          </cell>
          <cell r="M219">
            <v>440.8</v>
          </cell>
          <cell r="N219">
            <v>0</v>
          </cell>
          <cell r="O219">
            <v>1</v>
          </cell>
          <cell r="P219">
            <v>1</v>
          </cell>
          <cell r="Q219">
            <v>0</v>
          </cell>
          <cell r="R219">
            <v>0</v>
          </cell>
          <cell r="S219">
            <v>870</v>
          </cell>
          <cell r="T219">
            <v>29</v>
          </cell>
          <cell r="U219" t="str">
            <v>-</v>
          </cell>
          <cell r="V219" t="str">
            <v>-</v>
          </cell>
          <cell r="W219" t="str">
            <v>有库存无销量</v>
          </cell>
          <cell r="X219" t="str">
            <v>库存过高</v>
          </cell>
          <cell r="Y219">
            <v>0</v>
          </cell>
          <cell r="Z219">
            <v>0</v>
          </cell>
          <cell r="AA219">
            <v>0</v>
          </cell>
          <cell r="AB219" t="str">
            <v>-</v>
          </cell>
        </row>
        <row r="220">
          <cell r="A220" t="str">
            <v>欣彤</v>
          </cell>
          <cell r="B220" t="str">
            <v>Y3102-BL+Y3103</v>
          </cell>
          <cell r="C220" t="str">
            <v>高A三防机器人iPhone 15 6.1 带背夹 黑色</v>
          </cell>
          <cell r="D220">
            <v>45182</v>
          </cell>
          <cell r="E220" t="str">
            <v>B0CF1RC4FF</v>
          </cell>
          <cell r="F220">
            <v>63</v>
          </cell>
          <cell r="G220">
            <v>0</v>
          </cell>
          <cell r="H220">
            <v>1</v>
          </cell>
          <cell r="I220">
            <v>80</v>
          </cell>
          <cell r="J220">
            <v>0</v>
          </cell>
          <cell r="K220">
            <v>144</v>
          </cell>
          <cell r="L220">
            <v>15.2</v>
          </cell>
          <cell r="M220">
            <v>2188.8</v>
          </cell>
          <cell r="N220">
            <v>1</v>
          </cell>
          <cell r="O220">
            <v>9</v>
          </cell>
          <cell r="P220">
            <v>17</v>
          </cell>
          <cell r="Q220">
            <v>0</v>
          </cell>
          <cell r="R220">
            <v>1</v>
          </cell>
          <cell r="S220">
            <v>329.890909090909</v>
          </cell>
          <cell r="T220">
            <v>10.9963636363636</v>
          </cell>
          <cell r="U220" t="str">
            <v>-</v>
          </cell>
          <cell r="V220" t="str">
            <v>-</v>
          </cell>
          <cell r="W220" t="str">
            <v>库存过高</v>
          </cell>
          <cell r="X220" t="str">
            <v>库存过高</v>
          </cell>
          <cell r="Y220">
            <v>4.44</v>
          </cell>
          <cell r="Z220">
            <v>16.72</v>
          </cell>
          <cell r="AA220">
            <v>22.3</v>
          </cell>
          <cell r="AB220" t="str">
            <v>-</v>
          </cell>
        </row>
        <row r="221">
          <cell r="A221" t="str">
            <v>欣彤</v>
          </cell>
          <cell r="B221" t="str">
            <v>Y3102-GN+Y3103</v>
          </cell>
          <cell r="C221" t="str">
            <v>高A三防机器人iPhone 15 6.1 带背夹 灰+蓝</v>
          </cell>
          <cell r="D221">
            <v>45182</v>
          </cell>
          <cell r="E221" t="str">
            <v>B0CF1Q1BCQ</v>
          </cell>
          <cell r="F221">
            <v>29</v>
          </cell>
          <cell r="G221">
            <v>0</v>
          </cell>
          <cell r="H221">
            <v>0</v>
          </cell>
          <cell r="I221">
            <v>0</v>
          </cell>
          <cell r="J221">
            <v>0</v>
          </cell>
          <cell r="K221">
            <v>29</v>
          </cell>
          <cell r="L221">
            <v>15.2</v>
          </cell>
          <cell r="M221">
            <v>440.8</v>
          </cell>
          <cell r="N221">
            <v>0</v>
          </cell>
          <cell r="O221">
            <v>0</v>
          </cell>
          <cell r="P221">
            <v>1</v>
          </cell>
          <cell r="Q221">
            <v>0</v>
          </cell>
          <cell r="R221">
            <v>0</v>
          </cell>
          <cell r="S221">
            <v>2610</v>
          </cell>
          <cell r="T221">
            <v>87</v>
          </cell>
          <cell r="U221" t="str">
            <v>-</v>
          </cell>
          <cell r="V221" t="str">
            <v>-</v>
          </cell>
          <cell r="W221" t="str">
            <v>有库存无销量</v>
          </cell>
          <cell r="X221" t="str">
            <v>库存过高</v>
          </cell>
          <cell r="Y221">
            <v>3.65</v>
          </cell>
          <cell r="Z221">
            <v>11.82</v>
          </cell>
          <cell r="AA221">
            <v>15.71</v>
          </cell>
          <cell r="AB221">
            <v>0.280985373364126</v>
          </cell>
        </row>
        <row r="222">
          <cell r="A222" t="str">
            <v>欣彤</v>
          </cell>
          <cell r="B222" t="str">
            <v>Y3102-GY+Y3103</v>
          </cell>
          <cell r="C222" t="str">
            <v>高A三防机器人iPhone 15 6.1 带背夹黑+灰</v>
          </cell>
          <cell r="D222">
            <v>45182</v>
          </cell>
          <cell r="E222" t="str">
            <v>B0CF1RT8FV</v>
          </cell>
          <cell r="F222">
            <v>29</v>
          </cell>
          <cell r="G222">
            <v>1</v>
          </cell>
          <cell r="H222">
            <v>0</v>
          </cell>
          <cell r="I222">
            <v>0</v>
          </cell>
          <cell r="J222">
            <v>0</v>
          </cell>
          <cell r="K222">
            <v>30</v>
          </cell>
          <cell r="L222">
            <v>15.2</v>
          </cell>
          <cell r="M222">
            <v>456</v>
          </cell>
          <cell r="N222">
            <v>1</v>
          </cell>
          <cell r="O222">
            <v>1</v>
          </cell>
          <cell r="P222">
            <v>2</v>
          </cell>
          <cell r="Q222">
            <v>0</v>
          </cell>
          <cell r="R222">
            <v>1</v>
          </cell>
          <cell r="S222">
            <v>325.862068965517</v>
          </cell>
          <cell r="T222">
            <v>10.8620689655172</v>
          </cell>
          <cell r="U222" t="str">
            <v>-</v>
          </cell>
          <cell r="V222" t="str">
            <v>-</v>
          </cell>
          <cell r="W222" t="str">
            <v>库存过高</v>
          </cell>
          <cell r="X222" t="str">
            <v>库存过高</v>
          </cell>
          <cell r="Y222">
            <v>0</v>
          </cell>
          <cell r="Z222">
            <v>0</v>
          </cell>
          <cell r="AA222">
            <v>0</v>
          </cell>
          <cell r="AB222" t="str">
            <v>-</v>
          </cell>
        </row>
        <row r="223">
          <cell r="A223" t="str">
            <v>欣彤</v>
          </cell>
          <cell r="B223" t="str">
            <v>Y3102-NB+Y3103</v>
          </cell>
          <cell r="C223" t="str">
            <v>高A三防机器人iPhone 15 6.1 带背夹 蓝色</v>
          </cell>
          <cell r="D223">
            <v>45182</v>
          </cell>
          <cell r="E223" t="str">
            <v>B0CF1RH614</v>
          </cell>
          <cell r="F223">
            <v>43</v>
          </cell>
          <cell r="G223">
            <v>0</v>
          </cell>
          <cell r="H223">
            <v>0</v>
          </cell>
          <cell r="I223">
            <v>29</v>
          </cell>
          <cell r="J223">
            <v>0</v>
          </cell>
          <cell r="K223">
            <v>72</v>
          </cell>
          <cell r="L223">
            <v>15.2</v>
          </cell>
          <cell r="M223">
            <v>1094.4</v>
          </cell>
          <cell r="N223">
            <v>1</v>
          </cell>
          <cell r="O223">
            <v>4</v>
          </cell>
          <cell r="P223">
            <v>6</v>
          </cell>
          <cell r="Q223">
            <v>0</v>
          </cell>
          <cell r="R223">
            <v>1</v>
          </cell>
          <cell r="S223">
            <v>354.375</v>
          </cell>
          <cell r="T223">
            <v>11.8125</v>
          </cell>
          <cell r="U223" t="str">
            <v>-</v>
          </cell>
          <cell r="V223" t="str">
            <v>-</v>
          </cell>
          <cell r="W223" t="str">
            <v>库存过高</v>
          </cell>
          <cell r="X223" t="str">
            <v>库存过高</v>
          </cell>
          <cell r="Y223">
            <v>6.8</v>
          </cell>
          <cell r="Z223">
            <v>33.09</v>
          </cell>
          <cell r="AA223">
            <v>68.73</v>
          </cell>
          <cell r="AB223">
            <v>0.309372156505914</v>
          </cell>
        </row>
        <row r="224">
          <cell r="A224" t="str">
            <v>欣彤</v>
          </cell>
          <cell r="B224" t="str">
            <v>Y3104-BG+Y3105</v>
          </cell>
          <cell r="C224" t="str">
            <v>高A三防机器人iPhone 15 pro 带背夹黑+青绿</v>
          </cell>
          <cell r="D224">
            <v>45182</v>
          </cell>
          <cell r="E224" t="str">
            <v>B0CF1RRYNR</v>
          </cell>
          <cell r="F224">
            <v>30</v>
          </cell>
          <cell r="G224">
            <v>0</v>
          </cell>
          <cell r="H224">
            <v>0</v>
          </cell>
          <cell r="I224">
            <v>0</v>
          </cell>
          <cell r="J224">
            <v>0</v>
          </cell>
          <cell r="K224">
            <v>30</v>
          </cell>
          <cell r="L224">
            <v>15.2</v>
          </cell>
          <cell r="M224">
            <v>456</v>
          </cell>
          <cell r="N224">
            <v>0</v>
          </cell>
          <cell r="O224">
            <v>0</v>
          </cell>
          <cell r="P224">
            <v>0</v>
          </cell>
          <cell r="Q224">
            <v>0</v>
          </cell>
          <cell r="R224">
            <v>0</v>
          </cell>
          <cell r="S224" t="str">
            <v>-</v>
          </cell>
          <cell r="T224" t="str">
            <v>-</v>
          </cell>
          <cell r="U224" t="str">
            <v>-</v>
          </cell>
          <cell r="V224" t="str">
            <v>-</v>
          </cell>
          <cell r="W224" t="str">
            <v>有库存无销量</v>
          </cell>
          <cell r="X224" t="str">
            <v>有库存无销量</v>
          </cell>
          <cell r="Y224">
            <v>0</v>
          </cell>
          <cell r="Z224">
            <v>0</v>
          </cell>
          <cell r="AA224">
            <v>18.44</v>
          </cell>
          <cell r="AB224" t="str">
            <v>-</v>
          </cell>
        </row>
        <row r="225">
          <cell r="A225" t="str">
            <v>欣彤</v>
          </cell>
          <cell r="B225" t="str">
            <v>Y3104-BL+Y3105</v>
          </cell>
          <cell r="C225" t="str">
            <v>高A三防机器人iPhone 15 pro 带背夹 黑色</v>
          </cell>
          <cell r="D225">
            <v>45182</v>
          </cell>
          <cell r="E225" t="str">
            <v>B0CF1Q7BQF</v>
          </cell>
          <cell r="F225">
            <v>77</v>
          </cell>
          <cell r="G225">
            <v>0</v>
          </cell>
          <cell r="H225">
            <v>0</v>
          </cell>
          <cell r="I225">
            <v>0</v>
          </cell>
          <cell r="J225">
            <v>0</v>
          </cell>
          <cell r="K225">
            <v>77</v>
          </cell>
          <cell r="L225">
            <v>15.2</v>
          </cell>
          <cell r="M225">
            <v>1170.4</v>
          </cell>
          <cell r="N225">
            <v>0</v>
          </cell>
          <cell r="O225">
            <v>0</v>
          </cell>
          <cell r="P225">
            <v>3</v>
          </cell>
          <cell r="Q225">
            <v>2</v>
          </cell>
          <cell r="R225">
            <v>-2</v>
          </cell>
          <cell r="S225">
            <v>2310</v>
          </cell>
          <cell r="T225">
            <v>77</v>
          </cell>
          <cell r="U225">
            <v>16.0588235294118</v>
          </cell>
          <cell r="V225">
            <v>60.9411764705882</v>
          </cell>
          <cell r="W225" t="str">
            <v>有库存无销量</v>
          </cell>
          <cell r="X225" t="str">
            <v>库存过高</v>
          </cell>
          <cell r="Y225">
            <v>5.23</v>
          </cell>
          <cell r="Z225">
            <v>7.86</v>
          </cell>
          <cell r="AA225">
            <v>34.22</v>
          </cell>
          <cell r="AB225" t="str">
            <v>-</v>
          </cell>
        </row>
        <row r="226">
          <cell r="A226" t="str">
            <v>欣彤</v>
          </cell>
          <cell r="B226" t="str">
            <v>Y3104-GN+Y3105</v>
          </cell>
          <cell r="C226" t="str">
            <v>高A三防机器人iPhone 15 pro 带背夹 灰+蓝</v>
          </cell>
          <cell r="D226">
            <v>45182</v>
          </cell>
          <cell r="E226" t="str">
            <v>B0CF1NTH13</v>
          </cell>
          <cell r="F226">
            <v>27</v>
          </cell>
          <cell r="G226">
            <v>0</v>
          </cell>
          <cell r="H226">
            <v>0</v>
          </cell>
          <cell r="I226">
            <v>0</v>
          </cell>
          <cell r="J226">
            <v>0</v>
          </cell>
          <cell r="K226">
            <v>27</v>
          </cell>
          <cell r="L226">
            <v>15.2</v>
          </cell>
          <cell r="M226">
            <v>410.4</v>
          </cell>
          <cell r="N226">
            <v>0</v>
          </cell>
          <cell r="O226">
            <v>0</v>
          </cell>
          <cell r="P226">
            <v>4</v>
          </cell>
          <cell r="Q226">
            <v>1</v>
          </cell>
          <cell r="R226">
            <v>-1</v>
          </cell>
          <cell r="S226">
            <v>607.5</v>
          </cell>
          <cell r="T226">
            <v>20.25</v>
          </cell>
          <cell r="U226">
            <v>11.9411764705882</v>
          </cell>
          <cell r="V226">
            <v>8.3088235294118</v>
          </cell>
          <cell r="W226" t="str">
            <v>有库存无销量</v>
          </cell>
          <cell r="X226" t="str">
            <v>库存过高</v>
          </cell>
          <cell r="Y226">
            <v>0</v>
          </cell>
          <cell r="Z226">
            <v>0</v>
          </cell>
          <cell r="AA226">
            <v>0</v>
          </cell>
          <cell r="AB226" t="str">
            <v>-</v>
          </cell>
        </row>
        <row r="227">
          <cell r="A227" t="str">
            <v>欣彤</v>
          </cell>
          <cell r="B227" t="str">
            <v>Y3104-GY+Y3105</v>
          </cell>
          <cell r="C227" t="str">
            <v>高A三防机器人iPhone 15 pro 带背夹黑+灰</v>
          </cell>
          <cell r="D227">
            <v>45182</v>
          </cell>
          <cell r="E227" t="str">
            <v>B0CF1SC16L</v>
          </cell>
          <cell r="F227">
            <v>28</v>
          </cell>
          <cell r="G227">
            <v>0</v>
          </cell>
          <cell r="H227">
            <v>0</v>
          </cell>
          <cell r="I227">
            <v>0</v>
          </cell>
          <cell r="J227">
            <v>0</v>
          </cell>
          <cell r="K227">
            <v>28</v>
          </cell>
          <cell r="L227">
            <v>15.2</v>
          </cell>
          <cell r="M227">
            <v>425.6</v>
          </cell>
          <cell r="N227">
            <v>0</v>
          </cell>
          <cell r="O227">
            <v>1</v>
          </cell>
          <cell r="P227">
            <v>2</v>
          </cell>
          <cell r="Q227">
            <v>1</v>
          </cell>
          <cell r="R227">
            <v>-1</v>
          </cell>
          <cell r="S227">
            <v>630</v>
          </cell>
          <cell r="T227">
            <v>21</v>
          </cell>
          <cell r="U227">
            <v>11.9411764705882</v>
          </cell>
          <cell r="V227">
            <v>9.0588235294118</v>
          </cell>
          <cell r="W227" t="str">
            <v>有库存无销量</v>
          </cell>
          <cell r="X227" t="str">
            <v>库存过高</v>
          </cell>
          <cell r="Y227">
            <v>0</v>
          </cell>
          <cell r="Z227">
            <v>0</v>
          </cell>
          <cell r="AA227">
            <v>0</v>
          </cell>
          <cell r="AB227" t="str">
            <v>-</v>
          </cell>
        </row>
        <row r="228">
          <cell r="A228" t="str">
            <v>欣彤</v>
          </cell>
          <cell r="B228" t="str">
            <v>Y3104-NB+Y3105</v>
          </cell>
          <cell r="C228" t="str">
            <v>高A三防机器人iPhone 15 pro 带背夹 蓝色</v>
          </cell>
          <cell r="D228">
            <v>45182</v>
          </cell>
          <cell r="E228" t="str">
            <v>B0CF1TR544</v>
          </cell>
          <cell r="F228">
            <v>48</v>
          </cell>
          <cell r="G228">
            <v>0</v>
          </cell>
          <cell r="H228">
            <v>0</v>
          </cell>
          <cell r="I228">
            <v>0</v>
          </cell>
          <cell r="J228">
            <v>0</v>
          </cell>
          <cell r="K228">
            <v>48</v>
          </cell>
          <cell r="L228">
            <v>15.2</v>
          </cell>
          <cell r="M228">
            <v>729.6</v>
          </cell>
          <cell r="N228">
            <v>0</v>
          </cell>
          <cell r="O228">
            <v>0</v>
          </cell>
          <cell r="P228">
            <v>2</v>
          </cell>
          <cell r="Q228">
            <v>0</v>
          </cell>
          <cell r="R228">
            <v>0</v>
          </cell>
          <cell r="S228">
            <v>2160</v>
          </cell>
          <cell r="T228">
            <v>72</v>
          </cell>
          <cell r="U228" t="str">
            <v>-</v>
          </cell>
          <cell r="V228" t="str">
            <v>-</v>
          </cell>
          <cell r="W228" t="str">
            <v>有库存无销量</v>
          </cell>
          <cell r="X228" t="str">
            <v>库存过高</v>
          </cell>
          <cell r="Y228">
            <v>4.12</v>
          </cell>
          <cell r="Z228">
            <v>4.57</v>
          </cell>
          <cell r="AA228">
            <v>18.98</v>
          </cell>
          <cell r="AB228" t="str">
            <v>-</v>
          </cell>
        </row>
        <row r="229">
          <cell r="A229" t="str">
            <v>欣彤</v>
          </cell>
          <cell r="B229" t="str">
            <v>Y3106-BG+Y3107</v>
          </cell>
          <cell r="C229" t="str">
            <v>高A三防机器人iPhone 15 plus 带背夹黑+青绿</v>
          </cell>
          <cell r="D229">
            <v>45182</v>
          </cell>
          <cell r="E229" t="str">
            <v>B0CF1TRFC4</v>
          </cell>
          <cell r="F229">
            <v>29</v>
          </cell>
          <cell r="G229">
            <v>0</v>
          </cell>
          <cell r="H229">
            <v>0</v>
          </cell>
          <cell r="I229">
            <v>0</v>
          </cell>
          <cell r="J229">
            <v>0</v>
          </cell>
          <cell r="K229">
            <v>29</v>
          </cell>
          <cell r="L229">
            <v>15.2</v>
          </cell>
          <cell r="M229">
            <v>440.8</v>
          </cell>
          <cell r="N229">
            <v>0</v>
          </cell>
          <cell r="O229">
            <v>0</v>
          </cell>
          <cell r="P229">
            <v>1</v>
          </cell>
          <cell r="Q229">
            <v>0</v>
          </cell>
          <cell r="R229">
            <v>0</v>
          </cell>
          <cell r="S229">
            <v>2610</v>
          </cell>
          <cell r="T229">
            <v>87</v>
          </cell>
          <cell r="U229" t="str">
            <v>-</v>
          </cell>
          <cell r="V229" t="str">
            <v>-</v>
          </cell>
          <cell r="W229" t="str">
            <v>有库存无销量</v>
          </cell>
          <cell r="X229" t="str">
            <v>库存过高</v>
          </cell>
          <cell r="Y229">
            <v>0</v>
          </cell>
          <cell r="Z229">
            <v>2.72</v>
          </cell>
          <cell r="AA229">
            <v>16.29</v>
          </cell>
          <cell r="AB229" t="str">
            <v>-</v>
          </cell>
        </row>
        <row r="230">
          <cell r="A230" t="str">
            <v>欣彤</v>
          </cell>
          <cell r="B230" t="str">
            <v>Y3106-BL+Y3107</v>
          </cell>
          <cell r="C230" t="str">
            <v>高A三防机器人iPhone 15 plus 带背夹 黑色</v>
          </cell>
          <cell r="D230">
            <v>45182</v>
          </cell>
          <cell r="E230" t="str">
            <v>B0CF1RXKWZ</v>
          </cell>
          <cell r="F230">
            <v>76</v>
          </cell>
          <cell r="G230">
            <v>0</v>
          </cell>
          <cell r="H230">
            <v>0</v>
          </cell>
          <cell r="I230">
            <v>0</v>
          </cell>
          <cell r="J230">
            <v>0</v>
          </cell>
          <cell r="K230">
            <v>76</v>
          </cell>
          <cell r="L230">
            <v>15.2</v>
          </cell>
          <cell r="M230">
            <v>1155.2</v>
          </cell>
          <cell r="N230">
            <v>1</v>
          </cell>
          <cell r="O230">
            <v>2</v>
          </cell>
          <cell r="P230">
            <v>5</v>
          </cell>
          <cell r="Q230">
            <v>0</v>
          </cell>
          <cell r="R230">
            <v>1</v>
          </cell>
          <cell r="S230">
            <v>514.838709677419</v>
          </cell>
          <cell r="T230">
            <v>17.1612903225806</v>
          </cell>
          <cell r="U230" t="str">
            <v>-</v>
          </cell>
          <cell r="V230" t="str">
            <v>-</v>
          </cell>
          <cell r="W230" t="str">
            <v>库存过高</v>
          </cell>
          <cell r="X230" t="str">
            <v>库存过高</v>
          </cell>
          <cell r="Y230">
            <v>3.18</v>
          </cell>
          <cell r="Z230">
            <v>7.1</v>
          </cell>
          <cell r="AA230">
            <v>14.72</v>
          </cell>
          <cell r="AB230" t="str">
            <v>-</v>
          </cell>
        </row>
        <row r="231">
          <cell r="A231" t="str">
            <v>欣彤</v>
          </cell>
          <cell r="B231" t="str">
            <v>Y3106-GN+Y3107</v>
          </cell>
          <cell r="C231" t="str">
            <v>高A三防机器人iPhone 15 olus 带背夹 灰+蓝</v>
          </cell>
          <cell r="D231">
            <v>45182</v>
          </cell>
          <cell r="E231" t="str">
            <v>B0CF1PRCVT</v>
          </cell>
          <cell r="F231">
            <v>30</v>
          </cell>
          <cell r="G231">
            <v>0</v>
          </cell>
          <cell r="H231">
            <v>0</v>
          </cell>
          <cell r="I231">
            <v>0</v>
          </cell>
          <cell r="J231">
            <v>0</v>
          </cell>
          <cell r="K231">
            <v>30</v>
          </cell>
          <cell r="L231">
            <v>15.2</v>
          </cell>
          <cell r="M231">
            <v>456</v>
          </cell>
          <cell r="N231">
            <v>0</v>
          </cell>
          <cell r="O231">
            <v>0</v>
          </cell>
          <cell r="P231">
            <v>0</v>
          </cell>
          <cell r="Q231">
            <v>0</v>
          </cell>
          <cell r="R231">
            <v>0</v>
          </cell>
          <cell r="S231" t="str">
            <v>-</v>
          </cell>
          <cell r="T231" t="str">
            <v>-</v>
          </cell>
          <cell r="U231" t="str">
            <v>-</v>
          </cell>
          <cell r="V231" t="str">
            <v>-</v>
          </cell>
          <cell r="W231" t="str">
            <v>有库存无销量</v>
          </cell>
          <cell r="X231" t="str">
            <v>有库存无销量</v>
          </cell>
          <cell r="Y231">
            <v>0</v>
          </cell>
          <cell r="Z231">
            <v>0</v>
          </cell>
          <cell r="AA231">
            <v>0</v>
          </cell>
          <cell r="AB231" t="str">
            <v>-</v>
          </cell>
        </row>
        <row r="232">
          <cell r="A232" t="str">
            <v>欣彤</v>
          </cell>
          <cell r="B232" t="str">
            <v>Y3106-GY+Y3107</v>
          </cell>
          <cell r="C232" t="str">
            <v>高A三防机器人iPhone 15 plus带背夹黑+灰</v>
          </cell>
          <cell r="D232">
            <v>45182</v>
          </cell>
          <cell r="E232" t="str">
            <v>B0CF1QTDNF</v>
          </cell>
          <cell r="F232">
            <v>29</v>
          </cell>
          <cell r="G232">
            <v>0</v>
          </cell>
          <cell r="H232">
            <v>0</v>
          </cell>
          <cell r="I232">
            <v>0</v>
          </cell>
          <cell r="J232">
            <v>0</v>
          </cell>
          <cell r="K232">
            <v>29</v>
          </cell>
          <cell r="L232">
            <v>15.2</v>
          </cell>
          <cell r="M232">
            <v>440.8</v>
          </cell>
          <cell r="N232">
            <v>1</v>
          </cell>
          <cell r="O232">
            <v>2</v>
          </cell>
          <cell r="P232">
            <v>2</v>
          </cell>
          <cell r="Q232">
            <v>0</v>
          </cell>
          <cell r="R232">
            <v>1</v>
          </cell>
          <cell r="S232">
            <v>253.75</v>
          </cell>
          <cell r="T232">
            <v>8.45833333333333</v>
          </cell>
          <cell r="U232" t="str">
            <v>-</v>
          </cell>
          <cell r="V232" t="str">
            <v>-</v>
          </cell>
          <cell r="W232" t="str">
            <v>库存过高</v>
          </cell>
          <cell r="X232" t="str">
            <v>库存过高</v>
          </cell>
          <cell r="Y232">
            <v>0</v>
          </cell>
          <cell r="Z232">
            <v>0</v>
          </cell>
          <cell r="AA232">
            <v>0</v>
          </cell>
          <cell r="AB232" t="str">
            <v>-</v>
          </cell>
        </row>
        <row r="233">
          <cell r="A233" t="str">
            <v>欣彤</v>
          </cell>
          <cell r="B233" t="str">
            <v>Y3106-NB+Y3107</v>
          </cell>
          <cell r="C233" t="str">
            <v>高A三防机器人iPhone 15 plus 带背夹 蓝色</v>
          </cell>
          <cell r="D233">
            <v>45182</v>
          </cell>
          <cell r="E233" t="str">
            <v>B0CF1MGFCV</v>
          </cell>
          <cell r="F233">
            <v>50</v>
          </cell>
          <cell r="G233">
            <v>0</v>
          </cell>
          <cell r="H233">
            <v>0</v>
          </cell>
          <cell r="I233">
            <v>23</v>
          </cell>
          <cell r="J233">
            <v>0</v>
          </cell>
          <cell r="K233">
            <v>73</v>
          </cell>
          <cell r="L233">
            <v>15.2</v>
          </cell>
          <cell r="M233">
            <v>1109.6</v>
          </cell>
          <cell r="N233">
            <v>1</v>
          </cell>
          <cell r="O233">
            <v>1</v>
          </cell>
          <cell r="P233">
            <v>1</v>
          </cell>
          <cell r="Q233">
            <v>0</v>
          </cell>
          <cell r="R233">
            <v>1</v>
          </cell>
          <cell r="S233">
            <v>901.764705882353</v>
          </cell>
          <cell r="T233">
            <v>30.0588235294118</v>
          </cell>
          <cell r="U233" t="str">
            <v>-</v>
          </cell>
          <cell r="V233" t="str">
            <v>-</v>
          </cell>
          <cell r="W233" t="str">
            <v>库存过高</v>
          </cell>
          <cell r="X233" t="str">
            <v>库存过高</v>
          </cell>
          <cell r="Y233">
            <v>2.67</v>
          </cell>
          <cell r="Z233">
            <v>9.34</v>
          </cell>
          <cell r="AA233">
            <v>12.69</v>
          </cell>
          <cell r="AB233">
            <v>0.12147406733394</v>
          </cell>
        </row>
        <row r="234">
          <cell r="A234" t="str">
            <v>欣彤</v>
          </cell>
          <cell r="B234" t="str">
            <v>Y3108-BG+Y3109</v>
          </cell>
          <cell r="C234" t="str">
            <v>高A三防机器人iPhone 15 pro  max 带背夹黑+青绿</v>
          </cell>
          <cell r="D234">
            <v>45182</v>
          </cell>
          <cell r="E234" t="str">
            <v>B0CF1QV5PP</v>
          </cell>
          <cell r="F234">
            <v>21</v>
          </cell>
          <cell r="G234">
            <v>0</v>
          </cell>
          <cell r="H234">
            <v>0</v>
          </cell>
          <cell r="I234">
            <v>0</v>
          </cell>
          <cell r="J234">
            <v>0</v>
          </cell>
          <cell r="K234">
            <v>21</v>
          </cell>
          <cell r="L234">
            <v>15.2</v>
          </cell>
          <cell r="M234">
            <v>319.2</v>
          </cell>
          <cell r="N234">
            <v>1</v>
          </cell>
          <cell r="O234">
            <v>4</v>
          </cell>
          <cell r="P234">
            <v>9</v>
          </cell>
          <cell r="Q234">
            <v>2</v>
          </cell>
          <cell r="R234">
            <v>-1</v>
          </cell>
          <cell r="S234">
            <v>88.7919463087248</v>
          </cell>
          <cell r="T234">
            <v>2.95973154362416</v>
          </cell>
          <cell r="U234">
            <v>5.97058823529412</v>
          </cell>
          <cell r="V234">
            <v>-3.01085669166996</v>
          </cell>
          <cell r="W234" t="str">
            <v>库存过高</v>
          </cell>
          <cell r="X234" t="str">
            <v>库存过高</v>
          </cell>
          <cell r="Y234">
            <v>4.75</v>
          </cell>
          <cell r="Z234">
            <v>14.99</v>
          </cell>
          <cell r="AA234">
            <v>67.76</v>
          </cell>
          <cell r="AB234">
            <v>0.182832948421863</v>
          </cell>
        </row>
        <row r="235">
          <cell r="A235" t="str">
            <v>欣彤</v>
          </cell>
          <cell r="B235" t="str">
            <v>Y3108-BL+Y3109</v>
          </cell>
          <cell r="C235" t="str">
            <v>高A三防机器人iPhone 15 pro max 带背夹 黑色</v>
          </cell>
          <cell r="D235">
            <v>45182</v>
          </cell>
          <cell r="E235" t="str">
            <v>B0CF1TJQ3P</v>
          </cell>
          <cell r="F235">
            <v>53</v>
          </cell>
          <cell r="G235">
            <v>0</v>
          </cell>
          <cell r="H235">
            <v>146</v>
          </cell>
          <cell r="I235">
            <v>1</v>
          </cell>
          <cell r="J235">
            <v>0</v>
          </cell>
          <cell r="K235">
            <v>200</v>
          </cell>
          <cell r="L235">
            <v>15.2</v>
          </cell>
          <cell r="M235">
            <v>3040</v>
          </cell>
          <cell r="N235">
            <v>18</v>
          </cell>
          <cell r="O235">
            <v>29</v>
          </cell>
          <cell r="P235">
            <v>65</v>
          </cell>
          <cell r="Q235">
            <v>17</v>
          </cell>
          <cell r="R235">
            <v>1</v>
          </cell>
          <cell r="S235">
            <v>89.9357601713062</v>
          </cell>
          <cell r="T235">
            <v>2.99785867237687</v>
          </cell>
          <cell r="U235">
            <v>2.15570934256055</v>
          </cell>
          <cell r="V235">
            <v>0.842149329816324</v>
          </cell>
          <cell r="W235" t="str">
            <v>库存过高</v>
          </cell>
          <cell r="X235" t="str">
            <v>库存过高</v>
          </cell>
          <cell r="Y235">
            <v>16.07</v>
          </cell>
          <cell r="Z235">
            <v>29.24</v>
          </cell>
          <cell r="AA235">
            <v>67.24</v>
          </cell>
          <cell r="AB235" t="str">
            <v>-</v>
          </cell>
        </row>
        <row r="236">
          <cell r="A236" t="str">
            <v>欣彤</v>
          </cell>
          <cell r="B236" t="str">
            <v>Y3108-GN+Y3109</v>
          </cell>
          <cell r="C236" t="str">
            <v>高A三防机器人iPhone 15 pro max  带背夹 灰+蓝</v>
          </cell>
          <cell r="D236">
            <v>45182</v>
          </cell>
          <cell r="E236" t="str">
            <v>B0CF1T979Y</v>
          </cell>
          <cell r="F236">
            <v>27</v>
          </cell>
          <cell r="G236">
            <v>0</v>
          </cell>
          <cell r="H236">
            <v>0</v>
          </cell>
          <cell r="I236">
            <v>0</v>
          </cell>
          <cell r="J236">
            <v>0</v>
          </cell>
          <cell r="K236">
            <v>27</v>
          </cell>
          <cell r="L236">
            <v>15.2</v>
          </cell>
          <cell r="M236">
            <v>410.4</v>
          </cell>
          <cell r="N236">
            <v>2</v>
          </cell>
          <cell r="O236">
            <v>2</v>
          </cell>
          <cell r="P236">
            <v>3</v>
          </cell>
          <cell r="Q236">
            <v>1</v>
          </cell>
          <cell r="R236">
            <v>1</v>
          </cell>
          <cell r="S236">
            <v>156.05504587156</v>
          </cell>
          <cell r="T236">
            <v>5.20183486238532</v>
          </cell>
          <cell r="U236">
            <v>11.9411764705882</v>
          </cell>
          <cell r="V236">
            <v>-6.73934160820288</v>
          </cell>
          <cell r="W236" t="str">
            <v>库存过高</v>
          </cell>
          <cell r="X236" t="str">
            <v>库存过高</v>
          </cell>
          <cell r="Y236">
            <v>0</v>
          </cell>
          <cell r="Z236">
            <v>0</v>
          </cell>
          <cell r="AA236">
            <v>0</v>
          </cell>
          <cell r="AB236" t="str">
            <v>-</v>
          </cell>
        </row>
        <row r="237">
          <cell r="A237" t="str">
            <v>欣彤</v>
          </cell>
          <cell r="B237" t="str">
            <v>Y3108-GY+Y3109</v>
          </cell>
          <cell r="C237" t="str">
            <v>高A三防机器人iPhone 15 pro max 带背夹黑+灰</v>
          </cell>
          <cell r="D237">
            <v>45182</v>
          </cell>
          <cell r="E237" t="str">
            <v>B0CF1T4QXV</v>
          </cell>
          <cell r="F237">
            <v>11</v>
          </cell>
          <cell r="G237">
            <v>0</v>
          </cell>
          <cell r="H237">
            <v>2</v>
          </cell>
          <cell r="I237">
            <v>1</v>
          </cell>
          <cell r="J237">
            <v>1</v>
          </cell>
          <cell r="K237">
            <v>15</v>
          </cell>
          <cell r="L237">
            <v>15.2</v>
          </cell>
          <cell r="M237">
            <v>228</v>
          </cell>
          <cell r="N237">
            <v>3</v>
          </cell>
          <cell r="O237">
            <v>7</v>
          </cell>
          <cell r="P237">
            <v>18</v>
          </cell>
          <cell r="Q237">
            <v>5</v>
          </cell>
          <cell r="R237">
            <v>-2</v>
          </cell>
          <cell r="S237">
            <v>30.0955414012739</v>
          </cell>
          <cell r="T237">
            <v>1.0031847133758</v>
          </cell>
          <cell r="U237">
            <v>2.05882352941176</v>
          </cell>
          <cell r="V237">
            <v>-1.05563881603596</v>
          </cell>
          <cell r="W237" t="str">
            <v>正常</v>
          </cell>
          <cell r="X237" t="str">
            <v>正常</v>
          </cell>
          <cell r="Y237">
            <v>0</v>
          </cell>
          <cell r="Z237">
            <v>0</v>
          </cell>
          <cell r="AA237">
            <v>0</v>
          </cell>
          <cell r="AB237" t="str">
            <v>-</v>
          </cell>
        </row>
        <row r="238">
          <cell r="A238" t="str">
            <v>欣彤</v>
          </cell>
          <cell r="B238" t="str">
            <v>Y3108-NB+Y3109</v>
          </cell>
          <cell r="C238" t="str">
            <v>高A三防机器人iPhone 15 pro max 带背夹 蓝色</v>
          </cell>
          <cell r="D238">
            <v>45182</v>
          </cell>
          <cell r="E238" t="str">
            <v>B0CF1PHY2H</v>
          </cell>
          <cell r="F238">
            <v>47</v>
          </cell>
          <cell r="G238">
            <v>1</v>
          </cell>
          <cell r="H238">
            <v>0</v>
          </cell>
          <cell r="I238">
            <v>0</v>
          </cell>
          <cell r="J238">
            <v>0</v>
          </cell>
          <cell r="K238">
            <v>48</v>
          </cell>
          <cell r="L238">
            <v>15.2</v>
          </cell>
          <cell r="M238">
            <v>729.6</v>
          </cell>
          <cell r="N238">
            <v>1</v>
          </cell>
          <cell r="O238">
            <v>5</v>
          </cell>
          <cell r="P238">
            <v>13</v>
          </cell>
          <cell r="Q238">
            <v>2</v>
          </cell>
          <cell r="R238">
            <v>-1</v>
          </cell>
          <cell r="S238">
            <v>158.324607329843</v>
          </cell>
          <cell r="T238">
            <v>5.27748691099476</v>
          </cell>
          <cell r="U238">
            <v>12.1470588235294</v>
          </cell>
          <cell r="V238">
            <v>-6.86957191253464</v>
          </cell>
          <cell r="W238" t="str">
            <v>库存过高</v>
          </cell>
          <cell r="X238" t="str">
            <v>库存过高</v>
          </cell>
          <cell r="Y238">
            <v>10.85</v>
          </cell>
          <cell r="Z238">
            <v>19.49</v>
          </cell>
          <cell r="AA238">
            <v>45.53</v>
          </cell>
          <cell r="AB238">
            <v>0.987261146496815</v>
          </cell>
        </row>
        <row r="239">
          <cell r="A239" t="str">
            <v>欣彤</v>
          </cell>
          <cell r="B239" t="str">
            <v>Y3089-BL+Y3090+Y3091</v>
          </cell>
          <cell r="C239" t="str">
            <v>CA中性手机壳Moto g power 5g 2023</v>
          </cell>
          <cell r="D239">
            <v>45070</v>
          </cell>
          <cell r="E239" t="str">
            <v>B0C3CMYH84</v>
          </cell>
          <cell r="F239">
            <v>28</v>
          </cell>
          <cell r="G239">
            <v>0</v>
          </cell>
          <cell r="H239">
            <v>0</v>
          </cell>
          <cell r="I239">
            <v>0</v>
          </cell>
          <cell r="J239">
            <v>0</v>
          </cell>
          <cell r="K239">
            <v>28</v>
          </cell>
          <cell r="L239">
            <v>13.9</v>
          </cell>
          <cell r="M239">
            <v>389.2</v>
          </cell>
          <cell r="N239">
            <v>0</v>
          </cell>
          <cell r="O239">
            <v>0</v>
          </cell>
          <cell r="P239">
            <v>1</v>
          </cell>
          <cell r="Q239">
            <v>1</v>
          </cell>
          <cell r="R239">
            <v>-1</v>
          </cell>
          <cell r="S239">
            <v>2520</v>
          </cell>
          <cell r="T239">
            <v>84</v>
          </cell>
          <cell r="U239">
            <v>11.5294117647059</v>
          </cell>
          <cell r="V239">
            <v>72.4705882352941</v>
          </cell>
          <cell r="W239" t="str">
            <v>有库存无销量</v>
          </cell>
          <cell r="X239" t="str">
            <v>库存过高</v>
          </cell>
          <cell r="Y239">
            <v>0.7</v>
          </cell>
          <cell r="Z239">
            <v>1.02</v>
          </cell>
          <cell r="AA239">
            <v>6.33</v>
          </cell>
          <cell r="AB239" t="str">
            <v>-</v>
          </cell>
        </row>
        <row r="240">
          <cell r="A240" t="str">
            <v>欣彤</v>
          </cell>
          <cell r="B240" t="str">
            <v>Y3089-OR+Y3090+Y3091</v>
          </cell>
          <cell r="C240" t="str">
            <v>CA中性手机壳Moto g power 5g 2023</v>
          </cell>
          <cell r="D240">
            <v>45070</v>
          </cell>
          <cell r="E240" t="str">
            <v>B0C3CMNJLX</v>
          </cell>
          <cell r="F240">
            <v>15</v>
          </cell>
          <cell r="G240">
            <v>0</v>
          </cell>
          <cell r="H240">
            <v>0</v>
          </cell>
          <cell r="I240">
            <v>0</v>
          </cell>
          <cell r="J240">
            <v>0</v>
          </cell>
          <cell r="K240">
            <v>15</v>
          </cell>
          <cell r="L240">
            <v>13.9</v>
          </cell>
          <cell r="M240">
            <v>208.5</v>
          </cell>
          <cell r="N240">
            <v>0</v>
          </cell>
          <cell r="O240">
            <v>0</v>
          </cell>
          <cell r="P240">
            <v>0</v>
          </cell>
          <cell r="Q240">
            <v>0</v>
          </cell>
          <cell r="R240">
            <v>0</v>
          </cell>
          <cell r="S240" t="str">
            <v>-</v>
          </cell>
          <cell r="T240" t="str">
            <v>-</v>
          </cell>
          <cell r="U240" t="str">
            <v>-</v>
          </cell>
          <cell r="V240" t="str">
            <v>-</v>
          </cell>
          <cell r="W240" t="str">
            <v>有库存无销量</v>
          </cell>
          <cell r="X240" t="str">
            <v>有库存无销量</v>
          </cell>
          <cell r="Y240">
            <v>0</v>
          </cell>
          <cell r="Z240">
            <v>0</v>
          </cell>
          <cell r="AA240">
            <v>0</v>
          </cell>
          <cell r="AB240" t="str">
            <v>-</v>
          </cell>
        </row>
        <row r="241">
          <cell r="A241" t="str">
            <v>欣彤</v>
          </cell>
          <cell r="B241" t="str">
            <v>Y3110-BL</v>
          </cell>
          <cell r="C241" t="str">
            <v>高A三防机器人Google 8 带背夹 黑色</v>
          </cell>
          <cell r="D241">
            <v>45211</v>
          </cell>
          <cell r="E241" t="str">
            <v>B0CH9X3J1D</v>
          </cell>
          <cell r="F241">
            <v>0</v>
          </cell>
          <cell r="G241">
            <v>0</v>
          </cell>
          <cell r="H241">
            <v>50</v>
          </cell>
          <cell r="I241">
            <v>0</v>
          </cell>
          <cell r="J241">
            <v>0</v>
          </cell>
          <cell r="K241">
            <v>50</v>
          </cell>
          <cell r="L241">
            <v>12.5</v>
          </cell>
          <cell r="M241">
            <v>625</v>
          </cell>
          <cell r="N241">
            <v>0</v>
          </cell>
          <cell r="O241">
            <v>0</v>
          </cell>
          <cell r="P241">
            <v>0</v>
          </cell>
          <cell r="Q241">
            <v>0</v>
          </cell>
          <cell r="R241">
            <v>0</v>
          </cell>
          <cell r="S241" t="str">
            <v>-</v>
          </cell>
          <cell r="T241" t="str">
            <v>-</v>
          </cell>
          <cell r="U241" t="str">
            <v>-</v>
          </cell>
          <cell r="V241" t="str">
            <v>-</v>
          </cell>
          <cell r="W241" t="str">
            <v>本月刚到货</v>
          </cell>
          <cell r="X241" t="str">
            <v>本月刚到货</v>
          </cell>
          <cell r="Y241">
            <v>0</v>
          </cell>
          <cell r="Z241">
            <v>0</v>
          </cell>
          <cell r="AA241">
            <v>0</v>
          </cell>
          <cell r="AB241" t="str">
            <v>-</v>
          </cell>
        </row>
        <row r="242">
          <cell r="A242" t="str">
            <v>欣彤</v>
          </cell>
          <cell r="B242" t="str">
            <v>Y3110-GN</v>
          </cell>
          <cell r="C242" t="str">
            <v>高A三防机器人Google 8带背夹 灰+蓝</v>
          </cell>
          <cell r="D242">
            <v>45211</v>
          </cell>
          <cell r="E242" t="str">
            <v>B0CH9TDSB2</v>
          </cell>
          <cell r="F242">
            <v>0</v>
          </cell>
          <cell r="G242">
            <v>0</v>
          </cell>
          <cell r="H242">
            <v>30</v>
          </cell>
          <cell r="I242">
            <v>0</v>
          </cell>
          <cell r="J242">
            <v>0</v>
          </cell>
          <cell r="K242">
            <v>30</v>
          </cell>
          <cell r="L242">
            <v>12.5</v>
          </cell>
          <cell r="M242">
            <v>375</v>
          </cell>
          <cell r="N242">
            <v>0</v>
          </cell>
          <cell r="O242">
            <v>0</v>
          </cell>
          <cell r="P242">
            <v>0</v>
          </cell>
          <cell r="Q242">
            <v>0</v>
          </cell>
          <cell r="R242">
            <v>0</v>
          </cell>
          <cell r="S242" t="str">
            <v>-</v>
          </cell>
          <cell r="T242" t="str">
            <v>-</v>
          </cell>
          <cell r="U242" t="str">
            <v>-</v>
          </cell>
          <cell r="V242" t="str">
            <v>-</v>
          </cell>
          <cell r="W242" t="str">
            <v>本月刚到货</v>
          </cell>
          <cell r="X242" t="str">
            <v>本月刚到货</v>
          </cell>
          <cell r="Y242">
            <v>0</v>
          </cell>
          <cell r="Z242">
            <v>0</v>
          </cell>
          <cell r="AA242">
            <v>0</v>
          </cell>
          <cell r="AB242" t="str">
            <v>-</v>
          </cell>
        </row>
        <row r="243">
          <cell r="A243" t="str">
            <v>欣彤</v>
          </cell>
          <cell r="B243" t="str">
            <v>Y3110-GR</v>
          </cell>
          <cell r="C243" t="str">
            <v>高A三防机器人Google 8 带背夹青绿+青绿</v>
          </cell>
          <cell r="D243">
            <v>45211</v>
          </cell>
          <cell r="E243" t="str">
            <v>B0CH9TXMJ8</v>
          </cell>
          <cell r="F243">
            <v>0</v>
          </cell>
          <cell r="G243">
            <v>0</v>
          </cell>
          <cell r="H243">
            <v>30</v>
          </cell>
          <cell r="I243">
            <v>0</v>
          </cell>
          <cell r="J243">
            <v>0</v>
          </cell>
          <cell r="K243">
            <v>30</v>
          </cell>
          <cell r="L243">
            <v>12.5</v>
          </cell>
          <cell r="M243">
            <v>375</v>
          </cell>
          <cell r="N243">
            <v>0</v>
          </cell>
          <cell r="O243">
            <v>0</v>
          </cell>
          <cell r="P243">
            <v>0</v>
          </cell>
          <cell r="Q243">
            <v>0</v>
          </cell>
          <cell r="R243">
            <v>0</v>
          </cell>
          <cell r="S243" t="str">
            <v>-</v>
          </cell>
          <cell r="T243" t="str">
            <v>-</v>
          </cell>
          <cell r="U243" t="str">
            <v>-</v>
          </cell>
          <cell r="V243" t="str">
            <v>-</v>
          </cell>
          <cell r="W243" t="str">
            <v>本月刚到货</v>
          </cell>
          <cell r="X243" t="str">
            <v>本月刚到货</v>
          </cell>
          <cell r="Y243">
            <v>0</v>
          </cell>
          <cell r="Z243">
            <v>0</v>
          </cell>
          <cell r="AA243">
            <v>0</v>
          </cell>
          <cell r="AB243" t="str">
            <v>-</v>
          </cell>
        </row>
        <row r="244">
          <cell r="A244" t="str">
            <v>欣彤</v>
          </cell>
          <cell r="B244" t="str">
            <v>Y3110-NB</v>
          </cell>
          <cell r="C244" t="str">
            <v>高A三防机器人Google 8带背夹 蓝色</v>
          </cell>
          <cell r="D244">
            <v>45211</v>
          </cell>
          <cell r="E244" t="str">
            <v>B0CH9XH5Z3</v>
          </cell>
          <cell r="F244">
            <v>0</v>
          </cell>
          <cell r="G244">
            <v>0</v>
          </cell>
          <cell r="H244">
            <v>30</v>
          </cell>
          <cell r="I244">
            <v>0</v>
          </cell>
          <cell r="J244">
            <v>0</v>
          </cell>
          <cell r="K244">
            <v>30</v>
          </cell>
          <cell r="L244">
            <v>12.5</v>
          </cell>
          <cell r="M244">
            <v>375</v>
          </cell>
          <cell r="N244">
            <v>0</v>
          </cell>
          <cell r="O244">
            <v>0</v>
          </cell>
          <cell r="P244">
            <v>0</v>
          </cell>
          <cell r="Q244">
            <v>0</v>
          </cell>
          <cell r="R244">
            <v>0</v>
          </cell>
          <cell r="S244" t="str">
            <v>-</v>
          </cell>
          <cell r="T244" t="str">
            <v>-</v>
          </cell>
          <cell r="U244" t="str">
            <v>-</v>
          </cell>
          <cell r="V244" t="str">
            <v>-</v>
          </cell>
          <cell r="W244" t="str">
            <v>本月刚到货</v>
          </cell>
          <cell r="X244" t="str">
            <v>本月刚到货</v>
          </cell>
          <cell r="Y244">
            <v>0</v>
          </cell>
          <cell r="Z244">
            <v>0</v>
          </cell>
          <cell r="AA244">
            <v>0</v>
          </cell>
          <cell r="AB244" t="str">
            <v>-</v>
          </cell>
        </row>
        <row r="245">
          <cell r="A245" t="str">
            <v>欣彤</v>
          </cell>
          <cell r="B245" t="str">
            <v>Y3111-BL</v>
          </cell>
          <cell r="C245" t="str">
            <v>高A三防机器人Google 8 pro 带背夹 黑色</v>
          </cell>
          <cell r="D245">
            <v>45211</v>
          </cell>
          <cell r="E245" t="str">
            <v>B0CH9V5XYG</v>
          </cell>
          <cell r="F245">
            <v>0</v>
          </cell>
          <cell r="G245">
            <v>0</v>
          </cell>
          <cell r="H245">
            <v>50</v>
          </cell>
          <cell r="I245">
            <v>0</v>
          </cell>
          <cell r="J245">
            <v>0</v>
          </cell>
          <cell r="K245">
            <v>50</v>
          </cell>
          <cell r="L245">
            <v>12.5</v>
          </cell>
          <cell r="M245">
            <v>625</v>
          </cell>
          <cell r="N245">
            <v>0</v>
          </cell>
          <cell r="O245">
            <v>0</v>
          </cell>
          <cell r="P245">
            <v>0</v>
          </cell>
          <cell r="Q245">
            <v>0</v>
          </cell>
          <cell r="R245">
            <v>0</v>
          </cell>
          <cell r="S245" t="str">
            <v>-</v>
          </cell>
          <cell r="T245" t="str">
            <v>-</v>
          </cell>
          <cell r="U245" t="str">
            <v>-</v>
          </cell>
          <cell r="V245" t="str">
            <v>-</v>
          </cell>
          <cell r="W245" t="str">
            <v>本月刚到货</v>
          </cell>
          <cell r="X245" t="str">
            <v>本月刚到货</v>
          </cell>
          <cell r="Y245">
            <v>0</v>
          </cell>
          <cell r="Z245">
            <v>0</v>
          </cell>
          <cell r="AA245">
            <v>0</v>
          </cell>
          <cell r="AB245" t="str">
            <v>-</v>
          </cell>
        </row>
        <row r="246">
          <cell r="A246" t="str">
            <v>欣彤</v>
          </cell>
          <cell r="B246" t="str">
            <v>Y3111-GN</v>
          </cell>
          <cell r="C246" t="str">
            <v>高A三防机器人Google 8 pro带背夹 灰+蓝</v>
          </cell>
          <cell r="D246">
            <v>45211</v>
          </cell>
          <cell r="E246" t="str">
            <v>B0CH9SMSZY</v>
          </cell>
          <cell r="F246">
            <v>0</v>
          </cell>
          <cell r="G246">
            <v>0</v>
          </cell>
          <cell r="H246">
            <v>30</v>
          </cell>
          <cell r="I246">
            <v>0</v>
          </cell>
          <cell r="J246">
            <v>0</v>
          </cell>
          <cell r="K246">
            <v>30</v>
          </cell>
          <cell r="L246">
            <v>12.5</v>
          </cell>
          <cell r="M246">
            <v>375</v>
          </cell>
          <cell r="N246">
            <v>0</v>
          </cell>
          <cell r="O246">
            <v>0</v>
          </cell>
          <cell r="P246">
            <v>0</v>
          </cell>
          <cell r="Q246">
            <v>0</v>
          </cell>
          <cell r="R246">
            <v>0</v>
          </cell>
          <cell r="S246" t="str">
            <v>-</v>
          </cell>
          <cell r="T246" t="str">
            <v>-</v>
          </cell>
          <cell r="U246" t="str">
            <v>-</v>
          </cell>
          <cell r="V246" t="str">
            <v>-</v>
          </cell>
          <cell r="W246" t="str">
            <v>本月刚到货</v>
          </cell>
          <cell r="X246" t="str">
            <v>本月刚到货</v>
          </cell>
          <cell r="Y246">
            <v>0</v>
          </cell>
          <cell r="Z246">
            <v>0</v>
          </cell>
          <cell r="AA246">
            <v>0</v>
          </cell>
          <cell r="AB246" t="str">
            <v>-</v>
          </cell>
        </row>
        <row r="247">
          <cell r="A247" t="str">
            <v>欣彤</v>
          </cell>
          <cell r="B247" t="str">
            <v>Y3111-GR</v>
          </cell>
          <cell r="C247" t="str">
            <v>高A三防机器人Google 8 pro带背夹青绿+青绿</v>
          </cell>
          <cell r="D247">
            <v>45211</v>
          </cell>
          <cell r="E247" t="str">
            <v>B0CH9VTT4D</v>
          </cell>
          <cell r="F247">
            <v>0</v>
          </cell>
          <cell r="G247">
            <v>0</v>
          </cell>
          <cell r="H247">
            <v>30</v>
          </cell>
          <cell r="I247">
            <v>0</v>
          </cell>
          <cell r="J247">
            <v>0</v>
          </cell>
          <cell r="K247">
            <v>30</v>
          </cell>
          <cell r="L247">
            <v>12.5</v>
          </cell>
          <cell r="M247">
            <v>375</v>
          </cell>
          <cell r="N247">
            <v>0</v>
          </cell>
          <cell r="O247">
            <v>0</v>
          </cell>
          <cell r="P247">
            <v>0</v>
          </cell>
          <cell r="Q247">
            <v>0</v>
          </cell>
          <cell r="R247">
            <v>0</v>
          </cell>
          <cell r="S247" t="str">
            <v>-</v>
          </cell>
          <cell r="T247" t="str">
            <v>-</v>
          </cell>
          <cell r="U247" t="str">
            <v>-</v>
          </cell>
          <cell r="V247" t="str">
            <v>-</v>
          </cell>
          <cell r="W247" t="str">
            <v>本月刚到货</v>
          </cell>
          <cell r="X247" t="str">
            <v>本月刚到货</v>
          </cell>
          <cell r="Y247">
            <v>0</v>
          </cell>
          <cell r="Z247">
            <v>0</v>
          </cell>
          <cell r="AA247">
            <v>0</v>
          </cell>
          <cell r="AB247" t="str">
            <v>-</v>
          </cell>
        </row>
        <row r="248">
          <cell r="A248" t="str">
            <v>欣彤</v>
          </cell>
          <cell r="B248" t="str">
            <v>Y3111-NB</v>
          </cell>
          <cell r="C248" t="str">
            <v>高A三防机器人Google 8 pro带背夹 蓝色</v>
          </cell>
          <cell r="D248">
            <v>45211</v>
          </cell>
          <cell r="E248" t="str">
            <v>B0CH9VBDY9</v>
          </cell>
          <cell r="F248">
            <v>0</v>
          </cell>
          <cell r="G248">
            <v>0</v>
          </cell>
          <cell r="H248">
            <v>30</v>
          </cell>
          <cell r="I248">
            <v>0</v>
          </cell>
          <cell r="J248">
            <v>0</v>
          </cell>
          <cell r="K248">
            <v>30</v>
          </cell>
          <cell r="L248">
            <v>12.5</v>
          </cell>
          <cell r="M248">
            <v>375</v>
          </cell>
          <cell r="N248">
            <v>0</v>
          </cell>
          <cell r="O248">
            <v>0</v>
          </cell>
          <cell r="P248">
            <v>0</v>
          </cell>
          <cell r="Q248">
            <v>0</v>
          </cell>
          <cell r="R248">
            <v>0</v>
          </cell>
          <cell r="S248" t="str">
            <v>-</v>
          </cell>
          <cell r="T248" t="str">
            <v>-</v>
          </cell>
          <cell r="U248" t="str">
            <v>-</v>
          </cell>
          <cell r="V248" t="str">
            <v>-</v>
          </cell>
          <cell r="W248" t="str">
            <v>本月刚到货</v>
          </cell>
          <cell r="X248" t="str">
            <v>本月刚到货</v>
          </cell>
          <cell r="Y248">
            <v>0</v>
          </cell>
          <cell r="Z248">
            <v>0</v>
          </cell>
          <cell r="AA248">
            <v>0</v>
          </cell>
          <cell r="AB248" t="str">
            <v>-</v>
          </cell>
        </row>
        <row r="249">
          <cell r="A249" t="str">
            <v>欣彤</v>
          </cell>
          <cell r="B249" t="str">
            <v>Y3095-BL</v>
          </cell>
          <cell r="C249" t="str">
            <v>CA高A三防机器人谷歌pixel 7A</v>
          </cell>
          <cell r="D249">
            <v>45070</v>
          </cell>
          <cell r="E249" t="str">
            <v>B0BWYBZ4DM</v>
          </cell>
          <cell r="F249">
            <v>39</v>
          </cell>
          <cell r="G249">
            <v>0</v>
          </cell>
          <cell r="H249">
            <v>0</v>
          </cell>
          <cell r="I249">
            <v>0</v>
          </cell>
          <cell r="J249">
            <v>0</v>
          </cell>
          <cell r="K249">
            <v>39</v>
          </cell>
          <cell r="L249">
            <v>13.7</v>
          </cell>
          <cell r="M249">
            <v>534.3</v>
          </cell>
          <cell r="N249">
            <v>1</v>
          </cell>
          <cell r="O249">
            <v>2</v>
          </cell>
          <cell r="P249">
            <v>5</v>
          </cell>
          <cell r="Q249">
            <v>0</v>
          </cell>
          <cell r="R249">
            <v>1</v>
          </cell>
          <cell r="S249">
            <v>264.193548387097</v>
          </cell>
          <cell r="T249">
            <v>8.80645161290323</v>
          </cell>
          <cell r="U249">
            <v>9.92307692307692</v>
          </cell>
          <cell r="V249">
            <v>-1.11662531017369</v>
          </cell>
          <cell r="W249" t="str">
            <v>库存过高</v>
          </cell>
          <cell r="X249" t="str">
            <v>库存过高</v>
          </cell>
          <cell r="Y249">
            <v>3.33</v>
          </cell>
          <cell r="Z249">
            <v>5.33</v>
          </cell>
          <cell r="AA249">
            <v>11.35</v>
          </cell>
          <cell r="AB249" t="str">
            <v>-</v>
          </cell>
        </row>
      </sheetData>
      <sheetData sheetId="5"/>
      <sheetData sheetId="6">
        <row r="1">
          <cell r="B1">
            <v>146</v>
          </cell>
          <cell r="C1" t="str">
            <v>已经把长期无库存且决定后期不再做的sku删除</v>
          </cell>
        </row>
        <row r="1">
          <cell r="K1">
            <v>5953</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5953</v>
          </cell>
        </row>
        <row r="3">
          <cell r="M3">
            <v>80894.3</v>
          </cell>
          <cell r="N3">
            <v>412</v>
          </cell>
          <cell r="O3">
            <v>836</v>
          </cell>
          <cell r="P3">
            <v>1615</v>
          </cell>
          <cell r="Q3">
            <v>355</v>
          </cell>
          <cell r="R3">
            <v>57</v>
          </cell>
        </row>
        <row r="3">
          <cell r="Y3">
            <v>568.23</v>
          </cell>
          <cell r="Z3">
            <v>1197.41</v>
          </cell>
          <cell r="AA3">
            <v>2519.54</v>
          </cell>
        </row>
        <row r="4">
          <cell r="A4" t="str">
            <v>美珠</v>
          </cell>
          <cell r="B4" t="str">
            <v>Y4011-BL+Y4014+Y4017</v>
          </cell>
          <cell r="C4" t="str">
            <v>三星机器人二代A13 5G</v>
          </cell>
        </row>
        <row r="4">
          <cell r="E4" t="str">
            <v>B09Z2D8WZH</v>
          </cell>
          <cell r="F4">
            <v>39</v>
          </cell>
          <cell r="G4">
            <v>0</v>
          </cell>
          <cell r="H4">
            <v>0</v>
          </cell>
          <cell r="I4">
            <v>0</v>
          </cell>
          <cell r="J4">
            <v>0</v>
          </cell>
          <cell r="K4">
            <v>39</v>
          </cell>
          <cell r="L4">
            <v>13.7</v>
          </cell>
          <cell r="M4">
            <v>534.3</v>
          </cell>
          <cell r="N4">
            <v>11</v>
          </cell>
          <cell r="O4">
            <v>20</v>
          </cell>
          <cell r="P4">
            <v>36</v>
          </cell>
          <cell r="Q4">
            <v>7</v>
          </cell>
          <cell r="R4">
            <v>4</v>
          </cell>
          <cell r="S4">
            <v>28.5034802784223</v>
          </cell>
          <cell r="T4">
            <v>0.950116009280743</v>
          </cell>
          <cell r="U4">
            <v>2.50632911392405</v>
          </cell>
          <cell r="V4">
            <v>-1.55621310464331</v>
          </cell>
          <cell r="W4" t="str">
            <v>正常</v>
          </cell>
          <cell r="X4" t="str">
            <v>正常</v>
          </cell>
          <cell r="Y4">
            <v>4.62</v>
          </cell>
          <cell r="Z4">
            <v>8.52</v>
          </cell>
          <cell r="AA4">
            <v>17.56</v>
          </cell>
          <cell r="AB4">
            <v>0.11855273287144</v>
          </cell>
        </row>
        <row r="5">
          <cell r="A5" t="str">
            <v>美珠</v>
          </cell>
          <cell r="B5" t="str">
            <v>Y4011-GW+Y4014+Y4017</v>
          </cell>
          <cell r="C5" t="str">
            <v>三星机器人二代A13 5G</v>
          </cell>
        </row>
        <row r="5">
          <cell r="E5" t="str">
            <v>B09Z2G8SHP</v>
          </cell>
          <cell r="F5">
            <v>30</v>
          </cell>
          <cell r="G5">
            <v>0</v>
          </cell>
          <cell r="H5">
            <v>0</v>
          </cell>
          <cell r="I5">
            <v>0</v>
          </cell>
          <cell r="J5">
            <v>0</v>
          </cell>
          <cell r="K5">
            <v>30</v>
          </cell>
          <cell r="L5">
            <v>13.7</v>
          </cell>
          <cell r="M5">
            <v>411</v>
          </cell>
          <cell r="N5">
            <v>0</v>
          </cell>
          <cell r="O5">
            <v>0</v>
          </cell>
          <cell r="P5">
            <v>1</v>
          </cell>
          <cell r="Q5">
            <v>1</v>
          </cell>
          <cell r="R5">
            <v>-1</v>
          </cell>
          <cell r="S5">
            <v>2700</v>
          </cell>
          <cell r="T5">
            <v>90</v>
          </cell>
          <cell r="U5">
            <v>4.03846153846154</v>
          </cell>
          <cell r="V5">
            <v>85.9615384615385</v>
          </cell>
          <cell r="W5" t="str">
            <v>有库存无销量</v>
          </cell>
          <cell r="X5" t="str">
            <v>库存过高</v>
          </cell>
          <cell r="Y5">
            <v>0</v>
          </cell>
          <cell r="Z5">
            <v>0</v>
          </cell>
          <cell r="AA5">
            <v>0</v>
          </cell>
          <cell r="AB5" t="str">
            <v>-</v>
          </cell>
        </row>
        <row r="6">
          <cell r="A6" t="str">
            <v>美珠</v>
          </cell>
          <cell r="B6" t="str">
            <v>Y4011-OR+Y4014+Y4017</v>
          </cell>
          <cell r="C6" t="str">
            <v>三星机器人二代A13 5G</v>
          </cell>
        </row>
        <row r="6">
          <cell r="E6" t="str">
            <v>B09Z2LPGJ6</v>
          </cell>
          <cell r="F6">
            <v>7</v>
          </cell>
          <cell r="G6">
            <v>0</v>
          </cell>
          <cell r="H6">
            <v>42</v>
          </cell>
          <cell r="I6">
            <v>1</v>
          </cell>
          <cell r="J6">
            <v>0</v>
          </cell>
          <cell r="K6">
            <v>50</v>
          </cell>
          <cell r="L6">
            <v>13.7</v>
          </cell>
          <cell r="M6">
            <v>685</v>
          </cell>
          <cell r="N6">
            <v>30</v>
          </cell>
          <cell r="O6">
            <v>39</v>
          </cell>
          <cell r="P6">
            <v>47</v>
          </cell>
          <cell r="Q6">
            <v>4</v>
          </cell>
          <cell r="R6">
            <v>26</v>
          </cell>
          <cell r="S6">
            <v>17.7464788732394</v>
          </cell>
          <cell r="T6">
            <v>0.591549295774648</v>
          </cell>
          <cell r="U6">
            <v>1.73793103448276</v>
          </cell>
          <cell r="V6">
            <v>-1.14638173870811</v>
          </cell>
          <cell r="W6" t="str">
            <v>库存过低</v>
          </cell>
          <cell r="X6" t="str">
            <v>正常</v>
          </cell>
          <cell r="Y6">
            <v>31.8</v>
          </cell>
          <cell r="Z6">
            <v>62.63</v>
          </cell>
          <cell r="AA6">
            <v>107.48</v>
          </cell>
          <cell r="AB6">
            <v>0.212325565867664</v>
          </cell>
        </row>
        <row r="7">
          <cell r="A7" t="str">
            <v>美珠</v>
          </cell>
          <cell r="B7" t="str">
            <v>Y4012-BL+Y4015+Y4018</v>
          </cell>
          <cell r="C7" t="str">
            <v>三星机器人二代A53 5G</v>
          </cell>
        </row>
        <row r="7">
          <cell r="E7" t="str">
            <v>B09Z2L3S7V</v>
          </cell>
          <cell r="F7">
            <v>50</v>
          </cell>
          <cell r="G7">
            <v>2</v>
          </cell>
          <cell r="H7">
            <v>0</v>
          </cell>
          <cell r="I7">
            <v>0</v>
          </cell>
          <cell r="J7">
            <v>0</v>
          </cell>
          <cell r="K7">
            <v>52</v>
          </cell>
          <cell r="L7">
            <v>13.7</v>
          </cell>
          <cell r="M7">
            <v>712.4</v>
          </cell>
          <cell r="N7">
            <v>7</v>
          </cell>
          <cell r="O7">
            <v>7</v>
          </cell>
          <cell r="P7">
            <v>27</v>
          </cell>
          <cell r="Q7">
            <v>8</v>
          </cell>
          <cell r="R7">
            <v>-1</v>
          </cell>
          <cell r="S7">
            <v>65.9154929577465</v>
          </cell>
          <cell r="T7">
            <v>2.19718309859155</v>
          </cell>
          <cell r="U7">
            <v>0.777777777777778</v>
          </cell>
          <cell r="V7">
            <v>1.41940532081377</v>
          </cell>
          <cell r="W7" t="str">
            <v>库存过高</v>
          </cell>
          <cell r="X7" t="str">
            <v>库存过高</v>
          </cell>
          <cell r="Y7">
            <v>0</v>
          </cell>
          <cell r="Z7">
            <v>0</v>
          </cell>
          <cell r="AA7">
            <v>0.63</v>
          </cell>
          <cell r="AB7" t="str">
            <v>-</v>
          </cell>
        </row>
        <row r="8">
          <cell r="A8" t="str">
            <v>美珠</v>
          </cell>
          <cell r="B8" t="str">
            <v>Y4012-GW+Y4015+Y4018</v>
          </cell>
          <cell r="C8" t="str">
            <v>三星机器人二代A53 5G</v>
          </cell>
        </row>
        <row r="8">
          <cell r="E8" t="str">
            <v>B09Z2LPGRC</v>
          </cell>
          <cell r="F8">
            <v>23</v>
          </cell>
          <cell r="G8">
            <v>0</v>
          </cell>
          <cell r="H8">
            <v>0</v>
          </cell>
          <cell r="I8">
            <v>1</v>
          </cell>
          <cell r="J8">
            <v>0</v>
          </cell>
          <cell r="K8">
            <v>24</v>
          </cell>
          <cell r="L8">
            <v>13.7</v>
          </cell>
          <cell r="M8">
            <v>328.8</v>
          </cell>
          <cell r="N8">
            <v>1</v>
          </cell>
          <cell r="O8">
            <v>2</v>
          </cell>
          <cell r="P8">
            <v>4</v>
          </cell>
          <cell r="Q8">
            <v>2</v>
          </cell>
          <cell r="R8">
            <v>-1</v>
          </cell>
          <cell r="S8">
            <v>175.813953488372</v>
          </cell>
          <cell r="T8">
            <v>5.86046511627907</v>
          </cell>
          <cell r="U8">
            <v>4.70689655172414</v>
          </cell>
          <cell r="V8">
            <v>1.15356856455493</v>
          </cell>
          <cell r="W8" t="str">
            <v>库存过高</v>
          </cell>
          <cell r="X8" t="str">
            <v>库存过高</v>
          </cell>
          <cell r="Y8">
            <v>0</v>
          </cell>
          <cell r="Z8">
            <v>0</v>
          </cell>
          <cell r="AA8">
            <v>0</v>
          </cell>
          <cell r="AB8" t="str">
            <v>-</v>
          </cell>
        </row>
        <row r="9">
          <cell r="A9" t="str">
            <v>美珠</v>
          </cell>
          <cell r="B9" t="str">
            <v>Y4012-OR+Y4015+Y4018</v>
          </cell>
          <cell r="C9" t="str">
            <v>三星机器人二代A53 5G</v>
          </cell>
        </row>
        <row r="9">
          <cell r="E9" t="str">
            <v>B09Z2HZKFL</v>
          </cell>
          <cell r="F9">
            <v>32</v>
          </cell>
          <cell r="G9">
            <v>0</v>
          </cell>
          <cell r="H9">
            <v>11</v>
          </cell>
          <cell r="I9">
            <v>1</v>
          </cell>
          <cell r="J9">
            <v>0</v>
          </cell>
          <cell r="K9">
            <v>44</v>
          </cell>
          <cell r="L9">
            <v>13.7</v>
          </cell>
          <cell r="M9">
            <v>602.8</v>
          </cell>
          <cell r="N9">
            <v>12</v>
          </cell>
          <cell r="O9">
            <v>22</v>
          </cell>
          <cell r="P9">
            <v>38</v>
          </cell>
          <cell r="Q9">
            <v>6</v>
          </cell>
          <cell r="R9">
            <v>6</v>
          </cell>
          <cell r="S9">
            <v>29.678800856531</v>
          </cell>
          <cell r="T9">
            <v>0.989293361884368</v>
          </cell>
          <cell r="U9">
            <v>2.05807622504537</v>
          </cell>
          <cell r="V9">
            <v>-1.068782863161</v>
          </cell>
          <cell r="W9" t="str">
            <v>正常</v>
          </cell>
          <cell r="X9" t="str">
            <v>正常</v>
          </cell>
          <cell r="Y9">
            <v>13.49</v>
          </cell>
          <cell r="Z9">
            <v>24.34</v>
          </cell>
          <cell r="AA9">
            <v>49.6</v>
          </cell>
          <cell r="AB9">
            <v>0.121630150572536</v>
          </cell>
        </row>
        <row r="10">
          <cell r="A10" t="str">
            <v>美珠</v>
          </cell>
          <cell r="B10" t="str">
            <v>Y4011-DB+Y4014+Y4017</v>
          </cell>
          <cell r="C10" t="str">
            <v>三星机器人二代A13 5G</v>
          </cell>
        </row>
        <row r="10">
          <cell r="E10" t="str">
            <v>B09Z2MPF53</v>
          </cell>
          <cell r="F10">
            <v>42</v>
          </cell>
          <cell r="G10">
            <v>0</v>
          </cell>
          <cell r="H10">
            <v>13</v>
          </cell>
          <cell r="I10">
            <v>1</v>
          </cell>
          <cell r="J10">
            <v>0</v>
          </cell>
          <cell r="K10">
            <v>56</v>
          </cell>
          <cell r="L10">
            <v>13.7</v>
          </cell>
          <cell r="M10">
            <v>767.2</v>
          </cell>
          <cell r="N10">
            <v>6</v>
          </cell>
          <cell r="O10">
            <v>7</v>
          </cell>
          <cell r="P10">
            <v>18</v>
          </cell>
          <cell r="Q10">
            <v>6</v>
          </cell>
          <cell r="R10">
            <v>0</v>
          </cell>
          <cell r="S10">
            <v>87.3267326732673</v>
          </cell>
          <cell r="T10">
            <v>2.91089108910891</v>
          </cell>
          <cell r="U10">
            <v>1.80794701986755</v>
          </cell>
          <cell r="V10">
            <v>1.10294406924136</v>
          </cell>
          <cell r="W10" t="str">
            <v>库存过高</v>
          </cell>
          <cell r="X10" t="str">
            <v>库存过高</v>
          </cell>
          <cell r="Y10">
            <v>4.29</v>
          </cell>
          <cell r="Z10">
            <v>9.24</v>
          </cell>
          <cell r="AA10">
            <v>26.17</v>
          </cell>
          <cell r="AB10">
            <v>0.178899082568807</v>
          </cell>
        </row>
        <row r="11">
          <cell r="A11" t="str">
            <v>美珠</v>
          </cell>
          <cell r="B11" t="str">
            <v>Y4011-PB+Y4014+Y4017</v>
          </cell>
          <cell r="C11" t="str">
            <v>三星机器人二代A13 5G</v>
          </cell>
        </row>
        <row r="11">
          <cell r="E11" t="str">
            <v>B09Z2PY3PX</v>
          </cell>
          <cell r="F11">
            <v>19</v>
          </cell>
          <cell r="G11">
            <v>0</v>
          </cell>
          <cell r="H11">
            <v>0</v>
          </cell>
          <cell r="I11">
            <v>0</v>
          </cell>
          <cell r="J11">
            <v>0</v>
          </cell>
          <cell r="K11">
            <v>19</v>
          </cell>
          <cell r="L11">
            <v>13.7</v>
          </cell>
          <cell r="M11">
            <v>260.3</v>
          </cell>
          <cell r="N11">
            <v>3</v>
          </cell>
          <cell r="O11">
            <v>3</v>
          </cell>
          <cell r="P11">
            <v>5</v>
          </cell>
          <cell r="Q11">
            <v>2</v>
          </cell>
          <cell r="R11">
            <v>1</v>
          </cell>
          <cell r="S11">
            <v>71.6766467065868</v>
          </cell>
          <cell r="T11">
            <v>2.38922155688623</v>
          </cell>
          <cell r="U11">
            <v>2.79113924050633</v>
          </cell>
          <cell r="V11">
            <v>-0.401917683620103</v>
          </cell>
          <cell r="W11" t="str">
            <v>正常</v>
          </cell>
          <cell r="X11" t="str">
            <v>库存过高</v>
          </cell>
          <cell r="Y11">
            <v>0</v>
          </cell>
          <cell r="Z11">
            <v>0</v>
          </cell>
          <cell r="AA11">
            <v>0</v>
          </cell>
          <cell r="AB11" t="str">
            <v>-</v>
          </cell>
        </row>
        <row r="12">
          <cell r="A12" t="str">
            <v>美珠</v>
          </cell>
          <cell r="B12" t="str">
            <v>Y4012-DB+Y4015+Y4018</v>
          </cell>
          <cell r="C12" t="str">
            <v>三星机器人二代A53 5G</v>
          </cell>
        </row>
        <row r="12">
          <cell r="E12" t="str">
            <v>B09Z2LXWHV</v>
          </cell>
          <cell r="F12">
            <v>28</v>
          </cell>
          <cell r="G12">
            <v>0</v>
          </cell>
          <cell r="H12">
            <v>11</v>
          </cell>
          <cell r="I12">
            <v>1</v>
          </cell>
          <cell r="J12">
            <v>0</v>
          </cell>
          <cell r="K12">
            <v>40</v>
          </cell>
          <cell r="L12">
            <v>13.7</v>
          </cell>
          <cell r="M12">
            <v>548</v>
          </cell>
          <cell r="N12">
            <v>2</v>
          </cell>
          <cell r="O12">
            <v>6</v>
          </cell>
          <cell r="P12">
            <v>10</v>
          </cell>
          <cell r="Q12">
            <v>0</v>
          </cell>
          <cell r="R12">
            <v>2</v>
          </cell>
          <cell r="S12">
            <v>117.757009345794</v>
          </cell>
          <cell r="T12">
            <v>3.92523364485981</v>
          </cell>
          <cell r="U12">
            <v>10.875</v>
          </cell>
          <cell r="V12">
            <v>-6.94976635514019</v>
          </cell>
          <cell r="W12" t="str">
            <v>库存过高</v>
          </cell>
          <cell r="X12" t="str">
            <v>库存过高</v>
          </cell>
          <cell r="Y12">
            <v>0.82</v>
          </cell>
          <cell r="Z12">
            <v>1.26</v>
          </cell>
          <cell r="AA12">
            <v>3.08</v>
          </cell>
          <cell r="AB12">
            <v>0.0631254811393379</v>
          </cell>
        </row>
        <row r="13">
          <cell r="A13" t="str">
            <v>美珠</v>
          </cell>
          <cell r="B13" t="str">
            <v>Y4012-PB+Y4015+Y4018</v>
          </cell>
          <cell r="C13" t="str">
            <v>三星机器人二代A53 5G</v>
          </cell>
        </row>
        <row r="13">
          <cell r="E13" t="str">
            <v>B09Z2LQ3PL</v>
          </cell>
          <cell r="F13">
            <v>30</v>
          </cell>
          <cell r="G13">
            <v>0</v>
          </cell>
          <cell r="H13">
            <v>0</v>
          </cell>
          <cell r="I13">
            <v>1</v>
          </cell>
          <cell r="J13">
            <v>0</v>
          </cell>
          <cell r="K13">
            <v>31</v>
          </cell>
          <cell r="L13">
            <v>13.7</v>
          </cell>
          <cell r="M13">
            <v>424.7</v>
          </cell>
          <cell r="N13">
            <v>3</v>
          </cell>
          <cell r="O13">
            <v>3</v>
          </cell>
          <cell r="P13">
            <v>5</v>
          </cell>
          <cell r="Q13">
            <v>1</v>
          </cell>
          <cell r="R13">
            <v>2</v>
          </cell>
          <cell r="S13">
            <v>116.946107784431</v>
          </cell>
          <cell r="T13">
            <v>3.89820359281437</v>
          </cell>
          <cell r="U13">
            <v>9.56962025316456</v>
          </cell>
          <cell r="V13">
            <v>-5.67141666035019</v>
          </cell>
          <cell r="W13" t="str">
            <v>库存过高</v>
          </cell>
          <cell r="X13" t="str">
            <v>库存过高</v>
          </cell>
          <cell r="Y13">
            <v>0</v>
          </cell>
          <cell r="Z13">
            <v>0</v>
          </cell>
          <cell r="AA13">
            <v>0.95</v>
          </cell>
          <cell r="AB13" t="str">
            <v>-</v>
          </cell>
        </row>
        <row r="14">
          <cell r="A14" t="str">
            <v>美珠</v>
          </cell>
          <cell r="B14" t="str">
            <v>Y4013-BL+Y4016+Y4019</v>
          </cell>
          <cell r="C14" t="str">
            <v>三星机器人二代A03S</v>
          </cell>
        </row>
        <row r="14">
          <cell r="E14" t="str">
            <v>B09Z2NG737</v>
          </cell>
          <cell r="F14">
            <v>40</v>
          </cell>
          <cell r="G14">
            <v>0</v>
          </cell>
          <cell r="H14">
            <v>41</v>
          </cell>
          <cell r="I14">
            <v>20</v>
          </cell>
          <cell r="J14">
            <v>0</v>
          </cell>
          <cell r="K14">
            <v>101</v>
          </cell>
          <cell r="L14">
            <v>13.7</v>
          </cell>
          <cell r="M14">
            <v>1383.7</v>
          </cell>
          <cell r="N14">
            <v>20</v>
          </cell>
          <cell r="O14">
            <v>32</v>
          </cell>
          <cell r="P14">
            <v>68</v>
          </cell>
          <cell r="Q14">
            <v>17</v>
          </cell>
          <cell r="R14">
            <v>3</v>
          </cell>
          <cell r="S14">
            <v>41.751968503937</v>
          </cell>
          <cell r="T14">
            <v>1.39173228346457</v>
          </cell>
          <cell r="U14">
            <v>1.52578125</v>
          </cell>
          <cell r="V14">
            <v>-0.134048966535433</v>
          </cell>
          <cell r="W14" t="str">
            <v>正常</v>
          </cell>
          <cell r="X14" t="str">
            <v>正常</v>
          </cell>
          <cell r="Y14">
            <v>0.6</v>
          </cell>
          <cell r="Z14">
            <v>0.97</v>
          </cell>
          <cell r="AA14">
            <v>3.46</v>
          </cell>
          <cell r="AB14" t="str">
            <v>-</v>
          </cell>
        </row>
        <row r="15">
          <cell r="A15" t="str">
            <v>美珠</v>
          </cell>
          <cell r="B15" t="str">
            <v>Y4013-DB+Y4016+Y4019</v>
          </cell>
          <cell r="C15" t="str">
            <v>三星机器人二代A03S</v>
          </cell>
        </row>
        <row r="15">
          <cell r="E15" t="str">
            <v>B09Z2L5JZG</v>
          </cell>
          <cell r="F15">
            <v>52</v>
          </cell>
          <cell r="G15">
            <v>0</v>
          </cell>
          <cell r="H15">
            <v>45</v>
          </cell>
          <cell r="I15">
            <v>1</v>
          </cell>
          <cell r="J15">
            <v>0</v>
          </cell>
          <cell r="K15">
            <v>98</v>
          </cell>
          <cell r="L15">
            <v>13.7</v>
          </cell>
          <cell r="M15">
            <v>1342.6</v>
          </cell>
          <cell r="N15">
            <v>7</v>
          </cell>
          <cell r="O15">
            <v>16</v>
          </cell>
          <cell r="P15">
            <v>35</v>
          </cell>
          <cell r="Q15">
            <v>9</v>
          </cell>
          <cell r="R15">
            <v>-2</v>
          </cell>
          <cell r="S15">
            <v>90.9278350515464</v>
          </cell>
          <cell r="T15">
            <v>3.03092783505155</v>
          </cell>
          <cell r="U15">
            <v>1.58964143426295</v>
          </cell>
          <cell r="V15">
            <v>1.4412864007886</v>
          </cell>
          <cell r="W15" t="str">
            <v>库存过高</v>
          </cell>
          <cell r="X15" t="str">
            <v>库存过高</v>
          </cell>
          <cell r="Y15">
            <v>1.86</v>
          </cell>
          <cell r="Z15">
            <v>3.08</v>
          </cell>
          <cell r="AA15">
            <v>9.18</v>
          </cell>
          <cell r="AB15">
            <v>0.143187066974596</v>
          </cell>
        </row>
        <row r="16">
          <cell r="A16" t="str">
            <v>美珠</v>
          </cell>
          <cell r="B16" t="str">
            <v>Y4013-GW+Y4016+Y4019</v>
          </cell>
          <cell r="C16" t="str">
            <v>三星机器人二代A03S</v>
          </cell>
        </row>
        <row r="16">
          <cell r="E16" t="str">
            <v>B09Z2L1VX8</v>
          </cell>
          <cell r="F16">
            <v>51</v>
          </cell>
          <cell r="G16">
            <v>0</v>
          </cell>
          <cell r="H16">
            <v>1</v>
          </cell>
          <cell r="I16">
            <v>0</v>
          </cell>
          <cell r="J16">
            <v>0</v>
          </cell>
          <cell r="K16">
            <v>52</v>
          </cell>
          <cell r="L16">
            <v>13.7</v>
          </cell>
          <cell r="M16">
            <v>712.4</v>
          </cell>
          <cell r="N16">
            <v>4</v>
          </cell>
          <cell r="O16">
            <v>10</v>
          </cell>
          <cell r="P16">
            <v>13</v>
          </cell>
          <cell r="Q16">
            <v>0</v>
          </cell>
          <cell r="R16">
            <v>4</v>
          </cell>
          <cell r="S16">
            <v>93.3333333333333</v>
          </cell>
          <cell r="T16">
            <v>3.11111111111111</v>
          </cell>
          <cell r="U16">
            <v>17.7272727272727</v>
          </cell>
          <cell r="V16">
            <v>-14.6161616161616</v>
          </cell>
          <cell r="W16" t="str">
            <v>库存过高</v>
          </cell>
          <cell r="X16" t="str">
            <v>库存过高</v>
          </cell>
          <cell r="Y16">
            <v>0</v>
          </cell>
          <cell r="Z16">
            <v>0</v>
          </cell>
          <cell r="AA16">
            <v>0</v>
          </cell>
          <cell r="AB16" t="str">
            <v>-</v>
          </cell>
        </row>
        <row r="17">
          <cell r="A17" t="str">
            <v>美珠</v>
          </cell>
          <cell r="B17" t="str">
            <v>Y4013-OR+Y4016+Y4019</v>
          </cell>
          <cell r="C17" t="str">
            <v>三星机器人二代A03S</v>
          </cell>
        </row>
        <row r="17">
          <cell r="E17" t="str">
            <v>B09Z2LRTBX</v>
          </cell>
          <cell r="F17">
            <v>83</v>
          </cell>
          <cell r="G17">
            <v>1</v>
          </cell>
          <cell r="H17">
            <v>44</v>
          </cell>
          <cell r="I17">
            <v>0</v>
          </cell>
          <cell r="J17">
            <v>0</v>
          </cell>
          <cell r="K17">
            <v>128</v>
          </cell>
          <cell r="L17">
            <v>13.7</v>
          </cell>
          <cell r="M17">
            <v>1753.6</v>
          </cell>
          <cell r="N17">
            <v>15</v>
          </cell>
          <cell r="O17">
            <v>33</v>
          </cell>
          <cell r="P17">
            <v>65</v>
          </cell>
          <cell r="Q17">
            <v>14</v>
          </cell>
          <cell r="R17">
            <v>1</v>
          </cell>
          <cell r="S17">
            <v>58.9904901243599</v>
          </cell>
          <cell r="T17">
            <v>1.966349670812</v>
          </cell>
          <cell r="U17">
            <v>0.903614457831325</v>
          </cell>
          <cell r="V17">
            <v>1.06273521298067</v>
          </cell>
          <cell r="W17" t="str">
            <v>库存过高</v>
          </cell>
          <cell r="X17" t="str">
            <v>库存过高</v>
          </cell>
          <cell r="Y17">
            <v>35.57</v>
          </cell>
          <cell r="Z17">
            <v>72.78</v>
          </cell>
          <cell r="AA17">
            <v>159.1</v>
          </cell>
          <cell r="AB17">
            <v>0.174499607535322</v>
          </cell>
        </row>
        <row r="18">
          <cell r="A18" t="str">
            <v>美珠</v>
          </cell>
          <cell r="B18" t="str">
            <v>Y4013-PB+Y4016+Y4019</v>
          </cell>
          <cell r="C18" t="str">
            <v>三星机器人二代A03S</v>
          </cell>
        </row>
        <row r="18">
          <cell r="E18" t="str">
            <v>B09Z2KZ6GT</v>
          </cell>
          <cell r="F18">
            <v>18</v>
          </cell>
          <cell r="G18">
            <v>0</v>
          </cell>
          <cell r="H18">
            <v>0</v>
          </cell>
          <cell r="I18">
            <v>0</v>
          </cell>
          <cell r="J18">
            <v>0</v>
          </cell>
          <cell r="K18">
            <v>18</v>
          </cell>
          <cell r="L18">
            <v>13.7</v>
          </cell>
          <cell r="M18">
            <v>246.6</v>
          </cell>
          <cell r="N18">
            <v>2</v>
          </cell>
          <cell r="O18">
            <v>6</v>
          </cell>
          <cell r="P18">
            <v>11</v>
          </cell>
          <cell r="Q18">
            <v>3</v>
          </cell>
          <cell r="R18">
            <v>-1</v>
          </cell>
          <cell r="S18">
            <v>51.3122171945701</v>
          </cell>
          <cell r="T18">
            <v>1.710407239819</v>
          </cell>
          <cell r="U18">
            <v>2.71291866028708</v>
          </cell>
          <cell r="V18">
            <v>-1.00251142046808</v>
          </cell>
          <cell r="W18" t="str">
            <v>库存过高</v>
          </cell>
          <cell r="X18" t="str">
            <v>库存过高</v>
          </cell>
          <cell r="Y18">
            <v>0</v>
          </cell>
          <cell r="Z18">
            <v>0</v>
          </cell>
          <cell r="AA18">
            <v>0</v>
          </cell>
          <cell r="AB18" t="str">
            <v>-</v>
          </cell>
        </row>
        <row r="19">
          <cell r="A19" t="str">
            <v>美珠</v>
          </cell>
          <cell r="B19" t="str">
            <v>Y4020-BL+Y4024+Y4028</v>
          </cell>
          <cell r="C19" t="str">
            <v>机器人二代iPhone 14+2片软膜+背夹</v>
          </cell>
        </row>
        <row r="19">
          <cell r="E19" t="str">
            <v>B0B6R6H5TH</v>
          </cell>
          <cell r="F19">
            <v>13</v>
          </cell>
          <cell r="G19">
            <v>0</v>
          </cell>
          <cell r="H19">
            <v>0</v>
          </cell>
          <cell r="I19">
            <v>0</v>
          </cell>
          <cell r="J19">
            <v>0</v>
          </cell>
          <cell r="K19">
            <v>13</v>
          </cell>
          <cell r="L19">
            <v>13.7</v>
          </cell>
          <cell r="M19">
            <v>178.1</v>
          </cell>
          <cell r="N19">
            <v>7</v>
          </cell>
          <cell r="O19">
            <v>11</v>
          </cell>
          <cell r="P19">
            <v>22</v>
          </cell>
          <cell r="Q19">
            <v>5</v>
          </cell>
          <cell r="R19">
            <v>2</v>
          </cell>
          <cell r="S19">
            <v>15.8108108108108</v>
          </cell>
          <cell r="T19">
            <v>0.527027027027027</v>
          </cell>
          <cell r="U19">
            <v>1.78301886792453</v>
          </cell>
          <cell r="V19">
            <v>-1.2559918408975</v>
          </cell>
          <cell r="W19" t="str">
            <v>库存过低</v>
          </cell>
          <cell r="X19" t="str">
            <v>正常</v>
          </cell>
          <cell r="Y19">
            <v>4.53</v>
          </cell>
          <cell r="Z19">
            <v>10.85</v>
          </cell>
          <cell r="AA19">
            <v>29.58</v>
          </cell>
          <cell r="AB19">
            <v>0.129539605376037</v>
          </cell>
        </row>
        <row r="20">
          <cell r="A20" t="str">
            <v>美珠</v>
          </cell>
          <cell r="B20" t="str">
            <v>Y4020-DB+Y4024+Y4028</v>
          </cell>
          <cell r="C20" t="str">
            <v>机器人二代iPhone 14+2片软膜+背夹</v>
          </cell>
        </row>
        <row r="20">
          <cell r="E20" t="str">
            <v>B0B6R7CJFJ</v>
          </cell>
          <cell r="F20">
            <v>27</v>
          </cell>
          <cell r="G20">
            <v>0</v>
          </cell>
          <cell r="H20">
            <v>64</v>
          </cell>
          <cell r="I20">
            <v>2</v>
          </cell>
          <cell r="J20">
            <v>0</v>
          </cell>
          <cell r="K20">
            <v>93</v>
          </cell>
          <cell r="L20">
            <v>13.7</v>
          </cell>
          <cell r="M20">
            <v>1274.1</v>
          </cell>
          <cell r="N20">
            <v>6</v>
          </cell>
          <cell r="O20">
            <v>16</v>
          </cell>
          <cell r="P20">
            <v>24</v>
          </cell>
          <cell r="Q20">
            <v>6</v>
          </cell>
          <cell r="R20">
            <v>0</v>
          </cell>
          <cell r="S20">
            <v>102.43006993007</v>
          </cell>
          <cell r="T20">
            <v>3.41433566433566</v>
          </cell>
          <cell r="U20">
            <v>0.58659217877095</v>
          </cell>
          <cell r="V20">
            <v>2.82774348556471</v>
          </cell>
          <cell r="W20" t="str">
            <v>库存过高</v>
          </cell>
          <cell r="X20" t="str">
            <v>库存过高</v>
          </cell>
          <cell r="Y20">
            <v>0.87</v>
          </cell>
          <cell r="Z20">
            <v>2.11</v>
          </cell>
          <cell r="AA20">
            <v>5.35</v>
          </cell>
          <cell r="AB20" t="str">
            <v>-</v>
          </cell>
        </row>
        <row r="21">
          <cell r="A21" t="str">
            <v>美珠</v>
          </cell>
          <cell r="B21" t="str">
            <v>Y4020-GW+Y4024+Y4028</v>
          </cell>
          <cell r="C21" t="str">
            <v>机器人二代iPhone 14+2片软膜+背夹</v>
          </cell>
        </row>
        <row r="21">
          <cell r="E21" t="str">
            <v>B0B6R6Y3YS</v>
          </cell>
          <cell r="F21">
            <v>36</v>
          </cell>
          <cell r="G21">
            <v>0</v>
          </cell>
          <cell r="H21">
            <v>1</v>
          </cell>
          <cell r="I21">
            <v>0</v>
          </cell>
          <cell r="J21">
            <v>0</v>
          </cell>
          <cell r="K21">
            <v>37</v>
          </cell>
          <cell r="L21">
            <v>13.7</v>
          </cell>
          <cell r="M21">
            <v>506.9</v>
          </cell>
          <cell r="N21">
            <v>3</v>
          </cell>
          <cell r="O21">
            <v>4</v>
          </cell>
          <cell r="P21">
            <v>5</v>
          </cell>
          <cell r="Q21">
            <v>0</v>
          </cell>
          <cell r="R21">
            <v>3</v>
          </cell>
          <cell r="S21">
            <v>128.78453038674</v>
          </cell>
          <cell r="T21">
            <v>4.29281767955801</v>
          </cell>
          <cell r="U21">
            <v>20.5</v>
          </cell>
          <cell r="V21">
            <v>-16.207182320442</v>
          </cell>
          <cell r="W21" t="str">
            <v>库存过高</v>
          </cell>
          <cell r="X21" t="str">
            <v>库存过高</v>
          </cell>
          <cell r="Y21">
            <v>4.12</v>
          </cell>
          <cell r="Z21">
            <v>7.32</v>
          </cell>
          <cell r="AA21">
            <v>20.98</v>
          </cell>
          <cell r="AB21">
            <v>0.0792917628945343</v>
          </cell>
        </row>
        <row r="22">
          <cell r="A22" t="str">
            <v>美珠</v>
          </cell>
          <cell r="B22" t="str">
            <v>Y4020-OR+Y4024+Y4028</v>
          </cell>
          <cell r="C22" t="str">
            <v>机器人二代iPhone 14+2片软膜+背夹</v>
          </cell>
        </row>
        <row r="22">
          <cell r="E22" t="str">
            <v>B0B6RD2YH5</v>
          </cell>
          <cell r="F22">
            <v>17</v>
          </cell>
          <cell r="G22">
            <v>0</v>
          </cell>
          <cell r="H22">
            <v>45</v>
          </cell>
          <cell r="I22">
            <v>0</v>
          </cell>
          <cell r="J22">
            <v>0</v>
          </cell>
          <cell r="K22">
            <v>62</v>
          </cell>
          <cell r="L22">
            <v>13.7</v>
          </cell>
          <cell r="M22">
            <v>849.4</v>
          </cell>
          <cell r="N22">
            <v>10</v>
          </cell>
          <cell r="O22">
            <v>14</v>
          </cell>
          <cell r="P22">
            <v>25</v>
          </cell>
          <cell r="Q22">
            <v>5</v>
          </cell>
          <cell r="R22">
            <v>5</v>
          </cell>
          <cell r="S22">
            <v>58.2116244411326</v>
          </cell>
          <cell r="T22">
            <v>1.94038748137109</v>
          </cell>
          <cell r="U22">
            <v>1.72283813747228</v>
          </cell>
          <cell r="V22">
            <v>0.217549343898808</v>
          </cell>
          <cell r="W22" t="str">
            <v>正常</v>
          </cell>
          <cell r="X22" t="str">
            <v>库存过高</v>
          </cell>
          <cell r="Y22">
            <v>15.6</v>
          </cell>
          <cell r="Z22">
            <v>36.64</v>
          </cell>
          <cell r="AA22">
            <v>81.59</v>
          </cell>
          <cell r="AB22">
            <v>0.195146359769827</v>
          </cell>
        </row>
        <row r="23">
          <cell r="A23" t="str">
            <v>美珠</v>
          </cell>
          <cell r="B23" t="str">
            <v>Y4020-WB+Y4024+Y4028</v>
          </cell>
          <cell r="C23" t="str">
            <v>机器人二代iPhone 14+2片软膜+背夹</v>
          </cell>
        </row>
        <row r="23">
          <cell r="E23" t="str">
            <v>B0B6R86DZG</v>
          </cell>
          <cell r="F23">
            <v>23</v>
          </cell>
          <cell r="G23">
            <v>0</v>
          </cell>
          <cell r="H23">
            <v>0</v>
          </cell>
          <cell r="I23">
            <v>0</v>
          </cell>
          <cell r="J23">
            <v>0</v>
          </cell>
          <cell r="K23">
            <v>23</v>
          </cell>
          <cell r="L23">
            <v>13.7</v>
          </cell>
          <cell r="M23">
            <v>315.1</v>
          </cell>
          <cell r="N23">
            <v>0</v>
          </cell>
          <cell r="O23">
            <v>2</v>
          </cell>
          <cell r="P23">
            <v>5</v>
          </cell>
          <cell r="Q23">
            <v>2</v>
          </cell>
          <cell r="R23">
            <v>-2</v>
          </cell>
          <cell r="S23">
            <v>230</v>
          </cell>
          <cell r="T23">
            <v>7.66666666666667</v>
          </cell>
          <cell r="U23">
            <v>3.32278481012658</v>
          </cell>
          <cell r="V23">
            <v>4.34388185654009</v>
          </cell>
          <cell r="W23" t="str">
            <v>有库存无销量</v>
          </cell>
          <cell r="X23" t="str">
            <v>库存过高</v>
          </cell>
          <cell r="Y23">
            <v>0.2</v>
          </cell>
          <cell r="Z23">
            <v>0.4</v>
          </cell>
          <cell r="AA23">
            <v>0.6</v>
          </cell>
          <cell r="AB23" t="str">
            <v>-</v>
          </cell>
        </row>
        <row r="24">
          <cell r="A24" t="str">
            <v>美珠</v>
          </cell>
          <cell r="B24" t="str">
            <v>Y4021-BL+Y4025+Y4029</v>
          </cell>
          <cell r="C24" t="str">
            <v>机器人二代iphone 14 pro+2片软膜+背夹</v>
          </cell>
        </row>
        <row r="24">
          <cell r="E24" t="str">
            <v>B0B6R9YLJS</v>
          </cell>
          <cell r="F24">
            <v>44</v>
          </cell>
          <cell r="G24">
            <v>0</v>
          </cell>
          <cell r="H24">
            <v>0</v>
          </cell>
          <cell r="I24">
            <v>0</v>
          </cell>
          <cell r="J24">
            <v>0</v>
          </cell>
          <cell r="K24">
            <v>44</v>
          </cell>
          <cell r="L24">
            <v>13.7</v>
          </cell>
          <cell r="M24">
            <v>602.8</v>
          </cell>
          <cell r="N24">
            <v>3</v>
          </cell>
          <cell r="O24">
            <v>7</v>
          </cell>
          <cell r="P24">
            <v>20</v>
          </cell>
          <cell r="Q24">
            <v>5</v>
          </cell>
          <cell r="R24">
            <v>-2</v>
          </cell>
          <cell r="S24">
            <v>84.5121951219512</v>
          </cell>
          <cell r="T24">
            <v>2.81707317073171</v>
          </cell>
          <cell r="U24">
            <v>2.36743215031315</v>
          </cell>
          <cell r="V24">
            <v>0.449641020418558</v>
          </cell>
          <cell r="W24" t="str">
            <v>库存过高</v>
          </cell>
          <cell r="X24" t="str">
            <v>库存过高</v>
          </cell>
          <cell r="Y24">
            <v>6.99</v>
          </cell>
          <cell r="Z24">
            <v>12.43</v>
          </cell>
          <cell r="AA24">
            <v>25.61</v>
          </cell>
          <cell r="AB24">
            <v>0.179368745188607</v>
          </cell>
        </row>
        <row r="25">
          <cell r="A25" t="str">
            <v>美珠</v>
          </cell>
          <cell r="B25" t="str">
            <v>Y4021-DB+Y4025+Y4029</v>
          </cell>
          <cell r="C25" t="str">
            <v>机器人二代iphone 14 pro+2片软膜+背夹</v>
          </cell>
        </row>
        <row r="25">
          <cell r="E25" t="str">
            <v>B0B6R81F8S</v>
          </cell>
          <cell r="F25">
            <v>22</v>
          </cell>
          <cell r="G25">
            <v>0</v>
          </cell>
          <cell r="H25">
            <v>0</v>
          </cell>
          <cell r="I25">
            <v>0</v>
          </cell>
          <cell r="J25">
            <v>0</v>
          </cell>
          <cell r="K25">
            <v>22</v>
          </cell>
          <cell r="L25">
            <v>13.7</v>
          </cell>
          <cell r="M25">
            <v>301.4</v>
          </cell>
          <cell r="N25">
            <v>0</v>
          </cell>
          <cell r="O25">
            <v>2</v>
          </cell>
          <cell r="P25">
            <v>6</v>
          </cell>
          <cell r="Q25">
            <v>3</v>
          </cell>
          <cell r="R25">
            <v>-3</v>
          </cell>
          <cell r="S25">
            <v>198</v>
          </cell>
          <cell r="T25">
            <v>6.6</v>
          </cell>
          <cell r="U25">
            <v>3.12765957446808</v>
          </cell>
          <cell r="V25">
            <v>3.47234042553192</v>
          </cell>
          <cell r="W25" t="str">
            <v>有库存无销量</v>
          </cell>
          <cell r="X25" t="str">
            <v>库存过高</v>
          </cell>
          <cell r="Y25">
            <v>0.62</v>
          </cell>
          <cell r="Z25">
            <v>2.14</v>
          </cell>
          <cell r="AA25">
            <v>4.08</v>
          </cell>
          <cell r="AB25" t="str">
            <v>-</v>
          </cell>
        </row>
        <row r="26">
          <cell r="A26" t="str">
            <v>美珠</v>
          </cell>
          <cell r="B26" t="str">
            <v>Y4021-GW+Y4025+Y4029</v>
          </cell>
          <cell r="C26" t="str">
            <v>机器人二代iphone 14 pro+2片软膜+背夹</v>
          </cell>
        </row>
        <row r="26">
          <cell r="E26" t="str">
            <v>B0B6R4S3B9</v>
          </cell>
          <cell r="F26">
            <v>46</v>
          </cell>
          <cell r="G26">
            <v>0</v>
          </cell>
          <cell r="H26">
            <v>1</v>
          </cell>
          <cell r="I26">
            <v>0</v>
          </cell>
          <cell r="J26">
            <v>0</v>
          </cell>
          <cell r="K26">
            <v>47</v>
          </cell>
          <cell r="L26">
            <v>13.7</v>
          </cell>
          <cell r="M26">
            <v>643.9</v>
          </cell>
          <cell r="N26">
            <v>0</v>
          </cell>
          <cell r="O26">
            <v>0</v>
          </cell>
          <cell r="P26">
            <v>3</v>
          </cell>
          <cell r="Q26">
            <v>2</v>
          </cell>
          <cell r="R26">
            <v>-2</v>
          </cell>
          <cell r="S26">
            <v>1410</v>
          </cell>
          <cell r="T26">
            <v>47</v>
          </cell>
          <cell r="U26">
            <v>8.19512195121951</v>
          </cell>
          <cell r="V26">
            <v>38.8048780487805</v>
          </cell>
          <cell r="W26" t="str">
            <v>有库存无销量</v>
          </cell>
          <cell r="X26" t="str">
            <v>库存过高</v>
          </cell>
          <cell r="Y26">
            <v>0</v>
          </cell>
          <cell r="Z26">
            <v>0</v>
          </cell>
          <cell r="AA26">
            <v>0</v>
          </cell>
          <cell r="AB26" t="str">
            <v>-</v>
          </cell>
        </row>
        <row r="27">
          <cell r="A27" t="str">
            <v>美珠</v>
          </cell>
          <cell r="B27" t="str">
            <v>Y4021-OR+Y4025+Y4029</v>
          </cell>
          <cell r="C27" t="str">
            <v>机器人二代iphone 14 pro+2片软膜+背夹</v>
          </cell>
        </row>
        <row r="27">
          <cell r="E27" t="str">
            <v>B0B6RC5KKN</v>
          </cell>
          <cell r="F27">
            <v>19</v>
          </cell>
          <cell r="G27">
            <v>0</v>
          </cell>
          <cell r="H27">
            <v>9</v>
          </cell>
          <cell r="I27">
            <v>0</v>
          </cell>
          <cell r="J27">
            <v>0</v>
          </cell>
          <cell r="K27">
            <v>28</v>
          </cell>
          <cell r="L27">
            <v>13.7</v>
          </cell>
          <cell r="M27">
            <v>383.6</v>
          </cell>
          <cell r="N27">
            <v>0</v>
          </cell>
          <cell r="O27">
            <v>4</v>
          </cell>
          <cell r="P27">
            <v>9</v>
          </cell>
          <cell r="Q27">
            <v>1</v>
          </cell>
          <cell r="R27">
            <v>-1</v>
          </cell>
          <cell r="S27">
            <v>148.235294117647</v>
          </cell>
          <cell r="T27">
            <v>4.94117647058824</v>
          </cell>
          <cell r="U27">
            <v>2.28846153846154</v>
          </cell>
          <cell r="V27">
            <v>2.6527149321267</v>
          </cell>
          <cell r="W27" t="str">
            <v>有库存无销量</v>
          </cell>
          <cell r="X27" t="str">
            <v>库存过高</v>
          </cell>
          <cell r="Y27">
            <v>9.24</v>
          </cell>
          <cell r="Z27">
            <v>16.6</v>
          </cell>
          <cell r="AA27">
            <v>46.14</v>
          </cell>
          <cell r="AB27">
            <v>0.840764331210191</v>
          </cell>
        </row>
        <row r="28">
          <cell r="A28" t="str">
            <v>美珠</v>
          </cell>
          <cell r="B28" t="str">
            <v>Y4021-WB+Y4025+Y4029</v>
          </cell>
          <cell r="C28" t="str">
            <v>机器人二代iphone 14 pro+2片软膜+背夹</v>
          </cell>
        </row>
        <row r="28">
          <cell r="E28" t="str">
            <v>B0B6R9LYG2</v>
          </cell>
          <cell r="F28">
            <v>16</v>
          </cell>
          <cell r="G28">
            <v>0</v>
          </cell>
          <cell r="H28">
            <v>0</v>
          </cell>
          <cell r="I28">
            <v>0</v>
          </cell>
          <cell r="J28">
            <v>0</v>
          </cell>
          <cell r="K28">
            <v>16</v>
          </cell>
          <cell r="L28">
            <v>13.7</v>
          </cell>
          <cell r="M28">
            <v>219.2</v>
          </cell>
          <cell r="N28">
            <v>1</v>
          </cell>
          <cell r="O28">
            <v>1</v>
          </cell>
          <cell r="P28">
            <v>2</v>
          </cell>
          <cell r="Q28">
            <v>0</v>
          </cell>
          <cell r="R28">
            <v>1</v>
          </cell>
          <cell r="S28">
            <v>173.793103448276</v>
          </cell>
          <cell r="T28">
            <v>5.79310344827586</v>
          </cell>
          <cell r="U28">
            <v>54</v>
          </cell>
          <cell r="V28">
            <v>-48.2068965517241</v>
          </cell>
          <cell r="W28" t="str">
            <v>库存过高</v>
          </cell>
          <cell r="X28" t="str">
            <v>库存过高</v>
          </cell>
          <cell r="Y28">
            <v>0</v>
          </cell>
          <cell r="Z28">
            <v>0</v>
          </cell>
          <cell r="AA28">
            <v>0</v>
          </cell>
          <cell r="AB28" t="str">
            <v>-</v>
          </cell>
        </row>
        <row r="29">
          <cell r="A29" t="str">
            <v>美珠</v>
          </cell>
          <cell r="B29" t="str">
            <v>Y4022-BL+Y4026+Y4030</v>
          </cell>
          <cell r="C29" t="str">
            <v>机器人二代iPhone  14 plus 6.7+2片软膜+背夹</v>
          </cell>
        </row>
        <row r="29">
          <cell r="E29" t="str">
            <v>B0B6R7RFJ9</v>
          </cell>
          <cell r="F29">
            <v>91</v>
          </cell>
          <cell r="G29">
            <v>0</v>
          </cell>
          <cell r="H29">
            <v>102</v>
          </cell>
          <cell r="I29">
            <v>15</v>
          </cell>
          <cell r="J29">
            <v>0</v>
          </cell>
          <cell r="K29">
            <v>208</v>
          </cell>
          <cell r="L29">
            <v>13.7</v>
          </cell>
          <cell r="M29">
            <v>2849.6</v>
          </cell>
          <cell r="N29">
            <v>12</v>
          </cell>
          <cell r="O29">
            <v>56</v>
          </cell>
          <cell r="P29">
            <v>110</v>
          </cell>
          <cell r="Q29">
            <v>32</v>
          </cell>
          <cell r="R29">
            <v>-20</v>
          </cell>
          <cell r="S29">
            <v>68.4639498432602</v>
          </cell>
          <cell r="T29">
            <v>2.28213166144201</v>
          </cell>
          <cell r="U29">
            <v>0.777434993389158</v>
          </cell>
          <cell r="V29">
            <v>1.50469666805285</v>
          </cell>
          <cell r="W29" t="str">
            <v>库存过高</v>
          </cell>
          <cell r="X29" t="str">
            <v>库存过高</v>
          </cell>
          <cell r="Y29">
            <v>11.83</v>
          </cell>
          <cell r="Z29">
            <v>18.27</v>
          </cell>
          <cell r="AA29">
            <v>38.41</v>
          </cell>
          <cell r="AB29">
            <v>0.236789431545236</v>
          </cell>
        </row>
        <row r="30">
          <cell r="A30" t="str">
            <v>美珠</v>
          </cell>
          <cell r="B30" t="str">
            <v>Y4022-DB+Y4026+Y4030</v>
          </cell>
          <cell r="C30" t="str">
            <v>机器人二代iPhone  14 plus 6.7+2片软膜+背夹</v>
          </cell>
        </row>
        <row r="30">
          <cell r="E30" t="str">
            <v>B0B6R6J4RR</v>
          </cell>
          <cell r="F30">
            <v>129</v>
          </cell>
          <cell r="G30">
            <v>0</v>
          </cell>
          <cell r="H30">
            <v>45</v>
          </cell>
          <cell r="I30">
            <v>11</v>
          </cell>
          <cell r="J30">
            <v>0</v>
          </cell>
          <cell r="K30">
            <v>185</v>
          </cell>
          <cell r="L30">
            <v>13.7</v>
          </cell>
          <cell r="M30">
            <v>2534.5</v>
          </cell>
          <cell r="N30">
            <v>10</v>
          </cell>
          <cell r="O30">
            <v>22</v>
          </cell>
          <cell r="P30">
            <v>45</v>
          </cell>
          <cell r="Q30">
            <v>10</v>
          </cell>
          <cell r="R30">
            <v>0</v>
          </cell>
          <cell r="S30">
            <v>126.273022751896</v>
          </cell>
          <cell r="T30">
            <v>4.20910075839653</v>
          </cell>
          <cell r="U30">
            <v>3.64361078546307</v>
          </cell>
          <cell r="V30">
            <v>0.565489972933463</v>
          </cell>
          <cell r="W30" t="str">
            <v>库存过高</v>
          </cell>
          <cell r="X30" t="str">
            <v>库存过高</v>
          </cell>
          <cell r="Y30">
            <v>7.43</v>
          </cell>
          <cell r="Z30">
            <v>16.27</v>
          </cell>
          <cell r="AA30">
            <v>27.5</v>
          </cell>
          <cell r="AB30">
            <v>0.309841534612177</v>
          </cell>
        </row>
        <row r="31">
          <cell r="A31" t="str">
            <v>美珠</v>
          </cell>
          <cell r="B31" t="str">
            <v>Y4022-GW+Y4026+Y4030</v>
          </cell>
          <cell r="C31" t="str">
            <v>机器人二代iPhone  14 plus 6.7+2片软膜+背夹</v>
          </cell>
        </row>
        <row r="31">
          <cell r="E31" t="str">
            <v>B0B6R8X9QQ</v>
          </cell>
          <cell r="F31">
            <v>65</v>
          </cell>
          <cell r="G31">
            <v>1</v>
          </cell>
          <cell r="H31">
            <v>36</v>
          </cell>
          <cell r="I31">
            <v>2</v>
          </cell>
          <cell r="J31">
            <v>0</v>
          </cell>
          <cell r="K31">
            <v>104</v>
          </cell>
          <cell r="L31">
            <v>13.7</v>
          </cell>
          <cell r="M31">
            <v>1424.8</v>
          </cell>
          <cell r="N31">
            <v>4</v>
          </cell>
          <cell r="O31">
            <v>12</v>
          </cell>
          <cell r="P31">
            <v>26</v>
          </cell>
          <cell r="Q31">
            <v>10</v>
          </cell>
          <cell r="R31">
            <v>-6</v>
          </cell>
          <cell r="S31">
            <v>139.404255319149</v>
          </cell>
          <cell r="T31">
            <v>4.6468085106383</v>
          </cell>
          <cell r="U31">
            <v>1.29986244841816</v>
          </cell>
          <cell r="V31">
            <v>3.34694606222014</v>
          </cell>
          <cell r="W31" t="str">
            <v>库存过高</v>
          </cell>
          <cell r="X31" t="str">
            <v>库存过高</v>
          </cell>
          <cell r="Y31">
            <v>0</v>
          </cell>
          <cell r="Z31">
            <v>0</v>
          </cell>
          <cell r="AA31">
            <v>0</v>
          </cell>
          <cell r="AB31" t="str">
            <v>-</v>
          </cell>
        </row>
        <row r="32">
          <cell r="A32" t="str">
            <v>美珠</v>
          </cell>
          <cell r="B32" t="str">
            <v>Y4022-OR+Y4026+Y4030</v>
          </cell>
          <cell r="C32" t="str">
            <v>机器人二代iPhone  14 plus 6.7+2片软膜+背夹</v>
          </cell>
        </row>
        <row r="32">
          <cell r="E32" t="str">
            <v>B0B6R8HY5B</v>
          </cell>
          <cell r="F32">
            <v>54</v>
          </cell>
          <cell r="G32">
            <v>0</v>
          </cell>
          <cell r="H32">
            <v>95</v>
          </cell>
          <cell r="I32">
            <v>1</v>
          </cell>
          <cell r="J32">
            <v>0</v>
          </cell>
          <cell r="K32">
            <v>150</v>
          </cell>
          <cell r="L32">
            <v>13.7</v>
          </cell>
          <cell r="M32">
            <v>2055</v>
          </cell>
          <cell r="N32">
            <v>6</v>
          </cell>
          <cell r="O32">
            <v>16</v>
          </cell>
          <cell r="P32">
            <v>43</v>
          </cell>
          <cell r="Q32">
            <v>10</v>
          </cell>
          <cell r="R32">
            <v>-4</v>
          </cell>
          <cell r="S32">
            <v>134.042553191489</v>
          </cell>
          <cell r="T32">
            <v>4.46808510638298</v>
          </cell>
          <cell r="U32">
            <v>1.8316430020284</v>
          </cell>
          <cell r="V32">
            <v>2.63644210435458</v>
          </cell>
          <cell r="W32" t="str">
            <v>库存过高</v>
          </cell>
          <cell r="X32" t="str">
            <v>库存过高</v>
          </cell>
          <cell r="Y32">
            <v>22.53</v>
          </cell>
          <cell r="Z32">
            <v>42.56</v>
          </cell>
          <cell r="AA32">
            <v>105.42</v>
          </cell>
          <cell r="AB32">
            <v>2.05004549590537</v>
          </cell>
        </row>
        <row r="33">
          <cell r="A33" t="str">
            <v>美珠</v>
          </cell>
          <cell r="B33" t="str">
            <v>Y4022-WB+Y4026+Y4030</v>
          </cell>
          <cell r="C33" t="str">
            <v>机器人二代iPhone  14 plus 6.7+2片软膜+背夹</v>
          </cell>
        </row>
        <row r="33">
          <cell r="E33" t="str">
            <v>B0B6R7PB9B</v>
          </cell>
          <cell r="F33">
            <v>53</v>
          </cell>
          <cell r="G33">
            <v>0</v>
          </cell>
          <cell r="H33">
            <v>0</v>
          </cell>
          <cell r="I33">
            <v>0</v>
          </cell>
          <cell r="J33">
            <v>0</v>
          </cell>
          <cell r="K33">
            <v>53</v>
          </cell>
          <cell r="L33">
            <v>13.7</v>
          </cell>
          <cell r="M33">
            <v>726.1</v>
          </cell>
          <cell r="N33">
            <v>1</v>
          </cell>
          <cell r="O33">
            <v>7</v>
          </cell>
          <cell r="P33">
            <v>16</v>
          </cell>
          <cell r="Q33">
            <v>5</v>
          </cell>
          <cell r="R33">
            <v>-4</v>
          </cell>
          <cell r="S33">
            <v>139.125</v>
          </cell>
          <cell r="T33">
            <v>4.6375</v>
          </cell>
          <cell r="U33">
            <v>2.3578947368421</v>
          </cell>
          <cell r="V33">
            <v>2.2796052631579</v>
          </cell>
          <cell r="W33" t="str">
            <v>库存过高</v>
          </cell>
          <cell r="X33" t="str">
            <v>库存过高</v>
          </cell>
          <cell r="Y33">
            <v>13.46</v>
          </cell>
          <cell r="Z33">
            <v>28.56</v>
          </cell>
          <cell r="AA33">
            <v>70.01</v>
          </cell>
          <cell r="AB33">
            <v>0.280650542118432</v>
          </cell>
        </row>
        <row r="34">
          <cell r="A34" t="str">
            <v>美珠</v>
          </cell>
          <cell r="B34" t="str">
            <v>Y4023-BL+Y4027+Y4031</v>
          </cell>
          <cell r="C34" t="str">
            <v>机器人二代iphone 14 pro max +2片软膜+背夹</v>
          </cell>
        </row>
        <row r="34">
          <cell r="E34" t="str">
            <v>B0B6R9BHXY</v>
          </cell>
          <cell r="F34">
            <v>0</v>
          </cell>
          <cell r="G34">
            <v>1</v>
          </cell>
          <cell r="H34">
            <v>0</v>
          </cell>
          <cell r="I34">
            <v>0</v>
          </cell>
          <cell r="J34">
            <v>0</v>
          </cell>
          <cell r="K34">
            <v>1</v>
          </cell>
          <cell r="L34">
            <v>13.7</v>
          </cell>
          <cell r="M34">
            <v>13.7</v>
          </cell>
          <cell r="N34">
            <v>0</v>
          </cell>
          <cell r="O34">
            <v>0</v>
          </cell>
          <cell r="P34">
            <v>0</v>
          </cell>
          <cell r="Q34">
            <v>0</v>
          </cell>
          <cell r="R34">
            <v>0</v>
          </cell>
          <cell r="S34" t="str">
            <v>-</v>
          </cell>
          <cell r="T34" t="str">
            <v>-</v>
          </cell>
          <cell r="U34" t="str">
            <v>-</v>
          </cell>
          <cell r="V34" t="str">
            <v>-</v>
          </cell>
          <cell r="W34" t="str">
            <v>有库存无销量</v>
          </cell>
          <cell r="X34" t="str">
            <v>有库存无销量</v>
          </cell>
          <cell r="Y34">
            <v>0</v>
          </cell>
          <cell r="Z34">
            <v>0</v>
          </cell>
          <cell r="AA34">
            <v>0</v>
          </cell>
          <cell r="AB34" t="str">
            <v>-</v>
          </cell>
        </row>
        <row r="35">
          <cell r="A35" t="str">
            <v>美珠</v>
          </cell>
          <cell r="B35" t="str">
            <v>Y4023-DB+Y4027+Y4031</v>
          </cell>
          <cell r="C35" t="str">
            <v>机器人二代iphone 14 pro max +2片软膜+背夹</v>
          </cell>
        </row>
        <row r="35">
          <cell r="E35" t="str">
            <v>B0B6R9FJJ1</v>
          </cell>
          <cell r="F35">
            <v>20</v>
          </cell>
          <cell r="G35">
            <v>0</v>
          </cell>
          <cell r="H35">
            <v>7</v>
          </cell>
          <cell r="I35">
            <v>0</v>
          </cell>
          <cell r="J35">
            <v>0</v>
          </cell>
          <cell r="K35">
            <v>27</v>
          </cell>
          <cell r="L35">
            <v>13.7</v>
          </cell>
          <cell r="M35">
            <v>369.9</v>
          </cell>
          <cell r="N35">
            <v>5</v>
          </cell>
          <cell r="O35">
            <v>12</v>
          </cell>
          <cell r="P35">
            <v>45</v>
          </cell>
          <cell r="Q35">
            <v>12</v>
          </cell>
          <cell r="R35">
            <v>-7</v>
          </cell>
          <cell r="S35">
            <v>26.8720379146919</v>
          </cell>
          <cell r="T35">
            <v>0.895734597156398</v>
          </cell>
          <cell r="U35">
            <v>1.22520420070012</v>
          </cell>
          <cell r="V35">
            <v>-0.329469603543722</v>
          </cell>
          <cell r="W35" t="str">
            <v>正常</v>
          </cell>
          <cell r="X35" t="str">
            <v>正常</v>
          </cell>
          <cell r="Y35">
            <v>13.01</v>
          </cell>
          <cell r="Z35">
            <v>35.23</v>
          </cell>
          <cell r="AA35">
            <v>119.49</v>
          </cell>
          <cell r="AB35">
            <v>0.542535446205171</v>
          </cell>
        </row>
        <row r="36">
          <cell r="A36" t="str">
            <v>美珠</v>
          </cell>
          <cell r="B36" t="str">
            <v>Y4023-GW+Y4027+Y4031</v>
          </cell>
          <cell r="C36" t="str">
            <v>机器人二代iphone 14 pro max +2片软膜+背夹</v>
          </cell>
        </row>
        <row r="36">
          <cell r="E36" t="str">
            <v>B0B6R8BYZF</v>
          </cell>
          <cell r="F36">
            <v>10</v>
          </cell>
          <cell r="G36">
            <v>0</v>
          </cell>
          <cell r="H36">
            <v>0</v>
          </cell>
          <cell r="I36">
            <v>0</v>
          </cell>
          <cell r="J36">
            <v>0</v>
          </cell>
          <cell r="K36">
            <v>10</v>
          </cell>
          <cell r="L36">
            <v>13.7</v>
          </cell>
          <cell r="M36">
            <v>137</v>
          </cell>
          <cell r="N36">
            <v>1</v>
          </cell>
          <cell r="O36">
            <v>2</v>
          </cell>
          <cell r="P36">
            <v>13</v>
          </cell>
          <cell r="Q36">
            <v>3</v>
          </cell>
          <cell r="R36">
            <v>-2</v>
          </cell>
          <cell r="S36">
            <v>42.2818791946309</v>
          </cell>
          <cell r="T36">
            <v>1.40939597315436</v>
          </cell>
          <cell r="U36">
            <v>1.88340807174888</v>
          </cell>
          <cell r="V36">
            <v>-0.474012098594518</v>
          </cell>
          <cell r="W36" t="str">
            <v>库存过高</v>
          </cell>
          <cell r="X36" t="str">
            <v>正常</v>
          </cell>
          <cell r="Y36">
            <v>0</v>
          </cell>
          <cell r="Z36">
            <v>0</v>
          </cell>
          <cell r="AA36">
            <v>0</v>
          </cell>
          <cell r="AB36" t="str">
            <v>-</v>
          </cell>
        </row>
        <row r="37">
          <cell r="A37" t="str">
            <v>美珠</v>
          </cell>
          <cell r="B37" t="str">
            <v>Y4023-OR+Y4027+Y4031</v>
          </cell>
          <cell r="C37" t="str">
            <v>机器人二代iphone 14 pro max +2片软膜+背夹</v>
          </cell>
        </row>
        <row r="37">
          <cell r="E37" t="str">
            <v>B0B6R9KFC2</v>
          </cell>
          <cell r="F37">
            <v>30</v>
          </cell>
          <cell r="G37">
            <v>2</v>
          </cell>
          <cell r="H37">
            <v>1</v>
          </cell>
          <cell r="I37">
            <v>0</v>
          </cell>
          <cell r="J37">
            <v>0</v>
          </cell>
          <cell r="K37">
            <v>33</v>
          </cell>
          <cell r="L37">
            <v>13.7</v>
          </cell>
          <cell r="M37">
            <v>452.1</v>
          </cell>
          <cell r="N37">
            <v>1</v>
          </cell>
          <cell r="O37">
            <v>14</v>
          </cell>
          <cell r="P37">
            <v>30</v>
          </cell>
          <cell r="Q37">
            <v>8</v>
          </cell>
          <cell r="R37">
            <v>-7</v>
          </cell>
          <cell r="S37">
            <v>47.6834862385321</v>
          </cell>
          <cell r="T37">
            <v>1.5894495412844</v>
          </cell>
          <cell r="U37">
            <v>1.76107594936709</v>
          </cell>
          <cell r="V37">
            <v>-0.171626408082686</v>
          </cell>
          <cell r="W37" t="str">
            <v>库存过高</v>
          </cell>
          <cell r="X37" t="str">
            <v>库存过高</v>
          </cell>
          <cell r="Y37">
            <v>15.36</v>
          </cell>
          <cell r="Z37">
            <v>33.36</v>
          </cell>
          <cell r="AA37">
            <v>79.16</v>
          </cell>
          <cell r="AB37">
            <v>0.2364896073903</v>
          </cell>
        </row>
        <row r="38">
          <cell r="A38" t="str">
            <v>美珠</v>
          </cell>
          <cell r="B38" t="str">
            <v>Y4023-WB+Y4027+Y4031</v>
          </cell>
          <cell r="C38" t="str">
            <v>机器人二代iphone 14 pro max +2片软膜+背夹</v>
          </cell>
        </row>
        <row r="38">
          <cell r="E38" t="str">
            <v>B0B6RDV9LL</v>
          </cell>
          <cell r="F38">
            <v>14</v>
          </cell>
          <cell r="G38">
            <v>1</v>
          </cell>
          <cell r="H38">
            <v>9</v>
          </cell>
          <cell r="I38">
            <v>0</v>
          </cell>
          <cell r="J38">
            <v>0</v>
          </cell>
          <cell r="K38">
            <v>24</v>
          </cell>
          <cell r="L38">
            <v>13.7</v>
          </cell>
          <cell r="M38">
            <v>328.8</v>
          </cell>
          <cell r="N38">
            <v>8</v>
          </cell>
          <cell r="O38">
            <v>15</v>
          </cell>
          <cell r="P38">
            <v>26</v>
          </cell>
          <cell r="Q38">
            <v>6</v>
          </cell>
          <cell r="R38">
            <v>2</v>
          </cell>
          <cell r="S38">
            <v>23.9240506329114</v>
          </cell>
          <cell r="T38">
            <v>0.79746835443038</v>
          </cell>
          <cell r="U38">
            <v>1.24474187380497</v>
          </cell>
          <cell r="V38">
            <v>-0.44727351937459</v>
          </cell>
          <cell r="W38" t="str">
            <v>正常</v>
          </cell>
          <cell r="X38" t="str">
            <v>正常</v>
          </cell>
          <cell r="Y38">
            <v>16.3</v>
          </cell>
          <cell r="Z38">
            <v>41.06</v>
          </cell>
          <cell r="AA38">
            <v>95.46</v>
          </cell>
          <cell r="AB38">
            <v>0.291279485346676</v>
          </cell>
        </row>
        <row r="39">
          <cell r="A39" t="str">
            <v>美珠</v>
          </cell>
          <cell r="B39" t="str">
            <v>Y4039-BL+Y4042+Y4045</v>
          </cell>
          <cell r="C39" t="str">
            <v>机器人二代pixel 6a 2片软膜+背夹</v>
          </cell>
          <cell r="D39">
            <v>44790</v>
          </cell>
          <cell r="E39" t="str">
            <v>B0B8GGVJ33</v>
          </cell>
          <cell r="F39">
            <v>18</v>
          </cell>
          <cell r="G39">
            <v>0</v>
          </cell>
          <cell r="H39">
            <v>7</v>
          </cell>
          <cell r="I39">
            <v>1</v>
          </cell>
          <cell r="J39">
            <v>0</v>
          </cell>
          <cell r="K39">
            <v>26</v>
          </cell>
          <cell r="L39">
            <v>13.7</v>
          </cell>
          <cell r="M39">
            <v>356.2</v>
          </cell>
          <cell r="N39">
            <v>10</v>
          </cell>
          <cell r="O39">
            <v>15</v>
          </cell>
          <cell r="P39">
            <v>22</v>
          </cell>
          <cell r="Q39">
            <v>2</v>
          </cell>
          <cell r="R39">
            <v>8</v>
          </cell>
          <cell r="S39">
            <v>24.6686746987952</v>
          </cell>
          <cell r="T39">
            <v>0.822289156626506</v>
          </cell>
          <cell r="U39">
            <v>2.54296875</v>
          </cell>
          <cell r="V39">
            <v>-1.72067959337349</v>
          </cell>
          <cell r="W39" t="str">
            <v>正常</v>
          </cell>
          <cell r="X39" t="str">
            <v>正常</v>
          </cell>
          <cell r="Y39">
            <v>4.49</v>
          </cell>
          <cell r="Z39">
            <v>9.91</v>
          </cell>
          <cell r="AA39">
            <v>15.47</v>
          </cell>
          <cell r="AB39">
            <v>0.172825250192456</v>
          </cell>
        </row>
        <row r="40">
          <cell r="A40" t="str">
            <v>美珠</v>
          </cell>
          <cell r="B40" t="str">
            <v>Y4039-DB+Y4042+Y4045</v>
          </cell>
          <cell r="C40" t="str">
            <v>机器人二代pixel 6a 2片软膜+背夹</v>
          </cell>
          <cell r="D40">
            <v>44790</v>
          </cell>
          <cell r="E40" t="str">
            <v>B0B8G6TLSP</v>
          </cell>
          <cell r="F40">
            <v>24</v>
          </cell>
          <cell r="G40">
            <v>0</v>
          </cell>
          <cell r="H40">
            <v>3</v>
          </cell>
          <cell r="I40">
            <v>0</v>
          </cell>
          <cell r="J40">
            <v>0</v>
          </cell>
          <cell r="K40">
            <v>27</v>
          </cell>
          <cell r="L40">
            <v>13.7</v>
          </cell>
          <cell r="M40">
            <v>369.9</v>
          </cell>
          <cell r="N40">
            <v>2</v>
          </cell>
          <cell r="O40">
            <v>4</v>
          </cell>
          <cell r="P40">
            <v>6</v>
          </cell>
          <cell r="Q40">
            <v>1</v>
          </cell>
          <cell r="R40">
            <v>1</v>
          </cell>
          <cell r="S40">
            <v>107.658227848101</v>
          </cell>
          <cell r="T40">
            <v>3.58860759493671</v>
          </cell>
          <cell r="U40">
            <v>4.96774193548387</v>
          </cell>
          <cell r="V40">
            <v>-1.37913434054716</v>
          </cell>
          <cell r="W40" t="str">
            <v>库存过高</v>
          </cell>
          <cell r="X40" t="str">
            <v>库存过高</v>
          </cell>
          <cell r="Y40">
            <v>3.78</v>
          </cell>
          <cell r="Z40">
            <v>9.43</v>
          </cell>
          <cell r="AA40">
            <v>20.08</v>
          </cell>
          <cell r="AB40" t="str">
            <v>-</v>
          </cell>
        </row>
        <row r="41">
          <cell r="A41" t="str">
            <v>美珠</v>
          </cell>
          <cell r="B41" t="str">
            <v>Y4039-OR+Y4042+Y4045</v>
          </cell>
          <cell r="C41" t="str">
            <v>机器人二代pixel 6a 2片软膜+背夹</v>
          </cell>
          <cell r="D41">
            <v>44790</v>
          </cell>
          <cell r="E41" t="str">
            <v>B0B8G94B8Y</v>
          </cell>
          <cell r="F41">
            <v>46</v>
          </cell>
          <cell r="G41">
            <v>0</v>
          </cell>
          <cell r="H41">
            <v>0</v>
          </cell>
          <cell r="I41">
            <v>0</v>
          </cell>
          <cell r="J41">
            <v>0</v>
          </cell>
          <cell r="K41">
            <v>46</v>
          </cell>
          <cell r="L41">
            <v>13.7</v>
          </cell>
          <cell r="M41">
            <v>630.2</v>
          </cell>
          <cell r="N41">
            <v>4</v>
          </cell>
          <cell r="O41">
            <v>10</v>
          </cell>
          <cell r="P41">
            <v>12</v>
          </cell>
          <cell r="Q41">
            <v>1</v>
          </cell>
          <cell r="R41">
            <v>3</v>
          </cell>
          <cell r="S41">
            <v>84.2441860465116</v>
          </cell>
          <cell r="T41">
            <v>2.80813953488372</v>
          </cell>
          <cell r="U41">
            <v>10.7943925233645</v>
          </cell>
          <cell r="V41">
            <v>-7.98625298848078</v>
          </cell>
          <cell r="W41" t="str">
            <v>库存过高</v>
          </cell>
          <cell r="X41" t="str">
            <v>库存过高</v>
          </cell>
          <cell r="Y41">
            <v>2.67</v>
          </cell>
          <cell r="Z41">
            <v>6.93</v>
          </cell>
          <cell r="AA41">
            <v>15.73</v>
          </cell>
          <cell r="AB41">
            <v>0.20554272517321</v>
          </cell>
        </row>
        <row r="42">
          <cell r="A42" t="str">
            <v>美珠</v>
          </cell>
          <cell r="B42" t="str">
            <v>Y4039-WB+Y4042+Y4045</v>
          </cell>
          <cell r="C42" t="str">
            <v>机器人二代pixel 6a 2片软膜+背夹</v>
          </cell>
          <cell r="D42">
            <v>44790</v>
          </cell>
          <cell r="E42" t="str">
            <v>B0B8GS9R8G</v>
          </cell>
          <cell r="F42">
            <v>25</v>
          </cell>
          <cell r="G42">
            <v>0</v>
          </cell>
          <cell r="H42">
            <v>0</v>
          </cell>
          <cell r="I42">
            <v>0</v>
          </cell>
          <cell r="J42">
            <v>0</v>
          </cell>
          <cell r="K42">
            <v>25</v>
          </cell>
          <cell r="L42">
            <v>13.7</v>
          </cell>
          <cell r="M42">
            <v>342.5</v>
          </cell>
          <cell r="N42">
            <v>0</v>
          </cell>
          <cell r="O42">
            <v>1</v>
          </cell>
          <cell r="P42">
            <v>2</v>
          </cell>
          <cell r="Q42">
            <v>2</v>
          </cell>
          <cell r="R42">
            <v>-2</v>
          </cell>
          <cell r="S42">
            <v>562.5</v>
          </cell>
          <cell r="T42">
            <v>18.75</v>
          </cell>
          <cell r="U42">
            <v>4.26829268292683</v>
          </cell>
          <cell r="V42">
            <v>14.4817073170732</v>
          </cell>
          <cell r="W42" t="str">
            <v>有库存无销量</v>
          </cell>
          <cell r="X42" t="str">
            <v>库存过高</v>
          </cell>
          <cell r="Y42">
            <v>0</v>
          </cell>
          <cell r="Z42">
            <v>0</v>
          </cell>
          <cell r="AA42">
            <v>0</v>
          </cell>
          <cell r="AB42" t="str">
            <v>-</v>
          </cell>
        </row>
        <row r="43">
          <cell r="A43" t="str">
            <v>美珠</v>
          </cell>
          <cell r="B43" t="str">
            <v>Y4032-DB</v>
          </cell>
          <cell r="C43" t="str">
            <v>腕带Z Flip 4</v>
          </cell>
          <cell r="D43">
            <v>44795</v>
          </cell>
          <cell r="E43" t="str">
            <v>B0B91ZFNTG</v>
          </cell>
          <cell r="F43">
            <v>1</v>
          </cell>
          <cell r="G43">
            <v>0</v>
          </cell>
          <cell r="H43">
            <v>0</v>
          </cell>
          <cell r="I43">
            <v>0</v>
          </cell>
          <cell r="J43">
            <v>0</v>
          </cell>
          <cell r="K43">
            <v>1</v>
          </cell>
          <cell r="L43">
            <v>9</v>
          </cell>
          <cell r="M43">
            <v>9</v>
          </cell>
          <cell r="N43">
            <v>2</v>
          </cell>
          <cell r="O43">
            <v>4</v>
          </cell>
          <cell r="P43">
            <v>6</v>
          </cell>
          <cell r="Q43">
            <v>1</v>
          </cell>
          <cell r="R43">
            <v>1</v>
          </cell>
          <cell r="S43">
            <v>3.9873417721519</v>
          </cell>
          <cell r="T43">
            <v>0.132911392405063</v>
          </cell>
          <cell r="U43">
            <v>1.26</v>
          </cell>
          <cell r="V43">
            <v>-1.12708860759494</v>
          </cell>
          <cell r="W43" t="str">
            <v>库存过低</v>
          </cell>
          <cell r="X43" t="str">
            <v>库存过低</v>
          </cell>
          <cell r="Y43">
            <v>3.34</v>
          </cell>
          <cell r="Z43">
            <v>7.93</v>
          </cell>
          <cell r="AA43">
            <v>16.01</v>
          </cell>
          <cell r="AB43">
            <v>0.128560431100847</v>
          </cell>
        </row>
        <row r="44">
          <cell r="A44" t="str">
            <v>美珠</v>
          </cell>
          <cell r="B44" t="str">
            <v>Y4033-DG</v>
          </cell>
          <cell r="C44" t="str">
            <v>指环Z Flip 4</v>
          </cell>
          <cell r="D44">
            <v>44795</v>
          </cell>
          <cell r="E44" t="str">
            <v>B0B92WBXRV</v>
          </cell>
          <cell r="F44">
            <v>26</v>
          </cell>
          <cell r="G44">
            <v>1</v>
          </cell>
          <cell r="H44">
            <v>1</v>
          </cell>
          <cell r="I44">
            <v>0</v>
          </cell>
          <cell r="J44">
            <v>0</v>
          </cell>
          <cell r="K44">
            <v>28</v>
          </cell>
          <cell r="L44">
            <v>9.8</v>
          </cell>
          <cell r="M44">
            <v>274.4</v>
          </cell>
          <cell r="N44">
            <v>0</v>
          </cell>
          <cell r="O44">
            <v>0</v>
          </cell>
          <cell r="P44">
            <v>1</v>
          </cell>
          <cell r="Q44">
            <v>1</v>
          </cell>
          <cell r="R44">
            <v>-1</v>
          </cell>
          <cell r="S44">
            <v>2520</v>
          </cell>
          <cell r="T44">
            <v>84</v>
          </cell>
          <cell r="U44">
            <v>8.4</v>
          </cell>
          <cell r="V44">
            <v>75.6</v>
          </cell>
          <cell r="W44" t="str">
            <v>有库存无销量</v>
          </cell>
          <cell r="X44" t="str">
            <v>库存过高</v>
          </cell>
          <cell r="Y44">
            <v>0</v>
          </cell>
          <cell r="Z44">
            <v>0.25</v>
          </cell>
          <cell r="AA44">
            <v>1.48</v>
          </cell>
          <cell r="AB44" t="str">
            <v>-</v>
          </cell>
        </row>
        <row r="45">
          <cell r="A45" t="str">
            <v>美珠</v>
          </cell>
          <cell r="B45" t="str">
            <v>Y4033-LP</v>
          </cell>
          <cell r="C45" t="str">
            <v>指环Z Flip 4</v>
          </cell>
          <cell r="D45">
            <v>44795</v>
          </cell>
          <cell r="E45" t="str">
            <v>B0B92R227C</v>
          </cell>
          <cell r="F45">
            <v>19</v>
          </cell>
          <cell r="G45">
            <v>0</v>
          </cell>
          <cell r="H45">
            <v>0</v>
          </cell>
          <cell r="I45">
            <v>0</v>
          </cell>
          <cell r="J45">
            <v>0</v>
          </cell>
          <cell r="K45">
            <v>19</v>
          </cell>
          <cell r="L45">
            <v>9.8</v>
          </cell>
          <cell r="M45">
            <v>186.2</v>
          </cell>
          <cell r="N45">
            <v>0</v>
          </cell>
          <cell r="O45">
            <v>0</v>
          </cell>
          <cell r="P45">
            <v>0</v>
          </cell>
          <cell r="Q45">
            <v>0</v>
          </cell>
          <cell r="R45">
            <v>0</v>
          </cell>
          <cell r="S45" t="str">
            <v>-</v>
          </cell>
          <cell r="T45" t="str">
            <v>-</v>
          </cell>
          <cell r="U45">
            <v>57</v>
          </cell>
          <cell r="V45" t="str">
            <v>-</v>
          </cell>
          <cell r="W45" t="str">
            <v>有库存无销量</v>
          </cell>
          <cell r="X45" t="str">
            <v>有库存无销量</v>
          </cell>
          <cell r="Y45">
            <v>0.19</v>
          </cell>
          <cell r="Z45">
            <v>1.52</v>
          </cell>
          <cell r="AA45">
            <v>2.95</v>
          </cell>
          <cell r="AB45" t="str">
            <v>-</v>
          </cell>
        </row>
        <row r="46">
          <cell r="A46" t="str">
            <v>美珠</v>
          </cell>
          <cell r="B46" t="str">
            <v>Y4033-OR</v>
          </cell>
          <cell r="C46" t="str">
            <v>指环Z Flip 4</v>
          </cell>
          <cell r="D46">
            <v>44795</v>
          </cell>
          <cell r="E46" t="str">
            <v>B0B922FH6G</v>
          </cell>
          <cell r="F46">
            <v>10</v>
          </cell>
          <cell r="G46">
            <v>0</v>
          </cell>
          <cell r="H46">
            <v>0</v>
          </cell>
          <cell r="I46">
            <v>0</v>
          </cell>
          <cell r="J46">
            <v>0</v>
          </cell>
          <cell r="K46">
            <v>10</v>
          </cell>
          <cell r="L46">
            <v>9.8</v>
          </cell>
          <cell r="M46">
            <v>98</v>
          </cell>
          <cell r="N46">
            <v>0</v>
          </cell>
          <cell r="O46">
            <v>3</v>
          </cell>
          <cell r="P46">
            <v>3</v>
          </cell>
          <cell r="Q46">
            <v>0</v>
          </cell>
          <cell r="R46">
            <v>0</v>
          </cell>
          <cell r="S46">
            <v>100</v>
          </cell>
          <cell r="T46">
            <v>3.33333333333333</v>
          </cell>
          <cell r="U46" t="str">
            <v>-</v>
          </cell>
          <cell r="V46" t="str">
            <v>-</v>
          </cell>
          <cell r="W46" t="str">
            <v>有库存无销量</v>
          </cell>
          <cell r="X46" t="str">
            <v>库存过高</v>
          </cell>
          <cell r="Y46">
            <v>0.4</v>
          </cell>
          <cell r="Z46">
            <v>0.98</v>
          </cell>
          <cell r="AA46">
            <v>1.83</v>
          </cell>
          <cell r="AB46" t="str">
            <v>-</v>
          </cell>
        </row>
        <row r="47">
          <cell r="A47" t="str">
            <v>美珠</v>
          </cell>
          <cell r="B47" t="str">
            <v>Y4035-GR</v>
          </cell>
          <cell r="C47" t="str">
            <v>铰链荔枝纹 Samsung Galaxy Z Flip 4</v>
          </cell>
          <cell r="D47">
            <v>44795</v>
          </cell>
          <cell r="E47" t="str">
            <v>B0B99DJ5HD</v>
          </cell>
          <cell r="F47">
            <v>43</v>
          </cell>
          <cell r="G47">
            <v>0</v>
          </cell>
          <cell r="H47">
            <v>0</v>
          </cell>
          <cell r="I47">
            <v>1</v>
          </cell>
          <cell r="J47">
            <v>0</v>
          </cell>
          <cell r="K47">
            <v>44</v>
          </cell>
          <cell r="L47">
            <v>30</v>
          </cell>
          <cell r="M47">
            <v>1320</v>
          </cell>
          <cell r="N47">
            <v>0</v>
          </cell>
          <cell r="O47">
            <v>0</v>
          </cell>
          <cell r="P47">
            <v>0</v>
          </cell>
          <cell r="Q47">
            <v>0</v>
          </cell>
          <cell r="R47">
            <v>0</v>
          </cell>
          <cell r="S47" t="str">
            <v>-</v>
          </cell>
          <cell r="T47" t="str">
            <v>-</v>
          </cell>
          <cell r="U47" t="str">
            <v>-</v>
          </cell>
          <cell r="V47" t="str">
            <v>-</v>
          </cell>
          <cell r="W47" t="str">
            <v>有库存无销量</v>
          </cell>
          <cell r="X47" t="str">
            <v>有库存无销量</v>
          </cell>
          <cell r="Y47">
            <v>2.24</v>
          </cell>
          <cell r="Z47">
            <v>4.2</v>
          </cell>
          <cell r="AA47">
            <v>7.28</v>
          </cell>
          <cell r="AB47" t="str">
            <v>-</v>
          </cell>
        </row>
        <row r="48">
          <cell r="A48" t="str">
            <v>美珠</v>
          </cell>
          <cell r="B48" t="str">
            <v>Y4035-PU</v>
          </cell>
          <cell r="C48" t="str">
            <v>铰链荔枝纹 Samsung Galaxy Z Flip 4</v>
          </cell>
          <cell r="D48">
            <v>44795</v>
          </cell>
          <cell r="E48" t="str">
            <v>B0B99KZD25</v>
          </cell>
          <cell r="F48">
            <v>38</v>
          </cell>
          <cell r="G48">
            <v>0</v>
          </cell>
          <cell r="H48">
            <v>0</v>
          </cell>
          <cell r="I48">
            <v>0</v>
          </cell>
          <cell r="J48">
            <v>0</v>
          </cell>
          <cell r="K48">
            <v>38</v>
          </cell>
          <cell r="L48">
            <v>30</v>
          </cell>
          <cell r="M48">
            <v>1140</v>
          </cell>
          <cell r="N48">
            <v>0</v>
          </cell>
          <cell r="O48">
            <v>0</v>
          </cell>
          <cell r="P48">
            <v>1</v>
          </cell>
          <cell r="Q48">
            <v>1</v>
          </cell>
          <cell r="R48">
            <v>-1</v>
          </cell>
          <cell r="S48">
            <v>3420</v>
          </cell>
          <cell r="T48">
            <v>114</v>
          </cell>
          <cell r="U48">
            <v>11.375</v>
          </cell>
          <cell r="V48">
            <v>102.625</v>
          </cell>
          <cell r="W48" t="str">
            <v>有库存无销量</v>
          </cell>
          <cell r="X48" t="str">
            <v>库存过高</v>
          </cell>
          <cell r="Y48">
            <v>0</v>
          </cell>
          <cell r="Z48">
            <v>0</v>
          </cell>
          <cell r="AA48">
            <v>0.68</v>
          </cell>
          <cell r="AB48" t="str">
            <v>-</v>
          </cell>
        </row>
        <row r="49">
          <cell r="A49" t="str">
            <v>美珠</v>
          </cell>
          <cell r="B49" t="str">
            <v>Y4035-WHB</v>
          </cell>
          <cell r="C49" t="str">
            <v>铰链荔枝纹 Samsung Galaxy Z Flip 4</v>
          </cell>
          <cell r="D49">
            <v>44795</v>
          </cell>
          <cell r="E49" t="str">
            <v>B0B992KXS5</v>
          </cell>
          <cell r="F49">
            <v>41</v>
          </cell>
          <cell r="G49">
            <v>0</v>
          </cell>
          <cell r="H49">
            <v>0</v>
          </cell>
          <cell r="I49">
            <v>0</v>
          </cell>
          <cell r="J49">
            <v>0</v>
          </cell>
          <cell r="K49">
            <v>41</v>
          </cell>
          <cell r="L49">
            <v>30</v>
          </cell>
          <cell r="M49">
            <v>1230</v>
          </cell>
          <cell r="N49">
            <v>0</v>
          </cell>
          <cell r="O49">
            <v>0</v>
          </cell>
          <cell r="P49">
            <v>0</v>
          </cell>
          <cell r="Q49">
            <v>0</v>
          </cell>
          <cell r="R49">
            <v>0</v>
          </cell>
          <cell r="S49" t="str">
            <v>-</v>
          </cell>
          <cell r="T49" t="str">
            <v>-</v>
          </cell>
          <cell r="U49">
            <v>41</v>
          </cell>
          <cell r="V49" t="str">
            <v>-</v>
          </cell>
          <cell r="W49" t="str">
            <v>有库存无销量</v>
          </cell>
          <cell r="X49" t="str">
            <v>有库存无销量</v>
          </cell>
          <cell r="Y49">
            <v>0</v>
          </cell>
          <cell r="Z49">
            <v>0.37</v>
          </cell>
          <cell r="AA49">
            <v>0.73</v>
          </cell>
          <cell r="AB49" t="str">
            <v>-</v>
          </cell>
        </row>
        <row r="50">
          <cell r="A50" t="str">
            <v>美珠</v>
          </cell>
          <cell r="B50" t="str">
            <v>Y4037-BL</v>
          </cell>
          <cell r="C50" t="str">
            <v>荔枝纹插笔支架Z Flod 4</v>
          </cell>
          <cell r="D50">
            <v>44796</v>
          </cell>
          <cell r="E50" t="str">
            <v>B0B98WSMJL</v>
          </cell>
          <cell r="F50">
            <v>22</v>
          </cell>
          <cell r="G50">
            <v>0</v>
          </cell>
          <cell r="H50">
            <v>0</v>
          </cell>
          <cell r="I50">
            <v>0</v>
          </cell>
          <cell r="J50">
            <v>0</v>
          </cell>
          <cell r="K50">
            <v>22</v>
          </cell>
          <cell r="L50">
            <v>23</v>
          </cell>
          <cell r="M50">
            <v>506</v>
          </cell>
          <cell r="N50">
            <v>0</v>
          </cell>
          <cell r="O50">
            <v>0</v>
          </cell>
          <cell r="P50">
            <v>2</v>
          </cell>
          <cell r="Q50">
            <v>1</v>
          </cell>
          <cell r="R50">
            <v>-1</v>
          </cell>
          <cell r="S50">
            <v>990</v>
          </cell>
          <cell r="T50">
            <v>33</v>
          </cell>
          <cell r="U50">
            <v>8.32758620689655</v>
          </cell>
          <cell r="V50">
            <v>24.6724137931035</v>
          </cell>
          <cell r="W50" t="str">
            <v>有库存无销量</v>
          </cell>
          <cell r="X50" t="str">
            <v>库存过高</v>
          </cell>
          <cell r="Y50">
            <v>0.41</v>
          </cell>
          <cell r="Z50">
            <v>1.03</v>
          </cell>
          <cell r="AA50">
            <v>2.06</v>
          </cell>
          <cell r="AB50" t="str">
            <v>-</v>
          </cell>
        </row>
        <row r="51">
          <cell r="A51" t="str">
            <v>美珠</v>
          </cell>
          <cell r="B51" t="str">
            <v>Y4037-GO</v>
          </cell>
          <cell r="C51" t="str">
            <v>荔枝纹插笔支架Z Flod 4</v>
          </cell>
          <cell r="D51">
            <v>44796</v>
          </cell>
          <cell r="E51" t="str">
            <v>B0B98WSY9Z</v>
          </cell>
          <cell r="F51">
            <v>21</v>
          </cell>
          <cell r="G51">
            <v>0</v>
          </cell>
          <cell r="H51">
            <v>0</v>
          </cell>
          <cell r="I51">
            <v>0</v>
          </cell>
          <cell r="J51">
            <v>0</v>
          </cell>
          <cell r="K51">
            <v>21</v>
          </cell>
          <cell r="L51">
            <v>23</v>
          </cell>
          <cell r="M51">
            <v>483</v>
          </cell>
          <cell r="N51">
            <v>1</v>
          </cell>
          <cell r="O51">
            <v>1</v>
          </cell>
          <cell r="P51">
            <v>1</v>
          </cell>
          <cell r="Q51">
            <v>0</v>
          </cell>
          <cell r="R51">
            <v>1</v>
          </cell>
          <cell r="S51">
            <v>259.411764705882</v>
          </cell>
          <cell r="T51">
            <v>8.64705882352941</v>
          </cell>
          <cell r="U51" t="str">
            <v>-</v>
          </cell>
          <cell r="V51" t="str">
            <v>-</v>
          </cell>
          <cell r="W51" t="str">
            <v>库存过高</v>
          </cell>
          <cell r="X51" t="str">
            <v>库存过高</v>
          </cell>
          <cell r="Y51">
            <v>0</v>
          </cell>
          <cell r="Z51">
            <v>0</v>
          </cell>
          <cell r="AA51">
            <v>0</v>
          </cell>
          <cell r="AB51" t="str">
            <v>-</v>
          </cell>
        </row>
        <row r="52">
          <cell r="A52" t="str">
            <v>美珠</v>
          </cell>
          <cell r="B52" t="str">
            <v>Y4037-GR</v>
          </cell>
          <cell r="C52" t="str">
            <v>荔枝纹插笔支架Z Flod 4</v>
          </cell>
          <cell r="D52">
            <v>44796</v>
          </cell>
          <cell r="E52" t="str">
            <v>B0B993ZVJ8</v>
          </cell>
          <cell r="F52">
            <v>30</v>
          </cell>
          <cell r="G52">
            <v>0</v>
          </cell>
          <cell r="H52">
            <v>0</v>
          </cell>
          <cell r="I52">
            <v>0</v>
          </cell>
          <cell r="J52">
            <v>0</v>
          </cell>
          <cell r="K52">
            <v>30</v>
          </cell>
          <cell r="L52">
            <v>23</v>
          </cell>
          <cell r="M52">
            <v>690</v>
          </cell>
          <cell r="N52">
            <v>0</v>
          </cell>
          <cell r="O52">
            <v>1</v>
          </cell>
          <cell r="P52">
            <v>1</v>
          </cell>
          <cell r="Q52">
            <v>0</v>
          </cell>
          <cell r="R52">
            <v>0</v>
          </cell>
          <cell r="S52">
            <v>900</v>
          </cell>
          <cell r="T52">
            <v>30</v>
          </cell>
          <cell r="U52">
            <v>93</v>
          </cell>
          <cell r="V52">
            <v>-63</v>
          </cell>
          <cell r="W52" t="str">
            <v>有库存无销量</v>
          </cell>
          <cell r="X52" t="str">
            <v>库存过高</v>
          </cell>
          <cell r="Y52">
            <v>0</v>
          </cell>
          <cell r="Z52">
            <v>0.41</v>
          </cell>
          <cell r="AA52">
            <v>0.41</v>
          </cell>
          <cell r="AB52" t="str">
            <v>-</v>
          </cell>
        </row>
        <row r="53">
          <cell r="A53" t="str">
            <v>美珠</v>
          </cell>
          <cell r="B53" t="str">
            <v>Y4036-BL</v>
          </cell>
          <cell r="C53" t="str">
            <v>横纹机器人Z Flip 4</v>
          </cell>
          <cell r="D53">
            <v>44796</v>
          </cell>
          <cell r="E53" t="str">
            <v>B0B9J5R1DB</v>
          </cell>
          <cell r="F53">
            <v>27</v>
          </cell>
          <cell r="G53">
            <v>0</v>
          </cell>
          <cell r="H53">
            <v>0</v>
          </cell>
          <cell r="I53">
            <v>0</v>
          </cell>
          <cell r="J53">
            <v>0</v>
          </cell>
          <cell r="K53">
            <v>27</v>
          </cell>
          <cell r="L53">
            <v>10</v>
          </cell>
          <cell r="M53">
            <v>270</v>
          </cell>
          <cell r="N53">
            <v>1</v>
          </cell>
          <cell r="O53">
            <v>2</v>
          </cell>
          <cell r="P53">
            <v>3</v>
          </cell>
          <cell r="Q53">
            <v>1</v>
          </cell>
          <cell r="R53">
            <v>0</v>
          </cell>
          <cell r="S53">
            <v>215.316455696203</v>
          </cell>
          <cell r="T53">
            <v>7.17721518987342</v>
          </cell>
          <cell r="U53">
            <v>10.5</v>
          </cell>
          <cell r="V53">
            <v>-3.32278481012658</v>
          </cell>
          <cell r="W53" t="str">
            <v>库存过高</v>
          </cell>
          <cell r="X53" t="str">
            <v>库存过高</v>
          </cell>
          <cell r="Y53">
            <v>0.72</v>
          </cell>
          <cell r="Z53">
            <v>1.77</v>
          </cell>
          <cell r="AA53">
            <v>2.85</v>
          </cell>
          <cell r="AB53" t="str">
            <v>-</v>
          </cell>
        </row>
        <row r="54">
          <cell r="A54" t="str">
            <v>美珠</v>
          </cell>
          <cell r="B54" t="str">
            <v>Y4036-DB</v>
          </cell>
          <cell r="C54" t="str">
            <v>横纹机器人Z Flip 4</v>
          </cell>
          <cell r="D54">
            <v>44796</v>
          </cell>
          <cell r="E54" t="str">
            <v>B0B9J8724K</v>
          </cell>
          <cell r="F54">
            <v>34</v>
          </cell>
          <cell r="G54">
            <v>0</v>
          </cell>
          <cell r="H54">
            <v>0</v>
          </cell>
          <cell r="I54">
            <v>0</v>
          </cell>
          <cell r="J54">
            <v>0</v>
          </cell>
          <cell r="K54">
            <v>34</v>
          </cell>
          <cell r="L54">
            <v>10</v>
          </cell>
          <cell r="M54">
            <v>340</v>
          </cell>
          <cell r="N54">
            <v>0</v>
          </cell>
          <cell r="O54">
            <v>1</v>
          </cell>
          <cell r="P54">
            <v>1</v>
          </cell>
          <cell r="Q54">
            <v>0</v>
          </cell>
          <cell r="R54">
            <v>0</v>
          </cell>
          <cell r="S54">
            <v>1020</v>
          </cell>
          <cell r="T54">
            <v>34</v>
          </cell>
          <cell r="U54" t="str">
            <v>-</v>
          </cell>
          <cell r="V54" t="str">
            <v>-</v>
          </cell>
          <cell r="W54" t="str">
            <v>有库存无销量</v>
          </cell>
          <cell r="X54" t="str">
            <v>库存过高</v>
          </cell>
          <cell r="Y54">
            <v>3.96</v>
          </cell>
          <cell r="Z54">
            <v>7.08</v>
          </cell>
          <cell r="AA54">
            <v>12.83</v>
          </cell>
          <cell r="AB54">
            <v>0.304849884526559</v>
          </cell>
        </row>
        <row r="55">
          <cell r="A55" t="str">
            <v>美珠</v>
          </cell>
          <cell r="B55" t="str">
            <v>Y4036-OR</v>
          </cell>
          <cell r="C55" t="str">
            <v>横纹机器人Z Flip 4</v>
          </cell>
          <cell r="D55">
            <v>44796</v>
          </cell>
          <cell r="E55" t="str">
            <v>B0B9J72ZT4</v>
          </cell>
          <cell r="F55">
            <v>12</v>
          </cell>
          <cell r="G55">
            <v>0</v>
          </cell>
          <cell r="H55">
            <v>0</v>
          </cell>
          <cell r="I55">
            <v>0</v>
          </cell>
          <cell r="J55">
            <v>0</v>
          </cell>
          <cell r="K55">
            <v>12</v>
          </cell>
          <cell r="L55">
            <v>10</v>
          </cell>
          <cell r="M55">
            <v>120</v>
          </cell>
          <cell r="N55">
            <v>0</v>
          </cell>
          <cell r="O55">
            <v>0</v>
          </cell>
          <cell r="P55">
            <v>0</v>
          </cell>
          <cell r="Q55">
            <v>0</v>
          </cell>
          <cell r="R55">
            <v>0</v>
          </cell>
          <cell r="S55" t="str">
            <v>-</v>
          </cell>
          <cell r="T55" t="str">
            <v>-</v>
          </cell>
          <cell r="U55" t="str">
            <v>-</v>
          </cell>
          <cell r="V55" t="str">
            <v>-</v>
          </cell>
          <cell r="W55" t="str">
            <v>有库存无销量</v>
          </cell>
          <cell r="X55" t="str">
            <v>有库存无销量</v>
          </cell>
          <cell r="Y55">
            <v>5.34</v>
          </cell>
          <cell r="Z55">
            <v>11.46</v>
          </cell>
          <cell r="AA55">
            <v>16.74</v>
          </cell>
          <cell r="AB55" t="str">
            <v>-</v>
          </cell>
        </row>
        <row r="56">
          <cell r="A56" t="str">
            <v>美珠</v>
          </cell>
          <cell r="B56" t="str">
            <v>Y4020-WI+Y4024+Y4028</v>
          </cell>
          <cell r="C56" t="str">
            <v>机器人二代iPhone 14+2片软膜+背夹</v>
          </cell>
          <cell r="D56">
            <v>44797</v>
          </cell>
          <cell r="E56" t="str">
            <v>B0B9MZT1CV</v>
          </cell>
          <cell r="F56">
            <v>26</v>
          </cell>
          <cell r="G56">
            <v>0</v>
          </cell>
          <cell r="H56">
            <v>0</v>
          </cell>
          <cell r="I56">
            <v>0</v>
          </cell>
          <cell r="J56">
            <v>0</v>
          </cell>
          <cell r="K56">
            <v>26</v>
          </cell>
          <cell r="L56">
            <v>13.7</v>
          </cell>
          <cell r="M56">
            <v>356.2</v>
          </cell>
          <cell r="N56">
            <v>0</v>
          </cell>
          <cell r="O56">
            <v>0</v>
          </cell>
          <cell r="P56">
            <v>1</v>
          </cell>
          <cell r="Q56">
            <v>0</v>
          </cell>
          <cell r="R56">
            <v>0</v>
          </cell>
          <cell r="S56">
            <v>2340</v>
          </cell>
          <cell r="T56">
            <v>78</v>
          </cell>
          <cell r="U56">
            <v>13.5</v>
          </cell>
          <cell r="V56">
            <v>64.5</v>
          </cell>
          <cell r="W56" t="str">
            <v>有库存无销量</v>
          </cell>
          <cell r="X56" t="str">
            <v>库存过高</v>
          </cell>
          <cell r="Y56">
            <v>0</v>
          </cell>
          <cell r="Z56">
            <v>0.69</v>
          </cell>
          <cell r="AA56">
            <v>0.99</v>
          </cell>
          <cell r="AB56" t="str">
            <v>-</v>
          </cell>
        </row>
        <row r="57">
          <cell r="A57" t="str">
            <v>美珠</v>
          </cell>
          <cell r="B57" t="str">
            <v>Y4021-WI+Y4025+Y4029</v>
          </cell>
          <cell r="C57" t="str">
            <v>机器人二代iPhone 14 Pro+2片软膜+背夹</v>
          </cell>
          <cell r="D57">
            <v>44797</v>
          </cell>
          <cell r="E57" t="str">
            <v>B0B9MZRDVL</v>
          </cell>
          <cell r="F57">
            <v>32</v>
          </cell>
          <cell r="G57">
            <v>0</v>
          </cell>
          <cell r="H57">
            <v>0</v>
          </cell>
          <cell r="I57">
            <v>0</v>
          </cell>
          <cell r="J57">
            <v>0</v>
          </cell>
          <cell r="K57">
            <v>32</v>
          </cell>
          <cell r="L57">
            <v>13.7</v>
          </cell>
          <cell r="M57">
            <v>438.4</v>
          </cell>
          <cell r="N57">
            <v>1</v>
          </cell>
          <cell r="O57">
            <v>1</v>
          </cell>
          <cell r="P57">
            <v>1</v>
          </cell>
          <cell r="Q57">
            <v>0</v>
          </cell>
          <cell r="R57">
            <v>1</v>
          </cell>
          <cell r="S57">
            <v>395.294117647059</v>
          </cell>
          <cell r="T57">
            <v>13.1764705882353</v>
          </cell>
          <cell r="U57" t="str">
            <v>-</v>
          </cell>
          <cell r="V57" t="str">
            <v>-</v>
          </cell>
          <cell r="W57" t="str">
            <v>库存过高</v>
          </cell>
          <cell r="X57" t="str">
            <v>库存过高</v>
          </cell>
          <cell r="Y57">
            <v>0</v>
          </cell>
          <cell r="Z57">
            <v>0</v>
          </cell>
          <cell r="AA57">
            <v>0</v>
          </cell>
          <cell r="AB57" t="str">
            <v>-</v>
          </cell>
        </row>
        <row r="58">
          <cell r="A58" t="str">
            <v>美珠</v>
          </cell>
          <cell r="B58" t="str">
            <v>Y4022-WI+Y4026+Y4030</v>
          </cell>
          <cell r="C58" t="str">
            <v>机器人二代iPhone  14 plus 6.7+2片软膜+背夹</v>
          </cell>
          <cell r="D58">
            <v>44797</v>
          </cell>
          <cell r="E58" t="str">
            <v>B0B9MY7586</v>
          </cell>
          <cell r="F58">
            <v>44</v>
          </cell>
          <cell r="G58">
            <v>0</v>
          </cell>
          <cell r="H58">
            <v>0</v>
          </cell>
          <cell r="I58">
            <v>40</v>
          </cell>
          <cell r="J58">
            <v>0</v>
          </cell>
          <cell r="K58">
            <v>84</v>
          </cell>
          <cell r="L58">
            <v>13.7</v>
          </cell>
          <cell r="M58">
            <v>1150.8</v>
          </cell>
          <cell r="N58">
            <v>4</v>
          </cell>
          <cell r="O58">
            <v>9</v>
          </cell>
          <cell r="P58">
            <v>19</v>
          </cell>
          <cell r="Q58">
            <v>3</v>
          </cell>
          <cell r="R58">
            <v>1</v>
          </cell>
          <cell r="S58">
            <v>139.630606860158</v>
          </cell>
          <cell r="T58">
            <v>4.65435356200528</v>
          </cell>
          <cell r="U58">
            <v>4.90573770491803</v>
          </cell>
          <cell r="V58">
            <v>-0.251384142912753</v>
          </cell>
          <cell r="W58" t="str">
            <v>库存过高</v>
          </cell>
          <cell r="X58" t="str">
            <v>库存过高</v>
          </cell>
          <cell r="Y58">
            <v>0</v>
          </cell>
          <cell r="Z58">
            <v>0</v>
          </cell>
          <cell r="AA58">
            <v>0</v>
          </cell>
          <cell r="AB58" t="str">
            <v>-</v>
          </cell>
        </row>
        <row r="59">
          <cell r="A59" t="str">
            <v>美珠</v>
          </cell>
          <cell r="B59" t="str">
            <v>Y4023-WI+Y4027+Y4031</v>
          </cell>
          <cell r="C59" t="str">
            <v>机器人二代iPhone 14 Pro Max+2片软膜+背夹</v>
          </cell>
          <cell r="D59">
            <v>44797</v>
          </cell>
          <cell r="E59" t="str">
            <v>B0B9MXFZKN</v>
          </cell>
          <cell r="F59">
            <v>22</v>
          </cell>
          <cell r="G59">
            <v>1</v>
          </cell>
          <cell r="H59">
            <v>0</v>
          </cell>
          <cell r="I59">
            <v>0</v>
          </cell>
          <cell r="J59">
            <v>0</v>
          </cell>
          <cell r="K59">
            <v>23</v>
          </cell>
          <cell r="L59">
            <v>13.7</v>
          </cell>
          <cell r="M59">
            <v>315.1</v>
          </cell>
          <cell r="N59">
            <v>3</v>
          </cell>
          <cell r="O59">
            <v>9</v>
          </cell>
          <cell r="P59">
            <v>16</v>
          </cell>
          <cell r="Q59">
            <v>5</v>
          </cell>
          <cell r="R59">
            <v>-2</v>
          </cell>
          <cell r="S59">
            <v>44.1768292682927</v>
          </cell>
          <cell r="T59">
            <v>1.47256097560976</v>
          </cell>
          <cell r="U59">
            <v>2.29581993569132</v>
          </cell>
          <cell r="V59">
            <v>-0.823258960081563</v>
          </cell>
          <cell r="W59" t="str">
            <v>库存过高</v>
          </cell>
          <cell r="X59" t="str">
            <v>正常</v>
          </cell>
          <cell r="Y59">
            <v>4.7</v>
          </cell>
          <cell r="Z59">
            <v>11.47</v>
          </cell>
          <cell r="AA59">
            <v>32.59</v>
          </cell>
          <cell r="AB59">
            <v>0.361816782140108</v>
          </cell>
        </row>
        <row r="60">
          <cell r="A60" t="str">
            <v>美珠</v>
          </cell>
          <cell r="B60" t="str">
            <v>Y4038-DB</v>
          </cell>
          <cell r="C60" t="str">
            <v>横纹机器人Z Flod 4</v>
          </cell>
        </row>
        <row r="60">
          <cell r="E60" t="str">
            <v>B0BB1QB7MF</v>
          </cell>
          <cell r="F60">
            <v>1</v>
          </cell>
          <cell r="G60">
            <v>0</v>
          </cell>
          <cell r="H60">
            <v>0</v>
          </cell>
          <cell r="I60">
            <v>0</v>
          </cell>
          <cell r="J60">
            <v>0</v>
          </cell>
          <cell r="K60">
            <v>1</v>
          </cell>
          <cell r="L60">
            <v>11</v>
          </cell>
          <cell r="M60">
            <v>11</v>
          </cell>
          <cell r="N60">
            <v>0</v>
          </cell>
          <cell r="O60">
            <v>0</v>
          </cell>
          <cell r="P60">
            <v>0</v>
          </cell>
          <cell r="Q60">
            <v>0</v>
          </cell>
          <cell r="R60">
            <v>0</v>
          </cell>
          <cell r="S60" t="str">
            <v>-</v>
          </cell>
          <cell r="T60" t="str">
            <v>-</v>
          </cell>
          <cell r="U60" t="str">
            <v>-</v>
          </cell>
          <cell r="V60" t="str">
            <v>-</v>
          </cell>
          <cell r="W60" t="str">
            <v>有库存无销量</v>
          </cell>
          <cell r="X60" t="str">
            <v>有库存无销量</v>
          </cell>
          <cell r="Y60">
            <v>0</v>
          </cell>
          <cell r="Z60">
            <v>0</v>
          </cell>
          <cell r="AA60">
            <v>0</v>
          </cell>
          <cell r="AB60" t="str">
            <v>-</v>
          </cell>
        </row>
        <row r="61">
          <cell r="A61" t="str">
            <v>美珠</v>
          </cell>
          <cell r="B61" t="str">
            <v>Y4040-BL+Y4043</v>
          </cell>
          <cell r="C61" t="str">
            <v>机器人二代pixel 7 手机壳+背夹</v>
          </cell>
          <cell r="D61">
            <v>44834</v>
          </cell>
          <cell r="E61" t="str">
            <v>B0BFF95ZDP</v>
          </cell>
          <cell r="F61">
            <v>33</v>
          </cell>
          <cell r="G61">
            <v>1</v>
          </cell>
          <cell r="H61">
            <v>1</v>
          </cell>
          <cell r="I61">
            <v>0</v>
          </cell>
          <cell r="J61">
            <v>0</v>
          </cell>
          <cell r="K61">
            <v>35</v>
          </cell>
          <cell r="L61">
            <v>11</v>
          </cell>
          <cell r="M61">
            <v>385</v>
          </cell>
          <cell r="N61">
            <v>6</v>
          </cell>
          <cell r="O61">
            <v>19</v>
          </cell>
          <cell r="P61">
            <v>45</v>
          </cell>
          <cell r="Q61">
            <v>12</v>
          </cell>
          <cell r="R61">
            <v>-6</v>
          </cell>
          <cell r="S61">
            <v>28.9750328515112</v>
          </cell>
          <cell r="T61">
            <v>0.965834428383706</v>
          </cell>
          <cell r="U61">
            <v>1.15776081424936</v>
          </cell>
          <cell r="V61">
            <v>-0.191926385865654</v>
          </cell>
          <cell r="W61" t="str">
            <v>正常</v>
          </cell>
          <cell r="X61" t="str">
            <v>正常</v>
          </cell>
          <cell r="Y61">
            <v>0.78</v>
          </cell>
          <cell r="Z61">
            <v>0.78</v>
          </cell>
          <cell r="AA61">
            <v>1.87</v>
          </cell>
          <cell r="AB61" t="str">
            <v>-</v>
          </cell>
        </row>
        <row r="62">
          <cell r="A62" t="str">
            <v>美珠</v>
          </cell>
          <cell r="B62" t="str">
            <v>Y4040-DB+Y4043</v>
          </cell>
          <cell r="C62" t="str">
            <v>机器人二代pixel 7 手机壳+背夹</v>
          </cell>
          <cell r="D62">
            <v>44834</v>
          </cell>
          <cell r="E62" t="str">
            <v>B0BFF5ZPKD</v>
          </cell>
          <cell r="F62">
            <v>30</v>
          </cell>
          <cell r="G62">
            <v>1</v>
          </cell>
          <cell r="H62">
            <v>0</v>
          </cell>
          <cell r="I62">
            <v>0</v>
          </cell>
          <cell r="J62">
            <v>1</v>
          </cell>
          <cell r="K62">
            <v>32</v>
          </cell>
          <cell r="L62">
            <v>11</v>
          </cell>
          <cell r="M62">
            <v>352</v>
          </cell>
          <cell r="N62">
            <v>5</v>
          </cell>
          <cell r="O62">
            <v>9</v>
          </cell>
          <cell r="P62">
            <v>17</v>
          </cell>
          <cell r="Q62">
            <v>1</v>
          </cell>
          <cell r="R62">
            <v>4</v>
          </cell>
          <cell r="S62">
            <v>51.0379746835443</v>
          </cell>
          <cell r="T62">
            <v>1.70126582278481</v>
          </cell>
          <cell r="U62">
            <v>3.55511811023622</v>
          </cell>
          <cell r="V62">
            <v>-1.85385228745141</v>
          </cell>
          <cell r="W62" t="str">
            <v>正常</v>
          </cell>
          <cell r="X62" t="str">
            <v>库存过高</v>
          </cell>
          <cell r="Y62">
            <v>12.3</v>
          </cell>
          <cell r="Z62">
            <v>18.57</v>
          </cell>
          <cell r="AA62">
            <v>51.54</v>
          </cell>
          <cell r="AB62">
            <v>0.246196957566053</v>
          </cell>
        </row>
        <row r="63">
          <cell r="A63" t="str">
            <v>美珠</v>
          </cell>
          <cell r="B63" t="str">
            <v>Y4040-GW+Y4043</v>
          </cell>
          <cell r="C63" t="str">
            <v>谷歌机器人二代Pixel 7 手机壳+背夹</v>
          </cell>
          <cell r="D63">
            <v>44834</v>
          </cell>
          <cell r="E63" t="str">
            <v>B0BFFB9WX3</v>
          </cell>
          <cell r="F63">
            <v>54</v>
          </cell>
          <cell r="G63">
            <v>1</v>
          </cell>
          <cell r="H63">
            <v>3</v>
          </cell>
          <cell r="I63">
            <v>0</v>
          </cell>
          <cell r="J63">
            <v>0</v>
          </cell>
          <cell r="K63">
            <v>58</v>
          </cell>
          <cell r="L63">
            <v>11</v>
          </cell>
          <cell r="M63">
            <v>638</v>
          </cell>
          <cell r="N63">
            <v>1</v>
          </cell>
          <cell r="O63">
            <v>2</v>
          </cell>
          <cell r="P63">
            <v>9</v>
          </cell>
          <cell r="Q63">
            <v>2</v>
          </cell>
          <cell r="R63">
            <v>-1</v>
          </cell>
          <cell r="S63">
            <v>301.98347107438</v>
          </cell>
          <cell r="T63">
            <v>10.0661157024793</v>
          </cell>
          <cell r="U63">
            <v>0.0721649484536083</v>
          </cell>
          <cell r="V63">
            <v>9.99395075402573</v>
          </cell>
          <cell r="W63" t="str">
            <v>库存过高</v>
          </cell>
          <cell r="X63" t="str">
            <v>库存过高</v>
          </cell>
          <cell r="Y63">
            <v>0</v>
          </cell>
          <cell r="Z63">
            <v>0</v>
          </cell>
          <cell r="AA63">
            <v>0</v>
          </cell>
          <cell r="AB63" t="str">
            <v>-</v>
          </cell>
        </row>
        <row r="64">
          <cell r="A64" t="str">
            <v>美珠</v>
          </cell>
          <cell r="B64" t="str">
            <v>Y4040-OR+Y4043</v>
          </cell>
          <cell r="C64" t="str">
            <v>机器人二代pixel 7 手机壳+背夹</v>
          </cell>
          <cell r="D64">
            <v>44834</v>
          </cell>
          <cell r="E64" t="str">
            <v>B0BFF6MDVZ</v>
          </cell>
          <cell r="F64">
            <v>39</v>
          </cell>
          <cell r="G64">
            <v>0</v>
          </cell>
          <cell r="H64">
            <v>41</v>
          </cell>
          <cell r="I64">
            <v>1</v>
          </cell>
          <cell r="J64">
            <v>0</v>
          </cell>
          <cell r="K64">
            <v>81</v>
          </cell>
          <cell r="L64">
            <v>11</v>
          </cell>
          <cell r="M64">
            <v>891</v>
          </cell>
          <cell r="N64">
            <v>11</v>
          </cell>
          <cell r="O64">
            <v>22</v>
          </cell>
          <cell r="P64">
            <v>45</v>
          </cell>
          <cell r="Q64">
            <v>9</v>
          </cell>
          <cell r="R64">
            <v>2</v>
          </cell>
          <cell r="S64">
            <v>53.5466946484785</v>
          </cell>
          <cell r="T64">
            <v>1.78488982161595</v>
          </cell>
          <cell r="U64">
            <v>1.35864978902954</v>
          </cell>
          <cell r="V64">
            <v>0.42624003258641</v>
          </cell>
          <cell r="W64" t="str">
            <v>库存过高</v>
          </cell>
          <cell r="X64" t="str">
            <v>库存过高</v>
          </cell>
          <cell r="Y64">
            <v>40.4</v>
          </cell>
          <cell r="Z64">
            <v>108.7</v>
          </cell>
          <cell r="AA64">
            <v>247.51</v>
          </cell>
          <cell r="AB64">
            <v>0.454289890925447</v>
          </cell>
        </row>
        <row r="65">
          <cell r="A65" t="str">
            <v>美珠</v>
          </cell>
          <cell r="B65" t="str">
            <v>Y4040-WB+Y4043</v>
          </cell>
          <cell r="C65" t="str">
            <v>机器人二代pixel 7 手机壳+背夹</v>
          </cell>
          <cell r="D65">
            <v>44834</v>
          </cell>
          <cell r="E65" t="str">
            <v>B0BFFD67C9</v>
          </cell>
          <cell r="F65">
            <v>17</v>
          </cell>
          <cell r="G65">
            <v>0</v>
          </cell>
          <cell r="H65">
            <v>1</v>
          </cell>
          <cell r="I65">
            <v>0</v>
          </cell>
          <cell r="J65">
            <v>0</v>
          </cell>
          <cell r="K65">
            <v>18</v>
          </cell>
          <cell r="L65">
            <v>11</v>
          </cell>
          <cell r="M65">
            <v>198</v>
          </cell>
          <cell r="N65">
            <v>2</v>
          </cell>
          <cell r="O65">
            <v>5</v>
          </cell>
          <cell r="P65">
            <v>13</v>
          </cell>
          <cell r="Q65">
            <v>4</v>
          </cell>
          <cell r="R65">
            <v>-2</v>
          </cell>
          <cell r="S65">
            <v>51.3122171945701</v>
          </cell>
          <cell r="T65">
            <v>1.710407239819</v>
          </cell>
          <cell r="U65">
            <v>1.46648044692737</v>
          </cell>
          <cell r="V65">
            <v>0.243926792891634</v>
          </cell>
          <cell r="W65" t="str">
            <v>库存过高</v>
          </cell>
          <cell r="X65" t="str">
            <v>库存过高</v>
          </cell>
          <cell r="Y65">
            <v>0</v>
          </cell>
          <cell r="Z65">
            <v>0</v>
          </cell>
          <cell r="AA65">
            <v>0</v>
          </cell>
          <cell r="AB65" t="str">
            <v>-</v>
          </cell>
        </row>
        <row r="66">
          <cell r="A66" t="str">
            <v>美珠</v>
          </cell>
          <cell r="B66" t="str">
            <v>Y4040-WI+Y4043</v>
          </cell>
          <cell r="C66" t="str">
            <v>谷歌机器人二代Pixel 7 手机壳+背夹</v>
          </cell>
          <cell r="D66">
            <v>44834</v>
          </cell>
          <cell r="E66" t="str">
            <v>B0BFF9KBX4</v>
          </cell>
          <cell r="F66">
            <v>29</v>
          </cell>
          <cell r="G66">
            <v>0</v>
          </cell>
          <cell r="H66">
            <v>0</v>
          </cell>
          <cell r="I66">
            <v>0</v>
          </cell>
          <cell r="J66">
            <v>0</v>
          </cell>
          <cell r="K66">
            <v>29</v>
          </cell>
          <cell r="L66">
            <v>11</v>
          </cell>
          <cell r="M66">
            <v>319</v>
          </cell>
          <cell r="N66">
            <v>0</v>
          </cell>
          <cell r="O66">
            <v>4</v>
          </cell>
          <cell r="P66">
            <v>9</v>
          </cell>
          <cell r="Q66">
            <v>3</v>
          </cell>
          <cell r="R66">
            <v>-3</v>
          </cell>
          <cell r="S66">
            <v>153.529411764706</v>
          </cell>
          <cell r="T66">
            <v>5.11764705882353</v>
          </cell>
          <cell r="U66">
            <v>3.63861386138614</v>
          </cell>
          <cell r="V66">
            <v>1.47903319743739</v>
          </cell>
          <cell r="W66" t="str">
            <v>有库存无销量</v>
          </cell>
          <cell r="X66" t="str">
            <v>库存过高</v>
          </cell>
          <cell r="Y66">
            <v>3.31</v>
          </cell>
          <cell r="Z66">
            <v>5.06</v>
          </cell>
          <cell r="AA66">
            <v>17.67</v>
          </cell>
          <cell r="AB66" t="str">
            <v>-</v>
          </cell>
        </row>
        <row r="67">
          <cell r="A67" t="str">
            <v>美珠</v>
          </cell>
          <cell r="B67" t="str">
            <v>Y4041-BL+Y4044</v>
          </cell>
          <cell r="C67" t="str">
            <v>机器人二代pixel 7 pro 手机壳+背夹</v>
          </cell>
          <cell r="D67">
            <v>44835</v>
          </cell>
          <cell r="E67" t="str">
            <v>B0BFF91P8K</v>
          </cell>
          <cell r="F67">
            <v>50</v>
          </cell>
          <cell r="G67">
            <v>1</v>
          </cell>
          <cell r="H67">
            <v>9</v>
          </cell>
          <cell r="I67">
            <v>0</v>
          </cell>
          <cell r="J67">
            <v>0</v>
          </cell>
          <cell r="K67">
            <v>60</v>
          </cell>
          <cell r="L67">
            <v>11</v>
          </cell>
          <cell r="M67">
            <v>660</v>
          </cell>
          <cell r="N67">
            <v>3</v>
          </cell>
          <cell r="O67">
            <v>11</v>
          </cell>
          <cell r="P67">
            <v>18</v>
          </cell>
          <cell r="Q67">
            <v>2</v>
          </cell>
          <cell r="R67">
            <v>1</v>
          </cell>
          <cell r="S67">
            <v>102.162162162162</v>
          </cell>
          <cell r="T67">
            <v>3.40540540540541</v>
          </cell>
          <cell r="U67">
            <v>5.45106382978723</v>
          </cell>
          <cell r="V67">
            <v>-2.04565842438182</v>
          </cell>
          <cell r="W67" t="str">
            <v>库存过高</v>
          </cell>
          <cell r="X67" t="str">
            <v>库存过高</v>
          </cell>
          <cell r="Y67">
            <v>3.7</v>
          </cell>
          <cell r="Z67">
            <v>8.28</v>
          </cell>
          <cell r="AA67">
            <v>12.21</v>
          </cell>
          <cell r="AB67" t="str">
            <v>-</v>
          </cell>
        </row>
        <row r="68">
          <cell r="A68" t="str">
            <v>美珠</v>
          </cell>
          <cell r="B68" t="str">
            <v>Y4041-DB+Y4044</v>
          </cell>
          <cell r="C68" t="str">
            <v>机器人二代pixel 7 pro 手机壳+背夹</v>
          </cell>
          <cell r="D68">
            <v>44835</v>
          </cell>
          <cell r="E68" t="str">
            <v>B0BFFC3T74</v>
          </cell>
          <cell r="F68">
            <v>8</v>
          </cell>
          <cell r="G68">
            <v>1</v>
          </cell>
          <cell r="H68">
            <v>10</v>
          </cell>
          <cell r="I68">
            <v>0</v>
          </cell>
          <cell r="J68">
            <v>0</v>
          </cell>
          <cell r="K68">
            <v>19</v>
          </cell>
          <cell r="L68">
            <v>11</v>
          </cell>
          <cell r="M68">
            <v>209</v>
          </cell>
          <cell r="N68">
            <v>0</v>
          </cell>
          <cell r="O68">
            <v>1</v>
          </cell>
          <cell r="P68">
            <v>4</v>
          </cell>
          <cell r="Q68">
            <v>2</v>
          </cell>
          <cell r="R68">
            <v>-2</v>
          </cell>
          <cell r="S68">
            <v>285</v>
          </cell>
          <cell r="T68">
            <v>9.5</v>
          </cell>
          <cell r="U68">
            <v>1.30569948186528</v>
          </cell>
          <cell r="V68">
            <v>8.19430051813472</v>
          </cell>
          <cell r="W68" t="str">
            <v>有库存无销量</v>
          </cell>
          <cell r="X68" t="str">
            <v>库存过高</v>
          </cell>
          <cell r="Y68">
            <v>0</v>
          </cell>
          <cell r="Z68">
            <v>0</v>
          </cell>
          <cell r="AA68">
            <v>0</v>
          </cell>
          <cell r="AB68" t="str">
            <v>-</v>
          </cell>
        </row>
        <row r="69">
          <cell r="A69" t="str">
            <v>美珠</v>
          </cell>
          <cell r="B69" t="str">
            <v>Y4041-GW+Y4044</v>
          </cell>
          <cell r="C69" t="str">
            <v>谷歌机器人二代Pixel 7Pro 手机壳+背夹</v>
          </cell>
          <cell r="D69">
            <v>44835</v>
          </cell>
          <cell r="E69" t="str">
            <v>B0BFF86QTS</v>
          </cell>
          <cell r="F69">
            <v>20</v>
          </cell>
          <cell r="G69">
            <v>0</v>
          </cell>
          <cell r="H69">
            <v>10</v>
          </cell>
          <cell r="I69">
            <v>0</v>
          </cell>
          <cell r="J69">
            <v>0</v>
          </cell>
          <cell r="K69">
            <v>30</v>
          </cell>
          <cell r="L69">
            <v>11</v>
          </cell>
          <cell r="M69">
            <v>330</v>
          </cell>
          <cell r="N69">
            <v>1</v>
          </cell>
          <cell r="O69">
            <v>1</v>
          </cell>
          <cell r="P69">
            <v>2</v>
          </cell>
          <cell r="Q69">
            <v>0</v>
          </cell>
          <cell r="R69">
            <v>1</v>
          </cell>
          <cell r="S69">
            <v>325.862068965517</v>
          </cell>
          <cell r="T69">
            <v>10.8620689655172</v>
          </cell>
          <cell r="U69">
            <v>9</v>
          </cell>
          <cell r="V69">
            <v>1.86206896551724</v>
          </cell>
          <cell r="W69" t="str">
            <v>库存过高</v>
          </cell>
          <cell r="X69" t="str">
            <v>库存过高</v>
          </cell>
          <cell r="Y69">
            <v>0</v>
          </cell>
          <cell r="Z69">
            <v>0</v>
          </cell>
          <cell r="AA69">
            <v>0</v>
          </cell>
          <cell r="AB69" t="str">
            <v>-</v>
          </cell>
        </row>
        <row r="70">
          <cell r="A70" t="str">
            <v>美珠</v>
          </cell>
          <cell r="B70" t="str">
            <v>Y4041-OR+Y4044</v>
          </cell>
          <cell r="C70" t="str">
            <v>机器人二代pixel 7 pro 手机壳+背夹</v>
          </cell>
          <cell r="D70">
            <v>44835</v>
          </cell>
          <cell r="E70" t="str">
            <v>B0BFF7BN4T</v>
          </cell>
          <cell r="F70">
            <v>16</v>
          </cell>
          <cell r="G70">
            <v>0</v>
          </cell>
          <cell r="H70">
            <v>10</v>
          </cell>
          <cell r="I70">
            <v>0</v>
          </cell>
          <cell r="J70">
            <v>0</v>
          </cell>
          <cell r="K70">
            <v>26</v>
          </cell>
          <cell r="L70">
            <v>11</v>
          </cell>
          <cell r="M70">
            <v>286</v>
          </cell>
          <cell r="N70">
            <v>0</v>
          </cell>
          <cell r="O70">
            <v>2</v>
          </cell>
          <cell r="P70">
            <v>6</v>
          </cell>
          <cell r="Q70">
            <v>1</v>
          </cell>
          <cell r="R70">
            <v>-1</v>
          </cell>
          <cell r="S70">
            <v>234</v>
          </cell>
          <cell r="T70">
            <v>7.8</v>
          </cell>
          <cell r="U70">
            <v>6.78461538461538</v>
          </cell>
          <cell r="V70">
            <v>1.01538461538462</v>
          </cell>
          <cell r="W70" t="str">
            <v>有库存无销量</v>
          </cell>
          <cell r="X70" t="str">
            <v>库存过高</v>
          </cell>
          <cell r="Y70">
            <v>2.99</v>
          </cell>
          <cell r="Z70">
            <v>5.79</v>
          </cell>
          <cell r="AA70">
            <v>13.29</v>
          </cell>
          <cell r="AB70">
            <v>0.272065514103731</v>
          </cell>
        </row>
        <row r="71">
          <cell r="A71" t="str">
            <v>美珠</v>
          </cell>
          <cell r="B71" t="str">
            <v>Y4041-WI+Y4044</v>
          </cell>
          <cell r="C71" t="str">
            <v>谷歌机器人二代Pixel 7Pro 手机壳+背夹</v>
          </cell>
          <cell r="D71">
            <v>44835</v>
          </cell>
          <cell r="E71" t="str">
            <v>B0BFF9LX79</v>
          </cell>
          <cell r="F71">
            <v>8</v>
          </cell>
          <cell r="G71">
            <v>0</v>
          </cell>
          <cell r="H71">
            <v>0</v>
          </cell>
          <cell r="I71">
            <v>0</v>
          </cell>
          <cell r="J71">
            <v>0</v>
          </cell>
          <cell r="K71">
            <v>8</v>
          </cell>
          <cell r="L71">
            <v>11</v>
          </cell>
          <cell r="M71">
            <v>88</v>
          </cell>
          <cell r="N71">
            <v>0</v>
          </cell>
          <cell r="O71">
            <v>1</v>
          </cell>
          <cell r="P71">
            <v>2</v>
          </cell>
          <cell r="Q71">
            <v>1</v>
          </cell>
          <cell r="R71">
            <v>-1</v>
          </cell>
          <cell r="S71">
            <v>180</v>
          </cell>
          <cell r="T71">
            <v>6</v>
          </cell>
          <cell r="U71">
            <v>2.33333333333333</v>
          </cell>
          <cell r="V71">
            <v>3.66666666666667</v>
          </cell>
          <cell r="W71" t="str">
            <v>有库存无销量</v>
          </cell>
          <cell r="X71" t="str">
            <v>库存过高</v>
          </cell>
          <cell r="Y71">
            <v>0.8</v>
          </cell>
          <cell r="Z71">
            <v>0.8</v>
          </cell>
          <cell r="AA71">
            <v>2.81</v>
          </cell>
          <cell r="AB71" t="str">
            <v>-</v>
          </cell>
        </row>
        <row r="72">
          <cell r="A72" t="str">
            <v>美珠</v>
          </cell>
          <cell r="B72" t="str">
            <v>Y4041-WB+Y4044</v>
          </cell>
          <cell r="C72" t="str">
            <v>机器人二代pixel 7 pro 手机壳+背夹</v>
          </cell>
          <cell r="D72">
            <v>44835</v>
          </cell>
          <cell r="E72" t="str">
            <v>B0BFF794MN</v>
          </cell>
          <cell r="F72">
            <v>24</v>
          </cell>
          <cell r="G72">
            <v>1</v>
          </cell>
          <cell r="H72">
            <v>0</v>
          </cell>
          <cell r="I72">
            <v>0</v>
          </cell>
          <cell r="J72">
            <v>0</v>
          </cell>
          <cell r="K72">
            <v>25</v>
          </cell>
          <cell r="L72">
            <v>11</v>
          </cell>
          <cell r="M72">
            <v>275</v>
          </cell>
          <cell r="N72">
            <v>0</v>
          </cell>
          <cell r="O72">
            <v>0</v>
          </cell>
          <cell r="P72">
            <v>4</v>
          </cell>
          <cell r="Q72">
            <v>1</v>
          </cell>
          <cell r="R72">
            <v>-1</v>
          </cell>
          <cell r="S72">
            <v>562.5</v>
          </cell>
          <cell r="T72">
            <v>18.75</v>
          </cell>
          <cell r="U72">
            <v>5.25</v>
          </cell>
          <cell r="V72">
            <v>13.5</v>
          </cell>
          <cell r="W72" t="str">
            <v>有库存无销量</v>
          </cell>
          <cell r="X72" t="str">
            <v>库存过高</v>
          </cell>
          <cell r="Y72">
            <v>1.81</v>
          </cell>
          <cell r="Z72">
            <v>2.42</v>
          </cell>
          <cell r="AA72">
            <v>7.36</v>
          </cell>
          <cell r="AB72" t="str">
            <v>-</v>
          </cell>
        </row>
        <row r="73">
          <cell r="A73" t="str">
            <v>美珠</v>
          </cell>
          <cell r="B73" t="str">
            <v>Y4050-BL+Y4051+Y4052</v>
          </cell>
          <cell r="C73" t="str">
            <v>机器人二代A23 5G 背夹+软膜</v>
          </cell>
          <cell r="D73">
            <v>44841</v>
          </cell>
          <cell r="E73" t="str">
            <v>B0BFVK91DN</v>
          </cell>
          <cell r="F73">
            <v>56</v>
          </cell>
          <cell r="G73">
            <v>0</v>
          </cell>
          <cell r="H73">
            <v>0</v>
          </cell>
          <cell r="I73">
            <v>1</v>
          </cell>
          <cell r="J73">
            <v>0</v>
          </cell>
          <cell r="K73">
            <v>57</v>
          </cell>
          <cell r="L73">
            <v>13.7</v>
          </cell>
          <cell r="M73">
            <v>780.9</v>
          </cell>
          <cell r="N73">
            <v>9</v>
          </cell>
          <cell r="O73">
            <v>14</v>
          </cell>
          <cell r="P73">
            <v>23</v>
          </cell>
          <cell r="Q73">
            <v>2</v>
          </cell>
          <cell r="R73">
            <v>7</v>
          </cell>
          <cell r="S73">
            <v>57.2727272727273</v>
          </cell>
          <cell r="T73">
            <v>1.90909090909091</v>
          </cell>
          <cell r="U73">
            <v>5.91335740072202</v>
          </cell>
          <cell r="V73">
            <v>-4.00426649163111</v>
          </cell>
          <cell r="W73" t="str">
            <v>正常</v>
          </cell>
          <cell r="X73" t="str">
            <v>库存过高</v>
          </cell>
          <cell r="Y73">
            <v>2</v>
          </cell>
          <cell r="Z73">
            <v>3.77</v>
          </cell>
          <cell r="AA73">
            <v>9.04</v>
          </cell>
          <cell r="AB73">
            <v>0.0317712470214456</v>
          </cell>
        </row>
        <row r="74">
          <cell r="A74" t="str">
            <v>美珠</v>
          </cell>
          <cell r="B74" t="str">
            <v>Y4050-DB+Y4051+Y4052</v>
          </cell>
          <cell r="C74" t="str">
            <v>机器人二代 A23 5G 背夹+软膜</v>
          </cell>
          <cell r="D74">
            <v>44841</v>
          </cell>
          <cell r="E74" t="str">
            <v>B0BFVDDTBX</v>
          </cell>
          <cell r="F74">
            <v>51</v>
          </cell>
          <cell r="G74">
            <v>0</v>
          </cell>
          <cell r="H74">
            <v>0</v>
          </cell>
          <cell r="I74">
            <v>0</v>
          </cell>
          <cell r="J74">
            <v>0</v>
          </cell>
          <cell r="K74">
            <v>51</v>
          </cell>
          <cell r="L74">
            <v>13.7</v>
          </cell>
          <cell r="M74">
            <v>698.7</v>
          </cell>
          <cell r="N74">
            <v>2</v>
          </cell>
          <cell r="O74">
            <v>5</v>
          </cell>
          <cell r="P74">
            <v>6</v>
          </cell>
          <cell r="Q74">
            <v>1</v>
          </cell>
          <cell r="R74">
            <v>1</v>
          </cell>
          <cell r="S74">
            <v>186.802325581395</v>
          </cell>
          <cell r="T74">
            <v>6.22674418604651</v>
          </cell>
          <cell r="U74">
            <v>7.98591549295775</v>
          </cell>
          <cell r="V74">
            <v>-1.75917130691124</v>
          </cell>
          <cell r="W74" t="str">
            <v>库存过高</v>
          </cell>
          <cell r="X74" t="str">
            <v>库存过高</v>
          </cell>
          <cell r="Y74">
            <v>1.52</v>
          </cell>
          <cell r="Z74">
            <v>1.92</v>
          </cell>
          <cell r="AA74">
            <v>3.61</v>
          </cell>
          <cell r="AB74" t="str">
            <v>-</v>
          </cell>
        </row>
        <row r="75">
          <cell r="A75" t="str">
            <v>美珠</v>
          </cell>
          <cell r="B75" t="str">
            <v>Y4050-GW+Y4051+Y4052</v>
          </cell>
          <cell r="C75" t="str">
            <v>机器人二代 A23 5G 背夹+软膜</v>
          </cell>
          <cell r="D75">
            <v>44841</v>
          </cell>
          <cell r="E75" t="str">
            <v>B0BFVW3J36</v>
          </cell>
          <cell r="F75">
            <v>32</v>
          </cell>
          <cell r="G75">
            <v>0</v>
          </cell>
          <cell r="H75">
            <v>0</v>
          </cell>
          <cell r="I75">
            <v>0</v>
          </cell>
          <cell r="J75">
            <v>0</v>
          </cell>
          <cell r="K75">
            <v>32</v>
          </cell>
          <cell r="L75">
            <v>13.7</v>
          </cell>
          <cell r="M75">
            <v>438.4</v>
          </cell>
          <cell r="N75">
            <v>3</v>
          </cell>
          <cell r="O75">
            <v>3</v>
          </cell>
          <cell r="P75">
            <v>5</v>
          </cell>
          <cell r="Q75">
            <v>2</v>
          </cell>
          <cell r="R75">
            <v>1</v>
          </cell>
          <cell r="S75">
            <v>120.718562874251</v>
          </cell>
          <cell r="T75">
            <v>4.02395209580838</v>
          </cell>
          <cell r="U75">
            <v>6.55045871559633</v>
          </cell>
          <cell r="V75">
            <v>-2.52650661978795</v>
          </cell>
          <cell r="W75" t="str">
            <v>库存过高</v>
          </cell>
          <cell r="X75" t="str">
            <v>库存过高</v>
          </cell>
          <cell r="Y75">
            <v>0</v>
          </cell>
          <cell r="Z75">
            <v>0</v>
          </cell>
          <cell r="AA75">
            <v>0</v>
          </cell>
          <cell r="AB75" t="str">
            <v>-</v>
          </cell>
        </row>
        <row r="76">
          <cell r="A76" t="str">
            <v>美珠</v>
          </cell>
          <cell r="B76" t="str">
            <v>Y4050-OR+Y4051+Y4052</v>
          </cell>
          <cell r="C76" t="str">
            <v>机器人二代 A23 5G 背夹+软膜</v>
          </cell>
          <cell r="D76">
            <v>44841</v>
          </cell>
          <cell r="E76" t="str">
            <v>B0BFVSRCY5</v>
          </cell>
          <cell r="F76">
            <v>41</v>
          </cell>
          <cell r="G76">
            <v>0</v>
          </cell>
          <cell r="H76">
            <v>1</v>
          </cell>
          <cell r="I76">
            <v>0</v>
          </cell>
          <cell r="J76">
            <v>0</v>
          </cell>
          <cell r="K76">
            <v>42</v>
          </cell>
          <cell r="L76">
            <v>13.7</v>
          </cell>
          <cell r="M76">
            <v>575.4</v>
          </cell>
          <cell r="N76">
            <v>4</v>
          </cell>
          <cell r="O76">
            <v>12</v>
          </cell>
          <cell r="P76">
            <v>20</v>
          </cell>
          <cell r="Q76">
            <v>4</v>
          </cell>
          <cell r="R76">
            <v>0</v>
          </cell>
          <cell r="S76">
            <v>61.8224299065421</v>
          </cell>
          <cell r="T76">
            <v>2.0607476635514</v>
          </cell>
          <cell r="U76">
            <v>3.15544041450777</v>
          </cell>
          <cell r="V76">
            <v>-1.09469275095637</v>
          </cell>
          <cell r="W76" t="str">
            <v>库存过高</v>
          </cell>
          <cell r="X76" t="str">
            <v>库存过高</v>
          </cell>
          <cell r="Y76">
            <v>21.35</v>
          </cell>
          <cell r="Z76">
            <v>41.75</v>
          </cell>
          <cell r="AA76">
            <v>74.9</v>
          </cell>
          <cell r="AB76">
            <v>0.234795996920708</v>
          </cell>
        </row>
        <row r="77">
          <cell r="A77" t="str">
            <v>美珠</v>
          </cell>
          <cell r="B77" t="str">
            <v>Y4050-WI+Y4051+Y4052</v>
          </cell>
          <cell r="C77" t="str">
            <v>机器人二代 A23 5G 背夹+软膜</v>
          </cell>
          <cell r="D77">
            <v>44841</v>
          </cell>
          <cell r="E77" t="str">
            <v>B0BFWD368P</v>
          </cell>
          <cell r="F77">
            <v>57</v>
          </cell>
          <cell r="G77">
            <v>0</v>
          </cell>
          <cell r="H77">
            <v>0</v>
          </cell>
          <cell r="I77">
            <v>0</v>
          </cell>
          <cell r="J77">
            <v>0</v>
          </cell>
          <cell r="K77">
            <v>57</v>
          </cell>
          <cell r="L77">
            <v>13.7</v>
          </cell>
          <cell r="M77">
            <v>780.9</v>
          </cell>
          <cell r="N77">
            <v>0</v>
          </cell>
          <cell r="O77">
            <v>0</v>
          </cell>
          <cell r="P77">
            <v>4</v>
          </cell>
          <cell r="Q77">
            <v>4</v>
          </cell>
          <cell r="R77">
            <v>-4</v>
          </cell>
          <cell r="S77">
            <v>1282.5</v>
          </cell>
          <cell r="T77">
            <v>42.75</v>
          </cell>
          <cell r="U77">
            <v>4.33451957295374</v>
          </cell>
          <cell r="V77">
            <v>38.4154804270463</v>
          </cell>
          <cell r="W77" t="str">
            <v>有库存无销量</v>
          </cell>
          <cell r="X77" t="str">
            <v>库存过高</v>
          </cell>
          <cell r="Y77">
            <v>1</v>
          </cell>
          <cell r="Z77">
            <v>1.6</v>
          </cell>
          <cell r="AA77">
            <v>2.12</v>
          </cell>
          <cell r="AB77" t="str">
            <v>-</v>
          </cell>
        </row>
        <row r="78">
          <cell r="A78" t="str">
            <v>美珠</v>
          </cell>
          <cell r="B78" t="str">
            <v>Y4053-BL+Y4054+Y4049</v>
          </cell>
          <cell r="C78" t="str">
            <v>机器人二代Moto Edge 2022 背夹+软膜</v>
          </cell>
          <cell r="D78">
            <v>44841</v>
          </cell>
          <cell r="E78" t="str">
            <v>B0BFVSX9KS</v>
          </cell>
          <cell r="F78">
            <v>62</v>
          </cell>
          <cell r="G78">
            <v>1</v>
          </cell>
          <cell r="H78">
            <v>0</v>
          </cell>
          <cell r="I78">
            <v>0</v>
          </cell>
          <cell r="J78">
            <v>1</v>
          </cell>
          <cell r="K78">
            <v>64</v>
          </cell>
          <cell r="L78">
            <v>13.7</v>
          </cell>
          <cell r="M78">
            <v>876.8</v>
          </cell>
          <cell r="N78">
            <v>2</v>
          </cell>
          <cell r="O78">
            <v>8</v>
          </cell>
          <cell r="P78">
            <v>23</v>
          </cell>
          <cell r="Q78">
            <v>7</v>
          </cell>
          <cell r="R78">
            <v>-5</v>
          </cell>
          <cell r="S78">
            <v>121.081081081081</v>
          </cell>
          <cell r="T78">
            <v>4.03603603603604</v>
          </cell>
          <cell r="U78">
            <v>2.05882352941176</v>
          </cell>
          <cell r="V78">
            <v>1.97721250662428</v>
          </cell>
          <cell r="W78" t="str">
            <v>库存过高</v>
          </cell>
          <cell r="X78" t="str">
            <v>库存过高</v>
          </cell>
          <cell r="Y78">
            <v>0.9</v>
          </cell>
          <cell r="Z78">
            <v>1.55</v>
          </cell>
          <cell r="AA78">
            <v>5.67</v>
          </cell>
          <cell r="AB78" t="str">
            <v>-</v>
          </cell>
        </row>
        <row r="79">
          <cell r="A79" t="str">
            <v>美珠</v>
          </cell>
          <cell r="B79" t="str">
            <v>Y4053-DB+Y4054+Y4049</v>
          </cell>
          <cell r="C79" t="str">
            <v>机器人二代Moto Edge 2022 背夹+软膜</v>
          </cell>
        </row>
        <row r="79">
          <cell r="E79" t="str">
            <v>B0BFVK75L4</v>
          </cell>
          <cell r="F79">
            <v>68</v>
          </cell>
          <cell r="G79">
            <v>4</v>
          </cell>
          <cell r="H79">
            <v>3</v>
          </cell>
          <cell r="I79">
            <v>4</v>
          </cell>
          <cell r="J79">
            <v>0</v>
          </cell>
          <cell r="K79">
            <v>79</v>
          </cell>
          <cell r="L79">
            <v>13.7</v>
          </cell>
          <cell r="M79">
            <v>1082.3</v>
          </cell>
          <cell r="N79">
            <v>3</v>
          </cell>
          <cell r="O79">
            <v>7</v>
          </cell>
          <cell r="P79">
            <v>17</v>
          </cell>
          <cell r="Q79">
            <v>3</v>
          </cell>
          <cell r="R79">
            <v>0</v>
          </cell>
          <cell r="S79">
            <v>162.117263843648</v>
          </cell>
          <cell r="T79">
            <v>5.40390879478827</v>
          </cell>
          <cell r="U79">
            <v>4.39669421487603</v>
          </cell>
          <cell r="V79">
            <v>1.00721457991224</v>
          </cell>
          <cell r="W79" t="str">
            <v>库存过高</v>
          </cell>
          <cell r="X79" t="str">
            <v>库存过高</v>
          </cell>
          <cell r="Y79">
            <v>0.82</v>
          </cell>
          <cell r="Z79">
            <v>3.06</v>
          </cell>
          <cell r="AA79">
            <v>8.65</v>
          </cell>
          <cell r="AB79" t="str">
            <v>-</v>
          </cell>
        </row>
        <row r="80">
          <cell r="A80" t="str">
            <v>美珠</v>
          </cell>
          <cell r="B80" t="str">
            <v>Y4053-GW+Y4054+Y4049</v>
          </cell>
          <cell r="C80" t="str">
            <v>机器人二代Moto Edge 2022 背夹+软膜</v>
          </cell>
          <cell r="D80">
            <v>44841</v>
          </cell>
          <cell r="E80" t="str">
            <v>B0BFVHXKJ2</v>
          </cell>
          <cell r="F80">
            <v>41</v>
          </cell>
          <cell r="G80">
            <v>0</v>
          </cell>
          <cell r="H80">
            <v>4</v>
          </cell>
          <cell r="I80">
            <v>10</v>
          </cell>
          <cell r="J80">
            <v>0</v>
          </cell>
          <cell r="K80">
            <v>55</v>
          </cell>
          <cell r="L80">
            <v>13.7</v>
          </cell>
          <cell r="M80">
            <v>753.5</v>
          </cell>
          <cell r="N80">
            <v>2</v>
          </cell>
          <cell r="O80">
            <v>3</v>
          </cell>
          <cell r="P80">
            <v>6</v>
          </cell>
          <cell r="Q80">
            <v>1</v>
          </cell>
          <cell r="R80">
            <v>1</v>
          </cell>
          <cell r="S80">
            <v>240.625</v>
          </cell>
          <cell r="T80">
            <v>8.02083333333333</v>
          </cell>
          <cell r="U80">
            <v>5.75555555555556</v>
          </cell>
          <cell r="V80">
            <v>2.26527777777777</v>
          </cell>
          <cell r="W80" t="str">
            <v>库存过高</v>
          </cell>
          <cell r="X80" t="str">
            <v>库存过高</v>
          </cell>
          <cell r="Y80">
            <v>0</v>
          </cell>
          <cell r="Z80">
            <v>0</v>
          </cell>
          <cell r="AA80">
            <v>0</v>
          </cell>
          <cell r="AB80" t="str">
            <v>-</v>
          </cell>
        </row>
        <row r="81">
          <cell r="A81" t="str">
            <v>美珠</v>
          </cell>
          <cell r="B81" t="str">
            <v>Y4053-OR+Y4054+Y4049</v>
          </cell>
          <cell r="C81" t="str">
            <v>机器人二代Moto Edge 2022 背夹+软膜</v>
          </cell>
          <cell r="D81">
            <v>44841</v>
          </cell>
          <cell r="E81" t="str">
            <v>B0BFW4V3TW</v>
          </cell>
          <cell r="F81">
            <v>52</v>
          </cell>
          <cell r="G81">
            <v>1</v>
          </cell>
          <cell r="H81">
            <v>17</v>
          </cell>
          <cell r="I81">
            <v>10</v>
          </cell>
          <cell r="J81">
            <v>0</v>
          </cell>
          <cell r="K81">
            <v>80</v>
          </cell>
          <cell r="L81">
            <v>13.7</v>
          </cell>
          <cell r="M81">
            <v>1096</v>
          </cell>
          <cell r="N81">
            <v>3</v>
          </cell>
          <cell r="O81">
            <v>8</v>
          </cell>
          <cell r="P81">
            <v>12</v>
          </cell>
          <cell r="Q81">
            <v>2</v>
          </cell>
          <cell r="R81">
            <v>1</v>
          </cell>
          <cell r="S81">
            <v>176.223776223776</v>
          </cell>
          <cell r="T81">
            <v>5.87412587412587</v>
          </cell>
          <cell r="U81">
            <v>1.85150812064965</v>
          </cell>
          <cell r="V81">
            <v>4.02261775347622</v>
          </cell>
          <cell r="W81" t="str">
            <v>库存过高</v>
          </cell>
          <cell r="X81" t="str">
            <v>库存过高</v>
          </cell>
          <cell r="Y81">
            <v>10.83</v>
          </cell>
          <cell r="Z81">
            <v>25.77</v>
          </cell>
          <cell r="AA81">
            <v>55.06</v>
          </cell>
          <cell r="AB81">
            <v>0.492720655141037</v>
          </cell>
        </row>
        <row r="82">
          <cell r="A82" t="str">
            <v>美珠</v>
          </cell>
          <cell r="B82" t="str">
            <v>Y4053-WI+Y4054+Y4049</v>
          </cell>
          <cell r="C82" t="str">
            <v>机器人二代Moto Edge 2022 背夹+软膜</v>
          </cell>
          <cell r="D82">
            <v>44841</v>
          </cell>
          <cell r="E82" t="str">
            <v>B0BFVS3BF6</v>
          </cell>
          <cell r="F82">
            <v>20</v>
          </cell>
          <cell r="G82">
            <v>0</v>
          </cell>
          <cell r="H82">
            <v>37</v>
          </cell>
          <cell r="I82">
            <v>0</v>
          </cell>
          <cell r="J82">
            <v>0</v>
          </cell>
          <cell r="K82">
            <v>57</v>
          </cell>
          <cell r="L82">
            <v>13.7</v>
          </cell>
          <cell r="M82">
            <v>780.9</v>
          </cell>
          <cell r="N82">
            <v>2</v>
          </cell>
          <cell r="O82">
            <v>6</v>
          </cell>
          <cell r="P82">
            <v>8</v>
          </cell>
          <cell r="Q82">
            <v>2</v>
          </cell>
          <cell r="R82">
            <v>0</v>
          </cell>
          <cell r="S82">
            <v>179.55</v>
          </cell>
          <cell r="T82">
            <v>5.985</v>
          </cell>
          <cell r="U82">
            <v>0.84</v>
          </cell>
          <cell r="V82">
            <v>5.145</v>
          </cell>
          <cell r="W82" t="str">
            <v>库存过高</v>
          </cell>
          <cell r="X82" t="str">
            <v>库存过高</v>
          </cell>
          <cell r="Y82">
            <v>4.73</v>
          </cell>
          <cell r="Z82">
            <v>9.98</v>
          </cell>
          <cell r="AA82">
            <v>24.33</v>
          </cell>
          <cell r="AB82">
            <v>0.364126250962279</v>
          </cell>
        </row>
        <row r="83">
          <cell r="A83" t="str">
            <v>美珠</v>
          </cell>
          <cell r="B83" t="str">
            <v>Y4063-BL+Y4064+Y4065</v>
          </cell>
          <cell r="C83" t="str">
            <v>机器人二代A14+2片软膜+背夹</v>
          </cell>
          <cell r="D83">
            <v>44925</v>
          </cell>
          <cell r="E83" t="str">
            <v>B0BKSRQVM2</v>
          </cell>
          <cell r="F83">
            <v>94</v>
          </cell>
          <cell r="G83">
            <v>0</v>
          </cell>
          <cell r="H83">
            <v>1</v>
          </cell>
          <cell r="I83">
            <v>0</v>
          </cell>
          <cell r="J83">
            <v>0</v>
          </cell>
          <cell r="K83">
            <v>95</v>
          </cell>
          <cell r="L83">
            <v>13.7</v>
          </cell>
          <cell r="M83">
            <v>1301.5</v>
          </cell>
          <cell r="N83">
            <v>0</v>
          </cell>
          <cell r="O83">
            <v>2</v>
          </cell>
          <cell r="P83">
            <v>7</v>
          </cell>
          <cell r="Q83">
            <v>4</v>
          </cell>
          <cell r="R83">
            <v>-4</v>
          </cell>
          <cell r="S83">
            <v>777.272727272727</v>
          </cell>
          <cell r="T83">
            <v>25.9090909090909</v>
          </cell>
          <cell r="U83">
            <v>8.21739130434783</v>
          </cell>
          <cell r="V83">
            <v>17.6916996047431</v>
          </cell>
          <cell r="W83" t="str">
            <v>有库存无销量</v>
          </cell>
          <cell r="X83" t="str">
            <v>库存过高</v>
          </cell>
          <cell r="Y83">
            <v>1.19</v>
          </cell>
          <cell r="Z83">
            <v>2.48</v>
          </cell>
          <cell r="AA83">
            <v>5.08</v>
          </cell>
          <cell r="AB83" t="str">
            <v>-</v>
          </cell>
        </row>
        <row r="84">
          <cell r="A84" t="str">
            <v>美珠</v>
          </cell>
          <cell r="B84" t="str">
            <v>Y4063-DB+Y4064+Y4065</v>
          </cell>
          <cell r="C84" t="str">
            <v>机器人二代A14+2片软膜+背夹</v>
          </cell>
          <cell r="D84">
            <v>44925</v>
          </cell>
          <cell r="E84" t="str">
            <v>B0BKSVKV5D</v>
          </cell>
          <cell r="F84">
            <v>17</v>
          </cell>
          <cell r="G84">
            <v>0</v>
          </cell>
          <cell r="H84">
            <v>5</v>
          </cell>
          <cell r="I84">
            <v>0</v>
          </cell>
          <cell r="J84">
            <v>0</v>
          </cell>
          <cell r="K84">
            <v>22</v>
          </cell>
          <cell r="L84">
            <v>13.7</v>
          </cell>
          <cell r="M84">
            <v>301.4</v>
          </cell>
          <cell r="N84">
            <v>0</v>
          </cell>
          <cell r="O84">
            <v>1</v>
          </cell>
          <cell r="P84">
            <v>6</v>
          </cell>
          <cell r="Q84">
            <v>2</v>
          </cell>
          <cell r="R84">
            <v>-2</v>
          </cell>
          <cell r="S84">
            <v>247.5</v>
          </cell>
          <cell r="T84">
            <v>8.25</v>
          </cell>
          <cell r="U84">
            <v>1.26506024096386</v>
          </cell>
          <cell r="V84">
            <v>6.98493975903614</v>
          </cell>
          <cell r="W84" t="str">
            <v>有库存无销量</v>
          </cell>
          <cell r="X84" t="str">
            <v>库存过高</v>
          </cell>
          <cell r="Y84">
            <v>0</v>
          </cell>
          <cell r="Z84">
            <v>0</v>
          </cell>
          <cell r="AA84">
            <v>0</v>
          </cell>
          <cell r="AB84" t="str">
            <v>-</v>
          </cell>
        </row>
        <row r="85">
          <cell r="A85" t="str">
            <v>美珠</v>
          </cell>
          <cell r="B85" t="str">
            <v>Y4063-GW+Y4064+Y4065</v>
          </cell>
          <cell r="C85" t="str">
            <v>机器人二代A14+2片软膜+背夹</v>
          </cell>
          <cell r="D85">
            <v>44925</v>
          </cell>
          <cell r="E85" t="str">
            <v>B0BKSSZ1RL</v>
          </cell>
          <cell r="F85">
            <v>30</v>
          </cell>
          <cell r="G85">
            <v>0</v>
          </cell>
          <cell r="H85">
            <v>0</v>
          </cell>
          <cell r="I85">
            <v>0</v>
          </cell>
          <cell r="J85">
            <v>0</v>
          </cell>
          <cell r="K85">
            <v>30</v>
          </cell>
          <cell r="L85">
            <v>13.7</v>
          </cell>
          <cell r="M85">
            <v>411</v>
          </cell>
          <cell r="N85">
            <v>0</v>
          </cell>
          <cell r="O85">
            <v>1</v>
          </cell>
          <cell r="P85">
            <v>2</v>
          </cell>
          <cell r="Q85">
            <v>1</v>
          </cell>
          <cell r="R85">
            <v>-1</v>
          </cell>
          <cell r="S85">
            <v>675</v>
          </cell>
          <cell r="T85">
            <v>22.5</v>
          </cell>
          <cell r="U85">
            <v>11.2241379310345</v>
          </cell>
          <cell r="V85">
            <v>11.2758620689655</v>
          </cell>
          <cell r="W85" t="str">
            <v>有库存无销量</v>
          </cell>
          <cell r="X85" t="str">
            <v>库存过高</v>
          </cell>
          <cell r="Y85">
            <v>0</v>
          </cell>
          <cell r="Z85">
            <v>0</v>
          </cell>
          <cell r="AA85">
            <v>0</v>
          </cell>
          <cell r="AB85" t="str">
            <v>-</v>
          </cell>
        </row>
        <row r="86">
          <cell r="A86" t="str">
            <v>美珠</v>
          </cell>
          <cell r="B86" t="str">
            <v>Y4063-OR+Y4064+Y4065</v>
          </cell>
          <cell r="C86" t="str">
            <v>机器人二代A14+2片软膜+背夹</v>
          </cell>
          <cell r="D86">
            <v>44925</v>
          </cell>
          <cell r="E86" t="str">
            <v>B0BKSTRC1H</v>
          </cell>
          <cell r="F86">
            <v>21</v>
          </cell>
          <cell r="G86">
            <v>0</v>
          </cell>
          <cell r="H86">
            <v>0</v>
          </cell>
          <cell r="I86">
            <v>0</v>
          </cell>
          <cell r="J86">
            <v>0</v>
          </cell>
          <cell r="K86">
            <v>21</v>
          </cell>
          <cell r="L86">
            <v>13.7</v>
          </cell>
          <cell r="M86">
            <v>287.7</v>
          </cell>
          <cell r="N86">
            <v>1</v>
          </cell>
          <cell r="O86">
            <v>1</v>
          </cell>
          <cell r="P86">
            <v>7</v>
          </cell>
          <cell r="Q86">
            <v>4</v>
          </cell>
          <cell r="R86">
            <v>-3</v>
          </cell>
          <cell r="S86">
            <v>142.258064516129</v>
          </cell>
          <cell r="T86">
            <v>4.74193548387097</v>
          </cell>
          <cell r="U86">
            <v>1.76277372262774</v>
          </cell>
          <cell r="V86">
            <v>2.97916176124323</v>
          </cell>
          <cell r="W86" t="str">
            <v>库存过高</v>
          </cell>
          <cell r="X86" t="str">
            <v>库存过高</v>
          </cell>
          <cell r="Y86">
            <v>8.58</v>
          </cell>
          <cell r="Z86">
            <v>14.58</v>
          </cell>
          <cell r="AA86">
            <v>46.98</v>
          </cell>
          <cell r="AB86">
            <v>0.660508083140878</v>
          </cell>
        </row>
        <row r="87">
          <cell r="A87" t="str">
            <v>美珠</v>
          </cell>
          <cell r="B87" t="str">
            <v>Y4063-WI+Y4064+Y4065</v>
          </cell>
          <cell r="C87" t="str">
            <v>机器人二代A14+2片软膜+背夹</v>
          </cell>
          <cell r="D87">
            <v>44925</v>
          </cell>
          <cell r="E87" t="str">
            <v>B0BKSV82S6</v>
          </cell>
          <cell r="F87">
            <v>22</v>
          </cell>
          <cell r="G87">
            <v>0</v>
          </cell>
          <cell r="H87">
            <v>0</v>
          </cell>
          <cell r="I87">
            <v>0</v>
          </cell>
          <cell r="J87">
            <v>0</v>
          </cell>
          <cell r="K87">
            <v>22</v>
          </cell>
          <cell r="L87">
            <v>13.7</v>
          </cell>
          <cell r="M87">
            <v>301.4</v>
          </cell>
          <cell r="N87">
            <v>1</v>
          </cell>
          <cell r="O87">
            <v>2</v>
          </cell>
          <cell r="P87">
            <v>4</v>
          </cell>
          <cell r="Q87">
            <v>1</v>
          </cell>
          <cell r="R87">
            <v>0</v>
          </cell>
          <cell r="S87">
            <v>161.162790697674</v>
          </cell>
          <cell r="T87">
            <v>5.37209302325581</v>
          </cell>
          <cell r="U87">
            <v>7.29166666666667</v>
          </cell>
          <cell r="V87">
            <v>-1.91957364341086</v>
          </cell>
          <cell r="W87" t="str">
            <v>库存过高</v>
          </cell>
          <cell r="X87" t="str">
            <v>库存过高</v>
          </cell>
          <cell r="Y87">
            <v>0</v>
          </cell>
          <cell r="Z87">
            <v>0</v>
          </cell>
          <cell r="AA87">
            <v>0</v>
          </cell>
          <cell r="AB87" t="str">
            <v>-</v>
          </cell>
        </row>
        <row r="88">
          <cell r="A88" t="str">
            <v>美珠</v>
          </cell>
          <cell r="B88" t="str">
            <v>Y4023-BL+Y4027+Y4031*1</v>
          </cell>
          <cell r="C88" t="str">
            <v>机器人二代iphone 14 pro max +2片软膜+背夹</v>
          </cell>
          <cell r="D88">
            <v>44797</v>
          </cell>
          <cell r="E88" t="str">
            <v>B0BLGHSPN7</v>
          </cell>
          <cell r="F88">
            <v>62</v>
          </cell>
          <cell r="G88">
            <v>0</v>
          </cell>
          <cell r="H88">
            <v>19</v>
          </cell>
          <cell r="I88">
            <v>1</v>
          </cell>
          <cell r="J88">
            <v>0</v>
          </cell>
          <cell r="K88">
            <v>82</v>
          </cell>
          <cell r="L88">
            <v>13.7</v>
          </cell>
          <cell r="M88">
            <v>1123.4</v>
          </cell>
          <cell r="N88">
            <v>12</v>
          </cell>
          <cell r="O88">
            <v>20</v>
          </cell>
          <cell r="P88">
            <v>49</v>
          </cell>
          <cell r="Q88">
            <v>16</v>
          </cell>
          <cell r="R88">
            <v>-4</v>
          </cell>
          <cell r="S88">
            <v>52.5534079348932</v>
          </cell>
          <cell r="T88">
            <v>1.75178026449644</v>
          </cell>
          <cell r="U88">
            <v>1.21849501359927</v>
          </cell>
          <cell r="V88">
            <v>0.53328525089717</v>
          </cell>
          <cell r="W88" t="str">
            <v>库存过高</v>
          </cell>
          <cell r="X88" t="str">
            <v>库存过高</v>
          </cell>
          <cell r="Y88">
            <v>0</v>
          </cell>
          <cell r="Z88">
            <v>0</v>
          </cell>
          <cell r="AA88">
            <v>0</v>
          </cell>
          <cell r="AB88" t="str">
            <v>-</v>
          </cell>
        </row>
        <row r="89">
          <cell r="A89" t="str">
            <v>美珠</v>
          </cell>
          <cell r="B89" t="str">
            <v>Y4055-BL+Y4056+Y4057</v>
          </cell>
          <cell r="C89" t="str">
            <v>机器人二代S23 +2片软膜+背夹</v>
          </cell>
          <cell r="D89">
            <v>44958</v>
          </cell>
          <cell r="E89" t="str">
            <v>B0BR5K255P</v>
          </cell>
          <cell r="F89">
            <v>25</v>
          </cell>
          <cell r="G89">
            <v>0</v>
          </cell>
          <cell r="H89">
            <v>0</v>
          </cell>
          <cell r="I89">
            <v>0</v>
          </cell>
          <cell r="J89">
            <v>0</v>
          </cell>
          <cell r="K89">
            <v>25</v>
          </cell>
          <cell r="L89">
            <v>13.7</v>
          </cell>
          <cell r="M89">
            <v>342.5</v>
          </cell>
          <cell r="N89">
            <v>0</v>
          </cell>
          <cell r="O89">
            <v>1</v>
          </cell>
          <cell r="P89">
            <v>4</v>
          </cell>
          <cell r="Q89">
            <v>1</v>
          </cell>
          <cell r="R89">
            <v>-1</v>
          </cell>
          <cell r="S89">
            <v>375</v>
          </cell>
          <cell r="T89">
            <v>12.5</v>
          </cell>
          <cell r="U89">
            <v>5.67</v>
          </cell>
          <cell r="V89">
            <v>6.83</v>
          </cell>
          <cell r="W89" t="str">
            <v>有库存无销量</v>
          </cell>
          <cell r="X89" t="str">
            <v>库存过高</v>
          </cell>
          <cell r="Y89">
            <v>1.42</v>
          </cell>
          <cell r="Z89">
            <v>3.04</v>
          </cell>
          <cell r="AA89">
            <v>6.23</v>
          </cell>
          <cell r="AB89" t="str">
            <v>-</v>
          </cell>
        </row>
        <row r="90">
          <cell r="A90" t="str">
            <v>美珠</v>
          </cell>
          <cell r="B90" t="str">
            <v>Y4055-DB+Y4056+Y4057</v>
          </cell>
          <cell r="C90" t="str">
            <v>机器人二代S23 +2片软膜+背夹</v>
          </cell>
          <cell r="D90">
            <v>44958</v>
          </cell>
          <cell r="E90" t="str">
            <v>B0BR5GYQ9M</v>
          </cell>
          <cell r="F90">
            <v>37</v>
          </cell>
          <cell r="G90">
            <v>0</v>
          </cell>
          <cell r="H90">
            <v>0</v>
          </cell>
          <cell r="I90">
            <v>0</v>
          </cell>
          <cell r="J90">
            <v>0</v>
          </cell>
          <cell r="K90">
            <v>37</v>
          </cell>
          <cell r="L90">
            <v>13.7</v>
          </cell>
          <cell r="M90">
            <v>506.9</v>
          </cell>
          <cell r="N90">
            <v>1</v>
          </cell>
          <cell r="O90">
            <v>1</v>
          </cell>
          <cell r="P90">
            <v>3</v>
          </cell>
          <cell r="Q90">
            <v>0</v>
          </cell>
          <cell r="R90">
            <v>1</v>
          </cell>
          <cell r="S90">
            <v>358.615384615385</v>
          </cell>
          <cell r="T90">
            <v>11.9538461538462</v>
          </cell>
          <cell r="U90" t="str">
            <v>-</v>
          </cell>
          <cell r="V90" t="str">
            <v>-</v>
          </cell>
          <cell r="W90" t="str">
            <v>库存过高</v>
          </cell>
          <cell r="X90" t="str">
            <v>库存过高</v>
          </cell>
          <cell r="Y90">
            <v>0.34</v>
          </cell>
          <cell r="Z90">
            <v>1.54</v>
          </cell>
          <cell r="AA90">
            <v>4</v>
          </cell>
          <cell r="AB90" t="str">
            <v>-</v>
          </cell>
        </row>
        <row r="91">
          <cell r="A91" t="str">
            <v>美珠</v>
          </cell>
          <cell r="B91" t="str">
            <v>Y4055-GW+Y4056+Y4057</v>
          </cell>
          <cell r="C91" t="str">
            <v>机器人二代S23 +2片软膜+背夹</v>
          </cell>
          <cell r="D91">
            <v>44958</v>
          </cell>
          <cell r="E91" t="str">
            <v>B0BR5GZTZB</v>
          </cell>
          <cell r="F91">
            <v>22</v>
          </cell>
          <cell r="G91">
            <v>0</v>
          </cell>
          <cell r="H91">
            <v>0</v>
          </cell>
          <cell r="I91">
            <v>0</v>
          </cell>
          <cell r="J91">
            <v>0</v>
          </cell>
          <cell r="K91">
            <v>22</v>
          </cell>
          <cell r="L91">
            <v>13.7</v>
          </cell>
          <cell r="M91">
            <v>301.4</v>
          </cell>
          <cell r="N91">
            <v>1</v>
          </cell>
          <cell r="O91">
            <v>2</v>
          </cell>
          <cell r="P91">
            <v>5</v>
          </cell>
          <cell r="Q91">
            <v>3</v>
          </cell>
          <cell r="R91">
            <v>-2</v>
          </cell>
          <cell r="S91">
            <v>149.032258064516</v>
          </cell>
          <cell r="T91">
            <v>4.96774193548387</v>
          </cell>
          <cell r="U91">
            <v>3.15686274509804</v>
          </cell>
          <cell r="V91">
            <v>1.81087919038583</v>
          </cell>
          <cell r="W91" t="str">
            <v>库存过高</v>
          </cell>
          <cell r="X91" t="str">
            <v>库存过高</v>
          </cell>
          <cell r="Y91">
            <v>2.55</v>
          </cell>
          <cell r="Z91">
            <v>7.02</v>
          </cell>
          <cell r="AA91">
            <v>14.58</v>
          </cell>
          <cell r="AB91">
            <v>0.232029117379436</v>
          </cell>
        </row>
        <row r="92">
          <cell r="A92" t="str">
            <v>美珠</v>
          </cell>
          <cell r="B92" t="str">
            <v>Y4055-OR+Y4056+Y4057</v>
          </cell>
          <cell r="C92" t="str">
            <v>机器人二代S23 +2片软膜+背夹</v>
          </cell>
          <cell r="D92">
            <v>44958</v>
          </cell>
          <cell r="E92" t="str">
            <v>B0BR5H1H36</v>
          </cell>
          <cell r="F92">
            <v>48</v>
          </cell>
          <cell r="G92">
            <v>0</v>
          </cell>
          <cell r="H92">
            <v>0</v>
          </cell>
          <cell r="I92">
            <v>0</v>
          </cell>
          <cell r="J92">
            <v>0</v>
          </cell>
          <cell r="K92">
            <v>48</v>
          </cell>
          <cell r="L92">
            <v>13.7</v>
          </cell>
          <cell r="M92">
            <v>657.6</v>
          </cell>
          <cell r="N92">
            <v>0</v>
          </cell>
          <cell r="O92">
            <v>0</v>
          </cell>
          <cell r="P92">
            <v>0</v>
          </cell>
          <cell r="Q92">
            <v>0</v>
          </cell>
          <cell r="R92">
            <v>0</v>
          </cell>
          <cell r="S92" t="str">
            <v>-</v>
          </cell>
          <cell r="T92" t="str">
            <v>-</v>
          </cell>
          <cell r="U92" t="str">
            <v>-</v>
          </cell>
          <cell r="V92" t="str">
            <v>-</v>
          </cell>
          <cell r="W92" t="str">
            <v>有库存无销量</v>
          </cell>
          <cell r="X92" t="str">
            <v>有库存无销量</v>
          </cell>
          <cell r="Y92">
            <v>4.08</v>
          </cell>
          <cell r="Z92">
            <v>8.16</v>
          </cell>
          <cell r="AA92">
            <v>19.45</v>
          </cell>
          <cell r="AB92" t="str">
            <v>-</v>
          </cell>
        </row>
        <row r="93">
          <cell r="A93" t="str">
            <v>美珠</v>
          </cell>
          <cell r="B93" t="str">
            <v>Y4055-WI+Y4056+Y4057</v>
          </cell>
          <cell r="C93" t="str">
            <v>机器人二代S23 +2片软膜+背夹</v>
          </cell>
          <cell r="D93">
            <v>44958</v>
          </cell>
          <cell r="E93" t="str">
            <v>B0BR5JLT3B</v>
          </cell>
          <cell r="F93">
            <v>13</v>
          </cell>
          <cell r="G93">
            <v>0</v>
          </cell>
          <cell r="H93">
            <v>0</v>
          </cell>
          <cell r="I93">
            <v>0</v>
          </cell>
          <cell r="J93">
            <v>0</v>
          </cell>
          <cell r="K93">
            <v>13</v>
          </cell>
          <cell r="L93">
            <v>13.7</v>
          </cell>
          <cell r="M93">
            <v>178.1</v>
          </cell>
          <cell r="N93">
            <v>0</v>
          </cell>
          <cell r="O93">
            <v>1</v>
          </cell>
          <cell r="P93">
            <v>3</v>
          </cell>
          <cell r="Q93">
            <v>1</v>
          </cell>
          <cell r="R93">
            <v>-1</v>
          </cell>
          <cell r="S93">
            <v>234</v>
          </cell>
          <cell r="T93">
            <v>7.8</v>
          </cell>
          <cell r="U93">
            <v>2.94</v>
          </cell>
          <cell r="V93">
            <v>4.86</v>
          </cell>
          <cell r="W93" t="str">
            <v>有库存无销量</v>
          </cell>
          <cell r="X93" t="str">
            <v>库存过高</v>
          </cell>
          <cell r="Y93">
            <v>4.82</v>
          </cell>
          <cell r="Z93">
            <v>11.16</v>
          </cell>
          <cell r="AA93">
            <v>22.15</v>
          </cell>
          <cell r="AB93" t="str">
            <v>-</v>
          </cell>
        </row>
        <row r="94">
          <cell r="A94" t="str">
            <v>美珠</v>
          </cell>
          <cell r="B94" t="str">
            <v>Y4058-BL+Y4059+Y4060</v>
          </cell>
          <cell r="C94" t="str">
            <v>机器人二代S23 plus+2片软膜+背夹</v>
          </cell>
          <cell r="D94">
            <v>44958</v>
          </cell>
          <cell r="E94" t="str">
            <v>B0BR5KX742</v>
          </cell>
          <cell r="F94">
            <v>33</v>
          </cell>
          <cell r="G94">
            <v>0</v>
          </cell>
          <cell r="H94">
            <v>0</v>
          </cell>
          <cell r="I94">
            <v>0</v>
          </cell>
          <cell r="J94">
            <v>0</v>
          </cell>
          <cell r="K94">
            <v>33</v>
          </cell>
          <cell r="L94">
            <v>13.7</v>
          </cell>
          <cell r="M94">
            <v>452.1</v>
          </cell>
          <cell r="N94">
            <v>3</v>
          </cell>
          <cell r="O94">
            <v>7</v>
          </cell>
          <cell r="P94">
            <v>8</v>
          </cell>
          <cell r="Q94">
            <v>0</v>
          </cell>
          <cell r="R94">
            <v>3</v>
          </cell>
          <cell r="S94">
            <v>85.2049180327869</v>
          </cell>
          <cell r="T94">
            <v>2.84016393442623</v>
          </cell>
          <cell r="U94">
            <v>39</v>
          </cell>
          <cell r="V94">
            <v>-36.1598360655738</v>
          </cell>
          <cell r="W94" t="str">
            <v>库存过高</v>
          </cell>
          <cell r="X94" t="str">
            <v>库存过高</v>
          </cell>
          <cell r="Y94">
            <v>0</v>
          </cell>
          <cell r="Z94">
            <v>0.69</v>
          </cell>
          <cell r="AA94">
            <v>1.45</v>
          </cell>
          <cell r="AB94" t="str">
            <v>-</v>
          </cell>
        </row>
        <row r="95">
          <cell r="A95" t="str">
            <v>美珠</v>
          </cell>
          <cell r="B95" t="str">
            <v>Y4058-DB+Y4059+Y4060</v>
          </cell>
          <cell r="C95" t="str">
            <v>机器人二代S23 plus+2片软膜+背夹</v>
          </cell>
          <cell r="D95">
            <v>44958</v>
          </cell>
          <cell r="E95" t="str">
            <v>B0BR5JYZF1</v>
          </cell>
          <cell r="F95">
            <v>44</v>
          </cell>
          <cell r="G95">
            <v>0</v>
          </cell>
          <cell r="H95">
            <v>0</v>
          </cell>
          <cell r="I95">
            <v>0</v>
          </cell>
          <cell r="J95">
            <v>0</v>
          </cell>
          <cell r="K95">
            <v>44</v>
          </cell>
          <cell r="L95">
            <v>13.7</v>
          </cell>
          <cell r="M95">
            <v>602.8</v>
          </cell>
          <cell r="N95">
            <v>0</v>
          </cell>
          <cell r="O95">
            <v>0</v>
          </cell>
          <cell r="P95">
            <v>1</v>
          </cell>
          <cell r="Q95">
            <v>0</v>
          </cell>
          <cell r="R95">
            <v>0</v>
          </cell>
          <cell r="S95">
            <v>3960</v>
          </cell>
          <cell r="T95">
            <v>132</v>
          </cell>
          <cell r="U95">
            <v>32.25</v>
          </cell>
          <cell r="V95">
            <v>99.75</v>
          </cell>
          <cell r="W95" t="str">
            <v>有库存无销量</v>
          </cell>
          <cell r="X95" t="str">
            <v>库存过高</v>
          </cell>
          <cell r="Y95">
            <v>0.96</v>
          </cell>
          <cell r="Z95">
            <v>1.44</v>
          </cell>
          <cell r="AA95">
            <v>3.78</v>
          </cell>
          <cell r="AB95" t="str">
            <v>-</v>
          </cell>
        </row>
        <row r="96">
          <cell r="A96" t="str">
            <v>美珠</v>
          </cell>
          <cell r="B96" t="str">
            <v>Y4058-GW+Y4059+Y4060</v>
          </cell>
          <cell r="C96" t="str">
            <v>机器人二代S23 plus+2片软膜+背夹</v>
          </cell>
          <cell r="D96">
            <v>44958</v>
          </cell>
          <cell r="E96" t="str">
            <v>B0BR5JYNWN</v>
          </cell>
          <cell r="F96">
            <v>18</v>
          </cell>
          <cell r="G96">
            <v>0</v>
          </cell>
          <cell r="H96">
            <v>0</v>
          </cell>
          <cell r="I96">
            <v>0</v>
          </cell>
          <cell r="J96">
            <v>0</v>
          </cell>
          <cell r="K96">
            <v>18</v>
          </cell>
          <cell r="L96">
            <v>13.7</v>
          </cell>
          <cell r="M96">
            <v>246.6</v>
          </cell>
          <cell r="N96">
            <v>1</v>
          </cell>
          <cell r="O96">
            <v>1</v>
          </cell>
          <cell r="P96">
            <v>2</v>
          </cell>
          <cell r="Q96">
            <v>0</v>
          </cell>
          <cell r="R96">
            <v>1</v>
          </cell>
          <cell r="S96">
            <v>195.51724137931</v>
          </cell>
          <cell r="T96">
            <v>6.51724137931035</v>
          </cell>
          <cell r="U96">
            <v>9.5</v>
          </cell>
          <cell r="V96">
            <v>-2.98275862068965</v>
          </cell>
          <cell r="W96" t="str">
            <v>库存过高</v>
          </cell>
          <cell r="X96" t="str">
            <v>库存过高</v>
          </cell>
          <cell r="Y96">
            <v>5.38</v>
          </cell>
          <cell r="Z96">
            <v>9.73</v>
          </cell>
          <cell r="AA96">
            <v>21.73</v>
          </cell>
          <cell r="AB96" t="str">
            <v>-</v>
          </cell>
        </row>
        <row r="97">
          <cell r="A97" t="str">
            <v>美珠</v>
          </cell>
          <cell r="B97" t="str">
            <v>Y4058-OR+Y4059+Y4060</v>
          </cell>
          <cell r="C97" t="str">
            <v>机器人二代S23 plus+2片软膜+背夹</v>
          </cell>
          <cell r="D97">
            <v>44958</v>
          </cell>
          <cell r="E97" t="str">
            <v>B0BR5JFYJ5</v>
          </cell>
          <cell r="F97">
            <v>43</v>
          </cell>
          <cell r="G97">
            <v>0</v>
          </cell>
          <cell r="H97">
            <v>0</v>
          </cell>
          <cell r="I97">
            <v>0</v>
          </cell>
          <cell r="J97">
            <v>0</v>
          </cell>
          <cell r="K97">
            <v>43</v>
          </cell>
          <cell r="L97">
            <v>13.7</v>
          </cell>
          <cell r="M97">
            <v>589.1</v>
          </cell>
          <cell r="N97">
            <v>0</v>
          </cell>
          <cell r="O97">
            <v>1</v>
          </cell>
          <cell r="P97">
            <v>1</v>
          </cell>
          <cell r="Q97">
            <v>0</v>
          </cell>
          <cell r="R97">
            <v>0</v>
          </cell>
          <cell r="S97">
            <v>1290</v>
          </cell>
          <cell r="T97">
            <v>43</v>
          </cell>
          <cell r="U97">
            <v>44</v>
          </cell>
          <cell r="V97">
            <v>-1</v>
          </cell>
          <cell r="W97" t="str">
            <v>有库存无销量</v>
          </cell>
          <cell r="X97" t="str">
            <v>库存过高</v>
          </cell>
          <cell r="Y97">
            <v>2.65</v>
          </cell>
          <cell r="Z97">
            <v>5.21</v>
          </cell>
          <cell r="AA97">
            <v>9.89</v>
          </cell>
          <cell r="AB97">
            <v>0.241128298453139</v>
          </cell>
        </row>
        <row r="98">
          <cell r="A98" t="str">
            <v>美珠</v>
          </cell>
          <cell r="B98" t="str">
            <v>Y4058-WI+Y4059+Y4060</v>
          </cell>
          <cell r="C98" t="str">
            <v>机器人二代S23 plus+2片软膜+背夹</v>
          </cell>
          <cell r="D98">
            <v>44958</v>
          </cell>
          <cell r="E98" t="str">
            <v>B0BR5JH463</v>
          </cell>
          <cell r="F98">
            <v>21</v>
          </cell>
          <cell r="G98">
            <v>0</v>
          </cell>
          <cell r="H98">
            <v>0</v>
          </cell>
          <cell r="I98">
            <v>0</v>
          </cell>
          <cell r="J98">
            <v>0</v>
          </cell>
          <cell r="K98">
            <v>21</v>
          </cell>
          <cell r="L98">
            <v>13.7</v>
          </cell>
          <cell r="M98">
            <v>287.7</v>
          </cell>
          <cell r="N98">
            <v>1</v>
          </cell>
          <cell r="O98">
            <v>1</v>
          </cell>
          <cell r="P98">
            <v>4</v>
          </cell>
          <cell r="Q98">
            <v>0</v>
          </cell>
          <cell r="R98">
            <v>1</v>
          </cell>
          <cell r="S98">
            <v>183.75</v>
          </cell>
          <cell r="T98">
            <v>6.125</v>
          </cell>
          <cell r="U98">
            <v>11.5</v>
          </cell>
          <cell r="V98">
            <v>-5.375</v>
          </cell>
          <cell r="W98" t="str">
            <v>库存过高</v>
          </cell>
          <cell r="X98" t="str">
            <v>库存过高</v>
          </cell>
          <cell r="Y98">
            <v>3.35</v>
          </cell>
          <cell r="Z98">
            <v>4.55</v>
          </cell>
          <cell r="AA98">
            <v>7.51</v>
          </cell>
          <cell r="AB98" t="str">
            <v>-</v>
          </cell>
        </row>
        <row r="99">
          <cell r="A99" t="str">
            <v>美珠</v>
          </cell>
          <cell r="B99" t="str">
            <v>Y4061-BL+Y4062</v>
          </cell>
          <cell r="C99" t="str">
            <v>机器人二代S23 ULTRA</v>
          </cell>
          <cell r="D99">
            <v>44958</v>
          </cell>
          <cell r="E99" t="str">
            <v>B0BR5K5N5D</v>
          </cell>
          <cell r="F99">
            <v>23</v>
          </cell>
          <cell r="G99">
            <v>0</v>
          </cell>
          <cell r="H99">
            <v>0</v>
          </cell>
          <cell r="I99">
            <v>0</v>
          </cell>
          <cell r="J99">
            <v>0</v>
          </cell>
          <cell r="K99">
            <v>23</v>
          </cell>
          <cell r="L99">
            <v>11</v>
          </cell>
          <cell r="M99">
            <v>253</v>
          </cell>
          <cell r="N99">
            <v>1</v>
          </cell>
          <cell r="O99">
            <v>4</v>
          </cell>
          <cell r="P99">
            <v>7</v>
          </cell>
          <cell r="Q99">
            <v>1</v>
          </cell>
          <cell r="R99">
            <v>0</v>
          </cell>
          <cell r="S99">
            <v>107.333333333333</v>
          </cell>
          <cell r="T99">
            <v>3.57777777777778</v>
          </cell>
          <cell r="U99">
            <v>8.45833333333333</v>
          </cell>
          <cell r="V99">
            <v>-4.88055555555555</v>
          </cell>
          <cell r="W99" t="str">
            <v>库存过高</v>
          </cell>
          <cell r="X99" t="str">
            <v>库存过高</v>
          </cell>
          <cell r="Y99">
            <v>2.03</v>
          </cell>
          <cell r="Z99">
            <v>4.43</v>
          </cell>
          <cell r="AA99">
            <v>8.27</v>
          </cell>
          <cell r="AB99" t="str">
            <v>-</v>
          </cell>
        </row>
        <row r="100">
          <cell r="A100" t="str">
            <v>美珠</v>
          </cell>
          <cell r="B100" t="str">
            <v>Y4061-DB+Y4062</v>
          </cell>
          <cell r="C100" t="str">
            <v>机器人二代S23 ULTRA</v>
          </cell>
          <cell r="D100">
            <v>44958</v>
          </cell>
          <cell r="E100" t="str">
            <v>B0BR5JJSRT</v>
          </cell>
          <cell r="F100">
            <v>20</v>
          </cell>
          <cell r="G100">
            <v>0</v>
          </cell>
          <cell r="H100">
            <v>0</v>
          </cell>
          <cell r="I100">
            <v>0</v>
          </cell>
          <cell r="J100">
            <v>0</v>
          </cell>
          <cell r="K100">
            <v>20</v>
          </cell>
          <cell r="L100">
            <v>11</v>
          </cell>
          <cell r="M100">
            <v>220</v>
          </cell>
          <cell r="N100">
            <v>0</v>
          </cell>
          <cell r="O100">
            <v>0</v>
          </cell>
          <cell r="P100">
            <v>4</v>
          </cell>
          <cell r="Q100">
            <v>2</v>
          </cell>
          <cell r="R100">
            <v>-2</v>
          </cell>
          <cell r="S100">
            <v>450</v>
          </cell>
          <cell r="T100">
            <v>15</v>
          </cell>
          <cell r="U100">
            <v>2.37096774193548</v>
          </cell>
          <cell r="V100">
            <v>12.6290322580645</v>
          </cell>
          <cell r="W100" t="str">
            <v>有库存无销量</v>
          </cell>
          <cell r="X100" t="str">
            <v>库存过高</v>
          </cell>
          <cell r="Y100">
            <v>1.93</v>
          </cell>
          <cell r="Z100">
            <v>3.98</v>
          </cell>
          <cell r="AA100">
            <v>12.52</v>
          </cell>
          <cell r="AB100" t="str">
            <v>-</v>
          </cell>
        </row>
        <row r="101">
          <cell r="A101" t="str">
            <v>美珠</v>
          </cell>
          <cell r="B101" t="str">
            <v>Y4061-GW+Y4062</v>
          </cell>
          <cell r="C101" t="str">
            <v>机器人二代S23 ULTRA</v>
          </cell>
          <cell r="D101">
            <v>44958</v>
          </cell>
          <cell r="E101" t="str">
            <v>B0BR5KSG5G</v>
          </cell>
          <cell r="F101">
            <v>26</v>
          </cell>
          <cell r="G101">
            <v>0</v>
          </cell>
          <cell r="H101">
            <v>7</v>
          </cell>
          <cell r="I101">
            <v>0</v>
          </cell>
          <cell r="J101">
            <v>0</v>
          </cell>
          <cell r="K101">
            <v>33</v>
          </cell>
          <cell r="L101">
            <v>11</v>
          </cell>
          <cell r="M101">
            <v>363</v>
          </cell>
          <cell r="N101">
            <v>0</v>
          </cell>
          <cell r="O101">
            <v>0</v>
          </cell>
          <cell r="P101">
            <v>1</v>
          </cell>
          <cell r="Q101">
            <v>0</v>
          </cell>
          <cell r="R101">
            <v>0</v>
          </cell>
          <cell r="S101">
            <v>2970</v>
          </cell>
          <cell r="T101">
            <v>99</v>
          </cell>
          <cell r="U101">
            <v>60</v>
          </cell>
          <cell r="V101">
            <v>39</v>
          </cell>
          <cell r="W101" t="str">
            <v>有库存无销量</v>
          </cell>
          <cell r="X101" t="str">
            <v>库存过高</v>
          </cell>
          <cell r="Y101">
            <v>0.66</v>
          </cell>
          <cell r="Z101">
            <v>2.14</v>
          </cell>
          <cell r="AA101">
            <v>8.79</v>
          </cell>
          <cell r="AB101" t="str">
            <v>-</v>
          </cell>
        </row>
        <row r="102">
          <cell r="A102" t="str">
            <v>美珠</v>
          </cell>
          <cell r="B102" t="str">
            <v>Y4061-OR+Y4062</v>
          </cell>
          <cell r="C102" t="str">
            <v>机器人二代S23 ULTRA</v>
          </cell>
          <cell r="D102">
            <v>44958</v>
          </cell>
          <cell r="E102" t="str">
            <v>B0BR5K4D94</v>
          </cell>
          <cell r="F102">
            <v>31</v>
          </cell>
          <cell r="G102">
            <v>0</v>
          </cell>
          <cell r="H102">
            <v>0</v>
          </cell>
          <cell r="I102">
            <v>0</v>
          </cell>
          <cell r="J102">
            <v>0</v>
          </cell>
          <cell r="K102">
            <v>31</v>
          </cell>
          <cell r="L102">
            <v>11</v>
          </cell>
          <cell r="M102">
            <v>341</v>
          </cell>
          <cell r="N102">
            <v>1</v>
          </cell>
          <cell r="O102">
            <v>2</v>
          </cell>
          <cell r="P102">
            <v>6</v>
          </cell>
          <cell r="Q102">
            <v>1</v>
          </cell>
          <cell r="R102">
            <v>0</v>
          </cell>
          <cell r="S102">
            <v>195.3</v>
          </cell>
          <cell r="T102">
            <v>6.51</v>
          </cell>
          <cell r="U102">
            <v>11.6307692307692</v>
          </cell>
          <cell r="V102">
            <v>-5.1207692307692</v>
          </cell>
          <cell r="W102" t="str">
            <v>库存过高</v>
          </cell>
          <cell r="X102" t="str">
            <v>库存过高</v>
          </cell>
          <cell r="Y102">
            <v>3.13</v>
          </cell>
          <cell r="Z102">
            <v>5.03</v>
          </cell>
          <cell r="AA102">
            <v>19.58</v>
          </cell>
          <cell r="AB102">
            <v>0.240954580446497</v>
          </cell>
        </row>
        <row r="103">
          <cell r="A103" t="str">
            <v>美珠</v>
          </cell>
          <cell r="B103" t="str">
            <v>Y4061-WI+Y4062</v>
          </cell>
          <cell r="C103" t="str">
            <v>机器人二代S23 ULTRA</v>
          </cell>
          <cell r="D103">
            <v>44958</v>
          </cell>
          <cell r="E103" t="str">
            <v>B0BR5JQD7X</v>
          </cell>
          <cell r="F103">
            <v>6</v>
          </cell>
          <cell r="G103">
            <v>0</v>
          </cell>
          <cell r="H103">
            <v>0</v>
          </cell>
          <cell r="I103">
            <v>1</v>
          </cell>
          <cell r="J103">
            <v>0</v>
          </cell>
          <cell r="K103">
            <v>7</v>
          </cell>
          <cell r="L103">
            <v>11</v>
          </cell>
          <cell r="M103">
            <v>77</v>
          </cell>
          <cell r="N103">
            <v>3</v>
          </cell>
          <cell r="O103">
            <v>3</v>
          </cell>
          <cell r="P103">
            <v>8</v>
          </cell>
          <cell r="Q103">
            <v>3</v>
          </cell>
          <cell r="R103">
            <v>0</v>
          </cell>
          <cell r="S103">
            <v>23.4574468085106</v>
          </cell>
          <cell r="T103">
            <v>0.781914893617021</v>
          </cell>
          <cell r="U103">
            <v>1.20574162679426</v>
          </cell>
          <cell r="V103">
            <v>-0.423826733177239</v>
          </cell>
          <cell r="W103" t="str">
            <v>正常</v>
          </cell>
          <cell r="X103" t="str">
            <v>正常</v>
          </cell>
          <cell r="Y103">
            <v>4.2</v>
          </cell>
          <cell r="Z103">
            <v>8.43</v>
          </cell>
          <cell r="AA103">
            <v>33.3</v>
          </cell>
          <cell r="AB103">
            <v>0.175145954962469</v>
          </cell>
        </row>
        <row r="104">
          <cell r="A104" t="str">
            <v>美珠</v>
          </cell>
          <cell r="B104" t="str">
            <v>Y4066-BL+Y4068</v>
          </cell>
          <cell r="C104" t="str">
            <v>机器人二代A54 5G</v>
          </cell>
          <cell r="D104">
            <v>44946</v>
          </cell>
          <cell r="E104" t="str">
            <v>B0BRX7TLDB</v>
          </cell>
          <cell r="F104">
            <v>32</v>
          </cell>
          <cell r="G104">
            <v>0</v>
          </cell>
          <cell r="H104">
            <v>1</v>
          </cell>
          <cell r="I104">
            <v>0</v>
          </cell>
          <cell r="J104">
            <v>0</v>
          </cell>
          <cell r="K104">
            <v>33</v>
          </cell>
          <cell r="L104">
            <v>11</v>
          </cell>
          <cell r="M104">
            <v>363</v>
          </cell>
          <cell r="N104">
            <v>2</v>
          </cell>
          <cell r="O104">
            <v>3</v>
          </cell>
          <cell r="P104">
            <v>6</v>
          </cell>
          <cell r="Q104">
            <v>3</v>
          </cell>
          <cell r="R104">
            <v>-1</v>
          </cell>
          <cell r="S104">
            <v>144.375</v>
          </cell>
          <cell r="T104">
            <v>4.8125</v>
          </cell>
          <cell r="U104">
            <v>4.06077348066298</v>
          </cell>
          <cell r="V104">
            <v>0.75172651933702</v>
          </cell>
          <cell r="W104" t="str">
            <v>库存过高</v>
          </cell>
          <cell r="X104" t="str">
            <v>库存过高</v>
          </cell>
          <cell r="Y104">
            <v>0.43</v>
          </cell>
          <cell r="Z104">
            <v>0.91</v>
          </cell>
          <cell r="AA104">
            <v>1.3</v>
          </cell>
          <cell r="AB104" t="str">
            <v>-</v>
          </cell>
        </row>
        <row r="105">
          <cell r="A105" t="str">
            <v>美珠</v>
          </cell>
          <cell r="B105" t="str">
            <v>Y4066-DB+Y4068</v>
          </cell>
          <cell r="C105" t="str">
            <v>机器人二代A54 5G</v>
          </cell>
          <cell r="D105">
            <v>44946</v>
          </cell>
          <cell r="E105" t="str">
            <v>B0BRX8SS1F</v>
          </cell>
          <cell r="F105">
            <v>38</v>
          </cell>
          <cell r="G105">
            <v>0</v>
          </cell>
          <cell r="H105">
            <v>0</v>
          </cell>
          <cell r="I105">
            <v>0</v>
          </cell>
          <cell r="J105">
            <v>0</v>
          </cell>
          <cell r="K105">
            <v>38</v>
          </cell>
          <cell r="L105">
            <v>11</v>
          </cell>
          <cell r="M105">
            <v>418</v>
          </cell>
          <cell r="N105">
            <v>0</v>
          </cell>
          <cell r="O105">
            <v>0</v>
          </cell>
          <cell r="P105">
            <v>0</v>
          </cell>
          <cell r="Q105">
            <v>0</v>
          </cell>
          <cell r="R105">
            <v>0</v>
          </cell>
          <cell r="S105" t="str">
            <v>-</v>
          </cell>
          <cell r="T105" t="str">
            <v>-</v>
          </cell>
          <cell r="U105">
            <v>39</v>
          </cell>
          <cell r="V105" t="str">
            <v>-</v>
          </cell>
          <cell r="W105" t="str">
            <v>有库存无销量</v>
          </cell>
          <cell r="X105" t="str">
            <v>有库存无销量</v>
          </cell>
          <cell r="Y105">
            <v>0.39</v>
          </cell>
          <cell r="Z105">
            <v>0.78</v>
          </cell>
          <cell r="AA105">
            <v>0.96</v>
          </cell>
          <cell r="AB105" t="str">
            <v>-</v>
          </cell>
        </row>
        <row r="106">
          <cell r="A106" t="str">
            <v>美珠</v>
          </cell>
          <cell r="B106" t="str">
            <v>Y4066-GW+Y4068</v>
          </cell>
          <cell r="C106" t="str">
            <v>机器人二代A54 5G</v>
          </cell>
          <cell r="D106">
            <v>44946</v>
          </cell>
          <cell r="E106" t="str">
            <v>B0BRX92691</v>
          </cell>
          <cell r="F106">
            <v>19</v>
          </cell>
          <cell r="G106">
            <v>0</v>
          </cell>
          <cell r="H106">
            <v>0</v>
          </cell>
          <cell r="I106">
            <v>0</v>
          </cell>
          <cell r="J106">
            <v>0</v>
          </cell>
          <cell r="K106">
            <v>19</v>
          </cell>
          <cell r="L106">
            <v>11</v>
          </cell>
          <cell r="M106">
            <v>209</v>
          </cell>
          <cell r="N106">
            <v>0</v>
          </cell>
          <cell r="O106">
            <v>0</v>
          </cell>
          <cell r="P106">
            <v>0</v>
          </cell>
          <cell r="Q106">
            <v>0</v>
          </cell>
          <cell r="R106">
            <v>0</v>
          </cell>
          <cell r="S106" t="str">
            <v>-</v>
          </cell>
          <cell r="T106" t="str">
            <v>-</v>
          </cell>
          <cell r="U106">
            <v>19</v>
          </cell>
          <cell r="V106" t="str">
            <v>-</v>
          </cell>
          <cell r="W106" t="str">
            <v>有库存无销量</v>
          </cell>
          <cell r="X106" t="str">
            <v>有库存无销量</v>
          </cell>
          <cell r="Y106">
            <v>0.93</v>
          </cell>
          <cell r="Z106">
            <v>1.47</v>
          </cell>
          <cell r="AA106">
            <v>1.65</v>
          </cell>
          <cell r="AB106" t="str">
            <v>-</v>
          </cell>
        </row>
        <row r="107">
          <cell r="A107" t="str">
            <v>美珠</v>
          </cell>
          <cell r="B107" t="str">
            <v>Y4066-OR+Y4068</v>
          </cell>
          <cell r="C107" t="str">
            <v>机器人二代A54 5G</v>
          </cell>
          <cell r="D107">
            <v>44946</v>
          </cell>
          <cell r="E107" t="str">
            <v>B0BRX8H8BT</v>
          </cell>
          <cell r="F107">
            <v>25</v>
          </cell>
          <cell r="G107">
            <v>0</v>
          </cell>
          <cell r="H107">
            <v>0</v>
          </cell>
          <cell r="I107">
            <v>0</v>
          </cell>
          <cell r="J107">
            <v>0</v>
          </cell>
          <cell r="K107">
            <v>25</v>
          </cell>
          <cell r="L107">
            <v>11</v>
          </cell>
          <cell r="M107">
            <v>275</v>
          </cell>
          <cell r="N107">
            <v>1</v>
          </cell>
          <cell r="O107">
            <v>1</v>
          </cell>
          <cell r="P107">
            <v>1</v>
          </cell>
          <cell r="Q107">
            <v>0</v>
          </cell>
          <cell r="R107">
            <v>1</v>
          </cell>
          <cell r="S107">
            <v>308.823529411765</v>
          </cell>
          <cell r="T107">
            <v>10.2941176470588</v>
          </cell>
          <cell r="U107">
            <v>8.66666666666667</v>
          </cell>
          <cell r="V107">
            <v>1.62745098039215</v>
          </cell>
          <cell r="W107" t="str">
            <v>库存过高</v>
          </cell>
          <cell r="X107" t="str">
            <v>库存过高</v>
          </cell>
          <cell r="Y107">
            <v>0.18</v>
          </cell>
          <cell r="Z107">
            <v>0.18</v>
          </cell>
          <cell r="AA107">
            <v>0.18</v>
          </cell>
          <cell r="AB107" t="str">
            <v>-</v>
          </cell>
        </row>
        <row r="108">
          <cell r="A108" t="str">
            <v>美珠</v>
          </cell>
          <cell r="B108" t="str">
            <v>Y4066-WI+Y4068</v>
          </cell>
          <cell r="C108" t="str">
            <v>机器人二代A54 5G</v>
          </cell>
          <cell r="D108">
            <v>44946</v>
          </cell>
          <cell r="E108" t="str">
            <v>B0BRX8HDRX</v>
          </cell>
          <cell r="F108">
            <v>24</v>
          </cell>
          <cell r="G108">
            <v>0</v>
          </cell>
          <cell r="H108">
            <v>0</v>
          </cell>
          <cell r="I108">
            <v>0</v>
          </cell>
          <cell r="J108">
            <v>0</v>
          </cell>
          <cell r="K108">
            <v>24</v>
          </cell>
          <cell r="L108">
            <v>11</v>
          </cell>
          <cell r="M108">
            <v>264</v>
          </cell>
          <cell r="N108">
            <v>0</v>
          </cell>
          <cell r="O108">
            <v>0</v>
          </cell>
          <cell r="P108">
            <v>0</v>
          </cell>
          <cell r="Q108">
            <v>0</v>
          </cell>
          <cell r="R108">
            <v>0</v>
          </cell>
          <cell r="S108" t="str">
            <v>-</v>
          </cell>
          <cell r="T108" t="str">
            <v>-</v>
          </cell>
          <cell r="U108">
            <v>72</v>
          </cell>
          <cell r="V108" t="str">
            <v>-</v>
          </cell>
          <cell r="W108" t="str">
            <v>有库存无销量</v>
          </cell>
          <cell r="X108" t="str">
            <v>有库存无销量</v>
          </cell>
          <cell r="Y108">
            <v>0.18</v>
          </cell>
          <cell r="Z108">
            <v>0.36</v>
          </cell>
          <cell r="AA108">
            <v>0.36</v>
          </cell>
          <cell r="AB108" t="str">
            <v>-</v>
          </cell>
        </row>
        <row r="109">
          <cell r="A109" t="str">
            <v>美珠</v>
          </cell>
          <cell r="B109" t="str">
            <v>Y4069-BL+Y4070+Y4071</v>
          </cell>
          <cell r="C109" t="str">
            <v>机器人二代Moto G Power 5G 2023</v>
          </cell>
          <cell r="D109">
            <v>45054</v>
          </cell>
          <cell r="E109" t="str">
            <v>B0C3B7GM6N</v>
          </cell>
          <cell r="F109">
            <v>21</v>
          </cell>
          <cell r="G109">
            <v>0</v>
          </cell>
          <cell r="H109">
            <v>0</v>
          </cell>
          <cell r="I109">
            <v>1</v>
          </cell>
          <cell r="J109">
            <v>0</v>
          </cell>
          <cell r="K109">
            <v>22</v>
          </cell>
          <cell r="L109">
            <v>13.7</v>
          </cell>
          <cell r="M109">
            <v>301.4</v>
          </cell>
          <cell r="N109">
            <v>4</v>
          </cell>
          <cell r="O109">
            <v>7</v>
          </cell>
          <cell r="P109">
            <v>9</v>
          </cell>
          <cell r="Q109">
            <v>1</v>
          </cell>
          <cell r="R109">
            <v>3</v>
          </cell>
          <cell r="S109">
            <v>49.3238434163701</v>
          </cell>
          <cell r="T109">
            <v>1.644128113879</v>
          </cell>
          <cell r="U109">
            <v>3.80536912751678</v>
          </cell>
          <cell r="V109">
            <v>-2.16124101363778</v>
          </cell>
          <cell r="W109" t="str">
            <v>正常</v>
          </cell>
          <cell r="X109" t="str">
            <v>库存过高</v>
          </cell>
          <cell r="Y109">
            <v>3.85</v>
          </cell>
          <cell r="Z109">
            <v>6.97</v>
          </cell>
          <cell r="AA109">
            <v>10.5</v>
          </cell>
          <cell r="AB109" t="str">
            <v>-</v>
          </cell>
        </row>
        <row r="110">
          <cell r="A110" t="str">
            <v>美珠</v>
          </cell>
          <cell r="B110" t="str">
            <v>Y4069-DB+Y4070+Y4071</v>
          </cell>
          <cell r="C110" t="str">
            <v>机器人二代Moto G Power 5G 2023</v>
          </cell>
          <cell r="D110">
            <v>45054</v>
          </cell>
          <cell r="E110" t="str">
            <v>B0C3B7W6WP</v>
          </cell>
          <cell r="F110">
            <v>35</v>
          </cell>
          <cell r="G110">
            <v>0</v>
          </cell>
          <cell r="H110">
            <v>0</v>
          </cell>
          <cell r="I110">
            <v>0</v>
          </cell>
          <cell r="J110">
            <v>0</v>
          </cell>
          <cell r="K110">
            <v>35</v>
          </cell>
          <cell r="L110">
            <v>13.7</v>
          </cell>
          <cell r="M110">
            <v>479.5</v>
          </cell>
          <cell r="N110">
            <v>0</v>
          </cell>
          <cell r="O110">
            <v>1</v>
          </cell>
          <cell r="P110">
            <v>5</v>
          </cell>
          <cell r="Q110">
            <v>1</v>
          </cell>
          <cell r="R110">
            <v>-1</v>
          </cell>
          <cell r="S110">
            <v>450</v>
          </cell>
          <cell r="T110">
            <v>15</v>
          </cell>
          <cell r="U110">
            <v>10.3670886075949</v>
          </cell>
          <cell r="V110">
            <v>4.6329113924051</v>
          </cell>
          <cell r="W110" t="str">
            <v>有库存无销量</v>
          </cell>
          <cell r="X110" t="str">
            <v>库存过高</v>
          </cell>
          <cell r="Y110">
            <v>1.12</v>
          </cell>
          <cell r="Z110">
            <v>3.12</v>
          </cell>
          <cell r="AA110">
            <v>6.73</v>
          </cell>
          <cell r="AB110">
            <v>0.086220169361047</v>
          </cell>
        </row>
        <row r="111">
          <cell r="A111" t="str">
            <v>美珠</v>
          </cell>
          <cell r="B111" t="str">
            <v>Y4069-GW+Y4070+Y4071</v>
          </cell>
          <cell r="C111" t="str">
            <v>机器人二代Moto G Power 5G 2023</v>
          </cell>
          <cell r="D111">
            <v>45054</v>
          </cell>
          <cell r="E111" t="str">
            <v>B0C3B9BYRT</v>
          </cell>
          <cell r="F111">
            <v>23</v>
          </cell>
          <cell r="G111">
            <v>0</v>
          </cell>
          <cell r="H111">
            <v>0</v>
          </cell>
          <cell r="I111">
            <v>0</v>
          </cell>
          <cell r="J111">
            <v>0</v>
          </cell>
          <cell r="K111">
            <v>23</v>
          </cell>
          <cell r="L111">
            <v>13.7</v>
          </cell>
          <cell r="M111">
            <v>315.1</v>
          </cell>
          <cell r="N111">
            <v>0</v>
          </cell>
          <cell r="O111">
            <v>0</v>
          </cell>
          <cell r="P111">
            <v>0</v>
          </cell>
          <cell r="Q111">
            <v>0</v>
          </cell>
          <cell r="R111">
            <v>0</v>
          </cell>
          <cell r="S111" t="str">
            <v>-</v>
          </cell>
          <cell r="T111" t="str">
            <v>-</v>
          </cell>
          <cell r="U111">
            <v>69</v>
          </cell>
          <cell r="V111" t="str">
            <v>-</v>
          </cell>
          <cell r="W111" t="str">
            <v>有库存无销量</v>
          </cell>
          <cell r="X111" t="str">
            <v>有库存无销量</v>
          </cell>
          <cell r="Y111">
            <v>3.53</v>
          </cell>
          <cell r="Z111">
            <v>6.69</v>
          </cell>
          <cell r="AA111">
            <v>12.05</v>
          </cell>
          <cell r="AB111" t="str">
            <v>-</v>
          </cell>
        </row>
        <row r="112">
          <cell r="A112" t="str">
            <v>美珠</v>
          </cell>
          <cell r="B112" t="str">
            <v>Y4069-OR+Y4070+Y4071</v>
          </cell>
          <cell r="C112" t="str">
            <v>机器人二代Moto G Power 5G 2023</v>
          </cell>
          <cell r="D112">
            <v>45054</v>
          </cell>
          <cell r="E112" t="str">
            <v>B0C3B9J4XR</v>
          </cell>
          <cell r="F112">
            <v>34</v>
          </cell>
          <cell r="G112">
            <v>0</v>
          </cell>
          <cell r="H112">
            <v>0</v>
          </cell>
          <cell r="I112">
            <v>0</v>
          </cell>
          <cell r="J112">
            <v>0</v>
          </cell>
          <cell r="K112">
            <v>34</v>
          </cell>
          <cell r="L112">
            <v>13.7</v>
          </cell>
          <cell r="M112">
            <v>465.8</v>
          </cell>
          <cell r="N112">
            <v>1</v>
          </cell>
          <cell r="O112">
            <v>3</v>
          </cell>
          <cell r="P112">
            <v>4</v>
          </cell>
          <cell r="Q112">
            <v>0</v>
          </cell>
          <cell r="R112">
            <v>1</v>
          </cell>
          <cell r="S112">
            <v>214.2</v>
          </cell>
          <cell r="T112">
            <v>7.14</v>
          </cell>
          <cell r="U112">
            <v>14.25</v>
          </cell>
          <cell r="V112">
            <v>-7.11</v>
          </cell>
          <cell r="W112" t="str">
            <v>库存过高</v>
          </cell>
          <cell r="X112" t="str">
            <v>库存过高</v>
          </cell>
          <cell r="Y112">
            <v>12.69</v>
          </cell>
          <cell r="Z112">
            <v>20.75</v>
          </cell>
          <cell r="AA112">
            <v>30.36</v>
          </cell>
          <cell r="AB112">
            <v>0.488452655889145</v>
          </cell>
        </row>
        <row r="113">
          <cell r="A113" t="str">
            <v>美珠</v>
          </cell>
          <cell r="B113" t="str">
            <v>Y4069-WI+Y4070+Y4071</v>
          </cell>
          <cell r="C113" t="str">
            <v>机器人二代Moto G Power 5G 2023</v>
          </cell>
          <cell r="D113">
            <v>45054</v>
          </cell>
          <cell r="E113" t="str">
            <v>B0C3B993XV</v>
          </cell>
          <cell r="F113">
            <v>18</v>
          </cell>
          <cell r="G113">
            <v>0</v>
          </cell>
          <cell r="H113">
            <v>6</v>
          </cell>
          <cell r="I113">
            <v>0</v>
          </cell>
          <cell r="J113">
            <v>0</v>
          </cell>
          <cell r="K113">
            <v>24</v>
          </cell>
          <cell r="L113">
            <v>13.7</v>
          </cell>
          <cell r="M113">
            <v>328.8</v>
          </cell>
          <cell r="N113">
            <v>1</v>
          </cell>
          <cell r="O113">
            <v>1</v>
          </cell>
          <cell r="P113">
            <v>2</v>
          </cell>
          <cell r="Q113">
            <v>1</v>
          </cell>
          <cell r="R113">
            <v>0</v>
          </cell>
          <cell r="S113">
            <v>260.689655172414</v>
          </cell>
          <cell r="T113">
            <v>8.6896551724138</v>
          </cell>
          <cell r="U113">
            <v>3.15</v>
          </cell>
          <cell r="V113">
            <v>5.5396551724138</v>
          </cell>
          <cell r="W113" t="str">
            <v>库存过高</v>
          </cell>
          <cell r="X113" t="str">
            <v>库存过高</v>
          </cell>
          <cell r="Y113">
            <v>0.7</v>
          </cell>
          <cell r="Z113">
            <v>4.21</v>
          </cell>
          <cell r="AA113">
            <v>7.49</v>
          </cell>
          <cell r="AB113" t="str">
            <v>-</v>
          </cell>
        </row>
        <row r="114">
          <cell r="A114" t="str">
            <v>美珠</v>
          </cell>
          <cell r="B114" t="str">
            <v>Y4072-BL+Y4073+Y4074</v>
          </cell>
          <cell r="C114" t="str">
            <v>机器人二代A24 4G</v>
          </cell>
          <cell r="D114">
            <v>45054</v>
          </cell>
          <cell r="E114" t="str">
            <v>B0C3QDLGGH</v>
          </cell>
          <cell r="F114">
            <v>62</v>
          </cell>
          <cell r="G114">
            <v>0</v>
          </cell>
          <cell r="H114">
            <v>0</v>
          </cell>
          <cell r="I114">
            <v>0</v>
          </cell>
          <cell r="J114">
            <v>0</v>
          </cell>
          <cell r="K114">
            <v>62</v>
          </cell>
          <cell r="L114">
            <v>13.7</v>
          </cell>
          <cell r="M114">
            <v>849.4</v>
          </cell>
          <cell r="N114">
            <v>4</v>
          </cell>
          <cell r="O114">
            <v>7</v>
          </cell>
          <cell r="P114">
            <v>10</v>
          </cell>
          <cell r="Q114">
            <v>1</v>
          </cell>
          <cell r="R114">
            <v>3</v>
          </cell>
          <cell r="S114">
            <v>135.625</v>
          </cell>
          <cell r="T114">
            <v>4.52083333333333</v>
          </cell>
          <cell r="U114">
            <v>10.056338028169</v>
          </cell>
          <cell r="V114">
            <v>-5.53550469483567</v>
          </cell>
          <cell r="W114" t="str">
            <v>库存过高</v>
          </cell>
          <cell r="X114" t="str">
            <v>库存过高</v>
          </cell>
          <cell r="Y114">
            <v>1.18</v>
          </cell>
          <cell r="Z114">
            <v>1.96</v>
          </cell>
          <cell r="AA114">
            <v>3.45</v>
          </cell>
          <cell r="AB114">
            <v>0.1073703366697</v>
          </cell>
        </row>
        <row r="115">
          <cell r="A115" t="str">
            <v>美珠</v>
          </cell>
          <cell r="B115" t="str">
            <v>Y4072-DB+Y4073+Y4074</v>
          </cell>
          <cell r="C115" t="str">
            <v>机器人二代A24 4G</v>
          </cell>
          <cell r="D115">
            <v>45054</v>
          </cell>
          <cell r="E115" t="str">
            <v>B0C3QCDN39</v>
          </cell>
          <cell r="F115">
            <v>35</v>
          </cell>
          <cell r="G115">
            <v>0</v>
          </cell>
          <cell r="H115">
            <v>1</v>
          </cell>
          <cell r="I115">
            <v>0</v>
          </cell>
          <cell r="J115">
            <v>0</v>
          </cell>
          <cell r="K115">
            <v>36</v>
          </cell>
          <cell r="L115">
            <v>13.7</v>
          </cell>
          <cell r="M115">
            <v>493.2</v>
          </cell>
          <cell r="N115">
            <v>5</v>
          </cell>
          <cell r="O115">
            <v>6</v>
          </cell>
          <cell r="P115">
            <v>7</v>
          </cell>
          <cell r="Q115">
            <v>1</v>
          </cell>
          <cell r="R115">
            <v>4</v>
          </cell>
          <cell r="S115">
            <v>80.1413427561837</v>
          </cell>
          <cell r="T115">
            <v>2.67137809187279</v>
          </cell>
          <cell r="U115">
            <v>8.04672897196262</v>
          </cell>
          <cell r="V115">
            <v>-5.37535088008983</v>
          </cell>
          <cell r="W115" t="str">
            <v>库存过高</v>
          </cell>
          <cell r="X115" t="str">
            <v>库存过高</v>
          </cell>
          <cell r="Y115">
            <v>0.6</v>
          </cell>
          <cell r="Z115">
            <v>0.86</v>
          </cell>
          <cell r="AA115">
            <v>1.72</v>
          </cell>
          <cell r="AB115" t="str">
            <v>-</v>
          </cell>
        </row>
        <row r="116">
          <cell r="A116" t="str">
            <v>美珠</v>
          </cell>
          <cell r="B116" t="str">
            <v>Y4072-WI+Y4073+Y4074</v>
          </cell>
          <cell r="C116" t="str">
            <v>机器人二代A24 4G</v>
          </cell>
          <cell r="D116">
            <v>45054</v>
          </cell>
          <cell r="E116" t="str">
            <v>B0C3QCDQ55</v>
          </cell>
          <cell r="F116">
            <v>30</v>
          </cell>
          <cell r="G116">
            <v>0</v>
          </cell>
          <cell r="H116">
            <v>0</v>
          </cell>
          <cell r="I116">
            <v>1</v>
          </cell>
          <cell r="J116">
            <v>0</v>
          </cell>
          <cell r="K116">
            <v>31</v>
          </cell>
          <cell r="L116">
            <v>13.7</v>
          </cell>
          <cell r="M116">
            <v>424.7</v>
          </cell>
          <cell r="N116">
            <v>2</v>
          </cell>
          <cell r="O116">
            <v>3</v>
          </cell>
          <cell r="P116">
            <v>4</v>
          </cell>
          <cell r="Q116">
            <v>0</v>
          </cell>
          <cell r="R116">
            <v>2</v>
          </cell>
          <cell r="S116">
            <v>150.230769230769</v>
          </cell>
          <cell r="T116">
            <v>5.00769230769231</v>
          </cell>
          <cell r="U116">
            <v>24.75</v>
          </cell>
          <cell r="V116">
            <v>-19.7423076923077</v>
          </cell>
          <cell r="W116" t="str">
            <v>库存过高</v>
          </cell>
          <cell r="X116" t="str">
            <v>库存过高</v>
          </cell>
          <cell r="Y116">
            <v>1.53</v>
          </cell>
          <cell r="Z116">
            <v>3.49</v>
          </cell>
          <cell r="AA116">
            <v>7.08</v>
          </cell>
          <cell r="AB116">
            <v>0.0696087352138307</v>
          </cell>
        </row>
        <row r="117">
          <cell r="A117" t="str">
            <v>美珠</v>
          </cell>
          <cell r="B117" t="str">
            <v>Y4072-OR+Y4073+Y4074</v>
          </cell>
          <cell r="C117" t="str">
            <v>机器人二代A24 4G</v>
          </cell>
          <cell r="D117">
            <v>45054</v>
          </cell>
          <cell r="E117" t="str">
            <v>B0C3QD6SF2</v>
          </cell>
          <cell r="F117">
            <v>42</v>
          </cell>
          <cell r="G117">
            <v>0</v>
          </cell>
          <cell r="H117">
            <v>0</v>
          </cell>
          <cell r="I117">
            <v>0</v>
          </cell>
          <cell r="J117">
            <v>0</v>
          </cell>
          <cell r="K117">
            <v>42</v>
          </cell>
          <cell r="L117">
            <v>13.7</v>
          </cell>
          <cell r="M117">
            <v>575.4</v>
          </cell>
          <cell r="N117">
            <v>2</v>
          </cell>
          <cell r="O117">
            <v>3</v>
          </cell>
          <cell r="P117">
            <v>6</v>
          </cell>
          <cell r="Q117">
            <v>2</v>
          </cell>
          <cell r="R117">
            <v>0</v>
          </cell>
          <cell r="S117">
            <v>183.75</v>
          </cell>
          <cell r="T117">
            <v>6.125</v>
          </cell>
          <cell r="U117">
            <v>7.85365853658537</v>
          </cell>
          <cell r="V117">
            <v>-1.72865853658537</v>
          </cell>
          <cell r="W117" t="str">
            <v>库存过高</v>
          </cell>
          <cell r="X117" t="str">
            <v>库存过高</v>
          </cell>
          <cell r="Y117">
            <v>1.07</v>
          </cell>
          <cell r="Z117">
            <v>4</v>
          </cell>
          <cell r="AA117">
            <v>6.24</v>
          </cell>
          <cell r="AB117" t="str">
            <v>-</v>
          </cell>
        </row>
        <row r="118">
          <cell r="A118" t="str">
            <v>美珠</v>
          </cell>
          <cell r="B118" t="str">
            <v>Y4072-GW+Y4073+Y4074</v>
          </cell>
          <cell r="C118" t="str">
            <v>机器人二代A24 4G</v>
          </cell>
          <cell r="D118">
            <v>45054</v>
          </cell>
          <cell r="E118" t="str">
            <v>B0C3QCX19G</v>
          </cell>
          <cell r="F118">
            <v>33</v>
          </cell>
          <cell r="G118">
            <v>0</v>
          </cell>
          <cell r="H118">
            <v>0</v>
          </cell>
          <cell r="I118">
            <v>0</v>
          </cell>
          <cell r="J118">
            <v>0</v>
          </cell>
          <cell r="K118">
            <v>33</v>
          </cell>
          <cell r="L118">
            <v>13.7</v>
          </cell>
          <cell r="M118">
            <v>452.1</v>
          </cell>
          <cell r="N118">
            <v>2</v>
          </cell>
          <cell r="O118">
            <v>2</v>
          </cell>
          <cell r="P118">
            <v>2</v>
          </cell>
          <cell r="Q118">
            <v>0</v>
          </cell>
          <cell r="R118">
            <v>2</v>
          </cell>
          <cell r="S118">
            <v>203.823529411765</v>
          </cell>
          <cell r="T118">
            <v>6.79411764705882</v>
          </cell>
          <cell r="U118">
            <v>105</v>
          </cell>
          <cell r="V118">
            <v>-98.2058823529412</v>
          </cell>
          <cell r="W118" t="str">
            <v>库存过高</v>
          </cell>
          <cell r="X118" t="str">
            <v>库存过高</v>
          </cell>
          <cell r="Y118">
            <v>0.39</v>
          </cell>
          <cell r="Z118">
            <v>1.08</v>
          </cell>
          <cell r="AA118">
            <v>2.36</v>
          </cell>
          <cell r="AB118" t="str">
            <v>-</v>
          </cell>
        </row>
        <row r="119">
          <cell r="A119" t="str">
            <v>美珠</v>
          </cell>
          <cell r="B119" t="str">
            <v>Y4038-BL</v>
          </cell>
          <cell r="C119" t="str">
            <v>横纹机器人Z Flod 4</v>
          </cell>
        </row>
        <row r="119">
          <cell r="E119" t="str">
            <v>B0BB1TWPZZ</v>
          </cell>
          <cell r="F119">
            <v>20</v>
          </cell>
          <cell r="G119">
            <v>0</v>
          </cell>
          <cell r="H119">
            <v>0</v>
          </cell>
          <cell r="I119">
            <v>0</v>
          </cell>
          <cell r="J119">
            <v>0</v>
          </cell>
          <cell r="K119">
            <v>20</v>
          </cell>
          <cell r="L119">
            <v>11</v>
          </cell>
          <cell r="M119">
            <v>220</v>
          </cell>
          <cell r="N119">
            <v>0</v>
          </cell>
          <cell r="O119">
            <v>0</v>
          </cell>
          <cell r="P119">
            <v>0</v>
          </cell>
          <cell r="Q119">
            <v>0</v>
          </cell>
          <cell r="R119">
            <v>0</v>
          </cell>
          <cell r="S119" t="str">
            <v>-</v>
          </cell>
          <cell r="T119" t="str">
            <v>-</v>
          </cell>
          <cell r="U119" t="str">
            <v>-</v>
          </cell>
          <cell r="V119" t="str">
            <v>-</v>
          </cell>
          <cell r="W119" t="str">
            <v>有库存无销量</v>
          </cell>
          <cell r="X119" t="str">
            <v>有库存无销量</v>
          </cell>
          <cell r="Y119">
            <v>0.42</v>
          </cell>
          <cell r="Z119">
            <v>0.42</v>
          </cell>
          <cell r="AA119">
            <v>0.42</v>
          </cell>
          <cell r="AB119" t="str">
            <v>-</v>
          </cell>
        </row>
        <row r="120">
          <cell r="A120" t="str">
            <v>美珠</v>
          </cell>
          <cell r="B120" t="str">
            <v>Y4084-BL+Y4085+Y4086</v>
          </cell>
          <cell r="C120" t="str">
            <v>机器人二代iphone 15 pro max</v>
          </cell>
          <cell r="D120">
            <v>45181</v>
          </cell>
          <cell r="E120" t="str">
            <v>B0CC5VY1DQ</v>
          </cell>
          <cell r="F120">
            <v>71</v>
          </cell>
          <cell r="G120">
            <v>0</v>
          </cell>
          <cell r="H120">
            <v>0</v>
          </cell>
          <cell r="I120">
            <v>0</v>
          </cell>
          <cell r="J120">
            <v>0</v>
          </cell>
          <cell r="K120">
            <v>71</v>
          </cell>
          <cell r="L120">
            <v>13.7</v>
          </cell>
          <cell r="M120">
            <v>972.7</v>
          </cell>
          <cell r="N120">
            <v>9</v>
          </cell>
          <cell r="O120">
            <v>17</v>
          </cell>
          <cell r="P120">
            <v>30</v>
          </cell>
          <cell r="Q120">
            <v>3</v>
          </cell>
          <cell r="R120">
            <v>6</v>
          </cell>
          <cell r="S120">
            <v>62.2980501392758</v>
          </cell>
          <cell r="T120">
            <v>2.07660167130919</v>
          </cell>
          <cell r="U120">
            <v>13.4509803921569</v>
          </cell>
          <cell r="V120">
            <v>-11.3743787208477</v>
          </cell>
          <cell r="W120" t="str">
            <v>库存过高</v>
          </cell>
          <cell r="X120" t="str">
            <v>库存过高</v>
          </cell>
          <cell r="Y120">
            <v>7.3</v>
          </cell>
          <cell r="Z120">
            <v>18.51</v>
          </cell>
          <cell r="AA120">
            <v>33.26</v>
          </cell>
          <cell r="AB120">
            <v>0.561970746728252</v>
          </cell>
        </row>
        <row r="121">
          <cell r="A121" t="str">
            <v>美珠</v>
          </cell>
          <cell r="B121" t="str">
            <v>Y4084-DB+Y4085+Y4086</v>
          </cell>
          <cell r="C121" t="str">
            <v>机器人二代iphone 15 pro max</v>
          </cell>
          <cell r="D121">
            <v>45181</v>
          </cell>
          <cell r="E121" t="str">
            <v>B0CC5RG4WJ</v>
          </cell>
          <cell r="F121">
            <v>33</v>
          </cell>
          <cell r="G121">
            <v>0</v>
          </cell>
          <cell r="H121">
            <v>0</v>
          </cell>
          <cell r="I121">
            <v>0</v>
          </cell>
          <cell r="J121">
            <v>0</v>
          </cell>
          <cell r="K121">
            <v>33</v>
          </cell>
          <cell r="L121">
            <v>13.7</v>
          </cell>
          <cell r="M121">
            <v>452.1</v>
          </cell>
          <cell r="N121">
            <v>4</v>
          </cell>
          <cell r="O121">
            <v>9</v>
          </cell>
          <cell r="P121">
            <v>18</v>
          </cell>
          <cell r="Q121">
            <v>1</v>
          </cell>
          <cell r="R121">
            <v>3</v>
          </cell>
          <cell r="S121">
            <v>55.8870967741935</v>
          </cell>
          <cell r="T121">
            <v>1.86290322580645</v>
          </cell>
          <cell r="U121">
            <v>20.1764705882353</v>
          </cell>
          <cell r="V121">
            <v>-18.3135673624288</v>
          </cell>
          <cell r="W121" t="str">
            <v>库存过高</v>
          </cell>
          <cell r="X121" t="str">
            <v>库存过高</v>
          </cell>
          <cell r="Y121">
            <v>9.46</v>
          </cell>
          <cell r="Z121">
            <v>36.03</v>
          </cell>
          <cell r="AA121">
            <v>61.3</v>
          </cell>
          <cell r="AB121">
            <v>0.122412008281574</v>
          </cell>
        </row>
        <row r="122">
          <cell r="A122" t="str">
            <v>美珠</v>
          </cell>
          <cell r="B122" t="str">
            <v>Y4084-GW+Y4085+Y4086</v>
          </cell>
          <cell r="C122" t="str">
            <v>机器人二代iphone 15 pro max</v>
          </cell>
          <cell r="D122">
            <v>45181</v>
          </cell>
          <cell r="E122" t="str">
            <v>B0CC5S63XS</v>
          </cell>
          <cell r="F122">
            <v>27</v>
          </cell>
          <cell r="G122">
            <v>0</v>
          </cell>
          <cell r="H122">
            <v>0</v>
          </cell>
          <cell r="I122">
            <v>0</v>
          </cell>
          <cell r="J122">
            <v>0</v>
          </cell>
          <cell r="K122">
            <v>27</v>
          </cell>
          <cell r="L122">
            <v>13.7</v>
          </cell>
          <cell r="M122">
            <v>369.9</v>
          </cell>
          <cell r="N122">
            <v>2</v>
          </cell>
          <cell r="O122">
            <v>2</v>
          </cell>
          <cell r="P122">
            <v>3</v>
          </cell>
          <cell r="Q122">
            <v>0</v>
          </cell>
          <cell r="R122">
            <v>2</v>
          </cell>
          <cell r="S122">
            <v>156.05504587156</v>
          </cell>
          <cell r="T122">
            <v>5.20183486238532</v>
          </cell>
          <cell r="U122" t="str">
            <v>-</v>
          </cell>
          <cell r="V122" t="str">
            <v>-</v>
          </cell>
          <cell r="W122" t="str">
            <v>库存过高</v>
          </cell>
          <cell r="X122" t="str">
            <v>库存过高</v>
          </cell>
          <cell r="Y122">
            <v>8.33</v>
          </cell>
          <cell r="Z122">
            <v>16.3</v>
          </cell>
          <cell r="AA122">
            <v>37</v>
          </cell>
          <cell r="AB122">
            <v>0.641262509622787</v>
          </cell>
        </row>
        <row r="123">
          <cell r="A123" t="str">
            <v>美珠</v>
          </cell>
          <cell r="B123" t="str">
            <v>Y4084-OR+Y4085+Y4086</v>
          </cell>
          <cell r="C123" t="str">
            <v>机器人二代iphone 15 pro max</v>
          </cell>
          <cell r="D123">
            <v>45181</v>
          </cell>
          <cell r="E123" t="str">
            <v>B0CC5QYDDY</v>
          </cell>
          <cell r="F123">
            <v>38</v>
          </cell>
          <cell r="G123">
            <v>1</v>
          </cell>
          <cell r="H123">
            <v>0</v>
          </cell>
          <cell r="I123">
            <v>0</v>
          </cell>
          <cell r="J123">
            <v>0</v>
          </cell>
          <cell r="K123">
            <v>39</v>
          </cell>
          <cell r="L123">
            <v>13.7</v>
          </cell>
          <cell r="M123">
            <v>534.3</v>
          </cell>
          <cell r="N123">
            <v>4</v>
          </cell>
          <cell r="O123">
            <v>8</v>
          </cell>
          <cell r="P123">
            <v>13</v>
          </cell>
          <cell r="Q123">
            <v>2</v>
          </cell>
          <cell r="R123">
            <v>2</v>
          </cell>
          <cell r="S123">
            <v>76.0681114551084</v>
          </cell>
          <cell r="T123">
            <v>2.53560371517028</v>
          </cell>
          <cell r="U123">
            <v>8.36585365853658</v>
          </cell>
          <cell r="V123">
            <v>-5.8302499433663</v>
          </cell>
          <cell r="W123" t="str">
            <v>库存过高</v>
          </cell>
          <cell r="X123" t="str">
            <v>库存过高</v>
          </cell>
          <cell r="Y123">
            <v>7.77</v>
          </cell>
          <cell r="Z123">
            <v>25.06</v>
          </cell>
          <cell r="AA123">
            <v>40.94</v>
          </cell>
          <cell r="AB123">
            <v>0.598152424942263</v>
          </cell>
        </row>
        <row r="124">
          <cell r="A124" t="str">
            <v>美珠</v>
          </cell>
          <cell r="B124" t="str">
            <v>Y4084-WI+Y4085+Y4086</v>
          </cell>
          <cell r="C124" t="str">
            <v>机器人二代iPhone 15 Pro max</v>
          </cell>
          <cell r="D124">
            <v>45181</v>
          </cell>
          <cell r="E124" t="str">
            <v>B0CC5RY9QL</v>
          </cell>
          <cell r="F124">
            <v>21</v>
          </cell>
          <cell r="G124">
            <v>1</v>
          </cell>
          <cell r="H124">
            <v>1</v>
          </cell>
          <cell r="I124">
            <v>0</v>
          </cell>
          <cell r="J124">
            <v>0</v>
          </cell>
          <cell r="K124">
            <v>23</v>
          </cell>
          <cell r="L124">
            <v>13.7</v>
          </cell>
          <cell r="M124">
            <v>315.1</v>
          </cell>
          <cell r="N124">
            <v>2</v>
          </cell>
          <cell r="O124">
            <v>5</v>
          </cell>
          <cell r="P124">
            <v>12</v>
          </cell>
          <cell r="Q124">
            <v>3</v>
          </cell>
          <cell r="R124">
            <v>-1</v>
          </cell>
          <cell r="S124">
            <v>67.7102803738318</v>
          </cell>
          <cell r="T124">
            <v>2.25700934579439</v>
          </cell>
          <cell r="U124">
            <v>3.84313725490196</v>
          </cell>
          <cell r="V124">
            <v>-1.58612790910757</v>
          </cell>
          <cell r="W124" t="str">
            <v>库存过高</v>
          </cell>
          <cell r="X124" t="str">
            <v>库存过高</v>
          </cell>
          <cell r="Y124">
            <v>9.95</v>
          </cell>
          <cell r="Z124">
            <v>17.12</v>
          </cell>
          <cell r="AA124">
            <v>25.46</v>
          </cell>
          <cell r="AB124" t="str">
            <v>-</v>
          </cell>
        </row>
        <row r="125">
          <cell r="A125" t="str">
            <v>美珠</v>
          </cell>
          <cell r="B125" t="str">
            <v>Y4081-BL+Y4082+Y4083</v>
          </cell>
          <cell r="C125" t="str">
            <v>机器人二代iPhone 15 plus</v>
          </cell>
          <cell r="D125">
            <v>45181</v>
          </cell>
          <cell r="E125" t="str">
            <v>B0CC5WH63Q</v>
          </cell>
          <cell r="F125">
            <v>33</v>
          </cell>
          <cell r="G125">
            <v>0</v>
          </cell>
          <cell r="H125">
            <v>0</v>
          </cell>
          <cell r="I125">
            <v>3</v>
          </cell>
          <cell r="J125">
            <v>0</v>
          </cell>
          <cell r="K125">
            <v>36</v>
          </cell>
          <cell r="L125">
            <v>13.7</v>
          </cell>
          <cell r="M125">
            <v>493.2</v>
          </cell>
          <cell r="N125">
            <v>16</v>
          </cell>
          <cell r="O125">
            <v>20</v>
          </cell>
          <cell r="P125">
            <v>21</v>
          </cell>
          <cell r="Q125">
            <v>0</v>
          </cell>
          <cell r="R125">
            <v>16</v>
          </cell>
          <cell r="S125">
            <v>25.0055126791621</v>
          </cell>
          <cell r="T125">
            <v>0.833517089305402</v>
          </cell>
          <cell r="U125" t="str">
            <v>-</v>
          </cell>
          <cell r="V125" t="str">
            <v>-</v>
          </cell>
          <cell r="W125" t="str">
            <v>正常</v>
          </cell>
          <cell r="X125" t="str">
            <v>正常</v>
          </cell>
          <cell r="Y125">
            <v>3.61</v>
          </cell>
          <cell r="Z125">
            <v>9.29</v>
          </cell>
          <cell r="AA125">
            <v>10.22</v>
          </cell>
          <cell r="AB125">
            <v>0.150542118432027</v>
          </cell>
        </row>
        <row r="126">
          <cell r="A126" t="str">
            <v>美珠</v>
          </cell>
          <cell r="B126" t="str">
            <v>Y4081-DB+Y4082+Y4083</v>
          </cell>
          <cell r="C126" t="str">
            <v>机器人二代iphone 15 plus</v>
          </cell>
          <cell r="D126">
            <v>45181</v>
          </cell>
          <cell r="E126" t="str">
            <v>B0CC5X79ZC</v>
          </cell>
          <cell r="F126">
            <v>44</v>
          </cell>
          <cell r="G126">
            <v>0</v>
          </cell>
          <cell r="H126">
            <v>0</v>
          </cell>
          <cell r="I126">
            <v>0</v>
          </cell>
          <cell r="J126">
            <v>0</v>
          </cell>
          <cell r="K126">
            <v>44</v>
          </cell>
          <cell r="L126">
            <v>13.7</v>
          </cell>
          <cell r="M126">
            <v>602.8</v>
          </cell>
          <cell r="N126">
            <v>2</v>
          </cell>
          <cell r="O126">
            <v>5</v>
          </cell>
          <cell r="P126">
            <v>6</v>
          </cell>
          <cell r="Q126">
            <v>1</v>
          </cell>
          <cell r="R126">
            <v>1</v>
          </cell>
          <cell r="S126">
            <v>161.162790697674</v>
          </cell>
          <cell r="T126">
            <v>5.37209302325581</v>
          </cell>
          <cell r="U126">
            <v>20.1764705882353</v>
          </cell>
          <cell r="V126">
            <v>-14.8043775649795</v>
          </cell>
          <cell r="W126" t="str">
            <v>库存过高</v>
          </cell>
          <cell r="X126" t="str">
            <v>库存过高</v>
          </cell>
          <cell r="Y126">
            <v>2.72</v>
          </cell>
          <cell r="Z126">
            <v>5.65</v>
          </cell>
          <cell r="AA126">
            <v>7.31</v>
          </cell>
          <cell r="AB126" t="str">
            <v>-</v>
          </cell>
        </row>
        <row r="127">
          <cell r="A127" t="str">
            <v>美珠</v>
          </cell>
          <cell r="B127" t="str">
            <v>Y4081-GW+Y4082+Y4083</v>
          </cell>
          <cell r="C127" t="str">
            <v>机器人二代iphone 15 plus</v>
          </cell>
          <cell r="D127">
            <v>45181</v>
          </cell>
          <cell r="E127" t="str">
            <v>B0CC5XWD9S</v>
          </cell>
          <cell r="F127">
            <v>28</v>
          </cell>
          <cell r="G127">
            <v>0</v>
          </cell>
          <cell r="H127">
            <v>0</v>
          </cell>
          <cell r="I127">
            <v>0</v>
          </cell>
          <cell r="J127">
            <v>0</v>
          </cell>
          <cell r="K127">
            <v>28</v>
          </cell>
          <cell r="L127">
            <v>13.7</v>
          </cell>
          <cell r="M127">
            <v>383.6</v>
          </cell>
          <cell r="N127">
            <v>3</v>
          </cell>
          <cell r="O127">
            <v>4</v>
          </cell>
          <cell r="P127">
            <v>4</v>
          </cell>
          <cell r="Q127">
            <v>0</v>
          </cell>
          <cell r="R127">
            <v>3</v>
          </cell>
          <cell r="S127">
            <v>101.379310344828</v>
          </cell>
          <cell r="T127">
            <v>3.37931034482759</v>
          </cell>
          <cell r="U127" t="str">
            <v>-</v>
          </cell>
          <cell r="V127" t="str">
            <v>-</v>
          </cell>
          <cell r="W127" t="str">
            <v>库存过高</v>
          </cell>
          <cell r="X127" t="str">
            <v>库存过高</v>
          </cell>
          <cell r="Y127">
            <v>3.15</v>
          </cell>
          <cell r="Z127">
            <v>6.01</v>
          </cell>
          <cell r="AA127">
            <v>7.1</v>
          </cell>
          <cell r="AB127" t="str">
            <v>-</v>
          </cell>
        </row>
        <row r="128">
          <cell r="A128" t="str">
            <v>美珠</v>
          </cell>
          <cell r="B128" t="str">
            <v>Y4081-OR+Y4082+Y4083</v>
          </cell>
          <cell r="C128" t="str">
            <v>机器人二代iPhone 15 plus</v>
          </cell>
          <cell r="D128">
            <v>45181</v>
          </cell>
          <cell r="E128" t="str">
            <v>B0CC5ZY6M2</v>
          </cell>
          <cell r="F128">
            <v>43</v>
          </cell>
          <cell r="G128">
            <v>0</v>
          </cell>
          <cell r="H128">
            <v>0</v>
          </cell>
          <cell r="I128">
            <v>1</v>
          </cell>
          <cell r="J128">
            <v>0</v>
          </cell>
          <cell r="K128">
            <v>44</v>
          </cell>
          <cell r="L128">
            <v>13.7</v>
          </cell>
          <cell r="M128">
            <v>602.8</v>
          </cell>
          <cell r="N128">
            <v>5</v>
          </cell>
          <cell r="O128">
            <v>6</v>
          </cell>
          <cell r="P128">
            <v>7</v>
          </cell>
          <cell r="Q128">
            <v>0</v>
          </cell>
          <cell r="R128">
            <v>5</v>
          </cell>
          <cell r="S128">
            <v>97.9505300353357</v>
          </cell>
          <cell r="T128">
            <v>3.26501766784452</v>
          </cell>
          <cell r="U128" t="str">
            <v>-</v>
          </cell>
          <cell r="V128" t="str">
            <v>-</v>
          </cell>
          <cell r="W128" t="str">
            <v>库存过高</v>
          </cell>
          <cell r="X128" t="str">
            <v>库存过高</v>
          </cell>
          <cell r="Y128">
            <v>5.3</v>
          </cell>
          <cell r="Z128">
            <v>7.68</v>
          </cell>
          <cell r="AA128">
            <v>9.07</v>
          </cell>
          <cell r="AB128">
            <v>0.0930640913081651</v>
          </cell>
        </row>
        <row r="129">
          <cell r="A129" t="str">
            <v>美珠</v>
          </cell>
          <cell r="B129" t="str">
            <v>Y4081-WI+Y4082+Y4083</v>
          </cell>
          <cell r="C129" t="str">
            <v>机器人二代iPhone 15 plus</v>
          </cell>
          <cell r="D129">
            <v>45181</v>
          </cell>
          <cell r="E129" t="str">
            <v>B0CC5YS9SL</v>
          </cell>
          <cell r="F129">
            <v>23</v>
          </cell>
          <cell r="G129">
            <v>0</v>
          </cell>
          <cell r="H129">
            <v>0</v>
          </cell>
          <cell r="I129">
            <v>0</v>
          </cell>
          <cell r="J129">
            <v>0</v>
          </cell>
          <cell r="K129">
            <v>23</v>
          </cell>
          <cell r="L129">
            <v>13.7</v>
          </cell>
          <cell r="M129">
            <v>315.1</v>
          </cell>
          <cell r="N129">
            <v>4</v>
          </cell>
          <cell r="O129">
            <v>6</v>
          </cell>
          <cell r="P129">
            <v>9</v>
          </cell>
          <cell r="Q129">
            <v>2</v>
          </cell>
          <cell r="R129">
            <v>2</v>
          </cell>
          <cell r="S129">
            <v>54.2696629213483</v>
          </cell>
          <cell r="T129">
            <v>1.80898876404494</v>
          </cell>
          <cell r="U129">
            <v>5.97058823529412</v>
          </cell>
          <cell r="V129">
            <v>-4.16159947124918</v>
          </cell>
          <cell r="W129" t="str">
            <v>正常</v>
          </cell>
          <cell r="X129" t="str">
            <v>库存过高</v>
          </cell>
          <cell r="Y129">
            <v>6.24</v>
          </cell>
          <cell r="Z129">
            <v>8.65</v>
          </cell>
          <cell r="AA129">
            <v>15.83</v>
          </cell>
          <cell r="AB129">
            <v>0.178438661710037</v>
          </cell>
        </row>
        <row r="130">
          <cell r="A130" t="str">
            <v>美珠</v>
          </cell>
          <cell r="B130" t="str">
            <v>Y4078-BL+Y4079+Y4080</v>
          </cell>
          <cell r="C130" t="str">
            <v>机器人二代iphone 15 pro</v>
          </cell>
          <cell r="D130">
            <v>45181</v>
          </cell>
          <cell r="E130" t="str">
            <v>B0CC96Y9PQ</v>
          </cell>
          <cell r="F130">
            <v>39</v>
          </cell>
          <cell r="G130">
            <v>0</v>
          </cell>
          <cell r="H130">
            <v>1</v>
          </cell>
          <cell r="I130">
            <v>0</v>
          </cell>
          <cell r="J130">
            <v>0</v>
          </cell>
          <cell r="K130">
            <v>40</v>
          </cell>
          <cell r="L130">
            <v>13.7</v>
          </cell>
          <cell r="M130">
            <v>548</v>
          </cell>
          <cell r="N130">
            <v>4</v>
          </cell>
          <cell r="O130">
            <v>9</v>
          </cell>
          <cell r="P130">
            <v>13</v>
          </cell>
          <cell r="Q130">
            <v>1</v>
          </cell>
          <cell r="R130">
            <v>3</v>
          </cell>
          <cell r="S130">
            <v>74.7774480712166</v>
          </cell>
          <cell r="T130">
            <v>2.49258160237389</v>
          </cell>
          <cell r="U130">
            <v>20.5882352941176</v>
          </cell>
          <cell r="V130">
            <v>-18.0956536917437</v>
          </cell>
          <cell r="W130" t="str">
            <v>库存过高</v>
          </cell>
          <cell r="X130" t="str">
            <v>库存过高</v>
          </cell>
          <cell r="Y130">
            <v>2.68</v>
          </cell>
          <cell r="Z130">
            <v>4.31</v>
          </cell>
          <cell r="AA130">
            <v>5.52</v>
          </cell>
          <cell r="AB130">
            <v>0.24385805277525</v>
          </cell>
        </row>
        <row r="131">
          <cell r="A131" t="str">
            <v>美珠</v>
          </cell>
          <cell r="B131" t="str">
            <v>Y4078-DB+Y4079+Y4080</v>
          </cell>
          <cell r="C131" t="str">
            <v>机器人二代iphone 15 pro</v>
          </cell>
          <cell r="D131">
            <v>45181</v>
          </cell>
          <cell r="E131" t="str">
            <v>B0CC95N9XK</v>
          </cell>
          <cell r="F131">
            <v>41</v>
          </cell>
          <cell r="G131">
            <v>0</v>
          </cell>
          <cell r="H131">
            <v>0</v>
          </cell>
          <cell r="I131">
            <v>0</v>
          </cell>
          <cell r="J131">
            <v>0</v>
          </cell>
          <cell r="K131">
            <v>41</v>
          </cell>
          <cell r="L131">
            <v>13.7</v>
          </cell>
          <cell r="M131">
            <v>561.7</v>
          </cell>
          <cell r="N131">
            <v>2</v>
          </cell>
          <cell r="O131">
            <v>6</v>
          </cell>
          <cell r="P131">
            <v>9</v>
          </cell>
          <cell r="Q131">
            <v>1</v>
          </cell>
          <cell r="R131">
            <v>1</v>
          </cell>
          <cell r="S131">
            <v>124.782608695652</v>
          </cell>
          <cell r="T131">
            <v>4.15942028985507</v>
          </cell>
          <cell r="U131">
            <v>20.5882352941176</v>
          </cell>
          <cell r="V131">
            <v>-16.4288150042625</v>
          </cell>
          <cell r="W131" t="str">
            <v>库存过高</v>
          </cell>
          <cell r="X131" t="str">
            <v>库存过高</v>
          </cell>
          <cell r="Y131">
            <v>8.73</v>
          </cell>
          <cell r="Z131">
            <v>20.2</v>
          </cell>
          <cell r="AA131">
            <v>30.58</v>
          </cell>
          <cell r="AB131">
            <v>0.336027713625866</v>
          </cell>
        </row>
        <row r="132">
          <cell r="A132" t="str">
            <v>美珠</v>
          </cell>
          <cell r="B132" t="str">
            <v>Y4078-GW+Y4079+Y4080</v>
          </cell>
          <cell r="C132" t="str">
            <v>机器人二代iphone 15 pro</v>
          </cell>
          <cell r="D132">
            <v>45181</v>
          </cell>
          <cell r="E132" t="str">
            <v>B0CC978F87</v>
          </cell>
          <cell r="F132">
            <v>29</v>
          </cell>
          <cell r="G132">
            <v>0</v>
          </cell>
          <cell r="H132">
            <v>0</v>
          </cell>
          <cell r="I132">
            <v>0</v>
          </cell>
          <cell r="J132">
            <v>0</v>
          </cell>
          <cell r="K132">
            <v>29</v>
          </cell>
          <cell r="L132">
            <v>13.7</v>
          </cell>
          <cell r="M132">
            <v>397.3</v>
          </cell>
          <cell r="N132">
            <v>0</v>
          </cell>
          <cell r="O132">
            <v>1</v>
          </cell>
          <cell r="P132">
            <v>1</v>
          </cell>
          <cell r="Q132">
            <v>0</v>
          </cell>
          <cell r="R132">
            <v>0</v>
          </cell>
          <cell r="S132">
            <v>870</v>
          </cell>
          <cell r="T132">
            <v>29</v>
          </cell>
          <cell r="U132" t="str">
            <v>-</v>
          </cell>
          <cell r="V132" t="str">
            <v>-</v>
          </cell>
          <cell r="W132" t="str">
            <v>有库存无销量</v>
          </cell>
          <cell r="X132" t="str">
            <v>库存过高</v>
          </cell>
          <cell r="Y132">
            <v>3.81</v>
          </cell>
          <cell r="Z132">
            <v>6.69</v>
          </cell>
          <cell r="AA132">
            <v>6.89</v>
          </cell>
          <cell r="AB132">
            <v>0.293302540415704</v>
          </cell>
        </row>
        <row r="133">
          <cell r="A133" t="str">
            <v>美珠</v>
          </cell>
          <cell r="B133" t="str">
            <v>Y4078-OR+Y4079+Y4080</v>
          </cell>
          <cell r="C133" t="str">
            <v>机器人二代iphone 15 pro</v>
          </cell>
          <cell r="D133">
            <v>45181</v>
          </cell>
          <cell r="E133" t="str">
            <v>B0CC971G1J</v>
          </cell>
          <cell r="F133">
            <v>37</v>
          </cell>
          <cell r="G133">
            <v>0</v>
          </cell>
          <cell r="H133">
            <v>35</v>
          </cell>
          <cell r="I133">
            <v>17</v>
          </cell>
          <cell r="J133">
            <v>0</v>
          </cell>
          <cell r="K133">
            <v>89</v>
          </cell>
          <cell r="L133">
            <v>13.7</v>
          </cell>
          <cell r="M133">
            <v>1219.3</v>
          </cell>
          <cell r="N133">
            <v>9</v>
          </cell>
          <cell r="O133">
            <v>10</v>
          </cell>
          <cell r="P133">
            <v>13</v>
          </cell>
          <cell r="Q133">
            <v>1</v>
          </cell>
          <cell r="R133">
            <v>8</v>
          </cell>
          <cell r="S133">
            <v>111.916167664671</v>
          </cell>
          <cell r="T133">
            <v>3.73053892215569</v>
          </cell>
          <cell r="U133">
            <v>39.5294117647059</v>
          </cell>
          <cell r="V133">
            <v>-35.7988728425502</v>
          </cell>
          <cell r="W133" t="str">
            <v>库存过高</v>
          </cell>
          <cell r="X133" t="str">
            <v>库存过高</v>
          </cell>
          <cell r="Y133">
            <v>21.38</v>
          </cell>
          <cell r="Z133">
            <v>32.62</v>
          </cell>
          <cell r="AA133">
            <v>40.84</v>
          </cell>
          <cell r="AB133">
            <v>0.182875716363014</v>
          </cell>
        </row>
        <row r="134">
          <cell r="A134" t="str">
            <v>美珠</v>
          </cell>
          <cell r="B134" t="str">
            <v>Y4078-WI+Y4079+Y4080</v>
          </cell>
          <cell r="C134" t="str">
            <v>机器人二代iPhone 15 Pro</v>
          </cell>
          <cell r="D134">
            <v>45181</v>
          </cell>
          <cell r="E134" t="str">
            <v>B0CC98YM1W</v>
          </cell>
          <cell r="F134">
            <v>26</v>
          </cell>
          <cell r="G134">
            <v>0</v>
          </cell>
          <cell r="H134">
            <v>0</v>
          </cell>
          <cell r="I134">
            <v>0</v>
          </cell>
          <cell r="J134">
            <v>0</v>
          </cell>
          <cell r="K134">
            <v>26</v>
          </cell>
          <cell r="L134">
            <v>13.7</v>
          </cell>
          <cell r="M134">
            <v>356.2</v>
          </cell>
          <cell r="N134">
            <v>1</v>
          </cell>
          <cell r="O134">
            <v>4</v>
          </cell>
          <cell r="P134">
            <v>5</v>
          </cell>
          <cell r="Q134">
            <v>0</v>
          </cell>
          <cell r="R134">
            <v>1</v>
          </cell>
          <cell r="S134">
            <v>135.371900826446</v>
          </cell>
          <cell r="T134">
            <v>4.51239669421488</v>
          </cell>
          <cell r="U134" t="str">
            <v>-</v>
          </cell>
          <cell r="V134" t="str">
            <v>-</v>
          </cell>
          <cell r="W134" t="str">
            <v>库存过高</v>
          </cell>
          <cell r="X134" t="str">
            <v>库存过高</v>
          </cell>
          <cell r="Y134">
            <v>2.21</v>
          </cell>
          <cell r="Z134">
            <v>5.09</v>
          </cell>
          <cell r="AA134">
            <v>8.55</v>
          </cell>
          <cell r="AB134" t="str">
            <v>-</v>
          </cell>
        </row>
        <row r="135">
          <cell r="A135" t="str">
            <v>美珠</v>
          </cell>
          <cell r="B135" t="str">
            <v>Y4075-BL+Y4076+Y4077</v>
          </cell>
          <cell r="C135" t="str">
            <v>机器人二代iPhone 15</v>
          </cell>
          <cell r="D135">
            <v>45181</v>
          </cell>
          <cell r="E135" t="str">
            <v>B0CCDF5CL8</v>
          </cell>
          <cell r="F135">
            <v>46</v>
          </cell>
          <cell r="G135">
            <v>0</v>
          </cell>
          <cell r="H135">
            <v>0</v>
          </cell>
          <cell r="I135">
            <v>1</v>
          </cell>
          <cell r="J135">
            <v>0</v>
          </cell>
          <cell r="K135">
            <v>47</v>
          </cell>
          <cell r="L135">
            <v>13.7</v>
          </cell>
          <cell r="M135">
            <v>643.9</v>
          </cell>
          <cell r="N135">
            <v>3</v>
          </cell>
          <cell r="O135">
            <v>4</v>
          </cell>
          <cell r="P135">
            <v>4</v>
          </cell>
          <cell r="Q135">
            <v>0</v>
          </cell>
          <cell r="R135">
            <v>3</v>
          </cell>
          <cell r="S135">
            <v>170.172413793103</v>
          </cell>
          <cell r="T135">
            <v>5.67241379310345</v>
          </cell>
          <cell r="U135" t="str">
            <v>-</v>
          </cell>
          <cell r="V135" t="str">
            <v>-</v>
          </cell>
          <cell r="W135" t="str">
            <v>库存过高</v>
          </cell>
          <cell r="X135" t="str">
            <v>库存过高</v>
          </cell>
          <cell r="Y135">
            <v>1.96</v>
          </cell>
          <cell r="Z135">
            <v>8.59</v>
          </cell>
          <cell r="AA135">
            <v>8.59</v>
          </cell>
          <cell r="AB135" t="str">
            <v>-</v>
          </cell>
        </row>
        <row r="136">
          <cell r="A136" t="str">
            <v>美珠</v>
          </cell>
          <cell r="B136" t="str">
            <v>Y4075-DB+Y4076+Y4077</v>
          </cell>
          <cell r="C136" t="str">
            <v>机器人二代iphone 15</v>
          </cell>
          <cell r="D136">
            <v>45181</v>
          </cell>
          <cell r="E136" t="str">
            <v>B0CCDJNY94</v>
          </cell>
          <cell r="F136">
            <v>49</v>
          </cell>
          <cell r="G136">
            <v>0</v>
          </cell>
          <cell r="H136">
            <v>31</v>
          </cell>
          <cell r="I136">
            <v>9</v>
          </cell>
          <cell r="J136">
            <v>0</v>
          </cell>
          <cell r="K136">
            <v>89</v>
          </cell>
          <cell r="L136">
            <v>13.7</v>
          </cell>
          <cell r="M136">
            <v>1219.3</v>
          </cell>
          <cell r="N136">
            <v>1</v>
          </cell>
          <cell r="O136">
            <v>1</v>
          </cell>
          <cell r="P136">
            <v>1</v>
          </cell>
          <cell r="Q136">
            <v>0</v>
          </cell>
          <cell r="R136">
            <v>1</v>
          </cell>
          <cell r="S136">
            <v>1099.41176470588</v>
          </cell>
          <cell r="T136">
            <v>36.6470588235294</v>
          </cell>
          <cell r="U136" t="str">
            <v>-</v>
          </cell>
          <cell r="V136" t="str">
            <v>-</v>
          </cell>
          <cell r="W136" t="str">
            <v>库存过高</v>
          </cell>
          <cell r="X136" t="str">
            <v>库存过高</v>
          </cell>
          <cell r="Y136">
            <v>5.69</v>
          </cell>
          <cell r="Z136">
            <v>11.09</v>
          </cell>
          <cell r="AA136">
            <v>11.09</v>
          </cell>
          <cell r="AB136">
            <v>0.219014626635874</v>
          </cell>
        </row>
        <row r="137">
          <cell r="A137" t="str">
            <v>美珠</v>
          </cell>
          <cell r="B137" t="str">
            <v>Y4075-GW+Y4076+Y4077</v>
          </cell>
          <cell r="C137" t="str">
            <v>机器人二代iphone 15</v>
          </cell>
          <cell r="D137">
            <v>45181</v>
          </cell>
          <cell r="E137" t="str">
            <v>B0CCDH39HX</v>
          </cell>
          <cell r="F137">
            <v>30</v>
          </cell>
          <cell r="G137">
            <v>0</v>
          </cell>
          <cell r="H137">
            <v>0</v>
          </cell>
          <cell r="I137">
            <v>0</v>
          </cell>
          <cell r="J137">
            <v>0</v>
          </cell>
          <cell r="K137">
            <v>30</v>
          </cell>
          <cell r="L137">
            <v>13.7</v>
          </cell>
          <cell r="M137">
            <v>411</v>
          </cell>
          <cell r="N137">
            <v>0</v>
          </cell>
          <cell r="O137">
            <v>0</v>
          </cell>
          <cell r="P137">
            <v>0</v>
          </cell>
          <cell r="Q137">
            <v>0</v>
          </cell>
          <cell r="R137">
            <v>0</v>
          </cell>
          <cell r="S137" t="str">
            <v>-</v>
          </cell>
          <cell r="T137" t="str">
            <v>-</v>
          </cell>
          <cell r="U137" t="str">
            <v>-</v>
          </cell>
          <cell r="V137" t="str">
            <v>-</v>
          </cell>
          <cell r="W137" t="str">
            <v>有库存无销量</v>
          </cell>
          <cell r="X137" t="str">
            <v>有库存无销量</v>
          </cell>
          <cell r="Y137">
            <v>1.4</v>
          </cell>
          <cell r="Z137">
            <v>2.35</v>
          </cell>
          <cell r="AA137">
            <v>2.35</v>
          </cell>
          <cell r="AB137" t="str">
            <v>-</v>
          </cell>
        </row>
        <row r="138">
          <cell r="A138" t="str">
            <v>美珠</v>
          </cell>
          <cell r="B138" t="str">
            <v>Y4075-OR+Y4076+Y4077</v>
          </cell>
          <cell r="C138" t="str">
            <v>机器人二代iPhone 15</v>
          </cell>
          <cell r="D138">
            <v>45181</v>
          </cell>
          <cell r="E138" t="str">
            <v>B0CCDGR1V2</v>
          </cell>
          <cell r="F138">
            <v>40</v>
          </cell>
          <cell r="G138">
            <v>0</v>
          </cell>
          <cell r="H138">
            <v>0</v>
          </cell>
          <cell r="I138">
            <v>0</v>
          </cell>
          <cell r="J138">
            <v>0</v>
          </cell>
          <cell r="K138">
            <v>40</v>
          </cell>
          <cell r="L138">
            <v>13.7</v>
          </cell>
          <cell r="M138">
            <v>548</v>
          </cell>
          <cell r="N138">
            <v>1</v>
          </cell>
          <cell r="O138">
            <v>2</v>
          </cell>
          <cell r="P138">
            <v>2</v>
          </cell>
          <cell r="Q138">
            <v>0</v>
          </cell>
          <cell r="R138">
            <v>1</v>
          </cell>
          <cell r="S138">
            <v>350</v>
          </cell>
          <cell r="T138">
            <v>11.6666666666667</v>
          </cell>
          <cell r="U138" t="str">
            <v>-</v>
          </cell>
          <cell r="V138" t="str">
            <v>-</v>
          </cell>
          <cell r="W138" t="str">
            <v>库存过高</v>
          </cell>
          <cell r="X138" t="str">
            <v>库存过高</v>
          </cell>
          <cell r="Y138">
            <v>1.99</v>
          </cell>
          <cell r="Z138">
            <v>1.99</v>
          </cell>
          <cell r="AA138">
            <v>2.54</v>
          </cell>
          <cell r="AB138" t="str">
            <v>-</v>
          </cell>
        </row>
        <row r="139">
          <cell r="A139" t="str">
            <v>美珠</v>
          </cell>
          <cell r="B139" t="str">
            <v>Y4075-WI+Y4076+Y4077</v>
          </cell>
          <cell r="C139" t="str">
            <v>机器人二代iPhone 15</v>
          </cell>
          <cell r="D139">
            <v>45181</v>
          </cell>
          <cell r="E139" t="str">
            <v>B0CCDGLZNL</v>
          </cell>
          <cell r="F139">
            <v>28</v>
          </cell>
          <cell r="G139">
            <v>0</v>
          </cell>
          <cell r="H139">
            <v>0</v>
          </cell>
          <cell r="I139">
            <v>1</v>
          </cell>
          <cell r="J139">
            <v>0</v>
          </cell>
          <cell r="K139">
            <v>29</v>
          </cell>
          <cell r="L139">
            <v>13.7</v>
          </cell>
          <cell r="M139">
            <v>397.3</v>
          </cell>
          <cell r="N139">
            <v>2</v>
          </cell>
          <cell r="O139">
            <v>2</v>
          </cell>
          <cell r="P139">
            <v>2</v>
          </cell>
          <cell r="Q139">
            <v>0</v>
          </cell>
          <cell r="R139">
            <v>2</v>
          </cell>
          <cell r="S139">
            <v>179.117647058824</v>
          </cell>
          <cell r="T139">
            <v>5.97058823529412</v>
          </cell>
          <cell r="U139" t="str">
            <v>-</v>
          </cell>
          <cell r="V139" t="str">
            <v>-</v>
          </cell>
          <cell r="W139" t="str">
            <v>库存过高</v>
          </cell>
          <cell r="X139" t="str">
            <v>库存过高</v>
          </cell>
          <cell r="Y139">
            <v>1.47</v>
          </cell>
          <cell r="Z139">
            <v>1.47</v>
          </cell>
          <cell r="AA139">
            <v>2.02</v>
          </cell>
          <cell r="AB139">
            <v>0.113163972286374</v>
          </cell>
        </row>
        <row r="140">
          <cell r="A140" t="str">
            <v>美珠</v>
          </cell>
          <cell r="B140" t="str">
            <v>Y4087-BL+Y4088</v>
          </cell>
          <cell r="C140" t="str">
            <v>机器人二代pixel  8 黑色</v>
          </cell>
          <cell r="D140">
            <v>45211</v>
          </cell>
          <cell r="E140" t="str">
            <v>B0CGRB58GR</v>
          </cell>
          <cell r="F140">
            <v>60</v>
          </cell>
          <cell r="G140">
            <v>0</v>
          </cell>
          <cell r="H140">
            <v>0</v>
          </cell>
          <cell r="I140">
            <v>0</v>
          </cell>
          <cell r="J140">
            <v>0</v>
          </cell>
          <cell r="K140">
            <v>60</v>
          </cell>
          <cell r="L140">
            <v>11</v>
          </cell>
          <cell r="M140">
            <v>660</v>
          </cell>
          <cell r="N140">
            <v>0</v>
          </cell>
          <cell r="O140">
            <v>0</v>
          </cell>
          <cell r="P140">
            <v>0</v>
          </cell>
          <cell r="Q140">
            <v>0</v>
          </cell>
          <cell r="R140">
            <v>0</v>
          </cell>
          <cell r="S140" t="str">
            <v>-</v>
          </cell>
          <cell r="T140" t="str">
            <v>-</v>
          </cell>
          <cell r="U140" t="str">
            <v>-</v>
          </cell>
          <cell r="V140" t="str">
            <v>-</v>
          </cell>
          <cell r="W140" t="str">
            <v>本月刚到货</v>
          </cell>
          <cell r="X140" t="str">
            <v>本月刚到货</v>
          </cell>
          <cell r="Y140">
            <v>0</v>
          </cell>
          <cell r="Z140">
            <v>0</v>
          </cell>
          <cell r="AA140">
            <v>0</v>
          </cell>
          <cell r="AB140" t="str">
            <v>-</v>
          </cell>
        </row>
        <row r="141">
          <cell r="A141" t="str">
            <v>美珠</v>
          </cell>
          <cell r="B141" t="str">
            <v>Y4087-DB+Y4088</v>
          </cell>
          <cell r="C141" t="str">
            <v>机器人二代pixel  8 深蓝+蓝</v>
          </cell>
          <cell r="D141">
            <v>45211</v>
          </cell>
          <cell r="E141" t="str">
            <v>B0CGR976F8</v>
          </cell>
          <cell r="F141">
            <v>0</v>
          </cell>
          <cell r="G141">
            <v>0</v>
          </cell>
          <cell r="H141">
            <v>30</v>
          </cell>
          <cell r="I141">
            <v>0</v>
          </cell>
          <cell r="J141">
            <v>0</v>
          </cell>
          <cell r="K141">
            <v>30</v>
          </cell>
          <cell r="L141">
            <v>11</v>
          </cell>
          <cell r="M141">
            <v>330</v>
          </cell>
          <cell r="N141">
            <v>0</v>
          </cell>
          <cell r="O141">
            <v>0</v>
          </cell>
          <cell r="P141">
            <v>0</v>
          </cell>
          <cell r="Q141">
            <v>0</v>
          </cell>
          <cell r="R141">
            <v>0</v>
          </cell>
          <cell r="S141" t="str">
            <v>-</v>
          </cell>
          <cell r="T141" t="str">
            <v>-</v>
          </cell>
          <cell r="U141" t="str">
            <v>-</v>
          </cell>
          <cell r="V141" t="str">
            <v>-</v>
          </cell>
          <cell r="W141" t="str">
            <v>本月刚到货</v>
          </cell>
          <cell r="X141" t="str">
            <v>本月刚到货</v>
          </cell>
          <cell r="Y141">
            <v>0</v>
          </cell>
          <cell r="Z141">
            <v>0</v>
          </cell>
          <cell r="AA141">
            <v>0</v>
          </cell>
          <cell r="AB141" t="str">
            <v>-</v>
          </cell>
        </row>
        <row r="142">
          <cell r="A142" t="str">
            <v>美珠</v>
          </cell>
          <cell r="B142" t="str">
            <v>Y4087-GW+Y4088</v>
          </cell>
          <cell r="C142" t="str">
            <v>机器人二代pixel  8 果绿+白</v>
          </cell>
          <cell r="D142">
            <v>45211</v>
          </cell>
          <cell r="E142" t="str">
            <v>B0CGR9X5TK</v>
          </cell>
          <cell r="F142">
            <v>40</v>
          </cell>
          <cell r="G142">
            <v>0</v>
          </cell>
          <cell r="H142">
            <v>0</v>
          </cell>
          <cell r="I142">
            <v>0</v>
          </cell>
          <cell r="J142">
            <v>0</v>
          </cell>
          <cell r="K142">
            <v>40</v>
          </cell>
          <cell r="L142">
            <v>11</v>
          </cell>
          <cell r="M142">
            <v>440</v>
          </cell>
          <cell r="N142">
            <v>0</v>
          </cell>
          <cell r="O142">
            <v>0</v>
          </cell>
          <cell r="P142">
            <v>0</v>
          </cell>
          <cell r="Q142">
            <v>0</v>
          </cell>
          <cell r="R142">
            <v>0</v>
          </cell>
          <cell r="S142" t="str">
            <v>-</v>
          </cell>
          <cell r="T142" t="str">
            <v>-</v>
          </cell>
          <cell r="U142" t="str">
            <v>-</v>
          </cell>
          <cell r="V142" t="str">
            <v>-</v>
          </cell>
          <cell r="W142" t="str">
            <v>本月刚到货</v>
          </cell>
          <cell r="X142" t="str">
            <v>本月刚到货</v>
          </cell>
          <cell r="Y142">
            <v>0</v>
          </cell>
          <cell r="Z142">
            <v>0</v>
          </cell>
          <cell r="AA142">
            <v>0</v>
          </cell>
          <cell r="AB142" t="str">
            <v>-</v>
          </cell>
        </row>
        <row r="143">
          <cell r="A143" t="str">
            <v>美珠</v>
          </cell>
          <cell r="B143" t="str">
            <v>Y4087-OR+Y4088</v>
          </cell>
          <cell r="C143" t="str">
            <v>机器人二代pixel  8 黑+橙</v>
          </cell>
          <cell r="D143">
            <v>45211</v>
          </cell>
          <cell r="E143" t="str">
            <v>B0CGR94PYX</v>
          </cell>
          <cell r="F143">
            <v>60</v>
          </cell>
          <cell r="G143">
            <v>0</v>
          </cell>
          <cell r="H143">
            <v>0</v>
          </cell>
          <cell r="I143">
            <v>0</v>
          </cell>
          <cell r="J143">
            <v>0</v>
          </cell>
          <cell r="K143">
            <v>60</v>
          </cell>
          <cell r="L143">
            <v>11</v>
          </cell>
          <cell r="M143">
            <v>660</v>
          </cell>
          <cell r="N143">
            <v>0</v>
          </cell>
          <cell r="O143">
            <v>0</v>
          </cell>
          <cell r="P143">
            <v>0</v>
          </cell>
          <cell r="Q143">
            <v>0</v>
          </cell>
          <cell r="R143">
            <v>0</v>
          </cell>
          <cell r="S143" t="str">
            <v>-</v>
          </cell>
          <cell r="T143" t="str">
            <v>-</v>
          </cell>
          <cell r="U143" t="str">
            <v>-</v>
          </cell>
          <cell r="V143" t="str">
            <v>-</v>
          </cell>
          <cell r="W143" t="str">
            <v>本月刚到货</v>
          </cell>
          <cell r="X143" t="str">
            <v>本月刚到货</v>
          </cell>
          <cell r="Y143">
            <v>0</v>
          </cell>
          <cell r="Z143">
            <v>0</v>
          </cell>
          <cell r="AA143">
            <v>0</v>
          </cell>
          <cell r="AB143" t="str">
            <v>-</v>
          </cell>
        </row>
        <row r="144">
          <cell r="A144" t="str">
            <v>美珠</v>
          </cell>
          <cell r="B144" t="str">
            <v>Y4087-WI+Y4088</v>
          </cell>
          <cell r="C144" t="str">
            <v>机器人二代pixel  8 酒红+粉</v>
          </cell>
          <cell r="D144">
            <v>45211</v>
          </cell>
          <cell r="E144" t="str">
            <v>B0CGR926HQ</v>
          </cell>
          <cell r="F144">
            <v>40</v>
          </cell>
          <cell r="G144">
            <v>0</v>
          </cell>
          <cell r="H144">
            <v>0</v>
          </cell>
          <cell r="I144">
            <v>0</v>
          </cell>
          <cell r="J144">
            <v>0</v>
          </cell>
          <cell r="K144">
            <v>40</v>
          </cell>
          <cell r="L144">
            <v>11</v>
          </cell>
          <cell r="M144">
            <v>440</v>
          </cell>
          <cell r="N144">
            <v>0</v>
          </cell>
          <cell r="O144">
            <v>0</v>
          </cell>
          <cell r="P144">
            <v>0</v>
          </cell>
          <cell r="Q144">
            <v>0</v>
          </cell>
          <cell r="R144">
            <v>0</v>
          </cell>
          <cell r="S144" t="str">
            <v>-</v>
          </cell>
          <cell r="T144" t="str">
            <v>-</v>
          </cell>
          <cell r="U144" t="str">
            <v>-</v>
          </cell>
          <cell r="V144" t="str">
            <v>-</v>
          </cell>
          <cell r="W144" t="str">
            <v>本月刚到货</v>
          </cell>
          <cell r="X144" t="str">
            <v>本月刚到货</v>
          </cell>
          <cell r="Y144">
            <v>0</v>
          </cell>
          <cell r="Z144">
            <v>0</v>
          </cell>
          <cell r="AA144">
            <v>0</v>
          </cell>
          <cell r="AB144" t="str">
            <v>-</v>
          </cell>
        </row>
        <row r="145">
          <cell r="A145" t="str">
            <v>美珠</v>
          </cell>
          <cell r="B145" t="str">
            <v>Y4089-BL+Y4090</v>
          </cell>
          <cell r="C145" t="str">
            <v>机器人二代pixel  8 PRO 黑色</v>
          </cell>
          <cell r="D145">
            <v>45211</v>
          </cell>
          <cell r="E145" t="str">
            <v>B0CGR93NS4</v>
          </cell>
          <cell r="F145">
            <v>10</v>
          </cell>
          <cell r="G145">
            <v>0</v>
          </cell>
          <cell r="H145">
            <v>20</v>
          </cell>
          <cell r="I145">
            <v>0</v>
          </cell>
          <cell r="J145">
            <v>0</v>
          </cell>
          <cell r="K145">
            <v>30</v>
          </cell>
          <cell r="L145">
            <v>11</v>
          </cell>
          <cell r="M145">
            <v>330</v>
          </cell>
          <cell r="N145">
            <v>0</v>
          </cell>
          <cell r="O145">
            <v>0</v>
          </cell>
          <cell r="P145">
            <v>0</v>
          </cell>
          <cell r="Q145">
            <v>0</v>
          </cell>
          <cell r="R145">
            <v>0</v>
          </cell>
          <cell r="S145" t="str">
            <v>-</v>
          </cell>
          <cell r="T145" t="str">
            <v>-</v>
          </cell>
          <cell r="U145" t="str">
            <v>-</v>
          </cell>
          <cell r="V145" t="str">
            <v>-</v>
          </cell>
          <cell r="W145" t="str">
            <v>本月刚到货</v>
          </cell>
          <cell r="X145" t="str">
            <v>本月刚到货</v>
          </cell>
          <cell r="Y145">
            <v>0</v>
          </cell>
          <cell r="Z145">
            <v>0</v>
          </cell>
          <cell r="AA145">
            <v>0</v>
          </cell>
          <cell r="AB145" t="str">
            <v>-</v>
          </cell>
        </row>
        <row r="146">
          <cell r="A146" t="str">
            <v>美珠</v>
          </cell>
          <cell r="B146" t="str">
            <v>Y4089-DB+Y4090</v>
          </cell>
          <cell r="C146" t="str">
            <v>机器人二代pixel  8 PRO 深蓝+蓝</v>
          </cell>
          <cell r="D146">
            <v>45211</v>
          </cell>
          <cell r="E146" t="str">
            <v>B0CGRCZK32</v>
          </cell>
          <cell r="F146">
            <v>0</v>
          </cell>
          <cell r="G146">
            <v>0</v>
          </cell>
          <cell r="H146">
            <v>30</v>
          </cell>
          <cell r="I146">
            <v>0</v>
          </cell>
          <cell r="J146">
            <v>0</v>
          </cell>
          <cell r="K146">
            <v>30</v>
          </cell>
          <cell r="L146">
            <v>11</v>
          </cell>
          <cell r="M146">
            <v>330</v>
          </cell>
          <cell r="N146">
            <v>0</v>
          </cell>
          <cell r="O146">
            <v>0</v>
          </cell>
          <cell r="P146">
            <v>0</v>
          </cell>
          <cell r="Q146">
            <v>0</v>
          </cell>
          <cell r="R146">
            <v>0</v>
          </cell>
          <cell r="S146" t="str">
            <v>-</v>
          </cell>
          <cell r="T146" t="str">
            <v>-</v>
          </cell>
          <cell r="U146" t="str">
            <v>-</v>
          </cell>
          <cell r="V146" t="str">
            <v>-</v>
          </cell>
          <cell r="W146" t="str">
            <v>本月刚到货</v>
          </cell>
          <cell r="X146" t="str">
            <v>本月刚到货</v>
          </cell>
          <cell r="Y146">
            <v>0</v>
          </cell>
          <cell r="Z146">
            <v>0</v>
          </cell>
          <cell r="AA146">
            <v>0</v>
          </cell>
          <cell r="AB146" t="str">
            <v>-</v>
          </cell>
        </row>
        <row r="147">
          <cell r="A147" t="str">
            <v>美珠</v>
          </cell>
          <cell r="B147" t="str">
            <v>Y4089-GW+Y4090</v>
          </cell>
          <cell r="C147" t="str">
            <v>机器人二代pixel  8 PRO 果绿+白</v>
          </cell>
          <cell r="D147">
            <v>45211</v>
          </cell>
          <cell r="E147" t="str">
            <v>B0CGRCXD1G</v>
          </cell>
          <cell r="F147">
            <v>0</v>
          </cell>
          <cell r="G147">
            <v>0</v>
          </cell>
          <cell r="H147">
            <v>20</v>
          </cell>
          <cell r="I147">
            <v>0</v>
          </cell>
          <cell r="J147">
            <v>0</v>
          </cell>
          <cell r="K147">
            <v>20</v>
          </cell>
          <cell r="L147">
            <v>11</v>
          </cell>
          <cell r="M147">
            <v>220</v>
          </cell>
          <cell r="N147">
            <v>0</v>
          </cell>
          <cell r="O147">
            <v>0</v>
          </cell>
          <cell r="P147">
            <v>0</v>
          </cell>
          <cell r="Q147">
            <v>0</v>
          </cell>
          <cell r="R147">
            <v>0</v>
          </cell>
          <cell r="S147" t="str">
            <v>-</v>
          </cell>
          <cell r="T147" t="str">
            <v>-</v>
          </cell>
          <cell r="U147" t="str">
            <v>-</v>
          </cell>
          <cell r="V147" t="str">
            <v>-</v>
          </cell>
          <cell r="W147" t="str">
            <v>本月刚到货</v>
          </cell>
          <cell r="X147" t="str">
            <v>本月刚到货</v>
          </cell>
          <cell r="Y147">
            <v>0</v>
          </cell>
          <cell r="Z147">
            <v>0</v>
          </cell>
          <cell r="AA147">
            <v>0</v>
          </cell>
          <cell r="AB147" t="str">
            <v>-</v>
          </cell>
        </row>
        <row r="148">
          <cell r="A148" t="str">
            <v>美珠</v>
          </cell>
          <cell r="B148" t="str">
            <v>Y4089-OR+Y4090</v>
          </cell>
          <cell r="C148" t="str">
            <v>机器人二代pixel  8 PRO 黑+橙</v>
          </cell>
          <cell r="D148">
            <v>45211</v>
          </cell>
          <cell r="E148" t="str">
            <v>B0CGR8YKZG</v>
          </cell>
          <cell r="F148">
            <v>0</v>
          </cell>
          <cell r="G148">
            <v>0</v>
          </cell>
          <cell r="H148">
            <v>30</v>
          </cell>
          <cell r="I148">
            <v>0</v>
          </cell>
          <cell r="J148">
            <v>0</v>
          </cell>
          <cell r="K148">
            <v>30</v>
          </cell>
          <cell r="L148">
            <v>11</v>
          </cell>
          <cell r="M148">
            <v>330</v>
          </cell>
          <cell r="N148">
            <v>0</v>
          </cell>
          <cell r="O148">
            <v>0</v>
          </cell>
          <cell r="P148">
            <v>0</v>
          </cell>
          <cell r="Q148">
            <v>0</v>
          </cell>
          <cell r="R148">
            <v>0</v>
          </cell>
          <cell r="S148" t="str">
            <v>-</v>
          </cell>
          <cell r="T148" t="str">
            <v>-</v>
          </cell>
          <cell r="U148" t="str">
            <v>-</v>
          </cell>
          <cell r="V148" t="str">
            <v>-</v>
          </cell>
          <cell r="W148" t="str">
            <v>本月刚到货</v>
          </cell>
          <cell r="X148" t="str">
            <v>本月刚到货</v>
          </cell>
          <cell r="Y148">
            <v>0</v>
          </cell>
          <cell r="Z148">
            <v>0</v>
          </cell>
          <cell r="AA148">
            <v>0</v>
          </cell>
          <cell r="AB148" t="str">
            <v>-</v>
          </cell>
        </row>
        <row r="149">
          <cell r="A149" t="str">
            <v>美珠</v>
          </cell>
          <cell r="B149" t="str">
            <v>Y4089-WI+Y4090</v>
          </cell>
          <cell r="C149" t="str">
            <v>机器人二代pixel  8 PRO 酒红+粉</v>
          </cell>
          <cell r="D149">
            <v>45211</v>
          </cell>
          <cell r="E149" t="str">
            <v>B0CGRBWZJ8</v>
          </cell>
          <cell r="F149">
            <v>0</v>
          </cell>
          <cell r="G149">
            <v>0</v>
          </cell>
          <cell r="H149">
            <v>20</v>
          </cell>
          <cell r="I149">
            <v>0</v>
          </cell>
          <cell r="J149">
            <v>0</v>
          </cell>
          <cell r="K149">
            <v>20</v>
          </cell>
          <cell r="L149">
            <v>11</v>
          </cell>
          <cell r="M149">
            <v>220</v>
          </cell>
          <cell r="N149">
            <v>0</v>
          </cell>
          <cell r="O149">
            <v>0</v>
          </cell>
          <cell r="P149">
            <v>0</v>
          </cell>
          <cell r="Q149">
            <v>0</v>
          </cell>
          <cell r="R149">
            <v>0</v>
          </cell>
          <cell r="S149" t="str">
            <v>-</v>
          </cell>
          <cell r="T149" t="str">
            <v>-</v>
          </cell>
          <cell r="U149" t="str">
            <v>-</v>
          </cell>
          <cell r="V149" t="str">
            <v>-</v>
          </cell>
          <cell r="W149" t="str">
            <v>本月刚到货</v>
          </cell>
          <cell r="X149" t="str">
            <v>本月刚到货</v>
          </cell>
          <cell r="Y149">
            <v>0</v>
          </cell>
          <cell r="Z149">
            <v>0</v>
          </cell>
          <cell r="AA149">
            <v>0</v>
          </cell>
          <cell r="AB149" t="str">
            <v>-</v>
          </cell>
        </row>
      </sheetData>
      <sheetData sheetId="7"/>
      <sheetData sheetId="8">
        <row r="1">
          <cell r="B1">
            <v>57</v>
          </cell>
          <cell r="C1" t="str">
            <v>已经把长期无库存且决定后期不再做的sku删除</v>
          </cell>
        </row>
        <row r="1">
          <cell r="K1">
            <v>585</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585</v>
          </cell>
        </row>
        <row r="3">
          <cell r="M3">
            <v>15492.904</v>
          </cell>
          <cell r="N3">
            <v>40</v>
          </cell>
          <cell r="O3">
            <v>74</v>
          </cell>
          <cell r="P3">
            <v>137</v>
          </cell>
          <cell r="Q3">
            <v>20</v>
          </cell>
          <cell r="R3">
            <v>20</v>
          </cell>
        </row>
        <row r="3">
          <cell r="Y3">
            <v>109.07</v>
          </cell>
          <cell r="Z3">
            <v>177.29</v>
          </cell>
          <cell r="AA3">
            <v>288.24</v>
          </cell>
        </row>
        <row r="4">
          <cell r="A4" t="str">
            <v>美珠</v>
          </cell>
          <cell r="B4" t="str">
            <v>Y03809-SB5</v>
          </cell>
          <cell r="C4" t="str">
            <v>IMD花纹注粉透明系列手机壳iPhone 13 pro max  夏花纹</v>
          </cell>
        </row>
        <row r="4">
          <cell r="E4" t="str">
            <v>B09QCMTP26</v>
          </cell>
          <cell r="F4">
            <v>1</v>
          </cell>
          <cell r="G4">
            <v>0</v>
          </cell>
          <cell r="H4">
            <v>0</v>
          </cell>
          <cell r="I4">
            <v>0</v>
          </cell>
          <cell r="J4">
            <v>0</v>
          </cell>
          <cell r="K4">
            <v>1</v>
          </cell>
          <cell r="L4">
            <v>12.4</v>
          </cell>
          <cell r="M4">
            <v>12.4</v>
          </cell>
          <cell r="N4">
            <v>0</v>
          </cell>
          <cell r="O4">
            <v>0</v>
          </cell>
          <cell r="P4">
            <v>0</v>
          </cell>
          <cell r="Q4">
            <v>0</v>
          </cell>
          <cell r="R4">
            <v>0</v>
          </cell>
          <cell r="S4" t="str">
            <v>-</v>
          </cell>
          <cell r="T4" t="str">
            <v>-</v>
          </cell>
          <cell r="U4" t="str">
            <v>-</v>
          </cell>
          <cell r="V4" t="str">
            <v>-</v>
          </cell>
          <cell r="W4" t="str">
            <v>有库存无销量</v>
          </cell>
          <cell r="X4" t="str">
            <v>有库存无销量</v>
          </cell>
          <cell r="Y4">
            <v>0</v>
          </cell>
          <cell r="Z4">
            <v>0</v>
          </cell>
          <cell r="AA4">
            <v>0</v>
          </cell>
          <cell r="AB4" t="str">
            <v>-</v>
          </cell>
        </row>
        <row r="5">
          <cell r="A5" t="str">
            <v>美珠</v>
          </cell>
          <cell r="B5" t="str">
            <v>Y5014-BU</v>
          </cell>
          <cell r="C5" t="str">
            <v>启航二合一Samsung S22  深蓝色+黑色</v>
          </cell>
        </row>
        <row r="5">
          <cell r="E5" t="str">
            <v>B09WYG362T</v>
          </cell>
          <cell r="F5">
            <v>1</v>
          </cell>
          <cell r="G5">
            <v>0</v>
          </cell>
          <cell r="H5">
            <v>0</v>
          </cell>
          <cell r="I5">
            <v>0</v>
          </cell>
          <cell r="J5">
            <v>0</v>
          </cell>
          <cell r="K5">
            <v>1</v>
          </cell>
          <cell r="L5">
            <v>9.65</v>
          </cell>
          <cell r="M5">
            <v>9.65</v>
          </cell>
          <cell r="N5">
            <v>0</v>
          </cell>
          <cell r="O5">
            <v>0</v>
          </cell>
          <cell r="P5">
            <v>0</v>
          </cell>
          <cell r="Q5">
            <v>0</v>
          </cell>
          <cell r="R5">
            <v>0</v>
          </cell>
          <cell r="S5" t="str">
            <v>-</v>
          </cell>
          <cell r="T5" t="str">
            <v>-</v>
          </cell>
          <cell r="U5" t="str">
            <v>-</v>
          </cell>
          <cell r="V5" t="str">
            <v>-</v>
          </cell>
          <cell r="W5" t="str">
            <v>有库存无销量</v>
          </cell>
          <cell r="X5" t="str">
            <v>有库存无销量</v>
          </cell>
          <cell r="Y5">
            <v>0</v>
          </cell>
          <cell r="Z5">
            <v>0</v>
          </cell>
          <cell r="AA5">
            <v>0</v>
          </cell>
          <cell r="AB5" t="str">
            <v>-</v>
          </cell>
        </row>
        <row r="6">
          <cell r="A6" t="str">
            <v>美珠</v>
          </cell>
          <cell r="B6" t="str">
            <v>Y5014-PI</v>
          </cell>
          <cell r="C6" t="str">
            <v>启航二合一Samsung S22  粉色+粉色</v>
          </cell>
        </row>
        <row r="6">
          <cell r="E6" t="str">
            <v>B09WYGGY28</v>
          </cell>
          <cell r="F6">
            <v>1</v>
          </cell>
          <cell r="G6">
            <v>0</v>
          </cell>
          <cell r="H6">
            <v>0</v>
          </cell>
          <cell r="I6">
            <v>0</v>
          </cell>
          <cell r="J6">
            <v>0</v>
          </cell>
          <cell r="K6">
            <v>1</v>
          </cell>
          <cell r="L6">
            <v>9.65</v>
          </cell>
          <cell r="M6">
            <v>9.65</v>
          </cell>
          <cell r="N6">
            <v>0</v>
          </cell>
          <cell r="O6">
            <v>0</v>
          </cell>
          <cell r="P6">
            <v>0</v>
          </cell>
          <cell r="Q6">
            <v>0</v>
          </cell>
          <cell r="R6">
            <v>0</v>
          </cell>
          <cell r="S6" t="str">
            <v>-</v>
          </cell>
          <cell r="T6" t="str">
            <v>-</v>
          </cell>
          <cell r="U6" t="str">
            <v>-</v>
          </cell>
          <cell r="V6" t="str">
            <v>-</v>
          </cell>
          <cell r="W6" t="str">
            <v>有库存无销量</v>
          </cell>
          <cell r="X6" t="str">
            <v>有库存无销量</v>
          </cell>
          <cell r="Y6">
            <v>0</v>
          </cell>
          <cell r="Z6">
            <v>0</v>
          </cell>
          <cell r="AA6">
            <v>0</v>
          </cell>
          <cell r="AB6" t="str">
            <v>-</v>
          </cell>
        </row>
        <row r="7">
          <cell r="A7" t="str">
            <v>美珠</v>
          </cell>
          <cell r="B7" t="str">
            <v>Y5015-PI</v>
          </cell>
          <cell r="C7" t="str">
            <v>启航二合一Samsung S22 Plus 粉色+粉色</v>
          </cell>
        </row>
        <row r="7">
          <cell r="E7" t="str">
            <v>B09X32YFHD</v>
          </cell>
          <cell r="F7">
            <v>1</v>
          </cell>
          <cell r="G7">
            <v>0</v>
          </cell>
          <cell r="H7">
            <v>0</v>
          </cell>
          <cell r="I7">
            <v>0</v>
          </cell>
          <cell r="J7">
            <v>0</v>
          </cell>
          <cell r="K7">
            <v>1</v>
          </cell>
          <cell r="L7">
            <v>9.65</v>
          </cell>
          <cell r="M7">
            <v>9.65</v>
          </cell>
          <cell r="N7">
            <v>0</v>
          </cell>
          <cell r="O7">
            <v>0</v>
          </cell>
          <cell r="P7">
            <v>1</v>
          </cell>
          <cell r="Q7">
            <v>0</v>
          </cell>
          <cell r="R7">
            <v>0</v>
          </cell>
          <cell r="S7">
            <v>90</v>
          </cell>
          <cell r="T7">
            <v>3</v>
          </cell>
          <cell r="U7">
            <v>1</v>
          </cell>
          <cell r="V7">
            <v>2</v>
          </cell>
          <cell r="W7" t="str">
            <v>有库存无销量</v>
          </cell>
          <cell r="X7" t="str">
            <v>库存过高</v>
          </cell>
          <cell r="Y7">
            <v>1.77</v>
          </cell>
          <cell r="Z7">
            <v>3.47</v>
          </cell>
          <cell r="AA7">
            <v>5.51</v>
          </cell>
          <cell r="AB7" t="str">
            <v>-</v>
          </cell>
        </row>
        <row r="8">
          <cell r="A8" t="str">
            <v>美珠</v>
          </cell>
          <cell r="B8" t="str">
            <v>Y5016-BU</v>
          </cell>
          <cell r="C8" t="str">
            <v>启航二合一Samsung S22 Ultra  深蓝色+黑色</v>
          </cell>
        </row>
        <row r="8">
          <cell r="E8" t="str">
            <v>B09XDLW83G</v>
          </cell>
          <cell r="F8">
            <v>1</v>
          </cell>
          <cell r="G8">
            <v>0</v>
          </cell>
          <cell r="H8">
            <v>0</v>
          </cell>
          <cell r="I8">
            <v>0</v>
          </cell>
          <cell r="J8">
            <v>0</v>
          </cell>
          <cell r="K8">
            <v>1</v>
          </cell>
          <cell r="L8">
            <v>6.95</v>
          </cell>
          <cell r="M8">
            <v>6.95</v>
          </cell>
          <cell r="N8">
            <v>0</v>
          </cell>
          <cell r="O8">
            <v>0</v>
          </cell>
          <cell r="P8">
            <v>0</v>
          </cell>
          <cell r="Q8">
            <v>0</v>
          </cell>
          <cell r="R8">
            <v>0</v>
          </cell>
          <cell r="S8" t="str">
            <v>-</v>
          </cell>
          <cell r="T8" t="str">
            <v>-</v>
          </cell>
          <cell r="U8" t="str">
            <v>-</v>
          </cell>
          <cell r="V8" t="str">
            <v>-</v>
          </cell>
          <cell r="W8" t="str">
            <v>有库存无销量</v>
          </cell>
          <cell r="X8" t="str">
            <v>有库存无销量</v>
          </cell>
          <cell r="Y8">
            <v>0</v>
          </cell>
          <cell r="Z8">
            <v>0</v>
          </cell>
          <cell r="AA8">
            <v>0</v>
          </cell>
          <cell r="AB8" t="str">
            <v>-</v>
          </cell>
        </row>
        <row r="9">
          <cell r="A9" t="str">
            <v>美珠</v>
          </cell>
          <cell r="B9" t="str">
            <v>Y5019-BL</v>
          </cell>
          <cell r="C9" t="str">
            <v>启航二合一Samsung A13 5G   黑色+黑色</v>
          </cell>
        </row>
        <row r="9">
          <cell r="E9" t="str">
            <v>B09XMJ247T</v>
          </cell>
          <cell r="F9">
            <v>2</v>
          </cell>
          <cell r="G9">
            <v>0</v>
          </cell>
          <cell r="H9">
            <v>0</v>
          </cell>
          <cell r="I9">
            <v>0</v>
          </cell>
          <cell r="J9">
            <v>0</v>
          </cell>
          <cell r="K9">
            <v>2</v>
          </cell>
          <cell r="L9">
            <v>8.6</v>
          </cell>
          <cell r="M9">
            <v>17.2</v>
          </cell>
          <cell r="N9">
            <v>0</v>
          </cell>
          <cell r="O9">
            <v>0</v>
          </cell>
          <cell r="P9">
            <v>0</v>
          </cell>
          <cell r="Q9">
            <v>0</v>
          </cell>
          <cell r="R9">
            <v>0</v>
          </cell>
          <cell r="S9" t="str">
            <v>-</v>
          </cell>
          <cell r="T9" t="str">
            <v>-</v>
          </cell>
          <cell r="U9" t="str">
            <v>-</v>
          </cell>
          <cell r="V9" t="str">
            <v>-</v>
          </cell>
          <cell r="W9" t="str">
            <v>有库存无销量</v>
          </cell>
          <cell r="X9" t="str">
            <v>有库存无销量</v>
          </cell>
          <cell r="Y9">
            <v>0.2</v>
          </cell>
          <cell r="Z9">
            <v>0.2</v>
          </cell>
          <cell r="AA9">
            <v>0.2</v>
          </cell>
          <cell r="AB9" t="str">
            <v>-</v>
          </cell>
        </row>
        <row r="10">
          <cell r="A10" t="str">
            <v>美珠</v>
          </cell>
          <cell r="B10" t="str">
            <v>Y5019-GR</v>
          </cell>
          <cell r="C10" t="str">
            <v>启航二合一Samsung A13 5G  浅绿色+浅绿色</v>
          </cell>
        </row>
        <row r="10">
          <cell r="E10" t="str">
            <v>B09XMJ3P53</v>
          </cell>
          <cell r="F10">
            <v>1</v>
          </cell>
          <cell r="G10">
            <v>0</v>
          </cell>
          <cell r="H10">
            <v>0</v>
          </cell>
          <cell r="I10">
            <v>0</v>
          </cell>
          <cell r="J10">
            <v>0</v>
          </cell>
          <cell r="K10">
            <v>1</v>
          </cell>
          <cell r="L10">
            <v>8.6</v>
          </cell>
          <cell r="M10">
            <v>8.6</v>
          </cell>
          <cell r="N10">
            <v>0</v>
          </cell>
          <cell r="O10">
            <v>0</v>
          </cell>
          <cell r="P10">
            <v>0</v>
          </cell>
          <cell r="Q10">
            <v>0</v>
          </cell>
          <cell r="R10">
            <v>0</v>
          </cell>
          <cell r="S10" t="str">
            <v>-</v>
          </cell>
          <cell r="T10" t="str">
            <v>-</v>
          </cell>
          <cell r="U10" t="str">
            <v>-</v>
          </cell>
          <cell r="V10" t="str">
            <v>-</v>
          </cell>
          <cell r="W10" t="str">
            <v>有库存无销量</v>
          </cell>
          <cell r="X10" t="str">
            <v>有库存无销量</v>
          </cell>
          <cell r="Y10">
            <v>0</v>
          </cell>
          <cell r="Z10">
            <v>0</v>
          </cell>
          <cell r="AA10">
            <v>0</v>
          </cell>
          <cell r="AB10" t="str">
            <v>-</v>
          </cell>
        </row>
        <row r="11">
          <cell r="A11" t="str">
            <v>美珠</v>
          </cell>
          <cell r="B11" t="str">
            <v>Y5021-BL</v>
          </cell>
          <cell r="C11" t="str">
            <v>启航二合一 G Stylus 2022 5G  黑色+黑色</v>
          </cell>
        </row>
        <row r="11">
          <cell r="E11" t="str">
            <v>B09ZL64DHD</v>
          </cell>
          <cell r="F11">
            <v>2</v>
          </cell>
          <cell r="G11">
            <v>0</v>
          </cell>
          <cell r="H11">
            <v>0</v>
          </cell>
          <cell r="I11">
            <v>0</v>
          </cell>
          <cell r="J11">
            <v>0</v>
          </cell>
          <cell r="K11">
            <v>2</v>
          </cell>
          <cell r="L11">
            <v>7.4</v>
          </cell>
          <cell r="M11">
            <v>14.8</v>
          </cell>
          <cell r="N11">
            <v>0</v>
          </cell>
          <cell r="O11">
            <v>0</v>
          </cell>
          <cell r="P11">
            <v>0</v>
          </cell>
          <cell r="Q11">
            <v>0</v>
          </cell>
          <cell r="R11">
            <v>0</v>
          </cell>
          <cell r="S11" t="str">
            <v>-</v>
          </cell>
          <cell r="T11" t="str">
            <v>-</v>
          </cell>
          <cell r="U11" t="str">
            <v>-</v>
          </cell>
          <cell r="V11" t="str">
            <v>-</v>
          </cell>
          <cell r="W11" t="str">
            <v>有库存无销量</v>
          </cell>
          <cell r="X11" t="str">
            <v>有库存无销量</v>
          </cell>
          <cell r="Y11">
            <v>0</v>
          </cell>
          <cell r="Z11">
            <v>0</v>
          </cell>
          <cell r="AA11">
            <v>0.42</v>
          </cell>
          <cell r="AB11" t="str">
            <v>-</v>
          </cell>
        </row>
        <row r="12">
          <cell r="A12" t="str">
            <v>美珠</v>
          </cell>
          <cell r="B12" t="str">
            <v>Y5021-BU</v>
          </cell>
          <cell r="C12" t="str">
            <v>启航二合一 G Stylus 2022 5G  深蓝色+黑色</v>
          </cell>
        </row>
        <row r="12">
          <cell r="E12" t="str">
            <v>B09ZL6BN4P</v>
          </cell>
          <cell r="F12">
            <v>1</v>
          </cell>
          <cell r="G12">
            <v>0</v>
          </cell>
          <cell r="H12">
            <v>0</v>
          </cell>
          <cell r="I12">
            <v>0</v>
          </cell>
          <cell r="J12">
            <v>0</v>
          </cell>
          <cell r="K12">
            <v>1</v>
          </cell>
          <cell r="L12">
            <v>7.1</v>
          </cell>
          <cell r="M12">
            <v>7.1</v>
          </cell>
          <cell r="N12">
            <v>0</v>
          </cell>
          <cell r="O12">
            <v>0</v>
          </cell>
          <cell r="P12">
            <v>0</v>
          </cell>
          <cell r="Q12">
            <v>0</v>
          </cell>
          <cell r="R12">
            <v>0</v>
          </cell>
          <cell r="S12" t="str">
            <v>-</v>
          </cell>
          <cell r="T12" t="str">
            <v>-</v>
          </cell>
          <cell r="U12" t="str">
            <v>-</v>
          </cell>
          <cell r="V12" t="str">
            <v>-</v>
          </cell>
          <cell r="W12" t="str">
            <v>有库存无销量</v>
          </cell>
          <cell r="X12" t="str">
            <v>有库存无销量</v>
          </cell>
          <cell r="Y12">
            <v>0</v>
          </cell>
          <cell r="Z12">
            <v>0</v>
          </cell>
          <cell r="AA12">
            <v>0</v>
          </cell>
          <cell r="AB12" t="str">
            <v>-</v>
          </cell>
        </row>
        <row r="13">
          <cell r="A13" t="str">
            <v>美珠</v>
          </cell>
          <cell r="B13" t="str">
            <v>Y5013-PU</v>
          </cell>
          <cell r="C13" t="str">
            <v>启航二合一Samsung A53 5G  紫色+黑色</v>
          </cell>
        </row>
        <row r="13">
          <cell r="E13" t="str">
            <v>B0B18899W7</v>
          </cell>
          <cell r="F13">
            <v>0</v>
          </cell>
          <cell r="G13">
            <v>1</v>
          </cell>
          <cell r="H13">
            <v>0</v>
          </cell>
          <cell r="I13">
            <v>0</v>
          </cell>
          <cell r="J13">
            <v>0</v>
          </cell>
          <cell r="K13">
            <v>1</v>
          </cell>
          <cell r="L13">
            <v>9.1</v>
          </cell>
          <cell r="M13">
            <v>9.1</v>
          </cell>
          <cell r="N13">
            <v>0</v>
          </cell>
          <cell r="O13">
            <v>0</v>
          </cell>
          <cell r="P13">
            <v>0</v>
          </cell>
          <cell r="Q13">
            <v>0</v>
          </cell>
          <cell r="R13">
            <v>0</v>
          </cell>
          <cell r="S13" t="str">
            <v>-</v>
          </cell>
          <cell r="T13" t="str">
            <v>-</v>
          </cell>
          <cell r="U13" t="str">
            <v>-</v>
          </cell>
          <cell r="V13" t="str">
            <v>-</v>
          </cell>
          <cell r="W13" t="str">
            <v>有库存无销量</v>
          </cell>
          <cell r="X13" t="str">
            <v>有库存无销量</v>
          </cell>
          <cell r="Y13">
            <v>0</v>
          </cell>
          <cell r="Z13">
            <v>0</v>
          </cell>
          <cell r="AA13">
            <v>0</v>
          </cell>
          <cell r="AB13" t="str">
            <v>-</v>
          </cell>
        </row>
        <row r="14">
          <cell r="A14" t="str">
            <v>美珠</v>
          </cell>
          <cell r="B14" t="str">
            <v>Y5023-DB</v>
          </cell>
          <cell r="C14" t="str">
            <v>三星机器人二代A53 5G</v>
          </cell>
        </row>
        <row r="14">
          <cell r="E14" t="str">
            <v>B0B1J1P674</v>
          </cell>
          <cell r="F14">
            <v>2</v>
          </cell>
          <cell r="G14">
            <v>0</v>
          </cell>
          <cell r="H14">
            <v>0</v>
          </cell>
          <cell r="I14">
            <v>0</v>
          </cell>
          <cell r="J14">
            <v>0</v>
          </cell>
          <cell r="K14">
            <v>2</v>
          </cell>
          <cell r="L14">
            <v>13.7</v>
          </cell>
          <cell r="M14">
            <v>27.4</v>
          </cell>
          <cell r="N14">
            <v>0</v>
          </cell>
          <cell r="O14">
            <v>0</v>
          </cell>
          <cell r="P14">
            <v>0</v>
          </cell>
          <cell r="Q14">
            <v>0</v>
          </cell>
          <cell r="R14">
            <v>0</v>
          </cell>
          <cell r="S14" t="str">
            <v>-</v>
          </cell>
          <cell r="T14" t="str">
            <v>-</v>
          </cell>
          <cell r="U14" t="str">
            <v>-</v>
          </cell>
          <cell r="V14" t="str">
            <v>-</v>
          </cell>
          <cell r="W14" t="str">
            <v>有库存无销量</v>
          </cell>
          <cell r="X14" t="str">
            <v>有库存无销量</v>
          </cell>
          <cell r="Y14">
            <v>0</v>
          </cell>
          <cell r="Z14">
            <v>0</v>
          </cell>
          <cell r="AA14">
            <v>0</v>
          </cell>
          <cell r="AB14" t="str">
            <v>-</v>
          </cell>
        </row>
        <row r="15">
          <cell r="A15" t="str">
            <v>美珠</v>
          </cell>
          <cell r="B15" t="str">
            <v>Y5023-GW</v>
          </cell>
          <cell r="C15" t="str">
            <v>三星机器人二代A53 5G</v>
          </cell>
        </row>
        <row r="15">
          <cell r="E15" t="str">
            <v>B0B1HZ5N1L</v>
          </cell>
          <cell r="F15">
            <v>1</v>
          </cell>
          <cell r="G15">
            <v>0</v>
          </cell>
          <cell r="H15">
            <v>0</v>
          </cell>
          <cell r="I15">
            <v>0</v>
          </cell>
          <cell r="J15">
            <v>0</v>
          </cell>
          <cell r="K15">
            <v>1</v>
          </cell>
          <cell r="L15">
            <v>13.7</v>
          </cell>
          <cell r="M15">
            <v>13.7</v>
          </cell>
          <cell r="N15">
            <v>0</v>
          </cell>
          <cell r="O15">
            <v>0</v>
          </cell>
          <cell r="P15">
            <v>0</v>
          </cell>
          <cell r="Q15">
            <v>0</v>
          </cell>
          <cell r="R15">
            <v>0</v>
          </cell>
          <cell r="S15" t="str">
            <v>-</v>
          </cell>
          <cell r="T15" t="str">
            <v>-</v>
          </cell>
          <cell r="U15" t="str">
            <v>-</v>
          </cell>
          <cell r="V15" t="str">
            <v>-</v>
          </cell>
          <cell r="W15" t="str">
            <v>有库存无销量</v>
          </cell>
          <cell r="X15" t="str">
            <v>有库存无销量</v>
          </cell>
          <cell r="Y15">
            <v>0</v>
          </cell>
          <cell r="Z15">
            <v>0</v>
          </cell>
          <cell r="AA15">
            <v>0</v>
          </cell>
          <cell r="AB15" t="str">
            <v>-</v>
          </cell>
        </row>
        <row r="16">
          <cell r="A16" t="str">
            <v>美珠</v>
          </cell>
          <cell r="B16" t="str">
            <v>Y5024-BL</v>
          </cell>
          <cell r="C16" t="str">
            <v>三星机器人二代A03S</v>
          </cell>
        </row>
        <row r="16">
          <cell r="E16" t="str">
            <v>B0B1LLHT2Z</v>
          </cell>
          <cell r="F16">
            <v>26</v>
          </cell>
          <cell r="G16">
            <v>0</v>
          </cell>
          <cell r="H16">
            <v>0</v>
          </cell>
          <cell r="I16">
            <v>0</v>
          </cell>
          <cell r="J16">
            <v>0</v>
          </cell>
          <cell r="K16">
            <v>26</v>
          </cell>
          <cell r="L16">
            <v>13.7</v>
          </cell>
          <cell r="M16">
            <v>356.2</v>
          </cell>
          <cell r="N16">
            <v>0</v>
          </cell>
          <cell r="O16">
            <v>0</v>
          </cell>
          <cell r="P16">
            <v>1</v>
          </cell>
          <cell r="Q16">
            <v>1</v>
          </cell>
          <cell r="R16">
            <v>-1</v>
          </cell>
          <cell r="S16">
            <v>2340</v>
          </cell>
          <cell r="T16">
            <v>78</v>
          </cell>
          <cell r="U16">
            <v>9.77586206896552</v>
          </cell>
          <cell r="V16">
            <v>68.2241379310345</v>
          </cell>
          <cell r="W16" t="str">
            <v>有库存无销量</v>
          </cell>
          <cell r="X16" t="str">
            <v>库存过高</v>
          </cell>
          <cell r="Y16">
            <v>0</v>
          </cell>
          <cell r="Z16">
            <v>0</v>
          </cell>
          <cell r="AA16">
            <v>0</v>
          </cell>
          <cell r="AB16" t="str">
            <v>-</v>
          </cell>
        </row>
        <row r="17">
          <cell r="A17" t="str">
            <v>美珠</v>
          </cell>
          <cell r="B17" t="str">
            <v>Y5024-DB</v>
          </cell>
          <cell r="C17" t="str">
            <v>三星机器人二代A03S</v>
          </cell>
        </row>
        <row r="17">
          <cell r="E17" t="str">
            <v>B0B1LPQ8W4</v>
          </cell>
          <cell r="F17">
            <v>13</v>
          </cell>
          <cell r="G17">
            <v>0</v>
          </cell>
          <cell r="H17">
            <v>0</v>
          </cell>
          <cell r="I17">
            <v>0</v>
          </cell>
          <cell r="J17">
            <v>0</v>
          </cell>
          <cell r="K17">
            <v>13</v>
          </cell>
          <cell r="L17">
            <v>13.7</v>
          </cell>
          <cell r="M17">
            <v>178.1</v>
          </cell>
          <cell r="N17">
            <v>0</v>
          </cell>
          <cell r="O17">
            <v>0</v>
          </cell>
          <cell r="P17">
            <v>0</v>
          </cell>
          <cell r="Q17">
            <v>0</v>
          </cell>
          <cell r="R17">
            <v>0</v>
          </cell>
          <cell r="S17" t="str">
            <v>-</v>
          </cell>
          <cell r="T17" t="str">
            <v>-</v>
          </cell>
          <cell r="U17" t="str">
            <v>-</v>
          </cell>
          <cell r="V17" t="str">
            <v>-</v>
          </cell>
          <cell r="W17" t="str">
            <v>有库存无销量</v>
          </cell>
          <cell r="X17" t="str">
            <v>有库存无销量</v>
          </cell>
          <cell r="Y17">
            <v>0</v>
          </cell>
          <cell r="Z17">
            <v>0</v>
          </cell>
          <cell r="AA17">
            <v>0</v>
          </cell>
          <cell r="AB17" t="str">
            <v>-</v>
          </cell>
        </row>
        <row r="18">
          <cell r="A18" t="str">
            <v>美珠</v>
          </cell>
          <cell r="B18" t="str">
            <v>Y5024-GW</v>
          </cell>
          <cell r="C18" t="str">
            <v>三星机器人二代A03S</v>
          </cell>
        </row>
        <row r="18">
          <cell r="E18" t="str">
            <v>B0B1LHMT7H</v>
          </cell>
          <cell r="F18">
            <v>10</v>
          </cell>
          <cell r="G18">
            <v>0</v>
          </cell>
          <cell r="H18">
            <v>0</v>
          </cell>
          <cell r="I18">
            <v>0</v>
          </cell>
          <cell r="J18">
            <v>0</v>
          </cell>
          <cell r="K18">
            <v>10</v>
          </cell>
          <cell r="L18">
            <v>13.7</v>
          </cell>
          <cell r="M18">
            <v>137</v>
          </cell>
          <cell r="N18">
            <v>0</v>
          </cell>
          <cell r="O18">
            <v>1</v>
          </cell>
          <cell r="P18">
            <v>1</v>
          </cell>
          <cell r="Q18">
            <v>0</v>
          </cell>
          <cell r="R18">
            <v>0</v>
          </cell>
          <cell r="S18">
            <v>300</v>
          </cell>
          <cell r="T18">
            <v>10</v>
          </cell>
          <cell r="U18" t="str">
            <v>-</v>
          </cell>
          <cell r="V18" t="str">
            <v>-</v>
          </cell>
          <cell r="W18" t="str">
            <v>有库存无销量</v>
          </cell>
          <cell r="X18" t="str">
            <v>库存过高</v>
          </cell>
          <cell r="Y18">
            <v>0</v>
          </cell>
          <cell r="Z18">
            <v>0</v>
          </cell>
          <cell r="AA18">
            <v>0</v>
          </cell>
          <cell r="AB18" t="str">
            <v>-</v>
          </cell>
        </row>
        <row r="19">
          <cell r="A19" t="str">
            <v>美珠</v>
          </cell>
          <cell r="B19" t="str">
            <v>Y5030-WI</v>
          </cell>
          <cell r="C19" t="str">
            <v>谷歌机器人二代Pixel 6A</v>
          </cell>
        </row>
        <row r="19">
          <cell r="E19" t="str">
            <v>B0B24M8L3G</v>
          </cell>
          <cell r="F19">
            <v>1</v>
          </cell>
          <cell r="G19">
            <v>0</v>
          </cell>
          <cell r="H19">
            <v>0</v>
          </cell>
          <cell r="I19">
            <v>0</v>
          </cell>
          <cell r="J19">
            <v>0</v>
          </cell>
          <cell r="K19">
            <v>1</v>
          </cell>
          <cell r="L19">
            <v>13.7</v>
          </cell>
          <cell r="M19">
            <v>13.7</v>
          </cell>
          <cell r="N19">
            <v>0</v>
          </cell>
          <cell r="O19">
            <v>1</v>
          </cell>
          <cell r="P19">
            <v>3</v>
          </cell>
          <cell r="Q19">
            <v>1</v>
          </cell>
          <cell r="R19">
            <v>-1</v>
          </cell>
          <cell r="S19">
            <v>18</v>
          </cell>
          <cell r="T19">
            <v>0.6</v>
          </cell>
          <cell r="U19">
            <v>1.64705882352941</v>
          </cell>
          <cell r="V19">
            <v>-1.04705882352941</v>
          </cell>
          <cell r="W19" t="str">
            <v>有库存无销量</v>
          </cell>
          <cell r="X19" t="str">
            <v>正常</v>
          </cell>
          <cell r="Y19">
            <v>1.94</v>
          </cell>
          <cell r="Z19">
            <v>5.07</v>
          </cell>
          <cell r="AA19">
            <v>8.86</v>
          </cell>
          <cell r="AB19" t="str">
            <v>-</v>
          </cell>
        </row>
        <row r="20">
          <cell r="A20" t="str">
            <v>美珠</v>
          </cell>
          <cell r="B20" t="str">
            <v>Y5033-BL</v>
          </cell>
          <cell r="C20" t="str">
            <v>启航二合一系列手机壳Pixel 6A</v>
          </cell>
        </row>
        <row r="20">
          <cell r="E20" t="str">
            <v>B0B24WYNQN</v>
          </cell>
          <cell r="F20">
            <v>6</v>
          </cell>
          <cell r="G20">
            <v>0</v>
          </cell>
          <cell r="H20">
            <v>0</v>
          </cell>
          <cell r="I20">
            <v>0</v>
          </cell>
          <cell r="J20">
            <v>0</v>
          </cell>
          <cell r="K20">
            <v>6</v>
          </cell>
          <cell r="L20">
            <v>8.5</v>
          </cell>
          <cell r="M20">
            <v>51</v>
          </cell>
          <cell r="N20">
            <v>0</v>
          </cell>
          <cell r="O20">
            <v>0</v>
          </cell>
          <cell r="P20">
            <v>0</v>
          </cell>
          <cell r="Q20">
            <v>0</v>
          </cell>
          <cell r="R20">
            <v>0</v>
          </cell>
          <cell r="S20" t="str">
            <v>-</v>
          </cell>
          <cell r="T20" t="str">
            <v>-</v>
          </cell>
          <cell r="U20" t="str">
            <v>-</v>
          </cell>
          <cell r="V20" t="str">
            <v>-</v>
          </cell>
          <cell r="W20" t="str">
            <v>有库存无销量</v>
          </cell>
          <cell r="X20" t="str">
            <v>有库存无销量</v>
          </cell>
          <cell r="Y20">
            <v>0</v>
          </cell>
          <cell r="Z20">
            <v>0</v>
          </cell>
          <cell r="AA20">
            <v>0</v>
          </cell>
          <cell r="AB20" t="str">
            <v>-</v>
          </cell>
        </row>
        <row r="21">
          <cell r="A21" t="str">
            <v>美珠</v>
          </cell>
          <cell r="B21" t="str">
            <v>Y5033-BU</v>
          </cell>
          <cell r="C21" t="str">
            <v>启航二合一系列手机壳Pixel 6A</v>
          </cell>
        </row>
        <row r="21">
          <cell r="E21" t="str">
            <v>B0B24YP3K1</v>
          </cell>
          <cell r="F21">
            <v>8</v>
          </cell>
          <cell r="G21">
            <v>0</v>
          </cell>
          <cell r="H21">
            <v>0</v>
          </cell>
          <cell r="I21">
            <v>0</v>
          </cell>
          <cell r="J21">
            <v>0</v>
          </cell>
          <cell r="K21">
            <v>8</v>
          </cell>
          <cell r="L21">
            <v>8.5</v>
          </cell>
          <cell r="M21">
            <v>68</v>
          </cell>
          <cell r="N21">
            <v>0</v>
          </cell>
          <cell r="O21">
            <v>0</v>
          </cell>
          <cell r="P21">
            <v>1</v>
          </cell>
          <cell r="Q21">
            <v>0</v>
          </cell>
          <cell r="R21">
            <v>0</v>
          </cell>
          <cell r="S21">
            <v>720</v>
          </cell>
          <cell r="T21">
            <v>24</v>
          </cell>
          <cell r="U21">
            <v>24</v>
          </cell>
          <cell r="V21">
            <v>0</v>
          </cell>
          <cell r="W21" t="str">
            <v>有库存无销量</v>
          </cell>
          <cell r="X21" t="str">
            <v>库存过高</v>
          </cell>
          <cell r="Y21">
            <v>5.11</v>
          </cell>
          <cell r="Z21">
            <v>7.11</v>
          </cell>
          <cell r="AA21">
            <v>13.4</v>
          </cell>
          <cell r="AB21" t="str">
            <v>-</v>
          </cell>
        </row>
        <row r="22">
          <cell r="A22" t="str">
            <v>美珠</v>
          </cell>
          <cell r="B22" t="str">
            <v>Y5043-GR</v>
          </cell>
          <cell r="C22" t="str">
            <v>启航二合一iPhone 14 Pro+2片钢化膜+1片镜头膜</v>
          </cell>
        </row>
        <row r="22">
          <cell r="E22" t="str">
            <v>B0B6NRK62Y</v>
          </cell>
          <cell r="F22">
            <v>1</v>
          </cell>
          <cell r="G22">
            <v>0</v>
          </cell>
          <cell r="H22">
            <v>0</v>
          </cell>
          <cell r="I22">
            <v>0</v>
          </cell>
          <cell r="J22">
            <v>0</v>
          </cell>
          <cell r="K22">
            <v>1</v>
          </cell>
          <cell r="L22">
            <v>9.3</v>
          </cell>
          <cell r="M22">
            <v>9.3</v>
          </cell>
          <cell r="N22">
            <v>0</v>
          </cell>
          <cell r="O22">
            <v>0</v>
          </cell>
          <cell r="P22">
            <v>1</v>
          </cell>
          <cell r="Q22">
            <v>0</v>
          </cell>
          <cell r="R22">
            <v>0</v>
          </cell>
          <cell r="S22">
            <v>90</v>
          </cell>
          <cell r="T22">
            <v>3</v>
          </cell>
          <cell r="U22" t="str">
            <v>-</v>
          </cell>
          <cell r="V22" t="str">
            <v>-</v>
          </cell>
          <cell r="W22" t="str">
            <v>有库存无销量</v>
          </cell>
          <cell r="X22" t="str">
            <v>库存过高</v>
          </cell>
          <cell r="Y22">
            <v>0</v>
          </cell>
          <cell r="Z22">
            <v>0</v>
          </cell>
          <cell r="AA22">
            <v>0</v>
          </cell>
          <cell r="AB22" t="str">
            <v>-</v>
          </cell>
        </row>
        <row r="23">
          <cell r="A23" t="str">
            <v>美珠</v>
          </cell>
          <cell r="B23" t="str">
            <v>Y5043-PI</v>
          </cell>
          <cell r="C23" t="str">
            <v>启航二合一iPhone 14 Pro+2片钢化膜+1片镜头膜</v>
          </cell>
        </row>
        <row r="23">
          <cell r="E23" t="str">
            <v>B0B6P34QF9</v>
          </cell>
          <cell r="F23">
            <v>0</v>
          </cell>
          <cell r="G23">
            <v>1</v>
          </cell>
          <cell r="H23">
            <v>0</v>
          </cell>
          <cell r="I23">
            <v>0</v>
          </cell>
          <cell r="J23">
            <v>0</v>
          </cell>
          <cell r="K23">
            <v>1</v>
          </cell>
          <cell r="L23">
            <v>9.3</v>
          </cell>
          <cell r="M23">
            <v>9.3</v>
          </cell>
          <cell r="N23">
            <v>0</v>
          </cell>
          <cell r="O23">
            <v>0</v>
          </cell>
          <cell r="P23">
            <v>1</v>
          </cell>
          <cell r="Q23">
            <v>1</v>
          </cell>
          <cell r="R23">
            <v>-1</v>
          </cell>
          <cell r="S23">
            <v>90</v>
          </cell>
          <cell r="T23">
            <v>3</v>
          </cell>
          <cell r="U23">
            <v>0.411764705882353</v>
          </cell>
          <cell r="V23">
            <v>2.58823529411765</v>
          </cell>
          <cell r="W23" t="str">
            <v>有库存无销量</v>
          </cell>
          <cell r="X23" t="str">
            <v>库存过高</v>
          </cell>
          <cell r="Y23">
            <v>0</v>
          </cell>
          <cell r="Z23">
            <v>0</v>
          </cell>
          <cell r="AA23">
            <v>0</v>
          </cell>
          <cell r="AB23" t="str">
            <v>-</v>
          </cell>
        </row>
        <row r="24">
          <cell r="A24" t="str">
            <v>美珠</v>
          </cell>
          <cell r="B24" t="str">
            <v>Y5043-PU</v>
          </cell>
          <cell r="C24" t="str">
            <v>启航二合一iPhone 14 Pro+2片钢化膜+1片镜头膜</v>
          </cell>
        </row>
        <row r="24">
          <cell r="E24" t="str">
            <v>B0B6PDWVDY</v>
          </cell>
          <cell r="F24">
            <v>1</v>
          </cell>
          <cell r="G24">
            <v>0</v>
          </cell>
          <cell r="H24">
            <v>0</v>
          </cell>
          <cell r="I24">
            <v>0</v>
          </cell>
          <cell r="J24">
            <v>0</v>
          </cell>
          <cell r="K24">
            <v>1</v>
          </cell>
          <cell r="L24">
            <v>9.3</v>
          </cell>
          <cell r="M24">
            <v>9.3</v>
          </cell>
          <cell r="N24">
            <v>0</v>
          </cell>
          <cell r="O24">
            <v>0</v>
          </cell>
          <cell r="P24">
            <v>0</v>
          </cell>
          <cell r="Q24">
            <v>0</v>
          </cell>
          <cell r="R24">
            <v>0</v>
          </cell>
          <cell r="S24" t="str">
            <v>-</v>
          </cell>
          <cell r="T24" t="str">
            <v>-</v>
          </cell>
          <cell r="U24" t="str">
            <v>-</v>
          </cell>
          <cell r="V24" t="str">
            <v>-</v>
          </cell>
          <cell r="W24" t="str">
            <v>有库存无销量</v>
          </cell>
          <cell r="X24" t="str">
            <v>有库存无销量</v>
          </cell>
          <cell r="Y24">
            <v>0</v>
          </cell>
          <cell r="Z24">
            <v>0</v>
          </cell>
          <cell r="AA24">
            <v>0</v>
          </cell>
          <cell r="AB24" t="str">
            <v>-</v>
          </cell>
        </row>
        <row r="25">
          <cell r="A25" t="str">
            <v>美珠</v>
          </cell>
          <cell r="B25" t="str">
            <v>Y5044-PI</v>
          </cell>
          <cell r="C25" t="str">
            <v>启航二合一iPhone 14 Pro Max+2片钢化膜+1片镜头膜</v>
          </cell>
        </row>
        <row r="25">
          <cell r="E25" t="str">
            <v>B0B6W2QDZB</v>
          </cell>
          <cell r="F25">
            <v>2</v>
          </cell>
          <cell r="G25">
            <v>0</v>
          </cell>
          <cell r="H25">
            <v>0</v>
          </cell>
          <cell r="I25">
            <v>0</v>
          </cell>
          <cell r="J25">
            <v>0</v>
          </cell>
          <cell r="K25">
            <v>2</v>
          </cell>
          <cell r="L25">
            <v>9.3</v>
          </cell>
          <cell r="M25">
            <v>18.6</v>
          </cell>
          <cell r="N25">
            <v>0</v>
          </cell>
          <cell r="O25">
            <v>0</v>
          </cell>
          <cell r="P25">
            <v>0</v>
          </cell>
          <cell r="Q25">
            <v>0</v>
          </cell>
          <cell r="R25">
            <v>0</v>
          </cell>
          <cell r="S25" t="str">
            <v>-</v>
          </cell>
          <cell r="T25" t="str">
            <v>-</v>
          </cell>
          <cell r="U25" t="str">
            <v>-</v>
          </cell>
          <cell r="V25" t="str">
            <v>-</v>
          </cell>
          <cell r="W25" t="str">
            <v>有库存无销量</v>
          </cell>
          <cell r="X25" t="str">
            <v>有库存无销量</v>
          </cell>
          <cell r="Y25">
            <v>0</v>
          </cell>
          <cell r="Z25">
            <v>0</v>
          </cell>
          <cell r="AA25">
            <v>0</v>
          </cell>
          <cell r="AB25" t="str">
            <v>-</v>
          </cell>
        </row>
        <row r="26">
          <cell r="A26" t="str">
            <v>美珠</v>
          </cell>
          <cell r="B26" t="str">
            <v>Y5042-GR5</v>
          </cell>
          <cell r="C26" t="str">
            <v>启航二合一iPhone 14+2片钢化膜+1片镜头膜</v>
          </cell>
        </row>
        <row r="26">
          <cell r="E26" t="str">
            <v>B0B6ZG8MZ9</v>
          </cell>
          <cell r="F26">
            <v>2</v>
          </cell>
          <cell r="G26">
            <v>0</v>
          </cell>
          <cell r="H26">
            <v>0</v>
          </cell>
          <cell r="I26">
            <v>0</v>
          </cell>
          <cell r="J26">
            <v>0</v>
          </cell>
          <cell r="K26">
            <v>2</v>
          </cell>
          <cell r="L26">
            <v>9.3</v>
          </cell>
          <cell r="M26">
            <v>18.6</v>
          </cell>
          <cell r="N26">
            <v>0</v>
          </cell>
          <cell r="O26">
            <v>0</v>
          </cell>
          <cell r="P26">
            <v>0</v>
          </cell>
          <cell r="Q26">
            <v>0</v>
          </cell>
          <cell r="R26">
            <v>0</v>
          </cell>
          <cell r="S26" t="str">
            <v>-</v>
          </cell>
          <cell r="T26" t="str">
            <v>-</v>
          </cell>
          <cell r="U26" t="str">
            <v>-</v>
          </cell>
          <cell r="V26" t="str">
            <v>-</v>
          </cell>
          <cell r="W26" t="str">
            <v>有库存无销量</v>
          </cell>
          <cell r="X26" t="str">
            <v>有库存无销量</v>
          </cell>
          <cell r="Y26">
            <v>0</v>
          </cell>
          <cell r="Z26">
            <v>0</v>
          </cell>
          <cell r="AA26">
            <v>0</v>
          </cell>
          <cell r="AB26" t="str">
            <v>-</v>
          </cell>
        </row>
        <row r="27">
          <cell r="A27" t="str">
            <v>美珠</v>
          </cell>
          <cell r="B27" t="str">
            <v>Y5042-PU5</v>
          </cell>
          <cell r="C27" t="str">
            <v>启航二合一iPhone 14+2片钢化膜+1片镜头膜</v>
          </cell>
        </row>
        <row r="27">
          <cell r="E27" t="str">
            <v>B0B6Z5DPBB</v>
          </cell>
          <cell r="F27">
            <v>2</v>
          </cell>
          <cell r="G27">
            <v>0</v>
          </cell>
          <cell r="H27">
            <v>0</v>
          </cell>
          <cell r="I27">
            <v>0</v>
          </cell>
          <cell r="J27">
            <v>0</v>
          </cell>
          <cell r="K27">
            <v>2</v>
          </cell>
          <cell r="L27">
            <v>9.3</v>
          </cell>
          <cell r="M27">
            <v>18.6</v>
          </cell>
          <cell r="N27">
            <v>0</v>
          </cell>
          <cell r="O27">
            <v>0</v>
          </cell>
          <cell r="P27">
            <v>0</v>
          </cell>
          <cell r="Q27">
            <v>0</v>
          </cell>
          <cell r="R27">
            <v>0</v>
          </cell>
          <cell r="S27" t="str">
            <v>-</v>
          </cell>
          <cell r="T27" t="str">
            <v>-</v>
          </cell>
          <cell r="U27" t="str">
            <v>-</v>
          </cell>
          <cell r="V27" t="str">
            <v>-</v>
          </cell>
          <cell r="W27" t="str">
            <v>有库存无销量</v>
          </cell>
          <cell r="X27" t="str">
            <v>有库存无销量</v>
          </cell>
          <cell r="Y27">
            <v>0</v>
          </cell>
          <cell r="Z27">
            <v>0</v>
          </cell>
          <cell r="AA27">
            <v>0</v>
          </cell>
          <cell r="AB27" t="str">
            <v>-</v>
          </cell>
        </row>
        <row r="28">
          <cell r="A28" t="str">
            <v>美珠</v>
          </cell>
          <cell r="B28" t="str">
            <v>Y5045-OR</v>
          </cell>
          <cell r="C28" t="str">
            <v>机器人二代iPhone 14+2片软膜+背夹</v>
          </cell>
        </row>
        <row r="28">
          <cell r="E28" t="str">
            <v>B0B74SYGFJ</v>
          </cell>
          <cell r="F28">
            <v>1</v>
          </cell>
          <cell r="G28">
            <v>0</v>
          </cell>
          <cell r="H28">
            <v>0</v>
          </cell>
          <cell r="I28">
            <v>0</v>
          </cell>
          <cell r="J28">
            <v>0</v>
          </cell>
          <cell r="K28">
            <v>1</v>
          </cell>
          <cell r="L28">
            <v>13.7</v>
          </cell>
          <cell r="M28">
            <v>13.7</v>
          </cell>
          <cell r="N28">
            <v>0</v>
          </cell>
          <cell r="O28">
            <v>0</v>
          </cell>
          <cell r="P28">
            <v>0</v>
          </cell>
          <cell r="Q28">
            <v>0</v>
          </cell>
          <cell r="R28">
            <v>0</v>
          </cell>
          <cell r="S28" t="str">
            <v>-</v>
          </cell>
          <cell r="T28" t="str">
            <v>-</v>
          </cell>
          <cell r="U28" t="str">
            <v>-</v>
          </cell>
          <cell r="V28" t="str">
            <v>-</v>
          </cell>
          <cell r="W28" t="str">
            <v>有库存无销量</v>
          </cell>
          <cell r="X28" t="str">
            <v>有库存无销量</v>
          </cell>
          <cell r="Y28">
            <v>0</v>
          </cell>
          <cell r="Z28">
            <v>0</v>
          </cell>
          <cell r="AA28">
            <v>0</v>
          </cell>
          <cell r="AB28" t="str">
            <v>-</v>
          </cell>
        </row>
        <row r="29">
          <cell r="A29" t="str">
            <v>美珠</v>
          </cell>
          <cell r="B29" t="str">
            <v>Y5046-DB</v>
          </cell>
          <cell r="C29" t="str">
            <v>机器人二代iPhone 14 Pro+2片软膜+背夹</v>
          </cell>
        </row>
        <row r="29">
          <cell r="E29" t="str">
            <v>B0B74SWSTL</v>
          </cell>
          <cell r="F29">
            <v>1</v>
          </cell>
          <cell r="G29">
            <v>0</v>
          </cell>
          <cell r="H29">
            <v>0</v>
          </cell>
          <cell r="I29">
            <v>0</v>
          </cell>
          <cell r="J29">
            <v>0</v>
          </cell>
          <cell r="K29">
            <v>1</v>
          </cell>
          <cell r="L29">
            <v>13.7</v>
          </cell>
          <cell r="M29">
            <v>13.7</v>
          </cell>
          <cell r="N29">
            <v>0</v>
          </cell>
          <cell r="O29">
            <v>0</v>
          </cell>
          <cell r="P29">
            <v>0</v>
          </cell>
          <cell r="Q29">
            <v>0</v>
          </cell>
          <cell r="R29">
            <v>0</v>
          </cell>
          <cell r="S29" t="str">
            <v>-</v>
          </cell>
          <cell r="T29" t="str">
            <v>-</v>
          </cell>
          <cell r="U29" t="str">
            <v>-</v>
          </cell>
          <cell r="V29" t="str">
            <v>-</v>
          </cell>
          <cell r="W29" t="str">
            <v>有库存无销量</v>
          </cell>
          <cell r="X29" t="str">
            <v>有库存无销量</v>
          </cell>
          <cell r="Y29">
            <v>0</v>
          </cell>
          <cell r="Z29">
            <v>0</v>
          </cell>
          <cell r="AA29">
            <v>0</v>
          </cell>
          <cell r="AB29" t="str">
            <v>-</v>
          </cell>
        </row>
        <row r="30">
          <cell r="A30" t="str">
            <v>美珠</v>
          </cell>
          <cell r="B30" t="str">
            <v>Y5060-BL</v>
          </cell>
          <cell r="C30" t="str">
            <v>铰链荔枝纹支架 Samsung Galaxy Z Flip 4</v>
          </cell>
        </row>
        <row r="30">
          <cell r="E30" t="str">
            <v>B0B84S87WN</v>
          </cell>
          <cell r="F30">
            <v>13</v>
          </cell>
          <cell r="G30">
            <v>0</v>
          </cell>
          <cell r="H30">
            <v>0</v>
          </cell>
          <cell r="I30">
            <v>1</v>
          </cell>
          <cell r="J30">
            <v>0</v>
          </cell>
          <cell r="K30">
            <v>14</v>
          </cell>
          <cell r="L30">
            <v>35</v>
          </cell>
          <cell r="M30">
            <v>490</v>
          </cell>
          <cell r="N30">
            <v>0</v>
          </cell>
          <cell r="O30">
            <v>0</v>
          </cell>
          <cell r="P30">
            <v>0</v>
          </cell>
          <cell r="Q30">
            <v>0</v>
          </cell>
          <cell r="R30">
            <v>0</v>
          </cell>
          <cell r="S30" t="str">
            <v>-</v>
          </cell>
          <cell r="T30" t="str">
            <v>-</v>
          </cell>
          <cell r="U30" t="str">
            <v>-</v>
          </cell>
          <cell r="V30" t="str">
            <v>-</v>
          </cell>
          <cell r="W30" t="str">
            <v>有库存无销量</v>
          </cell>
          <cell r="X30" t="str">
            <v>有库存无销量</v>
          </cell>
          <cell r="Y30">
            <v>0</v>
          </cell>
          <cell r="Z30">
            <v>0.4</v>
          </cell>
          <cell r="AA30">
            <v>0.4</v>
          </cell>
          <cell r="AB30" t="str">
            <v>-</v>
          </cell>
        </row>
        <row r="31">
          <cell r="A31" t="str">
            <v>美珠</v>
          </cell>
          <cell r="B31" t="str">
            <v>Y5058-GR</v>
          </cell>
          <cell r="C31" t="str">
            <v>荔枝纹插卡 Samsung Galaxy Z Flip 4</v>
          </cell>
        </row>
        <row r="31">
          <cell r="E31" t="str">
            <v>B0B8CNJS54</v>
          </cell>
          <cell r="F31">
            <v>1</v>
          </cell>
          <cell r="G31">
            <v>0</v>
          </cell>
          <cell r="H31">
            <v>0</v>
          </cell>
          <cell r="I31">
            <v>0</v>
          </cell>
          <cell r="J31">
            <v>0</v>
          </cell>
          <cell r="K31">
            <v>1</v>
          </cell>
          <cell r="L31">
            <v>12</v>
          </cell>
          <cell r="M31">
            <v>12</v>
          </cell>
          <cell r="N31">
            <v>0</v>
          </cell>
          <cell r="O31">
            <v>0</v>
          </cell>
          <cell r="P31">
            <v>0</v>
          </cell>
          <cell r="Q31">
            <v>0</v>
          </cell>
          <cell r="R31">
            <v>0</v>
          </cell>
          <cell r="S31" t="str">
            <v>-</v>
          </cell>
          <cell r="T31" t="str">
            <v>-</v>
          </cell>
          <cell r="U31" t="str">
            <v>-</v>
          </cell>
          <cell r="V31" t="str">
            <v>-</v>
          </cell>
          <cell r="W31" t="str">
            <v>有库存无销量</v>
          </cell>
          <cell r="X31" t="str">
            <v>有库存无销量</v>
          </cell>
          <cell r="Y31">
            <v>0</v>
          </cell>
          <cell r="Z31">
            <v>0</v>
          </cell>
          <cell r="AA31">
            <v>0</v>
          </cell>
          <cell r="AB31" t="str">
            <v>-</v>
          </cell>
        </row>
        <row r="32">
          <cell r="A32" t="str">
            <v>美珠</v>
          </cell>
          <cell r="B32" t="str">
            <v>Y5059-BL</v>
          </cell>
          <cell r="C32" t="str">
            <v>荔枝纹插卡 Samsung Galaxy Z Fold 4</v>
          </cell>
        </row>
        <row r="32">
          <cell r="E32" t="str">
            <v>B0B8H3PVXZ</v>
          </cell>
          <cell r="F32">
            <v>7</v>
          </cell>
          <cell r="G32">
            <v>0</v>
          </cell>
          <cell r="H32">
            <v>0</v>
          </cell>
          <cell r="I32">
            <v>0</v>
          </cell>
          <cell r="J32">
            <v>0</v>
          </cell>
          <cell r="K32">
            <v>7</v>
          </cell>
          <cell r="L32">
            <v>12</v>
          </cell>
          <cell r="M32">
            <v>84</v>
          </cell>
          <cell r="N32">
            <v>0</v>
          </cell>
          <cell r="O32">
            <v>0</v>
          </cell>
          <cell r="P32">
            <v>0</v>
          </cell>
          <cell r="Q32">
            <v>0</v>
          </cell>
          <cell r="R32">
            <v>0</v>
          </cell>
          <cell r="S32" t="str">
            <v>-</v>
          </cell>
          <cell r="T32" t="str">
            <v>-</v>
          </cell>
          <cell r="U32" t="str">
            <v>-</v>
          </cell>
          <cell r="V32" t="str">
            <v>-</v>
          </cell>
          <cell r="W32" t="str">
            <v>有库存无销量</v>
          </cell>
          <cell r="X32" t="str">
            <v>有库存无销量</v>
          </cell>
          <cell r="Y32">
            <v>0</v>
          </cell>
          <cell r="Z32">
            <v>0</v>
          </cell>
          <cell r="AA32">
            <v>0</v>
          </cell>
          <cell r="AB32" t="str">
            <v>-</v>
          </cell>
        </row>
        <row r="33">
          <cell r="A33" t="str">
            <v>美珠</v>
          </cell>
          <cell r="B33" t="str">
            <v>Y5059-GR</v>
          </cell>
          <cell r="C33" t="str">
            <v>荔枝纹插卡 Samsung Galaxy Z Fold 4</v>
          </cell>
        </row>
        <row r="33">
          <cell r="E33" t="str">
            <v>B0B8H43R65</v>
          </cell>
          <cell r="F33">
            <v>3</v>
          </cell>
          <cell r="G33">
            <v>0</v>
          </cell>
          <cell r="H33">
            <v>0</v>
          </cell>
          <cell r="I33">
            <v>0</v>
          </cell>
          <cell r="J33">
            <v>0</v>
          </cell>
          <cell r="K33">
            <v>3</v>
          </cell>
          <cell r="L33">
            <v>12</v>
          </cell>
          <cell r="M33">
            <v>36</v>
          </cell>
          <cell r="N33">
            <v>0</v>
          </cell>
          <cell r="O33">
            <v>0</v>
          </cell>
          <cell r="P33">
            <v>0</v>
          </cell>
          <cell r="Q33">
            <v>0</v>
          </cell>
          <cell r="R33">
            <v>0</v>
          </cell>
          <cell r="S33" t="str">
            <v>-</v>
          </cell>
          <cell r="T33" t="str">
            <v>-</v>
          </cell>
          <cell r="U33" t="str">
            <v>-</v>
          </cell>
          <cell r="V33" t="str">
            <v>-</v>
          </cell>
          <cell r="W33" t="str">
            <v>有库存无销量</v>
          </cell>
          <cell r="X33" t="str">
            <v>有库存无销量</v>
          </cell>
          <cell r="Y33">
            <v>0</v>
          </cell>
          <cell r="Z33">
            <v>0</v>
          </cell>
          <cell r="AA33">
            <v>0</v>
          </cell>
          <cell r="AB33" t="str">
            <v>-</v>
          </cell>
        </row>
        <row r="34">
          <cell r="A34" t="str">
            <v>美珠</v>
          </cell>
          <cell r="B34" t="str">
            <v>Y5058-DB</v>
          </cell>
          <cell r="C34" t="str">
            <v>荔枝纹插卡 Samsung Galaxy Z Flip 4</v>
          </cell>
        </row>
        <row r="34">
          <cell r="E34" t="str">
            <v>B0B8CNJS54</v>
          </cell>
          <cell r="F34">
            <v>4</v>
          </cell>
          <cell r="G34">
            <v>0</v>
          </cell>
          <cell r="H34">
            <v>0</v>
          </cell>
          <cell r="I34">
            <v>0</v>
          </cell>
          <cell r="J34">
            <v>0</v>
          </cell>
          <cell r="K34">
            <v>4</v>
          </cell>
          <cell r="L34">
            <v>12</v>
          </cell>
          <cell r="M34">
            <v>48</v>
          </cell>
          <cell r="N34">
            <v>0</v>
          </cell>
          <cell r="O34">
            <v>0</v>
          </cell>
          <cell r="P34">
            <v>0</v>
          </cell>
          <cell r="Q34">
            <v>0</v>
          </cell>
          <cell r="R34">
            <v>0</v>
          </cell>
          <cell r="S34" t="str">
            <v>-</v>
          </cell>
          <cell r="T34" t="str">
            <v>-</v>
          </cell>
          <cell r="U34" t="str">
            <v>-</v>
          </cell>
          <cell r="V34" t="str">
            <v>-</v>
          </cell>
          <cell r="W34" t="str">
            <v>有库存无销量</v>
          </cell>
          <cell r="X34" t="str">
            <v>有库存无销量</v>
          </cell>
          <cell r="Y34">
            <v>0</v>
          </cell>
          <cell r="Z34">
            <v>0</v>
          </cell>
          <cell r="AA34">
            <v>0</v>
          </cell>
          <cell r="AB34" t="str">
            <v>-</v>
          </cell>
        </row>
        <row r="35">
          <cell r="A35" t="str">
            <v>美珠</v>
          </cell>
          <cell r="B35" t="str">
            <v>Y5060-GR</v>
          </cell>
          <cell r="C35" t="str">
            <v>铰链荔枝纹支架 Samsung Galaxy Z Flip 4</v>
          </cell>
        </row>
        <row r="35">
          <cell r="E35" t="str">
            <v>B0B84S87WN</v>
          </cell>
          <cell r="F35">
            <v>9</v>
          </cell>
          <cell r="G35">
            <v>0</v>
          </cell>
          <cell r="H35">
            <v>0</v>
          </cell>
          <cell r="I35">
            <v>0</v>
          </cell>
          <cell r="J35">
            <v>0</v>
          </cell>
          <cell r="K35">
            <v>9</v>
          </cell>
          <cell r="L35">
            <v>35</v>
          </cell>
          <cell r="M35">
            <v>315</v>
          </cell>
          <cell r="N35">
            <v>0</v>
          </cell>
          <cell r="O35">
            <v>0</v>
          </cell>
          <cell r="P35">
            <v>0</v>
          </cell>
          <cell r="Q35">
            <v>0</v>
          </cell>
          <cell r="R35">
            <v>0</v>
          </cell>
          <cell r="S35" t="str">
            <v>-</v>
          </cell>
          <cell r="T35" t="str">
            <v>-</v>
          </cell>
          <cell r="U35" t="str">
            <v>-</v>
          </cell>
          <cell r="V35" t="str">
            <v>-</v>
          </cell>
          <cell r="W35" t="str">
            <v>有库存无销量</v>
          </cell>
          <cell r="X35" t="str">
            <v>有库存无销量</v>
          </cell>
          <cell r="Y35">
            <v>0</v>
          </cell>
          <cell r="Z35">
            <v>0</v>
          </cell>
          <cell r="AA35">
            <v>0</v>
          </cell>
          <cell r="AB35" t="str">
            <v>-</v>
          </cell>
        </row>
        <row r="36">
          <cell r="A36" t="str">
            <v>美珠</v>
          </cell>
          <cell r="B36" t="str">
            <v>Y5060-PU</v>
          </cell>
          <cell r="C36" t="str">
            <v>铰链荔枝纹支架 Samsung Galaxy Z Flip 4</v>
          </cell>
        </row>
        <row r="36">
          <cell r="E36" t="str">
            <v>B0B84S87WN</v>
          </cell>
          <cell r="F36">
            <v>8</v>
          </cell>
          <cell r="G36">
            <v>0</v>
          </cell>
          <cell r="H36">
            <v>0</v>
          </cell>
          <cell r="I36">
            <v>0</v>
          </cell>
          <cell r="J36">
            <v>0</v>
          </cell>
          <cell r="K36">
            <v>8</v>
          </cell>
          <cell r="L36">
            <v>35</v>
          </cell>
          <cell r="M36">
            <v>280</v>
          </cell>
          <cell r="N36">
            <v>0</v>
          </cell>
          <cell r="O36">
            <v>0</v>
          </cell>
          <cell r="P36">
            <v>0</v>
          </cell>
          <cell r="Q36">
            <v>0</v>
          </cell>
          <cell r="R36">
            <v>0</v>
          </cell>
          <cell r="S36" t="str">
            <v>-</v>
          </cell>
          <cell r="T36" t="str">
            <v>-</v>
          </cell>
          <cell r="U36" t="str">
            <v>-</v>
          </cell>
          <cell r="V36" t="str">
            <v>-</v>
          </cell>
          <cell r="W36" t="str">
            <v>有库存无销量</v>
          </cell>
          <cell r="X36" t="str">
            <v>有库存无销量</v>
          </cell>
          <cell r="Y36">
            <v>0</v>
          </cell>
          <cell r="Z36">
            <v>0</v>
          </cell>
          <cell r="AA36">
            <v>0</v>
          </cell>
          <cell r="AB36" t="str">
            <v>-</v>
          </cell>
        </row>
        <row r="37">
          <cell r="A37" t="str">
            <v>美珠</v>
          </cell>
          <cell r="B37" t="str">
            <v>Y5058-BL</v>
          </cell>
          <cell r="C37" t="str">
            <v>荔枝纹插卡 Samsung Galaxy Z Flip 4</v>
          </cell>
        </row>
        <row r="37">
          <cell r="E37" t="str">
            <v>B0B8CNJS54</v>
          </cell>
          <cell r="F37">
            <v>5</v>
          </cell>
          <cell r="G37">
            <v>0</v>
          </cell>
          <cell r="H37">
            <v>0</v>
          </cell>
          <cell r="I37">
            <v>0</v>
          </cell>
          <cell r="J37">
            <v>0</v>
          </cell>
          <cell r="K37">
            <v>5</v>
          </cell>
          <cell r="L37">
            <v>12</v>
          </cell>
          <cell r="M37">
            <v>60</v>
          </cell>
          <cell r="N37">
            <v>0</v>
          </cell>
          <cell r="O37">
            <v>1</v>
          </cell>
          <cell r="P37">
            <v>2</v>
          </cell>
          <cell r="Q37">
            <v>0</v>
          </cell>
          <cell r="R37">
            <v>0</v>
          </cell>
          <cell r="S37">
            <v>112.5</v>
          </cell>
          <cell r="T37">
            <v>3.75</v>
          </cell>
          <cell r="U37">
            <v>21</v>
          </cell>
          <cell r="V37">
            <v>-17.25</v>
          </cell>
          <cell r="W37" t="str">
            <v>有库存无销量</v>
          </cell>
          <cell r="X37" t="str">
            <v>库存过高</v>
          </cell>
          <cell r="Y37">
            <v>0.56</v>
          </cell>
          <cell r="Z37">
            <v>0.94</v>
          </cell>
          <cell r="AA37">
            <v>1.98</v>
          </cell>
          <cell r="AB37" t="str">
            <v>-</v>
          </cell>
        </row>
        <row r="38">
          <cell r="A38" t="str">
            <v>秀青</v>
          </cell>
          <cell r="B38" t="str">
            <v>Y5063-RE</v>
          </cell>
          <cell r="C38" t="str">
            <v>Glock铝合金握把底座配件- G19 Gen3/4</v>
          </cell>
          <cell r="D38">
            <v>45125</v>
          </cell>
          <cell r="E38" t="str">
            <v>B0C998G14J</v>
          </cell>
          <cell r="F38">
            <v>27</v>
          </cell>
          <cell r="G38">
            <v>0</v>
          </cell>
          <cell r="H38">
            <v>0</v>
          </cell>
          <cell r="I38">
            <v>0</v>
          </cell>
          <cell r="J38">
            <v>0</v>
          </cell>
          <cell r="K38">
            <v>27</v>
          </cell>
          <cell r="L38">
            <v>31.063</v>
          </cell>
          <cell r="M38">
            <v>838.701</v>
          </cell>
          <cell r="N38">
            <v>0</v>
          </cell>
          <cell r="O38">
            <v>0</v>
          </cell>
          <cell r="P38">
            <v>0</v>
          </cell>
          <cell r="Q38">
            <v>0</v>
          </cell>
          <cell r="R38">
            <v>0</v>
          </cell>
          <cell r="S38" t="str">
            <v>-</v>
          </cell>
          <cell r="T38" t="str">
            <v>-</v>
          </cell>
          <cell r="U38">
            <v>39</v>
          </cell>
          <cell r="V38" t="str">
            <v>-</v>
          </cell>
          <cell r="W38" t="str">
            <v>有库存无销量</v>
          </cell>
          <cell r="X38" t="str">
            <v>有库存无销量</v>
          </cell>
          <cell r="Y38">
            <v>0</v>
          </cell>
          <cell r="Z38">
            <v>0</v>
          </cell>
          <cell r="AA38">
            <v>0</v>
          </cell>
          <cell r="AB38" t="str">
            <v>-</v>
          </cell>
        </row>
        <row r="39">
          <cell r="A39" t="str">
            <v>秀青</v>
          </cell>
          <cell r="B39" t="str">
            <v>Y5064-BL</v>
          </cell>
          <cell r="C39" t="str">
            <v>Glock铝合金握把底座配件- G17 Gen3/4</v>
          </cell>
          <cell r="D39">
            <v>45125</v>
          </cell>
          <cell r="E39" t="str">
            <v>B0C99FR79F</v>
          </cell>
          <cell r="F39">
            <v>38</v>
          </cell>
          <cell r="G39">
            <v>0</v>
          </cell>
          <cell r="H39">
            <v>0</v>
          </cell>
          <cell r="I39">
            <v>0</v>
          </cell>
          <cell r="J39">
            <v>0</v>
          </cell>
          <cell r="K39">
            <v>38</v>
          </cell>
          <cell r="L39">
            <v>32.063</v>
          </cell>
          <cell r="M39">
            <v>1218.394</v>
          </cell>
          <cell r="N39">
            <v>0</v>
          </cell>
          <cell r="O39">
            <v>0</v>
          </cell>
          <cell r="P39">
            <v>0</v>
          </cell>
          <cell r="Q39">
            <v>0</v>
          </cell>
          <cell r="R39">
            <v>0</v>
          </cell>
          <cell r="S39" t="str">
            <v>-</v>
          </cell>
          <cell r="T39" t="str">
            <v>-</v>
          </cell>
          <cell r="U39">
            <v>11.4</v>
          </cell>
          <cell r="V39" t="str">
            <v>-</v>
          </cell>
          <cell r="W39" t="str">
            <v>有库存无销量</v>
          </cell>
          <cell r="X39" t="str">
            <v>有库存无销量</v>
          </cell>
          <cell r="Y39">
            <v>0</v>
          </cell>
          <cell r="Z39">
            <v>0</v>
          </cell>
          <cell r="AA39">
            <v>0.08</v>
          </cell>
          <cell r="AB39" t="str">
            <v>-</v>
          </cell>
        </row>
        <row r="40">
          <cell r="A40" t="str">
            <v>秀青</v>
          </cell>
          <cell r="B40" t="str">
            <v>Y5064-RE</v>
          </cell>
          <cell r="C40" t="str">
            <v>Glock铝合金握把底座配件- G17 Gen3/4</v>
          </cell>
          <cell r="D40">
            <v>45125</v>
          </cell>
          <cell r="E40" t="str">
            <v>B0C99B7Q61</v>
          </cell>
          <cell r="F40">
            <v>36</v>
          </cell>
          <cell r="G40">
            <v>0</v>
          </cell>
          <cell r="H40">
            <v>0</v>
          </cell>
          <cell r="I40">
            <v>0</v>
          </cell>
          <cell r="J40">
            <v>0</v>
          </cell>
          <cell r="K40">
            <v>36</v>
          </cell>
          <cell r="L40">
            <v>32</v>
          </cell>
          <cell r="M40">
            <v>1152</v>
          </cell>
          <cell r="N40">
            <v>0</v>
          </cell>
          <cell r="O40">
            <v>0</v>
          </cell>
          <cell r="P40">
            <v>0</v>
          </cell>
          <cell r="Q40">
            <v>0</v>
          </cell>
          <cell r="R40">
            <v>0</v>
          </cell>
          <cell r="S40" t="str">
            <v>-</v>
          </cell>
          <cell r="T40" t="str">
            <v>-</v>
          </cell>
          <cell r="U40">
            <v>27</v>
          </cell>
          <cell r="V40" t="str">
            <v>-</v>
          </cell>
          <cell r="W40" t="str">
            <v>有库存无销量</v>
          </cell>
          <cell r="X40" t="str">
            <v>有库存无销量</v>
          </cell>
          <cell r="Y40">
            <v>0</v>
          </cell>
          <cell r="Z40">
            <v>0</v>
          </cell>
          <cell r="AA40">
            <v>0.1</v>
          </cell>
          <cell r="AB40" t="str">
            <v>-</v>
          </cell>
        </row>
        <row r="41">
          <cell r="A41" t="str">
            <v>秀青</v>
          </cell>
          <cell r="B41" t="str">
            <v>Y5065-BL</v>
          </cell>
          <cell r="C41" t="str">
            <v>Glock铝合金握把底座配件- G19 Gen5</v>
          </cell>
          <cell r="D41">
            <v>45125</v>
          </cell>
          <cell r="E41" t="str">
            <v>B0C99B4LDB</v>
          </cell>
          <cell r="F41">
            <v>0</v>
          </cell>
          <cell r="G41">
            <v>1</v>
          </cell>
          <cell r="H41">
            <v>0</v>
          </cell>
          <cell r="I41">
            <v>0</v>
          </cell>
          <cell r="J41">
            <v>0</v>
          </cell>
          <cell r="K41">
            <v>1</v>
          </cell>
          <cell r="L41">
            <v>34.063</v>
          </cell>
          <cell r="M41">
            <v>34.063</v>
          </cell>
          <cell r="N41">
            <v>0</v>
          </cell>
          <cell r="O41">
            <v>0</v>
          </cell>
          <cell r="P41">
            <v>0</v>
          </cell>
          <cell r="Q41">
            <v>0</v>
          </cell>
          <cell r="R41">
            <v>0</v>
          </cell>
          <cell r="S41" t="str">
            <v>-</v>
          </cell>
          <cell r="T41" t="str">
            <v>-</v>
          </cell>
          <cell r="U41">
            <v>3.81818181818182</v>
          </cell>
          <cell r="V41" t="str">
            <v>-</v>
          </cell>
          <cell r="W41" t="str">
            <v>有库存无销量</v>
          </cell>
          <cell r="X41" t="str">
            <v>有库存无销量</v>
          </cell>
          <cell r="Y41">
            <v>0</v>
          </cell>
          <cell r="Z41">
            <v>0</v>
          </cell>
          <cell r="AA41">
            <v>0.68</v>
          </cell>
          <cell r="AB41" t="str">
            <v>-</v>
          </cell>
        </row>
        <row r="42">
          <cell r="A42" t="str">
            <v>秀青</v>
          </cell>
          <cell r="B42" t="str">
            <v>Y5065-RE</v>
          </cell>
          <cell r="C42" t="str">
            <v>Glock铝合金握把底座配件- G19 Gen5</v>
          </cell>
          <cell r="D42">
            <v>45125</v>
          </cell>
          <cell r="E42" t="str">
            <v>B0C998YYV6</v>
          </cell>
          <cell r="F42">
            <v>16</v>
          </cell>
          <cell r="G42">
            <v>0</v>
          </cell>
          <cell r="H42">
            <v>0</v>
          </cell>
          <cell r="I42">
            <v>0</v>
          </cell>
          <cell r="J42">
            <v>0</v>
          </cell>
          <cell r="K42">
            <v>16</v>
          </cell>
          <cell r="L42">
            <v>34.063</v>
          </cell>
          <cell r="M42">
            <v>545.008</v>
          </cell>
          <cell r="N42">
            <v>0</v>
          </cell>
          <cell r="O42">
            <v>0</v>
          </cell>
          <cell r="P42">
            <v>0</v>
          </cell>
          <cell r="Q42">
            <v>0</v>
          </cell>
          <cell r="R42">
            <v>0</v>
          </cell>
          <cell r="S42" t="str">
            <v>-</v>
          </cell>
          <cell r="T42" t="str">
            <v>-</v>
          </cell>
          <cell r="U42">
            <v>24</v>
          </cell>
          <cell r="V42" t="str">
            <v>-</v>
          </cell>
          <cell r="W42" t="str">
            <v>有库存无销量</v>
          </cell>
          <cell r="X42" t="str">
            <v>有库存无销量</v>
          </cell>
          <cell r="Y42">
            <v>0</v>
          </cell>
          <cell r="Z42">
            <v>0</v>
          </cell>
          <cell r="AA42">
            <v>0</v>
          </cell>
          <cell r="AB42" t="str">
            <v>-</v>
          </cell>
        </row>
        <row r="43">
          <cell r="A43" t="str">
            <v>秀青</v>
          </cell>
          <cell r="B43" t="str">
            <v>Y5066-BL</v>
          </cell>
          <cell r="C43" t="str">
            <v>Glock铝合金握把底座配件- G17 Gen5</v>
          </cell>
          <cell r="D43">
            <v>45125</v>
          </cell>
          <cell r="E43" t="str">
            <v>B0C997NNQQ</v>
          </cell>
          <cell r="F43">
            <v>18</v>
          </cell>
          <cell r="G43">
            <v>0</v>
          </cell>
          <cell r="H43">
            <v>0</v>
          </cell>
          <cell r="I43">
            <v>0</v>
          </cell>
          <cell r="J43">
            <v>0</v>
          </cell>
          <cell r="K43">
            <v>18</v>
          </cell>
          <cell r="L43">
            <v>34.063</v>
          </cell>
          <cell r="M43">
            <v>613.134</v>
          </cell>
          <cell r="N43">
            <v>0</v>
          </cell>
          <cell r="O43">
            <v>0</v>
          </cell>
          <cell r="P43">
            <v>1</v>
          </cell>
          <cell r="Q43">
            <v>0</v>
          </cell>
          <cell r="R43">
            <v>0</v>
          </cell>
          <cell r="S43">
            <v>1620</v>
          </cell>
          <cell r="T43">
            <v>54</v>
          </cell>
          <cell r="U43">
            <v>2.84210526315789</v>
          </cell>
          <cell r="V43">
            <v>51.1578947368421</v>
          </cell>
          <cell r="W43" t="str">
            <v>有库存无销量</v>
          </cell>
          <cell r="X43" t="str">
            <v>库存过高</v>
          </cell>
          <cell r="Y43">
            <v>0</v>
          </cell>
          <cell r="Z43">
            <v>0</v>
          </cell>
          <cell r="AA43">
            <v>2.02</v>
          </cell>
          <cell r="AB43" t="str">
            <v>-</v>
          </cell>
        </row>
        <row r="44">
          <cell r="A44" t="str">
            <v>秀青</v>
          </cell>
          <cell r="B44" t="str">
            <v>Y5063-BL</v>
          </cell>
          <cell r="C44" t="str">
            <v>Glock铝合金握把底座配件- G19 Gen3/4</v>
          </cell>
          <cell r="D44">
            <v>45125</v>
          </cell>
          <cell r="E44" t="str">
            <v>B0C996DTL5</v>
          </cell>
          <cell r="F44">
            <v>28</v>
          </cell>
          <cell r="G44">
            <v>1</v>
          </cell>
          <cell r="H44">
            <v>0</v>
          </cell>
          <cell r="I44">
            <v>0</v>
          </cell>
          <cell r="J44">
            <v>0</v>
          </cell>
          <cell r="K44">
            <v>29</v>
          </cell>
          <cell r="L44">
            <v>31.053</v>
          </cell>
          <cell r="M44">
            <v>900.537</v>
          </cell>
          <cell r="N44">
            <v>0</v>
          </cell>
          <cell r="O44">
            <v>0</v>
          </cell>
          <cell r="P44">
            <v>1</v>
          </cell>
          <cell r="Q44">
            <v>0</v>
          </cell>
          <cell r="R44">
            <v>0</v>
          </cell>
          <cell r="S44">
            <v>2610</v>
          </cell>
          <cell r="T44">
            <v>87</v>
          </cell>
          <cell r="U44">
            <v>3.48</v>
          </cell>
          <cell r="V44">
            <v>83.52</v>
          </cell>
          <cell r="W44" t="str">
            <v>有库存无销量</v>
          </cell>
          <cell r="X44" t="str">
            <v>库存过高</v>
          </cell>
          <cell r="Y44">
            <v>0</v>
          </cell>
          <cell r="Z44">
            <v>0</v>
          </cell>
          <cell r="AA44">
            <v>2.16</v>
          </cell>
          <cell r="AB44" t="str">
            <v>-</v>
          </cell>
        </row>
        <row r="45">
          <cell r="A45" t="str">
            <v>秀青</v>
          </cell>
          <cell r="B45" t="str">
            <v>Y5069-BL</v>
          </cell>
          <cell r="C45" t="str">
            <v>适用于3/4代 Glock G19 G23 G32 G38</v>
          </cell>
          <cell r="D45">
            <v>45125</v>
          </cell>
          <cell r="E45" t="str">
            <v>B0C9CMBMM5</v>
          </cell>
          <cell r="F45">
            <v>0</v>
          </cell>
          <cell r="G45">
            <v>0</v>
          </cell>
          <cell r="H45">
            <v>1</v>
          </cell>
          <cell r="I45">
            <v>0</v>
          </cell>
          <cell r="J45">
            <v>0</v>
          </cell>
          <cell r="K45">
            <v>1</v>
          </cell>
          <cell r="L45">
            <v>12.031</v>
          </cell>
          <cell r="M45">
            <v>12.031</v>
          </cell>
          <cell r="N45">
            <v>0</v>
          </cell>
          <cell r="O45">
            <v>0</v>
          </cell>
          <cell r="P45">
            <v>0</v>
          </cell>
          <cell r="Q45">
            <v>0</v>
          </cell>
          <cell r="R45">
            <v>0</v>
          </cell>
          <cell r="S45" t="str">
            <v>-</v>
          </cell>
          <cell r="T45" t="str">
            <v>-</v>
          </cell>
          <cell r="U45">
            <v>3</v>
          </cell>
          <cell r="V45" t="str">
            <v>-</v>
          </cell>
          <cell r="W45" t="str">
            <v>有库存无销量</v>
          </cell>
          <cell r="X45" t="str">
            <v>有库存无销量</v>
          </cell>
          <cell r="Y45">
            <v>0</v>
          </cell>
          <cell r="Z45">
            <v>0</v>
          </cell>
          <cell r="AA45">
            <v>0</v>
          </cell>
          <cell r="AB45" t="str">
            <v>-</v>
          </cell>
        </row>
        <row r="46">
          <cell r="A46" t="str">
            <v>秀青</v>
          </cell>
          <cell r="B46" t="str">
            <v>Y5070-BL</v>
          </cell>
          <cell r="C46" t="str">
            <v>For 1/2/5代 Glock 17 18 19X 20 21 22 24 橡胶防滑套</v>
          </cell>
          <cell r="D46">
            <v>45125</v>
          </cell>
          <cell r="E46" t="str">
            <v>B0C9CQ83WT</v>
          </cell>
          <cell r="F46">
            <v>0</v>
          </cell>
          <cell r="G46">
            <v>0</v>
          </cell>
          <cell r="H46">
            <v>0</v>
          </cell>
          <cell r="I46">
            <v>0</v>
          </cell>
          <cell r="J46">
            <v>0</v>
          </cell>
          <cell r="K46">
            <v>0</v>
          </cell>
          <cell r="L46">
            <v>12.031</v>
          </cell>
          <cell r="M46">
            <v>0</v>
          </cell>
          <cell r="N46">
            <v>0</v>
          </cell>
          <cell r="O46">
            <v>0</v>
          </cell>
          <cell r="P46">
            <v>0</v>
          </cell>
          <cell r="Q46">
            <v>0</v>
          </cell>
          <cell r="R46">
            <v>0</v>
          </cell>
          <cell r="S46" t="str">
            <v>-</v>
          </cell>
          <cell r="T46" t="str">
            <v>-</v>
          </cell>
          <cell r="U46">
            <v>0.428571428571429</v>
          </cell>
          <cell r="V46" t="str">
            <v>-</v>
          </cell>
          <cell r="W46" t="str">
            <v>无库存无销量</v>
          </cell>
          <cell r="X46" t="str">
            <v>无库存无销量</v>
          </cell>
          <cell r="Y46">
            <v>0</v>
          </cell>
          <cell r="Z46">
            <v>0</v>
          </cell>
          <cell r="AA46">
            <v>0</v>
          </cell>
          <cell r="AB46" t="str">
            <v>-</v>
          </cell>
        </row>
        <row r="47">
          <cell r="A47" t="str">
            <v>秀青</v>
          </cell>
          <cell r="B47" t="str">
            <v>Y5071</v>
          </cell>
          <cell r="C47" t="str">
            <v>Glock后盖片 2PC</v>
          </cell>
          <cell r="D47">
            <v>45125</v>
          </cell>
          <cell r="E47" t="str">
            <v>B0C9CPLLVZ</v>
          </cell>
          <cell r="F47">
            <v>17</v>
          </cell>
          <cell r="G47">
            <v>0</v>
          </cell>
          <cell r="H47">
            <v>27</v>
          </cell>
          <cell r="I47">
            <v>0</v>
          </cell>
          <cell r="J47">
            <v>0</v>
          </cell>
          <cell r="K47">
            <v>44</v>
          </cell>
          <cell r="L47">
            <v>16</v>
          </cell>
          <cell r="M47">
            <v>704</v>
          </cell>
          <cell r="N47">
            <v>13</v>
          </cell>
          <cell r="O47">
            <v>17</v>
          </cell>
          <cell r="P47">
            <v>29</v>
          </cell>
          <cell r="Q47">
            <v>4</v>
          </cell>
          <cell r="R47">
            <v>9</v>
          </cell>
          <cell r="S47">
            <v>33.3574007220217</v>
          </cell>
          <cell r="T47">
            <v>1.11191335740072</v>
          </cell>
          <cell r="U47">
            <v>0.885542168674699</v>
          </cell>
          <cell r="V47">
            <v>0.226371188726023</v>
          </cell>
          <cell r="W47" t="str">
            <v>正常</v>
          </cell>
          <cell r="X47" t="str">
            <v>正常</v>
          </cell>
          <cell r="Y47">
            <v>7.75</v>
          </cell>
          <cell r="Z47">
            <v>11.62</v>
          </cell>
          <cell r="AA47">
            <v>20.96</v>
          </cell>
          <cell r="AB47">
            <v>0.215457325549069</v>
          </cell>
        </row>
        <row r="48">
          <cell r="A48" t="str">
            <v>秀青</v>
          </cell>
          <cell r="B48" t="str">
            <v>Y5071-PU</v>
          </cell>
          <cell r="C48" t="str">
            <v>Glock后盖片 2PC 骷髅 / Gen 1-4代</v>
          </cell>
          <cell r="D48">
            <v>45125</v>
          </cell>
          <cell r="E48" t="str">
            <v>B0C9CZZ7RD</v>
          </cell>
          <cell r="F48">
            <v>22</v>
          </cell>
          <cell r="G48">
            <v>0</v>
          </cell>
          <cell r="H48">
            <v>0</v>
          </cell>
          <cell r="I48">
            <v>0</v>
          </cell>
          <cell r="J48">
            <v>0</v>
          </cell>
          <cell r="K48">
            <v>22</v>
          </cell>
          <cell r="L48">
            <v>16</v>
          </cell>
          <cell r="M48">
            <v>352</v>
          </cell>
          <cell r="N48">
            <v>0</v>
          </cell>
          <cell r="O48">
            <v>2</v>
          </cell>
          <cell r="P48">
            <v>5</v>
          </cell>
          <cell r="Q48">
            <v>0</v>
          </cell>
          <cell r="R48">
            <v>0</v>
          </cell>
          <cell r="S48">
            <v>220</v>
          </cell>
          <cell r="T48">
            <v>7.33333333333333</v>
          </cell>
          <cell r="U48">
            <v>26</v>
          </cell>
          <cell r="V48">
            <v>-18.6666666666667</v>
          </cell>
          <cell r="W48" t="str">
            <v>有库存无销量</v>
          </cell>
          <cell r="X48" t="str">
            <v>库存过高</v>
          </cell>
          <cell r="Y48">
            <v>0</v>
          </cell>
          <cell r="Z48">
            <v>0</v>
          </cell>
          <cell r="AA48">
            <v>0</v>
          </cell>
          <cell r="AB48" t="str">
            <v>-</v>
          </cell>
        </row>
        <row r="49">
          <cell r="A49" t="str">
            <v>秀青</v>
          </cell>
          <cell r="B49" t="str">
            <v>Y5072-GR</v>
          </cell>
          <cell r="C49" t="str">
            <v>激光笔校准器（2个电池+24个头）</v>
          </cell>
          <cell r="D49">
            <v>45125</v>
          </cell>
          <cell r="E49" t="str">
            <v>B0C9D4XZVR</v>
          </cell>
          <cell r="F49">
            <v>20</v>
          </cell>
          <cell r="G49">
            <v>0</v>
          </cell>
          <cell r="H49">
            <v>0</v>
          </cell>
          <cell r="I49">
            <v>0</v>
          </cell>
          <cell r="J49">
            <v>0</v>
          </cell>
          <cell r="K49">
            <v>20</v>
          </cell>
          <cell r="L49">
            <v>61</v>
          </cell>
          <cell r="M49">
            <v>1220</v>
          </cell>
          <cell r="N49">
            <v>0</v>
          </cell>
          <cell r="O49">
            <v>0</v>
          </cell>
          <cell r="P49">
            <v>0</v>
          </cell>
          <cell r="Q49">
            <v>0</v>
          </cell>
          <cell r="R49">
            <v>0</v>
          </cell>
          <cell r="S49" t="str">
            <v>-</v>
          </cell>
          <cell r="T49" t="str">
            <v>-</v>
          </cell>
          <cell r="U49" t="str">
            <v>-</v>
          </cell>
          <cell r="V49" t="str">
            <v>-</v>
          </cell>
          <cell r="W49" t="str">
            <v>有库存无销量</v>
          </cell>
          <cell r="X49" t="str">
            <v>有库存无销量</v>
          </cell>
          <cell r="Y49">
            <v>0</v>
          </cell>
          <cell r="Z49">
            <v>0.96</v>
          </cell>
          <cell r="AA49">
            <v>2.48</v>
          </cell>
          <cell r="AB49" t="str">
            <v>-</v>
          </cell>
        </row>
        <row r="50">
          <cell r="A50" t="str">
            <v>秀青</v>
          </cell>
          <cell r="B50" t="str">
            <v>Y5072-RE</v>
          </cell>
          <cell r="C50" t="str">
            <v>激光笔校准器（2个电池+24个头）</v>
          </cell>
          <cell r="D50">
            <v>45125</v>
          </cell>
          <cell r="E50" t="str">
            <v>B0C9DCP8H6</v>
          </cell>
          <cell r="F50">
            <v>10</v>
          </cell>
          <cell r="G50">
            <v>0</v>
          </cell>
          <cell r="H50">
            <v>0</v>
          </cell>
          <cell r="I50">
            <v>0</v>
          </cell>
          <cell r="J50">
            <v>0</v>
          </cell>
          <cell r="K50">
            <v>10</v>
          </cell>
          <cell r="L50">
            <v>42</v>
          </cell>
          <cell r="M50">
            <v>420</v>
          </cell>
          <cell r="N50">
            <v>0</v>
          </cell>
          <cell r="O50">
            <v>0</v>
          </cell>
          <cell r="P50">
            <v>0</v>
          </cell>
          <cell r="Q50">
            <v>0</v>
          </cell>
          <cell r="R50">
            <v>0</v>
          </cell>
          <cell r="S50" t="str">
            <v>-</v>
          </cell>
          <cell r="T50" t="str">
            <v>-</v>
          </cell>
          <cell r="U50" t="str">
            <v>-</v>
          </cell>
          <cell r="V50" t="str">
            <v>-</v>
          </cell>
          <cell r="W50" t="str">
            <v>有库存无销量</v>
          </cell>
          <cell r="X50" t="str">
            <v>有库存无销量</v>
          </cell>
          <cell r="Y50">
            <v>0</v>
          </cell>
          <cell r="Z50">
            <v>0</v>
          </cell>
          <cell r="AA50">
            <v>0</v>
          </cell>
          <cell r="AB50" t="str">
            <v>-</v>
          </cell>
        </row>
        <row r="51">
          <cell r="A51" t="str">
            <v>秀青</v>
          </cell>
          <cell r="B51" t="str">
            <v>Y5073</v>
          </cell>
          <cell r="C51" t="str">
            <v>战术激光手电 带电池</v>
          </cell>
          <cell r="D51">
            <v>45125</v>
          </cell>
          <cell r="E51" t="str">
            <v>B0C9GRLXK4</v>
          </cell>
          <cell r="F51">
            <v>17</v>
          </cell>
          <cell r="G51">
            <v>1</v>
          </cell>
          <cell r="H51">
            <v>0</v>
          </cell>
          <cell r="I51">
            <v>0</v>
          </cell>
          <cell r="J51">
            <v>0</v>
          </cell>
          <cell r="K51">
            <v>18</v>
          </cell>
          <cell r="L51">
            <v>60</v>
          </cell>
          <cell r="M51">
            <v>1080</v>
          </cell>
          <cell r="N51">
            <v>0</v>
          </cell>
          <cell r="O51">
            <v>0</v>
          </cell>
          <cell r="P51">
            <v>3</v>
          </cell>
          <cell r="Q51">
            <v>1</v>
          </cell>
          <cell r="R51">
            <v>-1</v>
          </cell>
          <cell r="S51">
            <v>540</v>
          </cell>
          <cell r="T51">
            <v>18</v>
          </cell>
          <cell r="U51">
            <v>8.23529411764706</v>
          </cell>
          <cell r="V51">
            <v>9.76470588235294</v>
          </cell>
          <cell r="W51" t="str">
            <v>有库存无销量</v>
          </cell>
          <cell r="X51" t="str">
            <v>库存过高</v>
          </cell>
          <cell r="Y51">
            <v>3.53</v>
          </cell>
          <cell r="Z51">
            <v>10.3</v>
          </cell>
          <cell r="AA51">
            <v>11.65</v>
          </cell>
          <cell r="AB51" t="str">
            <v>-</v>
          </cell>
        </row>
        <row r="52">
          <cell r="A52" t="str">
            <v>秀青</v>
          </cell>
          <cell r="B52" t="str">
            <v>Y5071-BL</v>
          </cell>
          <cell r="C52" t="str">
            <v>Glock后盖片 2PC 空白 / Gen 1-4代</v>
          </cell>
          <cell r="D52">
            <v>45125</v>
          </cell>
          <cell r="E52" t="str">
            <v>B0C9JFKG5T</v>
          </cell>
          <cell r="F52">
            <v>26</v>
          </cell>
          <cell r="G52">
            <v>0</v>
          </cell>
          <cell r="H52">
            <v>9</v>
          </cell>
          <cell r="I52">
            <v>2</v>
          </cell>
          <cell r="J52">
            <v>0</v>
          </cell>
          <cell r="K52">
            <v>37</v>
          </cell>
          <cell r="L52">
            <v>16</v>
          </cell>
          <cell r="M52">
            <v>592</v>
          </cell>
          <cell r="N52">
            <v>10</v>
          </cell>
          <cell r="O52">
            <v>20</v>
          </cell>
          <cell r="P52">
            <v>28</v>
          </cell>
          <cell r="Q52">
            <v>1</v>
          </cell>
          <cell r="R52">
            <v>9</v>
          </cell>
          <cell r="S52">
            <v>30.0386597938144</v>
          </cell>
          <cell r="T52">
            <v>1.00128865979381</v>
          </cell>
          <cell r="U52">
            <v>0</v>
          </cell>
          <cell r="V52">
            <v>1.00128865979381</v>
          </cell>
          <cell r="W52" t="str">
            <v>正常</v>
          </cell>
          <cell r="X52" t="str">
            <v>正常</v>
          </cell>
          <cell r="Y52">
            <v>5.58</v>
          </cell>
          <cell r="Z52">
            <v>9.21</v>
          </cell>
          <cell r="AA52">
            <v>11.39</v>
          </cell>
          <cell r="AB52">
            <v>0.232693911592994</v>
          </cell>
        </row>
        <row r="53">
          <cell r="A53" t="str">
            <v>秀青</v>
          </cell>
          <cell r="B53" t="str">
            <v>Y5067</v>
          </cell>
          <cell r="C53" t="str">
            <v>ALG格洛克G17底座</v>
          </cell>
          <cell r="D53">
            <v>45125</v>
          </cell>
          <cell r="E53" t="str">
            <v>B0C9CGCLW5</v>
          </cell>
          <cell r="F53">
            <v>0</v>
          </cell>
          <cell r="G53">
            <v>0</v>
          </cell>
          <cell r="H53">
            <v>0</v>
          </cell>
          <cell r="I53">
            <v>1</v>
          </cell>
          <cell r="J53">
            <v>0</v>
          </cell>
          <cell r="K53">
            <v>1</v>
          </cell>
          <cell r="L53">
            <v>35</v>
          </cell>
          <cell r="M53">
            <v>35</v>
          </cell>
          <cell r="N53">
            <v>0</v>
          </cell>
          <cell r="O53">
            <v>0</v>
          </cell>
          <cell r="P53">
            <v>0</v>
          </cell>
          <cell r="Q53">
            <v>0</v>
          </cell>
          <cell r="R53">
            <v>0</v>
          </cell>
          <cell r="S53" t="str">
            <v>-</v>
          </cell>
          <cell r="T53" t="str">
            <v>-</v>
          </cell>
          <cell r="U53">
            <v>4.5</v>
          </cell>
          <cell r="V53" t="str">
            <v>-</v>
          </cell>
          <cell r="W53" t="str">
            <v>有库存无销量</v>
          </cell>
          <cell r="X53" t="str">
            <v>有库存无销量</v>
          </cell>
          <cell r="Y53">
            <v>0</v>
          </cell>
          <cell r="Z53">
            <v>0</v>
          </cell>
          <cell r="AA53">
            <v>0</v>
          </cell>
          <cell r="AB53" t="str">
            <v>-</v>
          </cell>
        </row>
        <row r="54">
          <cell r="A54" t="str">
            <v>秀青</v>
          </cell>
          <cell r="B54" t="str">
            <v>Y5077-GN</v>
          </cell>
          <cell r="C54" t="str">
            <v>夜光瞄 红/绿光纤瞄准具 for Taurus  绿光纤</v>
          </cell>
          <cell r="D54">
            <v>45161</v>
          </cell>
          <cell r="E54" t="str">
            <v>B0CD7RMVW9</v>
          </cell>
          <cell r="F54">
            <v>10</v>
          </cell>
          <cell r="G54">
            <v>0</v>
          </cell>
          <cell r="H54">
            <v>1</v>
          </cell>
          <cell r="I54">
            <v>0</v>
          </cell>
          <cell r="J54">
            <v>0</v>
          </cell>
          <cell r="K54">
            <v>11</v>
          </cell>
          <cell r="L54">
            <v>30</v>
          </cell>
          <cell r="M54">
            <v>330</v>
          </cell>
          <cell r="N54">
            <v>3</v>
          </cell>
          <cell r="O54">
            <v>7</v>
          </cell>
          <cell r="P54">
            <v>15</v>
          </cell>
          <cell r="Q54">
            <v>2</v>
          </cell>
          <cell r="R54">
            <v>1</v>
          </cell>
          <cell r="S54">
            <v>23.6518771331058</v>
          </cell>
          <cell r="T54">
            <v>0.78839590443686</v>
          </cell>
          <cell r="U54">
            <v>0.694214876033058</v>
          </cell>
          <cell r="V54">
            <v>0.0941810284038022</v>
          </cell>
          <cell r="W54" t="str">
            <v>正常</v>
          </cell>
          <cell r="X54" t="str">
            <v>正常</v>
          </cell>
          <cell r="Y54">
            <v>9.2</v>
          </cell>
          <cell r="Z54">
            <v>13.56</v>
          </cell>
          <cell r="AA54">
            <v>22.65</v>
          </cell>
          <cell r="AB54" t="str">
            <v>-</v>
          </cell>
        </row>
        <row r="55">
          <cell r="A55" t="str">
            <v>秀青</v>
          </cell>
          <cell r="B55" t="str">
            <v>Y5077-RE</v>
          </cell>
          <cell r="C55" t="str">
            <v>夜光瞄 红/绿光纤瞄准具 for Taurus  红光纤</v>
          </cell>
          <cell r="D55">
            <v>45161</v>
          </cell>
          <cell r="E55" t="str">
            <v>B0CD7PTHJL</v>
          </cell>
          <cell r="F55">
            <v>14</v>
          </cell>
          <cell r="G55">
            <v>0</v>
          </cell>
          <cell r="H55">
            <v>0</v>
          </cell>
          <cell r="I55">
            <v>0</v>
          </cell>
          <cell r="J55">
            <v>0</v>
          </cell>
          <cell r="K55">
            <v>14</v>
          </cell>
          <cell r="L55">
            <v>30</v>
          </cell>
          <cell r="M55">
            <v>420</v>
          </cell>
          <cell r="N55">
            <v>0</v>
          </cell>
          <cell r="O55">
            <v>1</v>
          </cell>
          <cell r="P55">
            <v>3</v>
          </cell>
          <cell r="Q55">
            <v>2</v>
          </cell>
          <cell r="R55">
            <v>-2</v>
          </cell>
          <cell r="S55">
            <v>252</v>
          </cell>
          <cell r="T55">
            <v>8.4</v>
          </cell>
          <cell r="U55">
            <v>2.1875</v>
          </cell>
          <cell r="V55">
            <v>6.2125</v>
          </cell>
          <cell r="W55" t="str">
            <v>有库存无销量</v>
          </cell>
          <cell r="X55" t="str">
            <v>库存过高</v>
          </cell>
          <cell r="Y55">
            <v>2.62</v>
          </cell>
          <cell r="Z55">
            <v>4.87</v>
          </cell>
          <cell r="AA55">
            <v>7.6</v>
          </cell>
          <cell r="AB55">
            <v>0.154208357857563</v>
          </cell>
        </row>
        <row r="56">
          <cell r="A56" t="str">
            <v>秀青</v>
          </cell>
          <cell r="B56" t="str">
            <v>Y5078-1-4</v>
          </cell>
          <cell r="C56" t="str">
            <v>Glock腰带夹   1-4代</v>
          </cell>
          <cell r="D56">
            <v>45161</v>
          </cell>
          <cell r="E56" t="str">
            <v>B0CDC2HPT5</v>
          </cell>
          <cell r="F56">
            <v>0</v>
          </cell>
          <cell r="G56">
            <v>0</v>
          </cell>
          <cell r="H56">
            <v>0</v>
          </cell>
          <cell r="I56">
            <v>0</v>
          </cell>
          <cell r="J56">
            <v>0</v>
          </cell>
          <cell r="K56">
            <v>0</v>
          </cell>
          <cell r="L56">
            <v>13</v>
          </cell>
          <cell r="M56">
            <v>0</v>
          </cell>
          <cell r="N56">
            <v>0</v>
          </cell>
          <cell r="O56">
            <v>5</v>
          </cell>
          <cell r="P56">
            <v>9</v>
          </cell>
          <cell r="Q56">
            <v>1</v>
          </cell>
          <cell r="R56">
            <v>-1</v>
          </cell>
          <cell r="S56">
            <v>0</v>
          </cell>
          <cell r="T56">
            <v>0</v>
          </cell>
          <cell r="U56">
            <v>1.1830985915493</v>
          </cell>
          <cell r="V56">
            <v>-1.1830985915493</v>
          </cell>
          <cell r="W56" t="str">
            <v>无库存无销量</v>
          </cell>
          <cell r="X56" t="str">
            <v>无库存有销量</v>
          </cell>
          <cell r="Y56">
            <v>0</v>
          </cell>
          <cell r="Z56">
            <v>13.42</v>
          </cell>
          <cell r="AA56">
            <v>35.56</v>
          </cell>
          <cell r="AB56" t="str">
            <v>-</v>
          </cell>
        </row>
        <row r="57">
          <cell r="A57" t="str">
            <v>秀青</v>
          </cell>
          <cell r="B57" t="str">
            <v>Y5078-5</v>
          </cell>
          <cell r="C57" t="str">
            <v>Glock腰带夹 5代</v>
          </cell>
          <cell r="D57">
            <v>45161</v>
          </cell>
          <cell r="E57" t="str">
            <v>B0CDBZVK51</v>
          </cell>
          <cell r="F57">
            <v>4</v>
          </cell>
          <cell r="G57">
            <v>0</v>
          </cell>
          <cell r="H57">
            <v>0</v>
          </cell>
          <cell r="I57">
            <v>0</v>
          </cell>
          <cell r="J57">
            <v>0</v>
          </cell>
          <cell r="K57">
            <v>4</v>
          </cell>
          <cell r="L57">
            <v>13</v>
          </cell>
          <cell r="M57">
            <v>52</v>
          </cell>
          <cell r="N57">
            <v>8</v>
          </cell>
          <cell r="O57">
            <v>11</v>
          </cell>
          <cell r="P57">
            <v>14</v>
          </cell>
          <cell r="Q57">
            <v>1</v>
          </cell>
          <cell r="R57">
            <v>7</v>
          </cell>
          <cell r="S57">
            <v>5.1219512195122</v>
          </cell>
          <cell r="T57">
            <v>0.170731707317073</v>
          </cell>
          <cell r="U57">
            <v>1.47368421052632</v>
          </cell>
          <cell r="V57">
            <v>-1.30295250320925</v>
          </cell>
          <cell r="W57" t="str">
            <v>库存过低</v>
          </cell>
          <cell r="X57" t="str">
            <v>库存过低</v>
          </cell>
          <cell r="Y57">
            <v>29.83</v>
          </cell>
          <cell r="Z57">
            <v>47.82</v>
          </cell>
          <cell r="AA57">
            <v>56.35</v>
          </cell>
          <cell r="AB57">
            <v>0.497581317764804</v>
          </cell>
        </row>
        <row r="58">
          <cell r="A58" t="str">
            <v>秀青</v>
          </cell>
          <cell r="B58" t="str">
            <v>Y5079</v>
          </cell>
          <cell r="C58" t="str">
            <v>战术绷带收纳盒+止血带 一套</v>
          </cell>
          <cell r="D58">
            <v>45169</v>
          </cell>
          <cell r="E58" t="str">
            <v>B0CFHBXMR8</v>
          </cell>
          <cell r="F58">
            <v>4</v>
          </cell>
          <cell r="G58">
            <v>0</v>
          </cell>
          <cell r="H58">
            <v>50</v>
          </cell>
          <cell r="I58">
            <v>0</v>
          </cell>
          <cell r="J58">
            <v>0</v>
          </cell>
          <cell r="K58">
            <v>54</v>
          </cell>
          <cell r="L58">
            <v>20.95</v>
          </cell>
          <cell r="M58">
            <v>1131.3</v>
          </cell>
          <cell r="N58">
            <v>6</v>
          </cell>
          <cell r="O58">
            <v>8</v>
          </cell>
          <cell r="P58">
            <v>13</v>
          </cell>
          <cell r="Q58">
            <v>1</v>
          </cell>
          <cell r="R58">
            <v>5</v>
          </cell>
          <cell r="S58">
            <v>88.8250652741514</v>
          </cell>
          <cell r="T58">
            <v>2.96083550913838</v>
          </cell>
          <cell r="U58">
            <v>0.811158798283262</v>
          </cell>
          <cell r="V58">
            <v>2.14967671085512</v>
          </cell>
          <cell r="W58" t="str">
            <v>库存过高</v>
          </cell>
          <cell r="X58" t="str">
            <v>库存过高</v>
          </cell>
          <cell r="Y58">
            <v>40.98</v>
          </cell>
          <cell r="Z58">
            <v>47.46</v>
          </cell>
          <cell r="AA58">
            <v>55.2</v>
          </cell>
          <cell r="AB58">
            <v>0.583760683760684</v>
          </cell>
        </row>
        <row r="59">
          <cell r="A59" t="str">
            <v>秀青</v>
          </cell>
          <cell r="B59" t="str">
            <v>Y5067-1</v>
          </cell>
          <cell r="C59" t="str">
            <v>ALG格洛克G17底座</v>
          </cell>
          <cell r="D59">
            <v>45167</v>
          </cell>
          <cell r="E59" t="str">
            <v>B0CFL7V5X8</v>
          </cell>
          <cell r="F59">
            <v>36</v>
          </cell>
          <cell r="G59">
            <v>0</v>
          </cell>
          <cell r="H59">
            <v>0</v>
          </cell>
          <cell r="I59">
            <v>0</v>
          </cell>
          <cell r="J59">
            <v>0</v>
          </cell>
          <cell r="K59">
            <v>36</v>
          </cell>
          <cell r="L59">
            <v>35.401</v>
          </cell>
          <cell r="M59">
            <v>1274.436</v>
          </cell>
          <cell r="N59">
            <v>0</v>
          </cell>
          <cell r="O59">
            <v>0</v>
          </cell>
          <cell r="P59">
            <v>0</v>
          </cell>
          <cell r="Q59">
            <v>0</v>
          </cell>
          <cell r="R59">
            <v>0</v>
          </cell>
          <cell r="S59" t="str">
            <v>-</v>
          </cell>
          <cell r="T59" t="str">
            <v>-</v>
          </cell>
          <cell r="U59">
            <v>3.38709677419355</v>
          </cell>
          <cell r="V59" t="str">
            <v>-</v>
          </cell>
          <cell r="W59" t="str">
            <v>有库存无销量</v>
          </cell>
          <cell r="X59" t="str">
            <v>有库存无销量</v>
          </cell>
          <cell r="Y59">
            <v>0</v>
          </cell>
          <cell r="Z59">
            <v>0</v>
          </cell>
          <cell r="AA59">
            <v>0.4</v>
          </cell>
          <cell r="AB59" t="str">
            <v>-</v>
          </cell>
        </row>
        <row r="60">
          <cell r="A60" t="str">
            <v>秀青</v>
          </cell>
          <cell r="B60" t="str">
            <v>Y5075</v>
          </cell>
          <cell r="C60" t="str">
            <v>磁性支架 挂壁架</v>
          </cell>
          <cell r="D60">
            <v>45161</v>
          </cell>
          <cell r="E60" t="str">
            <v>B0CH85JSBY</v>
          </cell>
          <cell r="F60">
            <v>6</v>
          </cell>
          <cell r="G60">
            <v>0</v>
          </cell>
          <cell r="H60">
            <v>1</v>
          </cell>
          <cell r="I60">
            <v>0</v>
          </cell>
          <cell r="J60">
            <v>0</v>
          </cell>
          <cell r="K60">
            <v>7</v>
          </cell>
          <cell r="L60">
            <v>26</v>
          </cell>
          <cell r="M60">
            <v>182</v>
          </cell>
          <cell r="N60">
            <v>0</v>
          </cell>
          <cell r="O60">
            <v>0</v>
          </cell>
          <cell r="P60">
            <v>5</v>
          </cell>
          <cell r="Q60">
            <v>4</v>
          </cell>
          <cell r="R60">
            <v>-4</v>
          </cell>
          <cell r="S60">
            <v>126</v>
          </cell>
          <cell r="T60">
            <v>4.2</v>
          </cell>
          <cell r="U60">
            <v>0.91304347826087</v>
          </cell>
          <cell r="V60">
            <v>3.28695652173913</v>
          </cell>
          <cell r="W60" t="str">
            <v>有库存无销量</v>
          </cell>
          <cell r="X60" t="str">
            <v>库存过高</v>
          </cell>
          <cell r="Y60">
            <v>0</v>
          </cell>
          <cell r="Z60">
            <v>0.88</v>
          </cell>
          <cell r="AA60">
            <v>28.19</v>
          </cell>
          <cell r="AB60" t="str">
            <v>-</v>
          </cell>
        </row>
      </sheetData>
      <sheetData sheetId="9"/>
      <sheetData sheetId="10">
        <row r="1">
          <cell r="B1">
            <v>85</v>
          </cell>
          <cell r="C1" t="str">
            <v>已经把长期无库存且决定后期不再做的sku删除</v>
          </cell>
        </row>
        <row r="1">
          <cell r="K1">
            <v>2320</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K3">
            <v>2320</v>
          </cell>
        </row>
        <row r="3">
          <cell r="M3">
            <v>66901.2273</v>
          </cell>
          <cell r="N3">
            <v>367</v>
          </cell>
          <cell r="O3">
            <v>710</v>
          </cell>
          <cell r="P3">
            <v>1409</v>
          </cell>
          <cell r="Q3">
            <v>326</v>
          </cell>
          <cell r="R3">
            <v>41</v>
          </cell>
        </row>
        <row r="3">
          <cell r="Y3">
            <v>365.6</v>
          </cell>
          <cell r="Z3">
            <v>704.59</v>
          </cell>
          <cell r="AA3">
            <v>1473.82</v>
          </cell>
        </row>
        <row r="4">
          <cell r="A4" t="str">
            <v>美珠</v>
          </cell>
          <cell r="B4" t="str">
            <v>Y6008-GR</v>
          </cell>
          <cell r="C4" t="str">
            <v>Glock格洛克 夜光机瞄green</v>
          </cell>
          <cell r="D4">
            <v>44667</v>
          </cell>
          <cell r="E4" t="str">
            <v>B09X33TY2G</v>
          </cell>
          <cell r="F4">
            <v>50</v>
          </cell>
          <cell r="G4">
            <v>0</v>
          </cell>
          <cell r="H4">
            <v>0</v>
          </cell>
          <cell r="I4">
            <v>0</v>
          </cell>
          <cell r="J4">
            <v>0</v>
          </cell>
          <cell r="K4">
            <v>50</v>
          </cell>
          <cell r="L4">
            <v>26.222</v>
          </cell>
          <cell r="M4">
            <v>1311.1</v>
          </cell>
          <cell r="N4">
            <v>0</v>
          </cell>
          <cell r="O4">
            <v>4</v>
          </cell>
          <cell r="P4">
            <v>15</v>
          </cell>
          <cell r="Q4">
            <v>6</v>
          </cell>
          <cell r="R4">
            <v>-6</v>
          </cell>
          <cell r="S4">
            <v>195.652173913043</v>
          </cell>
          <cell r="T4">
            <v>6.52173913043478</v>
          </cell>
          <cell r="U4">
            <v>2.58787878787879</v>
          </cell>
          <cell r="V4">
            <v>3.93386034255599</v>
          </cell>
          <cell r="W4" t="str">
            <v>有库存无销量</v>
          </cell>
          <cell r="X4" t="str">
            <v>库存过高</v>
          </cell>
          <cell r="Y4">
            <v>3.99</v>
          </cell>
          <cell r="Z4">
            <v>11.02</v>
          </cell>
          <cell r="AA4">
            <v>26.9</v>
          </cell>
          <cell r="AB4">
            <v>0.266177451634423</v>
          </cell>
        </row>
        <row r="5">
          <cell r="A5" t="str">
            <v>美珠</v>
          </cell>
          <cell r="B5" t="str">
            <v>Y6009</v>
          </cell>
          <cell r="C5" t="str">
            <v>长脚准心瞄准器+工具</v>
          </cell>
          <cell r="D5">
            <v>44713</v>
          </cell>
          <cell r="E5" t="str">
            <v>B09XB41FKG</v>
          </cell>
          <cell r="F5">
            <v>33</v>
          </cell>
          <cell r="G5">
            <v>1</v>
          </cell>
          <cell r="H5">
            <v>0</v>
          </cell>
          <cell r="I5">
            <v>1</v>
          </cell>
          <cell r="J5">
            <v>0</v>
          </cell>
          <cell r="K5">
            <v>35</v>
          </cell>
          <cell r="L5">
            <v>54.563</v>
          </cell>
          <cell r="M5">
            <v>1909.705</v>
          </cell>
          <cell r="N5">
            <v>3</v>
          </cell>
          <cell r="O5">
            <v>4</v>
          </cell>
          <cell r="P5">
            <v>9</v>
          </cell>
          <cell r="Q5">
            <v>2</v>
          </cell>
          <cell r="R5">
            <v>1</v>
          </cell>
          <cell r="S5">
            <v>105.502392344498</v>
          </cell>
          <cell r="T5">
            <v>3.51674641148325</v>
          </cell>
          <cell r="U5">
            <v>6.46153846153846</v>
          </cell>
          <cell r="V5">
            <v>-2.94479205005521</v>
          </cell>
          <cell r="W5" t="str">
            <v>库存过高</v>
          </cell>
          <cell r="X5" t="str">
            <v>库存过高</v>
          </cell>
          <cell r="Y5">
            <v>0</v>
          </cell>
          <cell r="Z5">
            <v>0</v>
          </cell>
          <cell r="AA5">
            <v>0</v>
          </cell>
          <cell r="AB5" t="str">
            <v>-</v>
          </cell>
        </row>
        <row r="6">
          <cell r="A6" t="str">
            <v>美珠</v>
          </cell>
          <cell r="B6" t="str">
            <v>Y6010</v>
          </cell>
          <cell r="C6" t="str">
            <v>铝合金 光纤瞄 光纤准星+工具</v>
          </cell>
          <cell r="D6">
            <v>44713</v>
          </cell>
          <cell r="E6" t="str">
            <v>B09XB4F6D1</v>
          </cell>
          <cell r="F6">
            <v>7</v>
          </cell>
          <cell r="G6">
            <v>0</v>
          </cell>
          <cell r="H6">
            <v>0</v>
          </cell>
          <cell r="I6">
            <v>0</v>
          </cell>
          <cell r="J6">
            <v>0</v>
          </cell>
          <cell r="K6">
            <v>7</v>
          </cell>
          <cell r="L6">
            <v>53.791</v>
          </cell>
          <cell r="M6">
            <v>376.537</v>
          </cell>
          <cell r="N6">
            <v>1</v>
          </cell>
          <cell r="O6">
            <v>2</v>
          </cell>
          <cell r="P6">
            <v>3</v>
          </cell>
          <cell r="Q6">
            <v>1</v>
          </cell>
          <cell r="R6">
            <v>0</v>
          </cell>
          <cell r="S6">
            <v>55.8227848101266</v>
          </cell>
          <cell r="T6">
            <v>1.86075949367089</v>
          </cell>
          <cell r="U6">
            <v>3.70588235294118</v>
          </cell>
          <cell r="V6">
            <v>-1.84512285927029</v>
          </cell>
          <cell r="W6" t="str">
            <v>库存过高</v>
          </cell>
          <cell r="X6" t="str">
            <v>库存过高</v>
          </cell>
          <cell r="Y6">
            <v>0</v>
          </cell>
          <cell r="Z6">
            <v>0</v>
          </cell>
          <cell r="AA6">
            <v>0</v>
          </cell>
          <cell r="AB6" t="str">
            <v>-</v>
          </cell>
        </row>
        <row r="7">
          <cell r="A7" t="str">
            <v>美珠</v>
          </cell>
          <cell r="B7" t="str">
            <v>Y6011-Black</v>
          </cell>
          <cell r="C7" t="str">
            <v>折叠式尼龙光纤瞄准器</v>
          </cell>
          <cell r="D7">
            <v>44721</v>
          </cell>
          <cell r="E7" t="str">
            <v>B09YRRGB2M</v>
          </cell>
          <cell r="F7">
            <v>149</v>
          </cell>
          <cell r="G7">
            <v>6</v>
          </cell>
          <cell r="H7">
            <v>106</v>
          </cell>
          <cell r="I7">
            <v>6</v>
          </cell>
          <cell r="J7">
            <v>2</v>
          </cell>
          <cell r="K7">
            <v>269</v>
          </cell>
          <cell r="L7">
            <v>27.367</v>
          </cell>
          <cell r="M7">
            <v>7361.723</v>
          </cell>
          <cell r="N7">
            <v>49</v>
          </cell>
          <cell r="O7">
            <v>107</v>
          </cell>
          <cell r="P7">
            <v>280</v>
          </cell>
          <cell r="Q7">
            <v>75</v>
          </cell>
          <cell r="R7">
            <v>-26</v>
          </cell>
          <cell r="S7">
            <v>34.3892045454545</v>
          </cell>
          <cell r="T7">
            <v>1.14630681818182</v>
          </cell>
          <cell r="U7">
            <v>1.05192211682476</v>
          </cell>
          <cell r="V7">
            <v>0.094384701357058</v>
          </cell>
          <cell r="W7" t="str">
            <v>正常</v>
          </cell>
          <cell r="X7" t="str">
            <v>正常</v>
          </cell>
          <cell r="Y7">
            <v>48.23</v>
          </cell>
          <cell r="Z7">
            <v>107.94</v>
          </cell>
          <cell r="AA7">
            <v>212.67</v>
          </cell>
          <cell r="AB7">
            <v>0.214508094645081</v>
          </cell>
        </row>
        <row r="8">
          <cell r="A8" t="str">
            <v>美珠</v>
          </cell>
          <cell r="B8" t="str">
            <v>Y6008-BU</v>
          </cell>
          <cell r="C8" t="str">
            <v>Glock格洛克 夜光机瞄blue</v>
          </cell>
          <cell r="D8">
            <v>44721</v>
          </cell>
          <cell r="E8" t="str">
            <v>B09ZXG8RFT</v>
          </cell>
          <cell r="F8">
            <v>3</v>
          </cell>
          <cell r="G8">
            <v>0</v>
          </cell>
          <cell r="H8">
            <v>0</v>
          </cell>
          <cell r="I8">
            <v>1</v>
          </cell>
          <cell r="J8">
            <v>0</v>
          </cell>
          <cell r="K8">
            <v>4</v>
          </cell>
          <cell r="L8">
            <v>26.037</v>
          </cell>
          <cell r="M8">
            <v>104.148</v>
          </cell>
          <cell r="N8">
            <v>5</v>
          </cell>
          <cell r="O8">
            <v>5</v>
          </cell>
          <cell r="P8">
            <v>5</v>
          </cell>
          <cell r="Q8">
            <v>0</v>
          </cell>
          <cell r="R8">
            <v>5</v>
          </cell>
          <cell r="S8">
            <v>9.88235294117647</v>
          </cell>
          <cell r="T8">
            <v>0.329411764705882</v>
          </cell>
          <cell r="U8">
            <v>1.875</v>
          </cell>
          <cell r="V8">
            <v>-1.54558823529412</v>
          </cell>
          <cell r="W8" t="str">
            <v>库存过低</v>
          </cell>
          <cell r="X8" t="str">
            <v>库存过低</v>
          </cell>
          <cell r="Y8">
            <v>0</v>
          </cell>
          <cell r="Z8">
            <v>0</v>
          </cell>
          <cell r="AA8">
            <v>0</v>
          </cell>
          <cell r="AB8" t="str">
            <v>-</v>
          </cell>
        </row>
        <row r="9">
          <cell r="A9" t="str">
            <v>美珠</v>
          </cell>
          <cell r="B9" t="str">
            <v>Y6016</v>
          </cell>
          <cell r="C9" t="str">
            <v>Glock格洛克 夜光机瞄（增强版）</v>
          </cell>
          <cell r="D9">
            <v>44712</v>
          </cell>
          <cell r="E9" t="str">
            <v>B0B1M84NS9</v>
          </cell>
          <cell r="F9">
            <v>12</v>
          </cell>
          <cell r="G9">
            <v>0</v>
          </cell>
          <cell r="H9">
            <v>0</v>
          </cell>
          <cell r="I9">
            <v>0</v>
          </cell>
          <cell r="J9">
            <v>0</v>
          </cell>
          <cell r="K9">
            <v>12</v>
          </cell>
          <cell r="L9">
            <v>28.142</v>
          </cell>
          <cell r="M9">
            <v>337.704</v>
          </cell>
          <cell r="N9">
            <v>4</v>
          </cell>
          <cell r="O9">
            <v>7</v>
          </cell>
          <cell r="P9">
            <v>10</v>
          </cell>
          <cell r="Q9">
            <v>0</v>
          </cell>
          <cell r="R9">
            <v>4</v>
          </cell>
          <cell r="S9">
            <v>26.25</v>
          </cell>
          <cell r="T9">
            <v>0.875</v>
          </cell>
          <cell r="U9">
            <v>4.07142857142857</v>
          </cell>
          <cell r="V9">
            <v>-3.19642857142857</v>
          </cell>
          <cell r="W9" t="str">
            <v>正常</v>
          </cell>
          <cell r="X9" t="str">
            <v>正常</v>
          </cell>
          <cell r="Y9">
            <v>4.91</v>
          </cell>
          <cell r="Z9">
            <v>8.58</v>
          </cell>
          <cell r="AA9">
            <v>23.92</v>
          </cell>
          <cell r="AB9" t="str">
            <v>-</v>
          </cell>
        </row>
        <row r="10">
          <cell r="A10" t="str">
            <v>美珠</v>
          </cell>
          <cell r="B10" t="str">
            <v>Y6021-GR</v>
          </cell>
          <cell r="C10" t="str">
            <v>Glock光纤前后机瞄</v>
          </cell>
          <cell r="D10">
            <v>44734</v>
          </cell>
          <cell r="E10" t="str">
            <v>B0B2969RR8</v>
          </cell>
          <cell r="F10">
            <v>20</v>
          </cell>
          <cell r="G10">
            <v>0</v>
          </cell>
          <cell r="H10">
            <v>31</v>
          </cell>
          <cell r="I10">
            <v>2</v>
          </cell>
          <cell r="J10">
            <v>2</v>
          </cell>
          <cell r="K10">
            <v>55</v>
          </cell>
          <cell r="L10">
            <v>28.219</v>
          </cell>
          <cell r="M10">
            <v>1552.045</v>
          </cell>
          <cell r="N10">
            <v>8</v>
          </cell>
          <cell r="O10">
            <v>11</v>
          </cell>
          <cell r="P10">
            <v>33</v>
          </cell>
          <cell r="Q10">
            <v>16</v>
          </cell>
          <cell r="R10">
            <v>-8</v>
          </cell>
          <cell r="S10">
            <v>55.44</v>
          </cell>
          <cell r="T10">
            <v>1.848</v>
          </cell>
          <cell r="U10">
            <v>0.176966292134831</v>
          </cell>
          <cell r="V10">
            <v>1.67103370786517</v>
          </cell>
          <cell r="W10" t="str">
            <v>库存过高</v>
          </cell>
          <cell r="X10" t="str">
            <v>库存过高</v>
          </cell>
          <cell r="Y10">
            <v>5.41</v>
          </cell>
          <cell r="Z10">
            <v>7.5</v>
          </cell>
          <cell r="AA10">
            <v>30.63</v>
          </cell>
          <cell r="AB10">
            <v>0.123038435296793</v>
          </cell>
        </row>
        <row r="11">
          <cell r="A11" t="str">
            <v>美珠</v>
          </cell>
          <cell r="B11" t="str">
            <v>Y6021-RE</v>
          </cell>
          <cell r="C11" t="str">
            <v>Glock光纤前后机瞄</v>
          </cell>
          <cell r="D11">
            <v>44742</v>
          </cell>
          <cell r="E11" t="str">
            <v>B0B2947PNH</v>
          </cell>
          <cell r="F11">
            <v>13</v>
          </cell>
          <cell r="G11">
            <v>0</v>
          </cell>
          <cell r="H11">
            <v>2</v>
          </cell>
          <cell r="I11">
            <v>0</v>
          </cell>
          <cell r="J11">
            <v>1</v>
          </cell>
          <cell r="K11">
            <v>16</v>
          </cell>
          <cell r="L11">
            <v>28.126</v>
          </cell>
          <cell r="M11">
            <v>450.016</v>
          </cell>
          <cell r="N11">
            <v>7</v>
          </cell>
          <cell r="O11">
            <v>25</v>
          </cell>
          <cell r="P11">
            <v>48</v>
          </cell>
          <cell r="Q11">
            <v>11</v>
          </cell>
          <cell r="R11">
            <v>-4</v>
          </cell>
          <cell r="S11">
            <v>11.25</v>
          </cell>
          <cell r="T11">
            <v>0.375</v>
          </cell>
          <cell r="U11">
            <v>0.919899874843555</v>
          </cell>
          <cell r="V11">
            <v>-0.544899874843555</v>
          </cell>
          <cell r="W11" t="str">
            <v>正常</v>
          </cell>
          <cell r="X11" t="str">
            <v>库存过低</v>
          </cell>
          <cell r="Y11">
            <v>10.22</v>
          </cell>
          <cell r="Z11">
            <v>22.85</v>
          </cell>
          <cell r="AA11">
            <v>42.53</v>
          </cell>
          <cell r="AB11">
            <v>0.243507267095544</v>
          </cell>
        </row>
        <row r="12">
          <cell r="A12" t="str">
            <v>美珠</v>
          </cell>
          <cell r="B12" t="str">
            <v>Y6022</v>
          </cell>
          <cell r="C12" t="str">
            <v>铝合金20mm快拆导轨</v>
          </cell>
          <cell r="D12">
            <v>44744</v>
          </cell>
          <cell r="E12" t="str">
            <v>B0B2RTKRW6</v>
          </cell>
          <cell r="F12">
            <v>119</v>
          </cell>
          <cell r="G12">
            <v>0</v>
          </cell>
          <cell r="H12">
            <v>16</v>
          </cell>
          <cell r="I12">
            <v>2</v>
          </cell>
          <cell r="J12">
            <v>1</v>
          </cell>
          <cell r="K12">
            <v>138</v>
          </cell>
          <cell r="L12">
            <v>42.516</v>
          </cell>
          <cell r="M12">
            <v>5867.208</v>
          </cell>
          <cell r="N12">
            <v>29</v>
          </cell>
          <cell r="O12">
            <v>58</v>
          </cell>
          <cell r="P12">
            <v>112</v>
          </cell>
          <cell r="Q12">
            <v>26</v>
          </cell>
          <cell r="R12">
            <v>3</v>
          </cell>
          <cell r="S12">
            <v>35.2554744525547</v>
          </cell>
          <cell r="T12">
            <v>1.17518248175182</v>
          </cell>
          <cell r="U12">
            <v>1.54925010133766</v>
          </cell>
          <cell r="V12">
            <v>-0.374067619585835</v>
          </cell>
          <cell r="W12" t="str">
            <v>正常</v>
          </cell>
          <cell r="X12" t="str">
            <v>正常</v>
          </cell>
          <cell r="Y12">
            <v>50.49</v>
          </cell>
          <cell r="Z12">
            <v>101.97</v>
          </cell>
          <cell r="AA12">
            <v>209.02</v>
          </cell>
          <cell r="AB12">
            <v>0.140308461859108</v>
          </cell>
        </row>
        <row r="13">
          <cell r="A13" t="str">
            <v>美珠</v>
          </cell>
          <cell r="B13" t="str">
            <v>Y6018</v>
          </cell>
          <cell r="C13" t="str">
            <v>户外战术织带挂扣+腰带固定扣（1+5）</v>
          </cell>
          <cell r="D13">
            <v>44750</v>
          </cell>
          <cell r="E13" t="str">
            <v>B0B3LG9QSV</v>
          </cell>
          <cell r="F13">
            <v>10</v>
          </cell>
          <cell r="G13">
            <v>0</v>
          </cell>
          <cell r="H13">
            <v>0</v>
          </cell>
          <cell r="I13">
            <v>0</v>
          </cell>
          <cell r="J13">
            <v>0</v>
          </cell>
          <cell r="K13">
            <v>10</v>
          </cell>
          <cell r="L13">
            <v>9.943</v>
          </cell>
          <cell r="M13">
            <v>99.43</v>
          </cell>
          <cell r="N13">
            <v>0</v>
          </cell>
          <cell r="O13">
            <v>0</v>
          </cell>
          <cell r="P13">
            <v>5</v>
          </cell>
          <cell r="Q13">
            <v>1</v>
          </cell>
          <cell r="R13">
            <v>-1</v>
          </cell>
          <cell r="S13">
            <v>180</v>
          </cell>
          <cell r="T13">
            <v>6</v>
          </cell>
          <cell r="U13">
            <v>1.62676056338028</v>
          </cell>
          <cell r="V13">
            <v>4.37323943661972</v>
          </cell>
          <cell r="W13" t="str">
            <v>有库存无销量</v>
          </cell>
          <cell r="X13" t="str">
            <v>库存过高</v>
          </cell>
          <cell r="Y13">
            <v>1.64</v>
          </cell>
          <cell r="Z13">
            <v>7.93</v>
          </cell>
          <cell r="AA13">
            <v>12.42</v>
          </cell>
          <cell r="AB13" t="str">
            <v>-</v>
          </cell>
        </row>
        <row r="14">
          <cell r="A14" t="str">
            <v>美珠</v>
          </cell>
          <cell r="B14" t="str">
            <v>Y6028-BL</v>
          </cell>
          <cell r="C14" t="str">
            <v>Glock铝合金握把底座配件- G17 Gen3/4</v>
          </cell>
          <cell r="D14">
            <v>44762</v>
          </cell>
          <cell r="E14" t="str">
            <v>B0B5N916XS</v>
          </cell>
          <cell r="F14">
            <v>104</v>
          </cell>
          <cell r="G14">
            <v>3</v>
          </cell>
          <cell r="H14">
            <v>20</v>
          </cell>
          <cell r="I14">
            <v>0</v>
          </cell>
          <cell r="J14">
            <v>4</v>
          </cell>
          <cell r="K14">
            <v>131</v>
          </cell>
          <cell r="L14">
            <v>32.19</v>
          </cell>
          <cell r="M14">
            <v>4216.89</v>
          </cell>
          <cell r="N14">
            <v>36</v>
          </cell>
          <cell r="O14">
            <v>71</v>
          </cell>
          <cell r="P14">
            <v>119</v>
          </cell>
          <cell r="Q14">
            <v>27</v>
          </cell>
          <cell r="R14">
            <v>9</v>
          </cell>
          <cell r="S14">
            <v>28.390092879257</v>
          </cell>
          <cell r="T14">
            <v>0.946336429308565</v>
          </cell>
          <cell r="U14">
            <v>1.44562118126273</v>
          </cell>
          <cell r="V14">
            <v>-0.499284751954165</v>
          </cell>
          <cell r="W14" t="str">
            <v>正常</v>
          </cell>
          <cell r="X14" t="str">
            <v>正常</v>
          </cell>
          <cell r="Y14">
            <v>11.44</v>
          </cell>
          <cell r="Z14">
            <v>19.23</v>
          </cell>
          <cell r="AA14">
            <v>43.53</v>
          </cell>
          <cell r="AB14">
            <v>0.105984806373911</v>
          </cell>
        </row>
        <row r="15">
          <cell r="A15" t="str">
            <v>美珠</v>
          </cell>
          <cell r="B15" t="str">
            <v>Y6028-RE</v>
          </cell>
          <cell r="C15" t="str">
            <v>Glock铝合金握把底座配件- G17 Gen3/4</v>
          </cell>
          <cell r="D15">
            <v>44764</v>
          </cell>
          <cell r="E15" t="str">
            <v>B0B5N7YD2H</v>
          </cell>
          <cell r="F15">
            <v>59</v>
          </cell>
          <cell r="G15">
            <v>1</v>
          </cell>
          <cell r="H15">
            <v>0</v>
          </cell>
          <cell r="I15">
            <v>0</v>
          </cell>
          <cell r="J15">
            <v>0</v>
          </cell>
          <cell r="K15">
            <v>60</v>
          </cell>
          <cell r="L15">
            <v>32.326</v>
          </cell>
          <cell r="M15">
            <v>1939.56</v>
          </cell>
          <cell r="N15">
            <v>0</v>
          </cell>
          <cell r="O15">
            <v>0</v>
          </cell>
          <cell r="P15">
            <v>2</v>
          </cell>
          <cell r="Q15">
            <v>0</v>
          </cell>
          <cell r="R15">
            <v>0</v>
          </cell>
          <cell r="S15">
            <v>2700</v>
          </cell>
          <cell r="T15">
            <v>90</v>
          </cell>
          <cell r="U15">
            <v>3.48</v>
          </cell>
          <cell r="V15">
            <v>86.52</v>
          </cell>
          <cell r="W15" t="str">
            <v>有库存无销量</v>
          </cell>
          <cell r="X15" t="str">
            <v>库存过高</v>
          </cell>
          <cell r="Y15">
            <v>0</v>
          </cell>
          <cell r="Z15">
            <v>0</v>
          </cell>
          <cell r="AA15">
            <v>0.09</v>
          </cell>
          <cell r="AB15" t="str">
            <v>-</v>
          </cell>
        </row>
        <row r="16">
          <cell r="A16" t="str">
            <v>美珠</v>
          </cell>
          <cell r="B16" t="str">
            <v>Y6030</v>
          </cell>
          <cell r="C16" t="str">
            <v>2只战术枪套</v>
          </cell>
          <cell r="D16">
            <v>44767</v>
          </cell>
          <cell r="E16" t="str">
            <v>B0B63FDQ9L</v>
          </cell>
          <cell r="F16">
            <v>5</v>
          </cell>
          <cell r="G16">
            <v>0</v>
          </cell>
          <cell r="H16">
            <v>0</v>
          </cell>
          <cell r="I16">
            <v>0</v>
          </cell>
          <cell r="J16">
            <v>0</v>
          </cell>
          <cell r="K16">
            <v>5</v>
          </cell>
          <cell r="L16">
            <v>18</v>
          </cell>
          <cell r="M16">
            <v>90</v>
          </cell>
          <cell r="N16">
            <v>0</v>
          </cell>
          <cell r="O16">
            <v>0</v>
          </cell>
          <cell r="P16">
            <v>0</v>
          </cell>
          <cell r="Q16">
            <v>0</v>
          </cell>
          <cell r="R16">
            <v>0</v>
          </cell>
          <cell r="S16" t="str">
            <v>-</v>
          </cell>
          <cell r="T16" t="str">
            <v>-</v>
          </cell>
          <cell r="U16" t="str">
            <v>-</v>
          </cell>
          <cell r="V16" t="str">
            <v>-</v>
          </cell>
          <cell r="W16" t="str">
            <v>有库存无销量</v>
          </cell>
          <cell r="X16" t="str">
            <v>有库存无销量</v>
          </cell>
          <cell r="Y16">
            <v>1.52</v>
          </cell>
          <cell r="Z16">
            <v>2.14</v>
          </cell>
          <cell r="AA16">
            <v>2.14</v>
          </cell>
          <cell r="AB16" t="str">
            <v>-</v>
          </cell>
        </row>
        <row r="17">
          <cell r="A17" t="str">
            <v>美珠</v>
          </cell>
          <cell r="B17" t="str">
            <v>Y6026</v>
          </cell>
          <cell r="C17" t="str">
            <v>2对 壁挂式枪架</v>
          </cell>
          <cell r="D17">
            <v>44750</v>
          </cell>
          <cell r="E17" t="str">
            <v>B0B63NLM88</v>
          </cell>
          <cell r="F17">
            <v>23</v>
          </cell>
          <cell r="G17">
            <v>0</v>
          </cell>
          <cell r="H17">
            <v>0</v>
          </cell>
          <cell r="I17">
            <v>0</v>
          </cell>
          <cell r="J17">
            <v>0</v>
          </cell>
          <cell r="K17">
            <v>23</v>
          </cell>
          <cell r="L17">
            <v>16</v>
          </cell>
          <cell r="M17">
            <v>368</v>
          </cell>
          <cell r="N17">
            <v>0</v>
          </cell>
          <cell r="O17">
            <v>0</v>
          </cell>
          <cell r="P17">
            <v>3</v>
          </cell>
          <cell r="Q17">
            <v>2</v>
          </cell>
          <cell r="R17">
            <v>-2</v>
          </cell>
          <cell r="S17">
            <v>690</v>
          </cell>
          <cell r="T17">
            <v>23</v>
          </cell>
          <cell r="U17">
            <v>4.62385321100918</v>
          </cell>
          <cell r="V17">
            <v>18.3761467889908</v>
          </cell>
          <cell r="W17" t="str">
            <v>有库存无销量</v>
          </cell>
          <cell r="X17" t="str">
            <v>库存过高</v>
          </cell>
          <cell r="Y17">
            <v>0.61</v>
          </cell>
          <cell r="Z17">
            <v>0.61</v>
          </cell>
          <cell r="AA17">
            <v>0.61</v>
          </cell>
          <cell r="AB17" t="str">
            <v>-</v>
          </cell>
        </row>
        <row r="18">
          <cell r="A18" t="str">
            <v>美珠</v>
          </cell>
          <cell r="B18" t="str">
            <v>Y6027</v>
          </cell>
          <cell r="C18" t="str">
            <v>5对 壁挂式枪架</v>
          </cell>
          <cell r="D18">
            <v>44750</v>
          </cell>
          <cell r="E18" t="str">
            <v>B0B63NSYD1</v>
          </cell>
          <cell r="F18">
            <v>11</v>
          </cell>
          <cell r="G18">
            <v>0</v>
          </cell>
          <cell r="H18">
            <v>0</v>
          </cell>
          <cell r="I18">
            <v>0</v>
          </cell>
          <cell r="J18">
            <v>0</v>
          </cell>
          <cell r="K18">
            <v>11</v>
          </cell>
          <cell r="L18">
            <v>40</v>
          </cell>
          <cell r="M18">
            <v>440</v>
          </cell>
          <cell r="N18">
            <v>1</v>
          </cell>
          <cell r="O18">
            <v>1</v>
          </cell>
          <cell r="P18">
            <v>3</v>
          </cell>
          <cell r="Q18">
            <v>0</v>
          </cell>
          <cell r="R18">
            <v>1</v>
          </cell>
          <cell r="S18">
            <v>106.615384615385</v>
          </cell>
          <cell r="T18">
            <v>3.55384615384615</v>
          </cell>
          <cell r="U18">
            <v>12</v>
          </cell>
          <cell r="V18">
            <v>-8.44615384615385</v>
          </cell>
          <cell r="W18" t="str">
            <v>库存过高</v>
          </cell>
          <cell r="X18" t="str">
            <v>库存过高</v>
          </cell>
          <cell r="Y18">
            <v>0.71</v>
          </cell>
          <cell r="Z18">
            <v>0.71</v>
          </cell>
          <cell r="AA18">
            <v>2.37</v>
          </cell>
          <cell r="AB18" t="str">
            <v>-</v>
          </cell>
        </row>
        <row r="19">
          <cell r="A19" t="str">
            <v>美珠</v>
          </cell>
          <cell r="B19" t="str">
            <v>Y6036-ZH</v>
          </cell>
          <cell r="C19" t="str">
            <v>双点背带任务绳（背带绳+背带扣2个）</v>
          </cell>
          <cell r="D19">
            <v>44796</v>
          </cell>
          <cell r="E19" t="str">
            <v>B0B8NQD6CN</v>
          </cell>
          <cell r="F19">
            <v>5</v>
          </cell>
          <cell r="G19">
            <v>0</v>
          </cell>
          <cell r="H19">
            <v>0</v>
          </cell>
          <cell r="I19">
            <v>0</v>
          </cell>
          <cell r="J19">
            <v>0</v>
          </cell>
          <cell r="K19">
            <v>5</v>
          </cell>
          <cell r="L19">
            <v>22.8</v>
          </cell>
          <cell r="M19">
            <v>114</v>
          </cell>
          <cell r="N19">
            <v>3</v>
          </cell>
          <cell r="O19">
            <v>4</v>
          </cell>
          <cell r="P19">
            <v>5</v>
          </cell>
          <cell r="Q19">
            <v>1</v>
          </cell>
          <cell r="R19">
            <v>2</v>
          </cell>
          <cell r="S19">
            <v>17.4033149171271</v>
          </cell>
          <cell r="T19">
            <v>0.580110497237569</v>
          </cell>
          <cell r="U19">
            <v>2.04166666666667</v>
          </cell>
          <cell r="V19">
            <v>-1.4615561694291</v>
          </cell>
          <cell r="W19" t="str">
            <v>库存过低</v>
          </cell>
          <cell r="X19" t="str">
            <v>正常</v>
          </cell>
          <cell r="Y19">
            <v>3.29</v>
          </cell>
          <cell r="Z19">
            <v>3.56</v>
          </cell>
          <cell r="AA19">
            <v>5.24</v>
          </cell>
          <cell r="AB19">
            <v>0.182981090100111</v>
          </cell>
        </row>
        <row r="20">
          <cell r="A20" t="str">
            <v>美珠</v>
          </cell>
          <cell r="B20" t="str">
            <v>Y6041</v>
          </cell>
          <cell r="C20" t="str">
            <v>红/绿光纤瞄准具 for Taurus-夜光款</v>
          </cell>
          <cell r="D20">
            <v>44801</v>
          </cell>
          <cell r="E20" t="str">
            <v>B0B97JJXC2</v>
          </cell>
          <cell r="F20">
            <v>26</v>
          </cell>
          <cell r="G20">
            <v>2</v>
          </cell>
          <cell r="H20">
            <v>20</v>
          </cell>
          <cell r="I20">
            <v>1</v>
          </cell>
          <cell r="J20">
            <v>0</v>
          </cell>
          <cell r="K20">
            <v>49</v>
          </cell>
          <cell r="L20">
            <v>31.252</v>
          </cell>
          <cell r="M20">
            <v>1531.348</v>
          </cell>
          <cell r="N20">
            <v>9</v>
          </cell>
          <cell r="O20">
            <v>20</v>
          </cell>
          <cell r="P20">
            <v>40</v>
          </cell>
          <cell r="Q20">
            <v>10</v>
          </cell>
          <cell r="R20">
            <v>-1</v>
          </cell>
          <cell r="S20">
            <v>37.1927710843374</v>
          </cell>
          <cell r="T20">
            <v>1.23975903614458</v>
          </cell>
          <cell r="U20">
            <v>1.24484536082474</v>
          </cell>
          <cell r="V20">
            <v>-0.00508632468016157</v>
          </cell>
          <cell r="W20" t="str">
            <v>正常</v>
          </cell>
          <cell r="X20" t="str">
            <v>正常</v>
          </cell>
          <cell r="Y20">
            <v>0</v>
          </cell>
          <cell r="Z20">
            <v>0</v>
          </cell>
          <cell r="AA20">
            <v>0</v>
          </cell>
          <cell r="AB20" t="str">
            <v>-</v>
          </cell>
        </row>
        <row r="21">
          <cell r="A21" t="str">
            <v>美珠</v>
          </cell>
          <cell r="B21" t="str">
            <v>Y6040-GR</v>
          </cell>
          <cell r="C21" t="str">
            <v>红/绿光纤瞄准具 for Taurus-非夜光款</v>
          </cell>
          <cell r="D21">
            <v>44801</v>
          </cell>
          <cell r="E21" t="str">
            <v>B0B9JY21Q5</v>
          </cell>
          <cell r="F21">
            <v>195</v>
          </cell>
          <cell r="G21">
            <v>3</v>
          </cell>
          <cell r="H21">
            <v>8</v>
          </cell>
          <cell r="I21">
            <v>1</v>
          </cell>
          <cell r="J21">
            <v>6</v>
          </cell>
          <cell r="K21">
            <v>213</v>
          </cell>
          <cell r="L21">
            <v>31.222</v>
          </cell>
          <cell r="M21">
            <v>6650.286</v>
          </cell>
          <cell r="N21">
            <v>38</v>
          </cell>
          <cell r="O21">
            <v>84</v>
          </cell>
          <cell r="P21">
            <v>167</v>
          </cell>
          <cell r="Q21">
            <v>43</v>
          </cell>
          <cell r="R21">
            <v>-5</v>
          </cell>
          <cell r="S21">
            <v>38.5050215208034</v>
          </cell>
          <cell r="T21">
            <v>1.28350071736011</v>
          </cell>
          <cell r="U21">
            <v>1.12579617834395</v>
          </cell>
          <cell r="V21">
            <v>0.157704539016165</v>
          </cell>
          <cell r="W21" t="str">
            <v>正常</v>
          </cell>
          <cell r="X21" t="str">
            <v>正常</v>
          </cell>
          <cell r="Y21">
            <v>0</v>
          </cell>
          <cell r="Z21">
            <v>13.82</v>
          </cell>
          <cell r="AA21">
            <v>38.85</v>
          </cell>
          <cell r="AB21" t="str">
            <v>-</v>
          </cell>
        </row>
        <row r="22">
          <cell r="A22" t="str">
            <v>美珠</v>
          </cell>
          <cell r="B22" t="str">
            <v>Y6040-RE</v>
          </cell>
          <cell r="C22" t="str">
            <v>红/绿光纤瞄准具 for Taurus-非夜光款</v>
          </cell>
          <cell r="D22">
            <v>44801</v>
          </cell>
          <cell r="E22" t="str">
            <v>B0B9JYM313</v>
          </cell>
          <cell r="F22">
            <v>31</v>
          </cell>
          <cell r="G22">
            <v>0</v>
          </cell>
          <cell r="H22">
            <v>1</v>
          </cell>
          <cell r="I22">
            <v>1</v>
          </cell>
          <cell r="J22">
            <v>0</v>
          </cell>
          <cell r="K22">
            <v>33</v>
          </cell>
          <cell r="L22">
            <v>31.245</v>
          </cell>
          <cell r="M22">
            <v>1031.085</v>
          </cell>
          <cell r="N22">
            <v>14</v>
          </cell>
          <cell r="O22">
            <v>28</v>
          </cell>
          <cell r="P22">
            <v>51</v>
          </cell>
          <cell r="Q22">
            <v>11</v>
          </cell>
          <cell r="R22">
            <v>3</v>
          </cell>
          <cell r="S22">
            <v>17.7844311377246</v>
          </cell>
          <cell r="T22">
            <v>0.592814371257485</v>
          </cell>
          <cell r="U22">
            <v>1.57077100115075</v>
          </cell>
          <cell r="V22">
            <v>-0.977956629893265</v>
          </cell>
          <cell r="W22" t="str">
            <v>正常</v>
          </cell>
          <cell r="X22" t="str">
            <v>正常</v>
          </cell>
          <cell r="Y22">
            <v>1.96</v>
          </cell>
          <cell r="Z22">
            <v>17.22</v>
          </cell>
          <cell r="AA22">
            <v>32.42</v>
          </cell>
          <cell r="AB22" t="str">
            <v>-</v>
          </cell>
        </row>
        <row r="23">
          <cell r="A23" t="str">
            <v>美珠</v>
          </cell>
          <cell r="B23" t="str">
            <v>Y6038-BL</v>
          </cell>
          <cell r="C23" t="str">
            <v>Glock铝合金握把底座配件- G19 Gen5 黑色</v>
          </cell>
          <cell r="D23">
            <v>44801</v>
          </cell>
          <cell r="E23" t="str">
            <v>B0B9NHSNTC</v>
          </cell>
          <cell r="F23">
            <v>47</v>
          </cell>
          <cell r="G23">
            <v>0</v>
          </cell>
          <cell r="H23">
            <v>0</v>
          </cell>
          <cell r="I23">
            <v>0</v>
          </cell>
          <cell r="J23">
            <v>0</v>
          </cell>
          <cell r="K23">
            <v>47</v>
          </cell>
          <cell r="L23">
            <v>34.12</v>
          </cell>
          <cell r="M23">
            <v>1603.64</v>
          </cell>
          <cell r="N23">
            <v>0</v>
          </cell>
          <cell r="O23">
            <v>0</v>
          </cell>
          <cell r="P23">
            <v>1</v>
          </cell>
          <cell r="Q23">
            <v>0</v>
          </cell>
          <cell r="R23">
            <v>0</v>
          </cell>
          <cell r="S23">
            <v>4230</v>
          </cell>
          <cell r="T23">
            <v>141</v>
          </cell>
          <cell r="U23">
            <v>3.68571428571429</v>
          </cell>
          <cell r="V23">
            <v>137.314285714286</v>
          </cell>
          <cell r="W23" t="str">
            <v>有库存无销量</v>
          </cell>
          <cell r="X23" t="str">
            <v>库存过高</v>
          </cell>
          <cell r="Y23">
            <v>0</v>
          </cell>
          <cell r="Z23">
            <v>0</v>
          </cell>
          <cell r="AA23">
            <v>0.79</v>
          </cell>
          <cell r="AB23" t="str">
            <v>-</v>
          </cell>
        </row>
        <row r="24">
          <cell r="A24" t="str">
            <v>美珠</v>
          </cell>
          <cell r="B24" t="str">
            <v>Y6038-RE</v>
          </cell>
          <cell r="C24" t="str">
            <v>Glock铝合金握把底座配件- G19 Gen5</v>
          </cell>
          <cell r="D24">
            <v>44801</v>
          </cell>
          <cell r="E24" t="str">
            <v>B0B9N4Y85B</v>
          </cell>
          <cell r="F24">
            <v>3</v>
          </cell>
          <cell r="G24">
            <v>0</v>
          </cell>
          <cell r="H24">
            <v>0</v>
          </cell>
          <cell r="I24">
            <v>0</v>
          </cell>
          <cell r="J24">
            <v>0</v>
          </cell>
          <cell r="K24">
            <v>3</v>
          </cell>
          <cell r="L24">
            <v>34.171</v>
          </cell>
          <cell r="M24">
            <v>102.513</v>
          </cell>
          <cell r="N24">
            <v>0</v>
          </cell>
          <cell r="O24">
            <v>0</v>
          </cell>
          <cell r="P24">
            <v>0</v>
          </cell>
          <cell r="Q24">
            <v>0</v>
          </cell>
          <cell r="R24">
            <v>0</v>
          </cell>
          <cell r="S24" t="str">
            <v>-</v>
          </cell>
          <cell r="T24" t="str">
            <v>-</v>
          </cell>
          <cell r="U24" t="str">
            <v>-</v>
          </cell>
          <cell r="V24" t="str">
            <v>-</v>
          </cell>
          <cell r="W24" t="str">
            <v>有库存无销量</v>
          </cell>
          <cell r="X24" t="str">
            <v>有库存无销量</v>
          </cell>
          <cell r="Y24">
            <v>0</v>
          </cell>
          <cell r="Z24">
            <v>0</v>
          </cell>
          <cell r="AA24">
            <v>0</v>
          </cell>
          <cell r="AB24" t="str">
            <v>-</v>
          </cell>
        </row>
        <row r="25">
          <cell r="A25" t="str">
            <v>美珠</v>
          </cell>
          <cell r="B25" t="str">
            <v>Y6039-RE</v>
          </cell>
          <cell r="C25" t="str">
            <v>Glock铝合金握把底座配件- G17 Gen5</v>
          </cell>
          <cell r="D25">
            <v>44801</v>
          </cell>
          <cell r="E25" t="str">
            <v>B0B9NJ47YC</v>
          </cell>
          <cell r="F25">
            <v>3</v>
          </cell>
          <cell r="G25">
            <v>0</v>
          </cell>
          <cell r="H25">
            <v>0</v>
          </cell>
          <cell r="I25">
            <v>0</v>
          </cell>
          <cell r="J25">
            <v>0</v>
          </cell>
          <cell r="K25">
            <v>3</v>
          </cell>
          <cell r="L25">
            <v>34.108</v>
          </cell>
          <cell r="M25">
            <v>102.324</v>
          </cell>
          <cell r="N25">
            <v>0</v>
          </cell>
          <cell r="O25">
            <v>0</v>
          </cell>
          <cell r="P25">
            <v>0</v>
          </cell>
          <cell r="Q25">
            <v>0</v>
          </cell>
          <cell r="R25">
            <v>0</v>
          </cell>
          <cell r="S25" t="str">
            <v>-</v>
          </cell>
          <cell r="T25" t="str">
            <v>-</v>
          </cell>
          <cell r="U25" t="str">
            <v>-</v>
          </cell>
          <cell r="V25" t="str">
            <v>-</v>
          </cell>
          <cell r="W25" t="str">
            <v>有库存无销量</v>
          </cell>
          <cell r="X25" t="str">
            <v>有库存无销量</v>
          </cell>
          <cell r="Y25">
            <v>0</v>
          </cell>
          <cell r="Z25">
            <v>0</v>
          </cell>
          <cell r="AA25">
            <v>0</v>
          </cell>
          <cell r="AB25" t="str">
            <v>-</v>
          </cell>
        </row>
        <row r="26">
          <cell r="A26" t="str">
            <v>美珠</v>
          </cell>
          <cell r="B26" t="str">
            <v>Y6049-BL</v>
          </cell>
          <cell r="C26" t="str">
            <v>尼龙前后准星 机械瞄 2代准星 黑色（带扳手）</v>
          </cell>
          <cell r="D26">
            <v>44995</v>
          </cell>
          <cell r="E26" t="str">
            <v>B0BVZ2NG6F</v>
          </cell>
          <cell r="F26">
            <v>25</v>
          </cell>
          <cell r="G26">
            <v>0</v>
          </cell>
          <cell r="H26">
            <v>3</v>
          </cell>
          <cell r="I26">
            <v>0</v>
          </cell>
          <cell r="J26">
            <v>0</v>
          </cell>
          <cell r="K26">
            <v>28</v>
          </cell>
          <cell r="L26">
            <v>32</v>
          </cell>
          <cell r="M26">
            <v>896</v>
          </cell>
          <cell r="N26">
            <v>3</v>
          </cell>
          <cell r="O26">
            <v>8</v>
          </cell>
          <cell r="P26">
            <v>16</v>
          </cell>
          <cell r="Q26">
            <v>2</v>
          </cell>
          <cell r="R26">
            <v>1</v>
          </cell>
          <cell r="S26">
            <v>56.1783439490446</v>
          </cell>
          <cell r="T26">
            <v>1.87261146496815</v>
          </cell>
          <cell r="U26">
            <v>2.41111111111111</v>
          </cell>
          <cell r="V26">
            <v>-0.538499646142957</v>
          </cell>
          <cell r="W26" t="str">
            <v>库存过高</v>
          </cell>
          <cell r="X26" t="str">
            <v>库存过高</v>
          </cell>
          <cell r="Y26">
            <v>9.76</v>
          </cell>
          <cell r="Z26">
            <v>20.64</v>
          </cell>
          <cell r="AA26">
            <v>40.64</v>
          </cell>
          <cell r="AB26">
            <v>0.348695962843873</v>
          </cell>
        </row>
        <row r="27">
          <cell r="A27" t="str">
            <v>美珠</v>
          </cell>
          <cell r="B27" t="str">
            <v>Y6049-SC</v>
          </cell>
          <cell r="C27" t="str">
            <v>尼龙前后准星 机械瞄 2代准星 泥色（带扳手）</v>
          </cell>
          <cell r="D27">
            <v>44995</v>
          </cell>
          <cell r="E27" t="str">
            <v>B0BVZ6GMF9</v>
          </cell>
          <cell r="F27">
            <v>22</v>
          </cell>
          <cell r="G27">
            <v>0</v>
          </cell>
          <cell r="H27">
            <v>0</v>
          </cell>
          <cell r="I27">
            <v>0</v>
          </cell>
          <cell r="J27">
            <v>0</v>
          </cell>
          <cell r="K27">
            <v>22</v>
          </cell>
          <cell r="L27">
            <v>32</v>
          </cell>
          <cell r="M27">
            <v>704</v>
          </cell>
          <cell r="N27">
            <v>0</v>
          </cell>
          <cell r="O27">
            <v>0</v>
          </cell>
          <cell r="P27">
            <v>2</v>
          </cell>
          <cell r="Q27">
            <v>2</v>
          </cell>
          <cell r="R27">
            <v>-2</v>
          </cell>
          <cell r="S27">
            <v>990</v>
          </cell>
          <cell r="T27">
            <v>33</v>
          </cell>
          <cell r="U27">
            <v>3.39230769230769</v>
          </cell>
          <cell r="V27">
            <v>29.6076923076923</v>
          </cell>
          <cell r="W27" t="str">
            <v>有库存无销量</v>
          </cell>
          <cell r="X27" t="str">
            <v>库存过高</v>
          </cell>
          <cell r="Y27">
            <v>0</v>
          </cell>
          <cell r="Z27">
            <v>0</v>
          </cell>
          <cell r="AA27">
            <v>0</v>
          </cell>
          <cell r="AB27" t="str">
            <v>-</v>
          </cell>
        </row>
        <row r="28">
          <cell r="A28" t="str">
            <v>美珠</v>
          </cell>
          <cell r="B28" t="str">
            <v>Y6050</v>
          </cell>
          <cell r="C28" t="str">
            <v>橡胶防滑套 适合Taurus</v>
          </cell>
          <cell r="D28">
            <v>45027</v>
          </cell>
          <cell r="E28" t="str">
            <v>B0BYHQ2LG6</v>
          </cell>
          <cell r="F28">
            <v>4</v>
          </cell>
          <cell r="G28">
            <v>0</v>
          </cell>
          <cell r="H28">
            <v>0</v>
          </cell>
          <cell r="I28">
            <v>0</v>
          </cell>
          <cell r="J28">
            <v>0</v>
          </cell>
          <cell r="K28">
            <v>4</v>
          </cell>
          <cell r="L28">
            <v>10.14</v>
          </cell>
          <cell r="M28">
            <v>40.56</v>
          </cell>
          <cell r="N28">
            <v>0</v>
          </cell>
          <cell r="O28">
            <v>0</v>
          </cell>
          <cell r="P28">
            <v>0</v>
          </cell>
          <cell r="Q28">
            <v>0</v>
          </cell>
          <cell r="R28">
            <v>0</v>
          </cell>
          <cell r="S28" t="str">
            <v>-</v>
          </cell>
          <cell r="T28" t="str">
            <v>-</v>
          </cell>
          <cell r="U28">
            <v>7.61538461538461</v>
          </cell>
          <cell r="V28" t="str">
            <v>-</v>
          </cell>
          <cell r="W28" t="str">
            <v>有库存无销量</v>
          </cell>
          <cell r="X28" t="str">
            <v>有库存无销量</v>
          </cell>
          <cell r="Y28">
            <v>0</v>
          </cell>
          <cell r="Z28">
            <v>0</v>
          </cell>
          <cell r="AA28">
            <v>0.76</v>
          </cell>
          <cell r="AB28" t="str">
            <v>-</v>
          </cell>
        </row>
        <row r="29">
          <cell r="A29" t="str">
            <v>美珠</v>
          </cell>
          <cell r="B29" t="str">
            <v>Y6051</v>
          </cell>
          <cell r="C29" t="str">
            <v>Glock腰带夹</v>
          </cell>
          <cell r="D29">
            <v>45027</v>
          </cell>
          <cell r="E29" t="str">
            <v>B0BYJ3JB97</v>
          </cell>
          <cell r="F29">
            <v>80</v>
          </cell>
          <cell r="G29">
            <v>0</v>
          </cell>
          <cell r="H29">
            <v>3</v>
          </cell>
          <cell r="I29">
            <v>0</v>
          </cell>
          <cell r="J29">
            <v>4</v>
          </cell>
          <cell r="K29">
            <v>87</v>
          </cell>
          <cell r="L29">
            <v>15</v>
          </cell>
          <cell r="M29">
            <v>1305</v>
          </cell>
          <cell r="N29">
            <v>35</v>
          </cell>
          <cell r="O29">
            <v>74</v>
          </cell>
          <cell r="P29">
            <v>124</v>
          </cell>
          <cell r="Q29">
            <v>20</v>
          </cell>
          <cell r="R29">
            <v>15</v>
          </cell>
          <cell r="S29">
            <v>18.5545023696682</v>
          </cell>
          <cell r="T29">
            <v>0.618483412322275</v>
          </cell>
          <cell r="U29">
            <v>1.58939213349225</v>
          </cell>
          <cell r="V29">
            <v>-0.970908721169975</v>
          </cell>
          <cell r="W29" t="str">
            <v>正常</v>
          </cell>
          <cell r="X29" t="str">
            <v>正常</v>
          </cell>
          <cell r="Y29">
            <v>14.46</v>
          </cell>
          <cell r="Z29">
            <v>33.67</v>
          </cell>
          <cell r="AA29">
            <v>61.44</v>
          </cell>
          <cell r="AB29">
            <v>0.103359542530379</v>
          </cell>
        </row>
        <row r="30">
          <cell r="A30" t="str">
            <v>美珠</v>
          </cell>
          <cell r="B30" t="str">
            <v>Y6055-BL</v>
          </cell>
          <cell r="C30" t="str">
            <v>橡胶防滑套 握把套 For P365 黑色</v>
          </cell>
          <cell r="D30">
            <v>45042</v>
          </cell>
          <cell r="E30" t="str">
            <v>B0C1SP4QGT</v>
          </cell>
          <cell r="F30">
            <v>1</v>
          </cell>
          <cell r="G30">
            <v>0</v>
          </cell>
          <cell r="H30">
            <v>0</v>
          </cell>
          <cell r="I30">
            <v>0</v>
          </cell>
          <cell r="J30">
            <v>0</v>
          </cell>
          <cell r="K30">
            <v>1</v>
          </cell>
          <cell r="L30">
            <v>9.2</v>
          </cell>
          <cell r="M30">
            <v>9.2</v>
          </cell>
          <cell r="N30">
            <v>0</v>
          </cell>
          <cell r="O30">
            <v>0</v>
          </cell>
          <cell r="P30">
            <v>0</v>
          </cell>
          <cell r="Q30">
            <v>0</v>
          </cell>
          <cell r="R30">
            <v>0</v>
          </cell>
          <cell r="S30" t="str">
            <v>-</v>
          </cell>
          <cell r="T30" t="str">
            <v>-</v>
          </cell>
          <cell r="U30">
            <v>8.57142857142857</v>
          </cell>
          <cell r="V30" t="str">
            <v>-</v>
          </cell>
          <cell r="W30" t="str">
            <v>有库存无销量</v>
          </cell>
          <cell r="X30" t="str">
            <v>有库存无销量</v>
          </cell>
          <cell r="Y30">
            <v>0</v>
          </cell>
          <cell r="Z30">
            <v>0</v>
          </cell>
          <cell r="AA30">
            <v>0</v>
          </cell>
          <cell r="AB30" t="str">
            <v>-</v>
          </cell>
        </row>
        <row r="31">
          <cell r="A31" t="str">
            <v>美珠</v>
          </cell>
          <cell r="B31" t="str">
            <v>Y6056-BL</v>
          </cell>
          <cell r="C31" t="str">
            <v>适用于Safariland 腰板 腰挂配件 黑色</v>
          </cell>
          <cell r="D31">
            <v>45047</v>
          </cell>
          <cell r="E31" t="str">
            <v>B0C23NSBJJ</v>
          </cell>
          <cell r="F31">
            <v>17</v>
          </cell>
          <cell r="G31">
            <v>0</v>
          </cell>
          <cell r="H31">
            <v>0</v>
          </cell>
          <cell r="I31">
            <v>2</v>
          </cell>
          <cell r="J31">
            <v>0</v>
          </cell>
          <cell r="K31">
            <v>19</v>
          </cell>
          <cell r="L31">
            <v>9.073</v>
          </cell>
          <cell r="M31">
            <v>172.387</v>
          </cell>
          <cell r="N31">
            <v>4</v>
          </cell>
          <cell r="O31">
            <v>7</v>
          </cell>
          <cell r="P31">
            <v>7</v>
          </cell>
          <cell r="Q31">
            <v>0</v>
          </cell>
          <cell r="R31">
            <v>4</v>
          </cell>
          <cell r="S31">
            <v>44.8314606741573</v>
          </cell>
          <cell r="T31">
            <v>1.49438202247191</v>
          </cell>
          <cell r="U31">
            <v>24</v>
          </cell>
          <cell r="V31">
            <v>-22.5056179775281</v>
          </cell>
          <cell r="W31" t="str">
            <v>正常</v>
          </cell>
          <cell r="X31" t="str">
            <v>正常</v>
          </cell>
          <cell r="Y31">
            <v>0</v>
          </cell>
          <cell r="Z31">
            <v>0.4</v>
          </cell>
          <cell r="AA31">
            <v>2.04</v>
          </cell>
          <cell r="AB31" t="str">
            <v>-</v>
          </cell>
        </row>
        <row r="32">
          <cell r="A32" t="str">
            <v>美珠</v>
          </cell>
          <cell r="B32" t="str">
            <v>Y6056-GR</v>
          </cell>
          <cell r="C32" t="str">
            <v>适用于Safariland 腰板 腰挂配件 绿色</v>
          </cell>
          <cell r="D32">
            <v>45047</v>
          </cell>
          <cell r="E32" t="str">
            <v>B0C23YHNY3</v>
          </cell>
          <cell r="F32">
            <v>25</v>
          </cell>
          <cell r="G32">
            <v>0</v>
          </cell>
          <cell r="H32">
            <v>0</v>
          </cell>
          <cell r="I32">
            <v>0</v>
          </cell>
          <cell r="J32">
            <v>0</v>
          </cell>
          <cell r="K32">
            <v>25</v>
          </cell>
          <cell r="L32">
            <v>8.791</v>
          </cell>
          <cell r="M32">
            <v>219.775</v>
          </cell>
          <cell r="N32">
            <v>0</v>
          </cell>
          <cell r="O32">
            <v>0</v>
          </cell>
          <cell r="P32">
            <v>1</v>
          </cell>
          <cell r="Q32">
            <v>0</v>
          </cell>
          <cell r="R32">
            <v>0</v>
          </cell>
          <cell r="S32">
            <v>2250</v>
          </cell>
          <cell r="T32">
            <v>75</v>
          </cell>
          <cell r="U32" t="str">
            <v>-</v>
          </cell>
          <cell r="V32" t="str">
            <v>-</v>
          </cell>
          <cell r="W32" t="str">
            <v>有库存无销量</v>
          </cell>
          <cell r="X32" t="str">
            <v>库存过高</v>
          </cell>
          <cell r="Y32">
            <v>0.38</v>
          </cell>
          <cell r="Z32">
            <v>0.38</v>
          </cell>
          <cell r="AA32">
            <v>1.6</v>
          </cell>
          <cell r="AB32" t="str">
            <v>-</v>
          </cell>
        </row>
        <row r="33">
          <cell r="A33" t="str">
            <v>美珠</v>
          </cell>
          <cell r="B33" t="str">
            <v>Y6056-OR</v>
          </cell>
          <cell r="C33" t="str">
            <v>适用于Safariland 腰板 腰挂配件 橙色</v>
          </cell>
          <cell r="D33">
            <v>45047</v>
          </cell>
          <cell r="E33" t="str">
            <v>B0C23NZX4J</v>
          </cell>
          <cell r="F33">
            <v>13</v>
          </cell>
          <cell r="G33">
            <v>0</v>
          </cell>
          <cell r="H33">
            <v>0</v>
          </cell>
          <cell r="I33">
            <v>0</v>
          </cell>
          <cell r="J33">
            <v>0</v>
          </cell>
          <cell r="K33">
            <v>13</v>
          </cell>
          <cell r="L33">
            <v>8.526</v>
          </cell>
          <cell r="M33">
            <v>110.838</v>
          </cell>
          <cell r="N33">
            <v>0</v>
          </cell>
          <cell r="O33">
            <v>2</v>
          </cell>
          <cell r="P33">
            <v>3</v>
          </cell>
          <cell r="Q33">
            <v>0</v>
          </cell>
          <cell r="R33">
            <v>0</v>
          </cell>
          <cell r="S33">
            <v>167.142857142857</v>
          </cell>
          <cell r="T33">
            <v>5.57142857142857</v>
          </cell>
          <cell r="U33" t="str">
            <v>-</v>
          </cell>
          <cell r="V33" t="str">
            <v>-</v>
          </cell>
          <cell r="W33" t="str">
            <v>有库存无销量</v>
          </cell>
          <cell r="X33" t="str">
            <v>库存过高</v>
          </cell>
          <cell r="Y33">
            <v>0.38</v>
          </cell>
          <cell r="Z33">
            <v>2.26</v>
          </cell>
          <cell r="AA33">
            <v>7.19</v>
          </cell>
          <cell r="AB33" t="str">
            <v>-</v>
          </cell>
        </row>
        <row r="34">
          <cell r="A34" t="str">
            <v>美珠</v>
          </cell>
          <cell r="B34" t="str">
            <v>Y6053-BL</v>
          </cell>
          <cell r="C34" t="str">
            <v>Glock后盖片 2PC 空白 / Gen 5代</v>
          </cell>
          <cell r="D34">
            <v>45051</v>
          </cell>
          <cell r="E34" t="str">
            <v>B0C23F2C37</v>
          </cell>
          <cell r="F34">
            <v>9</v>
          </cell>
          <cell r="G34">
            <v>0</v>
          </cell>
          <cell r="H34">
            <v>0</v>
          </cell>
          <cell r="I34">
            <v>0</v>
          </cell>
          <cell r="J34">
            <v>0</v>
          </cell>
          <cell r="K34">
            <v>9</v>
          </cell>
          <cell r="L34">
            <v>16.113</v>
          </cell>
          <cell r="M34">
            <v>145.017</v>
          </cell>
          <cell r="N34">
            <v>0</v>
          </cell>
          <cell r="O34">
            <v>0</v>
          </cell>
          <cell r="P34">
            <v>0</v>
          </cell>
          <cell r="Q34">
            <v>0</v>
          </cell>
          <cell r="R34">
            <v>0</v>
          </cell>
          <cell r="S34" t="str">
            <v>-</v>
          </cell>
          <cell r="T34" t="str">
            <v>-</v>
          </cell>
          <cell r="U34" t="str">
            <v>-</v>
          </cell>
          <cell r="V34" t="str">
            <v>-</v>
          </cell>
          <cell r="W34" t="str">
            <v>有库存无销量</v>
          </cell>
          <cell r="X34" t="str">
            <v>有库存无销量</v>
          </cell>
          <cell r="Y34">
            <v>0</v>
          </cell>
          <cell r="Z34">
            <v>0</v>
          </cell>
          <cell r="AA34">
            <v>0</v>
          </cell>
          <cell r="AB34" t="str">
            <v>-</v>
          </cell>
        </row>
        <row r="35">
          <cell r="A35" t="str">
            <v>美珠</v>
          </cell>
          <cell r="B35" t="str">
            <v>Y6053-NF</v>
          </cell>
          <cell r="C35" t="str">
            <v>Glock后盖片 2PC 国旗 / Gen 5代</v>
          </cell>
          <cell r="D35">
            <v>45051</v>
          </cell>
          <cell r="E35" t="str">
            <v>B0C282X1S6</v>
          </cell>
          <cell r="F35">
            <v>11</v>
          </cell>
          <cell r="G35">
            <v>0</v>
          </cell>
          <cell r="H35">
            <v>0</v>
          </cell>
          <cell r="I35">
            <v>0</v>
          </cell>
          <cell r="J35">
            <v>0</v>
          </cell>
          <cell r="K35">
            <v>11</v>
          </cell>
          <cell r="L35">
            <v>16.113</v>
          </cell>
          <cell r="M35">
            <v>177.243</v>
          </cell>
          <cell r="N35">
            <v>0</v>
          </cell>
          <cell r="O35">
            <v>0</v>
          </cell>
          <cell r="P35">
            <v>0</v>
          </cell>
          <cell r="Q35">
            <v>0</v>
          </cell>
          <cell r="R35">
            <v>0</v>
          </cell>
          <cell r="S35" t="str">
            <v>-</v>
          </cell>
          <cell r="T35" t="str">
            <v>-</v>
          </cell>
          <cell r="U35">
            <v>33</v>
          </cell>
          <cell r="V35" t="str">
            <v>-</v>
          </cell>
          <cell r="W35" t="str">
            <v>有库存无销量</v>
          </cell>
          <cell r="X35" t="str">
            <v>有库存无销量</v>
          </cell>
          <cell r="Y35">
            <v>0</v>
          </cell>
          <cell r="Z35">
            <v>0</v>
          </cell>
          <cell r="AA35">
            <v>0</v>
          </cell>
          <cell r="AB35" t="str">
            <v>-</v>
          </cell>
        </row>
        <row r="36">
          <cell r="A36" t="str">
            <v>美珠</v>
          </cell>
          <cell r="B36" t="str">
            <v>Y6053-PU</v>
          </cell>
          <cell r="C36" t="str">
            <v>Glock后盖片 2PC 骷颅头 / Gen 5代</v>
          </cell>
          <cell r="D36">
            <v>45051</v>
          </cell>
          <cell r="E36" t="str">
            <v>B0C2867SMD</v>
          </cell>
          <cell r="F36">
            <v>13</v>
          </cell>
          <cell r="G36">
            <v>0</v>
          </cell>
          <cell r="H36">
            <v>0</v>
          </cell>
          <cell r="I36">
            <v>0</v>
          </cell>
          <cell r="J36">
            <v>0</v>
          </cell>
          <cell r="K36">
            <v>13</v>
          </cell>
          <cell r="L36">
            <v>16.113</v>
          </cell>
          <cell r="M36">
            <v>209.469</v>
          </cell>
          <cell r="N36">
            <v>0</v>
          </cell>
          <cell r="O36">
            <v>0</v>
          </cell>
          <cell r="P36">
            <v>0</v>
          </cell>
          <cell r="Q36">
            <v>0</v>
          </cell>
          <cell r="R36">
            <v>0</v>
          </cell>
          <cell r="S36" t="str">
            <v>-</v>
          </cell>
          <cell r="T36" t="str">
            <v>-</v>
          </cell>
          <cell r="U36">
            <v>19.5</v>
          </cell>
          <cell r="V36" t="str">
            <v>-</v>
          </cell>
          <cell r="W36" t="str">
            <v>有库存无销量</v>
          </cell>
          <cell r="X36" t="str">
            <v>有库存无销量</v>
          </cell>
          <cell r="Y36">
            <v>0</v>
          </cell>
          <cell r="Z36">
            <v>0</v>
          </cell>
          <cell r="AA36">
            <v>0</v>
          </cell>
          <cell r="AB36" t="str">
            <v>-</v>
          </cell>
        </row>
        <row r="37">
          <cell r="A37" t="str">
            <v>美珠</v>
          </cell>
          <cell r="B37" t="str">
            <v>Y6052-BL</v>
          </cell>
          <cell r="C37" t="str">
            <v>Glock后盖片 2PC 空白 / Gen 1-4代</v>
          </cell>
          <cell r="D37">
            <v>45051</v>
          </cell>
          <cell r="E37" t="str">
            <v>B0C2BKB1P4</v>
          </cell>
          <cell r="F37">
            <v>32</v>
          </cell>
          <cell r="G37">
            <v>0</v>
          </cell>
          <cell r="H37">
            <v>2</v>
          </cell>
          <cell r="I37">
            <v>0</v>
          </cell>
          <cell r="J37">
            <v>0</v>
          </cell>
          <cell r="K37">
            <v>34</v>
          </cell>
          <cell r="L37">
            <v>16.297</v>
          </cell>
          <cell r="M37">
            <v>554.098</v>
          </cell>
          <cell r="N37">
            <v>0</v>
          </cell>
          <cell r="O37">
            <v>1</v>
          </cell>
          <cell r="P37">
            <v>8</v>
          </cell>
          <cell r="Q37">
            <v>4</v>
          </cell>
          <cell r="R37">
            <v>-4</v>
          </cell>
          <cell r="S37">
            <v>306</v>
          </cell>
          <cell r="T37">
            <v>10.2</v>
          </cell>
          <cell r="U37">
            <v>1.53284671532847</v>
          </cell>
          <cell r="V37">
            <v>8.66715328467153</v>
          </cell>
          <cell r="W37" t="str">
            <v>有库存无销量</v>
          </cell>
          <cell r="X37" t="str">
            <v>库存过高</v>
          </cell>
          <cell r="Y37">
            <v>0</v>
          </cell>
          <cell r="Z37">
            <v>0</v>
          </cell>
          <cell r="AA37">
            <v>0</v>
          </cell>
          <cell r="AB37" t="str">
            <v>-</v>
          </cell>
        </row>
        <row r="38">
          <cell r="A38" t="str">
            <v>美珠</v>
          </cell>
          <cell r="B38" t="str">
            <v>Y6052-NF</v>
          </cell>
          <cell r="C38" t="str">
            <v>Glock后盖片 2PC 国旗 / Gen 1-4代</v>
          </cell>
          <cell r="D38">
            <v>45051</v>
          </cell>
          <cell r="E38" t="str">
            <v>B0C2BL7HXZ</v>
          </cell>
          <cell r="F38">
            <v>21</v>
          </cell>
          <cell r="G38">
            <v>0</v>
          </cell>
          <cell r="H38">
            <v>0</v>
          </cell>
          <cell r="I38">
            <v>0</v>
          </cell>
          <cell r="J38">
            <v>0</v>
          </cell>
          <cell r="K38">
            <v>21</v>
          </cell>
          <cell r="L38">
            <v>16.113</v>
          </cell>
          <cell r="M38">
            <v>338.373</v>
          </cell>
          <cell r="N38">
            <v>1</v>
          </cell>
          <cell r="O38">
            <v>1</v>
          </cell>
          <cell r="P38">
            <v>1</v>
          </cell>
          <cell r="Q38">
            <v>0</v>
          </cell>
          <cell r="R38">
            <v>1</v>
          </cell>
          <cell r="S38">
            <v>259.411764705882</v>
          </cell>
          <cell r="T38">
            <v>8.64705882352941</v>
          </cell>
          <cell r="U38">
            <v>8.25</v>
          </cell>
          <cell r="V38">
            <v>0.397058823529413</v>
          </cell>
          <cell r="W38" t="str">
            <v>库存过高</v>
          </cell>
          <cell r="X38" t="str">
            <v>库存过高</v>
          </cell>
          <cell r="Y38">
            <v>0</v>
          </cell>
          <cell r="Z38">
            <v>0</v>
          </cell>
          <cell r="AA38">
            <v>1.85</v>
          </cell>
          <cell r="AB38" t="str">
            <v>-</v>
          </cell>
        </row>
        <row r="39">
          <cell r="A39" t="str">
            <v>美珠</v>
          </cell>
          <cell r="B39" t="str">
            <v>Y6052-PU</v>
          </cell>
          <cell r="C39" t="str">
            <v>Glock后盖片 2PC 惩罚者 / Gen 1-4代</v>
          </cell>
          <cell r="D39">
            <v>45051</v>
          </cell>
          <cell r="E39" t="str">
            <v>B0C2BLQY4H</v>
          </cell>
          <cell r="F39">
            <v>11</v>
          </cell>
          <cell r="G39">
            <v>0</v>
          </cell>
          <cell r="H39">
            <v>1</v>
          </cell>
          <cell r="I39">
            <v>0</v>
          </cell>
          <cell r="J39">
            <v>0</v>
          </cell>
          <cell r="K39">
            <v>12</v>
          </cell>
          <cell r="L39">
            <v>16.295</v>
          </cell>
          <cell r="M39">
            <v>195.54</v>
          </cell>
          <cell r="N39">
            <v>1</v>
          </cell>
          <cell r="O39">
            <v>4</v>
          </cell>
          <cell r="P39">
            <v>6</v>
          </cell>
          <cell r="Q39">
            <v>1</v>
          </cell>
          <cell r="R39">
            <v>0</v>
          </cell>
          <cell r="S39">
            <v>59.0625</v>
          </cell>
          <cell r="T39">
            <v>1.96875</v>
          </cell>
          <cell r="U39">
            <v>2.9504132231405</v>
          </cell>
          <cell r="V39">
            <v>-0.9816632231405</v>
          </cell>
          <cell r="W39" t="str">
            <v>库存过高</v>
          </cell>
          <cell r="X39" t="str">
            <v>库存过高</v>
          </cell>
          <cell r="Y39">
            <v>3.16</v>
          </cell>
          <cell r="Z39">
            <v>6.08</v>
          </cell>
          <cell r="AA39">
            <v>19.74</v>
          </cell>
          <cell r="AB39" t="str">
            <v>-</v>
          </cell>
        </row>
        <row r="40">
          <cell r="A40" t="str">
            <v>美珠</v>
          </cell>
          <cell r="B40" t="str">
            <v>Y6054-PL</v>
          </cell>
          <cell r="C40" t="str">
            <v>适合 P365 P365XL 后盖片 2PC 黑色空白</v>
          </cell>
          <cell r="D40">
            <v>45072</v>
          </cell>
          <cell r="E40" t="str">
            <v>B0C2CH9C2H</v>
          </cell>
          <cell r="F40">
            <v>4</v>
          </cell>
          <cell r="G40">
            <v>0</v>
          </cell>
          <cell r="H40">
            <v>0</v>
          </cell>
          <cell r="I40">
            <v>0</v>
          </cell>
          <cell r="J40">
            <v>0</v>
          </cell>
          <cell r="K40">
            <v>4</v>
          </cell>
          <cell r="L40">
            <v>20.113</v>
          </cell>
          <cell r="M40">
            <v>80.452</v>
          </cell>
          <cell r="N40">
            <v>0</v>
          </cell>
          <cell r="O40">
            <v>0</v>
          </cell>
          <cell r="P40">
            <v>0</v>
          </cell>
          <cell r="Q40">
            <v>0</v>
          </cell>
          <cell r="R40">
            <v>0</v>
          </cell>
          <cell r="S40" t="str">
            <v>-</v>
          </cell>
          <cell r="T40" t="str">
            <v>-</v>
          </cell>
          <cell r="U40" t="str">
            <v>-</v>
          </cell>
          <cell r="V40" t="str">
            <v>-</v>
          </cell>
          <cell r="W40" t="str">
            <v>有库存无销量</v>
          </cell>
          <cell r="X40" t="str">
            <v>有库存无销量</v>
          </cell>
          <cell r="Y40">
            <v>0</v>
          </cell>
          <cell r="Z40">
            <v>0</v>
          </cell>
          <cell r="AA40">
            <v>0</v>
          </cell>
          <cell r="AB40" t="str">
            <v>-</v>
          </cell>
        </row>
        <row r="41">
          <cell r="A41" t="str">
            <v>美珠</v>
          </cell>
          <cell r="B41" t="str">
            <v>Y6054-PU</v>
          </cell>
          <cell r="C41" t="str">
            <v>适合 P365 P365XL 后盖片 2PC 黑色惩罚者</v>
          </cell>
          <cell r="D41">
            <v>45072</v>
          </cell>
          <cell r="E41" t="str">
            <v>B0C2CHMRMB</v>
          </cell>
          <cell r="F41">
            <v>14</v>
          </cell>
          <cell r="G41">
            <v>0</v>
          </cell>
          <cell r="H41">
            <v>0</v>
          </cell>
          <cell r="I41">
            <v>0</v>
          </cell>
          <cell r="J41">
            <v>0</v>
          </cell>
          <cell r="K41">
            <v>14</v>
          </cell>
          <cell r="L41">
            <v>20.113</v>
          </cell>
          <cell r="M41">
            <v>281.582</v>
          </cell>
          <cell r="N41">
            <v>0</v>
          </cell>
          <cell r="O41">
            <v>0</v>
          </cell>
          <cell r="P41">
            <v>0</v>
          </cell>
          <cell r="Q41">
            <v>0</v>
          </cell>
          <cell r="R41">
            <v>0</v>
          </cell>
          <cell r="S41" t="str">
            <v>-</v>
          </cell>
          <cell r="T41" t="str">
            <v>-</v>
          </cell>
          <cell r="U41" t="str">
            <v>-</v>
          </cell>
          <cell r="V41" t="str">
            <v>-</v>
          </cell>
          <cell r="W41" t="str">
            <v>有库存无销量</v>
          </cell>
          <cell r="X41" t="str">
            <v>有库存无销量</v>
          </cell>
          <cell r="Y41">
            <v>0</v>
          </cell>
          <cell r="Z41">
            <v>0</v>
          </cell>
          <cell r="AA41">
            <v>0</v>
          </cell>
          <cell r="AB41" t="str">
            <v>-</v>
          </cell>
        </row>
        <row r="42">
          <cell r="A42" t="str">
            <v>美珠</v>
          </cell>
          <cell r="B42" t="str">
            <v>Y6057</v>
          </cell>
          <cell r="C42" t="str">
            <v>金属3色光纤瞄 前后光纤 For Glock</v>
          </cell>
          <cell r="D42">
            <v>45072</v>
          </cell>
          <cell r="E42" t="str">
            <v>B0C2PZ3185</v>
          </cell>
          <cell r="F42">
            <v>19</v>
          </cell>
          <cell r="G42">
            <v>0</v>
          </cell>
          <cell r="H42">
            <v>17</v>
          </cell>
          <cell r="I42">
            <v>1</v>
          </cell>
          <cell r="J42">
            <v>3</v>
          </cell>
          <cell r="K42">
            <v>40</v>
          </cell>
          <cell r="L42">
            <v>30.267</v>
          </cell>
          <cell r="M42">
            <v>1210.68</v>
          </cell>
          <cell r="N42">
            <v>6</v>
          </cell>
          <cell r="O42">
            <v>13</v>
          </cell>
          <cell r="P42">
            <v>33</v>
          </cell>
          <cell r="Q42">
            <v>13</v>
          </cell>
          <cell r="R42">
            <v>-7</v>
          </cell>
          <cell r="S42">
            <v>42.495784148398</v>
          </cell>
          <cell r="T42">
            <v>1.41652613827993</v>
          </cell>
          <cell r="U42">
            <v>0.695857988165681</v>
          </cell>
          <cell r="V42">
            <v>0.720668150114251</v>
          </cell>
          <cell r="W42" t="str">
            <v>库存过高</v>
          </cell>
          <cell r="X42" t="str">
            <v>正常</v>
          </cell>
          <cell r="Y42">
            <v>10.41</v>
          </cell>
          <cell r="Z42">
            <v>22.21</v>
          </cell>
          <cell r="AA42">
            <v>59.08</v>
          </cell>
          <cell r="AB42">
            <v>0.217010631644778</v>
          </cell>
        </row>
        <row r="43">
          <cell r="A43" t="str">
            <v>美珠</v>
          </cell>
          <cell r="B43" t="str">
            <v>Y6061</v>
          </cell>
          <cell r="C43" t="str">
            <v>折叠光纤瞄准星</v>
          </cell>
          <cell r="D43">
            <v>45047</v>
          </cell>
          <cell r="E43" t="str">
            <v>B0C33B4ZXM</v>
          </cell>
          <cell r="F43">
            <v>33</v>
          </cell>
          <cell r="G43">
            <v>1</v>
          </cell>
          <cell r="H43">
            <v>0</v>
          </cell>
          <cell r="I43">
            <v>2</v>
          </cell>
          <cell r="J43">
            <v>0</v>
          </cell>
          <cell r="K43">
            <v>36</v>
          </cell>
          <cell r="L43">
            <v>27.6</v>
          </cell>
          <cell r="M43">
            <v>993.6</v>
          </cell>
          <cell r="N43">
            <v>5</v>
          </cell>
          <cell r="O43">
            <v>13</v>
          </cell>
          <cell r="P43">
            <v>32</v>
          </cell>
          <cell r="Q43">
            <v>6</v>
          </cell>
          <cell r="R43">
            <v>-1</v>
          </cell>
          <cell r="S43">
            <v>40.7913669064748</v>
          </cell>
          <cell r="T43">
            <v>1.35971223021583</v>
          </cell>
          <cell r="U43">
            <v>1.9951690821256</v>
          </cell>
          <cell r="V43">
            <v>-0.635456851909773</v>
          </cell>
          <cell r="W43" t="str">
            <v>库存过高</v>
          </cell>
          <cell r="X43" t="str">
            <v>正常</v>
          </cell>
          <cell r="Y43">
            <v>12.18</v>
          </cell>
          <cell r="Z43">
            <v>29.32</v>
          </cell>
          <cell r="AA43">
            <v>70.49</v>
          </cell>
          <cell r="AB43">
            <v>0.813084112149533</v>
          </cell>
        </row>
        <row r="44">
          <cell r="A44" t="str">
            <v>美珠</v>
          </cell>
          <cell r="B44" t="str">
            <v>Y6058</v>
          </cell>
          <cell r="C44" t="str">
            <v>带增高折叠式内红点瞄准镜</v>
          </cell>
          <cell r="D44">
            <v>45050</v>
          </cell>
          <cell r="E44" t="str">
            <v>B0C3GZ28T8</v>
          </cell>
          <cell r="F44">
            <v>28</v>
          </cell>
          <cell r="G44">
            <v>1</v>
          </cell>
          <cell r="H44">
            <v>20</v>
          </cell>
          <cell r="I44">
            <v>0</v>
          </cell>
          <cell r="J44">
            <v>1</v>
          </cell>
          <cell r="K44">
            <v>50</v>
          </cell>
          <cell r="L44">
            <v>105.626</v>
          </cell>
          <cell r="M44">
            <v>5281.3</v>
          </cell>
          <cell r="N44">
            <v>15</v>
          </cell>
          <cell r="O44">
            <v>23</v>
          </cell>
          <cell r="P44">
            <v>38</v>
          </cell>
          <cell r="Q44">
            <v>9</v>
          </cell>
          <cell r="R44">
            <v>6</v>
          </cell>
          <cell r="S44">
            <v>30.3468208092486</v>
          </cell>
          <cell r="T44">
            <v>1.01156069364162</v>
          </cell>
          <cell r="U44">
            <v>0.799492385786802</v>
          </cell>
          <cell r="V44">
            <v>0.212068307854816</v>
          </cell>
          <cell r="W44" t="str">
            <v>正常</v>
          </cell>
          <cell r="X44" t="str">
            <v>正常</v>
          </cell>
          <cell r="Y44">
            <v>8.33</v>
          </cell>
          <cell r="Z44">
            <v>18.82</v>
          </cell>
          <cell r="AA44">
            <v>50.59</v>
          </cell>
          <cell r="AB44">
            <v>0.0771510604797629</v>
          </cell>
        </row>
        <row r="45">
          <cell r="A45" t="str">
            <v>美珠</v>
          </cell>
          <cell r="B45" t="str">
            <v>Y6069</v>
          </cell>
          <cell r="C45" t="str">
            <v>螺纹管适配器 1/2-28 2PC</v>
          </cell>
          <cell r="D45">
            <v>45076</v>
          </cell>
          <cell r="E45" t="str">
            <v>B0C4KGFRHR</v>
          </cell>
          <cell r="F45">
            <v>27</v>
          </cell>
          <cell r="G45">
            <v>0</v>
          </cell>
          <cell r="H45">
            <v>0</v>
          </cell>
          <cell r="I45">
            <v>0</v>
          </cell>
          <cell r="J45">
            <v>0</v>
          </cell>
          <cell r="K45">
            <v>27</v>
          </cell>
          <cell r="L45">
            <v>4</v>
          </cell>
          <cell r="M45">
            <v>108</v>
          </cell>
          <cell r="N45">
            <v>0</v>
          </cell>
          <cell r="O45">
            <v>0</v>
          </cell>
          <cell r="P45">
            <v>0</v>
          </cell>
          <cell r="Q45">
            <v>0</v>
          </cell>
          <cell r="R45">
            <v>0</v>
          </cell>
          <cell r="S45" t="str">
            <v>-</v>
          </cell>
          <cell r="T45" t="str">
            <v>-</v>
          </cell>
          <cell r="U45" t="str">
            <v>-</v>
          </cell>
          <cell r="V45" t="str">
            <v>-</v>
          </cell>
          <cell r="W45" t="str">
            <v>有库存无销量</v>
          </cell>
          <cell r="X45" t="str">
            <v>有库存无销量</v>
          </cell>
          <cell r="Y45">
            <v>0</v>
          </cell>
          <cell r="Z45">
            <v>0</v>
          </cell>
          <cell r="AA45">
            <v>0</v>
          </cell>
          <cell r="AB45" t="str">
            <v>-</v>
          </cell>
        </row>
        <row r="46">
          <cell r="A46" t="str">
            <v>美珠</v>
          </cell>
          <cell r="B46" t="str">
            <v>Y6072-2</v>
          </cell>
          <cell r="C46" t="str">
            <v>战术快拔套 适用Glock 2PC</v>
          </cell>
          <cell r="D46">
            <v>45072</v>
          </cell>
          <cell r="E46" t="str">
            <v>B0C538SY6P</v>
          </cell>
          <cell r="F46">
            <v>11</v>
          </cell>
          <cell r="G46">
            <v>0</v>
          </cell>
          <cell r="H46">
            <v>0</v>
          </cell>
          <cell r="I46">
            <v>0</v>
          </cell>
          <cell r="J46">
            <v>0</v>
          </cell>
          <cell r="K46">
            <v>11</v>
          </cell>
          <cell r="L46">
            <v>6.14</v>
          </cell>
          <cell r="M46">
            <v>67.54</v>
          </cell>
          <cell r="N46">
            <v>2</v>
          </cell>
          <cell r="O46">
            <v>3</v>
          </cell>
          <cell r="P46">
            <v>4</v>
          </cell>
          <cell r="Q46">
            <v>0</v>
          </cell>
          <cell r="R46">
            <v>2</v>
          </cell>
          <cell r="S46">
            <v>53.3076923076923</v>
          </cell>
          <cell r="T46">
            <v>1.77692307692308</v>
          </cell>
          <cell r="U46" t="str">
            <v>-</v>
          </cell>
          <cell r="V46" t="str">
            <v>-</v>
          </cell>
          <cell r="W46" t="str">
            <v>正常</v>
          </cell>
          <cell r="X46" t="str">
            <v>库存过高</v>
          </cell>
          <cell r="Y46">
            <v>2.76</v>
          </cell>
          <cell r="Z46">
            <v>5.9</v>
          </cell>
          <cell r="AA46">
            <v>18.45</v>
          </cell>
          <cell r="AB46">
            <v>0.276276276276276</v>
          </cell>
        </row>
        <row r="47">
          <cell r="A47" t="str">
            <v>美珠</v>
          </cell>
          <cell r="B47" t="str">
            <v>Y6072-3</v>
          </cell>
          <cell r="C47" t="str">
            <v>战术快拔套 适用Glock 3PC</v>
          </cell>
          <cell r="D47">
            <v>45072</v>
          </cell>
          <cell r="E47" t="str">
            <v>B0C537WZP5</v>
          </cell>
          <cell r="F47">
            <v>18</v>
          </cell>
          <cell r="G47">
            <v>0</v>
          </cell>
          <cell r="H47">
            <v>0</v>
          </cell>
          <cell r="I47">
            <v>0</v>
          </cell>
          <cell r="J47">
            <v>0</v>
          </cell>
          <cell r="K47">
            <v>18</v>
          </cell>
          <cell r="L47">
            <v>9.21</v>
          </cell>
          <cell r="M47">
            <v>165.78</v>
          </cell>
          <cell r="N47">
            <v>0</v>
          </cell>
          <cell r="O47">
            <v>0</v>
          </cell>
          <cell r="P47">
            <v>0</v>
          </cell>
          <cell r="Q47">
            <v>0</v>
          </cell>
          <cell r="R47">
            <v>0</v>
          </cell>
          <cell r="S47" t="str">
            <v>-</v>
          </cell>
          <cell r="T47" t="str">
            <v>-</v>
          </cell>
          <cell r="U47">
            <v>54</v>
          </cell>
          <cell r="V47" t="str">
            <v>-</v>
          </cell>
          <cell r="W47" t="str">
            <v>有库存无销量</v>
          </cell>
          <cell r="X47" t="str">
            <v>有库存无销量</v>
          </cell>
          <cell r="Y47">
            <v>0</v>
          </cell>
          <cell r="Z47">
            <v>0.3</v>
          </cell>
          <cell r="AA47">
            <v>4.29</v>
          </cell>
          <cell r="AB47" t="str">
            <v>-</v>
          </cell>
        </row>
        <row r="48">
          <cell r="A48" t="str">
            <v>美珠</v>
          </cell>
          <cell r="B48" t="str">
            <v>Y6073</v>
          </cell>
          <cell r="C48" t="str">
            <v>橡胶防滑套 适用 S&amp;W等型号</v>
          </cell>
          <cell r="D48">
            <v>45072</v>
          </cell>
          <cell r="E48" t="str">
            <v>B0C5375VT7</v>
          </cell>
          <cell r="F48">
            <v>3</v>
          </cell>
          <cell r="G48">
            <v>0</v>
          </cell>
          <cell r="H48">
            <v>0</v>
          </cell>
          <cell r="I48">
            <v>0</v>
          </cell>
          <cell r="J48">
            <v>0</v>
          </cell>
          <cell r="K48">
            <v>3</v>
          </cell>
          <cell r="L48">
            <v>12.2</v>
          </cell>
          <cell r="M48">
            <v>36.6</v>
          </cell>
          <cell r="N48">
            <v>0</v>
          </cell>
          <cell r="O48">
            <v>0</v>
          </cell>
          <cell r="P48">
            <v>0</v>
          </cell>
          <cell r="Q48">
            <v>0</v>
          </cell>
          <cell r="R48">
            <v>0</v>
          </cell>
          <cell r="S48" t="str">
            <v>-</v>
          </cell>
          <cell r="T48" t="str">
            <v>-</v>
          </cell>
          <cell r="U48">
            <v>42</v>
          </cell>
          <cell r="V48" t="str">
            <v>-</v>
          </cell>
          <cell r="W48" t="str">
            <v>有库存无销量</v>
          </cell>
          <cell r="X48" t="str">
            <v>有库存无销量</v>
          </cell>
          <cell r="Y48">
            <v>0</v>
          </cell>
          <cell r="Z48">
            <v>0</v>
          </cell>
          <cell r="AA48">
            <v>0</v>
          </cell>
          <cell r="AB48" t="str">
            <v>-</v>
          </cell>
        </row>
        <row r="49">
          <cell r="A49" t="str">
            <v>美珠</v>
          </cell>
          <cell r="B49" t="str">
            <v>Y6074-BL-1</v>
          </cell>
          <cell r="C49" t="str">
            <v>骷髅格洛克快拔套</v>
          </cell>
          <cell r="D49">
            <v>45072</v>
          </cell>
          <cell r="E49" t="str">
            <v>B0C5395KJN</v>
          </cell>
          <cell r="F49">
            <v>1</v>
          </cell>
          <cell r="G49">
            <v>0</v>
          </cell>
          <cell r="H49">
            <v>0</v>
          </cell>
          <cell r="I49">
            <v>0</v>
          </cell>
          <cell r="J49">
            <v>0</v>
          </cell>
          <cell r="K49">
            <v>1</v>
          </cell>
          <cell r="L49">
            <v>8.64</v>
          </cell>
          <cell r="M49">
            <v>8.64</v>
          </cell>
          <cell r="N49">
            <v>2</v>
          </cell>
          <cell r="O49">
            <v>3</v>
          </cell>
          <cell r="P49">
            <v>4</v>
          </cell>
          <cell r="Q49">
            <v>1</v>
          </cell>
          <cell r="R49">
            <v>1</v>
          </cell>
          <cell r="S49">
            <v>4.84615384615385</v>
          </cell>
          <cell r="T49">
            <v>0.161538461538462</v>
          </cell>
          <cell r="U49">
            <v>1.06329113924051</v>
          </cell>
          <cell r="V49">
            <v>-0.901752677702048</v>
          </cell>
          <cell r="W49" t="str">
            <v>库存过低</v>
          </cell>
          <cell r="X49" t="str">
            <v>库存过低</v>
          </cell>
          <cell r="Y49">
            <v>0</v>
          </cell>
          <cell r="Z49">
            <v>0</v>
          </cell>
          <cell r="AA49">
            <v>0</v>
          </cell>
          <cell r="AB49" t="str">
            <v>-</v>
          </cell>
        </row>
        <row r="50">
          <cell r="A50" t="str">
            <v>美珠</v>
          </cell>
          <cell r="B50" t="str">
            <v>Y6074-BL-2</v>
          </cell>
          <cell r="C50" t="str">
            <v>骷髅格洛克快拔套 2PCS</v>
          </cell>
          <cell r="D50">
            <v>45072</v>
          </cell>
          <cell r="E50" t="str">
            <v>B0C53C8F24</v>
          </cell>
          <cell r="F50">
            <v>19</v>
          </cell>
          <cell r="G50">
            <v>0</v>
          </cell>
          <cell r="H50">
            <v>0</v>
          </cell>
          <cell r="I50">
            <v>0</v>
          </cell>
          <cell r="J50">
            <v>0</v>
          </cell>
          <cell r="K50">
            <v>19</v>
          </cell>
          <cell r="L50">
            <v>17.28</v>
          </cell>
          <cell r="M50">
            <v>328.32</v>
          </cell>
          <cell r="N50">
            <v>4</v>
          </cell>
          <cell r="O50">
            <v>5</v>
          </cell>
          <cell r="P50">
            <v>12</v>
          </cell>
          <cell r="Q50">
            <v>4</v>
          </cell>
          <cell r="R50">
            <v>0</v>
          </cell>
          <cell r="S50">
            <v>43.6861313868613</v>
          </cell>
          <cell r="T50">
            <v>1.45620437956204</v>
          </cell>
          <cell r="U50">
            <v>0.896797153024911</v>
          </cell>
          <cell r="V50">
            <v>0.559407226537133</v>
          </cell>
          <cell r="W50" t="str">
            <v>正常</v>
          </cell>
          <cell r="X50" t="str">
            <v>正常</v>
          </cell>
          <cell r="Y50">
            <v>7.75</v>
          </cell>
          <cell r="Z50">
            <v>20.77</v>
          </cell>
          <cell r="AA50">
            <v>37.11</v>
          </cell>
          <cell r="AB50">
            <v>0.136084284460053</v>
          </cell>
        </row>
        <row r="51">
          <cell r="A51" t="str">
            <v>美珠</v>
          </cell>
          <cell r="B51" t="str">
            <v>Y6074-GA-1</v>
          </cell>
          <cell r="C51" t="str">
            <v>骷髅格洛克快拔套</v>
          </cell>
          <cell r="D51">
            <v>45072</v>
          </cell>
          <cell r="E51" t="str">
            <v>B0C53B2KZ5</v>
          </cell>
          <cell r="F51">
            <v>10</v>
          </cell>
          <cell r="G51">
            <v>0</v>
          </cell>
          <cell r="H51">
            <v>0</v>
          </cell>
          <cell r="I51">
            <v>0</v>
          </cell>
          <cell r="J51">
            <v>0</v>
          </cell>
          <cell r="K51">
            <v>10</v>
          </cell>
          <cell r="L51">
            <v>8.64</v>
          </cell>
          <cell r="M51">
            <v>86.4</v>
          </cell>
          <cell r="N51">
            <v>0</v>
          </cell>
          <cell r="O51">
            <v>0</v>
          </cell>
          <cell r="P51">
            <v>3</v>
          </cell>
          <cell r="Q51">
            <v>1</v>
          </cell>
          <cell r="R51">
            <v>-1</v>
          </cell>
          <cell r="S51">
            <v>300</v>
          </cell>
          <cell r="T51">
            <v>10</v>
          </cell>
          <cell r="U51">
            <v>4.3448275862069</v>
          </cell>
          <cell r="V51">
            <v>5.6551724137931</v>
          </cell>
          <cell r="W51" t="str">
            <v>有库存无销量</v>
          </cell>
          <cell r="X51" t="str">
            <v>库存过高</v>
          </cell>
          <cell r="Y51">
            <v>0</v>
          </cell>
          <cell r="Z51">
            <v>0</v>
          </cell>
          <cell r="AA51">
            <v>0</v>
          </cell>
          <cell r="AB51" t="str">
            <v>-</v>
          </cell>
        </row>
        <row r="52">
          <cell r="A52" t="str">
            <v>美珠</v>
          </cell>
          <cell r="B52" t="str">
            <v>Y6074-GA-2</v>
          </cell>
          <cell r="C52" t="str">
            <v>骷髅格洛克快拔套 2PCS</v>
          </cell>
          <cell r="D52">
            <v>45072</v>
          </cell>
          <cell r="E52" t="str">
            <v>B0C539DWH8</v>
          </cell>
          <cell r="F52">
            <v>7</v>
          </cell>
          <cell r="G52">
            <v>0</v>
          </cell>
          <cell r="H52">
            <v>0</v>
          </cell>
          <cell r="I52">
            <v>0</v>
          </cell>
          <cell r="J52">
            <v>0</v>
          </cell>
          <cell r="K52">
            <v>7</v>
          </cell>
          <cell r="L52">
            <v>17.28</v>
          </cell>
          <cell r="M52">
            <v>120.96</v>
          </cell>
          <cell r="N52">
            <v>0</v>
          </cell>
          <cell r="O52">
            <v>0</v>
          </cell>
          <cell r="P52">
            <v>0</v>
          </cell>
          <cell r="Q52">
            <v>0</v>
          </cell>
          <cell r="R52">
            <v>0</v>
          </cell>
          <cell r="S52" t="str">
            <v>-</v>
          </cell>
          <cell r="T52" t="str">
            <v>-</v>
          </cell>
          <cell r="U52" t="str">
            <v>-</v>
          </cell>
          <cell r="V52" t="str">
            <v>-</v>
          </cell>
          <cell r="W52" t="str">
            <v>有库存无销量</v>
          </cell>
          <cell r="X52" t="str">
            <v>有库存无销量</v>
          </cell>
          <cell r="Y52">
            <v>0</v>
          </cell>
          <cell r="Z52">
            <v>0</v>
          </cell>
          <cell r="AA52">
            <v>0</v>
          </cell>
          <cell r="AB52" t="str">
            <v>-</v>
          </cell>
        </row>
        <row r="53">
          <cell r="A53" t="str">
            <v>美珠</v>
          </cell>
          <cell r="B53" t="str">
            <v>Y6601-BL-1</v>
          </cell>
          <cell r="C53" t="str">
            <v>CA折叠式尼龙光纤瞄准器</v>
          </cell>
          <cell r="D53">
            <v>45133</v>
          </cell>
          <cell r="E53" t="str">
            <v>B0C53L92DN</v>
          </cell>
          <cell r="F53">
            <v>27</v>
          </cell>
          <cell r="G53">
            <v>0</v>
          </cell>
          <cell r="H53">
            <v>0</v>
          </cell>
          <cell r="I53">
            <v>0</v>
          </cell>
          <cell r="J53">
            <v>0</v>
          </cell>
          <cell r="K53">
            <v>27</v>
          </cell>
          <cell r="L53">
            <v>27.307</v>
          </cell>
          <cell r="M53">
            <v>737.289</v>
          </cell>
          <cell r="N53">
            <v>1</v>
          </cell>
          <cell r="O53">
            <v>1</v>
          </cell>
          <cell r="P53">
            <v>3</v>
          </cell>
          <cell r="Q53">
            <v>1</v>
          </cell>
          <cell r="R53">
            <v>0</v>
          </cell>
          <cell r="S53">
            <v>261.692307692308</v>
          </cell>
          <cell r="T53">
            <v>8.72307692307692</v>
          </cell>
          <cell r="U53">
            <v>4.51111111111111</v>
          </cell>
          <cell r="V53">
            <v>4.21196581196581</v>
          </cell>
          <cell r="W53" t="str">
            <v>库存过高</v>
          </cell>
          <cell r="X53" t="str">
            <v>库存过高</v>
          </cell>
          <cell r="Y53">
            <v>0</v>
          </cell>
          <cell r="Z53">
            <v>0</v>
          </cell>
          <cell r="AA53">
            <v>0</v>
          </cell>
          <cell r="AB53" t="str">
            <v>-</v>
          </cell>
        </row>
        <row r="54">
          <cell r="A54" t="str">
            <v>美珠</v>
          </cell>
          <cell r="B54" t="str">
            <v>Y6601-SC-1</v>
          </cell>
          <cell r="C54" t="str">
            <v>CA折叠光纤瞄准星</v>
          </cell>
          <cell r="D54">
            <v>45133</v>
          </cell>
          <cell r="E54" t="str">
            <v>B0C53KLFLS</v>
          </cell>
          <cell r="F54">
            <v>11</v>
          </cell>
          <cell r="G54">
            <v>0</v>
          </cell>
          <cell r="H54">
            <v>0</v>
          </cell>
          <cell r="I54">
            <v>0</v>
          </cell>
          <cell r="J54">
            <v>0</v>
          </cell>
          <cell r="K54">
            <v>11</v>
          </cell>
          <cell r="L54">
            <v>27.511</v>
          </cell>
          <cell r="M54">
            <v>302.621</v>
          </cell>
          <cell r="N54">
            <v>0</v>
          </cell>
          <cell r="O54">
            <v>1</v>
          </cell>
          <cell r="P54">
            <v>2</v>
          </cell>
          <cell r="Q54">
            <v>0</v>
          </cell>
          <cell r="R54">
            <v>0</v>
          </cell>
          <cell r="S54">
            <v>247.5</v>
          </cell>
          <cell r="T54">
            <v>8.25</v>
          </cell>
          <cell r="U54">
            <v>39</v>
          </cell>
          <cell r="V54">
            <v>-30.75</v>
          </cell>
          <cell r="W54" t="str">
            <v>有库存无销量</v>
          </cell>
          <cell r="X54" t="str">
            <v>库存过高</v>
          </cell>
          <cell r="Y54">
            <v>0</v>
          </cell>
          <cell r="Z54">
            <v>0</v>
          </cell>
          <cell r="AA54">
            <v>0</v>
          </cell>
          <cell r="AB54" t="str">
            <v>-</v>
          </cell>
        </row>
        <row r="55">
          <cell r="A55" t="str">
            <v>美珠</v>
          </cell>
          <cell r="B55" t="str">
            <v>Y6603-RE</v>
          </cell>
          <cell r="C55" t="str">
            <v>CA红/绿光纤瞄准具 for Taurus-非夜光款</v>
          </cell>
          <cell r="D55">
            <v>45133</v>
          </cell>
          <cell r="E55" t="str">
            <v>B0C5917NZF</v>
          </cell>
          <cell r="F55">
            <v>26</v>
          </cell>
          <cell r="G55">
            <v>0</v>
          </cell>
          <cell r="H55">
            <v>0</v>
          </cell>
          <cell r="I55">
            <v>0</v>
          </cell>
          <cell r="J55">
            <v>0</v>
          </cell>
          <cell r="K55">
            <v>26</v>
          </cell>
          <cell r="L55">
            <v>30.576</v>
          </cell>
          <cell r="M55">
            <v>794.976</v>
          </cell>
          <cell r="N55">
            <v>0</v>
          </cell>
          <cell r="O55">
            <v>0</v>
          </cell>
          <cell r="P55">
            <v>0</v>
          </cell>
          <cell r="Q55">
            <v>0</v>
          </cell>
          <cell r="R55">
            <v>0</v>
          </cell>
          <cell r="S55" t="str">
            <v>-</v>
          </cell>
          <cell r="T55" t="str">
            <v>-</v>
          </cell>
          <cell r="U55" t="str">
            <v>-</v>
          </cell>
          <cell r="V55" t="str">
            <v>-</v>
          </cell>
          <cell r="W55" t="str">
            <v>有库存无销量</v>
          </cell>
          <cell r="X55" t="str">
            <v>有库存无销量</v>
          </cell>
          <cell r="Y55">
            <v>0</v>
          </cell>
          <cell r="Z55">
            <v>0</v>
          </cell>
          <cell r="AA55">
            <v>0</v>
          </cell>
          <cell r="AB55" t="str">
            <v>-</v>
          </cell>
        </row>
        <row r="56">
          <cell r="A56" t="str">
            <v>美珠</v>
          </cell>
          <cell r="B56" t="str">
            <v>Y6603-GR</v>
          </cell>
          <cell r="C56" t="str">
            <v>CA红/绿光纤瞄准具 for Taurus-非夜光款</v>
          </cell>
          <cell r="D56">
            <v>45133</v>
          </cell>
          <cell r="E56" t="str">
            <v>B0C7Q2NKB4</v>
          </cell>
          <cell r="F56">
            <v>20</v>
          </cell>
          <cell r="G56">
            <v>0</v>
          </cell>
          <cell r="H56">
            <v>0</v>
          </cell>
          <cell r="I56">
            <v>0</v>
          </cell>
          <cell r="J56">
            <v>0</v>
          </cell>
          <cell r="K56">
            <v>20</v>
          </cell>
          <cell r="L56">
            <v>30.576</v>
          </cell>
          <cell r="M56">
            <v>611.52</v>
          </cell>
          <cell r="N56">
            <v>0</v>
          </cell>
          <cell r="O56">
            <v>0</v>
          </cell>
          <cell r="P56">
            <v>0</v>
          </cell>
          <cell r="Q56">
            <v>0</v>
          </cell>
          <cell r="R56">
            <v>0</v>
          </cell>
          <cell r="S56" t="str">
            <v>-</v>
          </cell>
          <cell r="T56" t="str">
            <v>-</v>
          </cell>
          <cell r="U56">
            <v>60</v>
          </cell>
          <cell r="V56" t="str">
            <v>-</v>
          </cell>
          <cell r="W56" t="str">
            <v>有库存无销量</v>
          </cell>
          <cell r="X56" t="str">
            <v>有库存无销量</v>
          </cell>
          <cell r="Y56">
            <v>0</v>
          </cell>
          <cell r="Z56">
            <v>0</v>
          </cell>
          <cell r="AA56">
            <v>0</v>
          </cell>
          <cell r="AB56" t="str">
            <v>-</v>
          </cell>
        </row>
        <row r="57">
          <cell r="A57" t="str">
            <v>美珠</v>
          </cell>
          <cell r="B57" t="str">
            <v>Y6604</v>
          </cell>
          <cell r="C57" t="str">
            <v>CA红/绿光纤瞄准具 for Taurus-夜光款</v>
          </cell>
          <cell r="D57">
            <v>45133</v>
          </cell>
          <cell r="E57" t="str">
            <v>B0C7Q2KKWK</v>
          </cell>
          <cell r="F57">
            <v>17</v>
          </cell>
          <cell r="G57">
            <v>0</v>
          </cell>
          <cell r="H57">
            <v>0</v>
          </cell>
          <cell r="I57">
            <v>0</v>
          </cell>
          <cell r="J57">
            <v>0</v>
          </cell>
          <cell r="K57">
            <v>17</v>
          </cell>
          <cell r="L57">
            <v>30.576</v>
          </cell>
          <cell r="M57">
            <v>519.792</v>
          </cell>
          <cell r="N57">
            <v>0</v>
          </cell>
          <cell r="O57">
            <v>0</v>
          </cell>
          <cell r="P57">
            <v>0</v>
          </cell>
          <cell r="Q57">
            <v>0</v>
          </cell>
          <cell r="R57">
            <v>0</v>
          </cell>
          <cell r="S57" t="str">
            <v>-</v>
          </cell>
          <cell r="T57" t="str">
            <v>-</v>
          </cell>
          <cell r="U57">
            <v>25.5</v>
          </cell>
          <cell r="V57" t="str">
            <v>-</v>
          </cell>
          <cell r="W57" t="str">
            <v>有库存无销量</v>
          </cell>
          <cell r="X57" t="str">
            <v>有库存无销量</v>
          </cell>
          <cell r="Y57">
            <v>0</v>
          </cell>
          <cell r="Z57">
            <v>0</v>
          </cell>
          <cell r="AA57">
            <v>0</v>
          </cell>
          <cell r="AB57" t="str">
            <v>-</v>
          </cell>
        </row>
        <row r="58">
          <cell r="A58" t="str">
            <v>美珠</v>
          </cell>
          <cell r="B58" t="str">
            <v>Y6602-SC</v>
          </cell>
          <cell r="C58" t="str">
            <v>CA尼龙前后准星 机械瞄 2代准星 泥色（带扳手）</v>
          </cell>
          <cell r="D58">
            <v>45133</v>
          </cell>
          <cell r="E58" t="str">
            <v>B0C591KJLL</v>
          </cell>
          <cell r="F58">
            <v>6</v>
          </cell>
          <cell r="G58">
            <v>0</v>
          </cell>
          <cell r="H58">
            <v>0</v>
          </cell>
          <cell r="I58">
            <v>0</v>
          </cell>
          <cell r="J58">
            <v>0</v>
          </cell>
          <cell r="K58">
            <v>6</v>
          </cell>
          <cell r="L58">
            <v>32.333</v>
          </cell>
          <cell r="M58">
            <v>193.998</v>
          </cell>
          <cell r="N58">
            <v>0</v>
          </cell>
          <cell r="O58">
            <v>0</v>
          </cell>
          <cell r="P58">
            <v>2</v>
          </cell>
          <cell r="Q58">
            <v>0</v>
          </cell>
          <cell r="R58">
            <v>0</v>
          </cell>
          <cell r="S58">
            <v>270</v>
          </cell>
          <cell r="T58">
            <v>9</v>
          </cell>
          <cell r="U58">
            <v>8</v>
          </cell>
          <cell r="V58">
            <v>1</v>
          </cell>
          <cell r="W58" t="str">
            <v>有库存无销量</v>
          </cell>
          <cell r="X58" t="str">
            <v>库存过高</v>
          </cell>
          <cell r="Y58">
            <v>0</v>
          </cell>
          <cell r="Z58">
            <v>0</v>
          </cell>
          <cell r="AA58">
            <v>0</v>
          </cell>
          <cell r="AB58" t="str">
            <v>-</v>
          </cell>
        </row>
        <row r="59">
          <cell r="A59" t="str">
            <v>美珠</v>
          </cell>
          <cell r="B59" t="str">
            <v>Y6606-BL</v>
          </cell>
          <cell r="C59" t="str">
            <v>CA Glock铝合金握把底座配件- G19 Gen5 黑色</v>
          </cell>
          <cell r="D59">
            <v>45133</v>
          </cell>
          <cell r="E59" t="str">
            <v>B0C7QHCQVY</v>
          </cell>
          <cell r="F59">
            <v>19</v>
          </cell>
          <cell r="G59">
            <v>0</v>
          </cell>
          <cell r="H59">
            <v>0</v>
          </cell>
          <cell r="I59">
            <v>0</v>
          </cell>
          <cell r="J59">
            <v>0</v>
          </cell>
          <cell r="K59">
            <v>19</v>
          </cell>
          <cell r="L59">
            <v>34.089</v>
          </cell>
          <cell r="M59">
            <v>647.691</v>
          </cell>
          <cell r="N59">
            <v>0</v>
          </cell>
          <cell r="O59">
            <v>0</v>
          </cell>
          <cell r="P59">
            <v>0</v>
          </cell>
          <cell r="Q59">
            <v>0</v>
          </cell>
          <cell r="R59">
            <v>0</v>
          </cell>
          <cell r="S59" t="str">
            <v>-</v>
          </cell>
          <cell r="T59" t="str">
            <v>-</v>
          </cell>
          <cell r="U59" t="str">
            <v>-</v>
          </cell>
          <cell r="V59" t="str">
            <v>-</v>
          </cell>
          <cell r="W59" t="str">
            <v>有库存无销量</v>
          </cell>
          <cell r="X59" t="str">
            <v>有库存无销量</v>
          </cell>
          <cell r="Y59">
            <v>0</v>
          </cell>
          <cell r="Z59">
            <v>0</v>
          </cell>
          <cell r="AA59">
            <v>0</v>
          </cell>
          <cell r="AB59" t="str">
            <v>-</v>
          </cell>
        </row>
        <row r="60">
          <cell r="A60" t="str">
            <v>美珠</v>
          </cell>
          <cell r="B60" t="str">
            <v>Y6606-RE</v>
          </cell>
          <cell r="C60" t="str">
            <v>CA  Glock铝合金握把底座配件- G19 Gen5</v>
          </cell>
          <cell r="D60">
            <v>45133</v>
          </cell>
          <cell r="E60" t="str">
            <v>B0C7QKPRR2</v>
          </cell>
          <cell r="F60">
            <v>15</v>
          </cell>
          <cell r="G60">
            <v>0</v>
          </cell>
          <cell r="H60">
            <v>0</v>
          </cell>
          <cell r="I60">
            <v>0</v>
          </cell>
          <cell r="J60">
            <v>0</v>
          </cell>
          <cell r="K60">
            <v>15</v>
          </cell>
          <cell r="L60">
            <v>34.089</v>
          </cell>
          <cell r="M60">
            <v>511.335</v>
          </cell>
          <cell r="N60">
            <v>0</v>
          </cell>
          <cell r="O60">
            <v>0</v>
          </cell>
          <cell r="P60">
            <v>0</v>
          </cell>
          <cell r="Q60">
            <v>0</v>
          </cell>
          <cell r="R60">
            <v>0</v>
          </cell>
          <cell r="S60" t="str">
            <v>-</v>
          </cell>
          <cell r="T60" t="str">
            <v>-</v>
          </cell>
          <cell r="U60" t="str">
            <v>-</v>
          </cell>
          <cell r="V60" t="str">
            <v>-</v>
          </cell>
          <cell r="W60" t="str">
            <v>有库存无销量</v>
          </cell>
          <cell r="X60" t="str">
            <v>有库存无销量</v>
          </cell>
          <cell r="Y60">
            <v>0</v>
          </cell>
          <cell r="Z60">
            <v>0</v>
          </cell>
          <cell r="AA60">
            <v>0</v>
          </cell>
          <cell r="AB60" t="str">
            <v>-</v>
          </cell>
        </row>
        <row r="61">
          <cell r="A61" t="str">
            <v>美珠</v>
          </cell>
          <cell r="B61" t="str">
            <v>Y6608-GR</v>
          </cell>
          <cell r="C61" t="str">
            <v>CA Glock格洛克 夜光机瞄green</v>
          </cell>
          <cell r="D61">
            <v>45133</v>
          </cell>
          <cell r="E61" t="str">
            <v>B0C8NCNYPN</v>
          </cell>
          <cell r="F61">
            <v>18</v>
          </cell>
          <cell r="G61">
            <v>0</v>
          </cell>
          <cell r="H61">
            <v>0</v>
          </cell>
          <cell r="I61">
            <v>0</v>
          </cell>
          <cell r="J61">
            <v>0</v>
          </cell>
          <cell r="K61">
            <v>18</v>
          </cell>
          <cell r="L61">
            <v>26.013</v>
          </cell>
          <cell r="M61">
            <v>468.234</v>
          </cell>
          <cell r="N61">
            <v>0</v>
          </cell>
          <cell r="O61">
            <v>0</v>
          </cell>
          <cell r="P61">
            <v>0</v>
          </cell>
          <cell r="Q61">
            <v>0</v>
          </cell>
          <cell r="R61">
            <v>0</v>
          </cell>
          <cell r="S61" t="str">
            <v>-</v>
          </cell>
          <cell r="T61" t="str">
            <v>-</v>
          </cell>
          <cell r="U61" t="str">
            <v>-</v>
          </cell>
          <cell r="V61" t="str">
            <v>-</v>
          </cell>
          <cell r="W61" t="str">
            <v>有库存无销量</v>
          </cell>
          <cell r="X61" t="str">
            <v>有库存无销量</v>
          </cell>
          <cell r="Y61">
            <v>0</v>
          </cell>
          <cell r="Z61">
            <v>0</v>
          </cell>
          <cell r="AA61">
            <v>0</v>
          </cell>
          <cell r="AB61" t="str">
            <v>-</v>
          </cell>
        </row>
        <row r="62">
          <cell r="A62" t="str">
            <v>美珠</v>
          </cell>
          <cell r="B62" t="str">
            <v>Y6609-RE</v>
          </cell>
          <cell r="C62" t="str">
            <v>CA Glock铝合金握把底座配件- G19 Gen3/4</v>
          </cell>
          <cell r="D62">
            <v>45133</v>
          </cell>
          <cell r="E62" t="str">
            <v>B0C8NG6FF9</v>
          </cell>
          <cell r="F62">
            <v>15</v>
          </cell>
          <cell r="G62">
            <v>0</v>
          </cell>
          <cell r="H62">
            <v>0</v>
          </cell>
          <cell r="I62">
            <v>0</v>
          </cell>
          <cell r="J62">
            <v>0</v>
          </cell>
          <cell r="K62">
            <v>15</v>
          </cell>
          <cell r="L62">
            <v>31.089</v>
          </cell>
          <cell r="M62">
            <v>466.335</v>
          </cell>
          <cell r="N62">
            <v>0</v>
          </cell>
          <cell r="O62">
            <v>0</v>
          </cell>
          <cell r="P62">
            <v>0</v>
          </cell>
          <cell r="Q62">
            <v>0</v>
          </cell>
          <cell r="R62">
            <v>0</v>
          </cell>
          <cell r="S62" t="str">
            <v>-</v>
          </cell>
          <cell r="T62" t="str">
            <v>-</v>
          </cell>
          <cell r="U62" t="str">
            <v>-</v>
          </cell>
          <cell r="V62" t="str">
            <v>-</v>
          </cell>
          <cell r="W62" t="str">
            <v>有库存无销量</v>
          </cell>
          <cell r="X62" t="str">
            <v>有库存无销量</v>
          </cell>
          <cell r="Y62">
            <v>0</v>
          </cell>
          <cell r="Z62">
            <v>0</v>
          </cell>
          <cell r="AA62">
            <v>0</v>
          </cell>
          <cell r="AB62" t="str">
            <v>-</v>
          </cell>
        </row>
        <row r="63">
          <cell r="A63" t="str">
            <v>美珠</v>
          </cell>
          <cell r="B63" t="str">
            <v>Y6609-BL</v>
          </cell>
          <cell r="C63" t="str">
            <v>CA  Glock铝合金握把底座配件- G19 Gen3/4</v>
          </cell>
          <cell r="D63">
            <v>45133</v>
          </cell>
          <cell r="E63" t="str">
            <v>B0C8NG1CBP</v>
          </cell>
          <cell r="F63">
            <v>25</v>
          </cell>
          <cell r="G63">
            <v>0</v>
          </cell>
          <cell r="H63">
            <v>0</v>
          </cell>
          <cell r="I63">
            <v>0</v>
          </cell>
          <cell r="J63">
            <v>0</v>
          </cell>
          <cell r="K63">
            <v>25</v>
          </cell>
          <cell r="L63">
            <v>31.089</v>
          </cell>
          <cell r="M63">
            <v>777.225</v>
          </cell>
          <cell r="N63">
            <v>0</v>
          </cell>
          <cell r="O63">
            <v>0</v>
          </cell>
          <cell r="P63">
            <v>0</v>
          </cell>
          <cell r="Q63">
            <v>0</v>
          </cell>
          <cell r="R63">
            <v>0</v>
          </cell>
          <cell r="S63" t="str">
            <v>-</v>
          </cell>
          <cell r="T63" t="str">
            <v>-</v>
          </cell>
          <cell r="U63" t="str">
            <v>-</v>
          </cell>
          <cell r="V63" t="str">
            <v>-</v>
          </cell>
          <cell r="W63" t="str">
            <v>有库存无销量</v>
          </cell>
          <cell r="X63" t="str">
            <v>有库存无销量</v>
          </cell>
          <cell r="Y63">
            <v>0</v>
          </cell>
          <cell r="Z63">
            <v>0</v>
          </cell>
          <cell r="AA63">
            <v>0</v>
          </cell>
          <cell r="AB63" t="str">
            <v>-</v>
          </cell>
        </row>
        <row r="64">
          <cell r="A64" t="str">
            <v>美珠</v>
          </cell>
          <cell r="B64" t="str">
            <v>Y6610-BL</v>
          </cell>
          <cell r="C64" t="str">
            <v>CA Glock铝合金握把底座配件- G17 Gen3/4</v>
          </cell>
          <cell r="D64">
            <v>45133</v>
          </cell>
          <cell r="E64" t="str">
            <v>B0C8TBFVQW</v>
          </cell>
          <cell r="F64">
            <v>20</v>
          </cell>
          <cell r="G64">
            <v>0</v>
          </cell>
          <cell r="H64">
            <v>0</v>
          </cell>
          <cell r="I64">
            <v>0</v>
          </cell>
          <cell r="J64">
            <v>0</v>
          </cell>
          <cell r="K64">
            <v>20</v>
          </cell>
          <cell r="L64">
            <v>32.089</v>
          </cell>
          <cell r="M64">
            <v>641.78</v>
          </cell>
          <cell r="N64">
            <v>0</v>
          </cell>
          <cell r="O64">
            <v>0</v>
          </cell>
          <cell r="P64">
            <v>0</v>
          </cell>
          <cell r="Q64">
            <v>0</v>
          </cell>
          <cell r="R64">
            <v>0</v>
          </cell>
          <cell r="S64" t="str">
            <v>-</v>
          </cell>
          <cell r="T64" t="str">
            <v>-</v>
          </cell>
          <cell r="U64" t="str">
            <v>-</v>
          </cell>
          <cell r="V64" t="str">
            <v>-</v>
          </cell>
          <cell r="W64" t="str">
            <v>有库存无销量</v>
          </cell>
          <cell r="X64" t="str">
            <v>有库存无销量</v>
          </cell>
          <cell r="Y64">
            <v>0</v>
          </cell>
          <cell r="Z64">
            <v>0</v>
          </cell>
          <cell r="AA64">
            <v>0</v>
          </cell>
          <cell r="AB64" t="str">
            <v>-</v>
          </cell>
        </row>
        <row r="65">
          <cell r="A65" t="str">
            <v>美珠</v>
          </cell>
          <cell r="B65" t="str">
            <v>Y6610-RE</v>
          </cell>
          <cell r="C65" t="str">
            <v>CA Glock铝合金握把底座配件- G17 Gen3/4</v>
          </cell>
          <cell r="D65">
            <v>45133</v>
          </cell>
          <cell r="E65" t="str">
            <v>B0C8TFSWR3</v>
          </cell>
          <cell r="F65">
            <v>11</v>
          </cell>
          <cell r="G65">
            <v>0</v>
          </cell>
          <cell r="H65">
            <v>0</v>
          </cell>
          <cell r="I65">
            <v>0</v>
          </cell>
          <cell r="J65">
            <v>0</v>
          </cell>
          <cell r="K65">
            <v>11</v>
          </cell>
          <cell r="L65">
            <v>32.089</v>
          </cell>
          <cell r="M65">
            <v>352.979</v>
          </cell>
          <cell r="N65">
            <v>0</v>
          </cell>
          <cell r="O65">
            <v>0</v>
          </cell>
          <cell r="P65">
            <v>0</v>
          </cell>
          <cell r="Q65">
            <v>0</v>
          </cell>
          <cell r="R65">
            <v>0</v>
          </cell>
          <cell r="S65" t="str">
            <v>-</v>
          </cell>
          <cell r="T65" t="str">
            <v>-</v>
          </cell>
          <cell r="U65" t="str">
            <v>-</v>
          </cell>
          <cell r="V65" t="str">
            <v>-</v>
          </cell>
          <cell r="W65" t="str">
            <v>有库存无销量</v>
          </cell>
          <cell r="X65" t="str">
            <v>有库存无销量</v>
          </cell>
          <cell r="Y65">
            <v>0</v>
          </cell>
          <cell r="Z65">
            <v>0</v>
          </cell>
          <cell r="AA65">
            <v>0</v>
          </cell>
          <cell r="AB65" t="str">
            <v>-</v>
          </cell>
        </row>
        <row r="66">
          <cell r="A66" t="str">
            <v>美珠</v>
          </cell>
          <cell r="B66" t="str">
            <v>Y6611</v>
          </cell>
          <cell r="C66" t="str">
            <v>CA 橡胶防滑套 适合Taurus</v>
          </cell>
          <cell r="D66">
            <v>45133</v>
          </cell>
          <cell r="E66" t="str">
            <v>B0C8TJHWYW</v>
          </cell>
          <cell r="F66">
            <v>15</v>
          </cell>
          <cell r="G66">
            <v>0</v>
          </cell>
          <cell r="H66">
            <v>0</v>
          </cell>
          <cell r="I66">
            <v>0</v>
          </cell>
          <cell r="J66">
            <v>0</v>
          </cell>
          <cell r="K66">
            <v>15</v>
          </cell>
          <cell r="L66">
            <v>10.114</v>
          </cell>
          <cell r="M66">
            <v>151.71</v>
          </cell>
          <cell r="N66">
            <v>0</v>
          </cell>
          <cell r="O66">
            <v>0</v>
          </cell>
          <cell r="P66">
            <v>0</v>
          </cell>
          <cell r="Q66">
            <v>0</v>
          </cell>
          <cell r="R66">
            <v>0</v>
          </cell>
          <cell r="S66" t="str">
            <v>-</v>
          </cell>
          <cell r="T66" t="str">
            <v>-</v>
          </cell>
          <cell r="U66" t="str">
            <v>-</v>
          </cell>
          <cell r="V66" t="str">
            <v>-</v>
          </cell>
          <cell r="W66" t="str">
            <v>有库存无销量</v>
          </cell>
          <cell r="X66" t="str">
            <v>有库存无销量</v>
          </cell>
          <cell r="Y66">
            <v>0</v>
          </cell>
          <cell r="Z66">
            <v>0</v>
          </cell>
          <cell r="AA66">
            <v>0.83</v>
          </cell>
          <cell r="AB66" t="str">
            <v>-</v>
          </cell>
        </row>
        <row r="67">
          <cell r="A67" t="str">
            <v>美珠</v>
          </cell>
          <cell r="B67" t="str">
            <v>Y6612-BL</v>
          </cell>
          <cell r="C67" t="str">
            <v>CA  橡胶防滑套 握把套 For P365 黑色</v>
          </cell>
          <cell r="D67">
            <v>45133</v>
          </cell>
          <cell r="E67" t="str">
            <v>B0C8TGWXKP</v>
          </cell>
          <cell r="F67">
            <v>15</v>
          </cell>
          <cell r="G67">
            <v>0</v>
          </cell>
          <cell r="H67">
            <v>0</v>
          </cell>
          <cell r="I67">
            <v>0</v>
          </cell>
          <cell r="J67">
            <v>0</v>
          </cell>
          <cell r="K67">
            <v>15</v>
          </cell>
          <cell r="L67">
            <v>9.044</v>
          </cell>
          <cell r="M67">
            <v>135.66</v>
          </cell>
          <cell r="N67">
            <v>0</v>
          </cell>
          <cell r="O67">
            <v>0</v>
          </cell>
          <cell r="P67">
            <v>0</v>
          </cell>
          <cell r="Q67">
            <v>0</v>
          </cell>
          <cell r="R67">
            <v>0</v>
          </cell>
          <cell r="S67" t="str">
            <v>-</v>
          </cell>
          <cell r="T67" t="str">
            <v>-</v>
          </cell>
          <cell r="U67" t="str">
            <v>-</v>
          </cell>
          <cell r="V67" t="str">
            <v>-</v>
          </cell>
          <cell r="W67" t="str">
            <v>有库存无销量</v>
          </cell>
          <cell r="X67" t="str">
            <v>有库存无销量</v>
          </cell>
          <cell r="Y67">
            <v>1.98</v>
          </cell>
          <cell r="Z67">
            <v>2.6</v>
          </cell>
          <cell r="AA67">
            <v>3.75</v>
          </cell>
          <cell r="AB67" t="str">
            <v>-</v>
          </cell>
        </row>
        <row r="68">
          <cell r="A68" t="str">
            <v>美珠</v>
          </cell>
          <cell r="B68" t="str">
            <v>Y6612-GR</v>
          </cell>
          <cell r="C68" t="str">
            <v>CA 橡胶防滑套 握把套 For P365 绿色</v>
          </cell>
          <cell r="D68">
            <v>45133</v>
          </cell>
          <cell r="E68" t="str">
            <v>B0C8TK61RY</v>
          </cell>
          <cell r="F68">
            <v>15</v>
          </cell>
          <cell r="G68">
            <v>0</v>
          </cell>
          <cell r="H68">
            <v>0</v>
          </cell>
          <cell r="I68">
            <v>0</v>
          </cell>
          <cell r="J68">
            <v>0</v>
          </cell>
          <cell r="K68">
            <v>15</v>
          </cell>
          <cell r="L68">
            <v>9.044</v>
          </cell>
          <cell r="M68">
            <v>135.66</v>
          </cell>
          <cell r="N68">
            <v>0</v>
          </cell>
          <cell r="O68">
            <v>0</v>
          </cell>
          <cell r="P68">
            <v>0</v>
          </cell>
          <cell r="Q68">
            <v>0</v>
          </cell>
          <cell r="R68">
            <v>0</v>
          </cell>
          <cell r="S68" t="str">
            <v>-</v>
          </cell>
          <cell r="T68" t="str">
            <v>-</v>
          </cell>
          <cell r="U68" t="str">
            <v>-</v>
          </cell>
          <cell r="V68" t="str">
            <v>-</v>
          </cell>
          <cell r="W68" t="str">
            <v>有库存无销量</v>
          </cell>
          <cell r="X68" t="str">
            <v>有库存无销量</v>
          </cell>
          <cell r="Y68">
            <v>0</v>
          </cell>
          <cell r="Z68">
            <v>0</v>
          </cell>
          <cell r="AA68">
            <v>0.54</v>
          </cell>
          <cell r="AB68" t="str">
            <v>-</v>
          </cell>
        </row>
        <row r="69">
          <cell r="A69" t="str">
            <v>美珠</v>
          </cell>
          <cell r="B69" t="str">
            <v>Y6612-SC</v>
          </cell>
          <cell r="C69" t="str">
            <v>CA橡胶防滑套 握把套 For P365 沙色</v>
          </cell>
          <cell r="D69">
            <v>45133</v>
          </cell>
          <cell r="E69" t="str">
            <v>B0C8TL4Z9N</v>
          </cell>
          <cell r="F69">
            <v>14</v>
          </cell>
          <cell r="G69">
            <v>0</v>
          </cell>
          <cell r="H69">
            <v>0</v>
          </cell>
          <cell r="I69">
            <v>0</v>
          </cell>
          <cell r="J69">
            <v>0</v>
          </cell>
          <cell r="K69">
            <v>14</v>
          </cell>
          <cell r="L69">
            <v>9.044</v>
          </cell>
          <cell r="M69">
            <v>126.616</v>
          </cell>
          <cell r="N69">
            <v>0</v>
          </cell>
          <cell r="O69">
            <v>0</v>
          </cell>
          <cell r="P69">
            <v>0</v>
          </cell>
          <cell r="Q69">
            <v>0</v>
          </cell>
          <cell r="R69">
            <v>0</v>
          </cell>
          <cell r="S69" t="str">
            <v>-</v>
          </cell>
          <cell r="T69" t="str">
            <v>-</v>
          </cell>
          <cell r="U69" t="str">
            <v>-</v>
          </cell>
          <cell r="V69" t="str">
            <v>-</v>
          </cell>
          <cell r="W69" t="str">
            <v>有库存无销量</v>
          </cell>
          <cell r="X69" t="str">
            <v>有库存无销量</v>
          </cell>
          <cell r="Y69">
            <v>0</v>
          </cell>
          <cell r="Z69">
            <v>0</v>
          </cell>
          <cell r="AA69">
            <v>0</v>
          </cell>
          <cell r="AB69" t="str">
            <v>-</v>
          </cell>
        </row>
        <row r="70">
          <cell r="A70" t="str">
            <v>美珠</v>
          </cell>
          <cell r="B70" t="str">
            <v>Y6607</v>
          </cell>
          <cell r="C70" t="str">
            <v> CA铝合金20mm快拆导轨</v>
          </cell>
          <cell r="D70">
            <v>45133</v>
          </cell>
          <cell r="E70" t="str">
            <v>B0C7QMMR68</v>
          </cell>
          <cell r="F70">
            <v>22</v>
          </cell>
          <cell r="G70">
            <v>1</v>
          </cell>
          <cell r="H70">
            <v>1</v>
          </cell>
          <cell r="I70">
            <v>0</v>
          </cell>
          <cell r="J70">
            <v>0</v>
          </cell>
          <cell r="K70">
            <v>24</v>
          </cell>
          <cell r="L70">
            <v>42.375</v>
          </cell>
          <cell r="M70">
            <v>1017</v>
          </cell>
          <cell r="N70">
            <v>3</v>
          </cell>
          <cell r="O70">
            <v>5</v>
          </cell>
          <cell r="P70">
            <v>12</v>
          </cell>
          <cell r="Q70">
            <v>3</v>
          </cell>
          <cell r="R70">
            <v>0</v>
          </cell>
          <cell r="S70">
            <v>61.9672131147541</v>
          </cell>
          <cell r="T70">
            <v>2.0655737704918</v>
          </cell>
          <cell r="U70">
            <v>3.57446808510638</v>
          </cell>
          <cell r="V70">
            <v>-1.50889431461458</v>
          </cell>
          <cell r="W70" t="str">
            <v>库存过高</v>
          </cell>
          <cell r="X70" t="str">
            <v>库存过高</v>
          </cell>
          <cell r="Y70">
            <v>25.74</v>
          </cell>
          <cell r="Z70">
            <v>48.9</v>
          </cell>
          <cell r="AA70">
            <v>94.54</v>
          </cell>
          <cell r="AB70">
            <v>0.306501547987616</v>
          </cell>
        </row>
        <row r="71">
          <cell r="A71" t="str">
            <v>美珠</v>
          </cell>
          <cell r="B71" t="str">
            <v>Y6006-WH</v>
          </cell>
          <cell r="C71" t="str">
            <v>智能针式食品触屏温度计   白色</v>
          </cell>
          <cell r="D71">
            <v>44667</v>
          </cell>
          <cell r="E71" t="str">
            <v>B09V551CZ3</v>
          </cell>
          <cell r="F71">
            <v>2</v>
          </cell>
          <cell r="G71">
            <v>0</v>
          </cell>
          <cell r="H71">
            <v>0</v>
          </cell>
          <cell r="I71">
            <v>0</v>
          </cell>
          <cell r="J71">
            <v>0</v>
          </cell>
          <cell r="K71">
            <v>2</v>
          </cell>
          <cell r="L71">
            <v>31.356</v>
          </cell>
          <cell r="M71">
            <v>62.712</v>
          </cell>
          <cell r="N71">
            <v>1</v>
          </cell>
          <cell r="O71">
            <v>1</v>
          </cell>
          <cell r="P71">
            <v>1</v>
          </cell>
          <cell r="Q71">
            <v>0</v>
          </cell>
          <cell r="R71">
            <v>1</v>
          </cell>
          <cell r="S71">
            <v>24.7058823529412</v>
          </cell>
          <cell r="T71">
            <v>0.823529411764706</v>
          </cell>
          <cell r="U71" t="str">
            <v>-</v>
          </cell>
          <cell r="V71" t="str">
            <v>-</v>
          </cell>
          <cell r="W71" t="str">
            <v>库存过低</v>
          </cell>
          <cell r="X71" t="str">
            <v>正常</v>
          </cell>
          <cell r="Y71">
            <v>0</v>
          </cell>
          <cell r="Z71">
            <v>0</v>
          </cell>
          <cell r="AA71">
            <v>0</v>
          </cell>
          <cell r="AB71" t="str">
            <v>-</v>
          </cell>
        </row>
        <row r="72">
          <cell r="A72" t="str">
            <v>美珠</v>
          </cell>
          <cell r="B72" t="str">
            <v>Y6042</v>
          </cell>
          <cell r="C72" t="str">
            <v>Y6009 Y6010产品搭配工具</v>
          </cell>
          <cell r="D72">
            <v>45132</v>
          </cell>
          <cell r="E72" t="str">
            <v>B0CB4B49FV</v>
          </cell>
          <cell r="F72">
            <v>15</v>
          </cell>
          <cell r="G72">
            <v>0</v>
          </cell>
          <cell r="H72">
            <v>0</v>
          </cell>
          <cell r="I72">
            <v>0</v>
          </cell>
          <cell r="J72">
            <v>0</v>
          </cell>
          <cell r="K72">
            <v>15</v>
          </cell>
          <cell r="L72">
            <v>6.091</v>
          </cell>
          <cell r="M72">
            <v>91.365</v>
          </cell>
          <cell r="N72">
            <v>1</v>
          </cell>
          <cell r="O72">
            <v>1</v>
          </cell>
          <cell r="P72">
            <v>3</v>
          </cell>
          <cell r="Q72">
            <v>1</v>
          </cell>
          <cell r="R72">
            <v>0</v>
          </cell>
          <cell r="S72">
            <v>145.384615384615</v>
          </cell>
          <cell r="T72">
            <v>4.84615384615385</v>
          </cell>
          <cell r="U72">
            <v>5.16923076923077</v>
          </cell>
          <cell r="V72">
            <v>-0.323076923076925</v>
          </cell>
          <cell r="W72" t="str">
            <v>库存过高</v>
          </cell>
          <cell r="X72" t="str">
            <v>库存过高</v>
          </cell>
          <cell r="Y72">
            <v>0</v>
          </cell>
          <cell r="Z72">
            <v>0.91</v>
          </cell>
          <cell r="AA72">
            <v>1.11</v>
          </cell>
          <cell r="AB72" t="str">
            <v>-</v>
          </cell>
        </row>
        <row r="73">
          <cell r="A73" t="str">
            <v>美珠</v>
          </cell>
          <cell r="B73" t="str">
            <v>Y6075-1-1</v>
          </cell>
          <cell r="C73" t="str">
            <v>瞄准镜支架 20mm导轨Ak47</v>
          </cell>
          <cell r="D73">
            <v>45136</v>
          </cell>
          <cell r="E73" t="str">
            <v>B0CBPN6C3R</v>
          </cell>
          <cell r="F73">
            <v>13</v>
          </cell>
          <cell r="G73">
            <v>0</v>
          </cell>
          <cell r="H73">
            <v>0</v>
          </cell>
          <cell r="I73">
            <v>0</v>
          </cell>
          <cell r="J73">
            <v>0</v>
          </cell>
          <cell r="K73">
            <v>13</v>
          </cell>
          <cell r="L73">
            <v>29.0621</v>
          </cell>
          <cell r="M73">
            <v>377.8073</v>
          </cell>
          <cell r="N73">
            <v>5</v>
          </cell>
          <cell r="O73">
            <v>5</v>
          </cell>
          <cell r="P73">
            <v>7</v>
          </cell>
          <cell r="Q73">
            <v>1</v>
          </cell>
          <cell r="R73">
            <v>4</v>
          </cell>
          <cell r="S73">
            <v>30.4460966542751</v>
          </cell>
          <cell r="T73">
            <v>1.01486988847584</v>
          </cell>
          <cell r="U73">
            <v>7.82352941176471</v>
          </cell>
          <cell r="V73">
            <v>-6.80865952328887</v>
          </cell>
          <cell r="W73" t="str">
            <v>正常</v>
          </cell>
          <cell r="X73" t="str">
            <v>正常</v>
          </cell>
          <cell r="Y73">
            <v>3.08</v>
          </cell>
          <cell r="Z73">
            <v>6.99</v>
          </cell>
          <cell r="AA73">
            <v>19.67</v>
          </cell>
          <cell r="AB73">
            <v>0.128386827844935</v>
          </cell>
        </row>
        <row r="74">
          <cell r="A74" t="str">
            <v>美珠</v>
          </cell>
          <cell r="B74" t="str">
            <v>Y6078-1</v>
          </cell>
          <cell r="C74" t="str">
            <v>磁性支架 挂壁架</v>
          </cell>
          <cell r="D74">
            <v>45147</v>
          </cell>
          <cell r="E74" t="str">
            <v>B0CC9C7RG3</v>
          </cell>
          <cell r="F74">
            <v>26</v>
          </cell>
          <cell r="G74">
            <v>0</v>
          </cell>
          <cell r="H74">
            <v>0</v>
          </cell>
          <cell r="I74">
            <v>0</v>
          </cell>
          <cell r="J74">
            <v>2</v>
          </cell>
          <cell r="K74">
            <v>28</v>
          </cell>
          <cell r="L74">
            <v>25</v>
          </cell>
          <cell r="M74">
            <v>700</v>
          </cell>
          <cell r="N74">
            <v>2</v>
          </cell>
          <cell r="O74">
            <v>2</v>
          </cell>
          <cell r="P74">
            <v>3</v>
          </cell>
          <cell r="Q74">
            <v>0</v>
          </cell>
          <cell r="R74">
            <v>2</v>
          </cell>
          <cell r="S74">
            <v>161.834862385321</v>
          </cell>
          <cell r="T74">
            <v>5.39449541284404</v>
          </cell>
          <cell r="U74" t="str">
            <v>-</v>
          </cell>
          <cell r="V74" t="str">
            <v>-</v>
          </cell>
          <cell r="W74" t="str">
            <v>库存过高</v>
          </cell>
          <cell r="X74" t="str">
            <v>库存过高</v>
          </cell>
          <cell r="Y74">
            <v>12.39</v>
          </cell>
          <cell r="Z74">
            <v>22.75</v>
          </cell>
          <cell r="AA74">
            <v>45.97</v>
          </cell>
          <cell r="AB74">
            <v>0.774859287054409</v>
          </cell>
        </row>
        <row r="75">
          <cell r="A75" t="str">
            <v>美珠</v>
          </cell>
          <cell r="B75" t="str">
            <v>Y6078-2</v>
          </cell>
          <cell r="C75" t="str">
            <v>磁性支架 挂壁架 2PC</v>
          </cell>
          <cell r="D75">
            <v>45147</v>
          </cell>
          <cell r="E75" t="str">
            <v>B0CC99P8TW</v>
          </cell>
          <cell r="F75">
            <v>14</v>
          </cell>
          <cell r="G75">
            <v>0</v>
          </cell>
          <cell r="H75">
            <v>0</v>
          </cell>
          <cell r="I75">
            <v>0</v>
          </cell>
          <cell r="J75">
            <v>0</v>
          </cell>
          <cell r="K75">
            <v>14</v>
          </cell>
          <cell r="L75">
            <v>50.67</v>
          </cell>
          <cell r="M75">
            <v>709.38</v>
          </cell>
          <cell r="N75">
            <v>0</v>
          </cell>
          <cell r="O75">
            <v>0</v>
          </cell>
          <cell r="P75">
            <v>4</v>
          </cell>
          <cell r="Q75">
            <v>3</v>
          </cell>
          <cell r="R75">
            <v>-3</v>
          </cell>
          <cell r="S75">
            <v>315</v>
          </cell>
          <cell r="T75">
            <v>10.5</v>
          </cell>
          <cell r="U75">
            <v>1.68965517241379</v>
          </cell>
          <cell r="V75">
            <v>8.81034482758621</v>
          </cell>
          <cell r="W75" t="str">
            <v>有库存无销量</v>
          </cell>
          <cell r="X75" t="str">
            <v>库存过高</v>
          </cell>
          <cell r="Y75">
            <v>0.65</v>
          </cell>
          <cell r="Z75">
            <v>1.05</v>
          </cell>
          <cell r="AA75">
            <v>8.99</v>
          </cell>
          <cell r="AB75" t="str">
            <v>-</v>
          </cell>
        </row>
        <row r="76">
          <cell r="A76" t="str">
            <v>美珠</v>
          </cell>
          <cell r="B76" t="str">
            <v>Y6079-1</v>
          </cell>
          <cell r="C76" t="str">
            <v>IWB枪套配件 快拨枪鞘零件</v>
          </cell>
          <cell r="D76">
            <v>45147</v>
          </cell>
          <cell r="E76" t="str">
            <v>B0CC9DMDPF</v>
          </cell>
          <cell r="F76">
            <v>27</v>
          </cell>
          <cell r="G76">
            <v>1</v>
          </cell>
          <cell r="H76">
            <v>1</v>
          </cell>
          <cell r="I76">
            <v>0</v>
          </cell>
          <cell r="J76">
            <v>0</v>
          </cell>
          <cell r="K76">
            <v>29</v>
          </cell>
          <cell r="L76">
            <v>8</v>
          </cell>
          <cell r="M76">
            <v>232</v>
          </cell>
          <cell r="N76">
            <v>8</v>
          </cell>
          <cell r="O76">
            <v>9</v>
          </cell>
          <cell r="P76">
            <v>15</v>
          </cell>
          <cell r="Q76">
            <v>2</v>
          </cell>
          <cell r="R76">
            <v>6</v>
          </cell>
          <cell r="S76">
            <v>38.7898089171975</v>
          </cell>
          <cell r="T76">
            <v>1.29299363057325</v>
          </cell>
          <cell r="U76">
            <v>4.40322580645161</v>
          </cell>
          <cell r="V76">
            <v>-3.11023217587836</v>
          </cell>
          <cell r="W76" t="str">
            <v>正常</v>
          </cell>
          <cell r="X76" t="str">
            <v>正常</v>
          </cell>
          <cell r="Y76">
            <v>2.03</v>
          </cell>
          <cell r="Z76">
            <v>4.7</v>
          </cell>
          <cell r="AA76">
            <v>9.32</v>
          </cell>
          <cell r="AB76" t="str">
            <v>-</v>
          </cell>
        </row>
        <row r="77">
          <cell r="A77" t="str">
            <v>美珠</v>
          </cell>
          <cell r="B77" t="str">
            <v>Y6079-2</v>
          </cell>
          <cell r="C77" t="str">
            <v>IWB枪套配件 快拨枪鞘零件 2套</v>
          </cell>
          <cell r="D77">
            <v>45147</v>
          </cell>
          <cell r="E77" t="str">
            <v>B0CCD75PGF</v>
          </cell>
          <cell r="F77">
            <v>1</v>
          </cell>
          <cell r="G77">
            <v>0</v>
          </cell>
          <cell r="H77">
            <v>0</v>
          </cell>
          <cell r="I77">
            <v>0</v>
          </cell>
          <cell r="J77">
            <v>0</v>
          </cell>
          <cell r="K77">
            <v>1</v>
          </cell>
          <cell r="L77">
            <v>16</v>
          </cell>
          <cell r="M77">
            <v>16</v>
          </cell>
          <cell r="N77">
            <v>4</v>
          </cell>
          <cell r="O77">
            <v>8</v>
          </cell>
          <cell r="P77">
            <v>11</v>
          </cell>
          <cell r="Q77">
            <v>0</v>
          </cell>
          <cell r="R77">
            <v>4</v>
          </cell>
          <cell r="S77">
            <v>2.03883495145631</v>
          </cell>
          <cell r="T77">
            <v>0.0679611650485437</v>
          </cell>
          <cell r="U77">
            <v>1.875</v>
          </cell>
          <cell r="V77">
            <v>-1.80703883495146</v>
          </cell>
          <cell r="W77" t="str">
            <v>库存过低</v>
          </cell>
          <cell r="X77" t="str">
            <v>库存过低</v>
          </cell>
          <cell r="Y77">
            <v>2.61</v>
          </cell>
          <cell r="Z77">
            <v>5.68</v>
          </cell>
          <cell r="AA77">
            <v>9.09</v>
          </cell>
          <cell r="AB77">
            <v>0.0943942133815552</v>
          </cell>
        </row>
        <row r="78">
          <cell r="A78" t="str">
            <v>美珠</v>
          </cell>
          <cell r="B78" t="str">
            <v>Y6080</v>
          </cell>
          <cell r="C78" t="str">
            <v>战术快拔套扩展支架</v>
          </cell>
          <cell r="D78">
            <v>45147</v>
          </cell>
          <cell r="E78" t="str">
            <v>B0CCP3PFQR</v>
          </cell>
          <cell r="F78">
            <v>16</v>
          </cell>
          <cell r="G78">
            <v>0</v>
          </cell>
          <cell r="H78">
            <v>7</v>
          </cell>
          <cell r="I78">
            <v>2</v>
          </cell>
          <cell r="J78">
            <v>0</v>
          </cell>
          <cell r="K78">
            <v>25</v>
          </cell>
          <cell r="L78">
            <v>29.69</v>
          </cell>
          <cell r="M78">
            <v>742.25</v>
          </cell>
          <cell r="N78">
            <v>27</v>
          </cell>
          <cell r="O78">
            <v>32</v>
          </cell>
          <cell r="P78">
            <v>53</v>
          </cell>
          <cell r="Q78">
            <v>6</v>
          </cell>
          <cell r="R78">
            <v>21</v>
          </cell>
          <cell r="S78">
            <v>9.66850828729282</v>
          </cell>
          <cell r="T78">
            <v>0.322283609576427</v>
          </cell>
          <cell r="U78">
            <v>1.16666666666667</v>
          </cell>
          <cell r="V78">
            <v>-0.844383057090243</v>
          </cell>
          <cell r="W78" t="str">
            <v>库存过低</v>
          </cell>
          <cell r="X78" t="str">
            <v>库存过低</v>
          </cell>
          <cell r="Y78">
            <v>62.49</v>
          </cell>
          <cell r="Z78">
            <v>71.19</v>
          </cell>
          <cell r="AA78">
            <v>125.32</v>
          </cell>
          <cell r="AB78">
            <v>0.160886691897737</v>
          </cell>
        </row>
        <row r="79">
          <cell r="A79" t="str">
            <v>美珠</v>
          </cell>
          <cell r="B79" t="str">
            <v>Y6081-RE</v>
          </cell>
          <cell r="C79" t="str">
            <v>非夜光瞄 红/绿光纤瞄准具 for Taurus  红光纤</v>
          </cell>
          <cell r="D79">
            <v>45163</v>
          </cell>
          <cell r="E79" t="str">
            <v>B0CDBSTZVD</v>
          </cell>
          <cell r="F79">
            <v>9</v>
          </cell>
          <cell r="G79">
            <v>0</v>
          </cell>
          <cell r="H79">
            <v>15</v>
          </cell>
          <cell r="I79">
            <v>0</v>
          </cell>
          <cell r="J79">
            <v>0</v>
          </cell>
          <cell r="K79">
            <v>24</v>
          </cell>
          <cell r="L79">
            <v>30</v>
          </cell>
          <cell r="M79">
            <v>720</v>
          </cell>
          <cell r="N79">
            <v>9</v>
          </cell>
          <cell r="O79">
            <v>16</v>
          </cell>
          <cell r="P79">
            <v>24</v>
          </cell>
          <cell r="Q79">
            <v>6</v>
          </cell>
          <cell r="R79">
            <v>3</v>
          </cell>
          <cell r="S79">
            <v>22.8398791540785</v>
          </cell>
          <cell r="T79">
            <v>0.761329305135952</v>
          </cell>
          <cell r="U79">
            <v>0.854389721627409</v>
          </cell>
          <cell r="V79">
            <v>-0.0930604164914574</v>
          </cell>
          <cell r="W79" t="str">
            <v>正常</v>
          </cell>
          <cell r="X79" t="str">
            <v>正常</v>
          </cell>
          <cell r="Y79">
            <v>0</v>
          </cell>
          <cell r="Z79">
            <v>0</v>
          </cell>
          <cell r="AA79">
            <v>0</v>
          </cell>
          <cell r="AB79" t="str">
            <v>-</v>
          </cell>
        </row>
        <row r="80">
          <cell r="A80" t="str">
            <v>美珠</v>
          </cell>
          <cell r="B80" t="str">
            <v>Y6081-GN</v>
          </cell>
          <cell r="C80" t="str">
            <v>非夜光瞄 红/绿光纤瞄准具 for Taurus  绿光纤</v>
          </cell>
          <cell r="D80">
            <v>45163</v>
          </cell>
          <cell r="E80" t="str">
            <v>B0CDBSKYCL</v>
          </cell>
          <cell r="F80">
            <v>8</v>
          </cell>
          <cell r="G80">
            <v>0</v>
          </cell>
          <cell r="H80">
            <v>15</v>
          </cell>
          <cell r="I80">
            <v>0</v>
          </cell>
          <cell r="J80">
            <v>0</v>
          </cell>
          <cell r="K80">
            <v>23</v>
          </cell>
          <cell r="L80">
            <v>30</v>
          </cell>
          <cell r="M80">
            <v>690</v>
          </cell>
          <cell r="N80">
            <v>7</v>
          </cell>
          <cell r="O80">
            <v>15</v>
          </cell>
          <cell r="P80">
            <v>20</v>
          </cell>
          <cell r="Q80">
            <v>1</v>
          </cell>
          <cell r="R80">
            <v>6</v>
          </cell>
          <cell r="S80">
            <v>25.875</v>
          </cell>
          <cell r="T80">
            <v>0.8625</v>
          </cell>
          <cell r="U80">
            <v>2.84745762711864</v>
          </cell>
          <cell r="V80">
            <v>-1.98495762711864</v>
          </cell>
          <cell r="W80" t="str">
            <v>正常</v>
          </cell>
          <cell r="X80" t="str">
            <v>正常</v>
          </cell>
          <cell r="Y80">
            <v>0</v>
          </cell>
          <cell r="Z80">
            <v>0</v>
          </cell>
          <cell r="AA80">
            <v>0</v>
          </cell>
          <cell r="AB80" t="str">
            <v>-</v>
          </cell>
        </row>
        <row r="81">
          <cell r="A81" t="str">
            <v>美珠</v>
          </cell>
          <cell r="B81" t="str">
            <v>Y6082-1-4</v>
          </cell>
          <cell r="C81" t="str">
            <v>Glock腰带夹   1-4代</v>
          </cell>
          <cell r="D81">
            <v>45163</v>
          </cell>
          <cell r="E81" t="str">
            <v>B0CDBR5NQJ</v>
          </cell>
          <cell r="F81">
            <v>2</v>
          </cell>
          <cell r="G81">
            <v>0</v>
          </cell>
          <cell r="H81">
            <v>19</v>
          </cell>
          <cell r="I81">
            <v>2</v>
          </cell>
          <cell r="J81">
            <v>0</v>
          </cell>
          <cell r="K81">
            <v>23</v>
          </cell>
          <cell r="L81">
            <v>13.4</v>
          </cell>
          <cell r="M81">
            <v>308.2</v>
          </cell>
          <cell r="N81">
            <v>3</v>
          </cell>
          <cell r="O81">
            <v>4</v>
          </cell>
          <cell r="P81">
            <v>6</v>
          </cell>
          <cell r="Q81">
            <v>1</v>
          </cell>
          <cell r="R81">
            <v>2</v>
          </cell>
          <cell r="S81">
            <v>77.0744680851064</v>
          </cell>
          <cell r="T81">
            <v>2.56914893617021</v>
          </cell>
          <cell r="U81">
            <v>2.33333333333333</v>
          </cell>
          <cell r="V81">
            <v>0.235815602836883</v>
          </cell>
          <cell r="W81" t="str">
            <v>库存过高</v>
          </cell>
          <cell r="X81" t="str">
            <v>库存过高</v>
          </cell>
          <cell r="Y81">
            <v>2.77</v>
          </cell>
          <cell r="Z81">
            <v>3.26</v>
          </cell>
          <cell r="AA81">
            <v>17.43</v>
          </cell>
          <cell r="AB81" t="str">
            <v>-</v>
          </cell>
        </row>
        <row r="82">
          <cell r="A82" t="str">
            <v>美珠</v>
          </cell>
          <cell r="B82" t="str">
            <v>Y6082-5</v>
          </cell>
          <cell r="C82" t="str">
            <v>Glock腰带夹  5代</v>
          </cell>
          <cell r="D82">
            <v>45163</v>
          </cell>
          <cell r="E82" t="str">
            <v>B0CDBS2XC3</v>
          </cell>
          <cell r="F82">
            <v>28</v>
          </cell>
          <cell r="G82">
            <v>1</v>
          </cell>
          <cell r="H82">
            <v>3</v>
          </cell>
          <cell r="I82">
            <v>2</v>
          </cell>
          <cell r="J82">
            <v>1</v>
          </cell>
          <cell r="K82">
            <v>35</v>
          </cell>
          <cell r="L82">
            <v>13.4</v>
          </cell>
          <cell r="M82">
            <v>469</v>
          </cell>
          <cell r="N82">
            <v>9</v>
          </cell>
          <cell r="O82">
            <v>15</v>
          </cell>
          <cell r="P82">
            <v>31</v>
          </cell>
          <cell r="Q82">
            <v>6</v>
          </cell>
          <cell r="R82">
            <v>3</v>
          </cell>
          <cell r="S82">
            <v>31.635581061693</v>
          </cell>
          <cell r="T82">
            <v>1.0545193687231</v>
          </cell>
          <cell r="U82">
            <v>2.36124401913876</v>
          </cell>
          <cell r="V82">
            <v>-1.30672465041566</v>
          </cell>
          <cell r="W82" t="str">
            <v>正常</v>
          </cell>
          <cell r="X82" t="str">
            <v>正常</v>
          </cell>
          <cell r="Y82">
            <v>11.65</v>
          </cell>
          <cell r="Z82">
            <v>16.65</v>
          </cell>
          <cell r="AA82">
            <v>41.49</v>
          </cell>
          <cell r="AB82">
            <v>0.208184417441029</v>
          </cell>
        </row>
        <row r="83">
          <cell r="A83" t="str">
            <v>美珠</v>
          </cell>
          <cell r="B83" t="str">
            <v>Y6083</v>
          </cell>
          <cell r="C83" t="str">
            <v>新款金属机瞄 瞄准器 带扳手</v>
          </cell>
          <cell r="D83">
            <v>45188</v>
          </cell>
          <cell r="E83" t="str">
            <v>B0CGC8GH7Q</v>
          </cell>
          <cell r="F83">
            <v>14</v>
          </cell>
          <cell r="G83">
            <v>0</v>
          </cell>
          <cell r="H83">
            <v>0</v>
          </cell>
          <cell r="I83">
            <v>0</v>
          </cell>
          <cell r="J83">
            <v>0</v>
          </cell>
          <cell r="K83">
            <v>14</v>
          </cell>
          <cell r="L83">
            <v>55</v>
          </cell>
          <cell r="M83">
            <v>770</v>
          </cell>
          <cell r="N83">
            <v>0</v>
          </cell>
          <cell r="O83">
            <v>1</v>
          </cell>
          <cell r="P83">
            <v>1</v>
          </cell>
          <cell r="Q83">
            <v>0</v>
          </cell>
          <cell r="R83">
            <v>0</v>
          </cell>
          <cell r="S83">
            <v>420</v>
          </cell>
          <cell r="T83">
            <v>14</v>
          </cell>
          <cell r="U83" t="str">
            <v>-</v>
          </cell>
          <cell r="V83" t="str">
            <v>-</v>
          </cell>
          <cell r="W83" t="str">
            <v>有库存无销量</v>
          </cell>
          <cell r="X83" t="str">
            <v>库存过高</v>
          </cell>
          <cell r="Y83">
            <v>3.32</v>
          </cell>
          <cell r="Z83">
            <v>6.96</v>
          </cell>
          <cell r="AA83">
            <v>9.25</v>
          </cell>
          <cell r="AB83" t="str">
            <v>-</v>
          </cell>
        </row>
        <row r="84">
          <cell r="A84" t="str">
            <v>美珠</v>
          </cell>
          <cell r="B84" t="str">
            <v>Y6088-BL</v>
          </cell>
          <cell r="C84" t="str">
            <v>军用战地急救包求生包黑色 </v>
          </cell>
          <cell r="D84">
            <v>45191</v>
          </cell>
          <cell r="E84" t="str">
            <v>B0CH39V9RR</v>
          </cell>
          <cell r="F84">
            <v>12</v>
          </cell>
          <cell r="G84">
            <v>0</v>
          </cell>
          <cell r="H84">
            <v>0</v>
          </cell>
          <cell r="I84">
            <v>0</v>
          </cell>
          <cell r="J84">
            <v>0</v>
          </cell>
          <cell r="K84">
            <v>12</v>
          </cell>
          <cell r="L84">
            <v>24.445</v>
          </cell>
          <cell r="M84">
            <v>293.34</v>
          </cell>
          <cell r="N84">
            <v>2</v>
          </cell>
          <cell r="O84">
            <v>5</v>
          </cell>
          <cell r="P84">
            <v>5</v>
          </cell>
          <cell r="Q84">
            <v>0</v>
          </cell>
          <cell r="R84">
            <v>2</v>
          </cell>
          <cell r="S84">
            <v>45.8181818181818</v>
          </cell>
          <cell r="T84">
            <v>1.52727272727273</v>
          </cell>
          <cell r="U84" t="str">
            <v>-</v>
          </cell>
          <cell r="V84" t="str">
            <v>-</v>
          </cell>
          <cell r="W84" t="str">
            <v>正常</v>
          </cell>
          <cell r="X84" t="str">
            <v>库存过高</v>
          </cell>
          <cell r="Y84">
            <v>10.43</v>
          </cell>
          <cell r="Z84">
            <v>12.81</v>
          </cell>
          <cell r="AA84">
            <v>12.81</v>
          </cell>
          <cell r="AB84">
            <v>0.549236440231701</v>
          </cell>
        </row>
        <row r="85">
          <cell r="A85" t="str">
            <v>美珠</v>
          </cell>
          <cell r="B85" t="str">
            <v>Y6088-CA</v>
          </cell>
          <cell r="C85" t="str">
            <v>军用战地急救包求生包迷彩  </v>
          </cell>
          <cell r="D85">
            <v>45191</v>
          </cell>
          <cell r="E85" t="str">
            <v>B0CH39L5ZF</v>
          </cell>
          <cell r="F85">
            <v>3</v>
          </cell>
          <cell r="G85">
            <v>0</v>
          </cell>
          <cell r="H85">
            <v>0</v>
          </cell>
          <cell r="I85">
            <v>0</v>
          </cell>
          <cell r="J85">
            <v>0</v>
          </cell>
          <cell r="K85">
            <v>3</v>
          </cell>
          <cell r="L85">
            <v>24.446</v>
          </cell>
          <cell r="M85">
            <v>73.338</v>
          </cell>
          <cell r="N85">
            <v>0</v>
          </cell>
          <cell r="O85">
            <v>1</v>
          </cell>
          <cell r="P85">
            <v>1</v>
          </cell>
          <cell r="Q85">
            <v>0</v>
          </cell>
          <cell r="R85">
            <v>0</v>
          </cell>
          <cell r="S85">
            <v>90</v>
          </cell>
          <cell r="T85">
            <v>3</v>
          </cell>
          <cell r="U85" t="str">
            <v>-</v>
          </cell>
          <cell r="V85" t="str">
            <v>-</v>
          </cell>
          <cell r="W85" t="str">
            <v>有库存无销量</v>
          </cell>
          <cell r="X85" t="str">
            <v>库存过高</v>
          </cell>
          <cell r="Y85">
            <v>11.07</v>
          </cell>
          <cell r="Z85">
            <v>12.59</v>
          </cell>
          <cell r="AA85">
            <v>12.59</v>
          </cell>
          <cell r="AB85">
            <v>0.582938388625592</v>
          </cell>
        </row>
        <row r="86">
          <cell r="A86" t="str">
            <v>美珠</v>
          </cell>
          <cell r="B86" t="str">
            <v>Y6084-BL</v>
          </cell>
          <cell r="C86" t="str">
            <v>户外用止血带剪刀收纳黑色</v>
          </cell>
          <cell r="D86">
            <v>45189</v>
          </cell>
          <cell r="E86" t="str">
            <v>B0CH393V1L</v>
          </cell>
          <cell r="F86">
            <v>15</v>
          </cell>
          <cell r="G86">
            <v>0</v>
          </cell>
          <cell r="H86">
            <v>0</v>
          </cell>
          <cell r="I86">
            <v>0</v>
          </cell>
          <cell r="J86">
            <v>0</v>
          </cell>
          <cell r="K86">
            <v>15</v>
          </cell>
          <cell r="L86">
            <v>23.242</v>
          </cell>
          <cell r="M86">
            <v>348.63</v>
          </cell>
          <cell r="N86">
            <v>0</v>
          </cell>
          <cell r="O86">
            <v>0</v>
          </cell>
          <cell r="P86">
            <v>0</v>
          </cell>
          <cell r="Q86">
            <v>0</v>
          </cell>
          <cell r="R86">
            <v>0</v>
          </cell>
          <cell r="S86" t="str">
            <v>-</v>
          </cell>
          <cell r="T86" t="str">
            <v>-</v>
          </cell>
          <cell r="U86" t="str">
            <v>-</v>
          </cell>
          <cell r="V86" t="str">
            <v>-</v>
          </cell>
          <cell r="W86" t="str">
            <v>有库存无销量</v>
          </cell>
          <cell r="X86" t="str">
            <v>有库存无销量</v>
          </cell>
          <cell r="Y86">
            <v>0.7</v>
          </cell>
          <cell r="Z86">
            <v>0.7</v>
          </cell>
          <cell r="AA86">
            <v>0.7</v>
          </cell>
          <cell r="AB86" t="str">
            <v>-</v>
          </cell>
        </row>
        <row r="87">
          <cell r="A87" t="str">
            <v>美珠</v>
          </cell>
          <cell r="B87" t="str">
            <v>Y6084-KH</v>
          </cell>
          <cell r="C87" t="str">
            <v>户外用止血带剪刀收纳棕色</v>
          </cell>
          <cell r="D87">
            <v>45189</v>
          </cell>
          <cell r="E87" t="str">
            <v>B0CH393FW3</v>
          </cell>
          <cell r="F87">
            <v>4</v>
          </cell>
          <cell r="G87">
            <v>0</v>
          </cell>
          <cell r="H87">
            <v>0</v>
          </cell>
          <cell r="I87">
            <v>0</v>
          </cell>
          <cell r="J87">
            <v>0</v>
          </cell>
          <cell r="K87">
            <v>4</v>
          </cell>
          <cell r="L87">
            <v>23.242</v>
          </cell>
          <cell r="M87">
            <v>92.968</v>
          </cell>
          <cell r="N87">
            <v>0</v>
          </cell>
          <cell r="O87">
            <v>0</v>
          </cell>
          <cell r="P87">
            <v>0</v>
          </cell>
          <cell r="Q87">
            <v>0</v>
          </cell>
          <cell r="R87">
            <v>0</v>
          </cell>
          <cell r="S87" t="str">
            <v>-</v>
          </cell>
          <cell r="T87" t="str">
            <v>-</v>
          </cell>
          <cell r="U87" t="str">
            <v>-</v>
          </cell>
          <cell r="V87" t="str">
            <v>-</v>
          </cell>
          <cell r="W87" t="str">
            <v>有库存无销量</v>
          </cell>
          <cell r="X87" t="str">
            <v>有库存无销量</v>
          </cell>
          <cell r="Y87">
            <v>0.7</v>
          </cell>
          <cell r="Z87">
            <v>1.02</v>
          </cell>
          <cell r="AA87">
            <v>1.02</v>
          </cell>
          <cell r="AB87" t="str">
            <v>-</v>
          </cell>
        </row>
        <row r="88">
          <cell r="A88" t="str">
            <v>美珠</v>
          </cell>
          <cell r="B88" t="str">
            <v>Y6090</v>
          </cell>
          <cell r="C88" t="str">
            <v>铝合金后盖片 适合1-5代Glock 43 43x 48 2PC</v>
          </cell>
          <cell r="D88">
            <v>45212</v>
          </cell>
          <cell r="E88" t="str">
            <v>B0CJRCWCNH</v>
          </cell>
          <cell r="F88">
            <v>9</v>
          </cell>
          <cell r="G88">
            <v>0</v>
          </cell>
          <cell r="H88">
            <v>0</v>
          </cell>
          <cell r="I88">
            <v>0</v>
          </cell>
          <cell r="J88">
            <v>0</v>
          </cell>
          <cell r="K88">
            <v>9</v>
          </cell>
          <cell r="L88">
            <v>22.8</v>
          </cell>
          <cell r="M88">
            <v>205.2</v>
          </cell>
          <cell r="N88">
            <v>0</v>
          </cell>
          <cell r="O88">
            <v>0</v>
          </cell>
          <cell r="P88">
            <v>0</v>
          </cell>
          <cell r="Q88">
            <v>0</v>
          </cell>
          <cell r="R88">
            <v>0</v>
          </cell>
          <cell r="S88" t="str">
            <v>-</v>
          </cell>
          <cell r="T88" t="str">
            <v>-</v>
          </cell>
          <cell r="U88" t="str">
            <v>-</v>
          </cell>
          <cell r="V88" t="str">
            <v>-</v>
          </cell>
          <cell r="W88" t="str">
            <v>本月刚到货</v>
          </cell>
          <cell r="X88" t="str">
            <v>本月刚到货</v>
          </cell>
          <cell r="Y88">
            <v>0</v>
          </cell>
          <cell r="Z88">
            <v>0</v>
          </cell>
          <cell r="AA88">
            <v>0</v>
          </cell>
          <cell r="AB88" t="str">
            <v>-</v>
          </cell>
        </row>
      </sheetData>
      <sheetData sheetId="11"/>
      <sheetData sheetId="12">
        <row r="1">
          <cell r="B1">
            <v>214</v>
          </cell>
          <cell r="C1" t="str">
            <v>已经把长期无库存且决定后期不再做的sku删除</v>
          </cell>
        </row>
        <row r="1">
          <cell r="K1">
            <v>9736</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9736</v>
          </cell>
        </row>
        <row r="3">
          <cell r="M3">
            <v>225255.5</v>
          </cell>
          <cell r="N3">
            <v>872</v>
          </cell>
          <cell r="O3">
            <v>1757</v>
          </cell>
          <cell r="P3">
            <v>3755</v>
          </cell>
          <cell r="Q3">
            <v>982</v>
          </cell>
          <cell r="R3">
            <v>-110</v>
          </cell>
        </row>
        <row r="3">
          <cell r="Y3">
            <v>870.89</v>
          </cell>
          <cell r="Z3">
            <v>1620.09</v>
          </cell>
          <cell r="AA3">
            <v>3790.36</v>
          </cell>
        </row>
        <row r="4">
          <cell r="A4" t="str">
            <v>美珠</v>
          </cell>
          <cell r="B4" t="str">
            <v>Y7002-BB+Y7005</v>
          </cell>
          <cell r="C4" t="str">
            <v>中性三星 S22 Ultra 黑+蓝</v>
          </cell>
        </row>
        <row r="4">
          <cell r="E4" t="str">
            <v>B0B6VM88JM</v>
          </cell>
          <cell r="F4">
            <v>5</v>
          </cell>
          <cell r="G4">
            <v>0</v>
          </cell>
          <cell r="H4">
            <v>0</v>
          </cell>
          <cell r="I4">
            <v>0</v>
          </cell>
          <cell r="J4">
            <v>0</v>
          </cell>
          <cell r="K4">
            <v>5</v>
          </cell>
          <cell r="L4">
            <v>13.9</v>
          </cell>
          <cell r="M4">
            <v>69.5</v>
          </cell>
          <cell r="N4">
            <v>4</v>
          </cell>
          <cell r="O4">
            <v>5</v>
          </cell>
          <cell r="P4">
            <v>7</v>
          </cell>
          <cell r="Q4">
            <v>1</v>
          </cell>
          <cell r="R4">
            <v>3</v>
          </cell>
          <cell r="S4">
            <v>13.1799163179916</v>
          </cell>
          <cell r="T4">
            <v>0.439330543933054</v>
          </cell>
          <cell r="U4">
            <v>2.21052631578947</v>
          </cell>
          <cell r="V4">
            <v>-1.77119577185642</v>
          </cell>
          <cell r="W4" t="str">
            <v>库存过低</v>
          </cell>
          <cell r="X4" t="str">
            <v>库存过低</v>
          </cell>
          <cell r="Y4">
            <v>0</v>
          </cell>
          <cell r="Z4">
            <v>0</v>
          </cell>
          <cell r="AA4">
            <v>0</v>
          </cell>
          <cell r="AB4" t="str">
            <v>-</v>
          </cell>
        </row>
        <row r="5">
          <cell r="A5" t="str">
            <v>美珠</v>
          </cell>
          <cell r="B5" t="str">
            <v>Y7002-BL+Y7005</v>
          </cell>
          <cell r="C5" t="str">
            <v>中性三星 S22 Ultra 黑</v>
          </cell>
        </row>
        <row r="5">
          <cell r="E5" t="str">
            <v>B0B6VQZZ1W</v>
          </cell>
          <cell r="F5">
            <v>4</v>
          </cell>
          <cell r="G5">
            <v>0</v>
          </cell>
          <cell r="H5">
            <v>0</v>
          </cell>
          <cell r="I5">
            <v>0</v>
          </cell>
          <cell r="J5">
            <v>0</v>
          </cell>
          <cell r="K5">
            <v>4</v>
          </cell>
          <cell r="L5">
            <v>13.9</v>
          </cell>
          <cell r="M5">
            <v>55.6</v>
          </cell>
          <cell r="N5">
            <v>10</v>
          </cell>
          <cell r="O5">
            <v>14</v>
          </cell>
          <cell r="P5">
            <v>21</v>
          </cell>
          <cell r="Q5">
            <v>5</v>
          </cell>
          <cell r="R5">
            <v>5</v>
          </cell>
          <cell r="S5">
            <v>3.91912908242613</v>
          </cell>
          <cell r="T5">
            <v>0.130637636080871</v>
          </cell>
          <cell r="U5">
            <v>1.27456647398844</v>
          </cell>
          <cell r="V5">
            <v>-1.14392883790757</v>
          </cell>
          <cell r="W5" t="str">
            <v>库存过低</v>
          </cell>
          <cell r="X5" t="str">
            <v>库存过低</v>
          </cell>
          <cell r="Y5">
            <v>0</v>
          </cell>
          <cell r="Z5">
            <v>0</v>
          </cell>
          <cell r="AA5">
            <v>0</v>
          </cell>
          <cell r="AB5" t="str">
            <v>-</v>
          </cell>
        </row>
        <row r="6">
          <cell r="A6" t="str">
            <v>美珠</v>
          </cell>
          <cell r="B6" t="str">
            <v>Y7002-DB+Y7005</v>
          </cell>
          <cell r="C6" t="str">
            <v>中性三星 S22 Ultra 深蓝+蓝</v>
          </cell>
        </row>
        <row r="6">
          <cell r="E6" t="str">
            <v>B0B6VP68KJ</v>
          </cell>
          <cell r="F6">
            <v>9</v>
          </cell>
          <cell r="G6">
            <v>0</v>
          </cell>
          <cell r="H6">
            <v>0</v>
          </cell>
          <cell r="I6">
            <v>0</v>
          </cell>
          <cell r="J6">
            <v>0</v>
          </cell>
          <cell r="K6">
            <v>9</v>
          </cell>
          <cell r="L6">
            <v>13.9</v>
          </cell>
          <cell r="M6">
            <v>125.1</v>
          </cell>
          <cell r="N6">
            <v>2</v>
          </cell>
          <cell r="O6">
            <v>2</v>
          </cell>
          <cell r="P6">
            <v>4</v>
          </cell>
          <cell r="Q6">
            <v>0</v>
          </cell>
          <cell r="R6">
            <v>2</v>
          </cell>
          <cell r="S6">
            <v>48.8793103448276</v>
          </cell>
          <cell r="T6">
            <v>1.62931034482759</v>
          </cell>
          <cell r="U6">
            <v>1.71428571428571</v>
          </cell>
          <cell r="V6">
            <v>-0.0849753694581237</v>
          </cell>
          <cell r="W6" t="str">
            <v>正常</v>
          </cell>
          <cell r="X6" t="str">
            <v>库存过高</v>
          </cell>
          <cell r="Y6">
            <v>3.82</v>
          </cell>
          <cell r="Z6">
            <v>5.89</v>
          </cell>
          <cell r="AA6">
            <v>12.37</v>
          </cell>
          <cell r="AB6">
            <v>0.347588717015469</v>
          </cell>
        </row>
        <row r="7">
          <cell r="A7" t="str">
            <v>美珠</v>
          </cell>
          <cell r="B7" t="str">
            <v>Y7002-DY+Y7005</v>
          </cell>
          <cell r="C7" t="str">
            <v>中性三星 S22 Ultra  深蓝+黄</v>
          </cell>
        </row>
        <row r="7">
          <cell r="E7" t="str">
            <v>B0B6VN8FCN</v>
          </cell>
          <cell r="F7">
            <v>0</v>
          </cell>
          <cell r="G7">
            <v>0</v>
          </cell>
          <cell r="H7">
            <v>0</v>
          </cell>
          <cell r="I7">
            <v>0</v>
          </cell>
          <cell r="J7">
            <v>0</v>
          </cell>
          <cell r="K7">
            <v>0</v>
          </cell>
          <cell r="L7">
            <v>13.9</v>
          </cell>
          <cell r="M7">
            <v>0</v>
          </cell>
          <cell r="N7">
            <v>0</v>
          </cell>
          <cell r="O7">
            <v>1</v>
          </cell>
          <cell r="P7">
            <v>2</v>
          </cell>
          <cell r="Q7">
            <v>0</v>
          </cell>
          <cell r="R7">
            <v>0</v>
          </cell>
          <cell r="S7">
            <v>0</v>
          </cell>
          <cell r="T7">
            <v>0</v>
          </cell>
          <cell r="U7">
            <v>12</v>
          </cell>
          <cell r="V7">
            <v>-12</v>
          </cell>
          <cell r="W7" t="str">
            <v>无库存无销量</v>
          </cell>
          <cell r="X7" t="str">
            <v>无库存有销量</v>
          </cell>
          <cell r="Y7">
            <v>0</v>
          </cell>
          <cell r="Z7">
            <v>0</v>
          </cell>
          <cell r="AA7">
            <v>0</v>
          </cell>
          <cell r="AB7" t="str">
            <v>-</v>
          </cell>
        </row>
        <row r="8">
          <cell r="A8" t="str">
            <v>美珠</v>
          </cell>
          <cell r="B8" t="str">
            <v>Y7002-OR+Y7005</v>
          </cell>
          <cell r="C8" t="str">
            <v>中性三星 S22 Ultra 黑+橙</v>
          </cell>
        </row>
        <row r="8">
          <cell r="E8" t="str">
            <v>B0B6VN2HH7</v>
          </cell>
          <cell r="F8">
            <v>3</v>
          </cell>
          <cell r="G8">
            <v>1</v>
          </cell>
          <cell r="H8">
            <v>9</v>
          </cell>
          <cell r="I8">
            <v>0</v>
          </cell>
          <cell r="J8">
            <v>0</v>
          </cell>
          <cell r="K8">
            <v>13</v>
          </cell>
          <cell r="L8">
            <v>13.9</v>
          </cell>
          <cell r="M8">
            <v>180.7</v>
          </cell>
          <cell r="N8">
            <v>1</v>
          </cell>
          <cell r="O8">
            <v>4</v>
          </cell>
          <cell r="P8">
            <v>8</v>
          </cell>
          <cell r="Q8">
            <v>1</v>
          </cell>
          <cell r="R8">
            <v>0</v>
          </cell>
          <cell r="S8">
            <v>57.6760563380282</v>
          </cell>
          <cell r="T8">
            <v>1.92253521126761</v>
          </cell>
          <cell r="U8">
            <v>2.90769230769231</v>
          </cell>
          <cell r="V8">
            <v>-0.985157096424704</v>
          </cell>
          <cell r="W8" t="str">
            <v>库存过高</v>
          </cell>
          <cell r="X8" t="str">
            <v>库存过高</v>
          </cell>
          <cell r="Y8">
            <v>0.25</v>
          </cell>
          <cell r="Z8">
            <v>0.75</v>
          </cell>
          <cell r="AA8">
            <v>1.5</v>
          </cell>
          <cell r="AB8" t="str">
            <v>-</v>
          </cell>
        </row>
        <row r="9">
          <cell r="A9" t="str">
            <v>美珠</v>
          </cell>
          <cell r="B9" t="str">
            <v>Y7025-DB+Y7026+Y7027</v>
          </cell>
          <cell r="C9" t="str">
            <v>三星中性 A03s美版 深蓝+蓝</v>
          </cell>
        </row>
        <row r="9">
          <cell r="E9" t="str">
            <v>B0B6VGTFXW</v>
          </cell>
          <cell r="F9">
            <v>0</v>
          </cell>
          <cell r="G9">
            <v>0</v>
          </cell>
          <cell r="H9">
            <v>0</v>
          </cell>
          <cell r="I9">
            <v>0</v>
          </cell>
          <cell r="J9">
            <v>0</v>
          </cell>
          <cell r="K9">
            <v>0</v>
          </cell>
          <cell r="L9">
            <v>13.9</v>
          </cell>
          <cell r="M9">
            <v>0</v>
          </cell>
          <cell r="N9">
            <v>0</v>
          </cell>
          <cell r="O9">
            <v>1</v>
          </cell>
          <cell r="P9">
            <v>10</v>
          </cell>
          <cell r="Q9">
            <v>5</v>
          </cell>
          <cell r="R9">
            <v>-5</v>
          </cell>
          <cell r="S9">
            <v>0</v>
          </cell>
          <cell r="T9">
            <v>0</v>
          </cell>
          <cell r="U9">
            <v>0.247787610619469</v>
          </cell>
          <cell r="V9">
            <v>-0.247787610619469</v>
          </cell>
          <cell r="W9" t="str">
            <v>无库存无销量</v>
          </cell>
          <cell r="X9" t="str">
            <v>无库存有销量</v>
          </cell>
          <cell r="Y9">
            <v>0</v>
          </cell>
          <cell r="Z9">
            <v>1.02</v>
          </cell>
          <cell r="AA9">
            <v>19.7</v>
          </cell>
          <cell r="AB9" t="str">
            <v>-</v>
          </cell>
        </row>
        <row r="10">
          <cell r="A10" t="str">
            <v>美珠</v>
          </cell>
          <cell r="B10" t="str">
            <v>Y72611-BL+Y72614+Y72635</v>
          </cell>
          <cell r="C10" t="str">
            <v>中性iPhone 12 6.1 黑色</v>
          </cell>
        </row>
        <row r="10">
          <cell r="E10" t="str">
            <v>B0B6VKLX2B</v>
          </cell>
          <cell r="F10">
            <v>142</v>
          </cell>
          <cell r="G10">
            <v>1</v>
          </cell>
          <cell r="H10">
            <v>0</v>
          </cell>
          <cell r="I10">
            <v>77</v>
          </cell>
          <cell r="J10">
            <v>0</v>
          </cell>
          <cell r="K10">
            <v>220</v>
          </cell>
          <cell r="L10">
            <v>13.9</v>
          </cell>
          <cell r="M10">
            <v>3058</v>
          </cell>
          <cell r="N10">
            <v>12</v>
          </cell>
          <cell r="O10">
            <v>25</v>
          </cell>
          <cell r="P10">
            <v>69</v>
          </cell>
          <cell r="Q10">
            <v>19</v>
          </cell>
          <cell r="R10">
            <v>-7</v>
          </cell>
          <cell r="S10">
            <v>116.17770326907</v>
          </cell>
          <cell r="T10">
            <v>3.87259010896899</v>
          </cell>
          <cell r="U10">
            <v>2.10482019892884</v>
          </cell>
          <cell r="V10">
            <v>1.76776991004015</v>
          </cell>
          <cell r="W10" t="str">
            <v>库存过高</v>
          </cell>
          <cell r="X10" t="str">
            <v>库存过高</v>
          </cell>
          <cell r="Y10">
            <v>10.01</v>
          </cell>
          <cell r="Z10">
            <v>14.09</v>
          </cell>
          <cell r="AA10">
            <v>46.04</v>
          </cell>
          <cell r="AB10" t="str">
            <v>-</v>
          </cell>
        </row>
        <row r="11">
          <cell r="A11" t="str">
            <v>美珠</v>
          </cell>
          <cell r="B11" t="str">
            <v>Y72611-DB+Y72614+Y72635</v>
          </cell>
          <cell r="C11" t="str">
            <v>中性iPhone 12 6.1 深蓝+蓝色</v>
          </cell>
        </row>
        <row r="11">
          <cell r="E11" t="str">
            <v>B0B6VQ6DC8</v>
          </cell>
          <cell r="F11">
            <v>6</v>
          </cell>
          <cell r="G11">
            <v>0</v>
          </cell>
          <cell r="H11">
            <v>0</v>
          </cell>
          <cell r="I11">
            <v>1</v>
          </cell>
          <cell r="J11">
            <v>0</v>
          </cell>
          <cell r="K11">
            <v>7</v>
          </cell>
          <cell r="L11">
            <v>13.9</v>
          </cell>
          <cell r="M11">
            <v>97.3</v>
          </cell>
          <cell r="N11">
            <v>4</v>
          </cell>
          <cell r="O11">
            <v>10</v>
          </cell>
          <cell r="P11">
            <v>17</v>
          </cell>
          <cell r="Q11">
            <v>4</v>
          </cell>
          <cell r="R11">
            <v>0</v>
          </cell>
          <cell r="S11">
            <v>11.6358839050132</v>
          </cell>
          <cell r="T11">
            <v>0.387862796833773</v>
          </cell>
          <cell r="U11">
            <v>1.08181818181818</v>
          </cell>
          <cell r="V11">
            <v>-0.693955384984407</v>
          </cell>
          <cell r="W11" t="str">
            <v>库存过低</v>
          </cell>
          <cell r="X11" t="str">
            <v>库存过低</v>
          </cell>
          <cell r="Y11">
            <v>0</v>
          </cell>
          <cell r="Z11">
            <v>0</v>
          </cell>
          <cell r="AA11">
            <v>0</v>
          </cell>
          <cell r="AB11" t="str">
            <v>-</v>
          </cell>
        </row>
        <row r="12">
          <cell r="A12" t="str">
            <v>美珠</v>
          </cell>
          <cell r="B12" t="str">
            <v>Y72611-OR+Y72614+Y72635</v>
          </cell>
          <cell r="C12" t="str">
            <v>中性iPhone 12 6.1 黑橙</v>
          </cell>
        </row>
        <row r="12">
          <cell r="E12" t="str">
            <v>B0B6VRRMWW</v>
          </cell>
          <cell r="F12">
            <v>136</v>
          </cell>
          <cell r="G12">
            <v>0</v>
          </cell>
          <cell r="H12">
            <v>1</v>
          </cell>
          <cell r="I12">
            <v>0</v>
          </cell>
          <cell r="J12">
            <v>0</v>
          </cell>
          <cell r="K12">
            <v>137</v>
          </cell>
          <cell r="L12">
            <v>13.9</v>
          </cell>
          <cell r="M12">
            <v>1904.3</v>
          </cell>
          <cell r="N12">
            <v>9</v>
          </cell>
          <cell r="O12">
            <v>14</v>
          </cell>
          <cell r="P12">
            <v>29</v>
          </cell>
          <cell r="Q12">
            <v>7</v>
          </cell>
          <cell r="R12">
            <v>2</v>
          </cell>
          <cell r="S12">
            <v>129.013452914798</v>
          </cell>
          <cell r="T12">
            <v>4.30044843049327</v>
          </cell>
          <cell r="U12">
            <v>7.26506024096386</v>
          </cell>
          <cell r="V12">
            <v>-2.96461181047059</v>
          </cell>
          <cell r="W12" t="str">
            <v>库存过高</v>
          </cell>
          <cell r="X12" t="str">
            <v>库存过高</v>
          </cell>
          <cell r="Y12">
            <v>23.9</v>
          </cell>
          <cell r="Z12">
            <v>50.54</v>
          </cell>
          <cell r="AA12">
            <v>57.53</v>
          </cell>
          <cell r="AB12">
            <v>0.288194863137586</v>
          </cell>
        </row>
        <row r="13">
          <cell r="A13" t="str">
            <v>美珠</v>
          </cell>
          <cell r="B13" t="str">
            <v>Y73475-BB+Y72615+Y73478</v>
          </cell>
          <cell r="C13" t="str">
            <v>中性iphone 13 pro max 黑+蓝</v>
          </cell>
        </row>
        <row r="13">
          <cell r="E13" t="str">
            <v>B0B6PQXZZP</v>
          </cell>
          <cell r="F13">
            <v>74</v>
          </cell>
          <cell r="G13">
            <v>2</v>
          </cell>
          <cell r="H13">
            <v>26</v>
          </cell>
          <cell r="I13">
            <v>1</v>
          </cell>
          <cell r="J13">
            <v>0</v>
          </cell>
          <cell r="K13">
            <v>103</v>
          </cell>
          <cell r="L13">
            <v>13.9</v>
          </cell>
          <cell r="M13">
            <v>1431.7</v>
          </cell>
          <cell r="N13">
            <v>18</v>
          </cell>
          <cell r="O13">
            <v>33</v>
          </cell>
          <cell r="P13">
            <v>65</v>
          </cell>
          <cell r="Q13">
            <v>16</v>
          </cell>
          <cell r="R13">
            <v>2</v>
          </cell>
          <cell r="S13">
            <v>44.5367192862045</v>
          </cell>
          <cell r="T13">
            <v>1.48455730954015</v>
          </cell>
          <cell r="U13">
            <v>2.17241379310345</v>
          </cell>
          <cell r="V13">
            <v>-0.687856483563299</v>
          </cell>
          <cell r="W13" t="str">
            <v>正常</v>
          </cell>
          <cell r="X13" t="str">
            <v>正常</v>
          </cell>
          <cell r="Y13">
            <v>2.32</v>
          </cell>
          <cell r="Z13">
            <v>3.41</v>
          </cell>
          <cell r="AA13">
            <v>8.54</v>
          </cell>
          <cell r="AB13" t="str">
            <v>-</v>
          </cell>
        </row>
        <row r="14">
          <cell r="A14" t="str">
            <v>美珠</v>
          </cell>
          <cell r="B14" t="str">
            <v>Y73475-BL+Y72615+Y73478</v>
          </cell>
          <cell r="C14" t="str">
            <v>中性iphone 13 pro max 黑</v>
          </cell>
        </row>
        <row r="14">
          <cell r="E14" t="str">
            <v>B0B6PBJ5XP</v>
          </cell>
          <cell r="F14">
            <v>220</v>
          </cell>
          <cell r="G14">
            <v>1</v>
          </cell>
          <cell r="H14">
            <v>248</v>
          </cell>
          <cell r="I14">
            <v>1</v>
          </cell>
          <cell r="J14">
            <v>0</v>
          </cell>
          <cell r="K14">
            <v>470</v>
          </cell>
          <cell r="L14">
            <v>13.9</v>
          </cell>
          <cell r="M14">
            <v>6533</v>
          </cell>
          <cell r="N14">
            <v>45</v>
          </cell>
          <cell r="O14">
            <v>109</v>
          </cell>
          <cell r="P14">
            <v>228</v>
          </cell>
          <cell r="Q14">
            <v>57</v>
          </cell>
          <cell r="R14">
            <v>-12</v>
          </cell>
          <cell r="S14">
            <v>66.2119856887299</v>
          </cell>
          <cell r="T14">
            <v>2.20706618962433</v>
          </cell>
          <cell r="U14">
            <v>1.55813471502591</v>
          </cell>
          <cell r="V14">
            <v>0.648931474598419</v>
          </cell>
          <cell r="W14" t="str">
            <v>库存过高</v>
          </cell>
          <cell r="X14" t="str">
            <v>库存过高</v>
          </cell>
          <cell r="Y14">
            <v>24.45</v>
          </cell>
          <cell r="Z14">
            <v>43.65</v>
          </cell>
          <cell r="AA14">
            <v>77.59</v>
          </cell>
          <cell r="AB14">
            <v>0.287884139879901</v>
          </cell>
        </row>
        <row r="15">
          <cell r="A15" t="str">
            <v>美珠</v>
          </cell>
          <cell r="B15" t="str">
            <v>Y73475-DB+Y72615+Y73478</v>
          </cell>
          <cell r="C15" t="str">
            <v>中性iphone 13 pro max 深蓝+蓝</v>
          </cell>
        </row>
        <row r="15">
          <cell r="E15" t="str">
            <v>B0B6PGY5QJ</v>
          </cell>
          <cell r="F15">
            <v>53</v>
          </cell>
          <cell r="G15">
            <v>1</v>
          </cell>
          <cell r="H15">
            <v>8</v>
          </cell>
          <cell r="I15">
            <v>26</v>
          </cell>
          <cell r="J15">
            <v>0</v>
          </cell>
          <cell r="K15">
            <v>88</v>
          </cell>
          <cell r="L15">
            <v>13.9</v>
          </cell>
          <cell r="M15">
            <v>1223.2</v>
          </cell>
          <cell r="N15">
            <v>5</v>
          </cell>
          <cell r="O15">
            <v>12</v>
          </cell>
          <cell r="P15">
            <v>22</v>
          </cell>
          <cell r="Q15">
            <v>3</v>
          </cell>
          <cell r="R15">
            <v>2</v>
          </cell>
          <cell r="S15">
            <v>117.457627118644</v>
          </cell>
          <cell r="T15">
            <v>3.91525423728814</v>
          </cell>
          <cell r="U15">
            <v>4.01194029850746</v>
          </cell>
          <cell r="V15">
            <v>-0.0966860612193239</v>
          </cell>
          <cell r="W15" t="str">
            <v>库存过高</v>
          </cell>
          <cell r="X15" t="str">
            <v>库存过高</v>
          </cell>
          <cell r="Y15">
            <v>0</v>
          </cell>
          <cell r="Z15">
            <v>0</v>
          </cell>
          <cell r="AA15">
            <v>0</v>
          </cell>
          <cell r="AB15" t="str">
            <v>-</v>
          </cell>
        </row>
        <row r="16">
          <cell r="A16" t="str">
            <v>美珠</v>
          </cell>
          <cell r="B16" t="str">
            <v>Y73475-GR+Y72615+Y73478</v>
          </cell>
          <cell r="C16" t="str">
            <v>中性iphone 13 pro max 浅绿+黄</v>
          </cell>
        </row>
        <row r="16">
          <cell r="E16" t="str">
            <v>B0B6PCXL1N</v>
          </cell>
          <cell r="F16">
            <v>24</v>
          </cell>
          <cell r="G16">
            <v>0</v>
          </cell>
          <cell r="H16">
            <v>64</v>
          </cell>
          <cell r="I16">
            <v>1</v>
          </cell>
          <cell r="J16">
            <v>0</v>
          </cell>
          <cell r="K16">
            <v>89</v>
          </cell>
          <cell r="L16">
            <v>13.9</v>
          </cell>
          <cell r="M16">
            <v>1237.1</v>
          </cell>
          <cell r="N16">
            <v>5</v>
          </cell>
          <cell r="O16">
            <v>8</v>
          </cell>
          <cell r="P16">
            <v>15</v>
          </cell>
          <cell r="Q16">
            <v>2</v>
          </cell>
          <cell r="R16">
            <v>3</v>
          </cell>
          <cell r="S16">
            <v>152.779291553134</v>
          </cell>
          <cell r="T16">
            <v>5.09264305177112</v>
          </cell>
          <cell r="U16">
            <v>1.24444444444444</v>
          </cell>
          <cell r="V16">
            <v>3.84819860732668</v>
          </cell>
          <cell r="W16" t="str">
            <v>库存过高</v>
          </cell>
          <cell r="X16" t="str">
            <v>库存过高</v>
          </cell>
          <cell r="Y16">
            <v>0</v>
          </cell>
          <cell r="Z16">
            <v>0</v>
          </cell>
          <cell r="AA16">
            <v>0</v>
          </cell>
          <cell r="AB16" t="str">
            <v>-</v>
          </cell>
        </row>
        <row r="17">
          <cell r="A17" t="str">
            <v>美珠</v>
          </cell>
          <cell r="B17" t="str">
            <v>Y73475-OR+Y72615+Y73478</v>
          </cell>
          <cell r="C17" t="str">
            <v>中性iphone 13 pro max 黑+橙</v>
          </cell>
        </row>
        <row r="17">
          <cell r="E17" t="str">
            <v>B0B6PGB4JM</v>
          </cell>
          <cell r="F17">
            <v>66</v>
          </cell>
          <cell r="G17">
            <v>1</v>
          </cell>
          <cell r="H17">
            <v>76</v>
          </cell>
          <cell r="I17">
            <v>1</v>
          </cell>
          <cell r="J17">
            <v>0</v>
          </cell>
          <cell r="K17">
            <v>144</v>
          </cell>
          <cell r="L17">
            <v>13.9</v>
          </cell>
          <cell r="M17">
            <v>2001.6</v>
          </cell>
          <cell r="N17">
            <v>12</v>
          </cell>
          <cell r="O17">
            <v>28</v>
          </cell>
          <cell r="P17">
            <v>47</v>
          </cell>
          <cell r="Q17">
            <v>8</v>
          </cell>
          <cell r="R17">
            <v>4</v>
          </cell>
          <cell r="S17">
            <v>83.9222941720629</v>
          </cell>
          <cell r="T17">
            <v>2.79740980573543</v>
          </cell>
          <cell r="U17">
            <v>1.72230215827338</v>
          </cell>
          <cell r="V17">
            <v>1.07510764746205</v>
          </cell>
          <cell r="W17" t="str">
            <v>库存过高</v>
          </cell>
          <cell r="X17" t="str">
            <v>库存过高</v>
          </cell>
          <cell r="Y17">
            <v>22.63</v>
          </cell>
          <cell r="Z17">
            <v>43.64</v>
          </cell>
          <cell r="AA17">
            <v>104.01</v>
          </cell>
          <cell r="AB17">
            <v>0.157645419714385</v>
          </cell>
        </row>
        <row r="18">
          <cell r="A18" t="str">
            <v>美珠</v>
          </cell>
          <cell r="B18" t="str">
            <v>Y73694-BB+Y73712+Y73744</v>
          </cell>
          <cell r="C18" t="str">
            <v>中性三星 A13 黑+蓝</v>
          </cell>
        </row>
        <row r="18">
          <cell r="E18" t="str">
            <v>B0B6VJF68D</v>
          </cell>
          <cell r="F18">
            <v>2</v>
          </cell>
          <cell r="G18">
            <v>0</v>
          </cell>
          <cell r="H18">
            <v>0</v>
          </cell>
          <cell r="I18">
            <v>0</v>
          </cell>
          <cell r="J18">
            <v>0</v>
          </cell>
          <cell r="K18">
            <v>2</v>
          </cell>
          <cell r="L18">
            <v>13.9</v>
          </cell>
          <cell r="M18">
            <v>27.8</v>
          </cell>
          <cell r="N18">
            <v>0</v>
          </cell>
          <cell r="O18">
            <v>0</v>
          </cell>
          <cell r="P18">
            <v>0</v>
          </cell>
          <cell r="Q18">
            <v>0</v>
          </cell>
          <cell r="R18">
            <v>0</v>
          </cell>
          <cell r="S18" t="str">
            <v>-</v>
          </cell>
          <cell r="T18" t="str">
            <v>-</v>
          </cell>
          <cell r="U18">
            <v>16</v>
          </cell>
          <cell r="V18" t="str">
            <v>-</v>
          </cell>
          <cell r="W18" t="str">
            <v>有库存无销量</v>
          </cell>
          <cell r="X18" t="str">
            <v>有库存无销量</v>
          </cell>
          <cell r="Y18">
            <v>0</v>
          </cell>
          <cell r="Z18">
            <v>0</v>
          </cell>
          <cell r="AA18">
            <v>0</v>
          </cell>
          <cell r="AB18" t="str">
            <v>-</v>
          </cell>
        </row>
        <row r="19">
          <cell r="A19" t="str">
            <v>美珠</v>
          </cell>
          <cell r="B19" t="str">
            <v>Y73694-BL+Y73712+Y73744</v>
          </cell>
          <cell r="C19" t="str">
            <v>中性三星 A13 黑</v>
          </cell>
        </row>
        <row r="19">
          <cell r="E19" t="str">
            <v>B0B6VJHP8Q</v>
          </cell>
          <cell r="F19">
            <v>7</v>
          </cell>
          <cell r="G19">
            <v>0</v>
          </cell>
          <cell r="H19">
            <v>0</v>
          </cell>
          <cell r="I19">
            <v>0</v>
          </cell>
          <cell r="J19">
            <v>0</v>
          </cell>
          <cell r="K19">
            <v>7</v>
          </cell>
          <cell r="L19">
            <v>13.9</v>
          </cell>
          <cell r="M19">
            <v>97.3</v>
          </cell>
          <cell r="N19">
            <v>0</v>
          </cell>
          <cell r="O19">
            <v>1</v>
          </cell>
          <cell r="P19">
            <v>2</v>
          </cell>
          <cell r="Q19">
            <v>1</v>
          </cell>
          <cell r="R19">
            <v>-1</v>
          </cell>
          <cell r="S19">
            <v>157.5</v>
          </cell>
          <cell r="T19">
            <v>5.25</v>
          </cell>
          <cell r="U19">
            <v>2.19767441860465</v>
          </cell>
          <cell r="V19">
            <v>3.05232558139535</v>
          </cell>
          <cell r="W19" t="str">
            <v>有库存无销量</v>
          </cell>
          <cell r="X19" t="str">
            <v>库存过高</v>
          </cell>
          <cell r="Y19">
            <v>2.38</v>
          </cell>
          <cell r="Z19">
            <v>3.65</v>
          </cell>
          <cell r="AA19">
            <v>5.16</v>
          </cell>
          <cell r="AB19" t="str">
            <v>-</v>
          </cell>
        </row>
        <row r="20">
          <cell r="A20" t="str">
            <v>美珠</v>
          </cell>
          <cell r="B20" t="str">
            <v>Y73694-DB+Y73712+Y73744</v>
          </cell>
          <cell r="C20" t="str">
            <v>中性三星 A13 深蓝+蓝</v>
          </cell>
        </row>
        <row r="20">
          <cell r="E20" t="str">
            <v>B0B6VHZD93</v>
          </cell>
          <cell r="F20">
            <v>0</v>
          </cell>
          <cell r="G20">
            <v>0</v>
          </cell>
          <cell r="H20">
            <v>0</v>
          </cell>
          <cell r="I20">
            <v>0</v>
          </cell>
          <cell r="J20">
            <v>0</v>
          </cell>
          <cell r="K20">
            <v>0</v>
          </cell>
          <cell r="L20">
            <v>13.9</v>
          </cell>
          <cell r="M20">
            <v>0</v>
          </cell>
          <cell r="N20">
            <v>0</v>
          </cell>
          <cell r="O20">
            <v>1</v>
          </cell>
          <cell r="P20">
            <v>1</v>
          </cell>
          <cell r="Q20">
            <v>0</v>
          </cell>
          <cell r="R20">
            <v>0</v>
          </cell>
          <cell r="S20">
            <v>0</v>
          </cell>
          <cell r="T20">
            <v>0</v>
          </cell>
          <cell r="U20" t="str">
            <v>-</v>
          </cell>
          <cell r="V20" t="str">
            <v>-</v>
          </cell>
          <cell r="W20" t="str">
            <v>无库存无销量</v>
          </cell>
          <cell r="X20" t="str">
            <v>无库存有销量</v>
          </cell>
          <cell r="Y20">
            <v>0</v>
          </cell>
          <cell r="Z20">
            <v>0</v>
          </cell>
          <cell r="AA20">
            <v>0</v>
          </cell>
          <cell r="AB20" t="str">
            <v>-</v>
          </cell>
        </row>
        <row r="21">
          <cell r="A21" t="str">
            <v>美珠</v>
          </cell>
          <cell r="B21" t="str">
            <v>Y73694-OR+Y73712+Y73744</v>
          </cell>
          <cell r="C21" t="str">
            <v>中性三星 A13 黑+橙</v>
          </cell>
        </row>
        <row r="21">
          <cell r="E21" t="str">
            <v>B0B6VK1FR4</v>
          </cell>
          <cell r="F21">
            <v>14</v>
          </cell>
          <cell r="G21">
            <v>0</v>
          </cell>
          <cell r="H21">
            <v>0</v>
          </cell>
          <cell r="I21">
            <v>0</v>
          </cell>
          <cell r="J21">
            <v>0</v>
          </cell>
          <cell r="K21">
            <v>14</v>
          </cell>
          <cell r="L21">
            <v>13.9</v>
          </cell>
          <cell r="M21">
            <v>194.6</v>
          </cell>
          <cell r="N21">
            <v>0</v>
          </cell>
          <cell r="O21">
            <v>0</v>
          </cell>
          <cell r="P21">
            <v>0</v>
          </cell>
          <cell r="Q21">
            <v>0</v>
          </cell>
          <cell r="R21">
            <v>0</v>
          </cell>
          <cell r="S21" t="str">
            <v>-</v>
          </cell>
          <cell r="T21" t="str">
            <v>-</v>
          </cell>
          <cell r="U21">
            <v>45</v>
          </cell>
          <cell r="V21" t="str">
            <v>-</v>
          </cell>
          <cell r="W21" t="str">
            <v>有库存无销量</v>
          </cell>
          <cell r="X21" t="str">
            <v>有库存无销量</v>
          </cell>
          <cell r="Y21">
            <v>0</v>
          </cell>
          <cell r="Z21">
            <v>0.21</v>
          </cell>
          <cell r="AA21">
            <v>0.59</v>
          </cell>
          <cell r="AB21" t="str">
            <v>-</v>
          </cell>
        </row>
        <row r="22">
          <cell r="A22" t="str">
            <v>美珠</v>
          </cell>
          <cell r="B22" t="str">
            <v>Y72488-BL+Y72490+Y72380</v>
          </cell>
          <cell r="C22" t="str">
            <v>中性三星 A51 4G 黑色</v>
          </cell>
        </row>
        <row r="22">
          <cell r="E22" t="str">
            <v>B0B5ZLP61G</v>
          </cell>
          <cell r="F22">
            <v>4</v>
          </cell>
          <cell r="G22">
            <v>0</v>
          </cell>
          <cell r="H22">
            <v>0</v>
          </cell>
          <cell r="I22">
            <v>0</v>
          </cell>
          <cell r="J22">
            <v>0</v>
          </cell>
          <cell r="K22">
            <v>4</v>
          </cell>
          <cell r="L22">
            <v>13.9</v>
          </cell>
          <cell r="M22">
            <v>55.6</v>
          </cell>
          <cell r="N22">
            <v>7</v>
          </cell>
          <cell r="O22">
            <v>11</v>
          </cell>
          <cell r="P22">
            <v>23</v>
          </cell>
          <cell r="Q22">
            <v>6</v>
          </cell>
          <cell r="R22">
            <v>1</v>
          </cell>
          <cell r="S22">
            <v>4.8</v>
          </cell>
          <cell r="T22">
            <v>0.16</v>
          </cell>
          <cell r="U22">
            <v>1.24752475247525</v>
          </cell>
          <cell r="V22">
            <v>-1.08752475247525</v>
          </cell>
          <cell r="W22" t="str">
            <v>库存过低</v>
          </cell>
          <cell r="X22" t="str">
            <v>库存过低</v>
          </cell>
          <cell r="Y22">
            <v>0</v>
          </cell>
          <cell r="Z22">
            <v>0</v>
          </cell>
          <cell r="AA22">
            <v>0</v>
          </cell>
          <cell r="AB22" t="str">
            <v>-</v>
          </cell>
        </row>
        <row r="23">
          <cell r="A23" t="str">
            <v>美珠</v>
          </cell>
          <cell r="B23" t="str">
            <v>Y72488-DB+Y72490+Y72380</v>
          </cell>
          <cell r="C23" t="str">
            <v>中性三星 A51 4G 深蓝+蓝色</v>
          </cell>
        </row>
        <row r="23">
          <cell r="E23" t="str">
            <v>B0B5ZHZ6P6</v>
          </cell>
          <cell r="F23">
            <v>22</v>
          </cell>
          <cell r="G23">
            <v>0</v>
          </cell>
          <cell r="H23">
            <v>77</v>
          </cell>
          <cell r="I23">
            <v>0</v>
          </cell>
          <cell r="J23">
            <v>0</v>
          </cell>
          <cell r="K23">
            <v>99</v>
          </cell>
          <cell r="L23">
            <v>13.9</v>
          </cell>
          <cell r="M23">
            <v>1376.1</v>
          </cell>
          <cell r="N23">
            <v>5</v>
          </cell>
          <cell r="O23">
            <v>12</v>
          </cell>
          <cell r="P23">
            <v>18</v>
          </cell>
          <cell r="Q23">
            <v>2</v>
          </cell>
          <cell r="R23">
            <v>3</v>
          </cell>
          <cell r="S23">
            <v>140.472972972973</v>
          </cell>
          <cell r="T23">
            <v>4.68243243243243</v>
          </cell>
          <cell r="U23">
            <v>0.724137931034483</v>
          </cell>
          <cell r="V23">
            <v>3.95829450139795</v>
          </cell>
          <cell r="W23" t="str">
            <v>库存过高</v>
          </cell>
          <cell r="X23" t="str">
            <v>库存过高</v>
          </cell>
          <cell r="Y23">
            <v>0</v>
          </cell>
          <cell r="Z23">
            <v>0</v>
          </cell>
          <cell r="AA23">
            <v>0</v>
          </cell>
          <cell r="AB23" t="str">
            <v>-</v>
          </cell>
        </row>
        <row r="24">
          <cell r="A24" t="str">
            <v>美珠</v>
          </cell>
          <cell r="B24" t="str">
            <v>Y72488-OR+Y72490+Y72380</v>
          </cell>
          <cell r="C24" t="str">
            <v>中性三星 A51 4G 黑橙</v>
          </cell>
        </row>
        <row r="24">
          <cell r="E24" t="str">
            <v>B0B5ZK6MRR</v>
          </cell>
          <cell r="F24">
            <v>42</v>
          </cell>
          <cell r="G24">
            <v>0</v>
          </cell>
          <cell r="H24">
            <v>30</v>
          </cell>
          <cell r="I24">
            <v>1</v>
          </cell>
          <cell r="J24">
            <v>0</v>
          </cell>
          <cell r="K24">
            <v>73</v>
          </cell>
          <cell r="L24">
            <v>13.9</v>
          </cell>
          <cell r="M24">
            <v>1014.7</v>
          </cell>
          <cell r="N24">
            <v>7</v>
          </cell>
          <cell r="O24">
            <v>11</v>
          </cell>
          <cell r="P24">
            <v>33</v>
          </cell>
          <cell r="Q24">
            <v>8</v>
          </cell>
          <cell r="R24">
            <v>-1</v>
          </cell>
          <cell r="S24">
            <v>77.2941176470588</v>
          </cell>
          <cell r="T24">
            <v>2.57647058823529</v>
          </cell>
          <cell r="U24">
            <v>1.40958904109589</v>
          </cell>
          <cell r="V24">
            <v>1.1668815471394</v>
          </cell>
          <cell r="W24" t="str">
            <v>库存过高</v>
          </cell>
          <cell r="X24" t="str">
            <v>库存过高</v>
          </cell>
          <cell r="Y24">
            <v>34.7</v>
          </cell>
          <cell r="Z24">
            <v>58.98</v>
          </cell>
          <cell r="AA24">
            <v>112.32</v>
          </cell>
          <cell r="AB24">
            <v>0.239492028435365</v>
          </cell>
        </row>
        <row r="25">
          <cell r="A25" t="str">
            <v>美珠</v>
          </cell>
          <cell r="B25" t="str">
            <v>Y72648-BL+Y72649+Y72381</v>
          </cell>
          <cell r="C25" t="str">
            <v>中性三星A71 5G 黑色</v>
          </cell>
        </row>
        <row r="25">
          <cell r="E25" t="str">
            <v>B0B5QS2BBK</v>
          </cell>
          <cell r="F25">
            <v>3</v>
          </cell>
          <cell r="G25">
            <v>1</v>
          </cell>
          <cell r="H25">
            <v>32</v>
          </cell>
          <cell r="I25">
            <v>52</v>
          </cell>
          <cell r="J25">
            <v>8</v>
          </cell>
          <cell r="K25">
            <v>96</v>
          </cell>
          <cell r="L25">
            <v>13.9</v>
          </cell>
          <cell r="M25">
            <v>1334.4</v>
          </cell>
          <cell r="N25">
            <v>9</v>
          </cell>
          <cell r="O25">
            <v>34</v>
          </cell>
          <cell r="P25">
            <v>69</v>
          </cell>
          <cell r="Q25">
            <v>19</v>
          </cell>
          <cell r="R25">
            <v>-10</v>
          </cell>
          <cell r="S25">
            <v>49.2107404393816</v>
          </cell>
          <cell r="T25">
            <v>1.64035801464605</v>
          </cell>
          <cell r="U25">
            <v>0.748567791215786</v>
          </cell>
          <cell r="V25">
            <v>0.891790223430268</v>
          </cell>
          <cell r="W25" t="str">
            <v>库存过高</v>
          </cell>
          <cell r="X25" t="str">
            <v>库存过高</v>
          </cell>
          <cell r="Y25">
            <v>0</v>
          </cell>
          <cell r="Z25">
            <v>0</v>
          </cell>
          <cell r="AA25">
            <v>0</v>
          </cell>
          <cell r="AB25" t="str">
            <v>-</v>
          </cell>
        </row>
        <row r="26">
          <cell r="A26" t="str">
            <v>美珠</v>
          </cell>
          <cell r="B26" t="str">
            <v>Y72648-NB+Y72649+Y72381</v>
          </cell>
          <cell r="C26" t="str">
            <v>中性三星A71 5G 深蓝+蓝色</v>
          </cell>
        </row>
        <row r="26">
          <cell r="E26" t="str">
            <v>B0B5QR55XG</v>
          </cell>
          <cell r="F26">
            <v>3</v>
          </cell>
          <cell r="G26">
            <v>0</v>
          </cell>
          <cell r="H26">
            <v>0</v>
          </cell>
          <cell r="I26">
            <v>30</v>
          </cell>
          <cell r="J26">
            <v>0</v>
          </cell>
          <cell r="K26">
            <v>33</v>
          </cell>
          <cell r="L26">
            <v>13.9</v>
          </cell>
          <cell r="M26">
            <v>458.7</v>
          </cell>
          <cell r="N26">
            <v>6</v>
          </cell>
          <cell r="O26">
            <v>13</v>
          </cell>
          <cell r="P26">
            <v>28</v>
          </cell>
          <cell r="Q26">
            <v>10</v>
          </cell>
          <cell r="R26">
            <v>-4</v>
          </cell>
          <cell r="S26">
            <v>37.258064516129</v>
          </cell>
          <cell r="T26">
            <v>1.24193548387097</v>
          </cell>
          <cell r="U26">
            <v>2.14155251141552</v>
          </cell>
          <cell r="V26">
            <v>-0.899617027544552</v>
          </cell>
          <cell r="W26" t="str">
            <v>正常</v>
          </cell>
          <cell r="X26" t="str">
            <v>正常</v>
          </cell>
          <cell r="Y26">
            <v>0</v>
          </cell>
          <cell r="Z26">
            <v>0</v>
          </cell>
          <cell r="AA26">
            <v>0</v>
          </cell>
          <cell r="AB26" t="str">
            <v>-</v>
          </cell>
        </row>
        <row r="27">
          <cell r="A27" t="str">
            <v>美珠</v>
          </cell>
          <cell r="B27" t="str">
            <v>Y72648-OR+Y72649+Y72381</v>
          </cell>
          <cell r="C27" t="str">
            <v>中性三星A71 5G 黑橙</v>
          </cell>
        </row>
        <row r="27">
          <cell r="E27" t="str">
            <v>B0B5QVL591</v>
          </cell>
          <cell r="F27">
            <v>78</v>
          </cell>
          <cell r="G27">
            <v>1</v>
          </cell>
          <cell r="H27">
            <v>72</v>
          </cell>
          <cell r="I27">
            <v>6</v>
          </cell>
          <cell r="J27">
            <v>0</v>
          </cell>
          <cell r="K27">
            <v>157</v>
          </cell>
          <cell r="L27">
            <v>13.9</v>
          </cell>
          <cell r="M27">
            <v>2182.3</v>
          </cell>
          <cell r="N27">
            <v>8</v>
          </cell>
          <cell r="O27">
            <v>20</v>
          </cell>
          <cell r="P27">
            <v>36</v>
          </cell>
          <cell r="Q27">
            <v>10</v>
          </cell>
          <cell r="R27">
            <v>-2</v>
          </cell>
          <cell r="S27">
            <v>128.121761658031</v>
          </cell>
          <cell r="T27">
            <v>4.27072538860104</v>
          </cell>
          <cell r="U27">
            <v>4.84615384615385</v>
          </cell>
          <cell r="V27">
            <v>-0.575428457552814</v>
          </cell>
          <cell r="W27" t="str">
            <v>库存过高</v>
          </cell>
          <cell r="X27" t="str">
            <v>库存过高</v>
          </cell>
          <cell r="Y27">
            <v>32.23</v>
          </cell>
          <cell r="Z27">
            <v>60.95</v>
          </cell>
          <cell r="AA27">
            <v>126.21</v>
          </cell>
          <cell r="AB27">
            <v>0.260129136400323</v>
          </cell>
        </row>
        <row r="28">
          <cell r="A28" t="str">
            <v>美珠</v>
          </cell>
          <cell r="B28" t="str">
            <v>Y73106-BL+Y73109+Y73112</v>
          </cell>
          <cell r="C28" t="str">
            <v>中性三星 A12 5G 黑色</v>
          </cell>
        </row>
        <row r="28">
          <cell r="E28" t="str">
            <v>B0B5XCZ9L6</v>
          </cell>
          <cell r="F28">
            <v>0</v>
          </cell>
          <cell r="G28">
            <v>0</v>
          </cell>
          <cell r="H28">
            <v>0</v>
          </cell>
          <cell r="I28">
            <v>2</v>
          </cell>
          <cell r="J28">
            <v>0</v>
          </cell>
          <cell r="K28">
            <v>2</v>
          </cell>
          <cell r="L28">
            <v>13.9</v>
          </cell>
          <cell r="M28">
            <v>27.8</v>
          </cell>
          <cell r="N28">
            <v>0</v>
          </cell>
          <cell r="O28">
            <v>0</v>
          </cell>
          <cell r="P28">
            <v>0</v>
          </cell>
          <cell r="Q28">
            <v>0</v>
          </cell>
          <cell r="R28">
            <v>0</v>
          </cell>
          <cell r="S28" t="str">
            <v>-</v>
          </cell>
          <cell r="T28" t="str">
            <v>-</v>
          </cell>
          <cell r="U28">
            <v>2.5</v>
          </cell>
          <cell r="V28" t="str">
            <v>-</v>
          </cell>
          <cell r="W28" t="str">
            <v>有库存无销量</v>
          </cell>
          <cell r="X28" t="str">
            <v>有库存无销量</v>
          </cell>
          <cell r="Y28">
            <v>0</v>
          </cell>
          <cell r="Z28">
            <v>0</v>
          </cell>
          <cell r="AA28">
            <v>0</v>
          </cell>
          <cell r="AB28" t="str">
            <v>-</v>
          </cell>
        </row>
        <row r="29">
          <cell r="A29" t="str">
            <v>美珠</v>
          </cell>
          <cell r="B29" t="str">
            <v>Y73106-DB+Y73109+Y73112</v>
          </cell>
          <cell r="C29" t="str">
            <v>中性三星 A12 5G 深蓝+蓝色</v>
          </cell>
        </row>
        <row r="29">
          <cell r="E29" t="str">
            <v>B0B5XLV7NX</v>
          </cell>
          <cell r="F29">
            <v>2</v>
          </cell>
          <cell r="G29">
            <v>0</v>
          </cell>
          <cell r="H29">
            <v>8</v>
          </cell>
          <cell r="I29">
            <v>0</v>
          </cell>
          <cell r="J29">
            <v>0</v>
          </cell>
          <cell r="K29">
            <v>10</v>
          </cell>
          <cell r="L29">
            <v>13.9</v>
          </cell>
          <cell r="M29">
            <v>139</v>
          </cell>
          <cell r="N29">
            <v>0</v>
          </cell>
          <cell r="O29">
            <v>0</v>
          </cell>
          <cell r="P29">
            <v>5</v>
          </cell>
          <cell r="Q29">
            <v>4</v>
          </cell>
          <cell r="R29">
            <v>-4</v>
          </cell>
          <cell r="S29">
            <v>180</v>
          </cell>
          <cell r="T29">
            <v>6</v>
          </cell>
          <cell r="U29">
            <v>2.07509881422925</v>
          </cell>
          <cell r="V29">
            <v>3.92490118577075</v>
          </cell>
          <cell r="W29" t="str">
            <v>有库存无销量</v>
          </cell>
          <cell r="X29" t="str">
            <v>库存过高</v>
          </cell>
          <cell r="Y29">
            <v>0.26</v>
          </cell>
          <cell r="Z29">
            <v>0.26</v>
          </cell>
          <cell r="AA29">
            <v>2.18</v>
          </cell>
          <cell r="AB29" t="str">
            <v>-</v>
          </cell>
        </row>
        <row r="30">
          <cell r="A30" t="str">
            <v>美珠</v>
          </cell>
          <cell r="B30" t="str">
            <v>Y73106-OR+Y73109+Y73112</v>
          </cell>
          <cell r="C30" t="str">
            <v>中性三星 A12 5G 黑橙</v>
          </cell>
        </row>
        <row r="30">
          <cell r="E30" t="str">
            <v>B0B5XFNJRJ</v>
          </cell>
          <cell r="F30">
            <v>10</v>
          </cell>
          <cell r="G30">
            <v>0</v>
          </cell>
          <cell r="H30">
            <v>0</v>
          </cell>
          <cell r="I30">
            <v>0</v>
          </cell>
          <cell r="J30">
            <v>0</v>
          </cell>
          <cell r="K30">
            <v>10</v>
          </cell>
          <cell r="L30">
            <v>13.9</v>
          </cell>
          <cell r="M30">
            <v>139</v>
          </cell>
          <cell r="N30">
            <v>2</v>
          </cell>
          <cell r="O30">
            <v>4</v>
          </cell>
          <cell r="P30">
            <v>5</v>
          </cell>
          <cell r="Q30">
            <v>1</v>
          </cell>
          <cell r="R30">
            <v>1</v>
          </cell>
          <cell r="S30">
            <v>41.7218543046358</v>
          </cell>
          <cell r="T30">
            <v>1.39072847682119</v>
          </cell>
          <cell r="U30">
            <v>1.05</v>
          </cell>
          <cell r="V30">
            <v>0.340728476821192</v>
          </cell>
          <cell r="W30" t="str">
            <v>正常</v>
          </cell>
          <cell r="X30" t="str">
            <v>正常</v>
          </cell>
          <cell r="Y30">
            <v>1.82</v>
          </cell>
          <cell r="Z30">
            <v>3.44</v>
          </cell>
          <cell r="AA30">
            <v>6.63</v>
          </cell>
          <cell r="AB30" t="str">
            <v>-</v>
          </cell>
        </row>
        <row r="31">
          <cell r="A31" t="str">
            <v>美珠</v>
          </cell>
          <cell r="B31" t="str">
            <v>Y73230-BL+Y73231+Y73240</v>
          </cell>
          <cell r="C31" t="str">
            <v> 中性三星 A32 5G 黑色</v>
          </cell>
        </row>
        <row r="31">
          <cell r="E31" t="str">
            <v>B0B6RDRJLB</v>
          </cell>
          <cell r="F31">
            <v>18</v>
          </cell>
          <cell r="G31">
            <v>0</v>
          </cell>
          <cell r="H31">
            <v>0</v>
          </cell>
          <cell r="I31">
            <v>0</v>
          </cell>
          <cell r="J31">
            <v>0</v>
          </cell>
          <cell r="K31">
            <v>18</v>
          </cell>
          <cell r="L31">
            <v>13.9</v>
          </cell>
          <cell r="M31">
            <v>250.2</v>
          </cell>
          <cell r="N31">
            <v>0</v>
          </cell>
          <cell r="O31">
            <v>2</v>
          </cell>
          <cell r="P31">
            <v>4</v>
          </cell>
          <cell r="Q31">
            <v>2</v>
          </cell>
          <cell r="R31">
            <v>-2</v>
          </cell>
          <cell r="S31">
            <v>202.5</v>
          </cell>
          <cell r="T31">
            <v>6.75</v>
          </cell>
          <cell r="U31">
            <v>2.54545454545455</v>
          </cell>
          <cell r="V31">
            <v>4.20454545454545</v>
          </cell>
          <cell r="W31" t="str">
            <v>有库存无销量</v>
          </cell>
          <cell r="X31" t="str">
            <v>库存过高</v>
          </cell>
          <cell r="Y31">
            <v>4.13</v>
          </cell>
          <cell r="Z31">
            <v>9.53</v>
          </cell>
          <cell r="AA31">
            <v>19.05</v>
          </cell>
          <cell r="AB31" t="str">
            <v>-</v>
          </cell>
        </row>
        <row r="32">
          <cell r="A32" t="str">
            <v>美珠</v>
          </cell>
          <cell r="B32" t="str">
            <v>Y73230-DB+Y73231+Y73240</v>
          </cell>
          <cell r="C32" t="str">
            <v>中性三星 A32 5G 深蓝+蓝色</v>
          </cell>
        </row>
        <row r="32">
          <cell r="E32" t="str">
            <v>B0B6RDT7JN</v>
          </cell>
          <cell r="F32">
            <v>14</v>
          </cell>
          <cell r="G32">
            <v>0</v>
          </cell>
          <cell r="H32">
            <v>0</v>
          </cell>
          <cell r="I32">
            <v>0</v>
          </cell>
          <cell r="J32">
            <v>0</v>
          </cell>
          <cell r="K32">
            <v>14</v>
          </cell>
          <cell r="L32">
            <v>13.9</v>
          </cell>
          <cell r="M32">
            <v>194.6</v>
          </cell>
          <cell r="N32">
            <v>2</v>
          </cell>
          <cell r="O32">
            <v>2</v>
          </cell>
          <cell r="P32">
            <v>3</v>
          </cell>
          <cell r="Q32">
            <v>1</v>
          </cell>
          <cell r="R32">
            <v>1</v>
          </cell>
          <cell r="S32">
            <v>80.9174311926606</v>
          </cell>
          <cell r="T32">
            <v>2.69724770642202</v>
          </cell>
          <cell r="U32">
            <v>4.78481012658228</v>
          </cell>
          <cell r="V32">
            <v>-2.08756242016026</v>
          </cell>
          <cell r="W32" t="str">
            <v>库存过高</v>
          </cell>
          <cell r="X32" t="str">
            <v>库存过高</v>
          </cell>
          <cell r="Y32">
            <v>4.13</v>
          </cell>
          <cell r="Z32">
            <v>7.09</v>
          </cell>
          <cell r="AA32">
            <v>11.12</v>
          </cell>
          <cell r="AB32">
            <v>0.317936874518861</v>
          </cell>
        </row>
        <row r="33">
          <cell r="A33" t="str">
            <v>美珠</v>
          </cell>
          <cell r="B33" t="str">
            <v>Y73230-OR+Y73231+Y73240</v>
          </cell>
          <cell r="C33" t="str">
            <v> 中性三星 A32 5G 黑橙</v>
          </cell>
        </row>
        <row r="33">
          <cell r="E33" t="str">
            <v>B0B6RB2JKB</v>
          </cell>
          <cell r="F33">
            <v>9</v>
          </cell>
          <cell r="G33">
            <v>0</v>
          </cell>
          <cell r="H33">
            <v>0</v>
          </cell>
          <cell r="I33">
            <v>0</v>
          </cell>
          <cell r="J33">
            <v>0</v>
          </cell>
          <cell r="K33">
            <v>9</v>
          </cell>
          <cell r="L33">
            <v>13.9</v>
          </cell>
          <cell r="M33">
            <v>125.1</v>
          </cell>
          <cell r="N33">
            <v>0</v>
          </cell>
          <cell r="O33">
            <v>1</v>
          </cell>
          <cell r="P33">
            <v>1</v>
          </cell>
          <cell r="Q33">
            <v>0</v>
          </cell>
          <cell r="R33">
            <v>0</v>
          </cell>
          <cell r="S33">
            <v>270</v>
          </cell>
          <cell r="T33">
            <v>9</v>
          </cell>
          <cell r="U33">
            <v>51</v>
          </cell>
          <cell r="V33">
            <v>-42</v>
          </cell>
          <cell r="W33" t="str">
            <v>有库存无销量</v>
          </cell>
          <cell r="X33" t="str">
            <v>库存过高</v>
          </cell>
          <cell r="Y33">
            <v>0</v>
          </cell>
          <cell r="Z33">
            <v>0</v>
          </cell>
          <cell r="AA33">
            <v>0</v>
          </cell>
          <cell r="AB33" t="str">
            <v>-</v>
          </cell>
        </row>
        <row r="34">
          <cell r="A34" t="str">
            <v>美珠</v>
          </cell>
          <cell r="B34" t="str">
            <v>Y73040-BL+Y73045+Y73063</v>
          </cell>
          <cell r="C34" t="str">
            <v>中性三星 A02S 黑色</v>
          </cell>
        </row>
        <row r="34">
          <cell r="E34" t="str">
            <v>B0B6RFXWWW</v>
          </cell>
          <cell r="F34">
            <v>13</v>
          </cell>
          <cell r="G34">
            <v>0</v>
          </cell>
          <cell r="H34">
            <v>0</v>
          </cell>
          <cell r="I34">
            <v>0</v>
          </cell>
          <cell r="J34">
            <v>0</v>
          </cell>
          <cell r="K34">
            <v>13</v>
          </cell>
          <cell r="L34">
            <v>13.9</v>
          </cell>
          <cell r="M34">
            <v>180.7</v>
          </cell>
          <cell r="N34">
            <v>2</v>
          </cell>
          <cell r="O34">
            <v>5</v>
          </cell>
          <cell r="P34">
            <v>8</v>
          </cell>
          <cell r="Q34">
            <v>1</v>
          </cell>
          <cell r="R34">
            <v>1</v>
          </cell>
          <cell r="S34">
            <v>44.0322580645161</v>
          </cell>
          <cell r="T34">
            <v>1.46774193548387</v>
          </cell>
          <cell r="U34">
            <v>3.1171875</v>
          </cell>
          <cell r="V34">
            <v>-1.64944556451613</v>
          </cell>
          <cell r="W34" t="str">
            <v>库存过高</v>
          </cell>
          <cell r="X34" t="str">
            <v>正常</v>
          </cell>
          <cell r="Y34">
            <v>0</v>
          </cell>
          <cell r="Z34">
            <v>0</v>
          </cell>
          <cell r="AA34">
            <v>0</v>
          </cell>
          <cell r="AB34" t="str">
            <v>-</v>
          </cell>
        </row>
        <row r="35">
          <cell r="A35" t="str">
            <v>美珠</v>
          </cell>
          <cell r="B35" t="str">
            <v>Y73040-DB+Y73045+Y73063</v>
          </cell>
          <cell r="C35" t="str">
            <v>中性三星 A02S 深蓝+蓝色</v>
          </cell>
        </row>
        <row r="35">
          <cell r="E35" t="str">
            <v>B0B6RFCSZL</v>
          </cell>
          <cell r="F35">
            <v>5</v>
          </cell>
          <cell r="G35">
            <v>0</v>
          </cell>
          <cell r="H35">
            <v>0</v>
          </cell>
          <cell r="I35">
            <v>0</v>
          </cell>
          <cell r="J35">
            <v>0</v>
          </cell>
          <cell r="K35">
            <v>5</v>
          </cell>
          <cell r="L35">
            <v>13.9</v>
          </cell>
          <cell r="M35">
            <v>69.5</v>
          </cell>
          <cell r="N35">
            <v>2</v>
          </cell>
          <cell r="O35">
            <v>5</v>
          </cell>
          <cell r="P35">
            <v>8</v>
          </cell>
          <cell r="Q35">
            <v>2</v>
          </cell>
          <cell r="R35">
            <v>0</v>
          </cell>
          <cell r="S35">
            <v>16.9354838709677</v>
          </cell>
          <cell r="T35">
            <v>0.564516129032258</v>
          </cell>
          <cell r="U35">
            <v>1.4</v>
          </cell>
          <cell r="V35">
            <v>-0.835483870967742</v>
          </cell>
          <cell r="W35" t="str">
            <v>正常</v>
          </cell>
          <cell r="X35" t="str">
            <v>正常</v>
          </cell>
          <cell r="Y35">
            <v>5.56</v>
          </cell>
          <cell r="Z35">
            <v>9.85</v>
          </cell>
          <cell r="AA35">
            <v>17.34</v>
          </cell>
          <cell r="AB35">
            <v>0.252957233848954</v>
          </cell>
        </row>
        <row r="36">
          <cell r="A36" t="str">
            <v>美珠</v>
          </cell>
          <cell r="B36" t="str">
            <v>Y73040-OR+Y73045+Y73063</v>
          </cell>
          <cell r="C36" t="str">
            <v>中性三星 A02S 黑橙</v>
          </cell>
        </row>
        <row r="36">
          <cell r="E36" t="str">
            <v>B0B6RD6DRX</v>
          </cell>
          <cell r="F36">
            <v>13</v>
          </cell>
          <cell r="G36">
            <v>0</v>
          </cell>
          <cell r="H36">
            <v>0</v>
          </cell>
          <cell r="I36">
            <v>0</v>
          </cell>
          <cell r="J36">
            <v>0</v>
          </cell>
          <cell r="K36">
            <v>13</v>
          </cell>
          <cell r="L36">
            <v>13.9</v>
          </cell>
          <cell r="M36">
            <v>180.7</v>
          </cell>
          <cell r="N36">
            <v>0</v>
          </cell>
          <cell r="O36">
            <v>1</v>
          </cell>
          <cell r="P36">
            <v>4</v>
          </cell>
          <cell r="Q36">
            <v>2</v>
          </cell>
          <cell r="R36">
            <v>-2</v>
          </cell>
          <cell r="S36">
            <v>195</v>
          </cell>
          <cell r="T36">
            <v>6.5</v>
          </cell>
          <cell r="U36">
            <v>2.14598540145985</v>
          </cell>
          <cell r="V36">
            <v>4.35401459854015</v>
          </cell>
          <cell r="W36" t="str">
            <v>有库存无销量</v>
          </cell>
          <cell r="X36" t="str">
            <v>库存过高</v>
          </cell>
          <cell r="Y36">
            <v>2.02</v>
          </cell>
          <cell r="Z36">
            <v>3.64</v>
          </cell>
          <cell r="AA36">
            <v>7.3</v>
          </cell>
          <cell r="AB36" t="str">
            <v>-</v>
          </cell>
        </row>
        <row r="37">
          <cell r="A37" t="str">
            <v>美珠</v>
          </cell>
          <cell r="B37" t="str">
            <v>Y72454-BL+Y72455+Y72511</v>
          </cell>
          <cell r="C37" t="str">
            <v>中性三星 A21 黑色</v>
          </cell>
        </row>
        <row r="37">
          <cell r="E37" t="str">
            <v>B0B5XBSDS2</v>
          </cell>
          <cell r="F37">
            <v>121</v>
          </cell>
          <cell r="G37">
            <v>1</v>
          </cell>
          <cell r="H37">
            <v>3</v>
          </cell>
          <cell r="I37">
            <v>1</v>
          </cell>
          <cell r="J37">
            <v>0</v>
          </cell>
          <cell r="K37">
            <v>126</v>
          </cell>
          <cell r="L37">
            <v>13.9</v>
          </cell>
          <cell r="M37">
            <v>1751.4</v>
          </cell>
          <cell r="N37">
            <v>12</v>
          </cell>
          <cell r="O37">
            <v>26</v>
          </cell>
          <cell r="P37">
            <v>52</v>
          </cell>
          <cell r="Q37">
            <v>18</v>
          </cell>
          <cell r="R37">
            <v>-6</v>
          </cell>
          <cell r="S37">
            <v>72.9595588235294</v>
          </cell>
          <cell r="T37">
            <v>2.43198529411765</v>
          </cell>
          <cell r="U37">
            <v>3.12141280353201</v>
          </cell>
          <cell r="V37">
            <v>-0.689427509414363</v>
          </cell>
          <cell r="W37" t="str">
            <v>库存过高</v>
          </cell>
          <cell r="X37" t="str">
            <v>库存过高</v>
          </cell>
          <cell r="Y37">
            <v>12.45</v>
          </cell>
          <cell r="Z37">
            <v>23.68</v>
          </cell>
          <cell r="AA37">
            <v>35.27</v>
          </cell>
          <cell r="AB37">
            <v>0.336759534757912</v>
          </cell>
        </row>
        <row r="38">
          <cell r="A38" t="str">
            <v>美珠</v>
          </cell>
          <cell r="B38" t="str">
            <v>Y72454-DB+Y72455+Y72511</v>
          </cell>
          <cell r="C38" t="str">
            <v>中性三星 A21 深蓝+蓝色</v>
          </cell>
        </row>
        <row r="38">
          <cell r="E38" t="str">
            <v>B0B5XFNDV8</v>
          </cell>
          <cell r="F38">
            <v>83</v>
          </cell>
          <cell r="G38">
            <v>0</v>
          </cell>
          <cell r="H38">
            <v>0</v>
          </cell>
          <cell r="I38">
            <v>0</v>
          </cell>
          <cell r="J38">
            <v>0</v>
          </cell>
          <cell r="K38">
            <v>83</v>
          </cell>
          <cell r="L38">
            <v>13.9</v>
          </cell>
          <cell r="M38">
            <v>1153.7</v>
          </cell>
          <cell r="N38">
            <v>1</v>
          </cell>
          <cell r="O38">
            <v>7</v>
          </cell>
          <cell r="P38">
            <v>24</v>
          </cell>
          <cell r="Q38">
            <v>5</v>
          </cell>
          <cell r="R38">
            <v>-4</v>
          </cell>
          <cell r="S38">
            <v>176.655405405405</v>
          </cell>
          <cell r="T38">
            <v>5.88851351351351</v>
          </cell>
          <cell r="U38">
            <v>7.21604938271605</v>
          </cell>
          <cell r="V38">
            <v>-1.32753586920254</v>
          </cell>
          <cell r="W38" t="str">
            <v>库存过高</v>
          </cell>
          <cell r="X38" t="str">
            <v>库存过高</v>
          </cell>
          <cell r="Y38">
            <v>0</v>
          </cell>
          <cell r="Z38">
            <v>0</v>
          </cell>
          <cell r="AA38">
            <v>0</v>
          </cell>
          <cell r="AB38" t="str">
            <v>-</v>
          </cell>
        </row>
        <row r="39">
          <cell r="A39" t="str">
            <v>美珠</v>
          </cell>
          <cell r="B39" t="str">
            <v>Y72454-OR+Y72455+Y72511</v>
          </cell>
          <cell r="C39" t="str">
            <v>中性三星 A21 黑橙</v>
          </cell>
        </row>
        <row r="39">
          <cell r="E39" t="str">
            <v>B0B5XDHJZ7</v>
          </cell>
          <cell r="F39">
            <v>28</v>
          </cell>
          <cell r="G39">
            <v>0</v>
          </cell>
          <cell r="H39">
            <v>0</v>
          </cell>
          <cell r="I39">
            <v>2</v>
          </cell>
          <cell r="J39">
            <v>0</v>
          </cell>
          <cell r="K39">
            <v>30</v>
          </cell>
          <cell r="L39">
            <v>13.9</v>
          </cell>
          <cell r="M39">
            <v>417</v>
          </cell>
          <cell r="N39">
            <v>6</v>
          </cell>
          <cell r="O39">
            <v>18</v>
          </cell>
          <cell r="P39">
            <v>42</v>
          </cell>
          <cell r="Q39">
            <v>9</v>
          </cell>
          <cell r="R39">
            <v>-3</v>
          </cell>
          <cell r="S39">
            <v>26.0330578512397</v>
          </cell>
          <cell r="T39">
            <v>0.867768595041322</v>
          </cell>
          <cell r="U39">
            <v>1.62344139650873</v>
          </cell>
          <cell r="V39">
            <v>-0.755672801467408</v>
          </cell>
          <cell r="W39" t="str">
            <v>正常</v>
          </cell>
          <cell r="X39" t="str">
            <v>正常</v>
          </cell>
          <cell r="Y39">
            <v>15.67</v>
          </cell>
          <cell r="Z39">
            <v>29.38</v>
          </cell>
          <cell r="AA39">
            <v>63.75</v>
          </cell>
          <cell r="AB39">
            <v>0.315736449727987</v>
          </cell>
        </row>
        <row r="40">
          <cell r="A40" t="str">
            <v>欣彤</v>
          </cell>
          <cell r="B40" t="str">
            <v>Y73452-BL+Y73456+Y73457</v>
          </cell>
          <cell r="C40" t="str">
            <v>中性Moto G Stylus 5G 黑</v>
          </cell>
        </row>
        <row r="40">
          <cell r="E40" t="str">
            <v>B0B63MS33X</v>
          </cell>
          <cell r="F40">
            <v>1</v>
          </cell>
          <cell r="G40">
            <v>0</v>
          </cell>
          <cell r="H40">
            <v>0</v>
          </cell>
          <cell r="I40">
            <v>0</v>
          </cell>
          <cell r="J40">
            <v>0</v>
          </cell>
          <cell r="K40">
            <v>1</v>
          </cell>
          <cell r="L40">
            <v>13.9</v>
          </cell>
          <cell r="M40">
            <v>13.9</v>
          </cell>
          <cell r="N40">
            <v>0</v>
          </cell>
          <cell r="O40">
            <v>0</v>
          </cell>
          <cell r="P40">
            <v>0</v>
          </cell>
          <cell r="Q40">
            <v>0</v>
          </cell>
          <cell r="R40">
            <v>0</v>
          </cell>
          <cell r="S40" t="str">
            <v>-</v>
          </cell>
          <cell r="T40" t="str">
            <v>-</v>
          </cell>
          <cell r="U40">
            <v>0</v>
          </cell>
          <cell r="V40" t="str">
            <v>-</v>
          </cell>
          <cell r="W40" t="str">
            <v>有库存无销量</v>
          </cell>
          <cell r="X40" t="str">
            <v>有库存无销量</v>
          </cell>
          <cell r="Y40">
            <v>0</v>
          </cell>
          <cell r="Z40">
            <v>0</v>
          </cell>
          <cell r="AA40">
            <v>0</v>
          </cell>
          <cell r="AB40" t="str">
            <v>-</v>
          </cell>
        </row>
        <row r="41">
          <cell r="A41" t="str">
            <v>美珠</v>
          </cell>
          <cell r="B41" t="str">
            <v>Y73452-DB+Y73456+Y73457</v>
          </cell>
          <cell r="C41" t="str">
            <v>中性Moto G Stylus 5G 深蓝+蓝</v>
          </cell>
        </row>
        <row r="41">
          <cell r="E41" t="str">
            <v>B0B63LPZZ8</v>
          </cell>
          <cell r="F41">
            <v>9</v>
          </cell>
          <cell r="G41">
            <v>0</v>
          </cell>
          <cell r="H41">
            <v>1</v>
          </cell>
          <cell r="I41">
            <v>0</v>
          </cell>
          <cell r="J41">
            <v>0</v>
          </cell>
          <cell r="K41">
            <v>10</v>
          </cell>
          <cell r="L41">
            <v>13.9</v>
          </cell>
          <cell r="M41">
            <v>139</v>
          </cell>
          <cell r="N41">
            <v>4</v>
          </cell>
          <cell r="O41">
            <v>5</v>
          </cell>
          <cell r="P41">
            <v>10</v>
          </cell>
          <cell r="Q41">
            <v>2</v>
          </cell>
          <cell r="R41">
            <v>2</v>
          </cell>
          <cell r="S41">
            <v>24.2307692307692</v>
          </cell>
          <cell r="T41">
            <v>0.807692307692308</v>
          </cell>
          <cell r="U41">
            <v>1.07299270072993</v>
          </cell>
          <cell r="V41">
            <v>-0.265300393037622</v>
          </cell>
          <cell r="W41" t="str">
            <v>正常</v>
          </cell>
          <cell r="X41" t="str">
            <v>正常</v>
          </cell>
          <cell r="Y41">
            <v>5.77</v>
          </cell>
          <cell r="Z41">
            <v>13.41</v>
          </cell>
          <cell r="AA41">
            <v>24.32</v>
          </cell>
          <cell r="AB41" t="str">
            <v>-</v>
          </cell>
        </row>
        <row r="42">
          <cell r="A42" t="str">
            <v>美珠</v>
          </cell>
          <cell r="B42" t="str">
            <v>Y73452-OR+Y73456+Y73457</v>
          </cell>
          <cell r="C42" t="str">
            <v>中性Moto G Stylus 5G 黑+橙</v>
          </cell>
        </row>
        <row r="42">
          <cell r="E42" t="str">
            <v>B0B63NLM2C</v>
          </cell>
          <cell r="F42">
            <v>8</v>
          </cell>
          <cell r="G42">
            <v>0</v>
          </cell>
          <cell r="H42">
            <v>0</v>
          </cell>
          <cell r="I42">
            <v>0</v>
          </cell>
          <cell r="J42">
            <v>0</v>
          </cell>
          <cell r="K42">
            <v>8</v>
          </cell>
          <cell r="L42">
            <v>13.9</v>
          </cell>
          <cell r="M42">
            <v>111.2</v>
          </cell>
          <cell r="N42">
            <v>0</v>
          </cell>
          <cell r="O42">
            <v>2</v>
          </cell>
          <cell r="P42">
            <v>9</v>
          </cell>
          <cell r="Q42">
            <v>6</v>
          </cell>
          <cell r="R42">
            <v>-6</v>
          </cell>
          <cell r="S42">
            <v>55.3846153846154</v>
          </cell>
          <cell r="T42">
            <v>1.84615384615385</v>
          </cell>
          <cell r="U42">
            <v>0.161538461538462</v>
          </cell>
          <cell r="V42">
            <v>1.68461538461538</v>
          </cell>
          <cell r="W42" t="str">
            <v>有库存无销量</v>
          </cell>
          <cell r="X42" t="str">
            <v>库存过高</v>
          </cell>
          <cell r="Y42">
            <v>0.72</v>
          </cell>
          <cell r="Z42">
            <v>1.95</v>
          </cell>
          <cell r="AA42">
            <v>4.65</v>
          </cell>
          <cell r="AB42">
            <v>0.0554272517321016</v>
          </cell>
        </row>
        <row r="43">
          <cell r="A43" t="str">
            <v>美珠</v>
          </cell>
          <cell r="B43" t="str">
            <v>Y73189-BL+Y73190+Y73270</v>
          </cell>
          <cell r="C43" t="str">
            <v>中性Moto One 5G Ace 黑</v>
          </cell>
        </row>
        <row r="43">
          <cell r="E43" t="str">
            <v>B0B68J2J8P</v>
          </cell>
          <cell r="F43">
            <v>26</v>
          </cell>
          <cell r="G43">
            <v>0</v>
          </cell>
          <cell r="H43">
            <v>0</v>
          </cell>
          <cell r="I43">
            <v>0</v>
          </cell>
          <cell r="J43">
            <v>0</v>
          </cell>
          <cell r="K43">
            <v>26</v>
          </cell>
          <cell r="L43">
            <v>13.9</v>
          </cell>
          <cell r="M43">
            <v>361.4</v>
          </cell>
          <cell r="N43">
            <v>13</v>
          </cell>
          <cell r="O43">
            <v>17</v>
          </cell>
          <cell r="P43">
            <v>31</v>
          </cell>
          <cell r="Q43">
            <v>12</v>
          </cell>
          <cell r="R43">
            <v>1</v>
          </cell>
          <cell r="S43">
            <v>19.3846153846154</v>
          </cell>
          <cell r="T43">
            <v>0.646153846153846</v>
          </cell>
          <cell r="U43">
            <v>1.29383886255924</v>
          </cell>
          <cell r="V43">
            <v>-0.647685016405394</v>
          </cell>
          <cell r="W43" t="str">
            <v>库存过低</v>
          </cell>
          <cell r="X43" t="str">
            <v>正常</v>
          </cell>
          <cell r="Y43">
            <v>3.12</v>
          </cell>
          <cell r="Z43">
            <v>5.09</v>
          </cell>
          <cell r="AA43">
            <v>7</v>
          </cell>
          <cell r="AB43">
            <v>0.141947224749773</v>
          </cell>
        </row>
        <row r="44">
          <cell r="A44" t="str">
            <v>美珠</v>
          </cell>
          <cell r="B44" t="str">
            <v>Y73189-DB+Y73190+Y73270</v>
          </cell>
          <cell r="C44" t="str">
            <v>中性Moto One 5G Ace 深蓝+蓝</v>
          </cell>
        </row>
        <row r="44">
          <cell r="E44" t="str">
            <v>B0B68H64R9</v>
          </cell>
          <cell r="F44">
            <v>32</v>
          </cell>
          <cell r="G44">
            <v>0</v>
          </cell>
          <cell r="H44">
            <v>0</v>
          </cell>
          <cell r="I44">
            <v>0</v>
          </cell>
          <cell r="J44">
            <v>1</v>
          </cell>
          <cell r="K44">
            <v>33</v>
          </cell>
          <cell r="L44">
            <v>13.9</v>
          </cell>
          <cell r="M44">
            <v>458.7</v>
          </cell>
          <cell r="N44">
            <v>2</v>
          </cell>
          <cell r="O44">
            <v>4</v>
          </cell>
          <cell r="P44">
            <v>28</v>
          </cell>
          <cell r="Q44">
            <v>21</v>
          </cell>
          <cell r="R44">
            <v>-19</v>
          </cell>
          <cell r="S44">
            <v>66.6346153846154</v>
          </cell>
          <cell r="T44">
            <v>2.22115384615385</v>
          </cell>
          <cell r="U44">
            <v>0.146341463414634</v>
          </cell>
          <cell r="V44">
            <v>2.07481238273921</v>
          </cell>
          <cell r="W44" t="str">
            <v>库存过高</v>
          </cell>
          <cell r="X44" t="str">
            <v>库存过高</v>
          </cell>
          <cell r="Y44">
            <v>0</v>
          </cell>
          <cell r="Z44">
            <v>0.16</v>
          </cell>
          <cell r="AA44">
            <v>0.16</v>
          </cell>
          <cell r="AB44" t="str">
            <v>-</v>
          </cell>
        </row>
        <row r="45">
          <cell r="A45" t="str">
            <v>美珠</v>
          </cell>
          <cell r="B45" t="str">
            <v>Y73189-OR+Y73190+Y73270</v>
          </cell>
          <cell r="C45" t="str">
            <v>中性Moto One 5G Ace 黑+橙</v>
          </cell>
        </row>
        <row r="45">
          <cell r="E45" t="str">
            <v>B0B68GLBJM</v>
          </cell>
          <cell r="F45">
            <v>8</v>
          </cell>
          <cell r="G45">
            <v>0</v>
          </cell>
          <cell r="H45">
            <v>0</v>
          </cell>
          <cell r="I45">
            <v>0</v>
          </cell>
          <cell r="J45">
            <v>0</v>
          </cell>
          <cell r="K45">
            <v>8</v>
          </cell>
          <cell r="L45">
            <v>13.9</v>
          </cell>
          <cell r="M45">
            <v>111.2</v>
          </cell>
          <cell r="N45">
            <v>4</v>
          </cell>
          <cell r="O45">
            <v>7</v>
          </cell>
          <cell r="P45">
            <v>14</v>
          </cell>
          <cell r="Q45">
            <v>5</v>
          </cell>
          <cell r="R45">
            <v>-1</v>
          </cell>
          <cell r="S45">
            <v>15.9493670886076</v>
          </cell>
          <cell r="T45">
            <v>0.531645569620253</v>
          </cell>
          <cell r="U45">
            <v>0.867256637168142</v>
          </cell>
          <cell r="V45">
            <v>-0.335611067547889</v>
          </cell>
          <cell r="W45" t="str">
            <v>库存过低</v>
          </cell>
          <cell r="X45" t="str">
            <v>正常</v>
          </cell>
          <cell r="Y45">
            <v>15.88</v>
          </cell>
          <cell r="Z45">
            <v>25.82</v>
          </cell>
          <cell r="AA45">
            <v>47.61</v>
          </cell>
          <cell r="AB45">
            <v>0.106670249210721</v>
          </cell>
        </row>
        <row r="46">
          <cell r="A46" t="str">
            <v>美珠</v>
          </cell>
          <cell r="B46" t="str">
            <v>Y73405-BL+Y73406+Y73397</v>
          </cell>
          <cell r="C46" t="str">
            <v>中性三星 A42 5G 黑</v>
          </cell>
        </row>
        <row r="46">
          <cell r="E46" t="str">
            <v>B0B63GFYYK</v>
          </cell>
          <cell r="F46">
            <v>15</v>
          </cell>
          <cell r="G46">
            <v>0</v>
          </cell>
          <cell r="H46">
            <v>0</v>
          </cell>
          <cell r="I46">
            <v>0</v>
          </cell>
          <cell r="J46">
            <v>0</v>
          </cell>
          <cell r="K46">
            <v>15</v>
          </cell>
          <cell r="L46">
            <v>13.9</v>
          </cell>
          <cell r="M46">
            <v>208.5</v>
          </cell>
          <cell r="N46">
            <v>1</v>
          </cell>
          <cell r="O46">
            <v>1</v>
          </cell>
          <cell r="P46">
            <v>1</v>
          </cell>
          <cell r="Q46">
            <v>0</v>
          </cell>
          <cell r="R46">
            <v>1</v>
          </cell>
          <cell r="S46">
            <v>185.294117647059</v>
          </cell>
          <cell r="T46">
            <v>6.17647058823529</v>
          </cell>
          <cell r="U46">
            <v>48</v>
          </cell>
          <cell r="V46">
            <v>-41.8235294117647</v>
          </cell>
          <cell r="W46" t="str">
            <v>库存过高</v>
          </cell>
          <cell r="X46" t="str">
            <v>库存过高</v>
          </cell>
          <cell r="Y46">
            <v>2.35</v>
          </cell>
          <cell r="Z46">
            <v>3.54</v>
          </cell>
          <cell r="AA46">
            <v>5.37</v>
          </cell>
          <cell r="AB46" t="str">
            <v>-</v>
          </cell>
        </row>
        <row r="47">
          <cell r="A47" t="str">
            <v>美珠</v>
          </cell>
          <cell r="B47" t="str">
            <v>Y73405-DB+Y73406+Y73397</v>
          </cell>
          <cell r="C47" t="str">
            <v>中性三星 A42 5G 深蓝+蓝</v>
          </cell>
        </row>
        <row r="47">
          <cell r="E47" t="str">
            <v>B0B63J18RW</v>
          </cell>
          <cell r="F47">
            <v>14</v>
          </cell>
          <cell r="G47">
            <v>0</v>
          </cell>
          <cell r="H47">
            <v>0</v>
          </cell>
          <cell r="I47">
            <v>0</v>
          </cell>
          <cell r="J47">
            <v>0</v>
          </cell>
          <cell r="K47">
            <v>14</v>
          </cell>
          <cell r="L47">
            <v>13.9</v>
          </cell>
          <cell r="M47">
            <v>194.6</v>
          </cell>
          <cell r="N47">
            <v>5</v>
          </cell>
          <cell r="O47">
            <v>5</v>
          </cell>
          <cell r="P47">
            <v>7</v>
          </cell>
          <cell r="Q47">
            <v>1</v>
          </cell>
          <cell r="R47">
            <v>4</v>
          </cell>
          <cell r="S47">
            <v>32.7881040892193</v>
          </cell>
          <cell r="T47">
            <v>1.09293680297398</v>
          </cell>
          <cell r="U47">
            <v>4.51898734177215</v>
          </cell>
          <cell r="V47">
            <v>-3.42605053879817</v>
          </cell>
          <cell r="W47" t="str">
            <v>正常</v>
          </cell>
          <cell r="X47" t="str">
            <v>正常</v>
          </cell>
          <cell r="Y47">
            <v>3.9</v>
          </cell>
          <cell r="Z47">
            <v>8.33</v>
          </cell>
          <cell r="AA47">
            <v>14.3</v>
          </cell>
          <cell r="AB47">
            <v>0.0684811237928007</v>
          </cell>
        </row>
        <row r="48">
          <cell r="A48" t="str">
            <v>美珠</v>
          </cell>
          <cell r="B48" t="str">
            <v>Y73473-BB+Y72614+Y73476</v>
          </cell>
          <cell r="C48" t="str">
            <v>中性iPhone13 6.1/iPhone14 6.1 黑+蓝</v>
          </cell>
        </row>
        <row r="48">
          <cell r="E48" t="str">
            <v>B0B6PNC3JZ</v>
          </cell>
          <cell r="F48">
            <v>2</v>
          </cell>
          <cell r="G48">
            <v>0</v>
          </cell>
          <cell r="H48">
            <v>0</v>
          </cell>
          <cell r="I48">
            <v>0</v>
          </cell>
          <cell r="J48">
            <v>0</v>
          </cell>
          <cell r="K48">
            <v>2</v>
          </cell>
          <cell r="L48">
            <v>13.9</v>
          </cell>
          <cell r="M48">
            <v>27.8</v>
          </cell>
          <cell r="N48">
            <v>3</v>
          </cell>
          <cell r="O48">
            <v>4</v>
          </cell>
          <cell r="P48">
            <v>12</v>
          </cell>
          <cell r="Q48">
            <v>4</v>
          </cell>
          <cell r="R48">
            <v>-1</v>
          </cell>
          <cell r="S48">
            <v>5.47826086956522</v>
          </cell>
          <cell r="T48">
            <v>0.182608695652174</v>
          </cell>
          <cell r="U48">
            <v>0.707865168539326</v>
          </cell>
          <cell r="V48">
            <v>-0.525256472887152</v>
          </cell>
          <cell r="W48" t="str">
            <v>库存过低</v>
          </cell>
          <cell r="X48" t="str">
            <v>库存过低</v>
          </cell>
          <cell r="Y48">
            <v>1.2</v>
          </cell>
          <cell r="Z48">
            <v>2.88</v>
          </cell>
          <cell r="AA48">
            <v>4.82</v>
          </cell>
          <cell r="AB48" t="str">
            <v>-</v>
          </cell>
        </row>
        <row r="49">
          <cell r="A49" t="str">
            <v>美珠</v>
          </cell>
          <cell r="B49" t="str">
            <v>Y73473-BL+Y72614+Y73476</v>
          </cell>
          <cell r="C49" t="str">
            <v>中性iphone 13 黑</v>
          </cell>
        </row>
        <row r="49">
          <cell r="E49" t="str">
            <v>B0B6PMRZH8</v>
          </cell>
          <cell r="F49">
            <v>0</v>
          </cell>
          <cell r="G49">
            <v>0</v>
          </cell>
          <cell r="H49">
            <v>0</v>
          </cell>
          <cell r="I49">
            <v>0</v>
          </cell>
          <cell r="J49">
            <v>0</v>
          </cell>
          <cell r="K49">
            <v>0</v>
          </cell>
          <cell r="L49">
            <v>13.9</v>
          </cell>
          <cell r="M49">
            <v>0</v>
          </cell>
          <cell r="N49">
            <v>0</v>
          </cell>
          <cell r="O49">
            <v>0</v>
          </cell>
          <cell r="P49">
            <v>5</v>
          </cell>
          <cell r="Q49">
            <v>3</v>
          </cell>
          <cell r="R49">
            <v>-3</v>
          </cell>
          <cell r="S49">
            <v>0</v>
          </cell>
          <cell r="T49">
            <v>0</v>
          </cell>
          <cell r="U49">
            <v>0.14</v>
          </cell>
          <cell r="V49">
            <v>-0.14</v>
          </cell>
          <cell r="W49" t="str">
            <v>无库存无销量</v>
          </cell>
          <cell r="X49" t="str">
            <v>无库存有销量</v>
          </cell>
          <cell r="Y49">
            <v>0</v>
          </cell>
          <cell r="Z49">
            <v>0</v>
          </cell>
          <cell r="AA49">
            <v>0</v>
          </cell>
          <cell r="AB49" t="str">
            <v>-</v>
          </cell>
        </row>
        <row r="50">
          <cell r="A50" t="str">
            <v>美珠</v>
          </cell>
          <cell r="B50" t="str">
            <v>Y73473-DB+Y72614+Y73476</v>
          </cell>
          <cell r="C50" t="str">
            <v>中性iphone 13 深蓝+蓝</v>
          </cell>
        </row>
        <row r="50">
          <cell r="E50" t="str">
            <v>B0B6PN6971</v>
          </cell>
          <cell r="F50">
            <v>16</v>
          </cell>
          <cell r="G50">
            <v>0</v>
          </cell>
          <cell r="H50">
            <v>1</v>
          </cell>
          <cell r="I50">
            <v>0</v>
          </cell>
          <cell r="J50">
            <v>0</v>
          </cell>
          <cell r="K50">
            <v>17</v>
          </cell>
          <cell r="L50">
            <v>13.9</v>
          </cell>
          <cell r="M50">
            <v>236.3</v>
          </cell>
          <cell r="N50">
            <v>0</v>
          </cell>
          <cell r="O50">
            <v>0</v>
          </cell>
          <cell r="P50">
            <v>8</v>
          </cell>
          <cell r="Q50">
            <v>8</v>
          </cell>
          <cell r="R50">
            <v>-8</v>
          </cell>
          <cell r="S50">
            <v>191.25</v>
          </cell>
          <cell r="T50">
            <v>6.375</v>
          </cell>
          <cell r="U50">
            <v>0.367614879649891</v>
          </cell>
          <cell r="V50">
            <v>6.00738512035011</v>
          </cell>
          <cell r="W50" t="str">
            <v>有库存无销量</v>
          </cell>
          <cell r="X50" t="str">
            <v>库存过高</v>
          </cell>
          <cell r="Y50">
            <v>0</v>
          </cell>
          <cell r="Z50">
            <v>0</v>
          </cell>
          <cell r="AA50">
            <v>0</v>
          </cell>
          <cell r="AB50" t="str">
            <v>-</v>
          </cell>
        </row>
        <row r="51">
          <cell r="A51" t="str">
            <v>美珠</v>
          </cell>
          <cell r="B51" t="str">
            <v>Y73473-GR+Y72614+Y73476</v>
          </cell>
          <cell r="C51" t="str">
            <v>中性iPhone13 6.1/iPhone14 6.1 浅绿+黄</v>
          </cell>
        </row>
        <row r="51">
          <cell r="E51" t="str">
            <v>B0B6PL25WN</v>
          </cell>
          <cell r="F51">
            <v>19</v>
          </cell>
          <cell r="G51">
            <v>0</v>
          </cell>
          <cell r="H51">
            <v>0</v>
          </cell>
          <cell r="I51">
            <v>0</v>
          </cell>
          <cell r="J51">
            <v>0</v>
          </cell>
          <cell r="K51">
            <v>19</v>
          </cell>
          <cell r="L51">
            <v>13.9</v>
          </cell>
          <cell r="M51">
            <v>264.1</v>
          </cell>
          <cell r="N51">
            <v>0</v>
          </cell>
          <cell r="O51">
            <v>0</v>
          </cell>
          <cell r="P51">
            <v>1</v>
          </cell>
          <cell r="Q51">
            <v>0</v>
          </cell>
          <cell r="R51">
            <v>0</v>
          </cell>
          <cell r="S51">
            <v>1710</v>
          </cell>
          <cell r="T51">
            <v>57</v>
          </cell>
          <cell r="U51" t="str">
            <v>-</v>
          </cell>
          <cell r="V51" t="str">
            <v>-</v>
          </cell>
          <cell r="W51" t="str">
            <v>有库存无销量</v>
          </cell>
          <cell r="X51" t="str">
            <v>库存过高</v>
          </cell>
          <cell r="Y51">
            <v>0</v>
          </cell>
          <cell r="Z51">
            <v>0</v>
          </cell>
          <cell r="AA51">
            <v>0</v>
          </cell>
          <cell r="AB51" t="str">
            <v>-</v>
          </cell>
        </row>
        <row r="52">
          <cell r="A52" t="str">
            <v>美珠</v>
          </cell>
          <cell r="B52" t="str">
            <v>Y73473-OR+Y72614+Y73476</v>
          </cell>
          <cell r="C52" t="str">
            <v>中性iphone 13 黑+橙</v>
          </cell>
        </row>
        <row r="52">
          <cell r="E52" t="str">
            <v>B0B6PDYBL9</v>
          </cell>
          <cell r="F52">
            <v>4</v>
          </cell>
          <cell r="G52">
            <v>0</v>
          </cell>
          <cell r="H52">
            <v>0</v>
          </cell>
          <cell r="I52">
            <v>0</v>
          </cell>
          <cell r="J52">
            <v>0</v>
          </cell>
          <cell r="K52">
            <v>4</v>
          </cell>
          <cell r="L52">
            <v>13.9</v>
          </cell>
          <cell r="M52">
            <v>55.6</v>
          </cell>
          <cell r="N52">
            <v>0</v>
          </cell>
          <cell r="O52">
            <v>1</v>
          </cell>
          <cell r="P52">
            <v>11</v>
          </cell>
          <cell r="Q52">
            <v>9</v>
          </cell>
          <cell r="R52">
            <v>-9</v>
          </cell>
          <cell r="S52">
            <v>27.6923076923077</v>
          </cell>
          <cell r="T52">
            <v>0.923076923076923</v>
          </cell>
          <cell r="U52">
            <v>0.467611336032389</v>
          </cell>
          <cell r="V52">
            <v>0.455465587044534</v>
          </cell>
          <cell r="W52" t="str">
            <v>有库存无销量</v>
          </cell>
          <cell r="X52" t="str">
            <v>正常</v>
          </cell>
          <cell r="Y52">
            <v>0</v>
          </cell>
          <cell r="Z52">
            <v>0</v>
          </cell>
          <cell r="AA52">
            <v>0</v>
          </cell>
          <cell r="AB52" t="str">
            <v>-</v>
          </cell>
        </row>
        <row r="53">
          <cell r="A53" t="str">
            <v>美珠</v>
          </cell>
          <cell r="B53" t="str">
            <v>Y73474-BL+Y72614+Y73477</v>
          </cell>
          <cell r="C53" t="str">
            <v>中性iphone 13 pro 黑</v>
          </cell>
        </row>
        <row r="53">
          <cell r="E53" t="str">
            <v>B0B6P7LF14</v>
          </cell>
          <cell r="F53">
            <v>0</v>
          </cell>
          <cell r="G53">
            <v>0</v>
          </cell>
          <cell r="H53">
            <v>0</v>
          </cell>
          <cell r="I53">
            <v>0</v>
          </cell>
          <cell r="J53">
            <v>0</v>
          </cell>
          <cell r="K53">
            <v>0</v>
          </cell>
          <cell r="L53">
            <v>13.9</v>
          </cell>
          <cell r="M53">
            <v>0</v>
          </cell>
          <cell r="N53">
            <v>0</v>
          </cell>
          <cell r="O53">
            <v>0</v>
          </cell>
          <cell r="P53">
            <v>2</v>
          </cell>
          <cell r="Q53">
            <v>1</v>
          </cell>
          <cell r="R53">
            <v>-1</v>
          </cell>
          <cell r="S53">
            <v>0</v>
          </cell>
          <cell r="T53">
            <v>0</v>
          </cell>
          <cell r="U53">
            <v>0.155555555555556</v>
          </cell>
          <cell r="V53">
            <v>-0.155555555555556</v>
          </cell>
          <cell r="W53" t="str">
            <v>无库存无销量</v>
          </cell>
          <cell r="X53" t="str">
            <v>无库存有销量</v>
          </cell>
          <cell r="Y53">
            <v>0</v>
          </cell>
          <cell r="Z53">
            <v>0</v>
          </cell>
          <cell r="AA53">
            <v>0</v>
          </cell>
          <cell r="AB53" t="str">
            <v>-</v>
          </cell>
        </row>
        <row r="54">
          <cell r="A54" t="str">
            <v>美珠</v>
          </cell>
          <cell r="B54" t="str">
            <v>Y73474-DB+Y72614+Y73477</v>
          </cell>
          <cell r="C54" t="str">
            <v>中性iphone 13 pro 深蓝+蓝</v>
          </cell>
        </row>
        <row r="54">
          <cell r="E54" t="str">
            <v>B0B6P2GJ5K</v>
          </cell>
          <cell r="F54">
            <v>10</v>
          </cell>
          <cell r="G54">
            <v>1</v>
          </cell>
          <cell r="H54">
            <v>0</v>
          </cell>
          <cell r="I54">
            <v>0</v>
          </cell>
          <cell r="J54">
            <v>0</v>
          </cell>
          <cell r="K54">
            <v>11</v>
          </cell>
          <cell r="L54">
            <v>13.9</v>
          </cell>
          <cell r="M54">
            <v>152.9</v>
          </cell>
          <cell r="N54">
            <v>2</v>
          </cell>
          <cell r="O54">
            <v>4</v>
          </cell>
          <cell r="P54">
            <v>8</v>
          </cell>
          <cell r="Q54">
            <v>3</v>
          </cell>
          <cell r="R54">
            <v>-1</v>
          </cell>
          <cell r="S54">
            <v>40.2906976744186</v>
          </cell>
          <cell r="T54">
            <v>1.34302325581395</v>
          </cell>
          <cell r="U54">
            <v>1.50769230769231</v>
          </cell>
          <cell r="V54">
            <v>-0.164669051878356</v>
          </cell>
          <cell r="W54" t="str">
            <v>正常</v>
          </cell>
          <cell r="X54" t="str">
            <v>正常</v>
          </cell>
          <cell r="Y54">
            <v>5.12</v>
          </cell>
          <cell r="Z54">
            <v>8.71</v>
          </cell>
          <cell r="AA54">
            <v>21.6</v>
          </cell>
          <cell r="AB54">
            <v>0.465878070973612</v>
          </cell>
        </row>
        <row r="55">
          <cell r="A55" t="str">
            <v>美珠</v>
          </cell>
          <cell r="B55" t="str">
            <v>Y73474-GR+Y72614+Y73477</v>
          </cell>
          <cell r="C55" t="str">
            <v>中性iphone 13 pro 浅绿+黄</v>
          </cell>
        </row>
        <row r="55">
          <cell r="E55" t="str">
            <v>B0B6P9MG6K</v>
          </cell>
          <cell r="F55">
            <v>0</v>
          </cell>
          <cell r="G55">
            <v>0</v>
          </cell>
          <cell r="H55">
            <v>0</v>
          </cell>
          <cell r="I55">
            <v>0</v>
          </cell>
          <cell r="J55">
            <v>0</v>
          </cell>
          <cell r="K55">
            <v>0</v>
          </cell>
          <cell r="L55">
            <v>13.9</v>
          </cell>
          <cell r="M55">
            <v>0</v>
          </cell>
          <cell r="N55">
            <v>0</v>
          </cell>
          <cell r="O55">
            <v>0</v>
          </cell>
          <cell r="P55">
            <v>0</v>
          </cell>
          <cell r="Q55">
            <v>0</v>
          </cell>
          <cell r="R55">
            <v>0</v>
          </cell>
          <cell r="S55" t="str">
            <v>-</v>
          </cell>
          <cell r="T55" t="str">
            <v>-</v>
          </cell>
          <cell r="U55" t="str">
            <v>-</v>
          </cell>
          <cell r="V55" t="str">
            <v>-</v>
          </cell>
          <cell r="W55" t="str">
            <v>无库存无销量</v>
          </cell>
          <cell r="X55" t="str">
            <v>无库存无销量</v>
          </cell>
          <cell r="Y55">
            <v>0</v>
          </cell>
          <cell r="Z55">
            <v>0</v>
          </cell>
          <cell r="AA55">
            <v>0</v>
          </cell>
          <cell r="AB55" t="str">
            <v>-</v>
          </cell>
        </row>
        <row r="56">
          <cell r="A56" t="str">
            <v>美珠</v>
          </cell>
          <cell r="B56" t="str">
            <v>Y72056-BL+Y72059-Y72740</v>
          </cell>
          <cell r="C56" t="str">
            <v>中性三星 A20 黑色</v>
          </cell>
        </row>
        <row r="56">
          <cell r="E56" t="str">
            <v>B0B6FJ6GH5</v>
          </cell>
          <cell r="F56">
            <v>0</v>
          </cell>
          <cell r="G56">
            <v>0</v>
          </cell>
          <cell r="H56">
            <v>0</v>
          </cell>
          <cell r="I56">
            <v>0</v>
          </cell>
          <cell r="J56">
            <v>0</v>
          </cell>
          <cell r="K56">
            <v>0</v>
          </cell>
          <cell r="L56">
            <v>13.9</v>
          </cell>
          <cell r="M56">
            <v>0</v>
          </cell>
          <cell r="N56">
            <v>0</v>
          </cell>
          <cell r="O56">
            <v>0</v>
          </cell>
          <cell r="P56">
            <v>1</v>
          </cell>
          <cell r="Q56">
            <v>0</v>
          </cell>
          <cell r="R56">
            <v>0</v>
          </cell>
          <cell r="S56">
            <v>0</v>
          </cell>
          <cell r="T56">
            <v>0</v>
          </cell>
          <cell r="U56" t="str">
            <v>-</v>
          </cell>
          <cell r="V56" t="str">
            <v>-</v>
          </cell>
          <cell r="W56" t="str">
            <v>无库存无销量</v>
          </cell>
          <cell r="X56" t="str">
            <v>无库存有销量</v>
          </cell>
          <cell r="Y56">
            <v>0</v>
          </cell>
          <cell r="Z56">
            <v>0</v>
          </cell>
          <cell r="AA56">
            <v>0</v>
          </cell>
          <cell r="AB56" t="str">
            <v>-</v>
          </cell>
        </row>
        <row r="57">
          <cell r="A57" t="str">
            <v>美珠</v>
          </cell>
          <cell r="B57" t="str">
            <v>Y72563-BL+Y72564+Y72571</v>
          </cell>
          <cell r="C57" t="str">
            <v>中性三星 A11 黑色</v>
          </cell>
        </row>
        <row r="57">
          <cell r="E57" t="str">
            <v>B0B5ZPYKY5</v>
          </cell>
          <cell r="F57">
            <v>6</v>
          </cell>
          <cell r="G57">
            <v>0</v>
          </cell>
          <cell r="H57">
            <v>1</v>
          </cell>
          <cell r="I57">
            <v>0</v>
          </cell>
          <cell r="J57">
            <v>0</v>
          </cell>
          <cell r="K57">
            <v>7</v>
          </cell>
          <cell r="L57">
            <v>13.9</v>
          </cell>
          <cell r="M57">
            <v>97.3</v>
          </cell>
          <cell r="N57">
            <v>10</v>
          </cell>
          <cell r="O57">
            <v>14</v>
          </cell>
          <cell r="P57">
            <v>17</v>
          </cell>
          <cell r="Q57">
            <v>0</v>
          </cell>
          <cell r="R57">
            <v>10</v>
          </cell>
          <cell r="S57">
            <v>7.17073170731707</v>
          </cell>
          <cell r="T57">
            <v>0.239024390243902</v>
          </cell>
          <cell r="U57">
            <v>5</v>
          </cell>
          <cell r="V57">
            <v>-4.7609756097561</v>
          </cell>
          <cell r="W57" t="str">
            <v>库存过低</v>
          </cell>
          <cell r="X57" t="str">
            <v>库存过低</v>
          </cell>
          <cell r="Y57">
            <v>4.42</v>
          </cell>
          <cell r="Z57">
            <v>7.52</v>
          </cell>
          <cell r="AA57">
            <v>13.75</v>
          </cell>
          <cell r="AB57">
            <v>0.119556397078712</v>
          </cell>
        </row>
        <row r="58">
          <cell r="A58" t="str">
            <v>美珠</v>
          </cell>
          <cell r="B58" t="str">
            <v>Y72563-OR+Y72564+Y72571</v>
          </cell>
          <cell r="C58" t="str">
            <v>中性三星 A11 黑橙</v>
          </cell>
        </row>
        <row r="58">
          <cell r="E58" t="str">
            <v>B0B5ZN9XPZ</v>
          </cell>
          <cell r="F58">
            <v>12</v>
          </cell>
          <cell r="G58">
            <v>0</v>
          </cell>
          <cell r="H58">
            <v>0</v>
          </cell>
          <cell r="I58">
            <v>0</v>
          </cell>
          <cell r="J58">
            <v>0</v>
          </cell>
          <cell r="K58">
            <v>12</v>
          </cell>
          <cell r="L58">
            <v>13.9</v>
          </cell>
          <cell r="M58">
            <v>166.8</v>
          </cell>
          <cell r="N58">
            <v>2</v>
          </cell>
          <cell r="O58">
            <v>2</v>
          </cell>
          <cell r="P58">
            <v>4</v>
          </cell>
          <cell r="Q58">
            <v>2</v>
          </cell>
          <cell r="R58">
            <v>0</v>
          </cell>
          <cell r="S58">
            <v>65.1724137931035</v>
          </cell>
          <cell r="T58">
            <v>2.17241379310345</v>
          </cell>
          <cell r="U58">
            <v>1.72784810126582</v>
          </cell>
          <cell r="V58">
            <v>0.444565691837629</v>
          </cell>
          <cell r="W58" t="str">
            <v>正常</v>
          </cell>
          <cell r="X58" t="str">
            <v>库存过高</v>
          </cell>
          <cell r="Y58">
            <v>6.89</v>
          </cell>
          <cell r="Z58">
            <v>11.95</v>
          </cell>
          <cell r="AA58">
            <v>20.65</v>
          </cell>
          <cell r="AB58">
            <v>0.153213253279964</v>
          </cell>
        </row>
        <row r="59">
          <cell r="A59" t="str">
            <v>美珠</v>
          </cell>
          <cell r="B59" t="str">
            <v>Y72612-BL+Y72615+Y72636</v>
          </cell>
          <cell r="C59" t="str">
            <v>中性iPhone 12 6.7 黑色</v>
          </cell>
        </row>
        <row r="59">
          <cell r="E59" t="str">
            <v>B0B6FWC6N6</v>
          </cell>
          <cell r="F59">
            <v>77</v>
          </cell>
          <cell r="G59">
            <v>4</v>
          </cell>
          <cell r="H59">
            <v>21</v>
          </cell>
          <cell r="I59">
            <v>2</v>
          </cell>
          <cell r="J59">
            <v>17</v>
          </cell>
          <cell r="K59">
            <v>121</v>
          </cell>
          <cell r="L59">
            <v>13.9</v>
          </cell>
          <cell r="M59">
            <v>1681.9</v>
          </cell>
          <cell r="N59">
            <v>34</v>
          </cell>
          <cell r="O59">
            <v>44</v>
          </cell>
          <cell r="P59">
            <v>63</v>
          </cell>
          <cell r="Q59">
            <v>11</v>
          </cell>
          <cell r="R59">
            <v>23</v>
          </cell>
          <cell r="S59">
            <v>36.7019740009629</v>
          </cell>
          <cell r="T59">
            <v>1.22339913336543</v>
          </cell>
          <cell r="U59">
            <v>2.0047258979206</v>
          </cell>
          <cell r="V59">
            <v>-0.781326764555169</v>
          </cell>
          <cell r="W59" t="str">
            <v>正常</v>
          </cell>
          <cell r="X59" t="str">
            <v>正常</v>
          </cell>
          <cell r="Y59">
            <v>0.53</v>
          </cell>
          <cell r="Z59">
            <v>0.53</v>
          </cell>
          <cell r="AA59">
            <v>0.53</v>
          </cell>
          <cell r="AB59" t="str">
            <v>-</v>
          </cell>
        </row>
        <row r="60">
          <cell r="A60" t="str">
            <v>美珠</v>
          </cell>
          <cell r="B60" t="str">
            <v>Y72612-DB+Y72615+Y72636</v>
          </cell>
          <cell r="C60" t="str">
            <v>中性iPhone 12 6.7 深蓝+蓝色</v>
          </cell>
        </row>
        <row r="60">
          <cell r="E60" t="str">
            <v>B0B6FQ7GBY</v>
          </cell>
          <cell r="F60">
            <v>93</v>
          </cell>
          <cell r="G60">
            <v>2</v>
          </cell>
          <cell r="H60">
            <v>5</v>
          </cell>
          <cell r="I60">
            <v>0</v>
          </cell>
          <cell r="J60">
            <v>0</v>
          </cell>
          <cell r="K60">
            <v>100</v>
          </cell>
          <cell r="L60">
            <v>13.9</v>
          </cell>
          <cell r="M60">
            <v>1390</v>
          </cell>
          <cell r="N60">
            <v>4</v>
          </cell>
          <cell r="O60">
            <v>10</v>
          </cell>
          <cell r="P60">
            <v>28</v>
          </cell>
          <cell r="Q60">
            <v>9</v>
          </cell>
          <cell r="R60">
            <v>-5</v>
          </cell>
          <cell r="S60">
            <v>138.157894736842</v>
          </cell>
          <cell r="T60">
            <v>4.60526315789474</v>
          </cell>
          <cell r="U60">
            <v>2.82170542635659</v>
          </cell>
          <cell r="V60">
            <v>1.78355773153815</v>
          </cell>
          <cell r="W60" t="str">
            <v>库存过高</v>
          </cell>
          <cell r="X60" t="str">
            <v>库存过高</v>
          </cell>
          <cell r="Y60">
            <v>0.33</v>
          </cell>
          <cell r="Z60">
            <v>0.33</v>
          </cell>
          <cell r="AA60">
            <v>0.33</v>
          </cell>
          <cell r="AB60" t="str">
            <v>-</v>
          </cell>
        </row>
        <row r="61">
          <cell r="A61" t="str">
            <v>美珠</v>
          </cell>
          <cell r="B61" t="str">
            <v>Y7010-BL+Y7018+Y7014</v>
          </cell>
          <cell r="C61" t="str">
            <v>中性手机壳iPhone 14+软膜+背夹 黑</v>
          </cell>
          <cell r="D61">
            <v>44809</v>
          </cell>
          <cell r="E61" t="str">
            <v>B0BBFV5GCR</v>
          </cell>
          <cell r="F61">
            <v>31</v>
          </cell>
          <cell r="G61">
            <v>1</v>
          </cell>
          <cell r="H61">
            <v>30</v>
          </cell>
          <cell r="I61">
            <v>1</v>
          </cell>
          <cell r="J61">
            <v>28</v>
          </cell>
          <cell r="K61">
            <v>91</v>
          </cell>
          <cell r="L61">
            <v>13.9</v>
          </cell>
          <cell r="M61">
            <v>1264.9</v>
          </cell>
          <cell r="N61">
            <v>50</v>
          </cell>
          <cell r="O61">
            <v>61</v>
          </cell>
          <cell r="P61">
            <v>65</v>
          </cell>
          <cell r="Q61">
            <v>0</v>
          </cell>
          <cell r="R61">
            <v>50</v>
          </cell>
          <cell r="S61">
            <v>20.4093983624066</v>
          </cell>
          <cell r="T61">
            <v>0.680313278746885</v>
          </cell>
          <cell r="U61">
            <v>1.43283582089552</v>
          </cell>
          <cell r="V61">
            <v>-0.752522542148635</v>
          </cell>
          <cell r="W61" t="str">
            <v>库存过低</v>
          </cell>
          <cell r="X61" t="str">
            <v>正常</v>
          </cell>
          <cell r="Y61">
            <v>0.64</v>
          </cell>
          <cell r="Z61">
            <v>0.73</v>
          </cell>
          <cell r="AA61">
            <v>1.27</v>
          </cell>
          <cell r="AB61" t="str">
            <v>-</v>
          </cell>
        </row>
        <row r="62">
          <cell r="A62" t="str">
            <v>美珠</v>
          </cell>
          <cell r="B62" t="str">
            <v>Y7010-BU+Y7018+Y7014</v>
          </cell>
          <cell r="C62" t="str">
            <v>中性手机壳iPhone 14+软膜+背夹  黑+蓝</v>
          </cell>
          <cell r="D62">
            <v>44809</v>
          </cell>
          <cell r="E62" t="str">
            <v>B0BBFXGD1Q</v>
          </cell>
          <cell r="F62">
            <v>22</v>
          </cell>
          <cell r="G62">
            <v>0</v>
          </cell>
          <cell r="H62">
            <v>130</v>
          </cell>
          <cell r="I62">
            <v>0</v>
          </cell>
          <cell r="J62">
            <v>0</v>
          </cell>
          <cell r="K62">
            <v>152</v>
          </cell>
          <cell r="L62">
            <v>13.9</v>
          </cell>
          <cell r="M62">
            <v>2112.8</v>
          </cell>
          <cell r="N62">
            <v>10</v>
          </cell>
          <cell r="O62">
            <v>28</v>
          </cell>
          <cell r="P62">
            <v>50</v>
          </cell>
          <cell r="Q62">
            <v>14</v>
          </cell>
          <cell r="R62">
            <v>-4</v>
          </cell>
          <cell r="S62">
            <v>91.9001919385797</v>
          </cell>
          <cell r="T62">
            <v>3.06333973128599</v>
          </cell>
          <cell r="U62">
            <v>1.09615384615385</v>
          </cell>
          <cell r="V62">
            <v>1.96718588513214</v>
          </cell>
          <cell r="W62" t="str">
            <v>库存过高</v>
          </cell>
          <cell r="X62" t="str">
            <v>库存过高</v>
          </cell>
          <cell r="Y62">
            <v>24.9</v>
          </cell>
          <cell r="Z62">
            <v>52.24</v>
          </cell>
          <cell r="AA62">
            <v>108.04</v>
          </cell>
          <cell r="AB62">
            <v>0.254289215686274</v>
          </cell>
        </row>
        <row r="63">
          <cell r="A63" t="str">
            <v>美珠</v>
          </cell>
          <cell r="B63" t="str">
            <v>Y7010-DB+Y7018+Y7014</v>
          </cell>
          <cell r="C63" t="str">
            <v>中性手机壳iPhone 14+软膜+背夹  深蓝+蓝</v>
          </cell>
          <cell r="D63">
            <v>44809</v>
          </cell>
          <cell r="E63" t="str">
            <v>B0BBFVN3V9</v>
          </cell>
          <cell r="F63">
            <v>19</v>
          </cell>
          <cell r="G63">
            <v>0</v>
          </cell>
          <cell r="H63">
            <v>13</v>
          </cell>
          <cell r="I63">
            <v>0</v>
          </cell>
          <cell r="J63">
            <v>0</v>
          </cell>
          <cell r="K63">
            <v>32</v>
          </cell>
          <cell r="L63">
            <v>13.9</v>
          </cell>
          <cell r="M63">
            <v>444.8</v>
          </cell>
          <cell r="N63">
            <v>3</v>
          </cell>
          <cell r="O63">
            <v>4</v>
          </cell>
          <cell r="P63">
            <v>6</v>
          </cell>
          <cell r="Q63">
            <v>0</v>
          </cell>
          <cell r="R63">
            <v>3</v>
          </cell>
          <cell r="S63">
            <v>107.234042553191</v>
          </cell>
          <cell r="T63">
            <v>3.57446808510638</v>
          </cell>
          <cell r="U63">
            <v>6</v>
          </cell>
          <cell r="V63">
            <v>-2.42553191489362</v>
          </cell>
          <cell r="W63" t="str">
            <v>库存过高</v>
          </cell>
          <cell r="X63" t="str">
            <v>库存过高</v>
          </cell>
          <cell r="Y63">
            <v>0</v>
          </cell>
          <cell r="Z63">
            <v>0</v>
          </cell>
          <cell r="AA63">
            <v>0</v>
          </cell>
          <cell r="AB63" t="str">
            <v>-</v>
          </cell>
        </row>
        <row r="64">
          <cell r="A64" t="str">
            <v>美珠</v>
          </cell>
          <cell r="B64" t="str">
            <v>Y7010-GE+Y7018+Y7014</v>
          </cell>
          <cell r="C64" t="str">
            <v>中性手机壳iPhone 14+软膜+背夹  浅绿+黄</v>
          </cell>
          <cell r="D64">
            <v>44809</v>
          </cell>
          <cell r="E64" t="str">
            <v>B0BBFXXM8H</v>
          </cell>
          <cell r="F64">
            <v>63</v>
          </cell>
          <cell r="G64">
            <v>0</v>
          </cell>
          <cell r="H64">
            <v>0</v>
          </cell>
          <cell r="I64">
            <v>0</v>
          </cell>
          <cell r="J64">
            <v>0</v>
          </cell>
          <cell r="K64">
            <v>63</v>
          </cell>
          <cell r="L64">
            <v>13.9</v>
          </cell>
          <cell r="M64">
            <v>875.7</v>
          </cell>
          <cell r="N64">
            <v>0</v>
          </cell>
          <cell r="O64">
            <v>1</v>
          </cell>
          <cell r="P64">
            <v>2</v>
          </cell>
          <cell r="Q64">
            <v>1</v>
          </cell>
          <cell r="R64">
            <v>-1</v>
          </cell>
          <cell r="S64">
            <v>1417.5</v>
          </cell>
          <cell r="T64">
            <v>47.25</v>
          </cell>
          <cell r="U64">
            <v>17.0126582278481</v>
          </cell>
          <cell r="V64">
            <v>30.2373417721519</v>
          </cell>
          <cell r="W64" t="str">
            <v>有库存无销量</v>
          </cell>
          <cell r="X64" t="str">
            <v>库存过高</v>
          </cell>
          <cell r="Y64">
            <v>0</v>
          </cell>
          <cell r="Z64">
            <v>0</v>
          </cell>
          <cell r="AA64">
            <v>0</v>
          </cell>
          <cell r="AB64" t="str">
            <v>-</v>
          </cell>
        </row>
        <row r="65">
          <cell r="A65" t="str">
            <v>美珠</v>
          </cell>
          <cell r="B65" t="str">
            <v>Y7010-OR+Y7018+Y7014</v>
          </cell>
          <cell r="C65" t="str">
            <v>中性手机壳iPhone 14+软膜+背夹  黑+橙</v>
          </cell>
          <cell r="D65">
            <v>44809</v>
          </cell>
          <cell r="E65" t="str">
            <v>B0BBFVR6W8</v>
          </cell>
          <cell r="F65">
            <v>13</v>
          </cell>
          <cell r="G65">
            <v>0</v>
          </cell>
          <cell r="H65">
            <v>9</v>
          </cell>
          <cell r="I65">
            <v>0</v>
          </cell>
          <cell r="J65">
            <v>0</v>
          </cell>
          <cell r="K65">
            <v>22</v>
          </cell>
          <cell r="L65">
            <v>13.9</v>
          </cell>
          <cell r="M65">
            <v>305.8</v>
          </cell>
          <cell r="N65">
            <v>4</v>
          </cell>
          <cell r="O65">
            <v>9</v>
          </cell>
          <cell r="P65">
            <v>15</v>
          </cell>
          <cell r="Q65">
            <v>1</v>
          </cell>
          <cell r="R65">
            <v>3</v>
          </cell>
          <cell r="S65">
            <v>39.4871794871795</v>
          </cell>
          <cell r="T65">
            <v>1.31623931623932</v>
          </cell>
          <cell r="U65">
            <v>2.7890625</v>
          </cell>
          <cell r="V65">
            <v>-1.47282318376068</v>
          </cell>
          <cell r="W65" t="str">
            <v>正常</v>
          </cell>
          <cell r="X65" t="str">
            <v>正常</v>
          </cell>
          <cell r="Y65">
            <v>0</v>
          </cell>
          <cell r="Z65">
            <v>0</v>
          </cell>
          <cell r="AA65">
            <v>0</v>
          </cell>
          <cell r="AB65" t="str">
            <v>-</v>
          </cell>
        </row>
        <row r="66">
          <cell r="A66" t="str">
            <v>美珠</v>
          </cell>
          <cell r="B66" t="str">
            <v>Y7011-BL+Y7019+Y7015</v>
          </cell>
          <cell r="C66" t="str">
            <v>中性手机壳iPhone 14 Pro+软膜+背夹  黑</v>
          </cell>
          <cell r="D66">
            <v>44809</v>
          </cell>
          <cell r="E66" t="str">
            <v>B0BBG13KWX</v>
          </cell>
          <cell r="F66">
            <v>74</v>
          </cell>
          <cell r="G66">
            <v>5</v>
          </cell>
          <cell r="H66">
            <v>0</v>
          </cell>
          <cell r="I66">
            <v>1</v>
          </cell>
          <cell r="J66">
            <v>0</v>
          </cell>
          <cell r="K66">
            <v>80</v>
          </cell>
          <cell r="L66">
            <v>13.9</v>
          </cell>
          <cell r="M66">
            <v>1112</v>
          </cell>
          <cell r="N66">
            <v>11</v>
          </cell>
          <cell r="O66">
            <v>23</v>
          </cell>
          <cell r="P66">
            <v>36</v>
          </cell>
          <cell r="Q66">
            <v>8</v>
          </cell>
          <cell r="R66">
            <v>3</v>
          </cell>
          <cell r="S66">
            <v>55.7522123893805</v>
          </cell>
          <cell r="T66">
            <v>1.85840707964602</v>
          </cell>
          <cell r="U66">
            <v>5.74841772151899</v>
          </cell>
          <cell r="V66">
            <v>-3.89001064187297</v>
          </cell>
          <cell r="W66" t="str">
            <v>库存过高</v>
          </cell>
          <cell r="X66" t="str">
            <v>库存过高</v>
          </cell>
          <cell r="Y66">
            <v>0</v>
          </cell>
          <cell r="Z66">
            <v>0</v>
          </cell>
          <cell r="AA66">
            <v>0</v>
          </cell>
          <cell r="AB66" t="str">
            <v>-</v>
          </cell>
        </row>
        <row r="67">
          <cell r="A67" t="str">
            <v>美珠</v>
          </cell>
          <cell r="B67" t="str">
            <v>Y7011-BU+Y7019+Y7015</v>
          </cell>
          <cell r="C67" t="str">
            <v>中性手机壳iPhone 14 Pro+软膜+背夹  黑+蓝</v>
          </cell>
          <cell r="D67">
            <v>44809</v>
          </cell>
          <cell r="E67" t="str">
            <v>B0BBFYQ998</v>
          </cell>
          <cell r="F67">
            <v>39</v>
          </cell>
          <cell r="G67">
            <v>0</v>
          </cell>
          <cell r="H67">
            <v>6</v>
          </cell>
          <cell r="I67">
            <v>0</v>
          </cell>
          <cell r="J67">
            <v>0</v>
          </cell>
          <cell r="K67">
            <v>45</v>
          </cell>
          <cell r="L67">
            <v>13.9</v>
          </cell>
          <cell r="M67">
            <v>625.5</v>
          </cell>
          <cell r="N67">
            <v>2</v>
          </cell>
          <cell r="O67">
            <v>3</v>
          </cell>
          <cell r="P67">
            <v>5</v>
          </cell>
          <cell r="Q67">
            <v>2</v>
          </cell>
          <cell r="R67">
            <v>0</v>
          </cell>
          <cell r="S67">
            <v>206.934306569343</v>
          </cell>
          <cell r="T67">
            <v>6.8978102189781</v>
          </cell>
          <cell r="U67">
            <v>2.23711340206186</v>
          </cell>
          <cell r="V67">
            <v>4.66069681691624</v>
          </cell>
          <cell r="W67" t="str">
            <v>库存过高</v>
          </cell>
          <cell r="X67" t="str">
            <v>库存过高</v>
          </cell>
          <cell r="Y67">
            <v>12.73</v>
          </cell>
          <cell r="Z67">
            <v>21.73</v>
          </cell>
          <cell r="AA67">
            <v>40.59</v>
          </cell>
          <cell r="AB67">
            <v>0.182013154132113</v>
          </cell>
        </row>
        <row r="68">
          <cell r="A68" t="str">
            <v>美珠</v>
          </cell>
          <cell r="B68" t="str">
            <v>Y7011-DB+Y7019+Y7015</v>
          </cell>
          <cell r="C68" t="str">
            <v>中性手机壳iPhone 14 Pro+软膜+背夹  深蓝+蓝</v>
          </cell>
          <cell r="D68">
            <v>44809</v>
          </cell>
          <cell r="E68" t="str">
            <v>B0BBG2D31Y</v>
          </cell>
          <cell r="F68">
            <v>79</v>
          </cell>
          <cell r="G68">
            <v>0</v>
          </cell>
          <cell r="H68">
            <v>0</v>
          </cell>
          <cell r="I68">
            <v>0</v>
          </cell>
          <cell r="J68">
            <v>0</v>
          </cell>
          <cell r="K68">
            <v>79</v>
          </cell>
          <cell r="L68">
            <v>13.9</v>
          </cell>
          <cell r="M68">
            <v>1098.1</v>
          </cell>
          <cell r="N68">
            <v>2</v>
          </cell>
          <cell r="O68">
            <v>2</v>
          </cell>
          <cell r="P68">
            <v>2</v>
          </cell>
          <cell r="Q68">
            <v>0</v>
          </cell>
          <cell r="R68">
            <v>2</v>
          </cell>
          <cell r="S68">
            <v>487.941176470588</v>
          </cell>
          <cell r="T68">
            <v>16.2647058823529</v>
          </cell>
          <cell r="U68">
            <v>60</v>
          </cell>
          <cell r="V68">
            <v>-43.7352941176471</v>
          </cell>
          <cell r="W68" t="str">
            <v>库存过高</v>
          </cell>
          <cell r="X68" t="str">
            <v>库存过高</v>
          </cell>
          <cell r="Y68">
            <v>0</v>
          </cell>
          <cell r="Z68">
            <v>0</v>
          </cell>
          <cell r="AA68">
            <v>0</v>
          </cell>
          <cell r="AB68" t="str">
            <v>-</v>
          </cell>
        </row>
        <row r="69">
          <cell r="A69" t="str">
            <v>美珠</v>
          </cell>
          <cell r="B69" t="str">
            <v>Y7011-GE+Y7019+Y7015</v>
          </cell>
          <cell r="C69" t="str">
            <v>中性手机壳iPhone 14 Pro+软膜+背夹 浅绿+黄</v>
          </cell>
          <cell r="D69">
            <v>44809</v>
          </cell>
          <cell r="E69" t="str">
            <v>B0BBG47YJ3</v>
          </cell>
          <cell r="F69">
            <v>70</v>
          </cell>
          <cell r="G69">
            <v>0</v>
          </cell>
          <cell r="H69">
            <v>0</v>
          </cell>
          <cell r="I69">
            <v>0</v>
          </cell>
          <cell r="J69">
            <v>0</v>
          </cell>
          <cell r="K69">
            <v>70</v>
          </cell>
          <cell r="L69">
            <v>13.9</v>
          </cell>
          <cell r="M69">
            <v>973</v>
          </cell>
          <cell r="N69">
            <v>1</v>
          </cell>
          <cell r="O69">
            <v>3</v>
          </cell>
          <cell r="P69">
            <v>4</v>
          </cell>
          <cell r="Q69">
            <v>1</v>
          </cell>
          <cell r="R69">
            <v>0</v>
          </cell>
          <cell r="S69">
            <v>441</v>
          </cell>
          <cell r="T69">
            <v>14.7</v>
          </cell>
          <cell r="U69">
            <v>21</v>
          </cell>
          <cell r="V69">
            <v>-6.3</v>
          </cell>
          <cell r="W69" t="str">
            <v>库存过高</v>
          </cell>
          <cell r="X69" t="str">
            <v>库存过高</v>
          </cell>
          <cell r="Y69">
            <v>0</v>
          </cell>
          <cell r="Z69">
            <v>0</v>
          </cell>
          <cell r="AA69">
            <v>0</v>
          </cell>
          <cell r="AB69" t="str">
            <v>-</v>
          </cell>
        </row>
        <row r="70">
          <cell r="A70" t="str">
            <v>美珠</v>
          </cell>
          <cell r="B70" t="str">
            <v>Y7011-OR+Y7019+Y7015</v>
          </cell>
          <cell r="C70" t="str">
            <v>中性手机壳iiPhone 14 Pro+软膜+背夹  黑+橙</v>
          </cell>
          <cell r="D70">
            <v>44809</v>
          </cell>
          <cell r="E70" t="str">
            <v>B0BBG1ZGYS</v>
          </cell>
          <cell r="F70">
            <v>40</v>
          </cell>
          <cell r="G70">
            <v>0</v>
          </cell>
          <cell r="H70">
            <v>0</v>
          </cell>
          <cell r="I70">
            <v>0</v>
          </cell>
          <cell r="J70">
            <v>0</v>
          </cell>
          <cell r="K70">
            <v>40</v>
          </cell>
          <cell r="L70">
            <v>13.9</v>
          </cell>
          <cell r="M70">
            <v>556</v>
          </cell>
          <cell r="N70">
            <v>0</v>
          </cell>
          <cell r="O70">
            <v>1</v>
          </cell>
          <cell r="P70">
            <v>3</v>
          </cell>
          <cell r="Q70">
            <v>1</v>
          </cell>
          <cell r="R70">
            <v>-1</v>
          </cell>
          <cell r="S70">
            <v>720</v>
          </cell>
          <cell r="T70">
            <v>24</v>
          </cell>
          <cell r="U70">
            <v>9.25806451612903</v>
          </cell>
          <cell r="V70">
            <v>14.741935483871</v>
          </cell>
          <cell r="W70" t="str">
            <v>有库存无销量</v>
          </cell>
          <cell r="X70" t="str">
            <v>库存过高</v>
          </cell>
          <cell r="Y70">
            <v>0</v>
          </cell>
          <cell r="Z70">
            <v>0</v>
          </cell>
          <cell r="AA70">
            <v>0</v>
          </cell>
          <cell r="AB70" t="str">
            <v>-</v>
          </cell>
        </row>
        <row r="71">
          <cell r="A71" t="str">
            <v>美珠</v>
          </cell>
          <cell r="B71" t="str">
            <v>Y7012-BL+Y7020+Y7016</v>
          </cell>
          <cell r="C71" t="str">
            <v>中性手机壳iPhone  14 plus 6.7+软膜+背夹  黑</v>
          </cell>
          <cell r="D71">
            <v>44809</v>
          </cell>
          <cell r="E71" t="str">
            <v>B0BBG4X86G</v>
          </cell>
          <cell r="F71">
            <v>86</v>
          </cell>
          <cell r="G71">
            <v>0</v>
          </cell>
          <cell r="H71">
            <v>0</v>
          </cell>
          <cell r="I71">
            <v>2</v>
          </cell>
          <cell r="J71">
            <v>0</v>
          </cell>
          <cell r="K71">
            <v>88</v>
          </cell>
          <cell r="L71">
            <v>13.9</v>
          </cell>
          <cell r="M71">
            <v>1223.2</v>
          </cell>
          <cell r="N71">
            <v>4</v>
          </cell>
          <cell r="O71">
            <v>16</v>
          </cell>
          <cell r="P71">
            <v>41</v>
          </cell>
          <cell r="Q71">
            <v>12</v>
          </cell>
          <cell r="R71">
            <v>-8</v>
          </cell>
          <cell r="S71">
            <v>87.8605388272583</v>
          </cell>
          <cell r="T71">
            <v>2.92868462757528</v>
          </cell>
          <cell r="U71">
            <v>2.36176194939082</v>
          </cell>
          <cell r="V71">
            <v>0.566922678184457</v>
          </cell>
          <cell r="W71" t="str">
            <v>库存过高</v>
          </cell>
          <cell r="X71" t="str">
            <v>库存过高</v>
          </cell>
          <cell r="Y71">
            <v>0</v>
          </cell>
          <cell r="Z71">
            <v>0</v>
          </cell>
          <cell r="AA71">
            <v>0</v>
          </cell>
          <cell r="AB71" t="str">
            <v>-</v>
          </cell>
        </row>
        <row r="72">
          <cell r="A72" t="str">
            <v>美珠</v>
          </cell>
          <cell r="B72" t="str">
            <v>Y7012-BU+Y7020+Y7016</v>
          </cell>
          <cell r="C72" t="str">
            <v>中性手机壳iPhone  14 plus 6.7+软膜+背夹   黑+蓝</v>
          </cell>
          <cell r="D72">
            <v>44809</v>
          </cell>
          <cell r="E72" t="str">
            <v>B0BBG4HBRL</v>
          </cell>
          <cell r="F72">
            <v>46</v>
          </cell>
          <cell r="G72">
            <v>2</v>
          </cell>
          <cell r="H72">
            <v>66</v>
          </cell>
          <cell r="I72">
            <v>7</v>
          </cell>
          <cell r="J72">
            <v>0</v>
          </cell>
          <cell r="K72">
            <v>121</v>
          </cell>
          <cell r="L72">
            <v>13.9</v>
          </cell>
          <cell r="M72">
            <v>1681.9</v>
          </cell>
          <cell r="N72">
            <v>11</v>
          </cell>
          <cell r="O72">
            <v>25</v>
          </cell>
          <cell r="P72">
            <v>52</v>
          </cell>
          <cell r="Q72">
            <v>13</v>
          </cell>
          <cell r="R72">
            <v>-2</v>
          </cell>
          <cell r="S72">
            <v>73.0172413793103</v>
          </cell>
          <cell r="T72">
            <v>2.43390804597701</v>
          </cell>
          <cell r="U72">
            <v>2.688</v>
          </cell>
          <cell r="V72">
            <v>-0.254091954022989</v>
          </cell>
          <cell r="W72" t="str">
            <v>库存过高</v>
          </cell>
          <cell r="X72" t="str">
            <v>库存过高</v>
          </cell>
          <cell r="Y72">
            <v>18.04</v>
          </cell>
          <cell r="Z72">
            <v>45.24</v>
          </cell>
          <cell r="AA72">
            <v>95.13</v>
          </cell>
          <cell r="AB72">
            <v>0.13781512605042</v>
          </cell>
        </row>
        <row r="73">
          <cell r="A73" t="str">
            <v>美珠</v>
          </cell>
          <cell r="B73" t="str">
            <v>Y7012-DB+Y7020+Y7016</v>
          </cell>
          <cell r="C73" t="str">
            <v>中性手机壳iPhone  14 plus 6.7+软膜+背夹   深蓝+蓝</v>
          </cell>
          <cell r="D73">
            <v>44809</v>
          </cell>
          <cell r="E73" t="str">
            <v>B0BBG19C9R</v>
          </cell>
          <cell r="F73">
            <v>44</v>
          </cell>
          <cell r="G73">
            <v>0</v>
          </cell>
          <cell r="H73">
            <v>0</v>
          </cell>
          <cell r="I73">
            <v>0</v>
          </cell>
          <cell r="J73">
            <v>0</v>
          </cell>
          <cell r="K73">
            <v>44</v>
          </cell>
          <cell r="L73">
            <v>13.9</v>
          </cell>
          <cell r="M73">
            <v>611.6</v>
          </cell>
          <cell r="N73">
            <v>4</v>
          </cell>
          <cell r="O73">
            <v>6</v>
          </cell>
          <cell r="P73">
            <v>13</v>
          </cell>
          <cell r="Q73">
            <v>3</v>
          </cell>
          <cell r="R73">
            <v>1</v>
          </cell>
          <cell r="S73">
            <v>93.9661016949153</v>
          </cell>
          <cell r="T73">
            <v>3.13220338983051</v>
          </cell>
          <cell r="U73">
            <v>4.47674418604651</v>
          </cell>
          <cell r="V73">
            <v>-1.344540796216</v>
          </cell>
          <cell r="W73" t="str">
            <v>库存过高</v>
          </cell>
          <cell r="X73" t="str">
            <v>库存过高</v>
          </cell>
          <cell r="Y73">
            <v>0</v>
          </cell>
          <cell r="Z73">
            <v>0</v>
          </cell>
          <cell r="AA73">
            <v>0</v>
          </cell>
          <cell r="AB73" t="str">
            <v>-</v>
          </cell>
        </row>
        <row r="74">
          <cell r="A74" t="str">
            <v>美珠</v>
          </cell>
          <cell r="B74" t="str">
            <v>Y7012-GE+Y7020+Y7016</v>
          </cell>
          <cell r="C74" t="str">
            <v>中性手机壳iPhone  14 plus 6.7+软膜+背夹   浅绿+黄</v>
          </cell>
          <cell r="D74">
            <v>44809</v>
          </cell>
          <cell r="E74" t="str">
            <v>B0BBG56FJP</v>
          </cell>
          <cell r="F74">
            <v>24</v>
          </cell>
          <cell r="G74">
            <v>0</v>
          </cell>
          <cell r="H74">
            <v>0</v>
          </cell>
          <cell r="I74">
            <v>0</v>
          </cell>
          <cell r="J74">
            <v>0</v>
          </cell>
          <cell r="K74">
            <v>24</v>
          </cell>
          <cell r="L74">
            <v>13.9</v>
          </cell>
          <cell r="M74">
            <v>333.6</v>
          </cell>
          <cell r="N74">
            <v>2</v>
          </cell>
          <cell r="O74">
            <v>6</v>
          </cell>
          <cell r="P74">
            <v>12</v>
          </cell>
          <cell r="Q74">
            <v>1</v>
          </cell>
          <cell r="R74">
            <v>1</v>
          </cell>
          <cell r="S74">
            <v>66.3157894736842</v>
          </cell>
          <cell r="T74">
            <v>2.21052631578947</v>
          </cell>
          <cell r="U74">
            <v>8.54651162790698</v>
          </cell>
          <cell r="V74">
            <v>-6.33598531211751</v>
          </cell>
          <cell r="W74" t="str">
            <v>库存过高</v>
          </cell>
          <cell r="X74" t="str">
            <v>库存过高</v>
          </cell>
          <cell r="Y74">
            <v>0</v>
          </cell>
          <cell r="Z74">
            <v>0</v>
          </cell>
          <cell r="AA74">
            <v>0</v>
          </cell>
          <cell r="AB74" t="str">
            <v>-</v>
          </cell>
        </row>
        <row r="75">
          <cell r="A75" t="str">
            <v>美珠</v>
          </cell>
          <cell r="B75" t="str">
            <v>Y7012-OR+Y7020+Y7016</v>
          </cell>
          <cell r="C75" t="str">
            <v>中性手机壳iPhone  14 plus 6.7+软膜+背夹   黑+橙</v>
          </cell>
          <cell r="D75">
            <v>44809</v>
          </cell>
          <cell r="E75" t="str">
            <v>B0BBG2NL26</v>
          </cell>
          <cell r="F75">
            <v>32</v>
          </cell>
          <cell r="G75">
            <v>1</v>
          </cell>
          <cell r="H75">
            <v>0</v>
          </cell>
          <cell r="I75">
            <v>3</v>
          </cell>
          <cell r="J75">
            <v>0</v>
          </cell>
          <cell r="K75">
            <v>36</v>
          </cell>
          <cell r="L75">
            <v>13.9</v>
          </cell>
          <cell r="M75">
            <v>500.4</v>
          </cell>
          <cell r="N75">
            <v>6</v>
          </cell>
          <cell r="O75">
            <v>9</v>
          </cell>
          <cell r="P75">
            <v>20</v>
          </cell>
          <cell r="Q75">
            <v>5</v>
          </cell>
          <cell r="R75">
            <v>1</v>
          </cell>
          <cell r="S75">
            <v>50.8520179372197</v>
          </cell>
          <cell r="T75">
            <v>1.69506726457399</v>
          </cell>
          <cell r="U75">
            <v>2.61353711790393</v>
          </cell>
          <cell r="V75">
            <v>-0.918469853329939</v>
          </cell>
          <cell r="W75" t="str">
            <v>正常</v>
          </cell>
          <cell r="X75" t="str">
            <v>库存过高</v>
          </cell>
          <cell r="Y75">
            <v>0.8</v>
          </cell>
          <cell r="Z75">
            <v>1.1</v>
          </cell>
          <cell r="AA75">
            <v>3.23</v>
          </cell>
          <cell r="AB75" t="str">
            <v>-</v>
          </cell>
        </row>
        <row r="76">
          <cell r="A76" t="str">
            <v>美珠</v>
          </cell>
          <cell r="B76" t="str">
            <v>Y7013-BL+Y7021+Y7017</v>
          </cell>
          <cell r="C76" t="str">
            <v>中性手机壳iPhone 14 Pro Max +软膜+背夹 黑</v>
          </cell>
          <cell r="D76">
            <v>44809</v>
          </cell>
          <cell r="E76" t="str">
            <v>B0BBG4W47P</v>
          </cell>
          <cell r="F76">
            <v>397</v>
          </cell>
          <cell r="G76">
            <v>6</v>
          </cell>
          <cell r="H76">
            <v>404</v>
          </cell>
          <cell r="I76">
            <v>211</v>
          </cell>
          <cell r="J76">
            <v>0</v>
          </cell>
          <cell r="K76">
            <v>1018</v>
          </cell>
          <cell r="L76">
            <v>13.9</v>
          </cell>
          <cell r="M76">
            <v>14150.2</v>
          </cell>
          <cell r="N76">
            <v>78</v>
          </cell>
          <cell r="O76">
            <v>164</v>
          </cell>
          <cell r="P76">
            <v>344</v>
          </cell>
          <cell r="Q76">
            <v>79</v>
          </cell>
          <cell r="R76">
            <v>-1</v>
          </cell>
          <cell r="S76">
            <v>91.0477001703577</v>
          </cell>
          <cell r="T76">
            <v>3.03492333901192</v>
          </cell>
          <cell r="U76">
            <v>1.85398058252427</v>
          </cell>
          <cell r="V76">
            <v>1.18094275648765</v>
          </cell>
          <cell r="W76" t="str">
            <v>库存过高</v>
          </cell>
          <cell r="X76" t="str">
            <v>库存过高</v>
          </cell>
          <cell r="Y76">
            <v>66.5</v>
          </cell>
          <cell r="Z76">
            <v>118.16</v>
          </cell>
          <cell r="AA76">
            <v>280.91</v>
          </cell>
          <cell r="AB76">
            <v>0.256955177743431</v>
          </cell>
        </row>
        <row r="77">
          <cell r="A77" t="str">
            <v>美珠</v>
          </cell>
          <cell r="B77" t="str">
            <v>Y7013-BU+Y7021+Y7017</v>
          </cell>
          <cell r="C77" t="str">
            <v>中性手机壳iPhone 14 Pro Max +软膜+背夹   黑+蓝</v>
          </cell>
          <cell r="D77">
            <v>44809</v>
          </cell>
          <cell r="E77" t="str">
            <v>B0BBG5PFX4</v>
          </cell>
          <cell r="F77">
            <v>106</v>
          </cell>
          <cell r="G77">
            <v>0</v>
          </cell>
          <cell r="H77">
            <v>1</v>
          </cell>
          <cell r="I77">
            <v>66</v>
          </cell>
          <cell r="J77">
            <v>0</v>
          </cell>
          <cell r="K77">
            <v>173</v>
          </cell>
          <cell r="L77">
            <v>13.9</v>
          </cell>
          <cell r="M77">
            <v>2404.7</v>
          </cell>
          <cell r="N77">
            <v>18</v>
          </cell>
          <cell r="O77">
            <v>37</v>
          </cell>
          <cell r="P77">
            <v>63</v>
          </cell>
          <cell r="Q77">
            <v>13</v>
          </cell>
          <cell r="R77">
            <v>5</v>
          </cell>
          <cell r="S77">
            <v>72.7084723148766</v>
          </cell>
          <cell r="T77">
            <v>2.42361574382922</v>
          </cell>
          <cell r="U77">
            <v>2.8586387434555</v>
          </cell>
          <cell r="V77">
            <v>-0.43502299962628</v>
          </cell>
          <cell r="W77" t="str">
            <v>库存过高</v>
          </cell>
          <cell r="X77" t="str">
            <v>库存过高</v>
          </cell>
          <cell r="Y77">
            <v>0</v>
          </cell>
          <cell r="Z77">
            <v>0</v>
          </cell>
          <cell r="AA77">
            <v>0</v>
          </cell>
          <cell r="AB77" t="str">
            <v>-</v>
          </cell>
        </row>
        <row r="78">
          <cell r="A78" t="str">
            <v>美珠</v>
          </cell>
          <cell r="B78" t="str">
            <v>Y7013-DB+Y7021+Y7017</v>
          </cell>
          <cell r="C78" t="str">
            <v>中性手机壳iPhone 14 Pro Max +软膜+背夹  深蓝+蓝</v>
          </cell>
          <cell r="D78">
            <v>44809</v>
          </cell>
          <cell r="E78" t="str">
            <v>B0BBGMPX7P</v>
          </cell>
          <cell r="F78">
            <v>40</v>
          </cell>
          <cell r="G78">
            <v>0</v>
          </cell>
          <cell r="H78">
            <v>15</v>
          </cell>
          <cell r="I78">
            <v>0</v>
          </cell>
          <cell r="J78">
            <v>1</v>
          </cell>
          <cell r="K78">
            <v>56</v>
          </cell>
          <cell r="L78">
            <v>13.9</v>
          </cell>
          <cell r="M78">
            <v>778.4</v>
          </cell>
          <cell r="N78">
            <v>8</v>
          </cell>
          <cell r="O78">
            <v>17</v>
          </cell>
          <cell r="P78">
            <v>36</v>
          </cell>
          <cell r="Q78">
            <v>8</v>
          </cell>
          <cell r="R78">
            <v>0</v>
          </cell>
          <cell r="S78">
            <v>48.3287671232877</v>
          </cell>
          <cell r="T78">
            <v>1.61095890410959</v>
          </cell>
          <cell r="U78">
            <v>1.77464788732394</v>
          </cell>
          <cell r="V78">
            <v>-0.163688983214351</v>
          </cell>
          <cell r="W78" t="str">
            <v>库存过高</v>
          </cell>
          <cell r="X78" t="str">
            <v>库存过高</v>
          </cell>
          <cell r="Y78">
            <v>0</v>
          </cell>
          <cell r="Z78">
            <v>0</v>
          </cell>
          <cell r="AA78">
            <v>0</v>
          </cell>
          <cell r="AB78" t="str">
            <v>-</v>
          </cell>
        </row>
        <row r="79">
          <cell r="A79" t="str">
            <v>美珠</v>
          </cell>
          <cell r="B79" t="str">
            <v>Y7013-GE+Y7021+Y7017</v>
          </cell>
          <cell r="C79" t="str">
            <v>中性手机壳iPhone 14 Pro Max +软膜+背夹  浅绿+黄</v>
          </cell>
          <cell r="D79">
            <v>44809</v>
          </cell>
          <cell r="E79" t="str">
            <v>B0BBG65L2P</v>
          </cell>
          <cell r="F79">
            <v>12</v>
          </cell>
          <cell r="G79">
            <v>0</v>
          </cell>
          <cell r="H79">
            <v>10</v>
          </cell>
          <cell r="I79">
            <v>20</v>
          </cell>
          <cell r="J79">
            <v>0</v>
          </cell>
          <cell r="K79">
            <v>42</v>
          </cell>
          <cell r="L79">
            <v>13.9</v>
          </cell>
          <cell r="M79">
            <v>583.8</v>
          </cell>
          <cell r="N79">
            <v>7</v>
          </cell>
          <cell r="O79">
            <v>13</v>
          </cell>
          <cell r="P79">
            <v>26</v>
          </cell>
          <cell r="Q79">
            <v>4</v>
          </cell>
          <cell r="R79">
            <v>3</v>
          </cell>
          <cell r="S79">
            <v>46.0975609756098</v>
          </cell>
          <cell r="T79">
            <v>1.53658536585366</v>
          </cell>
          <cell r="U79">
            <v>1.42533936651584</v>
          </cell>
          <cell r="V79">
            <v>0.111245999337819</v>
          </cell>
          <cell r="W79" t="str">
            <v>正常</v>
          </cell>
          <cell r="X79" t="str">
            <v>库存过高</v>
          </cell>
          <cell r="Y79">
            <v>0</v>
          </cell>
          <cell r="Z79">
            <v>0</v>
          </cell>
          <cell r="AA79">
            <v>0</v>
          </cell>
          <cell r="AB79" t="str">
            <v>-</v>
          </cell>
        </row>
        <row r="80">
          <cell r="A80" t="str">
            <v>美珠</v>
          </cell>
          <cell r="B80" t="str">
            <v>Y7013-OR+Y7021+Y7017</v>
          </cell>
          <cell r="C80" t="str">
            <v>中性手机壳iPhone 14 Pro Max +软膜+背夹   黑+橙</v>
          </cell>
          <cell r="D80">
            <v>44809</v>
          </cell>
          <cell r="E80" t="str">
            <v>B0BBG47DWW</v>
          </cell>
          <cell r="F80">
            <v>122</v>
          </cell>
          <cell r="G80">
            <v>0</v>
          </cell>
          <cell r="H80">
            <v>0</v>
          </cell>
          <cell r="I80">
            <v>1</v>
          </cell>
          <cell r="J80">
            <v>0</v>
          </cell>
          <cell r="K80">
            <v>123</v>
          </cell>
          <cell r="L80">
            <v>13.9</v>
          </cell>
          <cell r="M80">
            <v>1709.7</v>
          </cell>
          <cell r="N80">
            <v>21</v>
          </cell>
          <cell r="O80">
            <v>39</v>
          </cell>
          <cell r="P80">
            <v>71</v>
          </cell>
          <cell r="Q80">
            <v>12</v>
          </cell>
          <cell r="R80">
            <v>9</v>
          </cell>
          <cell r="S80">
            <v>46.3179916317992</v>
          </cell>
          <cell r="T80">
            <v>1.54393305439331</v>
          </cell>
          <cell r="U80">
            <v>3.28068669527897</v>
          </cell>
          <cell r="V80">
            <v>-1.73675364088566</v>
          </cell>
          <cell r="W80" t="str">
            <v>正常</v>
          </cell>
          <cell r="X80" t="str">
            <v>库存过高</v>
          </cell>
          <cell r="Y80">
            <v>34.19</v>
          </cell>
          <cell r="Z80">
            <v>69.33</v>
          </cell>
          <cell r="AA80">
            <v>144.68</v>
          </cell>
          <cell r="AB80">
            <v>0.217937276899541</v>
          </cell>
        </row>
        <row r="81">
          <cell r="A81" t="str">
            <v>美珠</v>
          </cell>
          <cell r="B81" t="str">
            <v>Y72612-OR+Y72615+Y72636</v>
          </cell>
          <cell r="C81" t="str">
            <v>中性iPhone 12 6.7 黑橙</v>
          </cell>
        </row>
        <row r="81">
          <cell r="E81" t="str">
            <v>B0BCFGZF9F</v>
          </cell>
          <cell r="F81">
            <v>78</v>
          </cell>
          <cell r="G81">
            <v>0</v>
          </cell>
          <cell r="H81">
            <v>29</v>
          </cell>
          <cell r="I81">
            <v>0</v>
          </cell>
          <cell r="J81">
            <v>0</v>
          </cell>
          <cell r="K81">
            <v>107</v>
          </cell>
          <cell r="L81">
            <v>13.9</v>
          </cell>
          <cell r="M81">
            <v>1487.3</v>
          </cell>
          <cell r="N81">
            <v>9</v>
          </cell>
          <cell r="O81">
            <v>20</v>
          </cell>
          <cell r="P81">
            <v>34</v>
          </cell>
          <cell r="Q81">
            <v>9</v>
          </cell>
          <cell r="R81">
            <v>0</v>
          </cell>
          <cell r="S81">
            <v>85.5456852791878</v>
          </cell>
          <cell r="T81">
            <v>2.85152284263959</v>
          </cell>
          <cell r="U81">
            <v>0.964989059080963</v>
          </cell>
          <cell r="V81">
            <v>1.88653378355863</v>
          </cell>
          <cell r="W81" t="str">
            <v>库存过高</v>
          </cell>
          <cell r="X81" t="str">
            <v>库存过高</v>
          </cell>
          <cell r="Y81">
            <v>40.93</v>
          </cell>
          <cell r="Z81">
            <v>73.71</v>
          </cell>
          <cell r="AA81">
            <v>135.98</v>
          </cell>
          <cell r="AB81">
            <v>0.470838605774761</v>
          </cell>
        </row>
        <row r="82">
          <cell r="A82" t="str">
            <v>美珠</v>
          </cell>
          <cell r="B82" t="str">
            <v>Y72610-BL+Y72613+Y12803</v>
          </cell>
          <cell r="C82" t="str">
            <v>中性iPhone 12 5.4 黑色</v>
          </cell>
        </row>
        <row r="82">
          <cell r="E82" t="str">
            <v>B0BCFKXPWX</v>
          </cell>
          <cell r="F82">
            <v>0</v>
          </cell>
          <cell r="G82">
            <v>0</v>
          </cell>
          <cell r="H82">
            <v>0</v>
          </cell>
          <cell r="I82">
            <v>0</v>
          </cell>
          <cell r="J82">
            <v>0</v>
          </cell>
          <cell r="K82">
            <v>0</v>
          </cell>
          <cell r="L82">
            <v>13.9</v>
          </cell>
          <cell r="M82">
            <v>0</v>
          </cell>
          <cell r="N82">
            <v>0</v>
          </cell>
          <cell r="O82">
            <v>1</v>
          </cell>
          <cell r="P82">
            <v>7</v>
          </cell>
          <cell r="Q82">
            <v>2</v>
          </cell>
          <cell r="R82">
            <v>-2</v>
          </cell>
          <cell r="S82">
            <v>0</v>
          </cell>
          <cell r="T82">
            <v>0</v>
          </cell>
          <cell r="U82">
            <v>0.890909090909091</v>
          </cell>
          <cell r="V82">
            <v>-0.890909090909091</v>
          </cell>
          <cell r="W82" t="str">
            <v>无库存无销量</v>
          </cell>
          <cell r="X82" t="str">
            <v>无库存有销量</v>
          </cell>
          <cell r="Y82">
            <v>0</v>
          </cell>
          <cell r="Z82">
            <v>0</v>
          </cell>
          <cell r="AA82">
            <v>0</v>
          </cell>
          <cell r="AB82" t="str">
            <v>-</v>
          </cell>
        </row>
        <row r="83">
          <cell r="A83" t="str">
            <v>美珠</v>
          </cell>
          <cell r="B83" t="str">
            <v>Y72610-NB+Y72613+Y12803</v>
          </cell>
          <cell r="C83" t="str">
            <v>中性iPhone 12 5.4 深蓝+蓝色</v>
          </cell>
        </row>
        <row r="83">
          <cell r="E83" t="str">
            <v>B0BCFL1S54</v>
          </cell>
          <cell r="F83">
            <v>0</v>
          </cell>
          <cell r="G83">
            <v>0</v>
          </cell>
          <cell r="H83">
            <v>0</v>
          </cell>
          <cell r="I83">
            <v>0</v>
          </cell>
          <cell r="J83">
            <v>0</v>
          </cell>
          <cell r="K83">
            <v>0</v>
          </cell>
          <cell r="L83">
            <v>13.9</v>
          </cell>
          <cell r="M83">
            <v>0</v>
          </cell>
          <cell r="N83">
            <v>1</v>
          </cell>
          <cell r="O83">
            <v>3</v>
          </cell>
          <cell r="P83">
            <v>4</v>
          </cell>
          <cell r="Q83">
            <v>1</v>
          </cell>
          <cell r="R83">
            <v>0</v>
          </cell>
          <cell r="S83">
            <v>0</v>
          </cell>
          <cell r="T83">
            <v>0</v>
          </cell>
          <cell r="U83">
            <v>1.16666666666667</v>
          </cell>
          <cell r="V83">
            <v>-1.16666666666667</v>
          </cell>
          <cell r="W83" t="str">
            <v>无库存有销量</v>
          </cell>
          <cell r="X83" t="str">
            <v>无库存有销量</v>
          </cell>
          <cell r="Y83">
            <v>1.41</v>
          </cell>
          <cell r="Z83">
            <v>4.47</v>
          </cell>
          <cell r="AA83">
            <v>18.17</v>
          </cell>
          <cell r="AB83">
            <v>0.108545034642032</v>
          </cell>
        </row>
        <row r="84">
          <cell r="A84" t="str">
            <v>美珠</v>
          </cell>
          <cell r="B84" t="str">
            <v>Y72610-OR+Y72613+Y12803</v>
          </cell>
          <cell r="C84" t="str">
            <v>中性iPhone 12 5.4 黑橙</v>
          </cell>
        </row>
        <row r="84">
          <cell r="E84" t="str">
            <v>B0BCFLZZ4Q</v>
          </cell>
          <cell r="F84">
            <v>24</v>
          </cell>
          <cell r="G84">
            <v>0</v>
          </cell>
          <cell r="H84">
            <v>0</v>
          </cell>
          <cell r="I84">
            <v>0</v>
          </cell>
          <cell r="J84">
            <v>0</v>
          </cell>
          <cell r="K84">
            <v>24</v>
          </cell>
          <cell r="L84">
            <v>13.9</v>
          </cell>
          <cell r="M84">
            <v>333.6</v>
          </cell>
          <cell r="N84">
            <v>1</v>
          </cell>
          <cell r="O84">
            <v>2</v>
          </cell>
          <cell r="P84">
            <v>6</v>
          </cell>
          <cell r="Q84">
            <v>3</v>
          </cell>
          <cell r="R84">
            <v>-2</v>
          </cell>
          <cell r="S84">
            <v>151.2</v>
          </cell>
          <cell r="T84">
            <v>5.04</v>
          </cell>
          <cell r="U84">
            <v>2.72222222222222</v>
          </cell>
          <cell r="V84">
            <v>2.31777777777778</v>
          </cell>
          <cell r="W84" t="str">
            <v>库存过高</v>
          </cell>
          <cell r="X84" t="str">
            <v>库存过高</v>
          </cell>
          <cell r="Y84">
            <v>3.03</v>
          </cell>
          <cell r="Z84">
            <v>6.23</v>
          </cell>
          <cell r="AA84">
            <v>16.69</v>
          </cell>
          <cell r="AB84" t="str">
            <v>-</v>
          </cell>
        </row>
        <row r="85">
          <cell r="A85" t="str">
            <v>美珠</v>
          </cell>
          <cell r="B85" t="str">
            <v>AU-UFRT-YPWR</v>
          </cell>
          <cell r="C85" t="str">
            <v>中性iPhone 12 6.7 黑橙</v>
          </cell>
        </row>
        <row r="85">
          <cell r="E85" t="str">
            <v>B0BCFGZF9F</v>
          </cell>
          <cell r="F85">
            <v>78</v>
          </cell>
          <cell r="G85">
            <v>0</v>
          </cell>
          <cell r="H85">
            <v>0</v>
          </cell>
          <cell r="I85">
            <v>0</v>
          </cell>
          <cell r="J85">
            <v>0</v>
          </cell>
          <cell r="K85">
            <v>78</v>
          </cell>
          <cell r="L85">
            <v>13.9</v>
          </cell>
          <cell r="M85">
            <v>1084.2</v>
          </cell>
          <cell r="N85">
            <v>0</v>
          </cell>
          <cell r="O85">
            <v>0</v>
          </cell>
          <cell r="P85">
            <v>0</v>
          </cell>
          <cell r="Q85">
            <v>0</v>
          </cell>
          <cell r="R85">
            <v>0</v>
          </cell>
          <cell r="S85" t="str">
            <v>-</v>
          </cell>
          <cell r="T85" t="str">
            <v>-</v>
          </cell>
          <cell r="U85" t="str">
            <v>-</v>
          </cell>
          <cell r="V85" t="str">
            <v>-</v>
          </cell>
          <cell r="W85" t="str">
            <v>有库存无销量</v>
          </cell>
          <cell r="X85" t="str">
            <v>有库存无销量</v>
          </cell>
          <cell r="Y85">
            <v>0</v>
          </cell>
          <cell r="Z85">
            <v>0</v>
          </cell>
          <cell r="AA85">
            <v>0</v>
          </cell>
          <cell r="AB85" t="str">
            <v>-</v>
          </cell>
        </row>
        <row r="86">
          <cell r="A86" t="str">
            <v>美珠</v>
          </cell>
          <cell r="B86" t="str">
            <v>Y7022-BL+Y7024+Y7023</v>
          </cell>
          <cell r="C86" t="str">
            <v>中性手机壳三星 A14 5G  +软膜+背夹 黑</v>
          </cell>
          <cell r="D86">
            <v>44938</v>
          </cell>
          <cell r="E86" t="str">
            <v>B0BLYPT5CN</v>
          </cell>
          <cell r="F86">
            <v>129</v>
          </cell>
          <cell r="G86">
            <v>1</v>
          </cell>
          <cell r="H86">
            <v>34</v>
          </cell>
          <cell r="I86">
            <v>13</v>
          </cell>
          <cell r="J86">
            <v>0</v>
          </cell>
          <cell r="K86">
            <v>177</v>
          </cell>
          <cell r="L86">
            <v>13.9</v>
          </cell>
          <cell r="M86">
            <v>2460.3</v>
          </cell>
          <cell r="N86">
            <v>39</v>
          </cell>
          <cell r="O86">
            <v>86</v>
          </cell>
          <cell r="P86">
            <v>154</v>
          </cell>
          <cell r="Q86">
            <v>33</v>
          </cell>
          <cell r="R86">
            <v>6</v>
          </cell>
          <cell r="S86">
            <v>32.3030127462341</v>
          </cell>
          <cell r="T86">
            <v>1.07676709154114</v>
          </cell>
          <cell r="U86">
            <v>2.09590643274854</v>
          </cell>
          <cell r="V86">
            <v>-1.0191393412074</v>
          </cell>
          <cell r="W86" t="str">
            <v>正常</v>
          </cell>
          <cell r="X86" t="str">
            <v>正常</v>
          </cell>
          <cell r="Y86">
            <v>16.55</v>
          </cell>
          <cell r="Z86">
            <v>24.48</v>
          </cell>
          <cell r="AA86">
            <v>45.74</v>
          </cell>
          <cell r="AB86">
            <v>0.752957233848954</v>
          </cell>
        </row>
        <row r="87">
          <cell r="A87" t="str">
            <v>美珠</v>
          </cell>
          <cell r="B87" t="str">
            <v>Y7022-BU+Y7024+Y7023</v>
          </cell>
          <cell r="C87" t="str">
            <v>中性手机壳三星 A14 5G  +软膜+背夹   黑+蓝</v>
          </cell>
          <cell r="D87">
            <v>44938</v>
          </cell>
          <cell r="E87" t="str">
            <v>B0BLXVWKNB</v>
          </cell>
          <cell r="F87">
            <v>27</v>
          </cell>
          <cell r="G87">
            <v>0</v>
          </cell>
          <cell r="H87">
            <v>24</v>
          </cell>
          <cell r="I87">
            <v>1</v>
          </cell>
          <cell r="J87">
            <v>0</v>
          </cell>
          <cell r="K87">
            <v>52</v>
          </cell>
          <cell r="L87">
            <v>13.9</v>
          </cell>
          <cell r="M87">
            <v>722.8</v>
          </cell>
          <cell r="N87">
            <v>7</v>
          </cell>
          <cell r="O87">
            <v>13</v>
          </cell>
          <cell r="P87">
            <v>35</v>
          </cell>
          <cell r="Q87">
            <v>13</v>
          </cell>
          <cell r="R87">
            <v>-6</v>
          </cell>
          <cell r="S87">
            <v>51.4285714285714</v>
          </cell>
          <cell r="T87">
            <v>1.71428571428571</v>
          </cell>
          <cell r="U87">
            <v>1.19052044609665</v>
          </cell>
          <cell r="V87">
            <v>0.523765268189064</v>
          </cell>
          <cell r="W87" t="str">
            <v>库存过高</v>
          </cell>
          <cell r="X87" t="str">
            <v>库存过高</v>
          </cell>
          <cell r="Y87">
            <v>0</v>
          </cell>
          <cell r="Z87">
            <v>0.27</v>
          </cell>
          <cell r="AA87">
            <v>0.57</v>
          </cell>
          <cell r="AB87" t="str">
            <v>-</v>
          </cell>
        </row>
        <row r="88">
          <cell r="A88" t="str">
            <v>美珠</v>
          </cell>
          <cell r="B88" t="str">
            <v>Y7022-DB+Y7024+Y7023</v>
          </cell>
          <cell r="C88" t="str">
            <v>中性手机壳三星 A14 5G  +软膜+背夹  深蓝+蓝</v>
          </cell>
          <cell r="D88">
            <v>44938</v>
          </cell>
          <cell r="E88" t="str">
            <v>B0BLY64GWX</v>
          </cell>
          <cell r="F88">
            <v>51</v>
          </cell>
          <cell r="G88">
            <v>1</v>
          </cell>
          <cell r="H88">
            <v>15</v>
          </cell>
          <cell r="I88">
            <v>0</v>
          </cell>
          <cell r="J88">
            <v>0</v>
          </cell>
          <cell r="K88">
            <v>67</v>
          </cell>
          <cell r="L88">
            <v>13.9</v>
          </cell>
          <cell r="M88">
            <v>931.3</v>
          </cell>
          <cell r="N88">
            <v>2</v>
          </cell>
          <cell r="O88">
            <v>7</v>
          </cell>
          <cell r="P88">
            <v>18</v>
          </cell>
          <cell r="Q88">
            <v>5</v>
          </cell>
          <cell r="R88">
            <v>-3</v>
          </cell>
          <cell r="S88">
            <v>148.62676056338</v>
          </cell>
          <cell r="T88">
            <v>4.95422535211268</v>
          </cell>
          <cell r="U88">
            <v>1.68192219679634</v>
          </cell>
          <cell r="V88">
            <v>3.27230315531634</v>
          </cell>
          <cell r="W88" t="str">
            <v>库存过高</v>
          </cell>
          <cell r="X88" t="str">
            <v>库存过高</v>
          </cell>
          <cell r="Y88">
            <v>0</v>
          </cell>
          <cell r="Z88">
            <v>0</v>
          </cell>
          <cell r="AA88">
            <v>0</v>
          </cell>
          <cell r="AB88" t="str">
            <v>-</v>
          </cell>
        </row>
        <row r="89">
          <cell r="A89" t="str">
            <v>美珠</v>
          </cell>
          <cell r="B89" t="str">
            <v>Y7022-OR+Y7024+Y7023</v>
          </cell>
          <cell r="C89" t="str">
            <v>中性手机壳三星 A14 5G  +软膜+背夹   黑+橙</v>
          </cell>
          <cell r="D89">
            <v>44938</v>
          </cell>
          <cell r="E89" t="str">
            <v>B0BLXZ2PHT</v>
          </cell>
          <cell r="F89">
            <v>42</v>
          </cell>
          <cell r="G89">
            <v>0</v>
          </cell>
          <cell r="H89">
            <v>55</v>
          </cell>
          <cell r="I89">
            <v>1</v>
          </cell>
          <cell r="J89">
            <v>4</v>
          </cell>
          <cell r="K89">
            <v>102</v>
          </cell>
          <cell r="L89">
            <v>13.9</v>
          </cell>
          <cell r="M89">
            <v>1417.8</v>
          </cell>
          <cell r="N89">
            <v>7</v>
          </cell>
          <cell r="O89">
            <v>14</v>
          </cell>
          <cell r="P89">
            <v>39</v>
          </cell>
          <cell r="Q89">
            <v>7</v>
          </cell>
          <cell r="R89">
            <v>0</v>
          </cell>
          <cell r="S89">
            <v>94.639175257732</v>
          </cell>
          <cell r="T89">
            <v>3.15463917525773</v>
          </cell>
          <cell r="U89">
            <v>1.44</v>
          </cell>
          <cell r="V89">
            <v>1.71463917525773</v>
          </cell>
          <cell r="W89" t="str">
            <v>库存过高</v>
          </cell>
          <cell r="X89" t="str">
            <v>库存过高</v>
          </cell>
          <cell r="Y89">
            <v>26.13</v>
          </cell>
          <cell r="Z89">
            <v>55.57</v>
          </cell>
          <cell r="AA89">
            <v>143.68</v>
          </cell>
          <cell r="AB89">
            <v>0.239922872096226</v>
          </cell>
        </row>
        <row r="90">
          <cell r="A90" t="str">
            <v>美珠</v>
          </cell>
          <cell r="B90" t="str">
            <v>Y7033-BL+Y7034</v>
          </cell>
          <cell r="C90" t="str">
            <v>中性手机壳三星 A54 5G+背夹 黑</v>
          </cell>
          <cell r="D90">
            <v>44967</v>
          </cell>
          <cell r="E90" t="str">
            <v>B0BQMJBXVV</v>
          </cell>
          <cell r="F90">
            <v>26</v>
          </cell>
          <cell r="G90">
            <v>0</v>
          </cell>
          <cell r="H90">
            <v>38</v>
          </cell>
          <cell r="I90">
            <v>1</v>
          </cell>
          <cell r="J90">
            <v>0</v>
          </cell>
          <cell r="K90">
            <v>65</v>
          </cell>
          <cell r="L90">
            <v>13.9</v>
          </cell>
          <cell r="M90">
            <v>903.5</v>
          </cell>
          <cell r="N90">
            <v>7</v>
          </cell>
          <cell r="O90">
            <v>10</v>
          </cell>
          <cell r="P90">
            <v>12</v>
          </cell>
          <cell r="Q90">
            <v>2</v>
          </cell>
          <cell r="R90">
            <v>5</v>
          </cell>
          <cell r="S90">
            <v>94.3548387096774</v>
          </cell>
          <cell r="T90">
            <v>3.14516129032258</v>
          </cell>
          <cell r="U90">
            <v>3.22368421052632</v>
          </cell>
          <cell r="V90">
            <v>-0.0785229202037385</v>
          </cell>
          <cell r="W90" t="str">
            <v>库存过高</v>
          </cell>
          <cell r="X90" t="str">
            <v>库存过高</v>
          </cell>
          <cell r="Y90">
            <v>4.84</v>
          </cell>
          <cell r="Z90">
            <v>7.6</v>
          </cell>
          <cell r="AA90">
            <v>15.34</v>
          </cell>
          <cell r="AB90">
            <v>0.201834862385321</v>
          </cell>
        </row>
        <row r="91">
          <cell r="A91" t="str">
            <v>美珠</v>
          </cell>
          <cell r="B91" t="str">
            <v>Y7033-BU+Y7034</v>
          </cell>
          <cell r="C91" t="str">
            <v>中性手机壳三星 A54 5G+背夹  黑+蓝</v>
          </cell>
          <cell r="D91">
            <v>44967</v>
          </cell>
          <cell r="E91" t="str">
            <v>B0BQMFSMP6</v>
          </cell>
          <cell r="F91">
            <v>37</v>
          </cell>
          <cell r="G91">
            <v>0</v>
          </cell>
          <cell r="H91">
            <v>1</v>
          </cell>
          <cell r="I91">
            <v>0</v>
          </cell>
          <cell r="J91">
            <v>0</v>
          </cell>
          <cell r="K91">
            <v>38</v>
          </cell>
          <cell r="L91">
            <v>13.9</v>
          </cell>
          <cell r="M91">
            <v>528.2</v>
          </cell>
          <cell r="N91">
            <v>3</v>
          </cell>
          <cell r="O91">
            <v>5</v>
          </cell>
          <cell r="P91">
            <v>9</v>
          </cell>
          <cell r="Q91">
            <v>2</v>
          </cell>
          <cell r="R91">
            <v>1</v>
          </cell>
          <cell r="S91">
            <v>107.354260089686</v>
          </cell>
          <cell r="T91">
            <v>3.57847533632287</v>
          </cell>
          <cell r="U91">
            <v>4.31775700934579</v>
          </cell>
          <cell r="V91">
            <v>-0.739281673022921</v>
          </cell>
          <cell r="W91" t="str">
            <v>库存过高</v>
          </cell>
          <cell r="X91" t="str">
            <v>库存过高</v>
          </cell>
          <cell r="Y91">
            <v>0</v>
          </cell>
          <cell r="Z91">
            <v>0</v>
          </cell>
          <cell r="AA91">
            <v>0</v>
          </cell>
          <cell r="AB91" t="str">
            <v>-</v>
          </cell>
        </row>
        <row r="92">
          <cell r="A92" t="str">
            <v>美珠</v>
          </cell>
          <cell r="B92" t="str">
            <v>Y7033-DB+Y7034</v>
          </cell>
          <cell r="C92" t="str">
            <v>中性手机壳三星 A54 5G+背夹  深蓝+蓝</v>
          </cell>
          <cell r="D92">
            <v>44967</v>
          </cell>
          <cell r="E92" t="str">
            <v>B0BQMJKB4S</v>
          </cell>
          <cell r="F92">
            <v>40</v>
          </cell>
          <cell r="G92">
            <v>0</v>
          </cell>
          <cell r="H92">
            <v>12</v>
          </cell>
          <cell r="I92">
            <v>0</v>
          </cell>
          <cell r="J92">
            <v>0</v>
          </cell>
          <cell r="K92">
            <v>52</v>
          </cell>
          <cell r="L92">
            <v>13.9</v>
          </cell>
          <cell r="M92">
            <v>722.8</v>
          </cell>
          <cell r="N92">
            <v>2</v>
          </cell>
          <cell r="O92">
            <v>3</v>
          </cell>
          <cell r="P92">
            <v>9</v>
          </cell>
          <cell r="Q92">
            <v>3</v>
          </cell>
          <cell r="R92">
            <v>-1</v>
          </cell>
          <cell r="S92">
            <v>198.545454545455</v>
          </cell>
          <cell r="T92">
            <v>6.61818181818182</v>
          </cell>
          <cell r="U92">
            <v>2.05211726384365</v>
          </cell>
          <cell r="V92">
            <v>4.56606455433817</v>
          </cell>
          <cell r="W92" t="str">
            <v>库存过高</v>
          </cell>
          <cell r="X92" t="str">
            <v>库存过高</v>
          </cell>
          <cell r="Y92">
            <v>8.33</v>
          </cell>
          <cell r="Z92">
            <v>12.49</v>
          </cell>
          <cell r="AA92">
            <v>30.54</v>
          </cell>
          <cell r="AB92">
            <v>0.378980891719745</v>
          </cell>
        </row>
        <row r="93">
          <cell r="A93" t="str">
            <v>美珠</v>
          </cell>
          <cell r="B93" t="str">
            <v>Y7033-OR+Y7034</v>
          </cell>
          <cell r="C93" t="str">
            <v>中性手机壳三星 A54 5G+背夹  黑+橙</v>
          </cell>
          <cell r="D93">
            <v>44967</v>
          </cell>
          <cell r="E93" t="str">
            <v>B0BQMF2BX9</v>
          </cell>
          <cell r="F93">
            <v>38</v>
          </cell>
          <cell r="G93">
            <v>0</v>
          </cell>
          <cell r="H93">
            <v>24</v>
          </cell>
          <cell r="I93">
            <v>0</v>
          </cell>
          <cell r="J93">
            <v>0</v>
          </cell>
          <cell r="K93">
            <v>62</v>
          </cell>
          <cell r="L93">
            <v>13.9</v>
          </cell>
          <cell r="M93">
            <v>861.8</v>
          </cell>
          <cell r="N93">
            <v>1</v>
          </cell>
          <cell r="O93">
            <v>2</v>
          </cell>
          <cell r="P93">
            <v>5</v>
          </cell>
          <cell r="Q93">
            <v>2</v>
          </cell>
          <cell r="R93">
            <v>-1</v>
          </cell>
          <cell r="S93">
            <v>420</v>
          </cell>
          <cell r="T93">
            <v>14</v>
          </cell>
          <cell r="U93">
            <v>3.14018691588785</v>
          </cell>
          <cell r="V93">
            <v>10.8598130841122</v>
          </cell>
          <cell r="W93" t="str">
            <v>库存过高</v>
          </cell>
          <cell r="X93" t="str">
            <v>库存过高</v>
          </cell>
          <cell r="Y93">
            <v>0</v>
          </cell>
          <cell r="Z93">
            <v>0</v>
          </cell>
          <cell r="AA93">
            <v>0</v>
          </cell>
          <cell r="AB93" t="str">
            <v>-</v>
          </cell>
        </row>
        <row r="94">
          <cell r="A94" t="str">
            <v>美珠</v>
          </cell>
          <cell r="B94" t="str">
            <v>Y7028-BL+Y7029+Y7030</v>
          </cell>
          <cell r="C94" t="str">
            <v>中性手机壳三星 S23 Plus+软膜+背夹 黑</v>
          </cell>
          <cell r="D94">
            <v>44958</v>
          </cell>
          <cell r="E94" t="str">
            <v>B0BQMLFFHR</v>
          </cell>
          <cell r="F94">
            <v>30</v>
          </cell>
          <cell r="G94">
            <v>0</v>
          </cell>
          <cell r="H94">
            <v>2</v>
          </cell>
          <cell r="I94">
            <v>29</v>
          </cell>
          <cell r="J94">
            <v>0</v>
          </cell>
          <cell r="K94">
            <v>61</v>
          </cell>
          <cell r="L94">
            <v>13.9</v>
          </cell>
          <cell r="M94">
            <v>847.9</v>
          </cell>
          <cell r="N94">
            <v>10</v>
          </cell>
          <cell r="O94">
            <v>18</v>
          </cell>
          <cell r="P94">
            <v>25</v>
          </cell>
          <cell r="Q94">
            <v>4</v>
          </cell>
          <cell r="R94">
            <v>6</v>
          </cell>
          <cell r="S94">
            <v>52.8610729023384</v>
          </cell>
          <cell r="T94">
            <v>1.76203576341128</v>
          </cell>
          <cell r="U94">
            <v>3.18181818181818</v>
          </cell>
          <cell r="V94">
            <v>-1.4197824184069</v>
          </cell>
          <cell r="W94" t="str">
            <v>正常</v>
          </cell>
          <cell r="X94" t="str">
            <v>库存过高</v>
          </cell>
          <cell r="Y94">
            <v>0</v>
          </cell>
          <cell r="Z94">
            <v>0</v>
          </cell>
          <cell r="AA94">
            <v>1.12</v>
          </cell>
          <cell r="AB94" t="str">
            <v>-</v>
          </cell>
        </row>
        <row r="95">
          <cell r="A95" t="str">
            <v>美珠</v>
          </cell>
          <cell r="B95" t="str">
            <v>Y7028-BU+Y7029+Y7030</v>
          </cell>
          <cell r="C95" t="str">
            <v>中性手机壳三星 S23 Plus+软膜+背夹  黑+蓝</v>
          </cell>
          <cell r="D95">
            <v>44958</v>
          </cell>
          <cell r="E95" t="str">
            <v>B0BQMNG5Q2</v>
          </cell>
          <cell r="F95">
            <v>27</v>
          </cell>
          <cell r="G95">
            <v>0</v>
          </cell>
          <cell r="H95">
            <v>0</v>
          </cell>
          <cell r="I95">
            <v>0</v>
          </cell>
          <cell r="J95">
            <v>0</v>
          </cell>
          <cell r="K95">
            <v>27</v>
          </cell>
          <cell r="L95">
            <v>13.9</v>
          </cell>
          <cell r="M95">
            <v>375.3</v>
          </cell>
          <cell r="N95">
            <v>3</v>
          </cell>
          <cell r="O95">
            <v>6</v>
          </cell>
          <cell r="P95">
            <v>11</v>
          </cell>
          <cell r="Q95">
            <v>4</v>
          </cell>
          <cell r="R95">
            <v>-1</v>
          </cell>
          <cell r="S95">
            <v>67.7689243027888</v>
          </cell>
          <cell r="T95">
            <v>2.25896414342629</v>
          </cell>
          <cell r="U95">
            <v>2.65612648221344</v>
          </cell>
          <cell r="V95">
            <v>-0.397162338787145</v>
          </cell>
          <cell r="W95" t="str">
            <v>库存过高</v>
          </cell>
          <cell r="X95" t="str">
            <v>库存过高</v>
          </cell>
          <cell r="Y95">
            <v>0</v>
          </cell>
          <cell r="Z95">
            <v>0</v>
          </cell>
          <cell r="AA95">
            <v>0</v>
          </cell>
          <cell r="AB95" t="str">
            <v>-</v>
          </cell>
        </row>
        <row r="96">
          <cell r="A96" t="str">
            <v>美珠</v>
          </cell>
          <cell r="B96" t="str">
            <v>Y7028-DB+Y7029+Y7030</v>
          </cell>
          <cell r="C96" t="str">
            <v>中性手机壳三星 S23 Plus+软膜+背夹  深蓝+蓝</v>
          </cell>
          <cell r="D96">
            <v>44958</v>
          </cell>
          <cell r="E96" t="str">
            <v>B0BQMLCGZR</v>
          </cell>
          <cell r="F96">
            <v>35</v>
          </cell>
          <cell r="G96">
            <v>0</v>
          </cell>
          <cell r="H96">
            <v>0</v>
          </cell>
          <cell r="I96">
            <v>1</v>
          </cell>
          <cell r="J96">
            <v>0</v>
          </cell>
          <cell r="K96">
            <v>36</v>
          </cell>
          <cell r="L96">
            <v>13.9</v>
          </cell>
          <cell r="M96">
            <v>500.4</v>
          </cell>
          <cell r="N96">
            <v>4</v>
          </cell>
          <cell r="O96">
            <v>5</v>
          </cell>
          <cell r="P96">
            <v>10</v>
          </cell>
          <cell r="Q96">
            <v>2</v>
          </cell>
          <cell r="R96">
            <v>2</v>
          </cell>
          <cell r="S96">
            <v>87.2307692307692</v>
          </cell>
          <cell r="T96">
            <v>2.90769230769231</v>
          </cell>
          <cell r="U96">
            <v>5.84105960264901</v>
          </cell>
          <cell r="V96">
            <v>-2.9333672949567</v>
          </cell>
          <cell r="W96" t="str">
            <v>库存过高</v>
          </cell>
          <cell r="X96" t="str">
            <v>库存过高</v>
          </cell>
          <cell r="Y96">
            <v>3.3</v>
          </cell>
          <cell r="Z96">
            <v>3.87</v>
          </cell>
          <cell r="AA96">
            <v>10.4</v>
          </cell>
          <cell r="AB96" t="str">
            <v>-</v>
          </cell>
        </row>
        <row r="97">
          <cell r="A97" t="str">
            <v>美珠</v>
          </cell>
          <cell r="B97" t="str">
            <v>Y7028-OR+Y7029+Y7030</v>
          </cell>
          <cell r="C97" t="str">
            <v>中性手机壳三星 S23 Plus+软膜+背夹  黑+橙</v>
          </cell>
          <cell r="D97">
            <v>44958</v>
          </cell>
          <cell r="E97" t="str">
            <v>B0BQMLXY38</v>
          </cell>
          <cell r="F97">
            <v>20</v>
          </cell>
          <cell r="G97">
            <v>0</v>
          </cell>
          <cell r="H97">
            <v>1</v>
          </cell>
          <cell r="I97">
            <v>0</v>
          </cell>
          <cell r="J97">
            <v>0</v>
          </cell>
          <cell r="K97">
            <v>21</v>
          </cell>
          <cell r="L97">
            <v>13.9</v>
          </cell>
          <cell r="M97">
            <v>291.9</v>
          </cell>
          <cell r="N97">
            <v>6</v>
          </cell>
          <cell r="O97">
            <v>9</v>
          </cell>
          <cell r="P97">
            <v>18</v>
          </cell>
          <cell r="Q97">
            <v>7</v>
          </cell>
          <cell r="R97">
            <v>-1</v>
          </cell>
          <cell r="S97">
            <v>30.625</v>
          </cell>
          <cell r="T97">
            <v>1.02083333333333</v>
          </cell>
          <cell r="U97">
            <v>1.5</v>
          </cell>
          <cell r="V97">
            <v>-0.479166666666667</v>
          </cell>
          <cell r="W97" t="str">
            <v>正常</v>
          </cell>
          <cell r="X97" t="str">
            <v>正常</v>
          </cell>
          <cell r="Y97">
            <v>17.54</v>
          </cell>
          <cell r="Z97">
            <v>30.13</v>
          </cell>
          <cell r="AA97">
            <v>47.2</v>
          </cell>
          <cell r="AB97">
            <v>0.211503677800555</v>
          </cell>
        </row>
        <row r="98">
          <cell r="A98" t="str">
            <v>美珠</v>
          </cell>
          <cell r="B98" t="str">
            <v>Y7031-BL+Y7032</v>
          </cell>
          <cell r="C98" t="str">
            <v>中性手机壳三星 S23 Ultra+背夹 黑</v>
          </cell>
          <cell r="D98">
            <v>44958</v>
          </cell>
          <cell r="E98" t="str">
            <v>B0BQMNJ6Q3</v>
          </cell>
          <cell r="F98">
            <v>131</v>
          </cell>
          <cell r="G98">
            <v>0</v>
          </cell>
          <cell r="H98">
            <v>2</v>
          </cell>
          <cell r="I98">
            <v>0</v>
          </cell>
          <cell r="J98">
            <v>0</v>
          </cell>
          <cell r="K98">
            <v>133</v>
          </cell>
          <cell r="L98">
            <v>13.9</v>
          </cell>
          <cell r="M98">
            <v>1848.7</v>
          </cell>
          <cell r="N98">
            <v>5</v>
          </cell>
          <cell r="O98">
            <v>9</v>
          </cell>
          <cell r="P98">
            <v>20</v>
          </cell>
          <cell r="Q98">
            <v>6</v>
          </cell>
          <cell r="R98">
            <v>-1</v>
          </cell>
          <cell r="S98">
            <v>201.418269230769</v>
          </cell>
          <cell r="T98">
            <v>6.71394230769231</v>
          </cell>
          <cell r="U98">
            <v>5.66603773584906</v>
          </cell>
          <cell r="V98">
            <v>1.04790457184325</v>
          </cell>
          <cell r="W98" t="str">
            <v>库存过高</v>
          </cell>
          <cell r="X98" t="str">
            <v>库存过高</v>
          </cell>
          <cell r="Y98">
            <v>0</v>
          </cell>
          <cell r="Z98">
            <v>0</v>
          </cell>
          <cell r="AA98">
            <v>0</v>
          </cell>
          <cell r="AB98" t="str">
            <v>-</v>
          </cell>
        </row>
        <row r="99">
          <cell r="A99" t="str">
            <v>美珠</v>
          </cell>
          <cell r="B99" t="str">
            <v>Y7031-BU+Y7032</v>
          </cell>
          <cell r="C99" t="str">
            <v>中性手机壳三星 S23 Ultra+背夹  黑+蓝</v>
          </cell>
          <cell r="D99">
            <v>44958</v>
          </cell>
          <cell r="E99" t="str">
            <v>B0BQMMFRGQ</v>
          </cell>
          <cell r="F99">
            <v>80</v>
          </cell>
          <cell r="G99">
            <v>0</v>
          </cell>
          <cell r="H99">
            <v>1</v>
          </cell>
          <cell r="I99">
            <v>0</v>
          </cell>
          <cell r="J99">
            <v>0</v>
          </cell>
          <cell r="K99">
            <v>81</v>
          </cell>
          <cell r="L99">
            <v>13.9</v>
          </cell>
          <cell r="M99">
            <v>1125.9</v>
          </cell>
          <cell r="N99">
            <v>1</v>
          </cell>
          <cell r="O99">
            <v>4</v>
          </cell>
          <cell r="P99">
            <v>10</v>
          </cell>
          <cell r="Q99">
            <v>5</v>
          </cell>
          <cell r="R99">
            <v>-4</v>
          </cell>
          <cell r="S99">
            <v>327.115384615385</v>
          </cell>
          <cell r="T99">
            <v>10.9038461538462</v>
          </cell>
          <cell r="U99">
            <v>4.70876288659794</v>
          </cell>
          <cell r="V99">
            <v>6.19508326724821</v>
          </cell>
          <cell r="W99" t="str">
            <v>库存过高</v>
          </cell>
          <cell r="X99" t="str">
            <v>库存过高</v>
          </cell>
          <cell r="Y99">
            <v>0.3</v>
          </cell>
          <cell r="Z99">
            <v>0.3</v>
          </cell>
          <cell r="AA99">
            <v>0.75</v>
          </cell>
          <cell r="AB99" t="str">
            <v>-</v>
          </cell>
        </row>
        <row r="100">
          <cell r="A100" t="str">
            <v>美珠</v>
          </cell>
          <cell r="B100" t="str">
            <v>Y7031-DB+Y7032</v>
          </cell>
          <cell r="C100" t="str">
            <v>中性手机壳三星 S23 Ultra+背夹  深蓝+蓝</v>
          </cell>
          <cell r="D100">
            <v>44958</v>
          </cell>
          <cell r="E100" t="str">
            <v>B0BQMLF83Q</v>
          </cell>
          <cell r="F100">
            <v>57</v>
          </cell>
          <cell r="G100">
            <v>0</v>
          </cell>
          <cell r="H100">
            <v>0</v>
          </cell>
          <cell r="I100">
            <v>2</v>
          </cell>
          <cell r="J100">
            <v>0</v>
          </cell>
          <cell r="K100">
            <v>59</v>
          </cell>
          <cell r="L100">
            <v>13.9</v>
          </cell>
          <cell r="M100">
            <v>820.1</v>
          </cell>
          <cell r="N100">
            <v>1</v>
          </cell>
          <cell r="O100">
            <v>2</v>
          </cell>
          <cell r="P100">
            <v>6</v>
          </cell>
          <cell r="Q100">
            <v>3</v>
          </cell>
          <cell r="R100">
            <v>-2</v>
          </cell>
          <cell r="S100">
            <v>371.7</v>
          </cell>
          <cell r="T100">
            <v>12.39</v>
          </cell>
          <cell r="U100">
            <v>7.48275862068966</v>
          </cell>
          <cell r="V100">
            <v>4.90724137931034</v>
          </cell>
          <cell r="W100" t="str">
            <v>库存过高</v>
          </cell>
          <cell r="X100" t="str">
            <v>库存过高</v>
          </cell>
          <cell r="Y100">
            <v>0.44</v>
          </cell>
          <cell r="Z100">
            <v>0.76</v>
          </cell>
          <cell r="AA100">
            <v>1.02</v>
          </cell>
          <cell r="AB100" t="str">
            <v>-</v>
          </cell>
        </row>
        <row r="101">
          <cell r="A101" t="str">
            <v>美珠</v>
          </cell>
          <cell r="B101" t="str">
            <v>Y7031-OR+Y7032</v>
          </cell>
          <cell r="C101" t="str">
            <v>中性手机壳三星 S23 Ultra+背夹  黑+橙</v>
          </cell>
          <cell r="D101">
            <v>44958</v>
          </cell>
          <cell r="E101" t="str">
            <v>B0BQML1ZRK</v>
          </cell>
          <cell r="F101">
            <v>56</v>
          </cell>
          <cell r="G101">
            <v>0</v>
          </cell>
          <cell r="H101">
            <v>0</v>
          </cell>
          <cell r="I101">
            <v>0</v>
          </cell>
          <cell r="J101">
            <v>0</v>
          </cell>
          <cell r="K101">
            <v>56</v>
          </cell>
          <cell r="L101">
            <v>13.9</v>
          </cell>
          <cell r="M101">
            <v>778.4</v>
          </cell>
          <cell r="N101">
            <v>2</v>
          </cell>
          <cell r="O101">
            <v>6</v>
          </cell>
          <cell r="P101">
            <v>6</v>
          </cell>
          <cell r="Q101">
            <v>0</v>
          </cell>
          <cell r="R101">
            <v>2</v>
          </cell>
          <cell r="S101">
            <v>189.677419354839</v>
          </cell>
          <cell r="T101">
            <v>6.32258064516129</v>
          </cell>
          <cell r="U101">
            <v>37.2</v>
          </cell>
          <cell r="V101">
            <v>-30.8774193548387</v>
          </cell>
          <cell r="W101" t="str">
            <v>库存过高</v>
          </cell>
          <cell r="X101" t="str">
            <v>库存过高</v>
          </cell>
          <cell r="Y101">
            <v>15</v>
          </cell>
          <cell r="Z101">
            <v>24.49</v>
          </cell>
          <cell r="AA101">
            <v>41.2</v>
          </cell>
          <cell r="AB101">
            <v>1.15473441108545</v>
          </cell>
        </row>
        <row r="102">
          <cell r="A102" t="str">
            <v>美珠</v>
          </cell>
          <cell r="B102" t="str">
            <v>Y7025-BL+Y7027+Y7026</v>
          </cell>
          <cell r="C102" t="str">
            <v>中性手机壳三星 S23+软膜+背夹 黑</v>
          </cell>
          <cell r="D102">
            <v>44958</v>
          </cell>
          <cell r="E102" t="str">
            <v>B0BQRNJQZM</v>
          </cell>
          <cell r="F102">
            <v>11</v>
          </cell>
          <cell r="G102">
            <v>0</v>
          </cell>
          <cell r="H102">
            <v>1</v>
          </cell>
          <cell r="I102">
            <v>0</v>
          </cell>
          <cell r="J102">
            <v>0</v>
          </cell>
          <cell r="K102">
            <v>12</v>
          </cell>
          <cell r="L102">
            <v>13.9</v>
          </cell>
          <cell r="M102">
            <v>166.8</v>
          </cell>
          <cell r="N102">
            <v>3</v>
          </cell>
          <cell r="O102">
            <v>12</v>
          </cell>
          <cell r="P102">
            <v>33</v>
          </cell>
          <cell r="Q102">
            <v>11</v>
          </cell>
          <cell r="R102">
            <v>-8</v>
          </cell>
          <cell r="S102">
            <v>15.4601226993865</v>
          </cell>
          <cell r="T102">
            <v>0.515337423312883</v>
          </cell>
          <cell r="U102">
            <v>1.34952978056426</v>
          </cell>
          <cell r="V102">
            <v>-0.834192357251377</v>
          </cell>
          <cell r="W102" t="str">
            <v>正常</v>
          </cell>
          <cell r="X102" t="str">
            <v>正常</v>
          </cell>
          <cell r="Y102">
            <v>1.25</v>
          </cell>
          <cell r="Z102">
            <v>1.71</v>
          </cell>
          <cell r="AA102">
            <v>2.41</v>
          </cell>
          <cell r="AB102" t="str">
            <v>-</v>
          </cell>
        </row>
        <row r="103">
          <cell r="A103" t="str">
            <v>美珠</v>
          </cell>
          <cell r="B103" t="str">
            <v>Y7025-BU+Y7027+Y7026</v>
          </cell>
          <cell r="C103" t="str">
            <v>中性手机壳三星 S23+软膜+背夹  黑+蓝</v>
          </cell>
          <cell r="D103">
            <v>44958</v>
          </cell>
          <cell r="E103" t="str">
            <v>B0BQRHRQ89</v>
          </cell>
          <cell r="F103">
            <v>18</v>
          </cell>
          <cell r="G103">
            <v>1</v>
          </cell>
          <cell r="H103">
            <v>1</v>
          </cell>
          <cell r="I103">
            <v>1</v>
          </cell>
          <cell r="J103">
            <v>0</v>
          </cell>
          <cell r="K103">
            <v>21</v>
          </cell>
          <cell r="L103">
            <v>13.9</v>
          </cell>
          <cell r="M103">
            <v>291.9</v>
          </cell>
          <cell r="N103">
            <v>4</v>
          </cell>
          <cell r="O103">
            <v>10</v>
          </cell>
          <cell r="P103">
            <v>21</v>
          </cell>
          <cell r="Q103">
            <v>6</v>
          </cell>
          <cell r="R103">
            <v>-2</v>
          </cell>
          <cell r="S103">
            <v>32.5061425061425</v>
          </cell>
          <cell r="T103">
            <v>1.08353808353808</v>
          </cell>
          <cell r="U103">
            <v>1.71534653465347</v>
          </cell>
          <cell r="V103">
            <v>-0.631808451115387</v>
          </cell>
          <cell r="W103" t="str">
            <v>正常</v>
          </cell>
          <cell r="X103" t="str">
            <v>正常</v>
          </cell>
          <cell r="Y103">
            <v>0</v>
          </cell>
          <cell r="Z103">
            <v>0</v>
          </cell>
          <cell r="AA103">
            <v>0</v>
          </cell>
          <cell r="AB103" t="str">
            <v>-</v>
          </cell>
        </row>
        <row r="104">
          <cell r="A104" t="str">
            <v>美珠</v>
          </cell>
          <cell r="B104" t="str">
            <v>Y7025-DB+Y7027+Y7026</v>
          </cell>
          <cell r="C104" t="str">
            <v>中性手机壳三星 S23+软膜+背夹  深蓝+蓝</v>
          </cell>
          <cell r="D104">
            <v>44958</v>
          </cell>
          <cell r="E104" t="str">
            <v>B0BQRPKHGV</v>
          </cell>
          <cell r="F104">
            <v>22</v>
          </cell>
          <cell r="G104">
            <v>0</v>
          </cell>
          <cell r="H104">
            <v>0</v>
          </cell>
          <cell r="I104">
            <v>8</v>
          </cell>
          <cell r="J104">
            <v>0</v>
          </cell>
          <cell r="K104">
            <v>30</v>
          </cell>
          <cell r="L104">
            <v>13.9</v>
          </cell>
          <cell r="M104">
            <v>417</v>
          </cell>
          <cell r="N104">
            <v>12</v>
          </cell>
          <cell r="O104">
            <v>14</v>
          </cell>
          <cell r="P104">
            <v>15</v>
          </cell>
          <cell r="Q104">
            <v>0</v>
          </cell>
          <cell r="R104">
            <v>12</v>
          </cell>
          <cell r="S104">
            <v>28.5930408472012</v>
          </cell>
          <cell r="T104">
            <v>0.953101361573374</v>
          </cell>
          <cell r="U104">
            <v>6.75</v>
          </cell>
          <cell r="V104">
            <v>-5.79689863842663</v>
          </cell>
          <cell r="W104" t="str">
            <v>正常</v>
          </cell>
          <cell r="X104" t="str">
            <v>正常</v>
          </cell>
          <cell r="Y104">
            <v>0</v>
          </cell>
          <cell r="Z104">
            <v>0</v>
          </cell>
          <cell r="AA104">
            <v>0</v>
          </cell>
          <cell r="AB104" t="str">
            <v>-</v>
          </cell>
        </row>
        <row r="105">
          <cell r="A105" t="str">
            <v>美珠</v>
          </cell>
          <cell r="B105" t="str">
            <v>Y7025-OR+Y7027+Y7026</v>
          </cell>
          <cell r="C105" t="str">
            <v>中性手机壳三星 S23+软膜+背夹  黑+橙</v>
          </cell>
          <cell r="D105">
            <v>44958</v>
          </cell>
          <cell r="E105" t="str">
            <v>B0BQRPNLNX</v>
          </cell>
          <cell r="F105">
            <v>36</v>
          </cell>
          <cell r="G105">
            <v>3</v>
          </cell>
          <cell r="H105">
            <v>0</v>
          </cell>
          <cell r="I105">
            <v>1</v>
          </cell>
          <cell r="J105">
            <v>0</v>
          </cell>
          <cell r="K105">
            <v>40</v>
          </cell>
          <cell r="L105">
            <v>13.9</v>
          </cell>
          <cell r="M105">
            <v>556</v>
          </cell>
          <cell r="N105">
            <v>3</v>
          </cell>
          <cell r="O105">
            <v>7</v>
          </cell>
          <cell r="P105">
            <v>15</v>
          </cell>
          <cell r="Q105">
            <v>4</v>
          </cell>
          <cell r="R105">
            <v>-1</v>
          </cell>
          <cell r="S105">
            <v>86.0068259385666</v>
          </cell>
          <cell r="T105">
            <v>2.86689419795222</v>
          </cell>
          <cell r="U105">
            <v>3.67883211678832</v>
          </cell>
          <cell r="V105">
            <v>-0.811937918836101</v>
          </cell>
          <cell r="W105" t="str">
            <v>库存过高</v>
          </cell>
          <cell r="X105" t="str">
            <v>库存过高</v>
          </cell>
          <cell r="Y105">
            <v>7.96</v>
          </cell>
          <cell r="Z105">
            <v>12.48</v>
          </cell>
          <cell r="AA105">
            <v>22.23</v>
          </cell>
          <cell r="AB105">
            <v>0.612779060816012</v>
          </cell>
        </row>
        <row r="106">
          <cell r="A106" t="str">
            <v>美珠</v>
          </cell>
          <cell r="B106" t="str">
            <v>Y73133-BL+Y73136+Y73267</v>
          </cell>
          <cell r="C106" t="str">
            <v>中性Moto G Stylus 2021 黑色</v>
          </cell>
          <cell r="D106">
            <v>44935</v>
          </cell>
          <cell r="E106" t="str">
            <v>B0BQRPGXSB</v>
          </cell>
          <cell r="F106">
            <v>10</v>
          </cell>
          <cell r="G106">
            <v>0</v>
          </cell>
          <cell r="H106">
            <v>0</v>
          </cell>
          <cell r="I106">
            <v>0</v>
          </cell>
          <cell r="J106">
            <v>0</v>
          </cell>
          <cell r="K106">
            <v>10</v>
          </cell>
          <cell r="L106">
            <v>13.9</v>
          </cell>
          <cell r="M106">
            <v>139</v>
          </cell>
          <cell r="N106">
            <v>1</v>
          </cell>
          <cell r="O106">
            <v>2</v>
          </cell>
          <cell r="P106">
            <v>3</v>
          </cell>
          <cell r="Q106">
            <v>1</v>
          </cell>
          <cell r="R106">
            <v>0</v>
          </cell>
          <cell r="S106">
            <v>79.746835443038</v>
          </cell>
          <cell r="T106">
            <v>2.65822784810127</v>
          </cell>
          <cell r="U106">
            <v>4.11764705882353</v>
          </cell>
          <cell r="V106">
            <v>-1.45941921072226</v>
          </cell>
          <cell r="W106" t="str">
            <v>库存过高</v>
          </cell>
          <cell r="X106" t="str">
            <v>库存过高</v>
          </cell>
          <cell r="Y106">
            <v>0.89</v>
          </cell>
          <cell r="Z106">
            <v>1.29</v>
          </cell>
          <cell r="AA106">
            <v>3.43</v>
          </cell>
          <cell r="AB106">
            <v>0.08098271155596</v>
          </cell>
        </row>
        <row r="107">
          <cell r="A107" t="str">
            <v>美珠</v>
          </cell>
          <cell r="B107" t="str">
            <v>Y73133-DB+Y73136+Y73267</v>
          </cell>
          <cell r="C107" t="str">
            <v>中性Moto G Stylus 2021 深蓝+蓝色</v>
          </cell>
          <cell r="D107">
            <v>44935</v>
          </cell>
          <cell r="E107" t="str">
            <v>B0BQRNJKNG</v>
          </cell>
          <cell r="F107">
            <v>7</v>
          </cell>
          <cell r="G107">
            <v>0</v>
          </cell>
          <cell r="H107">
            <v>0</v>
          </cell>
          <cell r="I107">
            <v>0</v>
          </cell>
          <cell r="J107">
            <v>0</v>
          </cell>
          <cell r="K107">
            <v>7</v>
          </cell>
          <cell r="L107">
            <v>13.9</v>
          </cell>
          <cell r="M107">
            <v>97.3</v>
          </cell>
          <cell r="N107">
            <v>1</v>
          </cell>
          <cell r="O107">
            <v>1</v>
          </cell>
          <cell r="P107">
            <v>1</v>
          </cell>
          <cell r="Q107">
            <v>0</v>
          </cell>
          <cell r="R107">
            <v>1</v>
          </cell>
          <cell r="S107">
            <v>86.4705882352941</v>
          </cell>
          <cell r="T107">
            <v>2.88235294117647</v>
          </cell>
          <cell r="U107" t="str">
            <v>-</v>
          </cell>
          <cell r="V107" t="str">
            <v>-</v>
          </cell>
          <cell r="W107" t="str">
            <v>库存过高</v>
          </cell>
          <cell r="X107" t="str">
            <v>库存过高</v>
          </cell>
          <cell r="Y107">
            <v>0</v>
          </cell>
          <cell r="Z107">
            <v>0</v>
          </cell>
          <cell r="AA107">
            <v>0</v>
          </cell>
          <cell r="AB107" t="str">
            <v>-</v>
          </cell>
        </row>
        <row r="108">
          <cell r="A108" t="str">
            <v>美珠</v>
          </cell>
          <cell r="B108" t="str">
            <v>Y73133-OR+Y73136+Y73267</v>
          </cell>
          <cell r="C108" t="str">
            <v>中性Moto G Stylus 2021 黑橙</v>
          </cell>
          <cell r="D108">
            <v>44935</v>
          </cell>
          <cell r="E108" t="str">
            <v>B0BQRNV2Z3</v>
          </cell>
          <cell r="F108">
            <v>9</v>
          </cell>
          <cell r="G108">
            <v>1</v>
          </cell>
          <cell r="H108">
            <v>0</v>
          </cell>
          <cell r="I108">
            <v>0</v>
          </cell>
          <cell r="J108">
            <v>0</v>
          </cell>
          <cell r="K108">
            <v>10</v>
          </cell>
          <cell r="L108">
            <v>13.9</v>
          </cell>
          <cell r="M108">
            <v>139</v>
          </cell>
          <cell r="N108">
            <v>0</v>
          </cell>
          <cell r="O108">
            <v>0</v>
          </cell>
          <cell r="P108">
            <v>3</v>
          </cell>
          <cell r="Q108">
            <v>2</v>
          </cell>
          <cell r="R108">
            <v>-2</v>
          </cell>
          <cell r="S108">
            <v>300</v>
          </cell>
          <cell r="T108">
            <v>10</v>
          </cell>
          <cell r="U108">
            <v>1.92660550458716</v>
          </cell>
          <cell r="V108">
            <v>8.07339449541284</v>
          </cell>
          <cell r="W108" t="str">
            <v>有库存无销量</v>
          </cell>
          <cell r="X108" t="str">
            <v>库存过高</v>
          </cell>
          <cell r="Y108">
            <v>2.2</v>
          </cell>
          <cell r="Z108">
            <v>4.36</v>
          </cell>
          <cell r="AA108">
            <v>10.35</v>
          </cell>
          <cell r="AB108" t="str">
            <v>-</v>
          </cell>
        </row>
        <row r="109">
          <cell r="A109" t="str">
            <v>美珠</v>
          </cell>
          <cell r="B109" t="str">
            <v>Y73134-BL+Y03137+Y73268</v>
          </cell>
          <cell r="C109" t="str">
            <v>中性Moto G Power 2021 黑色</v>
          </cell>
          <cell r="D109">
            <v>44935</v>
          </cell>
          <cell r="E109" t="str">
            <v>B0BQRQ3974</v>
          </cell>
          <cell r="F109">
            <v>10</v>
          </cell>
          <cell r="G109">
            <v>0</v>
          </cell>
          <cell r="H109">
            <v>0</v>
          </cell>
          <cell r="I109">
            <v>0</v>
          </cell>
          <cell r="J109">
            <v>0</v>
          </cell>
          <cell r="K109">
            <v>10</v>
          </cell>
          <cell r="L109">
            <v>13.9</v>
          </cell>
          <cell r="M109">
            <v>139</v>
          </cell>
          <cell r="N109">
            <v>0</v>
          </cell>
          <cell r="O109">
            <v>0</v>
          </cell>
          <cell r="P109">
            <v>11</v>
          </cell>
          <cell r="Q109">
            <v>11</v>
          </cell>
          <cell r="R109">
            <v>-11</v>
          </cell>
          <cell r="S109">
            <v>81.8181818181818</v>
          </cell>
          <cell r="T109">
            <v>2.72727272727273</v>
          </cell>
          <cell r="U109">
            <v>0.112299465240642</v>
          </cell>
          <cell r="V109">
            <v>2.61497326203209</v>
          </cell>
          <cell r="W109" t="str">
            <v>有库存无销量</v>
          </cell>
          <cell r="X109" t="str">
            <v>库存过高</v>
          </cell>
          <cell r="Y109">
            <v>0</v>
          </cell>
          <cell r="Z109">
            <v>0</v>
          </cell>
          <cell r="AA109">
            <v>0</v>
          </cell>
          <cell r="AB109" t="str">
            <v>-</v>
          </cell>
        </row>
        <row r="110">
          <cell r="A110" t="str">
            <v>美珠</v>
          </cell>
          <cell r="B110" t="str">
            <v>Y73134-DB+Y03137+Y73268</v>
          </cell>
          <cell r="C110" t="str">
            <v>中性Moto G Power 2021 深蓝+蓝色</v>
          </cell>
          <cell r="D110">
            <v>44935</v>
          </cell>
          <cell r="E110" t="str">
            <v>B0BQRP2G6J</v>
          </cell>
          <cell r="F110">
            <v>1</v>
          </cell>
          <cell r="G110">
            <v>0</v>
          </cell>
          <cell r="H110">
            <v>9</v>
          </cell>
          <cell r="I110">
            <v>0</v>
          </cell>
          <cell r="J110">
            <v>0</v>
          </cell>
          <cell r="K110">
            <v>10</v>
          </cell>
          <cell r="L110">
            <v>13.9</v>
          </cell>
          <cell r="M110">
            <v>139</v>
          </cell>
          <cell r="N110">
            <v>4</v>
          </cell>
          <cell r="O110">
            <v>5</v>
          </cell>
          <cell r="P110">
            <v>21</v>
          </cell>
          <cell r="Q110">
            <v>14</v>
          </cell>
          <cell r="R110">
            <v>-10</v>
          </cell>
          <cell r="S110">
            <v>18.6943620178042</v>
          </cell>
          <cell r="T110">
            <v>0.623145400593472</v>
          </cell>
          <cell r="U110">
            <v>0.160714285714286</v>
          </cell>
          <cell r="V110">
            <v>0.462431114879186</v>
          </cell>
          <cell r="W110" t="str">
            <v>正常</v>
          </cell>
          <cell r="X110" t="str">
            <v>正常</v>
          </cell>
          <cell r="Y110">
            <v>3.49</v>
          </cell>
          <cell r="Z110">
            <v>5.87</v>
          </cell>
          <cell r="AA110">
            <v>11.84</v>
          </cell>
          <cell r="AB110">
            <v>0.134334103156274</v>
          </cell>
        </row>
        <row r="111">
          <cell r="A111" t="str">
            <v>美珠</v>
          </cell>
          <cell r="B111" t="str">
            <v>Y73134-OR+Y03137+Y73268</v>
          </cell>
          <cell r="C111" t="str">
            <v>中性Moto G Power 2021 黑橙</v>
          </cell>
          <cell r="D111">
            <v>44935</v>
          </cell>
          <cell r="E111" t="str">
            <v>B0BQRP5Q8K</v>
          </cell>
          <cell r="F111">
            <v>4</v>
          </cell>
          <cell r="G111">
            <v>0</v>
          </cell>
          <cell r="H111">
            <v>5</v>
          </cell>
          <cell r="I111">
            <v>1</v>
          </cell>
          <cell r="J111">
            <v>0</v>
          </cell>
          <cell r="K111">
            <v>10</v>
          </cell>
          <cell r="L111">
            <v>13.9</v>
          </cell>
          <cell r="M111">
            <v>139</v>
          </cell>
          <cell r="N111">
            <v>0</v>
          </cell>
          <cell r="O111">
            <v>2</v>
          </cell>
          <cell r="P111">
            <v>10</v>
          </cell>
          <cell r="Q111">
            <v>6</v>
          </cell>
          <cell r="R111">
            <v>-6</v>
          </cell>
          <cell r="S111">
            <v>64.2857142857143</v>
          </cell>
          <cell r="T111">
            <v>2.14285714285714</v>
          </cell>
          <cell r="U111">
            <v>0.181034482758621</v>
          </cell>
          <cell r="V111">
            <v>1.96182266009852</v>
          </cell>
          <cell r="W111" t="str">
            <v>有库存无销量</v>
          </cell>
          <cell r="X111" t="str">
            <v>库存过高</v>
          </cell>
          <cell r="Y111">
            <v>0</v>
          </cell>
          <cell r="Z111">
            <v>0</v>
          </cell>
          <cell r="AA111">
            <v>12.97</v>
          </cell>
          <cell r="AB111" t="str">
            <v>-</v>
          </cell>
        </row>
        <row r="112">
          <cell r="A112" t="str">
            <v>美珠</v>
          </cell>
          <cell r="B112" t="str">
            <v>Y73630-GR+Y73635+Y73643</v>
          </cell>
          <cell r="C112" t="str">
            <v>中性三星 Moto G Pure 浅绿+黄</v>
          </cell>
        </row>
        <row r="112">
          <cell r="E112" t="str">
            <v>B0BYP9YW93</v>
          </cell>
          <cell r="F112">
            <v>3</v>
          </cell>
          <cell r="G112">
            <v>0</v>
          </cell>
          <cell r="H112">
            <v>1</v>
          </cell>
          <cell r="I112">
            <v>0</v>
          </cell>
          <cell r="J112">
            <v>0</v>
          </cell>
          <cell r="K112">
            <v>4</v>
          </cell>
          <cell r="L112">
            <v>13.9</v>
          </cell>
          <cell r="M112">
            <v>55.6</v>
          </cell>
          <cell r="N112">
            <v>1</v>
          </cell>
          <cell r="O112">
            <v>3</v>
          </cell>
          <cell r="P112">
            <v>5</v>
          </cell>
          <cell r="Q112">
            <v>1</v>
          </cell>
          <cell r="R112">
            <v>0</v>
          </cell>
          <cell r="S112">
            <v>23.5514018691589</v>
          </cell>
          <cell r="T112">
            <v>0.785046728971963</v>
          </cell>
          <cell r="U112">
            <v>2.89655172413793</v>
          </cell>
          <cell r="V112">
            <v>-2.11150499516597</v>
          </cell>
          <cell r="W112" t="str">
            <v>正常</v>
          </cell>
          <cell r="X112" t="str">
            <v>正常</v>
          </cell>
          <cell r="Y112">
            <v>2.04</v>
          </cell>
          <cell r="Z112">
            <v>3.99</v>
          </cell>
          <cell r="AA112">
            <v>6.15</v>
          </cell>
          <cell r="AB112">
            <v>0.107424960505529</v>
          </cell>
        </row>
        <row r="113">
          <cell r="A113" t="str">
            <v>美珠</v>
          </cell>
          <cell r="B113" t="str">
            <v>Y72000-BL+Y72013+Y72749</v>
          </cell>
          <cell r="C113" t="str">
            <v>中性LG Stylo 5 黑色</v>
          </cell>
          <cell r="D113">
            <v>45030</v>
          </cell>
          <cell r="E113" t="str">
            <v>B0BQJHYV98</v>
          </cell>
          <cell r="F113">
            <v>22</v>
          </cell>
          <cell r="G113">
            <v>0</v>
          </cell>
          <cell r="H113">
            <v>0</v>
          </cell>
          <cell r="I113">
            <v>0</v>
          </cell>
          <cell r="J113">
            <v>0</v>
          </cell>
          <cell r="K113">
            <v>22</v>
          </cell>
          <cell r="L113">
            <v>13.9</v>
          </cell>
          <cell r="M113">
            <v>305.8</v>
          </cell>
          <cell r="N113">
            <v>4</v>
          </cell>
          <cell r="O113">
            <v>4</v>
          </cell>
          <cell r="P113">
            <v>7</v>
          </cell>
          <cell r="Q113">
            <v>0</v>
          </cell>
          <cell r="R113">
            <v>4</v>
          </cell>
          <cell r="S113">
            <v>61.6</v>
          </cell>
          <cell r="T113">
            <v>2.05333333333333</v>
          </cell>
          <cell r="U113">
            <v>20.25</v>
          </cell>
          <cell r="V113">
            <v>-18.1966666666667</v>
          </cell>
          <cell r="W113" t="str">
            <v>正常</v>
          </cell>
          <cell r="X113" t="str">
            <v>库存过高</v>
          </cell>
          <cell r="Y113">
            <v>0</v>
          </cell>
          <cell r="Z113">
            <v>0</v>
          </cell>
          <cell r="AA113">
            <v>0</v>
          </cell>
          <cell r="AB113" t="str">
            <v>-</v>
          </cell>
        </row>
        <row r="114">
          <cell r="A114" t="str">
            <v>美珠</v>
          </cell>
          <cell r="B114" t="str">
            <v>Y72000-DB+Y72013+Y72749</v>
          </cell>
          <cell r="C114" t="str">
            <v>中性LG Stylo 5 深蓝+蓝色</v>
          </cell>
          <cell r="D114">
            <v>45030</v>
          </cell>
          <cell r="E114" t="str">
            <v>B0BQJHSY7P</v>
          </cell>
          <cell r="F114">
            <v>9</v>
          </cell>
          <cell r="G114">
            <v>0</v>
          </cell>
          <cell r="H114">
            <v>1</v>
          </cell>
          <cell r="I114">
            <v>0</v>
          </cell>
          <cell r="J114">
            <v>0</v>
          </cell>
          <cell r="K114">
            <v>10</v>
          </cell>
          <cell r="L114">
            <v>13.9</v>
          </cell>
          <cell r="M114">
            <v>139</v>
          </cell>
          <cell r="N114">
            <v>2</v>
          </cell>
          <cell r="O114">
            <v>4</v>
          </cell>
          <cell r="P114">
            <v>6</v>
          </cell>
          <cell r="Q114">
            <v>2</v>
          </cell>
          <cell r="R114">
            <v>0</v>
          </cell>
          <cell r="S114">
            <v>39.873417721519</v>
          </cell>
          <cell r="T114">
            <v>1.32911392405063</v>
          </cell>
          <cell r="U114">
            <v>1.60416666666667</v>
          </cell>
          <cell r="V114">
            <v>-0.275052742616037</v>
          </cell>
          <cell r="W114" t="str">
            <v>正常</v>
          </cell>
          <cell r="X114" t="str">
            <v>正常</v>
          </cell>
          <cell r="Y114">
            <v>3.95</v>
          </cell>
          <cell r="Z114">
            <v>5.79</v>
          </cell>
          <cell r="AA114">
            <v>19.26</v>
          </cell>
          <cell r="AB114">
            <v>0.080661629569124</v>
          </cell>
        </row>
        <row r="115">
          <cell r="A115" t="str">
            <v>美珠</v>
          </cell>
          <cell r="B115" t="str">
            <v>Y72000-OR+Y72013+Y72749</v>
          </cell>
          <cell r="C115" t="str">
            <v>中性LG Stylo 5 黑橙</v>
          </cell>
          <cell r="D115">
            <v>45030</v>
          </cell>
          <cell r="E115" t="str">
            <v>B0BQJFPSQB</v>
          </cell>
          <cell r="F115">
            <v>4</v>
          </cell>
          <cell r="G115">
            <v>1</v>
          </cell>
          <cell r="H115">
            <v>0</v>
          </cell>
          <cell r="I115">
            <v>0</v>
          </cell>
          <cell r="J115">
            <v>0</v>
          </cell>
          <cell r="K115">
            <v>5</v>
          </cell>
          <cell r="L115">
            <v>13.9</v>
          </cell>
          <cell r="M115">
            <v>69.5</v>
          </cell>
          <cell r="N115">
            <v>0</v>
          </cell>
          <cell r="O115">
            <v>0</v>
          </cell>
          <cell r="P115">
            <v>1</v>
          </cell>
          <cell r="Q115">
            <v>1</v>
          </cell>
          <cell r="R115">
            <v>-1</v>
          </cell>
          <cell r="S115">
            <v>450</v>
          </cell>
          <cell r="T115">
            <v>15</v>
          </cell>
          <cell r="U115">
            <v>0.984375</v>
          </cell>
          <cell r="V115">
            <v>14.015625</v>
          </cell>
          <cell r="W115" t="str">
            <v>有库存无销量</v>
          </cell>
          <cell r="X115" t="str">
            <v>库存过高</v>
          </cell>
          <cell r="Y115">
            <v>0</v>
          </cell>
          <cell r="Z115">
            <v>0</v>
          </cell>
          <cell r="AA115">
            <v>0</v>
          </cell>
          <cell r="AB115" t="str">
            <v>-</v>
          </cell>
        </row>
        <row r="116">
          <cell r="A116" t="str">
            <v>美珠</v>
          </cell>
          <cell r="B116" t="str">
            <v>Y72559-BL+Y72560+Y72399</v>
          </cell>
          <cell r="C116" t="str">
            <v>中性三星 A01 黑色</v>
          </cell>
          <cell r="D116">
            <v>45030</v>
          </cell>
          <cell r="E116" t="str">
            <v>B0BZCTDPWZ</v>
          </cell>
          <cell r="F116">
            <v>0</v>
          </cell>
          <cell r="G116">
            <v>0</v>
          </cell>
          <cell r="H116">
            <v>0</v>
          </cell>
          <cell r="I116">
            <v>1</v>
          </cell>
          <cell r="J116">
            <v>0</v>
          </cell>
          <cell r="K116">
            <v>1</v>
          </cell>
          <cell r="L116">
            <v>13.9</v>
          </cell>
          <cell r="M116">
            <v>13.9</v>
          </cell>
          <cell r="N116">
            <v>1</v>
          </cell>
          <cell r="O116">
            <v>1</v>
          </cell>
          <cell r="P116">
            <v>4</v>
          </cell>
          <cell r="Q116">
            <v>3</v>
          </cell>
          <cell r="R116">
            <v>-2</v>
          </cell>
          <cell r="S116">
            <v>8.75</v>
          </cell>
          <cell r="T116">
            <v>0.291666666666667</v>
          </cell>
          <cell r="U116">
            <v>0.323076923076923</v>
          </cell>
          <cell r="V116">
            <v>-0.0314102564102563</v>
          </cell>
          <cell r="W116" t="str">
            <v>库存过低</v>
          </cell>
          <cell r="X116" t="str">
            <v>库存过低</v>
          </cell>
          <cell r="Y116">
            <v>0.43</v>
          </cell>
          <cell r="Z116">
            <v>0.43</v>
          </cell>
          <cell r="AA116">
            <v>3.62</v>
          </cell>
          <cell r="AB116" t="str">
            <v>-</v>
          </cell>
        </row>
        <row r="117">
          <cell r="A117" t="str">
            <v>美珠</v>
          </cell>
          <cell r="B117" t="str">
            <v>Y72559-OR+Y72560+Y72399</v>
          </cell>
          <cell r="C117" t="str">
            <v>中性三星 A01 黑橙</v>
          </cell>
          <cell r="D117">
            <v>45030</v>
          </cell>
          <cell r="E117" t="str">
            <v>B0BZCRVBC8</v>
          </cell>
          <cell r="F117">
            <v>8</v>
          </cell>
          <cell r="G117">
            <v>0</v>
          </cell>
          <cell r="H117">
            <v>0</v>
          </cell>
          <cell r="I117">
            <v>0</v>
          </cell>
          <cell r="J117">
            <v>0</v>
          </cell>
          <cell r="K117">
            <v>8</v>
          </cell>
          <cell r="L117">
            <v>13.9</v>
          </cell>
          <cell r="M117">
            <v>111.2</v>
          </cell>
          <cell r="N117">
            <v>1</v>
          </cell>
          <cell r="O117">
            <v>2</v>
          </cell>
          <cell r="P117">
            <v>4</v>
          </cell>
          <cell r="Q117">
            <v>1</v>
          </cell>
          <cell r="R117">
            <v>0</v>
          </cell>
          <cell r="S117">
            <v>58.6046511627907</v>
          </cell>
          <cell r="T117">
            <v>1.95348837209302</v>
          </cell>
          <cell r="U117">
            <v>3.5</v>
          </cell>
          <cell r="V117">
            <v>-1.54651162790698</v>
          </cell>
          <cell r="W117" t="str">
            <v>库存过高</v>
          </cell>
          <cell r="X117" t="str">
            <v>库存过高</v>
          </cell>
          <cell r="Y117">
            <v>2.26</v>
          </cell>
          <cell r="Z117">
            <v>4.88</v>
          </cell>
          <cell r="AA117">
            <v>8.1</v>
          </cell>
          <cell r="AB117">
            <v>0.0881091617933723</v>
          </cell>
        </row>
        <row r="118">
          <cell r="A118" t="str">
            <v>美珠</v>
          </cell>
          <cell r="B118" t="str">
            <v>Y72559-NB+Y72560+Y72399</v>
          </cell>
          <cell r="C118" t="str">
            <v>中性三星 A01 深蓝+蓝色</v>
          </cell>
          <cell r="D118">
            <v>45030</v>
          </cell>
          <cell r="E118" t="str">
            <v>B0BZD1QP7N</v>
          </cell>
          <cell r="F118">
            <v>4</v>
          </cell>
          <cell r="G118">
            <v>0</v>
          </cell>
          <cell r="H118">
            <v>0</v>
          </cell>
          <cell r="I118">
            <v>0</v>
          </cell>
          <cell r="J118">
            <v>0</v>
          </cell>
          <cell r="K118">
            <v>4</v>
          </cell>
          <cell r="L118">
            <v>13.9</v>
          </cell>
          <cell r="M118">
            <v>55.6</v>
          </cell>
          <cell r="N118">
            <v>0</v>
          </cell>
          <cell r="O118">
            <v>1</v>
          </cell>
          <cell r="P118">
            <v>1</v>
          </cell>
          <cell r="Q118">
            <v>0</v>
          </cell>
          <cell r="R118">
            <v>0</v>
          </cell>
          <cell r="S118">
            <v>120</v>
          </cell>
          <cell r="T118">
            <v>4</v>
          </cell>
          <cell r="U118">
            <v>15</v>
          </cell>
          <cell r="V118">
            <v>-11</v>
          </cell>
          <cell r="W118" t="str">
            <v>有库存无销量</v>
          </cell>
          <cell r="X118" t="str">
            <v>库存过高</v>
          </cell>
          <cell r="Y118">
            <v>0</v>
          </cell>
          <cell r="Z118">
            <v>0</v>
          </cell>
          <cell r="AA118">
            <v>0</v>
          </cell>
          <cell r="AB118" t="str">
            <v>-</v>
          </cell>
        </row>
        <row r="119">
          <cell r="A119" t="str">
            <v>美珠</v>
          </cell>
          <cell r="B119" t="str">
            <v>Y71973-BL+Y71974+Y72754</v>
          </cell>
          <cell r="C119" t="str">
            <v>中性Moto G7 Power 黑色</v>
          </cell>
          <cell r="D119">
            <v>45114</v>
          </cell>
          <cell r="E119" t="str">
            <v>B0B6RC99NX</v>
          </cell>
          <cell r="F119">
            <v>4</v>
          </cell>
          <cell r="G119">
            <v>0</v>
          </cell>
          <cell r="H119">
            <v>1</v>
          </cell>
          <cell r="I119">
            <v>0</v>
          </cell>
          <cell r="J119">
            <v>0</v>
          </cell>
          <cell r="K119">
            <v>5</v>
          </cell>
          <cell r="L119">
            <v>13.9</v>
          </cell>
          <cell r="M119">
            <v>69.5</v>
          </cell>
          <cell r="N119">
            <v>1</v>
          </cell>
          <cell r="O119">
            <v>1</v>
          </cell>
          <cell r="P119">
            <v>3</v>
          </cell>
          <cell r="Q119">
            <v>1</v>
          </cell>
          <cell r="R119">
            <v>0</v>
          </cell>
          <cell r="S119">
            <v>48.4615384615385</v>
          </cell>
          <cell r="T119">
            <v>1.61538461538462</v>
          </cell>
          <cell r="U119">
            <v>1.86075949367089</v>
          </cell>
          <cell r="V119">
            <v>-0.245374878286275</v>
          </cell>
          <cell r="W119" t="str">
            <v>正常</v>
          </cell>
          <cell r="X119" t="str">
            <v>库存过高</v>
          </cell>
          <cell r="Y119">
            <v>0</v>
          </cell>
          <cell r="Z119">
            <v>0</v>
          </cell>
          <cell r="AA119">
            <v>0</v>
          </cell>
          <cell r="AB119" t="str">
            <v>-</v>
          </cell>
        </row>
        <row r="120">
          <cell r="A120" t="str">
            <v>美珠</v>
          </cell>
          <cell r="B120" t="str">
            <v>Y72691-DB+Y72692+Y72758</v>
          </cell>
          <cell r="C120" t="str">
            <v>中性Moto G Fast 深蓝+蓝色</v>
          </cell>
          <cell r="D120">
            <v>45024</v>
          </cell>
          <cell r="E120" t="str">
            <v>B0C1C3DN9D</v>
          </cell>
          <cell r="F120">
            <v>5</v>
          </cell>
          <cell r="G120">
            <v>0</v>
          </cell>
          <cell r="H120">
            <v>0</v>
          </cell>
          <cell r="I120">
            <v>0</v>
          </cell>
          <cell r="J120">
            <v>0</v>
          </cell>
          <cell r="K120">
            <v>5</v>
          </cell>
          <cell r="L120">
            <v>13.9</v>
          </cell>
          <cell r="M120">
            <v>69.5</v>
          </cell>
          <cell r="N120">
            <v>1</v>
          </cell>
          <cell r="O120">
            <v>1</v>
          </cell>
          <cell r="P120">
            <v>5</v>
          </cell>
          <cell r="Q120">
            <v>3</v>
          </cell>
          <cell r="R120">
            <v>-2</v>
          </cell>
          <cell r="S120">
            <v>39.873417721519</v>
          </cell>
          <cell r="T120">
            <v>1.32911392405063</v>
          </cell>
          <cell r="U120">
            <v>0.670212765957447</v>
          </cell>
          <cell r="V120">
            <v>0.658901158093186</v>
          </cell>
          <cell r="W120" t="str">
            <v>正常</v>
          </cell>
          <cell r="X120" t="str">
            <v>正常</v>
          </cell>
          <cell r="Y120">
            <v>2.66</v>
          </cell>
          <cell r="Z120">
            <v>3.93</v>
          </cell>
          <cell r="AA120">
            <v>10.26</v>
          </cell>
          <cell r="AB120">
            <v>0.24203821656051</v>
          </cell>
        </row>
        <row r="121">
          <cell r="A121" t="str">
            <v>美珠</v>
          </cell>
          <cell r="B121" t="str">
            <v>Y72691-OR+Y72692+Y72758</v>
          </cell>
          <cell r="C121" t="str">
            <v>中性Moto G Fast 黑橙</v>
          </cell>
          <cell r="D121">
            <v>45024</v>
          </cell>
          <cell r="E121" t="str">
            <v>B0C1C28GH9</v>
          </cell>
          <cell r="F121">
            <v>0</v>
          </cell>
          <cell r="G121">
            <v>0</v>
          </cell>
          <cell r="H121">
            <v>0</v>
          </cell>
          <cell r="I121">
            <v>0</v>
          </cell>
          <cell r="J121">
            <v>0</v>
          </cell>
          <cell r="K121">
            <v>0</v>
          </cell>
          <cell r="L121">
            <v>13.9</v>
          </cell>
          <cell r="M121">
            <v>0</v>
          </cell>
          <cell r="N121">
            <v>0</v>
          </cell>
          <cell r="O121">
            <v>1</v>
          </cell>
          <cell r="P121">
            <v>3</v>
          </cell>
          <cell r="Q121">
            <v>1</v>
          </cell>
          <cell r="R121">
            <v>-1</v>
          </cell>
          <cell r="S121">
            <v>0</v>
          </cell>
          <cell r="T121">
            <v>0</v>
          </cell>
          <cell r="U121">
            <v>0.422818791946309</v>
          </cell>
          <cell r="V121">
            <v>-0.422818791946309</v>
          </cell>
          <cell r="W121" t="str">
            <v>无库存无销量</v>
          </cell>
          <cell r="X121" t="str">
            <v>无库存有销量</v>
          </cell>
          <cell r="Y121">
            <v>0</v>
          </cell>
          <cell r="Z121">
            <v>0</v>
          </cell>
          <cell r="AA121">
            <v>0</v>
          </cell>
          <cell r="AB121" t="str">
            <v>-</v>
          </cell>
        </row>
        <row r="122">
          <cell r="A122" t="str">
            <v>美珠</v>
          </cell>
          <cell r="B122" t="str">
            <v>Y7001-BB-ZH</v>
          </cell>
          <cell r="C122" t="str">
            <v>中性三星 Moto G Stylus 2022 4G黑蓝</v>
          </cell>
          <cell r="D122">
            <v>45025</v>
          </cell>
          <cell r="E122" t="str">
            <v>B0C1VFZYP5</v>
          </cell>
          <cell r="F122">
            <v>1</v>
          </cell>
          <cell r="G122">
            <v>0</v>
          </cell>
          <cell r="H122">
            <v>0</v>
          </cell>
          <cell r="I122">
            <v>0</v>
          </cell>
          <cell r="J122">
            <v>0</v>
          </cell>
          <cell r="K122">
            <v>1</v>
          </cell>
          <cell r="L122">
            <v>13.9</v>
          </cell>
          <cell r="M122">
            <v>13.9</v>
          </cell>
          <cell r="N122">
            <v>0</v>
          </cell>
          <cell r="O122">
            <v>0</v>
          </cell>
          <cell r="P122">
            <v>1</v>
          </cell>
          <cell r="Q122">
            <v>1</v>
          </cell>
          <cell r="R122">
            <v>-1</v>
          </cell>
          <cell r="S122">
            <v>90</v>
          </cell>
          <cell r="T122">
            <v>3</v>
          </cell>
          <cell r="U122">
            <v>0</v>
          </cell>
          <cell r="V122">
            <v>3</v>
          </cell>
          <cell r="W122" t="str">
            <v>有库存无销量</v>
          </cell>
          <cell r="X122" t="str">
            <v>库存过高</v>
          </cell>
          <cell r="Y122">
            <v>1.56</v>
          </cell>
          <cell r="Z122">
            <v>1.56</v>
          </cell>
          <cell r="AA122">
            <v>1.56</v>
          </cell>
          <cell r="AB122" t="str">
            <v>-</v>
          </cell>
        </row>
        <row r="123">
          <cell r="A123" t="str">
            <v>美珠</v>
          </cell>
          <cell r="B123" t="str">
            <v>Y7001-DB-ZH</v>
          </cell>
          <cell r="C123" t="str">
            <v>中性三星 Moto G Stylus 2022 4G蓝</v>
          </cell>
          <cell r="D123">
            <v>45025</v>
          </cell>
          <cell r="E123" t="str">
            <v>B0C1VGSJ4B</v>
          </cell>
          <cell r="F123">
            <v>0</v>
          </cell>
          <cell r="G123">
            <v>0</v>
          </cell>
          <cell r="H123">
            <v>0</v>
          </cell>
          <cell r="I123">
            <v>0</v>
          </cell>
          <cell r="J123">
            <v>0</v>
          </cell>
          <cell r="K123">
            <v>0</v>
          </cell>
          <cell r="L123">
            <v>13.9</v>
          </cell>
          <cell r="M123">
            <v>0</v>
          </cell>
          <cell r="N123">
            <v>0</v>
          </cell>
          <cell r="O123">
            <v>0</v>
          </cell>
          <cell r="P123">
            <v>0</v>
          </cell>
          <cell r="Q123">
            <v>0</v>
          </cell>
          <cell r="R123">
            <v>0</v>
          </cell>
          <cell r="S123" t="str">
            <v>-</v>
          </cell>
          <cell r="T123" t="str">
            <v>-</v>
          </cell>
          <cell r="U123">
            <v>1</v>
          </cell>
          <cell r="V123" t="str">
            <v>-</v>
          </cell>
          <cell r="W123" t="str">
            <v>无库存无销量</v>
          </cell>
          <cell r="X123" t="str">
            <v>无库存无销量</v>
          </cell>
          <cell r="Y123">
            <v>0</v>
          </cell>
          <cell r="Z123">
            <v>0</v>
          </cell>
          <cell r="AA123">
            <v>0</v>
          </cell>
          <cell r="AB123" t="str">
            <v>-</v>
          </cell>
        </row>
        <row r="124">
          <cell r="A124" t="str">
            <v>美珠</v>
          </cell>
          <cell r="B124" t="str">
            <v>Y73135-DB-ZH</v>
          </cell>
          <cell r="C124" t="str">
            <v>中性Moto G Play 2021 深蓝+蓝色</v>
          </cell>
          <cell r="D124">
            <v>45049</v>
          </cell>
          <cell r="E124" t="str">
            <v>B0C2Q5G4WP</v>
          </cell>
          <cell r="F124">
            <v>3</v>
          </cell>
          <cell r="G124">
            <v>0</v>
          </cell>
          <cell r="H124">
            <v>15</v>
          </cell>
          <cell r="I124">
            <v>0</v>
          </cell>
          <cell r="J124">
            <v>0</v>
          </cell>
          <cell r="K124">
            <v>18</v>
          </cell>
          <cell r="L124">
            <v>13.9</v>
          </cell>
          <cell r="M124">
            <v>250.2</v>
          </cell>
          <cell r="N124">
            <v>0</v>
          </cell>
          <cell r="O124">
            <v>0</v>
          </cell>
          <cell r="P124">
            <v>1</v>
          </cell>
          <cell r="Q124">
            <v>0</v>
          </cell>
          <cell r="R124">
            <v>0</v>
          </cell>
          <cell r="S124">
            <v>1620</v>
          </cell>
          <cell r="T124">
            <v>54</v>
          </cell>
          <cell r="U124" t="str">
            <v>-</v>
          </cell>
          <cell r="V124" t="str">
            <v>-</v>
          </cell>
          <cell r="W124" t="str">
            <v>有库存无销量</v>
          </cell>
          <cell r="X124" t="str">
            <v>库存过高</v>
          </cell>
          <cell r="Y124">
            <v>0</v>
          </cell>
          <cell r="Z124">
            <v>0</v>
          </cell>
          <cell r="AA124">
            <v>0</v>
          </cell>
          <cell r="AB124" t="str">
            <v>-</v>
          </cell>
        </row>
        <row r="125">
          <cell r="A125" t="str">
            <v>美珠</v>
          </cell>
          <cell r="B125" t="str">
            <v>Y73135-OR-ZH</v>
          </cell>
          <cell r="C125" t="str">
            <v>中性Moto G Play 2021 黑橙</v>
          </cell>
          <cell r="D125">
            <v>45049</v>
          </cell>
          <cell r="E125" t="str">
            <v>B0C2Q3CC3D</v>
          </cell>
          <cell r="F125">
            <v>8</v>
          </cell>
          <cell r="G125">
            <v>0</v>
          </cell>
          <cell r="H125">
            <v>9</v>
          </cell>
          <cell r="I125">
            <v>0</v>
          </cell>
          <cell r="J125">
            <v>0</v>
          </cell>
          <cell r="K125">
            <v>17</v>
          </cell>
          <cell r="L125">
            <v>13.9</v>
          </cell>
          <cell r="M125">
            <v>236.3</v>
          </cell>
          <cell r="N125">
            <v>1</v>
          </cell>
          <cell r="O125">
            <v>1</v>
          </cell>
          <cell r="P125">
            <v>3</v>
          </cell>
          <cell r="Q125">
            <v>1</v>
          </cell>
          <cell r="R125">
            <v>0</v>
          </cell>
          <cell r="S125">
            <v>164.769230769231</v>
          </cell>
          <cell r="T125">
            <v>5.49230769230769</v>
          </cell>
          <cell r="U125">
            <v>3.70588235294118</v>
          </cell>
          <cell r="V125">
            <v>1.78642533936651</v>
          </cell>
          <cell r="W125" t="str">
            <v>库存过高</v>
          </cell>
          <cell r="X125" t="str">
            <v>库存过高</v>
          </cell>
          <cell r="Y125">
            <v>0</v>
          </cell>
          <cell r="Z125">
            <v>0</v>
          </cell>
          <cell r="AA125">
            <v>0</v>
          </cell>
          <cell r="AB125" t="str">
            <v>-</v>
          </cell>
        </row>
        <row r="126">
          <cell r="A126" t="str">
            <v>美珠</v>
          </cell>
          <cell r="B126" t="str">
            <v>Y73153-DB-ZH</v>
          </cell>
          <cell r="C126" t="str">
            <v>中性三星 A52 深蓝+蓝</v>
          </cell>
          <cell r="D126">
            <v>45048</v>
          </cell>
          <cell r="E126" t="str">
            <v>B0C2T7NTB8</v>
          </cell>
          <cell r="F126">
            <v>19</v>
          </cell>
          <cell r="G126">
            <v>0</v>
          </cell>
          <cell r="H126">
            <v>0</v>
          </cell>
          <cell r="I126">
            <v>0</v>
          </cell>
          <cell r="J126">
            <v>0</v>
          </cell>
          <cell r="K126">
            <v>19</v>
          </cell>
          <cell r="L126">
            <v>13.9</v>
          </cell>
          <cell r="M126">
            <v>264.1</v>
          </cell>
          <cell r="N126">
            <v>0</v>
          </cell>
          <cell r="O126">
            <v>0</v>
          </cell>
          <cell r="P126">
            <v>0</v>
          </cell>
          <cell r="Q126">
            <v>0</v>
          </cell>
          <cell r="R126">
            <v>0</v>
          </cell>
          <cell r="S126" t="str">
            <v>-</v>
          </cell>
          <cell r="T126" t="str">
            <v>-</v>
          </cell>
          <cell r="U126" t="str">
            <v>-</v>
          </cell>
          <cell r="V126" t="str">
            <v>-</v>
          </cell>
          <cell r="W126" t="str">
            <v>有库存无销量</v>
          </cell>
          <cell r="X126" t="str">
            <v>有库存无销量</v>
          </cell>
          <cell r="Y126">
            <v>0</v>
          </cell>
          <cell r="Z126">
            <v>0</v>
          </cell>
          <cell r="AA126">
            <v>0.85</v>
          </cell>
          <cell r="AB126" t="str">
            <v>-</v>
          </cell>
        </row>
        <row r="127">
          <cell r="A127" t="str">
            <v>美珠</v>
          </cell>
          <cell r="B127" t="str">
            <v>Y73153-OR-ZH</v>
          </cell>
          <cell r="C127" t="str">
            <v>中性三星 A52 黑+橙</v>
          </cell>
          <cell r="D127">
            <v>45048</v>
          </cell>
          <cell r="E127" t="str">
            <v>B0C2TCNT1B</v>
          </cell>
          <cell r="F127">
            <v>18</v>
          </cell>
          <cell r="G127">
            <v>0</v>
          </cell>
          <cell r="H127">
            <v>0</v>
          </cell>
          <cell r="I127">
            <v>0</v>
          </cell>
          <cell r="J127">
            <v>0</v>
          </cell>
          <cell r="K127">
            <v>18</v>
          </cell>
          <cell r="L127">
            <v>13.9</v>
          </cell>
          <cell r="M127">
            <v>250.2</v>
          </cell>
          <cell r="N127">
            <v>0</v>
          </cell>
          <cell r="O127">
            <v>0</v>
          </cell>
          <cell r="P127">
            <v>0</v>
          </cell>
          <cell r="Q127">
            <v>0</v>
          </cell>
          <cell r="R127">
            <v>0</v>
          </cell>
          <cell r="S127" t="str">
            <v>-</v>
          </cell>
          <cell r="T127" t="str">
            <v>-</v>
          </cell>
          <cell r="U127" t="str">
            <v>-</v>
          </cell>
          <cell r="V127" t="str">
            <v>-</v>
          </cell>
          <cell r="W127" t="str">
            <v>有库存无销量</v>
          </cell>
          <cell r="X127" t="str">
            <v>有库存无销量</v>
          </cell>
          <cell r="Y127">
            <v>0</v>
          </cell>
          <cell r="Z127">
            <v>0.4</v>
          </cell>
          <cell r="AA127">
            <v>0.6</v>
          </cell>
          <cell r="AB127" t="str">
            <v>-</v>
          </cell>
        </row>
        <row r="128">
          <cell r="A128" t="str">
            <v>美珠</v>
          </cell>
          <cell r="B128" t="str">
            <v>Y73821-BL-ZH</v>
          </cell>
          <cell r="C128" t="str">
            <v>中性Moto G Power 2022 黑</v>
          </cell>
          <cell r="D128">
            <v>45049</v>
          </cell>
          <cell r="E128" t="str">
            <v>B0C2TJLNYC</v>
          </cell>
          <cell r="F128">
            <v>0</v>
          </cell>
          <cell r="G128">
            <v>0</v>
          </cell>
          <cell r="H128">
            <v>0</v>
          </cell>
          <cell r="I128">
            <v>0</v>
          </cell>
          <cell r="J128">
            <v>0</v>
          </cell>
          <cell r="K128">
            <v>0</v>
          </cell>
          <cell r="L128">
            <v>13.9</v>
          </cell>
          <cell r="M128">
            <v>0</v>
          </cell>
          <cell r="N128">
            <v>0</v>
          </cell>
          <cell r="O128">
            <v>0</v>
          </cell>
          <cell r="P128">
            <v>0</v>
          </cell>
          <cell r="Q128">
            <v>0</v>
          </cell>
          <cell r="R128">
            <v>0</v>
          </cell>
          <cell r="S128" t="str">
            <v>-</v>
          </cell>
          <cell r="T128" t="str">
            <v>-</v>
          </cell>
          <cell r="U128" t="str">
            <v>-</v>
          </cell>
          <cell r="V128" t="str">
            <v>-</v>
          </cell>
          <cell r="W128" t="str">
            <v>无库存无销量</v>
          </cell>
          <cell r="X128" t="str">
            <v>无库存无销量</v>
          </cell>
          <cell r="Y128">
            <v>0</v>
          </cell>
          <cell r="Z128">
            <v>0</v>
          </cell>
          <cell r="AA128">
            <v>0</v>
          </cell>
          <cell r="AB128" t="str">
            <v>-</v>
          </cell>
        </row>
        <row r="129">
          <cell r="A129" t="str">
            <v>美珠</v>
          </cell>
          <cell r="B129" t="str">
            <v>Y73821-BU-ZH</v>
          </cell>
          <cell r="C129" t="str">
            <v>中性Moto G Power 2022 黑+蓝</v>
          </cell>
          <cell r="D129">
            <v>45049</v>
          </cell>
          <cell r="E129" t="str">
            <v>B0C2TDNY87</v>
          </cell>
          <cell r="F129">
            <v>6</v>
          </cell>
          <cell r="G129">
            <v>0</v>
          </cell>
          <cell r="H129">
            <v>0</v>
          </cell>
          <cell r="I129">
            <v>0</v>
          </cell>
          <cell r="J129">
            <v>0</v>
          </cell>
          <cell r="K129">
            <v>6</v>
          </cell>
          <cell r="L129">
            <v>13.9</v>
          </cell>
          <cell r="M129">
            <v>83.4</v>
          </cell>
          <cell r="N129">
            <v>1</v>
          </cell>
          <cell r="O129">
            <v>1</v>
          </cell>
          <cell r="P129">
            <v>2</v>
          </cell>
          <cell r="Q129">
            <v>1</v>
          </cell>
          <cell r="R129">
            <v>0</v>
          </cell>
          <cell r="S129">
            <v>65.1724137931035</v>
          </cell>
          <cell r="T129">
            <v>2.17241379310345</v>
          </cell>
          <cell r="U129">
            <v>2.17241379310345</v>
          </cell>
          <cell r="V129">
            <v>0</v>
          </cell>
          <cell r="W129" t="str">
            <v>正常</v>
          </cell>
          <cell r="X129" t="str">
            <v>库存过高</v>
          </cell>
          <cell r="Y129">
            <v>0</v>
          </cell>
          <cell r="Z129">
            <v>0</v>
          </cell>
          <cell r="AA129">
            <v>0</v>
          </cell>
          <cell r="AB129" t="str">
            <v>-</v>
          </cell>
        </row>
        <row r="130">
          <cell r="A130" t="str">
            <v>美珠</v>
          </cell>
          <cell r="B130" t="str">
            <v>Y73821-DB-ZH</v>
          </cell>
          <cell r="C130" t="str">
            <v>中性Moto G Power 2022 深蓝+蓝</v>
          </cell>
          <cell r="D130">
            <v>45049</v>
          </cell>
          <cell r="E130" t="str">
            <v>B0C2TGTPPR</v>
          </cell>
          <cell r="F130">
            <v>3</v>
          </cell>
          <cell r="G130">
            <v>0</v>
          </cell>
          <cell r="H130">
            <v>0</v>
          </cell>
          <cell r="I130">
            <v>0</v>
          </cell>
          <cell r="J130">
            <v>0</v>
          </cell>
          <cell r="K130">
            <v>3</v>
          </cell>
          <cell r="L130">
            <v>13.9</v>
          </cell>
          <cell r="M130">
            <v>41.7</v>
          </cell>
          <cell r="N130">
            <v>2</v>
          </cell>
          <cell r="O130">
            <v>2</v>
          </cell>
          <cell r="P130">
            <v>4</v>
          </cell>
          <cell r="Q130">
            <v>1</v>
          </cell>
          <cell r="R130">
            <v>1</v>
          </cell>
          <cell r="S130">
            <v>16.2931034482759</v>
          </cell>
          <cell r="T130">
            <v>0.543103448275862</v>
          </cell>
          <cell r="U130">
            <v>1.58064516129032</v>
          </cell>
          <cell r="V130">
            <v>-1.03754171301446</v>
          </cell>
          <cell r="W130" t="str">
            <v>库存过低</v>
          </cell>
          <cell r="X130" t="str">
            <v>正常</v>
          </cell>
          <cell r="Y130">
            <v>2.52</v>
          </cell>
          <cell r="Z130">
            <v>5.17</v>
          </cell>
          <cell r="AA130">
            <v>13.19</v>
          </cell>
          <cell r="AB130" t="str">
            <v>-</v>
          </cell>
        </row>
        <row r="131">
          <cell r="A131" t="str">
            <v>美珠</v>
          </cell>
          <cell r="B131" t="str">
            <v>Y73821-OR-ZH</v>
          </cell>
          <cell r="C131" t="str">
            <v>中性Moto G Power 2022 黑+橙</v>
          </cell>
          <cell r="D131">
            <v>45049</v>
          </cell>
          <cell r="E131" t="str">
            <v>B0C2TDWMR4</v>
          </cell>
          <cell r="F131">
            <v>5</v>
          </cell>
          <cell r="G131">
            <v>1</v>
          </cell>
          <cell r="H131">
            <v>0</v>
          </cell>
          <cell r="I131">
            <v>0</v>
          </cell>
          <cell r="J131">
            <v>0</v>
          </cell>
          <cell r="K131">
            <v>6</v>
          </cell>
          <cell r="L131">
            <v>13.9</v>
          </cell>
          <cell r="M131">
            <v>83.4</v>
          </cell>
          <cell r="N131">
            <v>0</v>
          </cell>
          <cell r="O131">
            <v>1</v>
          </cell>
          <cell r="P131">
            <v>5</v>
          </cell>
          <cell r="Q131">
            <v>1</v>
          </cell>
          <cell r="R131">
            <v>-1</v>
          </cell>
          <cell r="S131">
            <v>77.1428571428571</v>
          </cell>
          <cell r="T131">
            <v>2.57142857142857</v>
          </cell>
          <cell r="U131">
            <v>1.56198347107438</v>
          </cell>
          <cell r="V131">
            <v>1.00944510035419</v>
          </cell>
          <cell r="W131" t="str">
            <v>有库存无销量</v>
          </cell>
          <cell r="X131" t="str">
            <v>库存过高</v>
          </cell>
          <cell r="Y131">
            <v>0</v>
          </cell>
          <cell r="Z131">
            <v>0</v>
          </cell>
          <cell r="AA131">
            <v>0</v>
          </cell>
          <cell r="AB131" t="str">
            <v>-</v>
          </cell>
        </row>
        <row r="132">
          <cell r="A132" t="str">
            <v>美珠</v>
          </cell>
          <cell r="B132" t="str">
            <v>Y7036-BL-ZH</v>
          </cell>
          <cell r="C132" t="str">
            <v>中性壳 Moto G POWER 5G 2023  </v>
          </cell>
          <cell r="D132">
            <v>45047</v>
          </cell>
          <cell r="E132" t="str">
            <v>B0C39R9CKF</v>
          </cell>
          <cell r="F132">
            <v>20</v>
          </cell>
          <cell r="G132">
            <v>0</v>
          </cell>
          <cell r="H132">
            <v>0</v>
          </cell>
          <cell r="I132">
            <v>0</v>
          </cell>
          <cell r="J132">
            <v>0</v>
          </cell>
          <cell r="K132">
            <v>20</v>
          </cell>
          <cell r="L132">
            <v>13.9</v>
          </cell>
          <cell r="M132">
            <v>278</v>
          </cell>
          <cell r="N132">
            <v>1</v>
          </cell>
          <cell r="O132">
            <v>3</v>
          </cell>
          <cell r="P132">
            <v>7</v>
          </cell>
          <cell r="Q132">
            <v>1</v>
          </cell>
          <cell r="R132">
            <v>0</v>
          </cell>
          <cell r="S132">
            <v>104.132231404959</v>
          </cell>
          <cell r="T132">
            <v>3.47107438016529</v>
          </cell>
          <cell r="U132">
            <v>3.80536912751678</v>
          </cell>
          <cell r="V132">
            <v>-0.33429474735149</v>
          </cell>
          <cell r="W132" t="str">
            <v>库存过高</v>
          </cell>
          <cell r="X132" t="str">
            <v>库存过高</v>
          </cell>
          <cell r="Y132">
            <v>0</v>
          </cell>
          <cell r="Z132">
            <v>0</v>
          </cell>
          <cell r="AA132">
            <v>0</v>
          </cell>
          <cell r="AB132" t="str">
            <v>-</v>
          </cell>
        </row>
        <row r="133">
          <cell r="A133" t="str">
            <v>美珠</v>
          </cell>
          <cell r="B133" t="str">
            <v>Y7036-BU-ZH</v>
          </cell>
          <cell r="C133" t="str">
            <v>中性壳 Moto G POWER 5G 2023  </v>
          </cell>
          <cell r="D133">
            <v>45047</v>
          </cell>
          <cell r="E133" t="str">
            <v>B0C39SKJCD</v>
          </cell>
          <cell r="F133">
            <v>42</v>
          </cell>
          <cell r="G133">
            <v>0</v>
          </cell>
          <cell r="H133">
            <v>0</v>
          </cell>
          <cell r="I133">
            <v>0</v>
          </cell>
          <cell r="J133">
            <v>0</v>
          </cell>
          <cell r="K133">
            <v>42</v>
          </cell>
          <cell r="L133">
            <v>13.9</v>
          </cell>
          <cell r="M133">
            <v>583.8</v>
          </cell>
          <cell r="N133">
            <v>0</v>
          </cell>
          <cell r="O133">
            <v>0</v>
          </cell>
          <cell r="P133">
            <v>2</v>
          </cell>
          <cell r="Q133">
            <v>2</v>
          </cell>
          <cell r="R133">
            <v>-2</v>
          </cell>
          <cell r="S133">
            <v>1890</v>
          </cell>
          <cell r="T133">
            <v>63</v>
          </cell>
          <cell r="U133">
            <v>8.44117647058824</v>
          </cell>
          <cell r="V133">
            <v>54.5588235294118</v>
          </cell>
          <cell r="W133" t="str">
            <v>有库存无销量</v>
          </cell>
          <cell r="X133" t="str">
            <v>库存过高</v>
          </cell>
          <cell r="Y133">
            <v>0.82</v>
          </cell>
          <cell r="Z133">
            <v>1.54</v>
          </cell>
          <cell r="AA133">
            <v>4.18</v>
          </cell>
          <cell r="AB133" t="str">
            <v>-</v>
          </cell>
        </row>
        <row r="134">
          <cell r="A134" t="str">
            <v>美珠</v>
          </cell>
          <cell r="B134" t="str">
            <v>Y7036-DB-ZH</v>
          </cell>
          <cell r="C134" t="str">
            <v>中性壳 Moto G POWER 5G 2023  </v>
          </cell>
          <cell r="D134">
            <v>45047</v>
          </cell>
          <cell r="E134" t="str">
            <v>B0C39QRGJ7</v>
          </cell>
          <cell r="F134">
            <v>42</v>
          </cell>
          <cell r="G134">
            <v>0</v>
          </cell>
          <cell r="H134">
            <v>0</v>
          </cell>
          <cell r="I134">
            <v>1</v>
          </cell>
          <cell r="J134">
            <v>0</v>
          </cell>
          <cell r="K134">
            <v>43</v>
          </cell>
          <cell r="L134">
            <v>13.9</v>
          </cell>
          <cell r="M134">
            <v>597.7</v>
          </cell>
          <cell r="N134">
            <v>4</v>
          </cell>
          <cell r="O134">
            <v>4</v>
          </cell>
          <cell r="P134">
            <v>6</v>
          </cell>
          <cell r="Q134">
            <v>2</v>
          </cell>
          <cell r="R134">
            <v>2</v>
          </cell>
          <cell r="S134">
            <v>124.266055045872</v>
          </cell>
          <cell r="T134">
            <v>4.14220183486239</v>
          </cell>
          <cell r="U134">
            <v>9.6764705882353</v>
          </cell>
          <cell r="V134">
            <v>-5.53426875337291</v>
          </cell>
          <cell r="W134" t="str">
            <v>库存过高</v>
          </cell>
          <cell r="X134" t="str">
            <v>库存过高</v>
          </cell>
          <cell r="Y134">
            <v>1.14</v>
          </cell>
          <cell r="Z134">
            <v>1.14</v>
          </cell>
          <cell r="AA134">
            <v>3.39</v>
          </cell>
          <cell r="AB134" t="str">
            <v>-</v>
          </cell>
        </row>
        <row r="135">
          <cell r="A135" t="str">
            <v>美珠</v>
          </cell>
          <cell r="B135" t="str">
            <v>Y7036-OR-ZH</v>
          </cell>
          <cell r="C135" t="str">
            <v>中性壳 Moto G POWER 5G 2023  </v>
          </cell>
          <cell r="D135">
            <v>45047</v>
          </cell>
          <cell r="E135" t="str">
            <v>B0C39QMLST</v>
          </cell>
          <cell r="F135">
            <v>44</v>
          </cell>
          <cell r="G135">
            <v>0</v>
          </cell>
          <cell r="H135">
            <v>0</v>
          </cell>
          <cell r="I135">
            <v>0</v>
          </cell>
          <cell r="J135">
            <v>0</v>
          </cell>
          <cell r="K135">
            <v>44</v>
          </cell>
          <cell r="L135">
            <v>13.9</v>
          </cell>
          <cell r="M135">
            <v>611.6</v>
          </cell>
          <cell r="N135">
            <v>0</v>
          </cell>
          <cell r="O135">
            <v>1</v>
          </cell>
          <cell r="P135">
            <v>1</v>
          </cell>
          <cell r="Q135">
            <v>0</v>
          </cell>
          <cell r="R135">
            <v>0</v>
          </cell>
          <cell r="S135">
            <v>1320</v>
          </cell>
          <cell r="T135">
            <v>44</v>
          </cell>
          <cell r="U135">
            <v>45</v>
          </cell>
          <cell r="V135">
            <v>-1</v>
          </cell>
          <cell r="W135" t="str">
            <v>有库存无销量</v>
          </cell>
          <cell r="X135" t="str">
            <v>库存过高</v>
          </cell>
          <cell r="Y135">
            <v>0</v>
          </cell>
          <cell r="Z135">
            <v>0</v>
          </cell>
          <cell r="AA135">
            <v>0.45</v>
          </cell>
          <cell r="AB135" t="str">
            <v>-</v>
          </cell>
        </row>
        <row r="136">
          <cell r="A136" t="str">
            <v>美珠</v>
          </cell>
          <cell r="B136" t="str">
            <v>Y7039-BL+Y7040+Y7041</v>
          </cell>
          <cell r="C136" t="str">
            <v>中性壳A24 4G</v>
          </cell>
          <cell r="D136">
            <v>45054</v>
          </cell>
          <cell r="E136" t="str">
            <v>B0C3QJF82L</v>
          </cell>
          <cell r="F136">
            <v>79</v>
          </cell>
          <cell r="G136">
            <v>0</v>
          </cell>
          <cell r="H136">
            <v>0</v>
          </cell>
          <cell r="I136">
            <v>0</v>
          </cell>
          <cell r="J136">
            <v>0</v>
          </cell>
          <cell r="K136">
            <v>79</v>
          </cell>
          <cell r="L136">
            <v>13.9</v>
          </cell>
          <cell r="M136">
            <v>1098.1</v>
          </cell>
          <cell r="N136">
            <v>3</v>
          </cell>
          <cell r="O136">
            <v>6</v>
          </cell>
          <cell r="P136">
            <v>18</v>
          </cell>
          <cell r="Q136">
            <v>4</v>
          </cell>
          <cell r="R136">
            <v>-1</v>
          </cell>
          <cell r="S136">
            <v>165.9</v>
          </cell>
          <cell r="T136">
            <v>5.53</v>
          </cell>
          <cell r="U136">
            <v>7.75384615384616</v>
          </cell>
          <cell r="V136">
            <v>-2.22384615384616</v>
          </cell>
          <cell r="W136" t="str">
            <v>库存过高</v>
          </cell>
          <cell r="X136" t="str">
            <v>库存过高</v>
          </cell>
          <cell r="Y136">
            <v>0</v>
          </cell>
          <cell r="Z136">
            <v>0.42</v>
          </cell>
          <cell r="AA136">
            <v>2.39</v>
          </cell>
          <cell r="AB136" t="str">
            <v>-</v>
          </cell>
        </row>
        <row r="137">
          <cell r="A137" t="str">
            <v>美珠</v>
          </cell>
          <cell r="B137" t="str">
            <v>Y7039-BU+Y7040+Y7041</v>
          </cell>
          <cell r="C137" t="str">
            <v>中性壳A24 4G</v>
          </cell>
          <cell r="D137">
            <v>45054</v>
          </cell>
          <cell r="E137" t="str">
            <v>B0C3QJR1F6</v>
          </cell>
          <cell r="F137">
            <v>12</v>
          </cell>
          <cell r="G137">
            <v>0</v>
          </cell>
          <cell r="H137">
            <v>15</v>
          </cell>
          <cell r="I137">
            <v>0</v>
          </cell>
          <cell r="J137">
            <v>0</v>
          </cell>
          <cell r="K137">
            <v>27</v>
          </cell>
          <cell r="L137">
            <v>13.9</v>
          </cell>
          <cell r="M137">
            <v>375.3</v>
          </cell>
          <cell r="N137">
            <v>0</v>
          </cell>
          <cell r="O137">
            <v>1</v>
          </cell>
          <cell r="P137">
            <v>6</v>
          </cell>
          <cell r="Q137">
            <v>4</v>
          </cell>
          <cell r="R137">
            <v>-4</v>
          </cell>
          <cell r="S137">
            <v>303.75</v>
          </cell>
          <cell r="T137">
            <v>10.125</v>
          </cell>
          <cell r="U137">
            <v>1.21153846153846</v>
          </cell>
          <cell r="V137">
            <v>8.91346153846154</v>
          </cell>
          <cell r="W137" t="str">
            <v>有库存无销量</v>
          </cell>
          <cell r="X137" t="str">
            <v>库存过高</v>
          </cell>
          <cell r="Y137">
            <v>1.2</v>
          </cell>
          <cell r="Z137">
            <v>3.33</v>
          </cell>
          <cell r="AA137">
            <v>6.43</v>
          </cell>
          <cell r="AB137" t="str">
            <v>-</v>
          </cell>
        </row>
        <row r="138">
          <cell r="A138" t="str">
            <v>美珠</v>
          </cell>
          <cell r="B138" t="str">
            <v>Y7039-DB+Y7040+Y7041</v>
          </cell>
          <cell r="C138" t="str">
            <v>中性壳 A24 4G</v>
          </cell>
          <cell r="D138">
            <v>45054</v>
          </cell>
          <cell r="E138" t="str">
            <v>B0C3QKV3M1</v>
          </cell>
          <cell r="F138">
            <v>26</v>
          </cell>
          <cell r="G138">
            <v>0</v>
          </cell>
          <cell r="H138">
            <v>0</v>
          </cell>
          <cell r="I138">
            <v>0</v>
          </cell>
          <cell r="J138">
            <v>0</v>
          </cell>
          <cell r="K138">
            <v>26</v>
          </cell>
          <cell r="L138">
            <v>13.9</v>
          </cell>
          <cell r="M138">
            <v>361.4</v>
          </cell>
          <cell r="N138">
            <v>0</v>
          </cell>
          <cell r="O138">
            <v>1</v>
          </cell>
          <cell r="P138">
            <v>5</v>
          </cell>
          <cell r="Q138">
            <v>2</v>
          </cell>
          <cell r="R138">
            <v>-2</v>
          </cell>
          <cell r="S138">
            <v>334.285714285714</v>
          </cell>
          <cell r="T138">
            <v>11.1428571428571</v>
          </cell>
          <cell r="U138">
            <v>3.56363636363636</v>
          </cell>
          <cell r="V138">
            <v>7.57922077922078</v>
          </cell>
          <cell r="W138" t="str">
            <v>有库存无销量</v>
          </cell>
          <cell r="X138" t="str">
            <v>库存过高</v>
          </cell>
          <cell r="Y138">
            <v>0</v>
          </cell>
          <cell r="Z138">
            <v>0</v>
          </cell>
          <cell r="AA138">
            <v>0</v>
          </cell>
          <cell r="AB138" t="str">
            <v>-</v>
          </cell>
        </row>
        <row r="139">
          <cell r="A139" t="str">
            <v>美珠</v>
          </cell>
          <cell r="B139" t="str">
            <v>Y7039-OR+Y7040+Y7041</v>
          </cell>
          <cell r="C139" t="str">
            <v>中性壳A24 4G</v>
          </cell>
          <cell r="D139">
            <v>45054</v>
          </cell>
          <cell r="E139" t="str">
            <v>B0C3QG58M3</v>
          </cell>
          <cell r="F139">
            <v>22</v>
          </cell>
          <cell r="G139">
            <v>0</v>
          </cell>
          <cell r="H139">
            <v>0</v>
          </cell>
          <cell r="I139">
            <v>0</v>
          </cell>
          <cell r="J139">
            <v>0</v>
          </cell>
          <cell r="K139">
            <v>22</v>
          </cell>
          <cell r="L139">
            <v>13.9</v>
          </cell>
          <cell r="M139">
            <v>305.8</v>
          </cell>
          <cell r="N139">
            <v>5</v>
          </cell>
          <cell r="O139">
            <v>9</v>
          </cell>
          <cell r="P139">
            <v>10</v>
          </cell>
          <cell r="Q139">
            <v>1</v>
          </cell>
          <cell r="R139">
            <v>4</v>
          </cell>
          <cell r="S139">
            <v>40.0578034682081</v>
          </cell>
          <cell r="T139">
            <v>1.33526011560694</v>
          </cell>
          <cell r="U139">
            <v>5.55371900826446</v>
          </cell>
          <cell r="V139">
            <v>-4.21845889265752</v>
          </cell>
          <cell r="W139" t="str">
            <v>正常</v>
          </cell>
          <cell r="X139" t="str">
            <v>正常</v>
          </cell>
          <cell r="Y139">
            <v>4.57</v>
          </cell>
          <cell r="Z139">
            <v>14.35</v>
          </cell>
          <cell r="AA139">
            <v>34.97</v>
          </cell>
          <cell r="AB139" t="str">
            <v>-</v>
          </cell>
        </row>
        <row r="140">
          <cell r="A140" t="str">
            <v>美珠</v>
          </cell>
          <cell r="B140" t="str">
            <v>Y73135-BL-ZH</v>
          </cell>
          <cell r="C140" t="str">
            <v>中性Moto G Play 2021 黑色</v>
          </cell>
          <cell r="D140">
            <v>45049</v>
          </cell>
          <cell r="E140" t="str">
            <v>B0C2Q3GMBF</v>
          </cell>
          <cell r="F140">
            <v>10</v>
          </cell>
          <cell r="G140">
            <v>0</v>
          </cell>
          <cell r="H140">
            <v>0</v>
          </cell>
          <cell r="I140">
            <v>0</v>
          </cell>
          <cell r="J140">
            <v>0</v>
          </cell>
          <cell r="K140">
            <v>10</v>
          </cell>
          <cell r="L140">
            <v>13.9</v>
          </cell>
          <cell r="M140">
            <v>139</v>
          </cell>
          <cell r="N140">
            <v>0</v>
          </cell>
          <cell r="O140">
            <v>0</v>
          </cell>
          <cell r="P140">
            <v>1</v>
          </cell>
          <cell r="Q140">
            <v>0</v>
          </cell>
          <cell r="R140">
            <v>0</v>
          </cell>
          <cell r="S140">
            <v>900</v>
          </cell>
          <cell r="T140">
            <v>30</v>
          </cell>
          <cell r="U140">
            <v>4.28571428571429</v>
          </cell>
          <cell r="V140">
            <v>25.7142857142857</v>
          </cell>
          <cell r="W140" t="str">
            <v>有库存无销量</v>
          </cell>
          <cell r="X140" t="str">
            <v>库存过高</v>
          </cell>
          <cell r="Y140">
            <v>1.68</v>
          </cell>
          <cell r="Z140">
            <v>2.18</v>
          </cell>
          <cell r="AA140">
            <v>3.49</v>
          </cell>
          <cell r="AB140" t="str">
            <v>-</v>
          </cell>
        </row>
        <row r="141">
          <cell r="A141" t="str">
            <v>美珠</v>
          </cell>
          <cell r="B141" t="str">
            <v>Y73153-BL-ZH</v>
          </cell>
          <cell r="C141" t="str">
            <v>中性三星 A52 黑</v>
          </cell>
          <cell r="D141">
            <v>45048</v>
          </cell>
          <cell r="E141" t="str">
            <v>B0C2T94PMQ</v>
          </cell>
          <cell r="F141">
            <v>7</v>
          </cell>
          <cell r="G141">
            <v>0</v>
          </cell>
          <cell r="H141">
            <v>3</v>
          </cell>
          <cell r="I141">
            <v>0</v>
          </cell>
          <cell r="J141">
            <v>0</v>
          </cell>
          <cell r="K141">
            <v>10</v>
          </cell>
          <cell r="L141">
            <v>13.9</v>
          </cell>
          <cell r="M141">
            <v>139</v>
          </cell>
          <cell r="N141">
            <v>0</v>
          </cell>
          <cell r="O141">
            <v>0</v>
          </cell>
          <cell r="P141">
            <v>1</v>
          </cell>
          <cell r="Q141">
            <v>0</v>
          </cell>
          <cell r="R141">
            <v>0</v>
          </cell>
          <cell r="S141">
            <v>900</v>
          </cell>
          <cell r="T141">
            <v>30</v>
          </cell>
          <cell r="U141" t="str">
            <v>-</v>
          </cell>
          <cell r="V141" t="str">
            <v>-</v>
          </cell>
          <cell r="W141" t="str">
            <v>有库存无销量</v>
          </cell>
          <cell r="X141" t="str">
            <v>库存过高</v>
          </cell>
          <cell r="Y141">
            <v>0</v>
          </cell>
          <cell r="Z141">
            <v>0</v>
          </cell>
          <cell r="AA141">
            <v>0</v>
          </cell>
          <cell r="AB141" t="str">
            <v>-</v>
          </cell>
        </row>
        <row r="142">
          <cell r="A142" t="str">
            <v>美珠</v>
          </cell>
          <cell r="B142" t="str">
            <v>Y72055-OR+Y72058+Y72741</v>
          </cell>
          <cell r="C142" t="str">
            <v>中性三星 A10e 黑橙</v>
          </cell>
          <cell r="D142">
            <v>45062</v>
          </cell>
          <cell r="E142" t="str">
            <v>B0B5TLSDJH</v>
          </cell>
          <cell r="F142">
            <v>3</v>
          </cell>
          <cell r="G142">
            <v>0</v>
          </cell>
          <cell r="H142">
            <v>0</v>
          </cell>
          <cell r="I142">
            <v>0</v>
          </cell>
          <cell r="J142">
            <v>0</v>
          </cell>
          <cell r="K142">
            <v>3</v>
          </cell>
          <cell r="L142">
            <v>13.9</v>
          </cell>
          <cell r="M142">
            <v>41.7</v>
          </cell>
          <cell r="N142">
            <v>0</v>
          </cell>
          <cell r="O142">
            <v>1</v>
          </cell>
          <cell r="P142">
            <v>3</v>
          </cell>
          <cell r="Q142">
            <v>0</v>
          </cell>
          <cell r="R142">
            <v>0</v>
          </cell>
          <cell r="S142">
            <v>54</v>
          </cell>
          <cell r="T142">
            <v>1.8</v>
          </cell>
          <cell r="U142">
            <v>0.833333333333333</v>
          </cell>
          <cell r="V142">
            <v>0.966666666666667</v>
          </cell>
          <cell r="W142" t="str">
            <v>有库存无销量</v>
          </cell>
          <cell r="X142" t="str">
            <v>库存过高</v>
          </cell>
          <cell r="Y142">
            <v>0</v>
          </cell>
          <cell r="Z142">
            <v>0</v>
          </cell>
          <cell r="AA142">
            <v>0</v>
          </cell>
          <cell r="AB142" t="str">
            <v>-</v>
          </cell>
        </row>
        <row r="143">
          <cell r="A143" t="str">
            <v>美珠</v>
          </cell>
          <cell r="B143" t="str">
            <v>Y7042-BL+Y7043+Y7044</v>
          </cell>
          <cell r="C143" t="str">
            <v>CA中性手机壳三星 A14 5G </v>
          </cell>
          <cell r="D143">
            <v>45078</v>
          </cell>
          <cell r="E143" t="str">
            <v>B0BLYPT5CN</v>
          </cell>
          <cell r="F143">
            <v>71</v>
          </cell>
          <cell r="G143">
            <v>0</v>
          </cell>
          <cell r="H143">
            <v>0</v>
          </cell>
          <cell r="I143">
            <v>0</v>
          </cell>
          <cell r="J143">
            <v>0</v>
          </cell>
          <cell r="K143">
            <v>71</v>
          </cell>
          <cell r="L143">
            <v>13.9</v>
          </cell>
          <cell r="M143">
            <v>986.9</v>
          </cell>
          <cell r="N143">
            <v>0</v>
          </cell>
          <cell r="O143">
            <v>1</v>
          </cell>
          <cell r="P143">
            <v>1</v>
          </cell>
          <cell r="Q143">
            <v>0</v>
          </cell>
          <cell r="R143">
            <v>0</v>
          </cell>
          <cell r="S143">
            <v>2130</v>
          </cell>
          <cell r="T143">
            <v>71</v>
          </cell>
          <cell r="U143" t="str">
            <v>-</v>
          </cell>
          <cell r="V143" t="str">
            <v>-</v>
          </cell>
          <cell r="W143" t="str">
            <v>有库存无销量</v>
          </cell>
          <cell r="X143" t="str">
            <v>库存过高</v>
          </cell>
          <cell r="Y143">
            <v>0.2</v>
          </cell>
          <cell r="Z143">
            <v>0.58</v>
          </cell>
          <cell r="AA143">
            <v>1.75</v>
          </cell>
          <cell r="AB143" t="str">
            <v>-</v>
          </cell>
        </row>
        <row r="144">
          <cell r="A144" t="str">
            <v>美珠</v>
          </cell>
          <cell r="B144" t="str">
            <v>Y7042-BU+Y7043+Y7044</v>
          </cell>
          <cell r="C144" t="str">
            <v>CA中性手机壳三星 A14 5G </v>
          </cell>
          <cell r="D144">
            <v>45078</v>
          </cell>
          <cell r="E144" t="str">
            <v>B0BLXVWKNB</v>
          </cell>
          <cell r="F144">
            <v>50</v>
          </cell>
          <cell r="G144">
            <v>0</v>
          </cell>
          <cell r="H144">
            <v>0</v>
          </cell>
          <cell r="I144">
            <v>0</v>
          </cell>
          <cell r="J144">
            <v>0</v>
          </cell>
          <cell r="K144">
            <v>50</v>
          </cell>
          <cell r="L144">
            <v>13.9</v>
          </cell>
          <cell r="M144">
            <v>695</v>
          </cell>
          <cell r="N144">
            <v>0</v>
          </cell>
          <cell r="O144">
            <v>0</v>
          </cell>
          <cell r="P144">
            <v>0</v>
          </cell>
          <cell r="Q144">
            <v>0</v>
          </cell>
          <cell r="R144">
            <v>0</v>
          </cell>
          <cell r="S144" t="str">
            <v>-</v>
          </cell>
          <cell r="T144" t="str">
            <v>-</v>
          </cell>
          <cell r="U144" t="str">
            <v>-</v>
          </cell>
          <cell r="V144" t="str">
            <v>-</v>
          </cell>
          <cell r="W144" t="str">
            <v>有库存无销量</v>
          </cell>
          <cell r="X144" t="str">
            <v>有库存无销量</v>
          </cell>
          <cell r="Y144">
            <v>0.89</v>
          </cell>
          <cell r="Z144">
            <v>2.24</v>
          </cell>
          <cell r="AA144">
            <v>3.14</v>
          </cell>
          <cell r="AB144" t="str">
            <v>-</v>
          </cell>
        </row>
        <row r="145">
          <cell r="A145" t="str">
            <v>美珠</v>
          </cell>
          <cell r="B145" t="str">
            <v>Y7042-DB+Y7043+Y7044</v>
          </cell>
          <cell r="C145" t="str">
            <v>CA中性手机壳三星 A14 5G </v>
          </cell>
          <cell r="D145">
            <v>45078</v>
          </cell>
          <cell r="E145" t="str">
            <v>B0BLY64GWX</v>
          </cell>
          <cell r="F145">
            <v>50</v>
          </cell>
          <cell r="G145">
            <v>0</v>
          </cell>
          <cell r="H145">
            <v>0</v>
          </cell>
          <cell r="I145">
            <v>0</v>
          </cell>
          <cell r="J145">
            <v>0</v>
          </cell>
          <cell r="K145">
            <v>50</v>
          </cell>
          <cell r="L145">
            <v>13.9</v>
          </cell>
          <cell r="M145">
            <v>695</v>
          </cell>
          <cell r="N145">
            <v>0</v>
          </cell>
          <cell r="O145">
            <v>0</v>
          </cell>
          <cell r="P145">
            <v>0</v>
          </cell>
          <cell r="Q145">
            <v>0</v>
          </cell>
          <cell r="R145">
            <v>0</v>
          </cell>
          <cell r="S145" t="str">
            <v>-</v>
          </cell>
          <cell r="T145" t="str">
            <v>-</v>
          </cell>
          <cell r="U145" t="str">
            <v>-</v>
          </cell>
          <cell r="V145" t="str">
            <v>-</v>
          </cell>
          <cell r="W145" t="str">
            <v>有库存无销量</v>
          </cell>
          <cell r="X145" t="str">
            <v>有库存无销量</v>
          </cell>
          <cell r="Y145">
            <v>0</v>
          </cell>
          <cell r="Z145">
            <v>1.69</v>
          </cell>
          <cell r="AA145">
            <v>2.54</v>
          </cell>
          <cell r="AB145" t="str">
            <v>-</v>
          </cell>
        </row>
        <row r="146">
          <cell r="A146" t="str">
            <v>美珠</v>
          </cell>
          <cell r="B146" t="str">
            <v>Y7042-OR+Y7043+Y7044</v>
          </cell>
          <cell r="C146" t="str">
            <v>CA中性手机壳三星 A14 5G </v>
          </cell>
          <cell r="D146">
            <v>45078</v>
          </cell>
          <cell r="E146" t="str">
            <v>B0BLXZ2PHT</v>
          </cell>
          <cell r="F146">
            <v>46</v>
          </cell>
          <cell r="G146">
            <v>0</v>
          </cell>
          <cell r="H146">
            <v>0</v>
          </cell>
          <cell r="I146">
            <v>0</v>
          </cell>
          <cell r="J146">
            <v>0</v>
          </cell>
          <cell r="K146">
            <v>46</v>
          </cell>
          <cell r="L146">
            <v>13.9</v>
          </cell>
          <cell r="M146">
            <v>639.4</v>
          </cell>
          <cell r="N146">
            <v>0</v>
          </cell>
          <cell r="O146">
            <v>0</v>
          </cell>
          <cell r="P146">
            <v>0</v>
          </cell>
          <cell r="Q146">
            <v>0</v>
          </cell>
          <cell r="R146">
            <v>0</v>
          </cell>
          <cell r="S146" t="str">
            <v>-</v>
          </cell>
          <cell r="T146" t="str">
            <v>-</v>
          </cell>
          <cell r="U146">
            <v>46</v>
          </cell>
          <cell r="V146" t="str">
            <v>-</v>
          </cell>
          <cell r="W146" t="str">
            <v>有库存无销量</v>
          </cell>
          <cell r="X146" t="str">
            <v>有库存无销量</v>
          </cell>
          <cell r="Y146">
            <v>0.45</v>
          </cell>
          <cell r="Z146">
            <v>1.66</v>
          </cell>
          <cell r="AA146">
            <v>3.76</v>
          </cell>
          <cell r="AB146" t="str">
            <v>-</v>
          </cell>
        </row>
        <row r="147">
          <cell r="A147" t="str">
            <v>美珠</v>
          </cell>
          <cell r="B147" t="str">
            <v>Y7045-BL+Y7046+Y7047</v>
          </cell>
          <cell r="C147" t="str">
            <v>CA中性壳A24 4G</v>
          </cell>
          <cell r="D147">
            <v>45078</v>
          </cell>
          <cell r="E147" t="str">
            <v>B0C3QJF82L</v>
          </cell>
          <cell r="F147">
            <v>2</v>
          </cell>
          <cell r="G147">
            <v>1</v>
          </cell>
          <cell r="H147">
            <v>0</v>
          </cell>
          <cell r="I147">
            <v>1</v>
          </cell>
          <cell r="J147">
            <v>0</v>
          </cell>
          <cell r="K147">
            <v>4</v>
          </cell>
          <cell r="L147">
            <v>13.9</v>
          </cell>
          <cell r="M147">
            <v>55.6</v>
          </cell>
          <cell r="N147">
            <v>1</v>
          </cell>
          <cell r="O147">
            <v>2</v>
          </cell>
          <cell r="P147">
            <v>4</v>
          </cell>
          <cell r="Q147">
            <v>1</v>
          </cell>
          <cell r="R147">
            <v>0</v>
          </cell>
          <cell r="S147">
            <v>29.3023255813954</v>
          </cell>
          <cell r="T147">
            <v>0.976744186046512</v>
          </cell>
          <cell r="U147">
            <v>0.593220338983051</v>
          </cell>
          <cell r="V147">
            <v>0.383523847063461</v>
          </cell>
          <cell r="W147" t="str">
            <v>正常</v>
          </cell>
          <cell r="X147" t="str">
            <v>正常</v>
          </cell>
          <cell r="Y147">
            <v>0.8</v>
          </cell>
          <cell r="Z147">
            <v>1.23</v>
          </cell>
          <cell r="AA147">
            <v>2.28</v>
          </cell>
          <cell r="AB147">
            <v>0.0307810696421701</v>
          </cell>
        </row>
        <row r="148">
          <cell r="A148" t="str">
            <v>美珠</v>
          </cell>
          <cell r="B148" t="str">
            <v>Y7045-BU+Y7046+Y7047</v>
          </cell>
          <cell r="C148" t="str">
            <v>CA中性壳A24 4G</v>
          </cell>
          <cell r="D148">
            <v>45078</v>
          </cell>
          <cell r="E148" t="str">
            <v>B0C3QJR1F6</v>
          </cell>
          <cell r="F148">
            <v>22</v>
          </cell>
          <cell r="G148">
            <v>0</v>
          </cell>
          <cell r="H148">
            <v>0</v>
          </cell>
          <cell r="I148">
            <v>0</v>
          </cell>
          <cell r="J148">
            <v>0</v>
          </cell>
          <cell r="K148">
            <v>22</v>
          </cell>
          <cell r="L148">
            <v>13.9</v>
          </cell>
          <cell r="M148">
            <v>305.8</v>
          </cell>
          <cell r="N148">
            <v>1</v>
          </cell>
          <cell r="O148">
            <v>1</v>
          </cell>
          <cell r="P148">
            <v>1</v>
          </cell>
          <cell r="Q148">
            <v>0</v>
          </cell>
          <cell r="R148">
            <v>1</v>
          </cell>
          <cell r="S148">
            <v>271.764705882353</v>
          </cell>
          <cell r="T148">
            <v>9.05882352941177</v>
          </cell>
          <cell r="U148">
            <v>7.66666666666667</v>
          </cell>
          <cell r="V148">
            <v>1.3921568627451</v>
          </cell>
          <cell r="W148" t="str">
            <v>库存过高</v>
          </cell>
          <cell r="X148" t="str">
            <v>库存过高</v>
          </cell>
          <cell r="Y148">
            <v>0</v>
          </cell>
          <cell r="Z148">
            <v>0</v>
          </cell>
          <cell r="AA148">
            <v>0.45</v>
          </cell>
          <cell r="AB148" t="str">
            <v>-</v>
          </cell>
        </row>
        <row r="149">
          <cell r="A149" t="str">
            <v>美珠</v>
          </cell>
          <cell r="B149" t="str">
            <v>Y7045-DB+Y7046+Y7047</v>
          </cell>
          <cell r="C149" t="str">
            <v>CA中性壳 A24 4G</v>
          </cell>
          <cell r="D149">
            <v>45078</v>
          </cell>
          <cell r="E149" t="str">
            <v>B0C3QKV3M1</v>
          </cell>
          <cell r="F149">
            <v>23</v>
          </cell>
          <cell r="G149">
            <v>0</v>
          </cell>
          <cell r="H149">
            <v>0</v>
          </cell>
          <cell r="I149">
            <v>0</v>
          </cell>
          <cell r="J149">
            <v>0</v>
          </cell>
          <cell r="K149">
            <v>23</v>
          </cell>
          <cell r="L149">
            <v>13.9</v>
          </cell>
          <cell r="M149">
            <v>319.7</v>
          </cell>
          <cell r="N149">
            <v>1</v>
          </cell>
          <cell r="O149">
            <v>1</v>
          </cell>
          <cell r="P149">
            <v>2</v>
          </cell>
          <cell r="Q149">
            <v>0</v>
          </cell>
          <cell r="R149">
            <v>1</v>
          </cell>
          <cell r="S149">
            <v>249.827586206897</v>
          </cell>
          <cell r="T149">
            <v>8.32758620689655</v>
          </cell>
          <cell r="U149" t="str">
            <v>-</v>
          </cell>
          <cell r="V149" t="str">
            <v>-</v>
          </cell>
          <cell r="W149" t="str">
            <v>库存过高</v>
          </cell>
          <cell r="X149" t="str">
            <v>库存过高</v>
          </cell>
          <cell r="Y149">
            <v>0.36</v>
          </cell>
          <cell r="Z149">
            <v>1.19</v>
          </cell>
          <cell r="AA149">
            <v>1.91</v>
          </cell>
          <cell r="AB149" t="str">
            <v>-</v>
          </cell>
        </row>
        <row r="150">
          <cell r="A150" t="str">
            <v>美珠</v>
          </cell>
          <cell r="B150" t="str">
            <v>Y7045-OR+Y7046+Y7047</v>
          </cell>
          <cell r="C150" t="str">
            <v>CA中性壳A24 4G</v>
          </cell>
          <cell r="D150">
            <v>45078</v>
          </cell>
          <cell r="E150" t="str">
            <v>B0C3QG58M3</v>
          </cell>
          <cell r="F150">
            <v>4</v>
          </cell>
          <cell r="G150">
            <v>0</v>
          </cell>
          <cell r="H150">
            <v>0</v>
          </cell>
          <cell r="I150">
            <v>0</v>
          </cell>
          <cell r="J150">
            <v>0</v>
          </cell>
          <cell r="K150">
            <v>4</v>
          </cell>
          <cell r="L150">
            <v>13.9</v>
          </cell>
          <cell r="M150">
            <v>55.6</v>
          </cell>
          <cell r="N150">
            <v>0</v>
          </cell>
          <cell r="O150">
            <v>1</v>
          </cell>
          <cell r="P150">
            <v>3</v>
          </cell>
          <cell r="Q150">
            <v>1</v>
          </cell>
          <cell r="R150">
            <v>-1</v>
          </cell>
          <cell r="S150">
            <v>72</v>
          </cell>
          <cell r="T150">
            <v>2.4</v>
          </cell>
          <cell r="U150">
            <v>2.04166666666667</v>
          </cell>
          <cell r="V150">
            <v>0.35833333333333</v>
          </cell>
          <cell r="W150" t="str">
            <v>有库存无销量</v>
          </cell>
          <cell r="X150" t="str">
            <v>库存过高</v>
          </cell>
          <cell r="Y150">
            <v>0</v>
          </cell>
          <cell r="Z150">
            <v>0</v>
          </cell>
          <cell r="AA150">
            <v>0</v>
          </cell>
          <cell r="AB150" t="str">
            <v>-</v>
          </cell>
        </row>
        <row r="151">
          <cell r="A151" t="str">
            <v>美珠</v>
          </cell>
          <cell r="B151" t="str">
            <v>Y7048-BL+Y7049+Y7050</v>
          </cell>
          <cell r="C151" t="str">
            <v>CA中性壳 Moto G POWER 5G 2023  </v>
          </cell>
          <cell r="D151">
            <v>45078</v>
          </cell>
          <cell r="E151" t="str">
            <v>B0C39R9CKF</v>
          </cell>
          <cell r="F151">
            <v>29</v>
          </cell>
          <cell r="G151">
            <v>1</v>
          </cell>
          <cell r="H151">
            <v>0</v>
          </cell>
          <cell r="I151">
            <v>0</v>
          </cell>
          <cell r="J151">
            <v>0</v>
          </cell>
          <cell r="K151">
            <v>30</v>
          </cell>
          <cell r="L151">
            <v>13.9</v>
          </cell>
          <cell r="M151">
            <v>417</v>
          </cell>
          <cell r="N151">
            <v>0</v>
          </cell>
          <cell r="O151">
            <v>0</v>
          </cell>
          <cell r="P151">
            <v>0</v>
          </cell>
          <cell r="Q151">
            <v>0</v>
          </cell>
          <cell r="R151">
            <v>0</v>
          </cell>
          <cell r="S151" t="str">
            <v>-</v>
          </cell>
          <cell r="T151" t="str">
            <v>-</v>
          </cell>
          <cell r="U151" t="str">
            <v>-</v>
          </cell>
          <cell r="V151" t="str">
            <v>-</v>
          </cell>
          <cell r="W151" t="str">
            <v>有库存无销量</v>
          </cell>
          <cell r="X151" t="str">
            <v>有库存无销量</v>
          </cell>
          <cell r="Y151">
            <v>0</v>
          </cell>
          <cell r="Z151">
            <v>0</v>
          </cell>
          <cell r="AA151">
            <v>0.81</v>
          </cell>
          <cell r="AB151" t="str">
            <v>-</v>
          </cell>
        </row>
        <row r="152">
          <cell r="A152" t="str">
            <v>美珠</v>
          </cell>
          <cell r="B152" t="str">
            <v>Y7048-BU+Y7049+Y7050</v>
          </cell>
          <cell r="C152" t="str">
            <v>CA中性壳 Moto G POWER 5G 2023  </v>
          </cell>
          <cell r="D152">
            <v>45078</v>
          </cell>
          <cell r="E152" t="str">
            <v>B0C39SKJCD</v>
          </cell>
          <cell r="F152">
            <v>28</v>
          </cell>
          <cell r="G152">
            <v>1</v>
          </cell>
          <cell r="H152">
            <v>0</v>
          </cell>
          <cell r="I152">
            <v>0</v>
          </cell>
          <cell r="J152">
            <v>0</v>
          </cell>
          <cell r="K152">
            <v>29</v>
          </cell>
          <cell r="L152">
            <v>13.9</v>
          </cell>
          <cell r="M152">
            <v>403.1</v>
          </cell>
          <cell r="N152">
            <v>0</v>
          </cell>
          <cell r="O152">
            <v>0</v>
          </cell>
          <cell r="P152">
            <v>0</v>
          </cell>
          <cell r="Q152">
            <v>0</v>
          </cell>
          <cell r="R152">
            <v>0</v>
          </cell>
          <cell r="S152" t="str">
            <v>-</v>
          </cell>
          <cell r="T152" t="str">
            <v>-</v>
          </cell>
          <cell r="U152">
            <v>29</v>
          </cell>
          <cell r="V152" t="str">
            <v>-</v>
          </cell>
          <cell r="W152" t="str">
            <v>有库存无销量</v>
          </cell>
          <cell r="X152" t="str">
            <v>有库存无销量</v>
          </cell>
          <cell r="Y152">
            <v>0.83</v>
          </cell>
          <cell r="Z152">
            <v>1.73</v>
          </cell>
          <cell r="AA152">
            <v>2.31</v>
          </cell>
          <cell r="AB152" t="str">
            <v>-</v>
          </cell>
        </row>
        <row r="153">
          <cell r="A153" t="str">
            <v>美珠</v>
          </cell>
          <cell r="B153" t="str">
            <v>Y7048-DB+Y7049+Y7050</v>
          </cell>
          <cell r="C153" t="str">
            <v>CA中性壳 Moto G POWER 5G 2023  </v>
          </cell>
          <cell r="D153">
            <v>45078</v>
          </cell>
          <cell r="E153" t="str">
            <v>B0C39QRGJ7</v>
          </cell>
          <cell r="F153">
            <v>27</v>
          </cell>
          <cell r="G153">
            <v>0</v>
          </cell>
          <cell r="H153">
            <v>0</v>
          </cell>
          <cell r="I153">
            <v>0</v>
          </cell>
          <cell r="J153">
            <v>0</v>
          </cell>
          <cell r="K153">
            <v>27</v>
          </cell>
          <cell r="L153">
            <v>13.9</v>
          </cell>
          <cell r="M153">
            <v>375.3</v>
          </cell>
          <cell r="N153">
            <v>0</v>
          </cell>
          <cell r="O153">
            <v>0</v>
          </cell>
          <cell r="P153">
            <v>0</v>
          </cell>
          <cell r="Q153">
            <v>0</v>
          </cell>
          <cell r="R153">
            <v>0</v>
          </cell>
          <cell r="S153" t="str">
            <v>-</v>
          </cell>
          <cell r="T153" t="str">
            <v>-</v>
          </cell>
          <cell r="U153" t="str">
            <v>-</v>
          </cell>
          <cell r="V153" t="str">
            <v>-</v>
          </cell>
          <cell r="W153" t="str">
            <v>有库存无销量</v>
          </cell>
          <cell r="X153" t="str">
            <v>有库存无销量</v>
          </cell>
          <cell r="Y153">
            <v>0</v>
          </cell>
          <cell r="Z153">
            <v>0</v>
          </cell>
          <cell r="AA153">
            <v>0</v>
          </cell>
          <cell r="AB153" t="str">
            <v>-</v>
          </cell>
        </row>
        <row r="154">
          <cell r="A154" t="str">
            <v>美珠</v>
          </cell>
          <cell r="B154" t="str">
            <v>Y7048-OR+Y7049+Y7050</v>
          </cell>
          <cell r="C154" t="str">
            <v>CA中性壳 Moto G POWER 5G 2023  </v>
          </cell>
          <cell r="D154">
            <v>45078</v>
          </cell>
          <cell r="E154" t="str">
            <v>B0C39QMLST</v>
          </cell>
          <cell r="F154">
            <v>30</v>
          </cell>
          <cell r="G154">
            <v>0</v>
          </cell>
          <cell r="H154">
            <v>0</v>
          </cell>
          <cell r="I154">
            <v>0</v>
          </cell>
          <cell r="J154">
            <v>0</v>
          </cell>
          <cell r="K154">
            <v>30</v>
          </cell>
          <cell r="L154">
            <v>13.9</v>
          </cell>
          <cell r="M154">
            <v>417</v>
          </cell>
          <cell r="N154">
            <v>0</v>
          </cell>
          <cell r="O154">
            <v>0</v>
          </cell>
          <cell r="P154">
            <v>0</v>
          </cell>
          <cell r="Q154">
            <v>0</v>
          </cell>
          <cell r="R154">
            <v>0</v>
          </cell>
          <cell r="S154" t="str">
            <v>-</v>
          </cell>
          <cell r="T154" t="str">
            <v>-</v>
          </cell>
          <cell r="U154" t="str">
            <v>-</v>
          </cell>
          <cell r="V154" t="str">
            <v>-</v>
          </cell>
          <cell r="W154" t="str">
            <v>有库存无销量</v>
          </cell>
          <cell r="X154" t="str">
            <v>有库存无销量</v>
          </cell>
          <cell r="Y154">
            <v>0.2</v>
          </cell>
          <cell r="Z154">
            <v>0.85</v>
          </cell>
          <cell r="AA154">
            <v>2.36</v>
          </cell>
          <cell r="AB154" t="str">
            <v>-</v>
          </cell>
        </row>
        <row r="155">
          <cell r="A155" t="str">
            <v>美珠</v>
          </cell>
          <cell r="B155" t="str">
            <v>Y72431-BL+Y72433+Y72531</v>
          </cell>
          <cell r="C155" t="str">
            <v>中性LG K51 黑色</v>
          </cell>
          <cell r="D155">
            <v>45074</v>
          </cell>
          <cell r="E155" t="str">
            <v>B0B5X9Z9RJ</v>
          </cell>
          <cell r="F155">
            <v>0</v>
          </cell>
          <cell r="G155">
            <v>0</v>
          </cell>
          <cell r="H155">
            <v>0</v>
          </cell>
          <cell r="I155">
            <v>0</v>
          </cell>
          <cell r="J155">
            <v>0</v>
          </cell>
          <cell r="K155">
            <v>0</v>
          </cell>
          <cell r="L155">
            <v>13.9</v>
          </cell>
          <cell r="M155">
            <v>0</v>
          </cell>
          <cell r="N155">
            <v>1</v>
          </cell>
          <cell r="O155">
            <v>2</v>
          </cell>
          <cell r="P155">
            <v>2</v>
          </cell>
          <cell r="Q155">
            <v>0</v>
          </cell>
          <cell r="R155">
            <v>1</v>
          </cell>
          <cell r="S155">
            <v>0</v>
          </cell>
          <cell r="T155">
            <v>0</v>
          </cell>
          <cell r="U155">
            <v>6</v>
          </cell>
          <cell r="V155">
            <v>-6</v>
          </cell>
          <cell r="W155" t="str">
            <v>无库存有销量</v>
          </cell>
          <cell r="X155" t="str">
            <v>无库存有销量</v>
          </cell>
          <cell r="Y155">
            <v>0</v>
          </cell>
          <cell r="Z155">
            <v>0</v>
          </cell>
          <cell r="AA155">
            <v>0</v>
          </cell>
          <cell r="AB155" t="str">
            <v>-</v>
          </cell>
        </row>
        <row r="156">
          <cell r="A156" t="str">
            <v>美珠</v>
          </cell>
          <cell r="B156" t="str">
            <v>Y72431-DB+Y72433+Y72531</v>
          </cell>
          <cell r="C156" t="str">
            <v>中性LG K51 深蓝+蓝色</v>
          </cell>
          <cell r="D156">
            <v>45074</v>
          </cell>
          <cell r="E156" t="str">
            <v>B0B5X9ZNNM</v>
          </cell>
          <cell r="F156">
            <v>8</v>
          </cell>
          <cell r="G156">
            <v>0</v>
          </cell>
          <cell r="H156">
            <v>0</v>
          </cell>
          <cell r="I156">
            <v>0</v>
          </cell>
          <cell r="J156">
            <v>0</v>
          </cell>
          <cell r="K156">
            <v>8</v>
          </cell>
          <cell r="L156">
            <v>13.9</v>
          </cell>
          <cell r="M156">
            <v>111.2</v>
          </cell>
          <cell r="N156">
            <v>1</v>
          </cell>
          <cell r="O156">
            <v>1</v>
          </cell>
          <cell r="P156">
            <v>1</v>
          </cell>
          <cell r="Q156">
            <v>0</v>
          </cell>
          <cell r="R156">
            <v>1</v>
          </cell>
          <cell r="S156">
            <v>98.8235294117647</v>
          </cell>
          <cell r="T156">
            <v>3.29411764705882</v>
          </cell>
          <cell r="U156">
            <v>27</v>
          </cell>
          <cell r="V156">
            <v>-23.7058823529412</v>
          </cell>
          <cell r="W156" t="str">
            <v>库存过高</v>
          </cell>
          <cell r="X156" t="str">
            <v>库存过高</v>
          </cell>
          <cell r="Y156">
            <v>0</v>
          </cell>
          <cell r="Z156">
            <v>0</v>
          </cell>
          <cell r="AA156">
            <v>0</v>
          </cell>
          <cell r="AB156" t="str">
            <v>-</v>
          </cell>
        </row>
        <row r="157">
          <cell r="A157" t="str">
            <v>美珠</v>
          </cell>
          <cell r="B157" t="str">
            <v>Y72431-OR+Y72433+Y72531</v>
          </cell>
          <cell r="C157" t="str">
            <v> 中性LG K51 黑橙</v>
          </cell>
          <cell r="D157">
            <v>45074</v>
          </cell>
          <cell r="E157" t="str">
            <v>B0B5XCX58S</v>
          </cell>
          <cell r="F157">
            <v>17</v>
          </cell>
          <cell r="G157">
            <v>0</v>
          </cell>
          <cell r="H157">
            <v>0</v>
          </cell>
          <cell r="I157">
            <v>0</v>
          </cell>
          <cell r="J157">
            <v>0</v>
          </cell>
          <cell r="K157">
            <v>17</v>
          </cell>
          <cell r="L157">
            <v>13.9</v>
          </cell>
          <cell r="M157">
            <v>236.3</v>
          </cell>
          <cell r="N157">
            <v>0</v>
          </cell>
          <cell r="O157">
            <v>0</v>
          </cell>
          <cell r="P157">
            <v>0</v>
          </cell>
          <cell r="Q157">
            <v>0</v>
          </cell>
          <cell r="R157">
            <v>0</v>
          </cell>
          <cell r="S157" t="str">
            <v>-</v>
          </cell>
          <cell r="T157" t="str">
            <v>-</v>
          </cell>
          <cell r="U157">
            <v>25.5</v>
          </cell>
          <cell r="V157" t="str">
            <v>-</v>
          </cell>
          <cell r="W157" t="str">
            <v>有库存无销量</v>
          </cell>
          <cell r="X157" t="str">
            <v>有库存无销量</v>
          </cell>
          <cell r="Y157">
            <v>0</v>
          </cell>
          <cell r="Z157">
            <v>0</v>
          </cell>
          <cell r="AA157">
            <v>0</v>
          </cell>
          <cell r="AB157" t="str">
            <v>-</v>
          </cell>
        </row>
        <row r="158">
          <cell r="A158" t="str">
            <v>美珠</v>
          </cell>
          <cell r="B158" t="str">
            <v>Y7009-BU-ZH</v>
          </cell>
          <cell r="C158" t="str">
            <v>中性三星 S22 黑+蓝</v>
          </cell>
          <cell r="D158">
            <v>45074</v>
          </cell>
          <cell r="E158" t="str">
            <v>B0C5XFK9HP</v>
          </cell>
          <cell r="F158">
            <v>10</v>
          </cell>
          <cell r="G158">
            <v>0</v>
          </cell>
          <cell r="H158">
            <v>0</v>
          </cell>
          <cell r="I158">
            <v>0</v>
          </cell>
          <cell r="J158">
            <v>0</v>
          </cell>
          <cell r="K158">
            <v>10</v>
          </cell>
          <cell r="L158">
            <v>13.9</v>
          </cell>
          <cell r="M158">
            <v>139</v>
          </cell>
          <cell r="N158">
            <v>0</v>
          </cell>
          <cell r="O158">
            <v>0</v>
          </cell>
          <cell r="P158">
            <v>0</v>
          </cell>
          <cell r="Q158">
            <v>0</v>
          </cell>
          <cell r="R158">
            <v>0</v>
          </cell>
          <cell r="S158" t="str">
            <v>-</v>
          </cell>
          <cell r="T158" t="str">
            <v>-</v>
          </cell>
          <cell r="U158" t="str">
            <v>-</v>
          </cell>
          <cell r="V158" t="str">
            <v>-</v>
          </cell>
          <cell r="W158" t="str">
            <v>有库存无销量</v>
          </cell>
          <cell r="X158" t="str">
            <v>有库存无销量</v>
          </cell>
          <cell r="Y158">
            <v>0</v>
          </cell>
          <cell r="Z158">
            <v>0</v>
          </cell>
          <cell r="AA158">
            <v>0</v>
          </cell>
          <cell r="AB158" t="str">
            <v>-</v>
          </cell>
        </row>
        <row r="159">
          <cell r="A159" t="str">
            <v>美珠</v>
          </cell>
          <cell r="B159" t="str">
            <v>Y7009-DB-ZH</v>
          </cell>
          <cell r="C159" t="str">
            <v>中性三星 S22 深蓝+蓝</v>
          </cell>
          <cell r="D159">
            <v>45074</v>
          </cell>
          <cell r="E159" t="str">
            <v>B0C5XDBD1N</v>
          </cell>
          <cell r="F159">
            <v>8</v>
          </cell>
          <cell r="G159">
            <v>0</v>
          </cell>
          <cell r="H159">
            <v>0</v>
          </cell>
          <cell r="I159">
            <v>1</v>
          </cell>
          <cell r="J159">
            <v>0</v>
          </cell>
          <cell r="K159">
            <v>9</v>
          </cell>
          <cell r="L159">
            <v>13.9</v>
          </cell>
          <cell r="M159">
            <v>125.1</v>
          </cell>
          <cell r="N159">
            <v>0</v>
          </cell>
          <cell r="O159">
            <v>0</v>
          </cell>
          <cell r="P159">
            <v>0</v>
          </cell>
          <cell r="Q159">
            <v>0</v>
          </cell>
          <cell r="R159">
            <v>0</v>
          </cell>
          <cell r="S159" t="str">
            <v>-</v>
          </cell>
          <cell r="T159" t="str">
            <v>-</v>
          </cell>
          <cell r="U159" t="str">
            <v>-</v>
          </cell>
          <cell r="V159" t="str">
            <v>-</v>
          </cell>
          <cell r="W159" t="str">
            <v>有库存无销量</v>
          </cell>
          <cell r="X159" t="str">
            <v>有库存无销量</v>
          </cell>
          <cell r="Y159">
            <v>0</v>
          </cell>
          <cell r="Z159">
            <v>0</v>
          </cell>
          <cell r="AA159">
            <v>0</v>
          </cell>
          <cell r="AB159" t="str">
            <v>-</v>
          </cell>
        </row>
        <row r="160">
          <cell r="A160" t="str">
            <v>美珠</v>
          </cell>
          <cell r="B160" t="str">
            <v>Y7009-OR-ZH</v>
          </cell>
          <cell r="C160" t="str">
            <v>中性三星 S22 黑+橙</v>
          </cell>
          <cell r="D160">
            <v>45074</v>
          </cell>
          <cell r="E160" t="str">
            <v>B0C5XC73WC</v>
          </cell>
          <cell r="F160">
            <v>8</v>
          </cell>
          <cell r="G160">
            <v>0</v>
          </cell>
          <cell r="H160">
            <v>0</v>
          </cell>
          <cell r="I160">
            <v>0</v>
          </cell>
          <cell r="J160">
            <v>0</v>
          </cell>
          <cell r="K160">
            <v>8</v>
          </cell>
          <cell r="L160">
            <v>13.9</v>
          </cell>
          <cell r="M160">
            <v>111.2</v>
          </cell>
          <cell r="N160">
            <v>0</v>
          </cell>
          <cell r="O160">
            <v>0</v>
          </cell>
          <cell r="P160">
            <v>0</v>
          </cell>
          <cell r="Q160">
            <v>0</v>
          </cell>
          <cell r="R160">
            <v>0</v>
          </cell>
          <cell r="S160" t="str">
            <v>-</v>
          </cell>
          <cell r="T160" t="str">
            <v>-</v>
          </cell>
          <cell r="U160">
            <v>24</v>
          </cell>
          <cell r="V160" t="str">
            <v>-</v>
          </cell>
          <cell r="W160" t="str">
            <v>有库存无销量</v>
          </cell>
          <cell r="X160" t="str">
            <v>有库存无销量</v>
          </cell>
          <cell r="Y160">
            <v>0</v>
          </cell>
          <cell r="Z160">
            <v>0</v>
          </cell>
          <cell r="AA160">
            <v>0</v>
          </cell>
          <cell r="AB160" t="str">
            <v>-</v>
          </cell>
        </row>
        <row r="161">
          <cell r="A161" t="str">
            <v>美珠</v>
          </cell>
          <cell r="B161" t="str">
            <v>Y7003-BL-ZH</v>
          </cell>
          <cell r="C161" t="str">
            <v>中性三星 S22 Plus 黑</v>
          </cell>
          <cell r="D161">
            <v>45074</v>
          </cell>
          <cell r="E161" t="str">
            <v>B0C5XKV6KL</v>
          </cell>
          <cell r="F161">
            <v>4</v>
          </cell>
          <cell r="G161">
            <v>0</v>
          </cell>
          <cell r="H161">
            <v>0</v>
          </cell>
          <cell r="I161">
            <v>0</v>
          </cell>
          <cell r="J161">
            <v>0</v>
          </cell>
          <cell r="K161">
            <v>4</v>
          </cell>
          <cell r="L161">
            <v>13.9</v>
          </cell>
          <cell r="M161">
            <v>55.6</v>
          </cell>
          <cell r="N161">
            <v>0</v>
          </cell>
          <cell r="O161">
            <v>0</v>
          </cell>
          <cell r="P161">
            <v>0</v>
          </cell>
          <cell r="Q161">
            <v>0</v>
          </cell>
          <cell r="R161">
            <v>0</v>
          </cell>
          <cell r="S161" t="str">
            <v>-</v>
          </cell>
          <cell r="T161" t="str">
            <v>-</v>
          </cell>
          <cell r="U161">
            <v>4</v>
          </cell>
          <cell r="V161" t="str">
            <v>-</v>
          </cell>
          <cell r="W161" t="str">
            <v>有库存无销量</v>
          </cell>
          <cell r="X161" t="str">
            <v>有库存无销量</v>
          </cell>
          <cell r="Y161">
            <v>0</v>
          </cell>
          <cell r="Z161">
            <v>0</v>
          </cell>
          <cell r="AA161">
            <v>0</v>
          </cell>
          <cell r="AB161" t="str">
            <v>-</v>
          </cell>
        </row>
        <row r="162">
          <cell r="A162" t="str">
            <v>美珠</v>
          </cell>
          <cell r="B162" t="str">
            <v>Y7003-BU-ZH</v>
          </cell>
          <cell r="C162" t="str">
            <v>中性三星 S22 Plus 黑+蓝</v>
          </cell>
          <cell r="D162">
            <v>45074</v>
          </cell>
          <cell r="E162" t="str">
            <v>B0C5XJZYSN</v>
          </cell>
          <cell r="F162">
            <v>10</v>
          </cell>
          <cell r="G162">
            <v>0</v>
          </cell>
          <cell r="H162">
            <v>0</v>
          </cell>
          <cell r="I162">
            <v>0</v>
          </cell>
          <cell r="J162">
            <v>0</v>
          </cell>
          <cell r="K162">
            <v>10</v>
          </cell>
          <cell r="L162">
            <v>13.9</v>
          </cell>
          <cell r="M162">
            <v>139</v>
          </cell>
          <cell r="N162">
            <v>0</v>
          </cell>
          <cell r="O162">
            <v>0</v>
          </cell>
          <cell r="P162">
            <v>0</v>
          </cell>
          <cell r="Q162">
            <v>0</v>
          </cell>
          <cell r="R162">
            <v>0</v>
          </cell>
          <cell r="S162" t="str">
            <v>-</v>
          </cell>
          <cell r="T162" t="str">
            <v>-</v>
          </cell>
          <cell r="U162" t="str">
            <v>-</v>
          </cell>
          <cell r="V162" t="str">
            <v>-</v>
          </cell>
          <cell r="W162" t="str">
            <v>有库存无销量</v>
          </cell>
          <cell r="X162" t="str">
            <v>有库存无销量</v>
          </cell>
          <cell r="Y162">
            <v>0</v>
          </cell>
          <cell r="Z162">
            <v>0</v>
          </cell>
          <cell r="AA162">
            <v>0</v>
          </cell>
          <cell r="AB162" t="str">
            <v>-</v>
          </cell>
        </row>
        <row r="163">
          <cell r="A163" t="str">
            <v>美珠</v>
          </cell>
          <cell r="B163" t="str">
            <v>Y7003-DB-ZH</v>
          </cell>
          <cell r="C163" t="str">
            <v>中性三星 S22 Plus 深蓝+蓝</v>
          </cell>
          <cell r="D163">
            <v>45074</v>
          </cell>
          <cell r="E163" t="str">
            <v>B0C5XNDZ1C</v>
          </cell>
          <cell r="F163">
            <v>9</v>
          </cell>
          <cell r="G163">
            <v>0</v>
          </cell>
          <cell r="H163">
            <v>0</v>
          </cell>
          <cell r="I163">
            <v>1</v>
          </cell>
          <cell r="J163">
            <v>0</v>
          </cell>
          <cell r="K163">
            <v>10</v>
          </cell>
          <cell r="L163">
            <v>13.9</v>
          </cell>
          <cell r="M163">
            <v>139</v>
          </cell>
          <cell r="N163">
            <v>0</v>
          </cell>
          <cell r="O163">
            <v>0</v>
          </cell>
          <cell r="P163">
            <v>0</v>
          </cell>
          <cell r="Q163">
            <v>0</v>
          </cell>
          <cell r="R163">
            <v>0</v>
          </cell>
          <cell r="S163" t="str">
            <v>-</v>
          </cell>
          <cell r="T163" t="str">
            <v>-</v>
          </cell>
          <cell r="U163" t="str">
            <v>-</v>
          </cell>
          <cell r="V163" t="str">
            <v>-</v>
          </cell>
          <cell r="W163" t="str">
            <v>有库存无销量</v>
          </cell>
          <cell r="X163" t="str">
            <v>有库存无销量</v>
          </cell>
          <cell r="Y163">
            <v>0</v>
          </cell>
          <cell r="Z163">
            <v>0</v>
          </cell>
          <cell r="AA163">
            <v>0</v>
          </cell>
          <cell r="AB163" t="str">
            <v>-</v>
          </cell>
        </row>
        <row r="164">
          <cell r="A164" t="str">
            <v>美珠</v>
          </cell>
          <cell r="B164" t="str">
            <v>Y7003-OR-ZH</v>
          </cell>
          <cell r="C164" t="str">
            <v>中性三星 S22 Plus 黑+橙</v>
          </cell>
          <cell r="D164">
            <v>45074</v>
          </cell>
          <cell r="E164" t="str">
            <v>B0C5XLLR7K</v>
          </cell>
          <cell r="F164">
            <v>10</v>
          </cell>
          <cell r="G164">
            <v>0</v>
          </cell>
          <cell r="H164">
            <v>0</v>
          </cell>
          <cell r="I164">
            <v>0</v>
          </cell>
          <cell r="J164">
            <v>0</v>
          </cell>
          <cell r="K164">
            <v>10</v>
          </cell>
          <cell r="L164">
            <v>13.9</v>
          </cell>
          <cell r="M164">
            <v>139</v>
          </cell>
          <cell r="N164">
            <v>0</v>
          </cell>
          <cell r="O164">
            <v>0</v>
          </cell>
          <cell r="P164">
            <v>0</v>
          </cell>
          <cell r="Q164">
            <v>0</v>
          </cell>
          <cell r="R164">
            <v>0</v>
          </cell>
          <cell r="S164" t="str">
            <v>-</v>
          </cell>
          <cell r="T164" t="str">
            <v>-</v>
          </cell>
          <cell r="U164" t="str">
            <v>-</v>
          </cell>
          <cell r="V164" t="str">
            <v>-</v>
          </cell>
          <cell r="W164" t="str">
            <v>有库存无销量</v>
          </cell>
          <cell r="X164" t="str">
            <v>有库存无销量</v>
          </cell>
          <cell r="Y164">
            <v>0</v>
          </cell>
          <cell r="Z164">
            <v>0</v>
          </cell>
          <cell r="AA164">
            <v>0</v>
          </cell>
          <cell r="AB164" t="str">
            <v>-</v>
          </cell>
        </row>
        <row r="165">
          <cell r="A165" t="str">
            <v>美珠</v>
          </cell>
          <cell r="B165" t="str">
            <v>Y7054-BL+Y7062+Y7058</v>
          </cell>
          <cell r="C165" t="str">
            <v>CA中性手机壳iPhone 14 黑色</v>
          </cell>
          <cell r="D165">
            <v>45086</v>
          </cell>
          <cell r="E165" t="str">
            <v>B0BBFV5GCR</v>
          </cell>
          <cell r="F165">
            <v>0</v>
          </cell>
          <cell r="G165">
            <v>1</v>
          </cell>
          <cell r="H165">
            <v>0</v>
          </cell>
          <cell r="I165">
            <v>0</v>
          </cell>
          <cell r="J165">
            <v>0</v>
          </cell>
          <cell r="K165">
            <v>1</v>
          </cell>
          <cell r="L165">
            <v>13.9</v>
          </cell>
          <cell r="M165">
            <v>13.9</v>
          </cell>
          <cell r="N165">
            <v>0</v>
          </cell>
          <cell r="O165">
            <v>0</v>
          </cell>
          <cell r="P165">
            <v>0</v>
          </cell>
          <cell r="Q165">
            <v>0</v>
          </cell>
          <cell r="R165">
            <v>0</v>
          </cell>
          <cell r="S165" t="str">
            <v>-</v>
          </cell>
          <cell r="T165" t="str">
            <v>-</v>
          </cell>
          <cell r="U165" t="str">
            <v>-</v>
          </cell>
          <cell r="V165" t="str">
            <v>-</v>
          </cell>
          <cell r="W165" t="str">
            <v>有库存无销量</v>
          </cell>
          <cell r="X165" t="str">
            <v>有库存无销量</v>
          </cell>
          <cell r="Y165">
            <v>0</v>
          </cell>
          <cell r="Z165">
            <v>0</v>
          </cell>
          <cell r="AA165">
            <v>0</v>
          </cell>
          <cell r="AB165" t="str">
            <v>-</v>
          </cell>
        </row>
        <row r="166">
          <cell r="A166" t="str">
            <v>美珠</v>
          </cell>
          <cell r="B166" t="str">
            <v>Y7054-BU+Y7062+Y7058</v>
          </cell>
          <cell r="C166" t="str">
            <v>CA中性手机壳iPhone 14  黑+蓝</v>
          </cell>
          <cell r="D166">
            <v>45086</v>
          </cell>
          <cell r="E166" t="str">
            <v>B0BBFXGD1Q</v>
          </cell>
          <cell r="F166">
            <v>11</v>
          </cell>
          <cell r="G166">
            <v>0</v>
          </cell>
          <cell r="H166">
            <v>0</v>
          </cell>
          <cell r="I166">
            <v>1</v>
          </cell>
          <cell r="J166">
            <v>0</v>
          </cell>
          <cell r="K166">
            <v>12</v>
          </cell>
          <cell r="L166">
            <v>13.9</v>
          </cell>
          <cell r="M166">
            <v>166.8</v>
          </cell>
          <cell r="N166">
            <v>2</v>
          </cell>
          <cell r="O166">
            <v>2</v>
          </cell>
          <cell r="P166">
            <v>3</v>
          </cell>
          <cell r="Q166">
            <v>0</v>
          </cell>
          <cell r="R166">
            <v>2</v>
          </cell>
          <cell r="S166">
            <v>69.3577981651376</v>
          </cell>
          <cell r="T166">
            <v>2.31192660550459</v>
          </cell>
          <cell r="U166">
            <v>14</v>
          </cell>
          <cell r="V166">
            <v>-11.6880733944954</v>
          </cell>
          <cell r="W166" t="str">
            <v>正常</v>
          </cell>
          <cell r="X166" t="str">
            <v>库存过高</v>
          </cell>
          <cell r="Y166">
            <v>9.55</v>
          </cell>
          <cell r="Z166">
            <v>9.55</v>
          </cell>
          <cell r="AA166">
            <v>9.55</v>
          </cell>
          <cell r="AB166">
            <v>0.183724509426703</v>
          </cell>
        </row>
        <row r="167">
          <cell r="A167" t="str">
            <v>美珠</v>
          </cell>
          <cell r="B167" t="str">
            <v>Y7054-DB+Y7062+Y7058</v>
          </cell>
          <cell r="C167" t="str">
            <v>CA中性手机壳iPhone 14  深蓝蓝</v>
          </cell>
          <cell r="D167">
            <v>45086</v>
          </cell>
          <cell r="E167" t="str">
            <v>B0BBFVN3V9</v>
          </cell>
          <cell r="F167">
            <v>21</v>
          </cell>
          <cell r="G167">
            <v>0</v>
          </cell>
          <cell r="H167">
            <v>0</v>
          </cell>
          <cell r="I167">
            <v>0</v>
          </cell>
          <cell r="J167">
            <v>0</v>
          </cell>
          <cell r="K167">
            <v>21</v>
          </cell>
          <cell r="L167">
            <v>13.9</v>
          </cell>
          <cell r="M167">
            <v>291.9</v>
          </cell>
          <cell r="N167">
            <v>0</v>
          </cell>
          <cell r="O167">
            <v>0</v>
          </cell>
          <cell r="P167">
            <v>0</v>
          </cell>
          <cell r="Q167">
            <v>0</v>
          </cell>
          <cell r="R167">
            <v>0</v>
          </cell>
          <cell r="S167" t="str">
            <v>-</v>
          </cell>
          <cell r="T167" t="str">
            <v>-</v>
          </cell>
          <cell r="U167">
            <v>21</v>
          </cell>
          <cell r="V167" t="str">
            <v>-</v>
          </cell>
          <cell r="W167" t="str">
            <v>有库存无销量</v>
          </cell>
          <cell r="X167" t="str">
            <v>有库存无销量</v>
          </cell>
          <cell r="Y167">
            <v>0</v>
          </cell>
          <cell r="Z167">
            <v>0</v>
          </cell>
          <cell r="AA167">
            <v>0</v>
          </cell>
          <cell r="AB167" t="str">
            <v>-</v>
          </cell>
        </row>
        <row r="168">
          <cell r="A168" t="str">
            <v>美珠</v>
          </cell>
          <cell r="B168" t="str">
            <v>Y7054-OR+Y7062+Y7058</v>
          </cell>
          <cell r="C168" t="str">
            <v>CA中性手机壳iPhone 14  橙色</v>
          </cell>
          <cell r="D168">
            <v>45086</v>
          </cell>
          <cell r="E168" t="str">
            <v>B0BBFVR6W8</v>
          </cell>
          <cell r="F168">
            <v>0</v>
          </cell>
          <cell r="G168">
            <v>1</v>
          </cell>
          <cell r="H168">
            <v>0</v>
          </cell>
          <cell r="I168">
            <v>0</v>
          </cell>
          <cell r="J168">
            <v>0</v>
          </cell>
          <cell r="K168">
            <v>1</v>
          </cell>
          <cell r="L168">
            <v>13.9</v>
          </cell>
          <cell r="M168">
            <v>13.9</v>
          </cell>
          <cell r="N168">
            <v>0</v>
          </cell>
          <cell r="O168">
            <v>0</v>
          </cell>
          <cell r="P168">
            <v>0</v>
          </cell>
          <cell r="Q168">
            <v>0</v>
          </cell>
          <cell r="R168">
            <v>0</v>
          </cell>
          <cell r="S168" t="str">
            <v>-</v>
          </cell>
          <cell r="T168" t="str">
            <v>-</v>
          </cell>
          <cell r="U168" t="str">
            <v>-</v>
          </cell>
          <cell r="V168" t="str">
            <v>-</v>
          </cell>
          <cell r="W168" t="str">
            <v>有库存无销量</v>
          </cell>
          <cell r="X168" t="str">
            <v>有库存无销量</v>
          </cell>
          <cell r="Y168">
            <v>0</v>
          </cell>
          <cell r="Z168">
            <v>0</v>
          </cell>
          <cell r="AA168">
            <v>0</v>
          </cell>
          <cell r="AB168" t="str">
            <v>-</v>
          </cell>
        </row>
        <row r="169">
          <cell r="A169" t="str">
            <v>美珠</v>
          </cell>
          <cell r="B169" t="str">
            <v>Y7052-BL+Y7056+Y7060</v>
          </cell>
          <cell r="C169" t="str">
            <v>CA中性手机壳iPhone 14 Pro  黑色</v>
          </cell>
          <cell r="D169">
            <v>45086</v>
          </cell>
          <cell r="E169" t="str">
            <v>B0BBG13KWX</v>
          </cell>
          <cell r="F169">
            <v>19</v>
          </cell>
          <cell r="G169">
            <v>0</v>
          </cell>
          <cell r="H169">
            <v>0</v>
          </cell>
          <cell r="I169">
            <v>0</v>
          </cell>
          <cell r="J169">
            <v>0</v>
          </cell>
          <cell r="K169">
            <v>19</v>
          </cell>
          <cell r="L169">
            <v>13.9</v>
          </cell>
          <cell r="M169">
            <v>264.1</v>
          </cell>
          <cell r="N169">
            <v>0</v>
          </cell>
          <cell r="O169">
            <v>0</v>
          </cell>
          <cell r="P169">
            <v>2</v>
          </cell>
          <cell r="Q169">
            <v>2</v>
          </cell>
          <cell r="R169">
            <v>-2</v>
          </cell>
          <cell r="S169">
            <v>855</v>
          </cell>
          <cell r="T169">
            <v>28.5</v>
          </cell>
          <cell r="U169">
            <v>3.24390243902439</v>
          </cell>
          <cell r="V169">
            <v>25.2560975609756</v>
          </cell>
          <cell r="W169" t="str">
            <v>有库存无销量</v>
          </cell>
          <cell r="X169" t="str">
            <v>库存过高</v>
          </cell>
          <cell r="Y169">
            <v>0.82</v>
          </cell>
          <cell r="Z169">
            <v>2.61</v>
          </cell>
          <cell r="AA169">
            <v>7.46</v>
          </cell>
          <cell r="AB169" t="str">
            <v>-</v>
          </cell>
        </row>
        <row r="170">
          <cell r="A170" t="str">
            <v>美珠</v>
          </cell>
          <cell r="B170" t="str">
            <v>Y7052-BU+Y7056+Y7060</v>
          </cell>
          <cell r="C170" t="str">
            <v>CA中性手机壳iPhone 14 Pro 黑+蓝</v>
          </cell>
          <cell r="D170">
            <v>45086</v>
          </cell>
          <cell r="E170" t="str">
            <v>B0BBFYQ998</v>
          </cell>
          <cell r="F170">
            <v>28</v>
          </cell>
          <cell r="G170">
            <v>0</v>
          </cell>
          <cell r="H170">
            <v>0</v>
          </cell>
          <cell r="I170">
            <v>0</v>
          </cell>
          <cell r="J170">
            <v>0</v>
          </cell>
          <cell r="K170">
            <v>28</v>
          </cell>
          <cell r="L170">
            <v>13.9</v>
          </cell>
          <cell r="M170">
            <v>389.2</v>
          </cell>
          <cell r="N170">
            <v>0</v>
          </cell>
          <cell r="O170">
            <v>0</v>
          </cell>
          <cell r="P170">
            <v>0</v>
          </cell>
          <cell r="Q170">
            <v>0</v>
          </cell>
          <cell r="R170">
            <v>0</v>
          </cell>
          <cell r="S170" t="str">
            <v>-</v>
          </cell>
          <cell r="T170" t="str">
            <v>-</v>
          </cell>
          <cell r="U170">
            <v>28</v>
          </cell>
          <cell r="V170" t="str">
            <v>-</v>
          </cell>
          <cell r="W170" t="str">
            <v>有库存无销量</v>
          </cell>
          <cell r="X170" t="str">
            <v>有库存无销量</v>
          </cell>
          <cell r="Y170">
            <v>0</v>
          </cell>
          <cell r="Z170">
            <v>0</v>
          </cell>
          <cell r="AA170">
            <v>0</v>
          </cell>
          <cell r="AB170" t="str">
            <v>-</v>
          </cell>
        </row>
        <row r="171">
          <cell r="A171" t="str">
            <v>美珠</v>
          </cell>
          <cell r="B171" t="str">
            <v>Y7052-DB+Y7056+Y7060</v>
          </cell>
          <cell r="C171" t="str">
            <v>CA中性手机壳iPhone 14 Pro 深蓝蓝</v>
          </cell>
          <cell r="D171">
            <v>45086</v>
          </cell>
          <cell r="E171" t="str">
            <v>B0BBG2D31Y</v>
          </cell>
          <cell r="F171">
            <v>28</v>
          </cell>
          <cell r="G171">
            <v>0</v>
          </cell>
          <cell r="H171">
            <v>0</v>
          </cell>
          <cell r="I171">
            <v>0</v>
          </cell>
          <cell r="J171">
            <v>0</v>
          </cell>
          <cell r="K171">
            <v>28</v>
          </cell>
          <cell r="L171">
            <v>13.9</v>
          </cell>
          <cell r="M171">
            <v>389.2</v>
          </cell>
          <cell r="N171">
            <v>0</v>
          </cell>
          <cell r="O171">
            <v>0</v>
          </cell>
          <cell r="P171">
            <v>0</v>
          </cell>
          <cell r="Q171">
            <v>0</v>
          </cell>
          <cell r="R171">
            <v>0</v>
          </cell>
          <cell r="S171" t="str">
            <v>-</v>
          </cell>
          <cell r="T171" t="str">
            <v>-</v>
          </cell>
          <cell r="U171">
            <v>14</v>
          </cell>
          <cell r="V171" t="str">
            <v>-</v>
          </cell>
          <cell r="W171" t="str">
            <v>有库存无销量</v>
          </cell>
          <cell r="X171" t="str">
            <v>有库存无销量</v>
          </cell>
          <cell r="Y171">
            <v>0</v>
          </cell>
          <cell r="Z171">
            <v>0</v>
          </cell>
          <cell r="AA171">
            <v>0</v>
          </cell>
          <cell r="AB171" t="str">
            <v>-</v>
          </cell>
        </row>
        <row r="172">
          <cell r="A172" t="str">
            <v>美珠</v>
          </cell>
          <cell r="B172" t="str">
            <v>Y7052-OR+Y7056+Y7060</v>
          </cell>
          <cell r="C172" t="str">
            <v>CA中性手机壳iPhone 14 Pro 橙色</v>
          </cell>
          <cell r="D172">
            <v>45086</v>
          </cell>
          <cell r="E172" t="str">
            <v>B0BBG1ZGYS</v>
          </cell>
          <cell r="F172">
            <v>24</v>
          </cell>
          <cell r="G172">
            <v>1</v>
          </cell>
          <cell r="H172">
            <v>0</v>
          </cell>
          <cell r="I172">
            <v>0</v>
          </cell>
          <cell r="J172">
            <v>0</v>
          </cell>
          <cell r="K172">
            <v>25</v>
          </cell>
          <cell r="L172">
            <v>13.9</v>
          </cell>
          <cell r="M172">
            <v>347.5</v>
          </cell>
          <cell r="N172">
            <v>0</v>
          </cell>
          <cell r="O172">
            <v>0</v>
          </cell>
          <cell r="P172">
            <v>0</v>
          </cell>
          <cell r="Q172">
            <v>0</v>
          </cell>
          <cell r="R172">
            <v>0</v>
          </cell>
          <cell r="S172" t="str">
            <v>-</v>
          </cell>
          <cell r="T172" t="str">
            <v>-</v>
          </cell>
          <cell r="U172">
            <v>25</v>
          </cell>
          <cell r="V172" t="str">
            <v>-</v>
          </cell>
          <cell r="W172" t="str">
            <v>有库存无销量</v>
          </cell>
          <cell r="X172" t="str">
            <v>有库存无销量</v>
          </cell>
          <cell r="Y172">
            <v>1.98</v>
          </cell>
          <cell r="Z172">
            <v>5.46</v>
          </cell>
          <cell r="AA172">
            <v>9.69</v>
          </cell>
          <cell r="AB172" t="str">
            <v>-</v>
          </cell>
        </row>
        <row r="173">
          <cell r="A173" t="str">
            <v>美珠</v>
          </cell>
          <cell r="B173" t="str">
            <v>Y7051-BL+Y7055+Y7059</v>
          </cell>
          <cell r="C173" t="str">
            <v>CA中性手机壳iPhone 14 Pro Max 黑色</v>
          </cell>
          <cell r="D173">
            <v>45086</v>
          </cell>
          <cell r="E173" t="str">
            <v>B0BBG4W47P</v>
          </cell>
          <cell r="F173">
            <v>32</v>
          </cell>
          <cell r="G173">
            <v>1</v>
          </cell>
          <cell r="H173">
            <v>0</v>
          </cell>
          <cell r="I173">
            <v>0</v>
          </cell>
          <cell r="J173">
            <v>0</v>
          </cell>
          <cell r="K173">
            <v>33</v>
          </cell>
          <cell r="L173">
            <v>13.9</v>
          </cell>
          <cell r="M173">
            <v>458.7</v>
          </cell>
          <cell r="N173">
            <v>3</v>
          </cell>
          <cell r="O173">
            <v>7</v>
          </cell>
          <cell r="P173">
            <v>10</v>
          </cell>
          <cell r="Q173">
            <v>3</v>
          </cell>
          <cell r="R173">
            <v>0</v>
          </cell>
          <cell r="S173">
            <v>80.5813953488372</v>
          </cell>
          <cell r="T173">
            <v>2.68604651162791</v>
          </cell>
          <cell r="U173">
            <v>2.078125</v>
          </cell>
          <cell r="V173">
            <v>0.607921511627907</v>
          </cell>
          <cell r="W173" t="str">
            <v>库存过高</v>
          </cell>
          <cell r="X173" t="str">
            <v>库存过高</v>
          </cell>
          <cell r="Y173">
            <v>0</v>
          </cell>
          <cell r="Z173">
            <v>0</v>
          </cell>
          <cell r="AA173">
            <v>0</v>
          </cell>
          <cell r="AB173" t="str">
            <v>-</v>
          </cell>
        </row>
        <row r="174">
          <cell r="A174" t="str">
            <v>美珠</v>
          </cell>
          <cell r="B174" t="str">
            <v>Y7051-BU+Y7055+Y7059</v>
          </cell>
          <cell r="C174" t="str">
            <v>CA中性壳iPhone 14 Pro Max  黑+蓝</v>
          </cell>
          <cell r="D174">
            <v>45086</v>
          </cell>
          <cell r="E174" t="str">
            <v>B0BBG5PFX4</v>
          </cell>
          <cell r="F174">
            <v>26</v>
          </cell>
          <cell r="G174">
            <v>0</v>
          </cell>
          <cell r="H174">
            <v>1</v>
          </cell>
          <cell r="I174">
            <v>0</v>
          </cell>
          <cell r="J174">
            <v>0</v>
          </cell>
          <cell r="K174">
            <v>27</v>
          </cell>
          <cell r="L174">
            <v>13.9</v>
          </cell>
          <cell r="M174">
            <v>375.3</v>
          </cell>
          <cell r="N174">
            <v>0</v>
          </cell>
          <cell r="O174">
            <v>2</v>
          </cell>
          <cell r="P174">
            <v>4</v>
          </cell>
          <cell r="Q174">
            <v>1</v>
          </cell>
          <cell r="R174">
            <v>-1</v>
          </cell>
          <cell r="S174">
            <v>303.75</v>
          </cell>
          <cell r="T174">
            <v>10.125</v>
          </cell>
          <cell r="U174">
            <v>3.67796610169491</v>
          </cell>
          <cell r="V174">
            <v>6.44703389830509</v>
          </cell>
          <cell r="W174" t="str">
            <v>有库存无销量</v>
          </cell>
          <cell r="X174" t="str">
            <v>库存过高</v>
          </cell>
          <cell r="Y174">
            <v>0</v>
          </cell>
          <cell r="Z174">
            <v>0</v>
          </cell>
          <cell r="AA174">
            <v>0</v>
          </cell>
          <cell r="AB174" t="str">
            <v>-</v>
          </cell>
        </row>
        <row r="175">
          <cell r="A175" t="str">
            <v>美珠</v>
          </cell>
          <cell r="B175" t="str">
            <v>Y7051-DB+Y7055+Y7059</v>
          </cell>
          <cell r="C175" t="str">
            <v>CA中性手机壳iPhone 14 Pro Max  深蓝蓝</v>
          </cell>
          <cell r="D175">
            <v>45086</v>
          </cell>
          <cell r="E175" t="str">
            <v>B0BBGMPX7P</v>
          </cell>
          <cell r="F175">
            <v>34</v>
          </cell>
          <cell r="G175">
            <v>0</v>
          </cell>
          <cell r="H175">
            <v>0</v>
          </cell>
          <cell r="I175">
            <v>0</v>
          </cell>
          <cell r="J175">
            <v>0</v>
          </cell>
          <cell r="K175">
            <v>34</v>
          </cell>
          <cell r="L175">
            <v>13.9</v>
          </cell>
          <cell r="M175">
            <v>472.6</v>
          </cell>
          <cell r="N175">
            <v>2</v>
          </cell>
          <cell r="O175">
            <v>3</v>
          </cell>
          <cell r="P175">
            <v>7</v>
          </cell>
          <cell r="Q175">
            <v>3</v>
          </cell>
          <cell r="R175">
            <v>-1</v>
          </cell>
          <cell r="S175">
            <v>141.854304635762</v>
          </cell>
          <cell r="T175">
            <v>4.72847682119205</v>
          </cell>
          <cell r="U175">
            <v>3.01162790697674</v>
          </cell>
          <cell r="V175">
            <v>1.71684891421531</v>
          </cell>
          <cell r="W175" t="str">
            <v>库存过高</v>
          </cell>
          <cell r="X175" t="str">
            <v>库存过高</v>
          </cell>
          <cell r="Y175">
            <v>0</v>
          </cell>
          <cell r="Z175">
            <v>0</v>
          </cell>
          <cell r="AA175">
            <v>0</v>
          </cell>
          <cell r="AB175" t="str">
            <v>-</v>
          </cell>
        </row>
        <row r="176">
          <cell r="A176" t="str">
            <v>美珠</v>
          </cell>
          <cell r="B176" t="str">
            <v>Y7051-OR+Y7055+Y7059</v>
          </cell>
          <cell r="C176" t="str">
            <v>CA 中性手机壳iPhone 14 Pro Max  橙色</v>
          </cell>
          <cell r="D176">
            <v>45086</v>
          </cell>
          <cell r="E176" t="str">
            <v>B0BBG47DWW</v>
          </cell>
          <cell r="F176">
            <v>1</v>
          </cell>
          <cell r="G176">
            <v>2</v>
          </cell>
          <cell r="H176">
            <v>0</v>
          </cell>
          <cell r="I176">
            <v>0</v>
          </cell>
          <cell r="J176">
            <v>0</v>
          </cell>
          <cell r="K176">
            <v>3</v>
          </cell>
          <cell r="L176">
            <v>13.9</v>
          </cell>
          <cell r="M176">
            <v>41.7</v>
          </cell>
          <cell r="N176">
            <v>3</v>
          </cell>
          <cell r="O176">
            <v>6</v>
          </cell>
          <cell r="P176">
            <v>15</v>
          </cell>
          <cell r="Q176">
            <v>2</v>
          </cell>
          <cell r="R176">
            <v>1</v>
          </cell>
          <cell r="S176">
            <v>6.7741935483871</v>
          </cell>
          <cell r="T176">
            <v>0.225806451612903</v>
          </cell>
          <cell r="U176">
            <v>0.583333333333333</v>
          </cell>
          <cell r="V176">
            <v>-0.35752688172043</v>
          </cell>
          <cell r="W176" t="str">
            <v>库存过低</v>
          </cell>
          <cell r="X176" t="str">
            <v>库存过低</v>
          </cell>
          <cell r="Y176">
            <v>29.4</v>
          </cell>
          <cell r="Z176">
            <v>61.88</v>
          </cell>
          <cell r="AA176">
            <v>115.87</v>
          </cell>
          <cell r="AB176">
            <v>0.282801077337437</v>
          </cell>
        </row>
        <row r="177">
          <cell r="A177" t="str">
            <v>美珠</v>
          </cell>
          <cell r="B177" t="str">
            <v>Y7053-BL+Y7057+Y7061</v>
          </cell>
          <cell r="C177" t="str">
            <v>CA中性手机壳iPhone  14 plus 6.7 黑色</v>
          </cell>
          <cell r="D177">
            <v>45086</v>
          </cell>
          <cell r="E177" t="str">
            <v>B0BBG4X86G</v>
          </cell>
          <cell r="F177">
            <v>33</v>
          </cell>
          <cell r="G177">
            <v>1</v>
          </cell>
          <cell r="H177">
            <v>0</v>
          </cell>
          <cell r="I177">
            <v>0</v>
          </cell>
          <cell r="J177">
            <v>0</v>
          </cell>
          <cell r="K177">
            <v>34</v>
          </cell>
          <cell r="L177">
            <v>13.9</v>
          </cell>
          <cell r="M177">
            <v>472.6</v>
          </cell>
          <cell r="N177">
            <v>0</v>
          </cell>
          <cell r="O177">
            <v>0</v>
          </cell>
          <cell r="P177">
            <v>2</v>
          </cell>
          <cell r="Q177">
            <v>2</v>
          </cell>
          <cell r="R177">
            <v>-2</v>
          </cell>
          <cell r="S177">
            <v>1530</v>
          </cell>
          <cell r="T177">
            <v>51</v>
          </cell>
          <cell r="U177">
            <v>4.95833333333333</v>
          </cell>
          <cell r="V177">
            <v>46.0416666666667</v>
          </cell>
          <cell r="W177" t="str">
            <v>有库存无销量</v>
          </cell>
          <cell r="X177" t="str">
            <v>库存过高</v>
          </cell>
          <cell r="Y177">
            <v>1.68</v>
          </cell>
          <cell r="Z177">
            <v>3.31</v>
          </cell>
          <cell r="AA177">
            <v>5.03</v>
          </cell>
          <cell r="AB177" t="str">
            <v>-</v>
          </cell>
        </row>
        <row r="178">
          <cell r="A178" t="str">
            <v>美珠</v>
          </cell>
          <cell r="B178" t="str">
            <v>Y7053-BU+Y7057+Y7061</v>
          </cell>
          <cell r="C178" t="str">
            <v>CA中性手机壳iPhone  14 plus 6.7 黑+蓝</v>
          </cell>
          <cell r="D178">
            <v>45086</v>
          </cell>
          <cell r="E178" t="str">
            <v>B0BBG4HBRL</v>
          </cell>
          <cell r="F178">
            <v>25</v>
          </cell>
          <cell r="G178">
            <v>0</v>
          </cell>
          <cell r="H178">
            <v>0</v>
          </cell>
          <cell r="I178">
            <v>0</v>
          </cell>
          <cell r="J178">
            <v>0</v>
          </cell>
          <cell r="K178">
            <v>25</v>
          </cell>
          <cell r="L178">
            <v>13.9</v>
          </cell>
          <cell r="M178">
            <v>347.5</v>
          </cell>
          <cell r="N178">
            <v>0</v>
          </cell>
          <cell r="O178">
            <v>0</v>
          </cell>
          <cell r="P178">
            <v>1</v>
          </cell>
          <cell r="Q178">
            <v>0</v>
          </cell>
          <cell r="R178">
            <v>0</v>
          </cell>
          <cell r="S178">
            <v>2250</v>
          </cell>
          <cell r="T178">
            <v>75</v>
          </cell>
          <cell r="U178">
            <v>26</v>
          </cell>
          <cell r="V178">
            <v>49</v>
          </cell>
          <cell r="W178" t="str">
            <v>有库存无销量</v>
          </cell>
          <cell r="X178" t="str">
            <v>库存过高</v>
          </cell>
          <cell r="Y178">
            <v>0</v>
          </cell>
          <cell r="Z178">
            <v>0</v>
          </cell>
          <cell r="AA178">
            <v>0</v>
          </cell>
          <cell r="AB178" t="str">
            <v>-</v>
          </cell>
        </row>
        <row r="179">
          <cell r="A179" t="str">
            <v>美珠</v>
          </cell>
          <cell r="B179" t="str">
            <v>Y7053-DB+Y7057+Y7061</v>
          </cell>
          <cell r="C179" t="str">
            <v>CA中性手机壳iPhone  14 plus 6.7 深蓝蓝</v>
          </cell>
          <cell r="D179">
            <v>45086</v>
          </cell>
          <cell r="E179" t="str">
            <v>B0BBG19C9R</v>
          </cell>
          <cell r="F179">
            <v>23</v>
          </cell>
          <cell r="G179">
            <v>0</v>
          </cell>
          <cell r="H179">
            <v>0</v>
          </cell>
          <cell r="I179">
            <v>0</v>
          </cell>
          <cell r="J179">
            <v>0</v>
          </cell>
          <cell r="K179">
            <v>23</v>
          </cell>
          <cell r="L179">
            <v>13.9</v>
          </cell>
          <cell r="M179">
            <v>319.7</v>
          </cell>
          <cell r="N179">
            <v>0</v>
          </cell>
          <cell r="O179">
            <v>0</v>
          </cell>
          <cell r="P179">
            <v>0</v>
          </cell>
          <cell r="Q179">
            <v>0</v>
          </cell>
          <cell r="R179">
            <v>0</v>
          </cell>
          <cell r="S179" t="str">
            <v>-</v>
          </cell>
          <cell r="T179" t="str">
            <v>-</v>
          </cell>
          <cell r="U179">
            <v>23</v>
          </cell>
          <cell r="V179" t="str">
            <v>-</v>
          </cell>
          <cell r="W179" t="str">
            <v>有库存无销量</v>
          </cell>
          <cell r="X179" t="str">
            <v>有库存无销量</v>
          </cell>
          <cell r="Y179">
            <v>0</v>
          </cell>
          <cell r="Z179">
            <v>0</v>
          </cell>
          <cell r="AA179">
            <v>0</v>
          </cell>
          <cell r="AB179" t="str">
            <v>-</v>
          </cell>
        </row>
        <row r="180">
          <cell r="A180" t="str">
            <v>美珠</v>
          </cell>
          <cell r="B180" t="str">
            <v>Y7053-OR+Y7057+Y7061</v>
          </cell>
          <cell r="C180" t="str">
            <v>CA中性手机壳iPhone  14 plus 6.7 橙色</v>
          </cell>
          <cell r="D180">
            <v>45086</v>
          </cell>
          <cell r="E180" t="str">
            <v>B0BBG2NL26</v>
          </cell>
          <cell r="F180">
            <v>18</v>
          </cell>
          <cell r="G180">
            <v>0</v>
          </cell>
          <cell r="H180">
            <v>0</v>
          </cell>
          <cell r="I180">
            <v>0</v>
          </cell>
          <cell r="J180">
            <v>0</v>
          </cell>
          <cell r="K180">
            <v>18</v>
          </cell>
          <cell r="L180">
            <v>13.9</v>
          </cell>
          <cell r="M180">
            <v>250.2</v>
          </cell>
          <cell r="N180">
            <v>1</v>
          </cell>
          <cell r="O180">
            <v>1</v>
          </cell>
          <cell r="P180">
            <v>5</v>
          </cell>
          <cell r="Q180">
            <v>3</v>
          </cell>
          <cell r="R180">
            <v>-2</v>
          </cell>
          <cell r="S180">
            <v>143.544303797468</v>
          </cell>
          <cell r="T180">
            <v>4.78481012658228</v>
          </cell>
          <cell r="U180">
            <v>2.74509803921569</v>
          </cell>
          <cell r="V180">
            <v>2.03971208736659</v>
          </cell>
          <cell r="W180" t="str">
            <v>库存过高</v>
          </cell>
          <cell r="X180" t="str">
            <v>库存过高</v>
          </cell>
          <cell r="Y180">
            <v>1.48</v>
          </cell>
          <cell r="Z180">
            <v>3.22</v>
          </cell>
          <cell r="AA180">
            <v>9.22</v>
          </cell>
          <cell r="AB180" t="str">
            <v>-</v>
          </cell>
        </row>
        <row r="181">
          <cell r="A181" t="str">
            <v>欣彤</v>
          </cell>
          <cell r="B181" t="str">
            <v>Y7063-BL+Y7064+Y7065</v>
          </cell>
          <cell r="C181" t="str">
            <v>中性壳Moto G Stylus 5G 2023</v>
          </cell>
          <cell r="D181">
            <v>45102</v>
          </cell>
          <cell r="E181" t="str">
            <v>B0C7ZM4H8Z</v>
          </cell>
          <cell r="F181">
            <v>52</v>
          </cell>
          <cell r="G181">
            <v>2</v>
          </cell>
          <cell r="H181">
            <v>30</v>
          </cell>
          <cell r="I181">
            <v>0</v>
          </cell>
          <cell r="J181">
            <v>0</v>
          </cell>
          <cell r="K181">
            <v>84</v>
          </cell>
          <cell r="L181">
            <v>13.9</v>
          </cell>
          <cell r="M181">
            <v>1167.6</v>
          </cell>
          <cell r="N181">
            <v>8</v>
          </cell>
          <cell r="O181">
            <v>18</v>
          </cell>
          <cell r="P181">
            <v>29</v>
          </cell>
          <cell r="Q181">
            <v>3</v>
          </cell>
          <cell r="R181">
            <v>5</v>
          </cell>
          <cell r="S181">
            <v>76.1438848920863</v>
          </cell>
          <cell r="T181">
            <v>2.53812949640288</v>
          </cell>
          <cell r="U181">
            <v>3.68591224018476</v>
          </cell>
          <cell r="V181">
            <v>-1.14778274378188</v>
          </cell>
          <cell r="W181" t="str">
            <v>库存过高</v>
          </cell>
          <cell r="X181" t="str">
            <v>库存过高</v>
          </cell>
          <cell r="Y181">
            <v>25.23</v>
          </cell>
          <cell r="Z181">
            <v>45.99</v>
          </cell>
          <cell r="AA181">
            <v>86.75</v>
          </cell>
          <cell r="AB181">
            <v>0.333686020367676</v>
          </cell>
        </row>
        <row r="182">
          <cell r="A182" t="str">
            <v>欣彤</v>
          </cell>
          <cell r="B182" t="str">
            <v>Y7063-BU+Y7064+Y7065</v>
          </cell>
          <cell r="C182" t="str">
            <v>中性壳Moto G Stylus 5G 2023</v>
          </cell>
          <cell r="D182">
            <v>45102</v>
          </cell>
          <cell r="E182" t="str">
            <v>B0C7ZL429N</v>
          </cell>
          <cell r="F182">
            <v>63</v>
          </cell>
          <cell r="G182">
            <v>1</v>
          </cell>
          <cell r="H182">
            <v>1</v>
          </cell>
          <cell r="I182">
            <v>0</v>
          </cell>
          <cell r="J182">
            <v>0</v>
          </cell>
          <cell r="K182">
            <v>65</v>
          </cell>
          <cell r="L182">
            <v>13.9</v>
          </cell>
          <cell r="M182">
            <v>903.5</v>
          </cell>
          <cell r="N182">
            <v>2</v>
          </cell>
          <cell r="O182">
            <v>2</v>
          </cell>
          <cell r="P182">
            <v>7</v>
          </cell>
          <cell r="Q182">
            <v>0</v>
          </cell>
          <cell r="R182">
            <v>2</v>
          </cell>
          <cell r="S182">
            <v>298.905109489051</v>
          </cell>
          <cell r="T182">
            <v>9.96350364963504</v>
          </cell>
          <cell r="U182">
            <v>24.3333333333333</v>
          </cell>
          <cell r="V182">
            <v>-14.3698296836983</v>
          </cell>
          <cell r="W182" t="str">
            <v>库存过高</v>
          </cell>
          <cell r="X182" t="str">
            <v>库存过高</v>
          </cell>
          <cell r="Y182">
            <v>0</v>
          </cell>
          <cell r="Z182">
            <v>0</v>
          </cell>
          <cell r="AA182">
            <v>0</v>
          </cell>
          <cell r="AB182" t="str">
            <v>-</v>
          </cell>
        </row>
        <row r="183">
          <cell r="A183" t="str">
            <v>欣彤</v>
          </cell>
          <cell r="B183" t="str">
            <v>Y7063-DB+Y7064+Y7065</v>
          </cell>
          <cell r="C183" t="str">
            <v>中性壳Moto G Stylus 5G 2023</v>
          </cell>
          <cell r="D183">
            <v>45102</v>
          </cell>
          <cell r="E183" t="str">
            <v>B0C7ZJ1DD7</v>
          </cell>
          <cell r="F183">
            <v>20</v>
          </cell>
          <cell r="G183">
            <v>1</v>
          </cell>
          <cell r="H183">
            <v>8</v>
          </cell>
          <cell r="I183">
            <v>0</v>
          </cell>
          <cell r="J183">
            <v>0</v>
          </cell>
          <cell r="K183">
            <v>29</v>
          </cell>
          <cell r="L183">
            <v>13.9</v>
          </cell>
          <cell r="M183">
            <v>403.1</v>
          </cell>
          <cell r="N183">
            <v>1</v>
          </cell>
          <cell r="O183">
            <v>3</v>
          </cell>
          <cell r="P183">
            <v>7</v>
          </cell>
          <cell r="Q183">
            <v>2</v>
          </cell>
          <cell r="R183">
            <v>-1</v>
          </cell>
          <cell r="S183">
            <v>150.99173553719</v>
          </cell>
          <cell r="T183">
            <v>5.03305785123967</v>
          </cell>
          <cell r="U183">
            <v>2.14468085106383</v>
          </cell>
          <cell r="V183">
            <v>2.88837700017584</v>
          </cell>
          <cell r="W183" t="str">
            <v>库存过高</v>
          </cell>
          <cell r="X183" t="str">
            <v>库存过高</v>
          </cell>
          <cell r="Y183">
            <v>0</v>
          </cell>
          <cell r="Z183">
            <v>0</v>
          </cell>
          <cell r="AA183">
            <v>0</v>
          </cell>
          <cell r="AB183" t="str">
            <v>-</v>
          </cell>
        </row>
        <row r="184">
          <cell r="A184" t="str">
            <v>欣彤</v>
          </cell>
          <cell r="B184" t="str">
            <v>Y7063-OR+Y7064+Y7065</v>
          </cell>
          <cell r="C184" t="str">
            <v>中性壳Moto G Stylus 5G 2023</v>
          </cell>
          <cell r="D184">
            <v>45102</v>
          </cell>
          <cell r="E184" t="str">
            <v>B0C7ZL4Z59</v>
          </cell>
          <cell r="F184">
            <v>51</v>
          </cell>
          <cell r="G184">
            <v>2</v>
          </cell>
          <cell r="H184">
            <v>0</v>
          </cell>
          <cell r="I184">
            <v>0</v>
          </cell>
          <cell r="J184">
            <v>0</v>
          </cell>
          <cell r="K184">
            <v>53</v>
          </cell>
          <cell r="L184">
            <v>13.9</v>
          </cell>
          <cell r="M184">
            <v>736.7</v>
          </cell>
          <cell r="N184">
            <v>5</v>
          </cell>
          <cell r="O184">
            <v>14</v>
          </cell>
          <cell r="P184">
            <v>22</v>
          </cell>
          <cell r="Q184">
            <v>4</v>
          </cell>
          <cell r="R184">
            <v>1</v>
          </cell>
          <cell r="S184">
            <v>66.78</v>
          </cell>
          <cell r="T184">
            <v>2.226</v>
          </cell>
          <cell r="U184">
            <v>5.3312693498452</v>
          </cell>
          <cell r="V184">
            <v>-3.1052693498452</v>
          </cell>
          <cell r="W184" t="str">
            <v>库存过高</v>
          </cell>
          <cell r="X184" t="str">
            <v>库存过高</v>
          </cell>
          <cell r="Y184">
            <v>0</v>
          </cell>
          <cell r="Z184">
            <v>0</v>
          </cell>
          <cell r="AA184">
            <v>0</v>
          </cell>
          <cell r="AB184" t="str">
            <v>-</v>
          </cell>
        </row>
        <row r="185">
          <cell r="A185" t="str">
            <v>欣彤</v>
          </cell>
          <cell r="B185" t="str">
            <v>Y7066-BL+Y7067+Y7068</v>
          </cell>
          <cell r="C185" t="str">
            <v>中性壳iPhone 15 黑色</v>
          </cell>
          <cell r="D185">
            <v>45170</v>
          </cell>
          <cell r="E185" t="str">
            <v>B0CDGWKNYJ</v>
          </cell>
          <cell r="F185">
            <v>24</v>
          </cell>
          <cell r="G185">
            <v>0</v>
          </cell>
          <cell r="H185">
            <v>0</v>
          </cell>
          <cell r="I185">
            <v>0</v>
          </cell>
          <cell r="J185">
            <v>0</v>
          </cell>
          <cell r="K185">
            <v>24</v>
          </cell>
          <cell r="L185">
            <v>13.9</v>
          </cell>
          <cell r="M185">
            <v>333.6</v>
          </cell>
          <cell r="N185">
            <v>0</v>
          </cell>
          <cell r="O185">
            <v>0</v>
          </cell>
          <cell r="P185">
            <v>0</v>
          </cell>
          <cell r="Q185">
            <v>0</v>
          </cell>
          <cell r="R185">
            <v>0</v>
          </cell>
          <cell r="S185" t="str">
            <v>-</v>
          </cell>
          <cell r="T185" t="str">
            <v>-</v>
          </cell>
          <cell r="U185" t="str">
            <v>-</v>
          </cell>
          <cell r="V185" t="str">
            <v>-</v>
          </cell>
          <cell r="W185" t="str">
            <v>有库存无销量</v>
          </cell>
          <cell r="X185" t="str">
            <v>有库存无销量</v>
          </cell>
          <cell r="Y185">
            <v>3.94</v>
          </cell>
          <cell r="Z185">
            <v>3.94</v>
          </cell>
          <cell r="AA185">
            <v>3.94</v>
          </cell>
          <cell r="AB185" t="str">
            <v>-</v>
          </cell>
        </row>
        <row r="186">
          <cell r="A186" t="str">
            <v>欣彤</v>
          </cell>
          <cell r="B186" t="str">
            <v>Y7066-BU+Y7067+Y7068</v>
          </cell>
          <cell r="C186" t="str">
            <v>中性壳iPhone 15 黑+蓝</v>
          </cell>
          <cell r="D186">
            <v>45170</v>
          </cell>
          <cell r="E186" t="str">
            <v>B0CDH22FFC</v>
          </cell>
          <cell r="F186">
            <v>44</v>
          </cell>
          <cell r="G186">
            <v>0</v>
          </cell>
          <cell r="H186">
            <v>0</v>
          </cell>
          <cell r="I186">
            <v>0</v>
          </cell>
          <cell r="J186">
            <v>0</v>
          </cell>
          <cell r="K186">
            <v>44</v>
          </cell>
          <cell r="L186">
            <v>13.9</v>
          </cell>
          <cell r="M186">
            <v>611.6</v>
          </cell>
          <cell r="N186">
            <v>1</v>
          </cell>
          <cell r="O186">
            <v>1</v>
          </cell>
          <cell r="P186">
            <v>6</v>
          </cell>
          <cell r="Q186">
            <v>1</v>
          </cell>
          <cell r="R186">
            <v>0</v>
          </cell>
          <cell r="S186">
            <v>322.325581395349</v>
          </cell>
          <cell r="T186">
            <v>10.7441860465116</v>
          </cell>
          <cell r="U186">
            <v>20.5882352941176</v>
          </cell>
          <cell r="V186">
            <v>-9.84404924760597</v>
          </cell>
          <cell r="W186" t="str">
            <v>库存过高</v>
          </cell>
          <cell r="X186" t="str">
            <v>库存过高</v>
          </cell>
          <cell r="Y186">
            <v>0</v>
          </cell>
          <cell r="Z186">
            <v>0</v>
          </cell>
          <cell r="AA186">
            <v>0</v>
          </cell>
          <cell r="AB186" t="str">
            <v>-</v>
          </cell>
        </row>
        <row r="187">
          <cell r="A187" t="str">
            <v>欣彤</v>
          </cell>
          <cell r="B187" t="str">
            <v>Y7066-DB+Y7067+Y7068</v>
          </cell>
          <cell r="C187" t="str">
            <v>中性壳iPhone 15 深蓝+蓝</v>
          </cell>
          <cell r="D187">
            <v>45170</v>
          </cell>
          <cell r="E187" t="str">
            <v>B0CDGZ929Z</v>
          </cell>
          <cell r="F187">
            <v>48</v>
          </cell>
          <cell r="G187">
            <v>0</v>
          </cell>
          <cell r="H187">
            <v>0</v>
          </cell>
          <cell r="I187">
            <v>0</v>
          </cell>
          <cell r="J187">
            <v>0</v>
          </cell>
          <cell r="K187">
            <v>48</v>
          </cell>
          <cell r="L187">
            <v>13.9</v>
          </cell>
          <cell r="M187">
            <v>667.2</v>
          </cell>
          <cell r="N187">
            <v>1</v>
          </cell>
          <cell r="O187">
            <v>1</v>
          </cell>
          <cell r="P187">
            <v>1</v>
          </cell>
          <cell r="Q187">
            <v>0</v>
          </cell>
          <cell r="R187">
            <v>1</v>
          </cell>
          <cell r="S187">
            <v>592.941176470588</v>
          </cell>
          <cell r="T187">
            <v>19.7647058823529</v>
          </cell>
          <cell r="U187" t="str">
            <v>-</v>
          </cell>
          <cell r="V187" t="str">
            <v>-</v>
          </cell>
          <cell r="W187" t="str">
            <v>库存过高</v>
          </cell>
          <cell r="X187" t="str">
            <v>库存过高</v>
          </cell>
          <cell r="Y187">
            <v>0</v>
          </cell>
          <cell r="Z187">
            <v>0</v>
          </cell>
          <cell r="AA187">
            <v>0</v>
          </cell>
          <cell r="AB187" t="str">
            <v>-</v>
          </cell>
        </row>
        <row r="188">
          <cell r="A188" t="str">
            <v>欣彤</v>
          </cell>
          <cell r="B188" t="str">
            <v>Y7066-GE+Y7067+Y7068</v>
          </cell>
          <cell r="C188" t="str">
            <v>中性壳iPhone 15 浅绿+黄</v>
          </cell>
          <cell r="D188">
            <v>45170</v>
          </cell>
          <cell r="E188" t="str">
            <v>B0CDGYKC4Q</v>
          </cell>
          <cell r="F188">
            <v>29</v>
          </cell>
          <cell r="G188">
            <v>0</v>
          </cell>
          <cell r="H188">
            <v>0</v>
          </cell>
          <cell r="I188">
            <v>0</v>
          </cell>
          <cell r="J188">
            <v>0</v>
          </cell>
          <cell r="K188">
            <v>29</v>
          </cell>
          <cell r="L188">
            <v>13.9</v>
          </cell>
          <cell r="M188">
            <v>403.1</v>
          </cell>
          <cell r="N188">
            <v>0</v>
          </cell>
          <cell r="O188">
            <v>1</v>
          </cell>
          <cell r="P188">
            <v>1</v>
          </cell>
          <cell r="Q188">
            <v>0</v>
          </cell>
          <cell r="R188">
            <v>0</v>
          </cell>
          <cell r="S188">
            <v>870</v>
          </cell>
          <cell r="T188">
            <v>29</v>
          </cell>
          <cell r="U188" t="str">
            <v>-</v>
          </cell>
          <cell r="V188" t="str">
            <v>-</v>
          </cell>
          <cell r="W188" t="str">
            <v>有库存无销量</v>
          </cell>
          <cell r="X188" t="str">
            <v>库存过高</v>
          </cell>
          <cell r="Y188">
            <v>0</v>
          </cell>
          <cell r="Z188">
            <v>0</v>
          </cell>
          <cell r="AA188">
            <v>0</v>
          </cell>
          <cell r="AB188" t="str">
            <v>-</v>
          </cell>
        </row>
        <row r="189">
          <cell r="A189" t="str">
            <v>欣彤</v>
          </cell>
          <cell r="B189" t="str">
            <v>Y7066-OR+Y7067+Y7068</v>
          </cell>
          <cell r="C189" t="str">
            <v>中性壳iPhone 15 黑+橙</v>
          </cell>
          <cell r="D189">
            <v>45170</v>
          </cell>
          <cell r="E189" t="str">
            <v>B0CDGY3PH4</v>
          </cell>
          <cell r="F189">
            <v>38</v>
          </cell>
          <cell r="G189">
            <v>0</v>
          </cell>
          <cell r="H189">
            <v>0</v>
          </cell>
          <cell r="I189">
            <v>1</v>
          </cell>
          <cell r="J189">
            <v>0</v>
          </cell>
          <cell r="K189">
            <v>39</v>
          </cell>
          <cell r="L189">
            <v>13.9</v>
          </cell>
          <cell r="M189">
            <v>542.1</v>
          </cell>
          <cell r="N189">
            <v>1</v>
          </cell>
          <cell r="O189">
            <v>1</v>
          </cell>
          <cell r="P189">
            <v>1</v>
          </cell>
          <cell r="Q189">
            <v>0</v>
          </cell>
          <cell r="R189">
            <v>1</v>
          </cell>
          <cell r="S189">
            <v>481.764705882353</v>
          </cell>
          <cell r="T189">
            <v>16.0588235294118</v>
          </cell>
          <cell r="U189" t="str">
            <v>-</v>
          </cell>
          <cell r="V189" t="str">
            <v>-</v>
          </cell>
          <cell r="W189" t="str">
            <v>库存过高</v>
          </cell>
          <cell r="X189" t="str">
            <v>库存过高</v>
          </cell>
          <cell r="Y189">
            <v>9.2</v>
          </cell>
          <cell r="Z189">
            <v>9.2</v>
          </cell>
          <cell r="AA189">
            <v>9.2</v>
          </cell>
          <cell r="AB189">
            <v>0.460230115057529</v>
          </cell>
        </row>
        <row r="190">
          <cell r="A190" t="str">
            <v>欣彤</v>
          </cell>
          <cell r="B190" t="str">
            <v>Y7069-BL+Y7070+Y7071</v>
          </cell>
          <cell r="C190" t="str">
            <v>中性壳iPhone 15 pro 黑色</v>
          </cell>
          <cell r="D190">
            <v>45170</v>
          </cell>
          <cell r="E190" t="str">
            <v>B0CDGZVZRS</v>
          </cell>
          <cell r="F190">
            <v>59</v>
          </cell>
          <cell r="G190">
            <v>1</v>
          </cell>
          <cell r="H190">
            <v>48</v>
          </cell>
          <cell r="I190">
            <v>0</v>
          </cell>
          <cell r="J190">
            <v>0</v>
          </cell>
          <cell r="K190">
            <v>108</v>
          </cell>
          <cell r="L190">
            <v>13.9</v>
          </cell>
          <cell r="M190">
            <v>1501.2</v>
          </cell>
          <cell r="N190">
            <v>15</v>
          </cell>
          <cell r="O190">
            <v>38</v>
          </cell>
          <cell r="P190">
            <v>103</v>
          </cell>
          <cell r="Q190">
            <v>21</v>
          </cell>
          <cell r="R190">
            <v>-6</v>
          </cell>
          <cell r="S190">
            <v>39.9530240751615</v>
          </cell>
          <cell r="T190">
            <v>1.33176746917205</v>
          </cell>
          <cell r="U190">
            <v>3.11764705882353</v>
          </cell>
          <cell r="V190">
            <v>-1.78587958965148</v>
          </cell>
          <cell r="W190" t="str">
            <v>库存过高</v>
          </cell>
          <cell r="X190" t="str">
            <v>正常</v>
          </cell>
          <cell r="Y190">
            <v>28.32</v>
          </cell>
          <cell r="Z190">
            <v>48.86</v>
          </cell>
          <cell r="AA190">
            <v>135.62</v>
          </cell>
          <cell r="AB190">
            <v>1.09006928406467</v>
          </cell>
        </row>
        <row r="191">
          <cell r="A191" t="str">
            <v>欣彤</v>
          </cell>
          <cell r="B191" t="str">
            <v>Y7069-BU+Y7070+Y7071</v>
          </cell>
          <cell r="C191" t="str">
            <v>中性壳iPhone 15 pro  黑+蓝</v>
          </cell>
          <cell r="D191">
            <v>45170</v>
          </cell>
          <cell r="E191" t="str">
            <v>B0CDGZVRJ8</v>
          </cell>
          <cell r="F191">
            <v>14</v>
          </cell>
          <cell r="G191">
            <v>0</v>
          </cell>
          <cell r="H191">
            <v>1</v>
          </cell>
          <cell r="I191">
            <v>0</v>
          </cell>
          <cell r="J191">
            <v>0</v>
          </cell>
          <cell r="K191">
            <v>15</v>
          </cell>
          <cell r="L191">
            <v>13.9</v>
          </cell>
          <cell r="M191">
            <v>208.5</v>
          </cell>
          <cell r="N191">
            <v>13</v>
          </cell>
          <cell r="O191">
            <v>25</v>
          </cell>
          <cell r="P191">
            <v>39</v>
          </cell>
          <cell r="Q191">
            <v>8</v>
          </cell>
          <cell r="R191">
            <v>5</v>
          </cell>
          <cell r="S191">
            <v>9.32872655478776</v>
          </cell>
          <cell r="T191">
            <v>0.310957551826259</v>
          </cell>
          <cell r="U191">
            <v>2.16176470588235</v>
          </cell>
          <cell r="V191">
            <v>-1.85080715405609</v>
          </cell>
          <cell r="W191" t="str">
            <v>库存过低</v>
          </cell>
          <cell r="X191" t="str">
            <v>库存过低</v>
          </cell>
          <cell r="Y191">
            <v>1.26</v>
          </cell>
          <cell r="Z191">
            <v>1.26</v>
          </cell>
          <cell r="AA191">
            <v>43.78</v>
          </cell>
          <cell r="AB191">
            <v>0.114649681528662</v>
          </cell>
        </row>
        <row r="192">
          <cell r="A192" t="str">
            <v>欣彤</v>
          </cell>
          <cell r="B192" t="str">
            <v>Y7069-DB+Y7070+Y7071</v>
          </cell>
          <cell r="C192" t="str">
            <v>中性壳iPhone 15 pro 深蓝+蓝</v>
          </cell>
          <cell r="D192">
            <v>45170</v>
          </cell>
          <cell r="E192" t="str">
            <v>B0CDH2HY46</v>
          </cell>
          <cell r="F192">
            <v>31</v>
          </cell>
          <cell r="G192">
            <v>0</v>
          </cell>
          <cell r="H192">
            <v>0</v>
          </cell>
          <cell r="I192">
            <v>0</v>
          </cell>
          <cell r="J192">
            <v>0</v>
          </cell>
          <cell r="K192">
            <v>31</v>
          </cell>
          <cell r="L192">
            <v>13.9</v>
          </cell>
          <cell r="M192">
            <v>430.9</v>
          </cell>
          <cell r="N192">
            <v>3</v>
          </cell>
          <cell r="O192">
            <v>8</v>
          </cell>
          <cell r="P192">
            <v>19</v>
          </cell>
          <cell r="Q192">
            <v>6</v>
          </cell>
          <cell r="R192">
            <v>-3</v>
          </cell>
          <cell r="S192">
            <v>58.2985074626866</v>
          </cell>
          <cell r="T192">
            <v>1.94328358208955</v>
          </cell>
          <cell r="U192">
            <v>3.08823529411765</v>
          </cell>
          <cell r="V192">
            <v>-1.1449517120281</v>
          </cell>
          <cell r="W192" t="str">
            <v>库存过高</v>
          </cell>
          <cell r="X192" t="str">
            <v>库存过高</v>
          </cell>
          <cell r="Y192">
            <v>0</v>
          </cell>
          <cell r="Z192">
            <v>0</v>
          </cell>
          <cell r="AA192">
            <v>0</v>
          </cell>
          <cell r="AB192" t="str">
            <v>-</v>
          </cell>
        </row>
        <row r="193">
          <cell r="A193" t="str">
            <v>欣彤</v>
          </cell>
          <cell r="B193" t="str">
            <v>Y7069-GE+Y7070+Y7071</v>
          </cell>
          <cell r="C193" t="str">
            <v>中性壳iPhone 15 pro 浅绿+黄</v>
          </cell>
          <cell r="D193">
            <v>45170</v>
          </cell>
          <cell r="E193" t="str">
            <v>B0CDGYNNPZ</v>
          </cell>
          <cell r="F193">
            <v>25</v>
          </cell>
          <cell r="G193">
            <v>0</v>
          </cell>
          <cell r="H193">
            <v>0</v>
          </cell>
          <cell r="I193">
            <v>0</v>
          </cell>
          <cell r="J193">
            <v>0</v>
          </cell>
          <cell r="K193">
            <v>25</v>
          </cell>
          <cell r="L193">
            <v>13.9</v>
          </cell>
          <cell r="M193">
            <v>347.5</v>
          </cell>
          <cell r="N193">
            <v>2</v>
          </cell>
          <cell r="O193">
            <v>5</v>
          </cell>
          <cell r="P193">
            <v>6</v>
          </cell>
          <cell r="Q193">
            <v>1</v>
          </cell>
          <cell r="R193">
            <v>1</v>
          </cell>
          <cell r="S193">
            <v>91.5697674418605</v>
          </cell>
          <cell r="T193">
            <v>3.05232558139535</v>
          </cell>
          <cell r="U193">
            <v>12.3529411764706</v>
          </cell>
          <cell r="V193">
            <v>-9.30061559507525</v>
          </cell>
          <cell r="W193" t="str">
            <v>库存过高</v>
          </cell>
          <cell r="X193" t="str">
            <v>库存过高</v>
          </cell>
          <cell r="Y193">
            <v>0</v>
          </cell>
          <cell r="Z193">
            <v>0</v>
          </cell>
          <cell r="AA193">
            <v>0</v>
          </cell>
          <cell r="AB193" t="str">
            <v>-</v>
          </cell>
        </row>
        <row r="194">
          <cell r="A194" t="str">
            <v>欣彤</v>
          </cell>
          <cell r="B194" t="str">
            <v>Y7069-OR+Y7070+Y7071</v>
          </cell>
          <cell r="C194" t="str">
            <v>中性壳iPhone 15 pro 黑+橙</v>
          </cell>
          <cell r="D194">
            <v>45170</v>
          </cell>
          <cell r="E194" t="str">
            <v>B0CDGZ2GNB</v>
          </cell>
          <cell r="F194">
            <v>0</v>
          </cell>
          <cell r="G194">
            <v>0</v>
          </cell>
          <cell r="H194">
            <v>2</v>
          </cell>
          <cell r="I194">
            <v>1</v>
          </cell>
          <cell r="J194">
            <v>0</v>
          </cell>
          <cell r="K194">
            <v>3</v>
          </cell>
          <cell r="L194">
            <v>13.9</v>
          </cell>
          <cell r="M194">
            <v>41.7</v>
          </cell>
          <cell r="N194">
            <v>10</v>
          </cell>
          <cell r="O194">
            <v>25</v>
          </cell>
          <cell r="P194">
            <v>41</v>
          </cell>
          <cell r="Q194">
            <v>2</v>
          </cell>
          <cell r="R194">
            <v>8</v>
          </cell>
          <cell r="S194">
            <v>2.017075773746</v>
          </cell>
          <cell r="T194">
            <v>0.0672358591248666</v>
          </cell>
          <cell r="U194">
            <v>6.48780487804878</v>
          </cell>
          <cell r="V194">
            <v>-6.42056901892391</v>
          </cell>
          <cell r="W194" t="str">
            <v>库存过低</v>
          </cell>
          <cell r="X194" t="str">
            <v>库存过低</v>
          </cell>
          <cell r="Y194">
            <v>0</v>
          </cell>
          <cell r="Z194">
            <v>0</v>
          </cell>
          <cell r="AA194">
            <v>38.77</v>
          </cell>
          <cell r="AB194" t="str">
            <v>-</v>
          </cell>
        </row>
        <row r="195">
          <cell r="A195" t="str">
            <v>欣彤</v>
          </cell>
          <cell r="B195" t="str">
            <v>Y7072-BL+Y7073+Y7074</v>
          </cell>
          <cell r="C195" t="str">
            <v>中性壳iPhone 15 plus 黑色</v>
          </cell>
          <cell r="D195">
            <v>45170</v>
          </cell>
          <cell r="E195" t="str">
            <v>B0CDK1Y499</v>
          </cell>
          <cell r="F195">
            <v>0</v>
          </cell>
          <cell r="G195">
            <v>2</v>
          </cell>
          <cell r="H195">
            <v>46</v>
          </cell>
          <cell r="I195">
            <v>0</v>
          </cell>
          <cell r="J195">
            <v>0</v>
          </cell>
          <cell r="K195">
            <v>48</v>
          </cell>
          <cell r="L195">
            <v>13.9</v>
          </cell>
          <cell r="M195">
            <v>667.2</v>
          </cell>
          <cell r="N195">
            <v>5</v>
          </cell>
          <cell r="O195">
            <v>20</v>
          </cell>
          <cell r="P195">
            <v>86</v>
          </cell>
          <cell r="Q195">
            <v>7</v>
          </cell>
          <cell r="R195">
            <v>-2</v>
          </cell>
          <cell r="S195">
            <v>29.3023255813953</v>
          </cell>
          <cell r="T195">
            <v>0.976744186046511</v>
          </cell>
          <cell r="U195">
            <v>4.41176470588235</v>
          </cell>
          <cell r="V195">
            <v>-3.43502051983584</v>
          </cell>
          <cell r="W195" t="str">
            <v>库存过高</v>
          </cell>
          <cell r="X195" t="str">
            <v>正常</v>
          </cell>
          <cell r="Y195">
            <v>0</v>
          </cell>
          <cell r="Z195">
            <v>0</v>
          </cell>
          <cell r="AA195">
            <v>32.3</v>
          </cell>
          <cell r="AB195" t="str">
            <v>-</v>
          </cell>
        </row>
        <row r="196">
          <cell r="A196" t="str">
            <v>欣彤</v>
          </cell>
          <cell r="B196" t="str">
            <v>Y7072-BU+Y7073+Y7074</v>
          </cell>
          <cell r="C196" t="str">
            <v>中性壳iPhone 15 plus  黑+蓝</v>
          </cell>
          <cell r="D196">
            <v>45170</v>
          </cell>
          <cell r="E196" t="str">
            <v>B0CDK2DZNM</v>
          </cell>
          <cell r="F196">
            <v>0</v>
          </cell>
          <cell r="G196">
            <v>1</v>
          </cell>
          <cell r="H196">
            <v>0</v>
          </cell>
          <cell r="I196">
            <v>0</v>
          </cell>
          <cell r="J196">
            <v>0</v>
          </cell>
          <cell r="K196">
            <v>1</v>
          </cell>
          <cell r="L196">
            <v>13.9</v>
          </cell>
          <cell r="M196">
            <v>13.9</v>
          </cell>
          <cell r="N196">
            <v>6</v>
          </cell>
          <cell r="O196">
            <v>26</v>
          </cell>
          <cell r="P196">
            <v>52</v>
          </cell>
          <cell r="Q196">
            <v>3</v>
          </cell>
          <cell r="R196">
            <v>3</v>
          </cell>
          <cell r="S196">
            <v>0.693832599118943</v>
          </cell>
          <cell r="T196">
            <v>0.0231277533039648</v>
          </cell>
          <cell r="U196">
            <v>6.31372549019608</v>
          </cell>
          <cell r="V196">
            <v>-6.29059773689212</v>
          </cell>
          <cell r="W196" t="str">
            <v>库存过低</v>
          </cell>
          <cell r="X196" t="str">
            <v>库存过低</v>
          </cell>
          <cell r="Y196">
            <v>8.88</v>
          </cell>
          <cell r="Z196">
            <v>20.38</v>
          </cell>
          <cell r="AA196">
            <v>65.61</v>
          </cell>
          <cell r="AB196">
            <v>0.341801385681293</v>
          </cell>
        </row>
        <row r="197">
          <cell r="A197" t="str">
            <v>欣彤</v>
          </cell>
          <cell r="B197" t="str">
            <v>Y7072-DB+Y7073+Y7074</v>
          </cell>
          <cell r="C197" t="str">
            <v>中性壳iPhone 15 plus 深蓝+蓝</v>
          </cell>
          <cell r="D197">
            <v>45170</v>
          </cell>
          <cell r="E197" t="str">
            <v>B0CDKMY8Z9</v>
          </cell>
          <cell r="F197">
            <v>23</v>
          </cell>
          <cell r="G197">
            <v>0</v>
          </cell>
          <cell r="H197">
            <v>2</v>
          </cell>
          <cell r="I197">
            <v>1</v>
          </cell>
          <cell r="J197">
            <v>0</v>
          </cell>
          <cell r="K197">
            <v>26</v>
          </cell>
          <cell r="L197">
            <v>13.9</v>
          </cell>
          <cell r="M197">
            <v>361.4</v>
          </cell>
          <cell r="N197">
            <v>8</v>
          </cell>
          <cell r="O197">
            <v>18</v>
          </cell>
          <cell r="P197">
            <v>28</v>
          </cell>
          <cell r="Q197">
            <v>4</v>
          </cell>
          <cell r="R197">
            <v>4</v>
          </cell>
          <cell r="S197">
            <v>23.8081395348837</v>
          </cell>
          <cell r="T197">
            <v>0.793604651162791</v>
          </cell>
          <cell r="U197">
            <v>4.94117647058824</v>
          </cell>
          <cell r="V197">
            <v>-4.14757181942545</v>
          </cell>
          <cell r="W197" t="str">
            <v>正常</v>
          </cell>
          <cell r="X197" t="str">
            <v>正常</v>
          </cell>
          <cell r="Y197">
            <v>5.05</v>
          </cell>
          <cell r="Z197">
            <v>5.05</v>
          </cell>
          <cell r="AA197">
            <v>5.05</v>
          </cell>
          <cell r="AB197">
            <v>0.22975432211101</v>
          </cell>
        </row>
        <row r="198">
          <cell r="A198" t="str">
            <v>欣彤</v>
          </cell>
          <cell r="B198" t="str">
            <v>Y7072-GE+Y7073+Y7074</v>
          </cell>
          <cell r="C198" t="str">
            <v>中性壳iPhone 15 plus 浅绿+黄</v>
          </cell>
          <cell r="D198">
            <v>45170</v>
          </cell>
          <cell r="E198" t="str">
            <v>B0CDKMYQLQ</v>
          </cell>
          <cell r="F198">
            <v>14</v>
          </cell>
          <cell r="G198">
            <v>0</v>
          </cell>
          <cell r="H198">
            <v>18</v>
          </cell>
          <cell r="I198">
            <v>12</v>
          </cell>
          <cell r="J198">
            <v>0</v>
          </cell>
          <cell r="K198">
            <v>44</v>
          </cell>
          <cell r="L198">
            <v>13.9</v>
          </cell>
          <cell r="M198">
            <v>611.6</v>
          </cell>
          <cell r="N198">
            <v>4</v>
          </cell>
          <cell r="O198">
            <v>9</v>
          </cell>
          <cell r="P198">
            <v>17</v>
          </cell>
          <cell r="Q198">
            <v>0</v>
          </cell>
          <cell r="R198">
            <v>4</v>
          </cell>
          <cell r="S198">
            <v>75.9452054794521</v>
          </cell>
          <cell r="T198">
            <v>2.53150684931507</v>
          </cell>
          <cell r="U198" t="str">
            <v>-</v>
          </cell>
          <cell r="V198" t="str">
            <v>-</v>
          </cell>
          <cell r="W198" t="str">
            <v>库存过高</v>
          </cell>
          <cell r="X198" t="str">
            <v>库存过高</v>
          </cell>
          <cell r="Y198">
            <v>0</v>
          </cell>
          <cell r="Z198">
            <v>0</v>
          </cell>
          <cell r="AA198">
            <v>0</v>
          </cell>
          <cell r="AB198" t="str">
            <v>-</v>
          </cell>
        </row>
        <row r="199">
          <cell r="A199" t="str">
            <v>欣彤</v>
          </cell>
          <cell r="B199" t="str">
            <v>Y7072-OR+Y7073+Y7074</v>
          </cell>
          <cell r="C199" t="str">
            <v>中性壳iPhone 15 plus 黑+橙</v>
          </cell>
          <cell r="D199">
            <v>45170</v>
          </cell>
          <cell r="E199" t="str">
            <v>B0CDKFJ16G</v>
          </cell>
          <cell r="F199">
            <v>0</v>
          </cell>
          <cell r="G199">
            <v>1</v>
          </cell>
          <cell r="H199">
            <v>0</v>
          </cell>
          <cell r="I199">
            <v>0</v>
          </cell>
          <cell r="J199">
            <v>0</v>
          </cell>
          <cell r="K199">
            <v>1</v>
          </cell>
          <cell r="L199">
            <v>13.9</v>
          </cell>
          <cell r="M199">
            <v>13.9</v>
          </cell>
          <cell r="N199">
            <v>0</v>
          </cell>
          <cell r="O199">
            <v>18</v>
          </cell>
          <cell r="P199">
            <v>39</v>
          </cell>
          <cell r="Q199">
            <v>5</v>
          </cell>
          <cell r="R199">
            <v>-5</v>
          </cell>
          <cell r="S199">
            <v>1.2</v>
          </cell>
          <cell r="T199">
            <v>0.04</v>
          </cell>
          <cell r="U199">
            <v>3.04705882352941</v>
          </cell>
          <cell r="V199">
            <v>-3.00705882352941</v>
          </cell>
          <cell r="W199" t="str">
            <v>有库存无销量</v>
          </cell>
          <cell r="X199" t="str">
            <v>库存过低</v>
          </cell>
          <cell r="Y199">
            <v>0</v>
          </cell>
          <cell r="Z199">
            <v>50.32</v>
          </cell>
          <cell r="AA199">
            <v>220.38</v>
          </cell>
          <cell r="AB199" t="str">
            <v>-</v>
          </cell>
        </row>
        <row r="200">
          <cell r="A200" t="str">
            <v>欣彤</v>
          </cell>
          <cell r="B200" t="str">
            <v>Y7075-BL+Y7076+Y7077</v>
          </cell>
          <cell r="C200" t="str">
            <v>中性壳iPhone 15 pro max 黑色</v>
          </cell>
          <cell r="D200">
            <v>45170</v>
          </cell>
          <cell r="E200" t="str">
            <v>B0CDLDJ7N4</v>
          </cell>
          <cell r="F200">
            <v>72</v>
          </cell>
          <cell r="G200">
            <v>2</v>
          </cell>
          <cell r="H200">
            <v>225</v>
          </cell>
          <cell r="I200">
            <v>1</v>
          </cell>
          <cell r="J200">
            <v>0</v>
          </cell>
          <cell r="K200">
            <v>300</v>
          </cell>
          <cell r="L200">
            <v>13.9</v>
          </cell>
          <cell r="M200">
            <v>4170</v>
          </cell>
          <cell r="N200">
            <v>41</v>
          </cell>
          <cell r="O200">
            <v>80</v>
          </cell>
          <cell r="P200">
            <v>237</v>
          </cell>
          <cell r="Q200">
            <v>63</v>
          </cell>
          <cell r="R200">
            <v>-22</v>
          </cell>
          <cell r="S200">
            <v>47.1439261661262</v>
          </cell>
          <cell r="T200">
            <v>1.57146420553754</v>
          </cell>
          <cell r="U200">
            <v>0.987261146496815</v>
          </cell>
          <cell r="V200">
            <v>0.584203059040726</v>
          </cell>
          <cell r="W200" t="str">
            <v>库存过高</v>
          </cell>
          <cell r="X200" t="str">
            <v>库存过高</v>
          </cell>
          <cell r="Y200">
            <v>111.03</v>
          </cell>
          <cell r="Z200">
            <v>206.14</v>
          </cell>
          <cell r="AA200">
            <v>455.48</v>
          </cell>
          <cell r="AB200">
            <v>0.346157443491816</v>
          </cell>
        </row>
        <row r="201">
          <cell r="A201" t="str">
            <v>欣彤</v>
          </cell>
          <cell r="B201" t="str">
            <v>Y7075-BU+Y7076+Y7077</v>
          </cell>
          <cell r="C201" t="str">
            <v>中性壳iPhone 15 pro  max黑+蓝</v>
          </cell>
          <cell r="D201">
            <v>45170</v>
          </cell>
          <cell r="E201" t="str">
            <v>B0CDKTTFY5</v>
          </cell>
          <cell r="F201">
            <v>34</v>
          </cell>
          <cell r="G201">
            <v>0</v>
          </cell>
          <cell r="H201">
            <v>52</v>
          </cell>
          <cell r="I201">
            <v>4</v>
          </cell>
          <cell r="J201">
            <v>0</v>
          </cell>
          <cell r="K201">
            <v>90</v>
          </cell>
          <cell r="L201">
            <v>13.9</v>
          </cell>
          <cell r="M201">
            <v>1251</v>
          </cell>
          <cell r="N201">
            <v>16</v>
          </cell>
          <cell r="O201">
            <v>24</v>
          </cell>
          <cell r="P201">
            <v>69</v>
          </cell>
          <cell r="Q201">
            <v>27</v>
          </cell>
          <cell r="R201">
            <v>-11</v>
          </cell>
          <cell r="S201">
            <v>43.64896073903</v>
          </cell>
          <cell r="T201">
            <v>1.45496535796767</v>
          </cell>
          <cell r="U201">
            <v>0.539583333333333</v>
          </cell>
          <cell r="V201">
            <v>0.915382024634335</v>
          </cell>
          <cell r="W201" t="str">
            <v>正常</v>
          </cell>
          <cell r="X201" t="str">
            <v>正常</v>
          </cell>
          <cell r="Y201">
            <v>0</v>
          </cell>
          <cell r="Z201">
            <v>0</v>
          </cell>
          <cell r="AA201">
            <v>14.03</v>
          </cell>
          <cell r="AB201" t="str">
            <v>-</v>
          </cell>
        </row>
        <row r="202">
          <cell r="A202" t="str">
            <v>欣彤</v>
          </cell>
          <cell r="B202" t="str">
            <v>Y7075-DB+Y7076+Y7077</v>
          </cell>
          <cell r="C202" t="str">
            <v>中性壳iPhone 15 pro max 深蓝+蓝</v>
          </cell>
          <cell r="D202">
            <v>45170</v>
          </cell>
          <cell r="E202" t="str">
            <v>B0CDKYLFXB</v>
          </cell>
          <cell r="F202">
            <v>117</v>
          </cell>
          <cell r="G202">
            <v>0</v>
          </cell>
          <cell r="H202">
            <v>60</v>
          </cell>
          <cell r="I202">
            <v>25</v>
          </cell>
          <cell r="J202">
            <v>1</v>
          </cell>
          <cell r="K202">
            <v>203</v>
          </cell>
          <cell r="L202">
            <v>13.9</v>
          </cell>
          <cell r="M202">
            <v>2821.7</v>
          </cell>
          <cell r="N202">
            <v>9</v>
          </cell>
          <cell r="O202">
            <v>12</v>
          </cell>
          <cell r="P202">
            <v>72</v>
          </cell>
          <cell r="Q202">
            <v>52</v>
          </cell>
          <cell r="R202">
            <v>-43</v>
          </cell>
          <cell r="S202">
            <v>135.764331210191</v>
          </cell>
          <cell r="T202">
            <v>4.52547770700637</v>
          </cell>
          <cell r="U202">
            <v>0.565656565656566</v>
          </cell>
          <cell r="V202">
            <v>3.9598211413498</v>
          </cell>
          <cell r="W202" t="str">
            <v>库存过高</v>
          </cell>
          <cell r="X202" t="str">
            <v>库存过高</v>
          </cell>
          <cell r="Y202">
            <v>0</v>
          </cell>
          <cell r="Z202">
            <v>0</v>
          </cell>
          <cell r="AA202">
            <v>0</v>
          </cell>
          <cell r="AB202" t="str">
            <v>-</v>
          </cell>
        </row>
        <row r="203">
          <cell r="A203" t="str">
            <v>欣彤</v>
          </cell>
          <cell r="B203" t="str">
            <v>Y7075-GE+Y7076+Y7077</v>
          </cell>
          <cell r="C203" t="str">
            <v>中性壳iPhone 15 pro max 浅绿+黄</v>
          </cell>
          <cell r="D203">
            <v>45170</v>
          </cell>
          <cell r="E203" t="str">
            <v>B0CDL6H6L4</v>
          </cell>
          <cell r="F203">
            <v>2</v>
          </cell>
          <cell r="G203">
            <v>0</v>
          </cell>
          <cell r="H203">
            <v>30</v>
          </cell>
          <cell r="I203">
            <v>0</v>
          </cell>
          <cell r="J203">
            <v>0</v>
          </cell>
          <cell r="K203">
            <v>32</v>
          </cell>
          <cell r="L203">
            <v>13.9</v>
          </cell>
          <cell r="M203">
            <v>444.8</v>
          </cell>
          <cell r="N203">
            <v>1</v>
          </cell>
          <cell r="O203">
            <v>7</v>
          </cell>
          <cell r="P203">
            <v>27</v>
          </cell>
          <cell r="Q203">
            <v>13</v>
          </cell>
          <cell r="R203">
            <v>-12</v>
          </cell>
          <cell r="S203">
            <v>63.596214511041</v>
          </cell>
          <cell r="T203">
            <v>2.1198738170347</v>
          </cell>
          <cell r="U203">
            <v>0.570135746606335</v>
          </cell>
          <cell r="V203">
            <v>1.54973807042837</v>
          </cell>
          <cell r="W203" t="str">
            <v>库存过高</v>
          </cell>
          <cell r="X203" t="str">
            <v>库存过高</v>
          </cell>
          <cell r="Y203">
            <v>0</v>
          </cell>
          <cell r="Z203">
            <v>0</v>
          </cell>
          <cell r="AA203">
            <v>0</v>
          </cell>
          <cell r="AB203" t="str">
            <v>-</v>
          </cell>
        </row>
        <row r="204">
          <cell r="A204" t="str">
            <v>欣彤</v>
          </cell>
          <cell r="B204" t="str">
            <v>Y7075-OR+Y7076+Y7077</v>
          </cell>
          <cell r="C204" t="str">
            <v>中性壳iPhone 15 pro max黑+橙</v>
          </cell>
          <cell r="D204">
            <v>45170</v>
          </cell>
          <cell r="E204" t="str">
            <v>B0CDKYKTCP</v>
          </cell>
          <cell r="F204">
            <v>26</v>
          </cell>
          <cell r="G204">
            <v>1</v>
          </cell>
          <cell r="H204">
            <v>120</v>
          </cell>
          <cell r="I204">
            <v>12</v>
          </cell>
          <cell r="J204">
            <v>0</v>
          </cell>
          <cell r="K204">
            <v>159</v>
          </cell>
          <cell r="L204">
            <v>13.9</v>
          </cell>
          <cell r="M204">
            <v>2210.1</v>
          </cell>
          <cell r="N204">
            <v>11</v>
          </cell>
          <cell r="O204">
            <v>13</v>
          </cell>
          <cell r="P204">
            <v>57</v>
          </cell>
          <cell r="Q204">
            <v>36</v>
          </cell>
          <cell r="R204">
            <v>-25</v>
          </cell>
          <cell r="S204">
            <v>109.956092206367</v>
          </cell>
          <cell r="T204">
            <v>3.66520307354555</v>
          </cell>
          <cell r="U204">
            <v>0.423202614379085</v>
          </cell>
          <cell r="V204">
            <v>3.24200045916647</v>
          </cell>
          <cell r="W204" t="str">
            <v>库存过高</v>
          </cell>
          <cell r="X204" t="str">
            <v>库存过高</v>
          </cell>
          <cell r="Y204">
            <v>29.12</v>
          </cell>
          <cell r="Z204">
            <v>29.12</v>
          </cell>
          <cell r="AA204">
            <v>226.62</v>
          </cell>
          <cell r="AB204">
            <v>0.493894165535957</v>
          </cell>
        </row>
        <row r="205">
          <cell r="A205" t="str">
            <v>欣彤</v>
          </cell>
          <cell r="B205" t="str">
            <v>Y7079</v>
          </cell>
          <cell r="C205" t="str">
            <v>儿童电摩（EL-MB03P）</v>
          </cell>
        </row>
        <row r="205">
          <cell r="E205" t="str">
            <v>B0CFV2XSBM</v>
          </cell>
          <cell r="F205">
            <v>35</v>
          </cell>
          <cell r="G205">
            <v>0</v>
          </cell>
          <cell r="H205">
            <v>0</v>
          </cell>
          <cell r="I205">
            <v>0</v>
          </cell>
          <cell r="J205">
            <v>0</v>
          </cell>
          <cell r="K205">
            <v>35</v>
          </cell>
          <cell r="L205">
            <v>949</v>
          </cell>
          <cell r="M205">
            <v>33215</v>
          </cell>
          <cell r="N205">
            <v>0</v>
          </cell>
          <cell r="O205">
            <v>0</v>
          </cell>
          <cell r="P205">
            <v>0</v>
          </cell>
          <cell r="Q205">
            <v>0</v>
          </cell>
          <cell r="R205">
            <v>0</v>
          </cell>
          <cell r="S205" t="str">
            <v>-</v>
          </cell>
          <cell r="T205" t="str">
            <v>-</v>
          </cell>
          <cell r="U205">
            <v>0</v>
          </cell>
          <cell r="V205" t="str">
            <v>-</v>
          </cell>
          <cell r="W205" t="str">
            <v>有库存无销量</v>
          </cell>
          <cell r="X205" t="str">
            <v>有库存无销量</v>
          </cell>
          <cell r="Y205">
            <v>0</v>
          </cell>
          <cell r="Z205">
            <v>0</v>
          </cell>
          <cell r="AA205">
            <v>0</v>
          </cell>
          <cell r="AB205" t="str">
            <v>-</v>
          </cell>
        </row>
        <row r="206">
          <cell r="A206" t="str">
            <v>欣彤</v>
          </cell>
          <cell r="B206" t="str">
            <v>Y7081</v>
          </cell>
          <cell r="C206" t="str">
            <v>儿童电摩（EL-MB03C）</v>
          </cell>
        </row>
        <row r="206">
          <cell r="E206" t="str">
            <v>B0CG4447H5</v>
          </cell>
          <cell r="F206">
            <v>24</v>
          </cell>
          <cell r="G206">
            <v>0</v>
          </cell>
          <cell r="H206">
            <v>0</v>
          </cell>
          <cell r="I206">
            <v>0</v>
          </cell>
          <cell r="J206">
            <v>1</v>
          </cell>
          <cell r="K206">
            <v>25</v>
          </cell>
          <cell r="L206">
            <v>1095</v>
          </cell>
          <cell r="M206">
            <v>27375</v>
          </cell>
          <cell r="N206">
            <v>0</v>
          </cell>
          <cell r="O206">
            <v>0</v>
          </cell>
          <cell r="P206">
            <v>0</v>
          </cell>
          <cell r="Q206">
            <v>0</v>
          </cell>
          <cell r="R206">
            <v>0</v>
          </cell>
          <cell r="S206" t="str">
            <v>-</v>
          </cell>
          <cell r="T206" t="str">
            <v>-</v>
          </cell>
          <cell r="U206">
            <v>0</v>
          </cell>
          <cell r="V206" t="str">
            <v>-</v>
          </cell>
          <cell r="W206" t="str">
            <v>有库存无销量</v>
          </cell>
          <cell r="X206" t="str">
            <v>有库存无销量</v>
          </cell>
          <cell r="Y206">
            <v>0</v>
          </cell>
          <cell r="Z206">
            <v>0</v>
          </cell>
          <cell r="AA206">
            <v>0</v>
          </cell>
          <cell r="AB206" t="str">
            <v>-</v>
          </cell>
        </row>
        <row r="207">
          <cell r="A207" t="str">
            <v>欣彤</v>
          </cell>
          <cell r="B207" t="str">
            <v>Y7083</v>
          </cell>
          <cell r="C207" t="str">
            <v>儿童电摩（EL-MB03A）</v>
          </cell>
        </row>
        <row r="207">
          <cell r="E207" t="str">
            <v>B0CG45CLFT</v>
          </cell>
          <cell r="F207">
            <v>40</v>
          </cell>
          <cell r="G207">
            <v>0</v>
          </cell>
          <cell r="H207">
            <v>0</v>
          </cell>
          <cell r="I207">
            <v>0</v>
          </cell>
          <cell r="J207">
            <v>0</v>
          </cell>
          <cell r="K207">
            <v>40</v>
          </cell>
          <cell r="L207">
            <v>803</v>
          </cell>
          <cell r="M207">
            <v>32120</v>
          </cell>
          <cell r="N207">
            <v>0</v>
          </cell>
          <cell r="O207">
            <v>0</v>
          </cell>
          <cell r="P207">
            <v>0</v>
          </cell>
          <cell r="Q207">
            <v>0</v>
          </cell>
          <cell r="R207">
            <v>0</v>
          </cell>
          <cell r="S207" t="str">
            <v>-</v>
          </cell>
          <cell r="T207" t="str">
            <v>-</v>
          </cell>
          <cell r="U207">
            <v>0</v>
          </cell>
          <cell r="V207" t="str">
            <v>-</v>
          </cell>
          <cell r="W207" t="str">
            <v>有库存无销量</v>
          </cell>
          <cell r="X207" t="str">
            <v>有库存无销量</v>
          </cell>
          <cell r="Y207">
            <v>0</v>
          </cell>
          <cell r="Z207">
            <v>0</v>
          </cell>
          <cell r="AA207">
            <v>0</v>
          </cell>
          <cell r="AB207" t="str">
            <v>-</v>
          </cell>
        </row>
        <row r="208">
          <cell r="A208" t="str">
            <v>欣彤</v>
          </cell>
          <cell r="B208" t="str">
            <v>Y7084-BL+Y7085</v>
          </cell>
          <cell r="C208" t="str">
            <v>中性壳Google 8 黑色</v>
          </cell>
          <cell r="D208">
            <v>45211</v>
          </cell>
          <cell r="E208" t="str">
            <v>B0CGX31152</v>
          </cell>
          <cell r="F208">
            <v>50</v>
          </cell>
          <cell r="G208">
            <v>0</v>
          </cell>
          <cell r="H208">
            <v>0</v>
          </cell>
          <cell r="I208">
            <v>0</v>
          </cell>
          <cell r="J208">
            <v>0</v>
          </cell>
          <cell r="K208">
            <v>50</v>
          </cell>
          <cell r="L208">
            <v>11</v>
          </cell>
          <cell r="M208">
            <v>550</v>
          </cell>
          <cell r="N208">
            <v>0</v>
          </cell>
          <cell r="O208">
            <v>0</v>
          </cell>
          <cell r="P208">
            <v>0</v>
          </cell>
          <cell r="Q208">
            <v>0</v>
          </cell>
          <cell r="R208">
            <v>0</v>
          </cell>
          <cell r="S208" t="str">
            <v>-</v>
          </cell>
          <cell r="T208" t="str">
            <v>-</v>
          </cell>
          <cell r="U208">
            <v>0</v>
          </cell>
          <cell r="V208" t="str">
            <v>-</v>
          </cell>
          <cell r="W208" t="str">
            <v>本月刚到货</v>
          </cell>
          <cell r="X208" t="str">
            <v>本月刚到货</v>
          </cell>
          <cell r="Y208">
            <v>0</v>
          </cell>
          <cell r="Z208">
            <v>0</v>
          </cell>
          <cell r="AA208">
            <v>0</v>
          </cell>
          <cell r="AB208" t="str">
            <v>-</v>
          </cell>
        </row>
        <row r="209">
          <cell r="A209" t="str">
            <v>欣彤</v>
          </cell>
          <cell r="B209" t="str">
            <v>Y7084-BU+Y7085</v>
          </cell>
          <cell r="C209" t="str">
            <v>中性壳Google 8黑+蓝</v>
          </cell>
          <cell r="D209">
            <v>45211</v>
          </cell>
          <cell r="E209" t="str">
            <v>B0CGX537RQ</v>
          </cell>
          <cell r="F209">
            <v>25</v>
          </cell>
          <cell r="G209">
            <v>0</v>
          </cell>
          <cell r="H209">
            <v>55</v>
          </cell>
          <cell r="I209">
            <v>0</v>
          </cell>
          <cell r="J209">
            <v>0</v>
          </cell>
          <cell r="K209">
            <v>80</v>
          </cell>
          <cell r="L209">
            <v>11</v>
          </cell>
          <cell r="M209">
            <v>880</v>
          </cell>
          <cell r="N209">
            <v>0</v>
          </cell>
          <cell r="O209">
            <v>0</v>
          </cell>
          <cell r="P209">
            <v>0</v>
          </cell>
          <cell r="Q209">
            <v>0</v>
          </cell>
          <cell r="R209">
            <v>0</v>
          </cell>
          <cell r="S209" t="str">
            <v>-</v>
          </cell>
          <cell r="T209" t="str">
            <v>-</v>
          </cell>
          <cell r="U209">
            <v>0</v>
          </cell>
          <cell r="V209" t="str">
            <v>-</v>
          </cell>
          <cell r="W209" t="str">
            <v>本月刚到货</v>
          </cell>
          <cell r="X209" t="str">
            <v>本月刚到货</v>
          </cell>
          <cell r="Y209">
            <v>1.1</v>
          </cell>
          <cell r="Z209">
            <v>1.1</v>
          </cell>
          <cell r="AA209">
            <v>1.1</v>
          </cell>
          <cell r="AB209" t="str">
            <v>-</v>
          </cell>
        </row>
        <row r="210">
          <cell r="A210" t="str">
            <v>欣彤</v>
          </cell>
          <cell r="B210" t="str">
            <v>Y7084-DB+Y7085</v>
          </cell>
          <cell r="C210" t="str">
            <v>中性壳Google 8 深蓝+蓝</v>
          </cell>
          <cell r="D210">
            <v>45211</v>
          </cell>
          <cell r="E210" t="str">
            <v>B0CGX3D473</v>
          </cell>
          <cell r="F210">
            <v>26</v>
          </cell>
          <cell r="G210">
            <v>0</v>
          </cell>
          <cell r="H210">
            <v>54</v>
          </cell>
          <cell r="I210">
            <v>0</v>
          </cell>
          <cell r="J210">
            <v>0</v>
          </cell>
          <cell r="K210">
            <v>80</v>
          </cell>
          <cell r="L210">
            <v>11</v>
          </cell>
          <cell r="M210">
            <v>880</v>
          </cell>
          <cell r="N210">
            <v>0</v>
          </cell>
          <cell r="O210">
            <v>0</v>
          </cell>
          <cell r="P210">
            <v>0</v>
          </cell>
          <cell r="Q210">
            <v>0</v>
          </cell>
          <cell r="R210">
            <v>0</v>
          </cell>
          <cell r="S210" t="str">
            <v>-</v>
          </cell>
          <cell r="T210" t="str">
            <v>-</v>
          </cell>
          <cell r="U210">
            <v>0</v>
          </cell>
          <cell r="V210" t="str">
            <v>-</v>
          </cell>
          <cell r="W210" t="str">
            <v>本月刚到货</v>
          </cell>
          <cell r="X210" t="str">
            <v>本月刚到货</v>
          </cell>
          <cell r="Y210">
            <v>0</v>
          </cell>
          <cell r="Z210">
            <v>0</v>
          </cell>
          <cell r="AA210">
            <v>0</v>
          </cell>
          <cell r="AB210" t="str">
            <v>-</v>
          </cell>
        </row>
        <row r="211">
          <cell r="A211" t="str">
            <v>欣彤</v>
          </cell>
          <cell r="B211" t="str">
            <v>Y7084-GE+Y7085</v>
          </cell>
          <cell r="C211" t="str">
            <v>中性壳Google 8 浅绿+黄</v>
          </cell>
          <cell r="D211">
            <v>45211</v>
          </cell>
          <cell r="E211" t="str">
            <v>B0CGX2Y6V2</v>
          </cell>
          <cell r="F211">
            <v>14</v>
          </cell>
          <cell r="G211">
            <v>0</v>
          </cell>
          <cell r="H211">
            <v>26</v>
          </cell>
          <cell r="I211">
            <v>0</v>
          </cell>
          <cell r="J211">
            <v>0</v>
          </cell>
          <cell r="K211">
            <v>40</v>
          </cell>
          <cell r="L211">
            <v>11</v>
          </cell>
          <cell r="M211">
            <v>440</v>
          </cell>
          <cell r="N211">
            <v>0</v>
          </cell>
          <cell r="O211">
            <v>0</v>
          </cell>
          <cell r="P211">
            <v>0</v>
          </cell>
          <cell r="Q211">
            <v>0</v>
          </cell>
          <cell r="R211">
            <v>0</v>
          </cell>
          <cell r="S211" t="str">
            <v>-</v>
          </cell>
          <cell r="T211" t="str">
            <v>-</v>
          </cell>
          <cell r="U211">
            <v>0</v>
          </cell>
          <cell r="V211" t="str">
            <v>-</v>
          </cell>
          <cell r="W211" t="str">
            <v>本月刚到货</v>
          </cell>
          <cell r="X211" t="str">
            <v>本月刚到货</v>
          </cell>
          <cell r="Y211">
            <v>0</v>
          </cell>
          <cell r="Z211">
            <v>0</v>
          </cell>
          <cell r="AA211">
            <v>0</v>
          </cell>
          <cell r="AB211" t="str">
            <v>-</v>
          </cell>
        </row>
        <row r="212">
          <cell r="A212" t="str">
            <v>欣彤</v>
          </cell>
          <cell r="B212" t="str">
            <v>Y7084-OR+Y7085</v>
          </cell>
          <cell r="C212" t="str">
            <v>中性壳Google 8黑+橙</v>
          </cell>
          <cell r="D212">
            <v>45211</v>
          </cell>
          <cell r="E212" t="str">
            <v>B0CGX1WNFT</v>
          </cell>
          <cell r="F212">
            <v>15</v>
          </cell>
          <cell r="G212">
            <v>0</v>
          </cell>
          <cell r="H212">
            <v>35</v>
          </cell>
          <cell r="I212">
            <v>0</v>
          </cell>
          <cell r="J212">
            <v>0</v>
          </cell>
          <cell r="K212">
            <v>50</v>
          </cell>
          <cell r="L212">
            <v>11</v>
          </cell>
          <cell r="M212">
            <v>550</v>
          </cell>
          <cell r="N212">
            <v>0</v>
          </cell>
          <cell r="O212">
            <v>0</v>
          </cell>
          <cell r="P212">
            <v>0</v>
          </cell>
          <cell r="Q212">
            <v>0</v>
          </cell>
          <cell r="R212">
            <v>0</v>
          </cell>
          <cell r="S212" t="str">
            <v>-</v>
          </cell>
          <cell r="T212" t="str">
            <v>-</v>
          </cell>
          <cell r="U212">
            <v>0</v>
          </cell>
          <cell r="V212" t="str">
            <v>-</v>
          </cell>
          <cell r="W212" t="str">
            <v>本月刚到货</v>
          </cell>
          <cell r="X212" t="str">
            <v>本月刚到货</v>
          </cell>
          <cell r="Y212">
            <v>1.3</v>
          </cell>
          <cell r="Z212">
            <v>1.3</v>
          </cell>
          <cell r="AA212">
            <v>1.3</v>
          </cell>
          <cell r="AB212" t="str">
            <v>-</v>
          </cell>
        </row>
        <row r="213">
          <cell r="A213" t="str">
            <v>欣彤</v>
          </cell>
          <cell r="B213" t="str">
            <v>Y7086-BL+Y7087</v>
          </cell>
          <cell r="C213" t="str">
            <v>中性壳Google 8 Pro 黑色</v>
          </cell>
          <cell r="D213">
            <v>45211</v>
          </cell>
          <cell r="E213" t="str">
            <v>B0CGX382NL</v>
          </cell>
          <cell r="F213">
            <v>50</v>
          </cell>
          <cell r="G213">
            <v>0</v>
          </cell>
          <cell r="H213">
            <v>0</v>
          </cell>
          <cell r="I213">
            <v>0</v>
          </cell>
          <cell r="J213">
            <v>0</v>
          </cell>
          <cell r="K213">
            <v>50</v>
          </cell>
          <cell r="L213">
            <v>11</v>
          </cell>
          <cell r="M213">
            <v>550</v>
          </cell>
          <cell r="N213">
            <v>0</v>
          </cell>
          <cell r="O213">
            <v>0</v>
          </cell>
          <cell r="P213">
            <v>0</v>
          </cell>
          <cell r="Q213">
            <v>0</v>
          </cell>
          <cell r="R213">
            <v>0</v>
          </cell>
          <cell r="S213" t="str">
            <v>-</v>
          </cell>
          <cell r="T213" t="str">
            <v>-</v>
          </cell>
          <cell r="U213">
            <v>0</v>
          </cell>
          <cell r="V213" t="str">
            <v>-</v>
          </cell>
          <cell r="W213" t="str">
            <v>本月刚到货</v>
          </cell>
          <cell r="X213" t="str">
            <v>本月刚到货</v>
          </cell>
          <cell r="Y213">
            <v>0</v>
          </cell>
          <cell r="Z213">
            <v>0</v>
          </cell>
          <cell r="AA213">
            <v>0</v>
          </cell>
          <cell r="AB213" t="str">
            <v>-</v>
          </cell>
        </row>
        <row r="214">
          <cell r="A214" t="str">
            <v>欣彤</v>
          </cell>
          <cell r="B214" t="str">
            <v>Y7086-BU+Y7087</v>
          </cell>
          <cell r="C214" t="str">
            <v>中性壳Google 8 Pro黑+蓝</v>
          </cell>
          <cell r="D214">
            <v>45211</v>
          </cell>
          <cell r="E214" t="str">
            <v>B0CGX24JGD</v>
          </cell>
          <cell r="F214">
            <v>40</v>
          </cell>
          <cell r="G214">
            <v>0</v>
          </cell>
          <cell r="H214">
            <v>0</v>
          </cell>
          <cell r="I214">
            <v>0</v>
          </cell>
          <cell r="J214">
            <v>0</v>
          </cell>
          <cell r="K214">
            <v>40</v>
          </cell>
          <cell r="L214">
            <v>11</v>
          </cell>
          <cell r="M214">
            <v>440</v>
          </cell>
          <cell r="N214">
            <v>1</v>
          </cell>
          <cell r="O214">
            <v>1</v>
          </cell>
          <cell r="P214">
            <v>1</v>
          </cell>
          <cell r="Q214">
            <v>0</v>
          </cell>
          <cell r="R214">
            <v>1</v>
          </cell>
          <cell r="S214">
            <v>494.117647058824</v>
          </cell>
          <cell r="T214">
            <v>16.4705882352941</v>
          </cell>
          <cell r="U214">
            <v>0</v>
          </cell>
          <cell r="V214">
            <v>16.4705882352941</v>
          </cell>
          <cell r="W214" t="str">
            <v>本月刚到货</v>
          </cell>
          <cell r="X214" t="str">
            <v>本月刚到货</v>
          </cell>
          <cell r="Y214">
            <v>2.28</v>
          </cell>
          <cell r="Z214">
            <v>2.28</v>
          </cell>
          <cell r="AA214">
            <v>2.28</v>
          </cell>
          <cell r="AB214">
            <v>0.175519630484988</v>
          </cell>
        </row>
        <row r="215">
          <cell r="A215" t="str">
            <v>欣彤</v>
          </cell>
          <cell r="B215" t="str">
            <v>Y7086-DB+Y7087</v>
          </cell>
          <cell r="C215" t="str">
            <v>中性壳Google 8 Pro 深蓝+蓝</v>
          </cell>
          <cell r="D215">
            <v>45211</v>
          </cell>
          <cell r="E215" t="str">
            <v>B0CGX4CFML</v>
          </cell>
          <cell r="F215">
            <v>39</v>
          </cell>
          <cell r="G215">
            <v>0</v>
          </cell>
          <cell r="H215">
            <v>0</v>
          </cell>
          <cell r="I215">
            <v>0</v>
          </cell>
          <cell r="J215">
            <v>0</v>
          </cell>
          <cell r="K215">
            <v>39</v>
          </cell>
          <cell r="L215">
            <v>11</v>
          </cell>
          <cell r="M215">
            <v>429</v>
          </cell>
          <cell r="N215">
            <v>1</v>
          </cell>
          <cell r="O215">
            <v>1</v>
          </cell>
          <cell r="P215">
            <v>1</v>
          </cell>
          <cell r="Q215">
            <v>0</v>
          </cell>
          <cell r="R215">
            <v>1</v>
          </cell>
          <cell r="S215">
            <v>481.764705882353</v>
          </cell>
          <cell r="T215">
            <v>16.0588235294118</v>
          </cell>
          <cell r="U215">
            <v>0</v>
          </cell>
          <cell r="V215">
            <v>16.0588235294118</v>
          </cell>
          <cell r="W215" t="str">
            <v>本月刚到货</v>
          </cell>
          <cell r="X215" t="str">
            <v>本月刚到货</v>
          </cell>
          <cell r="Y215">
            <v>0</v>
          </cell>
          <cell r="Z215">
            <v>0</v>
          </cell>
          <cell r="AA215">
            <v>0</v>
          </cell>
          <cell r="AB215" t="str">
            <v>-</v>
          </cell>
        </row>
        <row r="216">
          <cell r="A216" t="str">
            <v>欣彤</v>
          </cell>
          <cell r="B216" t="str">
            <v>Y7086-GE+Y7087</v>
          </cell>
          <cell r="C216" t="str">
            <v>中性壳Google 8 Pro 浅绿+黄</v>
          </cell>
          <cell r="D216">
            <v>45211</v>
          </cell>
          <cell r="E216" t="str">
            <v>B0CGX383LR</v>
          </cell>
          <cell r="F216">
            <v>14</v>
          </cell>
          <cell r="G216">
            <v>0</v>
          </cell>
          <cell r="H216">
            <v>6</v>
          </cell>
          <cell r="I216">
            <v>0</v>
          </cell>
          <cell r="J216">
            <v>0</v>
          </cell>
          <cell r="K216">
            <v>20</v>
          </cell>
          <cell r="L216">
            <v>11</v>
          </cell>
          <cell r="M216">
            <v>220</v>
          </cell>
          <cell r="N216">
            <v>0</v>
          </cell>
          <cell r="O216">
            <v>0</v>
          </cell>
          <cell r="P216">
            <v>0</v>
          </cell>
          <cell r="Q216">
            <v>0</v>
          </cell>
          <cell r="R216">
            <v>0</v>
          </cell>
          <cell r="S216" t="str">
            <v>-</v>
          </cell>
          <cell r="T216" t="str">
            <v>-</v>
          </cell>
          <cell r="U216">
            <v>0</v>
          </cell>
          <cell r="V216" t="str">
            <v>-</v>
          </cell>
          <cell r="W216" t="str">
            <v>本月刚到货</v>
          </cell>
          <cell r="X216" t="str">
            <v>本月刚到货</v>
          </cell>
          <cell r="Y216">
            <v>0</v>
          </cell>
          <cell r="Z216">
            <v>0</v>
          </cell>
          <cell r="AA216">
            <v>0</v>
          </cell>
          <cell r="AB216" t="str">
            <v>-</v>
          </cell>
        </row>
        <row r="217">
          <cell r="A217" t="str">
            <v>欣彤</v>
          </cell>
          <cell r="B217" t="str">
            <v>Y7086-OR+Y7087</v>
          </cell>
          <cell r="C217" t="str">
            <v>中性壳Google 8 Pro黑+橙</v>
          </cell>
          <cell r="D217">
            <v>45211</v>
          </cell>
          <cell r="E217" t="str">
            <v>B0CGX2PHRG</v>
          </cell>
          <cell r="F217">
            <v>18</v>
          </cell>
          <cell r="G217">
            <v>0</v>
          </cell>
          <cell r="H217">
            <v>14</v>
          </cell>
          <cell r="I217">
            <v>0</v>
          </cell>
          <cell r="J217">
            <v>0</v>
          </cell>
          <cell r="K217">
            <v>32</v>
          </cell>
          <cell r="L217">
            <v>11</v>
          </cell>
          <cell r="M217">
            <v>352</v>
          </cell>
          <cell r="N217">
            <v>2</v>
          </cell>
          <cell r="O217">
            <v>2</v>
          </cell>
          <cell r="P217">
            <v>2</v>
          </cell>
          <cell r="Q217">
            <v>0</v>
          </cell>
          <cell r="R217">
            <v>2</v>
          </cell>
          <cell r="S217">
            <v>197.647058823529</v>
          </cell>
          <cell r="T217">
            <v>6.58823529411765</v>
          </cell>
          <cell r="U217">
            <v>0</v>
          </cell>
          <cell r="V217">
            <v>6.58823529411765</v>
          </cell>
          <cell r="W217" t="str">
            <v>本月刚到货</v>
          </cell>
          <cell r="X217" t="str">
            <v>本月刚到货</v>
          </cell>
          <cell r="Y217">
            <v>6.36</v>
          </cell>
          <cell r="Z217">
            <v>6.36</v>
          </cell>
          <cell r="AA217">
            <v>6.36</v>
          </cell>
          <cell r="AB217">
            <v>0.244803695150115</v>
          </cell>
        </row>
      </sheetData>
      <sheetData sheetId="13"/>
      <sheetData sheetId="14">
        <row r="1">
          <cell r="B1">
            <v>94</v>
          </cell>
          <cell r="C1" t="str">
            <v>已经把长期无库存且决定后期不再做的sku删除</v>
          </cell>
        </row>
        <row r="1">
          <cell r="K1">
            <v>2596</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2596</v>
          </cell>
        </row>
        <row r="3">
          <cell r="M3">
            <v>74038.571</v>
          </cell>
          <cell r="N3">
            <v>718</v>
          </cell>
          <cell r="O3">
            <v>1459</v>
          </cell>
          <cell r="P3">
            <v>2850</v>
          </cell>
          <cell r="Q3">
            <v>662</v>
          </cell>
          <cell r="R3">
            <v>56</v>
          </cell>
        </row>
        <row r="3">
          <cell r="Y3">
            <v>452.31</v>
          </cell>
          <cell r="Z3">
            <v>830.29</v>
          </cell>
          <cell r="AA3">
            <v>1574.28</v>
          </cell>
        </row>
        <row r="4">
          <cell r="A4" t="str">
            <v>晓美</v>
          </cell>
          <cell r="B4" t="str">
            <v>Y8002-GR</v>
          </cell>
          <cell r="C4" t="str">
            <v>Glock格洛克 夜光机瞄green</v>
          </cell>
          <cell r="D4">
            <v>44713</v>
          </cell>
          <cell r="E4" t="str">
            <v>B09Z2T2LNF</v>
          </cell>
          <cell r="F4">
            <v>12</v>
          </cell>
          <cell r="G4">
            <v>0</v>
          </cell>
          <cell r="H4">
            <v>0</v>
          </cell>
          <cell r="I4">
            <v>0</v>
          </cell>
          <cell r="J4">
            <v>0</v>
          </cell>
          <cell r="K4">
            <v>12</v>
          </cell>
          <cell r="L4">
            <v>26.42</v>
          </cell>
          <cell r="M4">
            <v>317.04</v>
          </cell>
          <cell r="N4">
            <v>1</v>
          </cell>
          <cell r="O4">
            <v>3</v>
          </cell>
          <cell r="P4">
            <v>3</v>
          </cell>
          <cell r="Q4">
            <v>0</v>
          </cell>
          <cell r="R4">
            <v>1</v>
          </cell>
          <cell r="S4">
            <v>81.2903225806452</v>
          </cell>
          <cell r="T4">
            <v>2.70967741935484</v>
          </cell>
          <cell r="U4">
            <v>7</v>
          </cell>
          <cell r="V4">
            <v>-4.29032258064516</v>
          </cell>
          <cell r="W4" t="str">
            <v>库存过高</v>
          </cell>
          <cell r="X4" t="str">
            <v>库存过高</v>
          </cell>
          <cell r="Y4">
            <v>5.04</v>
          </cell>
          <cell r="Z4">
            <v>12.01</v>
          </cell>
          <cell r="AA4">
            <v>25.72</v>
          </cell>
          <cell r="AB4" t="str">
            <v>-</v>
          </cell>
        </row>
        <row r="5">
          <cell r="A5" t="str">
            <v>晓美</v>
          </cell>
          <cell r="B5" t="str">
            <v>Y8005</v>
          </cell>
          <cell r="C5" t="str">
            <v>长脚准心瞄准器+工具</v>
          </cell>
          <cell r="D5">
            <v>44718</v>
          </cell>
          <cell r="E5" t="str">
            <v>B09ZY6DBSP</v>
          </cell>
          <cell r="F5">
            <v>51</v>
          </cell>
          <cell r="G5">
            <v>0</v>
          </cell>
          <cell r="H5">
            <v>0</v>
          </cell>
          <cell r="I5">
            <v>0</v>
          </cell>
          <cell r="J5">
            <v>0</v>
          </cell>
          <cell r="K5">
            <v>51</v>
          </cell>
          <cell r="L5">
            <v>51.808</v>
          </cell>
          <cell r="M5">
            <v>2642.208</v>
          </cell>
          <cell r="N5">
            <v>0</v>
          </cell>
          <cell r="O5">
            <v>0</v>
          </cell>
          <cell r="P5">
            <v>0</v>
          </cell>
          <cell r="Q5">
            <v>0</v>
          </cell>
          <cell r="R5">
            <v>0</v>
          </cell>
          <cell r="S5" t="str">
            <v>-</v>
          </cell>
          <cell r="T5" t="str">
            <v>-</v>
          </cell>
          <cell r="U5">
            <v>8.21052631578947</v>
          </cell>
          <cell r="V5" t="str">
            <v>-</v>
          </cell>
          <cell r="W5" t="str">
            <v>有库存无销量</v>
          </cell>
          <cell r="X5" t="str">
            <v>有库存无销量</v>
          </cell>
          <cell r="Y5">
            <v>6.28</v>
          </cell>
          <cell r="Z5">
            <v>9.37</v>
          </cell>
          <cell r="AA5">
            <v>13.47</v>
          </cell>
          <cell r="AB5">
            <v>0.251300520208083</v>
          </cell>
        </row>
        <row r="6">
          <cell r="A6" t="str">
            <v>晓美</v>
          </cell>
          <cell r="B6" t="str">
            <v>Y8006</v>
          </cell>
          <cell r="C6" t="str">
            <v>铝合金 光纤瞄 光纤准星+工具</v>
          </cell>
          <cell r="D6">
            <v>44718</v>
          </cell>
          <cell r="E6" t="str">
            <v>B0B146G4QP</v>
          </cell>
          <cell r="F6">
            <v>15</v>
          </cell>
          <cell r="G6">
            <v>0</v>
          </cell>
          <cell r="H6">
            <v>1</v>
          </cell>
          <cell r="I6">
            <v>0</v>
          </cell>
          <cell r="J6">
            <v>0</v>
          </cell>
          <cell r="K6">
            <v>16</v>
          </cell>
          <cell r="L6">
            <v>49.476</v>
          </cell>
          <cell r="M6">
            <v>791.616</v>
          </cell>
          <cell r="N6">
            <v>2</v>
          </cell>
          <cell r="O6">
            <v>6</v>
          </cell>
          <cell r="P6">
            <v>11</v>
          </cell>
          <cell r="Q6">
            <v>2</v>
          </cell>
          <cell r="R6">
            <v>0</v>
          </cell>
          <cell r="S6">
            <v>45.6108597285068</v>
          </cell>
          <cell r="T6">
            <v>1.52036199095023</v>
          </cell>
          <cell r="U6">
            <v>2.69832402234637</v>
          </cell>
          <cell r="V6">
            <v>-1.17796203139614</v>
          </cell>
          <cell r="W6" t="str">
            <v>库存过高</v>
          </cell>
          <cell r="X6" t="str">
            <v>库存过高</v>
          </cell>
          <cell r="Y6">
            <v>0</v>
          </cell>
          <cell r="Z6">
            <v>0</v>
          </cell>
          <cell r="AA6">
            <v>0</v>
          </cell>
          <cell r="AB6" t="str">
            <v>-</v>
          </cell>
        </row>
        <row r="7">
          <cell r="A7" t="str">
            <v>晓美</v>
          </cell>
          <cell r="B7" t="str">
            <v>Y8004</v>
          </cell>
          <cell r="C7" t="str">
            <v>战术QD背带扣</v>
          </cell>
          <cell r="D7">
            <v>44721</v>
          </cell>
          <cell r="E7" t="str">
            <v>B0B1D7FZ15</v>
          </cell>
          <cell r="F7">
            <v>0</v>
          </cell>
          <cell r="G7">
            <v>0</v>
          </cell>
          <cell r="H7">
            <v>0</v>
          </cell>
          <cell r="I7">
            <v>0</v>
          </cell>
          <cell r="J7">
            <v>0</v>
          </cell>
          <cell r="K7">
            <v>0</v>
          </cell>
          <cell r="L7">
            <v>11.387</v>
          </cell>
          <cell r="M7">
            <v>0</v>
          </cell>
          <cell r="N7">
            <v>1</v>
          </cell>
          <cell r="O7">
            <v>8</v>
          </cell>
          <cell r="P7">
            <v>18</v>
          </cell>
          <cell r="Q7">
            <v>7</v>
          </cell>
          <cell r="R7">
            <v>-6</v>
          </cell>
          <cell r="S7">
            <v>0</v>
          </cell>
          <cell r="T7">
            <v>0</v>
          </cell>
          <cell r="U7">
            <v>0.471428571428571</v>
          </cell>
          <cell r="V7">
            <v>-0.471428571428571</v>
          </cell>
          <cell r="W7" t="str">
            <v>无库存有销量</v>
          </cell>
          <cell r="X7" t="str">
            <v>无库存有销量</v>
          </cell>
          <cell r="Y7">
            <v>2.7</v>
          </cell>
          <cell r="Z7">
            <v>3.6</v>
          </cell>
          <cell r="AA7">
            <v>6.04</v>
          </cell>
          <cell r="AB7">
            <v>0.27027027027027</v>
          </cell>
        </row>
        <row r="8">
          <cell r="A8" t="str">
            <v>晓美</v>
          </cell>
          <cell r="B8" t="str">
            <v>Y8007</v>
          </cell>
          <cell r="C8" t="str">
            <v>Glock格洛克 夜光机瞄（增强版）</v>
          </cell>
          <cell r="D8">
            <v>44729</v>
          </cell>
          <cell r="E8" t="str">
            <v>B0B1DGJ2TQ</v>
          </cell>
          <cell r="F8">
            <v>0</v>
          </cell>
          <cell r="G8">
            <v>0</v>
          </cell>
          <cell r="H8">
            <v>0</v>
          </cell>
          <cell r="I8">
            <v>0</v>
          </cell>
          <cell r="J8">
            <v>0</v>
          </cell>
          <cell r="K8">
            <v>0</v>
          </cell>
          <cell r="L8">
            <v>28.32</v>
          </cell>
          <cell r="M8">
            <v>0</v>
          </cell>
          <cell r="N8">
            <v>0</v>
          </cell>
          <cell r="O8">
            <v>0</v>
          </cell>
          <cell r="P8">
            <v>6</v>
          </cell>
          <cell r="Q8">
            <v>2</v>
          </cell>
          <cell r="R8">
            <v>-2</v>
          </cell>
          <cell r="S8">
            <v>0</v>
          </cell>
          <cell r="T8">
            <v>0</v>
          </cell>
          <cell r="U8">
            <v>0.475113122171946</v>
          </cell>
          <cell r="V8">
            <v>-0.475113122171946</v>
          </cell>
          <cell r="W8" t="str">
            <v>无库存无销量</v>
          </cell>
          <cell r="X8" t="str">
            <v>无库存有销量</v>
          </cell>
          <cell r="Y8">
            <v>0</v>
          </cell>
          <cell r="Z8">
            <v>0</v>
          </cell>
          <cell r="AA8">
            <v>0.15</v>
          </cell>
          <cell r="AB8" t="str">
            <v>-</v>
          </cell>
        </row>
        <row r="9">
          <cell r="A9" t="str">
            <v>晓美</v>
          </cell>
          <cell r="B9" t="str">
            <v>Y8010</v>
          </cell>
          <cell r="C9" t="str">
            <v>铝合金20mm快拆导轨</v>
          </cell>
          <cell r="D9">
            <v>44735</v>
          </cell>
          <cell r="E9" t="str">
            <v>B0B2CPRDG4</v>
          </cell>
          <cell r="F9">
            <v>59</v>
          </cell>
          <cell r="G9">
            <v>13</v>
          </cell>
          <cell r="H9">
            <v>25</v>
          </cell>
          <cell r="I9">
            <v>9</v>
          </cell>
          <cell r="J9">
            <v>0</v>
          </cell>
          <cell r="K9">
            <v>106</v>
          </cell>
          <cell r="L9">
            <v>42.527</v>
          </cell>
          <cell r="M9">
            <v>4507.862</v>
          </cell>
          <cell r="N9">
            <v>80</v>
          </cell>
          <cell r="O9">
            <v>150</v>
          </cell>
          <cell r="P9">
            <v>315</v>
          </cell>
          <cell r="Q9">
            <v>64</v>
          </cell>
          <cell r="R9">
            <v>16</v>
          </cell>
          <cell r="S9">
            <v>9.95973154362416</v>
          </cell>
          <cell r="T9">
            <v>0.331991051454139</v>
          </cell>
          <cell r="U9">
            <v>0.875167272032116</v>
          </cell>
          <cell r="V9">
            <v>-0.543176220577977</v>
          </cell>
          <cell r="W9" t="str">
            <v>库存过低</v>
          </cell>
          <cell r="X9" t="str">
            <v>库存过低</v>
          </cell>
          <cell r="Y9">
            <v>76.78</v>
          </cell>
          <cell r="Z9">
            <v>142.27</v>
          </cell>
          <cell r="AA9">
            <v>297.16</v>
          </cell>
          <cell r="AB9">
            <v>0.0825050235866797</v>
          </cell>
        </row>
        <row r="10">
          <cell r="A10" t="str">
            <v>晓美</v>
          </cell>
          <cell r="B10" t="str">
            <v>Y8012</v>
          </cell>
          <cell r="C10" t="str">
            <v>Glock腰带夹</v>
          </cell>
          <cell r="D10">
            <v>44757</v>
          </cell>
          <cell r="E10" t="str">
            <v>B0B38YLXHH</v>
          </cell>
          <cell r="F10">
            <v>93</v>
          </cell>
          <cell r="G10">
            <v>1</v>
          </cell>
          <cell r="H10">
            <v>3</v>
          </cell>
          <cell r="I10">
            <v>4</v>
          </cell>
          <cell r="J10">
            <v>1</v>
          </cell>
          <cell r="K10">
            <v>102</v>
          </cell>
          <cell r="L10">
            <v>15.54</v>
          </cell>
          <cell r="M10">
            <v>1585.08</v>
          </cell>
          <cell r="N10">
            <v>34</v>
          </cell>
          <cell r="O10">
            <v>61</v>
          </cell>
          <cell r="P10">
            <v>126</v>
          </cell>
          <cell r="Q10">
            <v>33</v>
          </cell>
          <cell r="R10">
            <v>1</v>
          </cell>
          <cell r="S10">
            <v>23.3164005805515</v>
          </cell>
          <cell r="T10">
            <v>0.777213352685051</v>
          </cell>
          <cell r="U10">
            <v>1.17291507268554</v>
          </cell>
          <cell r="V10">
            <v>-0.395701720000489</v>
          </cell>
          <cell r="W10" t="str">
            <v>正常</v>
          </cell>
          <cell r="X10" t="str">
            <v>正常</v>
          </cell>
          <cell r="Y10">
            <v>0</v>
          </cell>
          <cell r="Z10">
            <v>0</v>
          </cell>
          <cell r="AA10">
            <v>0</v>
          </cell>
          <cell r="AB10" t="str">
            <v>-</v>
          </cell>
        </row>
        <row r="11">
          <cell r="A11" t="str">
            <v>晓美</v>
          </cell>
          <cell r="B11" t="str">
            <v>Y8015-GR</v>
          </cell>
          <cell r="C11" t="str">
            <v>Glock光纤前后机瞄</v>
          </cell>
          <cell r="D11">
            <v>44757</v>
          </cell>
          <cell r="E11" t="str">
            <v>B0B4NR7QGP</v>
          </cell>
          <cell r="F11">
            <v>12</v>
          </cell>
          <cell r="G11">
            <v>0</v>
          </cell>
          <cell r="H11">
            <v>0</v>
          </cell>
          <cell r="I11">
            <v>1</v>
          </cell>
          <cell r="J11">
            <v>19</v>
          </cell>
          <cell r="K11">
            <v>32</v>
          </cell>
          <cell r="L11">
            <v>28.185</v>
          </cell>
          <cell r="M11">
            <v>901.92</v>
          </cell>
          <cell r="N11">
            <v>4</v>
          </cell>
          <cell r="O11">
            <v>18</v>
          </cell>
          <cell r="P11">
            <v>39</v>
          </cell>
          <cell r="Q11">
            <v>7</v>
          </cell>
          <cell r="R11">
            <v>-3</v>
          </cell>
          <cell r="S11">
            <v>31.2558139534884</v>
          </cell>
          <cell r="T11">
            <v>1.04186046511628</v>
          </cell>
          <cell r="U11">
            <v>1.51648351648352</v>
          </cell>
          <cell r="V11">
            <v>-0.474623051367241</v>
          </cell>
          <cell r="W11" t="str">
            <v>库存过高</v>
          </cell>
          <cell r="X11" t="str">
            <v>正常</v>
          </cell>
          <cell r="Y11">
            <v>0</v>
          </cell>
          <cell r="Z11">
            <v>0</v>
          </cell>
          <cell r="AA11">
            <v>0</v>
          </cell>
          <cell r="AB11" t="str">
            <v>-</v>
          </cell>
        </row>
        <row r="12">
          <cell r="A12" t="str">
            <v>晓美</v>
          </cell>
          <cell r="B12" t="str">
            <v>Y8015-RE</v>
          </cell>
          <cell r="C12" t="str">
            <v>Glock光纤前后机瞄</v>
          </cell>
          <cell r="D12">
            <v>44757</v>
          </cell>
          <cell r="E12" t="str">
            <v>B0B4NP7J23</v>
          </cell>
          <cell r="F12">
            <v>62</v>
          </cell>
          <cell r="G12">
            <v>1</v>
          </cell>
          <cell r="H12">
            <v>7</v>
          </cell>
          <cell r="I12">
            <v>1</v>
          </cell>
          <cell r="J12">
            <v>0</v>
          </cell>
          <cell r="K12">
            <v>71</v>
          </cell>
          <cell r="L12">
            <v>28.096</v>
          </cell>
          <cell r="M12">
            <v>1994.816</v>
          </cell>
          <cell r="N12">
            <v>25</v>
          </cell>
          <cell r="O12">
            <v>53</v>
          </cell>
          <cell r="P12">
            <v>86</v>
          </cell>
          <cell r="Q12">
            <v>18</v>
          </cell>
          <cell r="R12">
            <v>7</v>
          </cell>
          <cell r="S12">
            <v>21.3610315186246</v>
          </cell>
          <cell r="T12">
            <v>0.712034383954155</v>
          </cell>
          <cell r="U12">
            <v>2.03272980501393</v>
          </cell>
          <cell r="V12">
            <v>-1.32069542105978</v>
          </cell>
          <cell r="W12" t="str">
            <v>正常</v>
          </cell>
          <cell r="X12" t="str">
            <v>正常</v>
          </cell>
          <cell r="Y12">
            <v>12.35</v>
          </cell>
          <cell r="Z12">
            <v>24.61</v>
          </cell>
          <cell r="AA12">
            <v>43.14</v>
          </cell>
          <cell r="AB12">
            <v>0.121149695899549</v>
          </cell>
        </row>
        <row r="13">
          <cell r="A13" t="str">
            <v>晓美</v>
          </cell>
          <cell r="B13" t="str">
            <v>Y8016-GR</v>
          </cell>
          <cell r="C13" t="str">
            <v>激光笔校准器（2个电池+24个头）</v>
          </cell>
          <cell r="D13">
            <v>44757</v>
          </cell>
          <cell r="E13" t="str">
            <v>B0B569T45Q</v>
          </cell>
          <cell r="F13">
            <v>34</v>
          </cell>
          <cell r="G13">
            <v>0</v>
          </cell>
          <cell r="H13">
            <v>0</v>
          </cell>
          <cell r="I13">
            <v>0</v>
          </cell>
          <cell r="J13">
            <v>0</v>
          </cell>
          <cell r="K13">
            <v>34</v>
          </cell>
          <cell r="L13">
            <v>62.607</v>
          </cell>
          <cell r="M13">
            <v>2128.638</v>
          </cell>
          <cell r="N13">
            <v>5</v>
          </cell>
          <cell r="O13">
            <v>11</v>
          </cell>
          <cell r="P13">
            <v>15</v>
          </cell>
          <cell r="Q13">
            <v>2</v>
          </cell>
          <cell r="R13">
            <v>3</v>
          </cell>
          <cell r="S13">
            <v>52.3716381418093</v>
          </cell>
          <cell r="T13">
            <v>1.74572127139364</v>
          </cell>
          <cell r="U13">
            <v>3.09404388714734</v>
          </cell>
          <cell r="V13">
            <v>-1.3483226157537</v>
          </cell>
          <cell r="W13" t="str">
            <v>库存过高</v>
          </cell>
          <cell r="X13" t="str">
            <v>库存过高</v>
          </cell>
          <cell r="Y13">
            <v>28.68</v>
          </cell>
          <cell r="Z13">
            <v>43.6</v>
          </cell>
          <cell r="AA13">
            <v>60.53</v>
          </cell>
          <cell r="AB13">
            <v>0.217355058734369</v>
          </cell>
        </row>
        <row r="14">
          <cell r="A14" t="str">
            <v>晓美</v>
          </cell>
          <cell r="B14" t="str">
            <v>Y8016-RE</v>
          </cell>
          <cell r="C14" t="str">
            <v>激光笔校准器（2个电池+24个头）</v>
          </cell>
          <cell r="D14">
            <v>44804</v>
          </cell>
          <cell r="E14" t="str">
            <v>B0B56CBTGR</v>
          </cell>
          <cell r="F14">
            <v>14</v>
          </cell>
          <cell r="G14">
            <v>0</v>
          </cell>
          <cell r="H14">
            <v>5</v>
          </cell>
          <cell r="I14">
            <v>0</v>
          </cell>
          <cell r="J14">
            <v>0</v>
          </cell>
          <cell r="K14">
            <v>19</v>
          </cell>
          <cell r="L14">
            <v>42.651</v>
          </cell>
          <cell r="M14">
            <v>810.369</v>
          </cell>
          <cell r="N14">
            <v>7</v>
          </cell>
          <cell r="O14">
            <v>12</v>
          </cell>
          <cell r="P14">
            <v>21</v>
          </cell>
          <cell r="Q14">
            <v>4</v>
          </cell>
          <cell r="R14">
            <v>3</v>
          </cell>
          <cell r="S14">
            <v>22.8</v>
          </cell>
          <cell r="T14">
            <v>0.76</v>
          </cell>
          <cell r="U14">
            <v>1.03367875647668</v>
          </cell>
          <cell r="V14">
            <v>-0.27367875647668</v>
          </cell>
          <cell r="W14" t="str">
            <v>正常</v>
          </cell>
          <cell r="X14" t="str">
            <v>正常</v>
          </cell>
          <cell r="Y14">
            <v>28.49</v>
          </cell>
          <cell r="Z14">
            <v>66.86</v>
          </cell>
          <cell r="AA14">
            <v>120.24</v>
          </cell>
          <cell r="AB14">
            <v>0.296894539391413</v>
          </cell>
        </row>
        <row r="15">
          <cell r="A15" t="str">
            <v>晓美</v>
          </cell>
          <cell r="B15" t="str">
            <v>Y8009-RD</v>
          </cell>
          <cell r="C15" t="str">
            <v>Glock铝合金握把底座配件- G19 Gen3/4</v>
          </cell>
          <cell r="D15">
            <v>44734</v>
          </cell>
          <cell r="E15" t="str">
            <v>B0B5CKCWLP</v>
          </cell>
          <cell r="F15">
            <v>45</v>
          </cell>
          <cell r="G15">
            <v>4</v>
          </cell>
          <cell r="H15">
            <v>8</v>
          </cell>
          <cell r="I15">
            <v>2</v>
          </cell>
          <cell r="J15">
            <v>0</v>
          </cell>
          <cell r="K15">
            <v>59</v>
          </cell>
          <cell r="L15">
            <v>31.511</v>
          </cell>
          <cell r="M15">
            <v>1859.149</v>
          </cell>
          <cell r="N15">
            <v>22</v>
          </cell>
          <cell r="O15">
            <v>44</v>
          </cell>
          <cell r="P15">
            <v>93</v>
          </cell>
          <cell r="Q15">
            <v>24</v>
          </cell>
          <cell r="R15">
            <v>-2</v>
          </cell>
          <cell r="S15">
            <v>19.2890503373119</v>
          </cell>
          <cell r="T15">
            <v>0.642968344577063</v>
          </cell>
          <cell r="U15">
            <v>1.0154091392136</v>
          </cell>
          <cell r="V15">
            <v>-0.372440794636537</v>
          </cell>
          <cell r="W15" t="str">
            <v>正常</v>
          </cell>
          <cell r="X15" t="str">
            <v>正常</v>
          </cell>
          <cell r="Y15">
            <v>0</v>
          </cell>
          <cell r="Z15">
            <v>0</v>
          </cell>
          <cell r="AA15">
            <v>0</v>
          </cell>
          <cell r="AB15" t="str">
            <v>-</v>
          </cell>
        </row>
        <row r="16">
          <cell r="A16" t="str">
            <v>晓美</v>
          </cell>
          <cell r="B16" t="str">
            <v>Y8020-BL-1</v>
          </cell>
          <cell r="C16" t="str">
            <v>Glock铝合金握把底座配件- G17 Gen3/4</v>
          </cell>
          <cell r="D16">
            <v>44767</v>
          </cell>
          <cell r="E16" t="str">
            <v>B0B5ST6VGH</v>
          </cell>
          <cell r="F16">
            <v>151</v>
          </cell>
          <cell r="G16">
            <v>3</v>
          </cell>
          <cell r="H16">
            <v>23</v>
          </cell>
          <cell r="I16">
            <v>1</v>
          </cell>
          <cell r="J16">
            <v>2</v>
          </cell>
          <cell r="K16">
            <v>180</v>
          </cell>
          <cell r="L16">
            <v>32.165</v>
          </cell>
          <cell r="M16">
            <v>5789.7</v>
          </cell>
          <cell r="N16">
            <v>73</v>
          </cell>
          <cell r="O16">
            <v>156</v>
          </cell>
          <cell r="P16">
            <v>295</v>
          </cell>
          <cell r="Q16">
            <v>66</v>
          </cell>
          <cell r="R16">
            <v>7</v>
          </cell>
          <cell r="S16">
            <v>17.6114303463271</v>
          </cell>
          <cell r="T16">
            <v>0.587047678210902</v>
          </cell>
          <cell r="U16">
            <v>1.4712389380531</v>
          </cell>
          <cell r="V16">
            <v>-0.884191259842198</v>
          </cell>
          <cell r="W16" t="str">
            <v>正常</v>
          </cell>
          <cell r="X16" t="str">
            <v>正常</v>
          </cell>
          <cell r="Y16">
            <v>16.51</v>
          </cell>
          <cell r="Z16">
            <v>35.87</v>
          </cell>
          <cell r="AA16">
            <v>70.36</v>
          </cell>
          <cell r="AB16">
            <v>0.0457581552617721</v>
          </cell>
        </row>
        <row r="17">
          <cell r="A17" t="str">
            <v>晓美</v>
          </cell>
          <cell r="B17" t="str">
            <v>Y8020-RE-1</v>
          </cell>
          <cell r="C17" t="str">
            <v>Glock铝合金握把底座配件- G17 Gen3/4</v>
          </cell>
          <cell r="D17">
            <v>44767</v>
          </cell>
          <cell r="E17" t="str">
            <v>B0B5SR53ZR</v>
          </cell>
          <cell r="F17">
            <v>62</v>
          </cell>
          <cell r="G17">
            <v>0</v>
          </cell>
          <cell r="H17">
            <v>1</v>
          </cell>
          <cell r="I17">
            <v>10</v>
          </cell>
          <cell r="J17">
            <v>0</v>
          </cell>
          <cell r="K17">
            <v>73</v>
          </cell>
          <cell r="L17">
            <v>32.521</v>
          </cell>
          <cell r="M17">
            <v>2374.033</v>
          </cell>
          <cell r="N17">
            <v>0</v>
          </cell>
          <cell r="O17">
            <v>0</v>
          </cell>
          <cell r="P17">
            <v>0</v>
          </cell>
          <cell r="Q17">
            <v>0</v>
          </cell>
          <cell r="R17">
            <v>0</v>
          </cell>
          <cell r="S17" t="str">
            <v>-</v>
          </cell>
          <cell r="T17" t="str">
            <v>-</v>
          </cell>
          <cell r="U17">
            <v>6.65625</v>
          </cell>
          <cell r="V17" t="str">
            <v>-</v>
          </cell>
          <cell r="W17" t="str">
            <v>有库存无销量</v>
          </cell>
          <cell r="X17" t="str">
            <v>有库存无销量</v>
          </cell>
          <cell r="Y17">
            <v>0</v>
          </cell>
          <cell r="Z17">
            <v>0</v>
          </cell>
          <cell r="AA17">
            <v>1.84</v>
          </cell>
          <cell r="AB17" t="str">
            <v>-</v>
          </cell>
        </row>
        <row r="18">
          <cell r="A18" t="str">
            <v>晓美</v>
          </cell>
          <cell r="B18" t="str">
            <v>Y8009-BA-1</v>
          </cell>
          <cell r="C18" t="str">
            <v>Glock铝合金握把底座配件- G19 Gen3/4</v>
          </cell>
          <cell r="D18">
            <v>44734</v>
          </cell>
          <cell r="E18" t="str">
            <v>B0B5WT8QV5</v>
          </cell>
          <cell r="F18">
            <v>67</v>
          </cell>
          <cell r="G18">
            <v>17</v>
          </cell>
          <cell r="H18">
            <v>16</v>
          </cell>
          <cell r="I18">
            <v>7</v>
          </cell>
          <cell r="J18">
            <v>4</v>
          </cell>
          <cell r="K18">
            <v>111</v>
          </cell>
          <cell r="L18">
            <v>31.342</v>
          </cell>
          <cell r="M18">
            <v>3478.962</v>
          </cell>
          <cell r="N18">
            <v>87</v>
          </cell>
          <cell r="O18">
            <v>187</v>
          </cell>
          <cell r="P18">
            <v>364</v>
          </cell>
          <cell r="Q18">
            <v>77</v>
          </cell>
          <cell r="R18">
            <v>10</v>
          </cell>
          <cell r="S18">
            <v>8.99305555555556</v>
          </cell>
          <cell r="T18">
            <v>0.299768518518519</v>
          </cell>
          <cell r="U18">
            <v>1.04363636363636</v>
          </cell>
          <cell r="V18">
            <v>-0.743867845117841</v>
          </cell>
          <cell r="W18" t="str">
            <v>库存过低</v>
          </cell>
          <cell r="X18" t="str">
            <v>库存过低</v>
          </cell>
          <cell r="Y18">
            <v>17.81</v>
          </cell>
          <cell r="Z18">
            <v>30.58</v>
          </cell>
          <cell r="AA18">
            <v>77.06</v>
          </cell>
          <cell r="AB18">
            <v>0.0669901451891973</v>
          </cell>
        </row>
        <row r="19">
          <cell r="A19" t="str">
            <v>晓美</v>
          </cell>
          <cell r="B19" t="str">
            <v>Y8024</v>
          </cell>
          <cell r="C19" t="str">
            <v>皮带钥匙扣1只</v>
          </cell>
          <cell r="D19">
            <v>44767</v>
          </cell>
          <cell r="E19" t="str">
            <v>B0B5ZJC269</v>
          </cell>
          <cell r="F19">
            <v>0</v>
          </cell>
          <cell r="G19">
            <v>0</v>
          </cell>
          <cell r="H19">
            <v>0</v>
          </cell>
          <cell r="I19">
            <v>0</v>
          </cell>
          <cell r="J19">
            <v>0</v>
          </cell>
          <cell r="K19">
            <v>0</v>
          </cell>
          <cell r="L19">
            <v>5.2</v>
          </cell>
          <cell r="M19">
            <v>0</v>
          </cell>
          <cell r="N19">
            <v>0</v>
          </cell>
          <cell r="O19">
            <v>2</v>
          </cell>
          <cell r="P19">
            <v>3</v>
          </cell>
          <cell r="Q19">
            <v>0</v>
          </cell>
          <cell r="R19">
            <v>0</v>
          </cell>
          <cell r="S19">
            <v>0</v>
          </cell>
          <cell r="T19">
            <v>0</v>
          </cell>
          <cell r="U19" t="str">
            <v>-</v>
          </cell>
          <cell r="V19" t="str">
            <v>-</v>
          </cell>
          <cell r="W19" t="str">
            <v>无库存无销量</v>
          </cell>
          <cell r="X19" t="str">
            <v>无库存有销量</v>
          </cell>
          <cell r="Y19">
            <v>0</v>
          </cell>
          <cell r="Z19">
            <v>0</v>
          </cell>
          <cell r="AA19">
            <v>0</v>
          </cell>
          <cell r="AB19" t="str">
            <v>-</v>
          </cell>
        </row>
        <row r="20">
          <cell r="A20" t="str">
            <v>晓美</v>
          </cell>
          <cell r="B20" t="str">
            <v>Y8025</v>
          </cell>
          <cell r="C20" t="str">
            <v>皮带钥匙扣2只</v>
          </cell>
          <cell r="D20">
            <v>44767</v>
          </cell>
          <cell r="E20" t="str">
            <v>B0B5ZHCX9W</v>
          </cell>
          <cell r="F20">
            <v>6</v>
          </cell>
          <cell r="G20">
            <v>0</v>
          </cell>
          <cell r="H20">
            <v>0</v>
          </cell>
          <cell r="I20">
            <v>0</v>
          </cell>
          <cell r="J20">
            <v>0</v>
          </cell>
          <cell r="K20">
            <v>6</v>
          </cell>
          <cell r="L20">
            <v>9.6</v>
          </cell>
          <cell r="M20">
            <v>57.6</v>
          </cell>
          <cell r="N20">
            <v>0</v>
          </cell>
          <cell r="O20">
            <v>0</v>
          </cell>
          <cell r="P20">
            <v>0</v>
          </cell>
          <cell r="Q20">
            <v>0</v>
          </cell>
          <cell r="R20">
            <v>0</v>
          </cell>
          <cell r="S20" t="str">
            <v>-</v>
          </cell>
          <cell r="T20" t="str">
            <v>-</v>
          </cell>
          <cell r="U20" t="str">
            <v>-</v>
          </cell>
          <cell r="V20" t="str">
            <v>-</v>
          </cell>
          <cell r="W20" t="str">
            <v>有库存无销量</v>
          </cell>
          <cell r="X20" t="str">
            <v>有库存无销量</v>
          </cell>
          <cell r="Y20">
            <v>0</v>
          </cell>
          <cell r="Z20">
            <v>0</v>
          </cell>
          <cell r="AA20">
            <v>0</v>
          </cell>
          <cell r="AB20" t="str">
            <v>-</v>
          </cell>
        </row>
        <row r="21">
          <cell r="A21" t="str">
            <v>晓美</v>
          </cell>
          <cell r="B21" t="str">
            <v>Y8027</v>
          </cell>
          <cell r="C21" t="str">
            <v>户外战术织带挂扣+腰带固定扣（2+10）</v>
          </cell>
          <cell r="D21">
            <v>44767</v>
          </cell>
          <cell r="E21" t="str">
            <v>B0B6R7NXQH</v>
          </cell>
          <cell r="F21">
            <v>9</v>
          </cell>
          <cell r="G21">
            <v>0</v>
          </cell>
          <cell r="H21">
            <v>0</v>
          </cell>
          <cell r="I21">
            <v>0</v>
          </cell>
          <cell r="J21">
            <v>0</v>
          </cell>
          <cell r="K21">
            <v>9</v>
          </cell>
          <cell r="L21">
            <v>19</v>
          </cell>
          <cell r="M21">
            <v>171</v>
          </cell>
          <cell r="N21">
            <v>0</v>
          </cell>
          <cell r="O21">
            <v>0</v>
          </cell>
          <cell r="P21">
            <v>1</v>
          </cell>
          <cell r="Q21">
            <v>1</v>
          </cell>
          <cell r="R21">
            <v>-1</v>
          </cell>
          <cell r="S21">
            <v>810</v>
          </cell>
          <cell r="T21">
            <v>27</v>
          </cell>
          <cell r="U21">
            <v>3.70588235294118</v>
          </cell>
          <cell r="V21">
            <v>23.2941176470588</v>
          </cell>
          <cell r="W21" t="str">
            <v>有库存无销量</v>
          </cell>
          <cell r="X21" t="str">
            <v>库存过高</v>
          </cell>
          <cell r="Y21">
            <v>0</v>
          </cell>
          <cell r="Z21">
            <v>0</v>
          </cell>
          <cell r="AA21">
            <v>0</v>
          </cell>
          <cell r="AB21" t="str">
            <v>-</v>
          </cell>
        </row>
        <row r="22">
          <cell r="A22" t="str">
            <v>晓美</v>
          </cell>
          <cell r="B22" t="str">
            <v>Y8029</v>
          </cell>
          <cell r="C22" t="str">
            <v>战术腰带环</v>
          </cell>
          <cell r="D22">
            <v>44767</v>
          </cell>
          <cell r="E22" t="str">
            <v>B0B6R832BS</v>
          </cell>
          <cell r="F22">
            <v>9</v>
          </cell>
          <cell r="G22">
            <v>0</v>
          </cell>
          <cell r="H22">
            <v>0</v>
          </cell>
          <cell r="I22">
            <v>0</v>
          </cell>
          <cell r="J22">
            <v>0</v>
          </cell>
          <cell r="K22">
            <v>9</v>
          </cell>
          <cell r="L22">
            <v>15.5</v>
          </cell>
          <cell r="M22">
            <v>139.5</v>
          </cell>
          <cell r="N22">
            <v>0</v>
          </cell>
          <cell r="O22">
            <v>1</v>
          </cell>
          <cell r="P22">
            <v>1</v>
          </cell>
          <cell r="Q22">
            <v>0</v>
          </cell>
          <cell r="R22">
            <v>0</v>
          </cell>
          <cell r="S22">
            <v>270</v>
          </cell>
          <cell r="T22">
            <v>9</v>
          </cell>
          <cell r="U22" t="str">
            <v>-</v>
          </cell>
          <cell r="V22" t="str">
            <v>-</v>
          </cell>
          <cell r="W22" t="str">
            <v>有库存无销量</v>
          </cell>
          <cell r="X22" t="str">
            <v>库存过高</v>
          </cell>
          <cell r="Y22">
            <v>0</v>
          </cell>
          <cell r="Z22">
            <v>0</v>
          </cell>
          <cell r="AA22">
            <v>0</v>
          </cell>
          <cell r="AB22" t="str">
            <v>-</v>
          </cell>
        </row>
        <row r="23">
          <cell r="A23" t="str">
            <v>晓美</v>
          </cell>
          <cell r="B23" t="str">
            <v>Y8031</v>
          </cell>
          <cell r="C23" t="str">
            <v>快拆式背带扣 （2个装）</v>
          </cell>
          <cell r="D23">
            <v>44922</v>
          </cell>
          <cell r="E23" t="str">
            <v>B0BMQ34HRH</v>
          </cell>
          <cell r="F23">
            <v>5</v>
          </cell>
          <cell r="G23">
            <v>0</v>
          </cell>
          <cell r="H23">
            <v>0</v>
          </cell>
          <cell r="I23">
            <v>0</v>
          </cell>
          <cell r="J23">
            <v>0</v>
          </cell>
          <cell r="K23">
            <v>5</v>
          </cell>
          <cell r="L23">
            <v>14</v>
          </cell>
          <cell r="M23">
            <v>70</v>
          </cell>
          <cell r="N23">
            <v>0</v>
          </cell>
          <cell r="O23">
            <v>0</v>
          </cell>
          <cell r="P23">
            <v>0</v>
          </cell>
          <cell r="Q23">
            <v>0</v>
          </cell>
          <cell r="R23">
            <v>0</v>
          </cell>
          <cell r="S23" t="str">
            <v>-</v>
          </cell>
          <cell r="T23" t="str">
            <v>-</v>
          </cell>
          <cell r="U23" t="str">
            <v>-</v>
          </cell>
          <cell r="V23" t="str">
            <v>-</v>
          </cell>
          <cell r="W23" t="str">
            <v>有库存无销量</v>
          </cell>
          <cell r="X23" t="str">
            <v>有库存无销量</v>
          </cell>
          <cell r="Y23">
            <v>0</v>
          </cell>
          <cell r="Z23">
            <v>0</v>
          </cell>
          <cell r="AA23">
            <v>0</v>
          </cell>
          <cell r="AB23" t="str">
            <v>-</v>
          </cell>
        </row>
        <row r="24">
          <cell r="A24" t="str">
            <v>晓美</v>
          </cell>
          <cell r="B24" t="str">
            <v>Y8033-RD</v>
          </cell>
          <cell r="C24" t="str">
            <v>Glock铝合金握把底座配件- G19 Gen5</v>
          </cell>
          <cell r="D24">
            <v>44898</v>
          </cell>
          <cell r="E24" t="str">
            <v>B0BN112HWG</v>
          </cell>
          <cell r="F24">
            <v>63</v>
          </cell>
          <cell r="G24">
            <v>0</v>
          </cell>
          <cell r="H24">
            <v>0</v>
          </cell>
          <cell r="I24">
            <v>0</v>
          </cell>
          <cell r="J24">
            <v>6</v>
          </cell>
          <cell r="K24">
            <v>69</v>
          </cell>
          <cell r="L24">
            <v>34.087</v>
          </cell>
          <cell r="M24">
            <v>2352.003</v>
          </cell>
          <cell r="N24">
            <v>0</v>
          </cell>
          <cell r="O24">
            <v>0</v>
          </cell>
          <cell r="P24">
            <v>2</v>
          </cell>
          <cell r="Q24">
            <v>0</v>
          </cell>
          <cell r="R24">
            <v>0</v>
          </cell>
          <cell r="S24">
            <v>3105</v>
          </cell>
          <cell r="T24">
            <v>103.5</v>
          </cell>
          <cell r="U24">
            <v>4.10869565217391</v>
          </cell>
          <cell r="V24">
            <v>99.3913043478261</v>
          </cell>
          <cell r="W24" t="str">
            <v>有库存无销量</v>
          </cell>
          <cell r="X24" t="str">
            <v>库存过高</v>
          </cell>
          <cell r="Y24">
            <v>0</v>
          </cell>
          <cell r="Z24">
            <v>0</v>
          </cell>
          <cell r="AA24">
            <v>0.2</v>
          </cell>
          <cell r="AB24" t="str">
            <v>-</v>
          </cell>
        </row>
        <row r="25">
          <cell r="A25" t="str">
            <v>晓美</v>
          </cell>
          <cell r="B25" t="str">
            <v>Y8033-BL</v>
          </cell>
          <cell r="C25" t="str">
            <v>Glock铝合金握把底座配件- G19 Gen5</v>
          </cell>
          <cell r="D25">
            <v>44898</v>
          </cell>
          <cell r="E25" t="str">
            <v>B0BMVDYPYP</v>
          </cell>
          <cell r="F25">
            <v>75</v>
          </cell>
          <cell r="G25">
            <v>10</v>
          </cell>
          <cell r="H25">
            <v>16</v>
          </cell>
          <cell r="I25">
            <v>1</v>
          </cell>
          <cell r="J25">
            <v>0</v>
          </cell>
          <cell r="K25">
            <v>102</v>
          </cell>
          <cell r="L25">
            <v>34.11</v>
          </cell>
          <cell r="M25">
            <v>3479.22</v>
          </cell>
          <cell r="N25">
            <v>48</v>
          </cell>
          <cell r="O25">
            <v>97</v>
          </cell>
          <cell r="P25">
            <v>203</v>
          </cell>
          <cell r="Q25">
            <v>52</v>
          </cell>
          <cell r="R25">
            <v>-4</v>
          </cell>
          <cell r="S25">
            <v>15.2310974164494</v>
          </cell>
          <cell r="T25">
            <v>0.50770324721498</v>
          </cell>
          <cell r="U25">
            <v>1.24024024024024</v>
          </cell>
          <cell r="V25">
            <v>-0.73253699302526</v>
          </cell>
          <cell r="W25" t="str">
            <v>库存过低</v>
          </cell>
          <cell r="X25" t="str">
            <v>正常</v>
          </cell>
          <cell r="Y25">
            <v>2.51</v>
          </cell>
          <cell r="Z25">
            <v>4.58</v>
          </cell>
          <cell r="AA25">
            <v>6.7</v>
          </cell>
          <cell r="AB25">
            <v>0.0220291381428822</v>
          </cell>
        </row>
        <row r="26">
          <cell r="A26" t="str">
            <v>晓美</v>
          </cell>
          <cell r="B26" t="str">
            <v>Y8034-BL</v>
          </cell>
          <cell r="C26" t="str">
            <v>金属折叠机瞄</v>
          </cell>
          <cell r="D26">
            <v>44922</v>
          </cell>
          <cell r="E26" t="str">
            <v>B0BNMCC1BK</v>
          </cell>
          <cell r="F26">
            <v>21</v>
          </cell>
          <cell r="G26">
            <v>0</v>
          </cell>
          <cell r="H26">
            <v>0</v>
          </cell>
          <cell r="I26">
            <v>0</v>
          </cell>
          <cell r="J26">
            <v>0</v>
          </cell>
          <cell r="K26">
            <v>21</v>
          </cell>
          <cell r="L26">
            <v>32.372</v>
          </cell>
          <cell r="M26">
            <v>679.812</v>
          </cell>
          <cell r="N26">
            <v>2</v>
          </cell>
          <cell r="O26">
            <v>2</v>
          </cell>
          <cell r="P26">
            <v>3</v>
          </cell>
          <cell r="Q26">
            <v>0</v>
          </cell>
          <cell r="R26">
            <v>2</v>
          </cell>
          <cell r="S26">
            <v>121.376146788991</v>
          </cell>
          <cell r="T26">
            <v>4.04587155963303</v>
          </cell>
          <cell r="U26">
            <v>22</v>
          </cell>
          <cell r="V26">
            <v>-17.954128440367</v>
          </cell>
          <cell r="W26" t="str">
            <v>库存过高</v>
          </cell>
          <cell r="X26" t="str">
            <v>库存过高</v>
          </cell>
          <cell r="Y26">
            <v>0.24</v>
          </cell>
          <cell r="Z26">
            <v>0.24</v>
          </cell>
          <cell r="AA26">
            <v>0.44</v>
          </cell>
          <cell r="AB26">
            <v>0.0126382306477093</v>
          </cell>
        </row>
        <row r="27">
          <cell r="A27" t="str">
            <v>晓美</v>
          </cell>
          <cell r="B27" t="str">
            <v>Y8034-SC</v>
          </cell>
          <cell r="C27" t="str">
            <v>金属折叠机瞄</v>
          </cell>
          <cell r="D27">
            <v>44922</v>
          </cell>
          <cell r="E27" t="str">
            <v>B0BNMB3DJF</v>
          </cell>
          <cell r="F27">
            <v>18</v>
          </cell>
          <cell r="G27">
            <v>1</v>
          </cell>
          <cell r="H27">
            <v>0</v>
          </cell>
          <cell r="I27">
            <v>0</v>
          </cell>
          <cell r="J27">
            <v>0</v>
          </cell>
          <cell r="K27">
            <v>19</v>
          </cell>
          <cell r="L27">
            <v>33.933</v>
          </cell>
          <cell r="M27">
            <v>644.727</v>
          </cell>
          <cell r="N27">
            <v>0</v>
          </cell>
          <cell r="O27">
            <v>0</v>
          </cell>
          <cell r="P27">
            <v>0</v>
          </cell>
          <cell r="Q27">
            <v>0</v>
          </cell>
          <cell r="R27">
            <v>0</v>
          </cell>
          <cell r="S27" t="str">
            <v>-</v>
          </cell>
          <cell r="T27" t="str">
            <v>-</v>
          </cell>
          <cell r="U27">
            <v>54</v>
          </cell>
          <cell r="V27" t="str">
            <v>-</v>
          </cell>
          <cell r="W27" t="str">
            <v>有库存无销量</v>
          </cell>
          <cell r="X27" t="str">
            <v>有库存无销量</v>
          </cell>
          <cell r="Y27">
            <v>0</v>
          </cell>
          <cell r="Z27">
            <v>0</v>
          </cell>
          <cell r="AA27">
            <v>0</v>
          </cell>
          <cell r="AB27" t="str">
            <v>-</v>
          </cell>
        </row>
        <row r="28">
          <cell r="A28" t="str">
            <v>晓美</v>
          </cell>
          <cell r="B28" t="str">
            <v>Y8040</v>
          </cell>
          <cell r="C28" t="str">
            <v>户外战术枪套 50inch左手黑色</v>
          </cell>
          <cell r="D28">
            <v>44933</v>
          </cell>
          <cell r="E28" t="str">
            <v>B0BP6TCNTN</v>
          </cell>
          <cell r="F28">
            <v>4</v>
          </cell>
          <cell r="G28">
            <v>0</v>
          </cell>
          <cell r="H28">
            <v>0</v>
          </cell>
          <cell r="I28">
            <v>0</v>
          </cell>
          <cell r="J28">
            <v>0</v>
          </cell>
          <cell r="K28">
            <v>4</v>
          </cell>
          <cell r="L28">
            <v>16.925</v>
          </cell>
          <cell r="M28">
            <v>67.7</v>
          </cell>
          <cell r="N28">
            <v>0</v>
          </cell>
          <cell r="O28">
            <v>0</v>
          </cell>
          <cell r="P28">
            <v>0</v>
          </cell>
          <cell r="Q28">
            <v>0</v>
          </cell>
          <cell r="R28">
            <v>0</v>
          </cell>
          <cell r="S28" t="str">
            <v>-</v>
          </cell>
          <cell r="T28" t="str">
            <v>-</v>
          </cell>
          <cell r="U28" t="str">
            <v>-</v>
          </cell>
          <cell r="V28" t="str">
            <v>-</v>
          </cell>
          <cell r="W28" t="str">
            <v>有库存无销量</v>
          </cell>
          <cell r="X28" t="str">
            <v>有库存无销量</v>
          </cell>
          <cell r="Y28">
            <v>0</v>
          </cell>
          <cell r="Z28">
            <v>0</v>
          </cell>
          <cell r="AA28">
            <v>0</v>
          </cell>
          <cell r="AB28" t="str">
            <v>-</v>
          </cell>
        </row>
        <row r="29">
          <cell r="A29" t="str">
            <v>晓美</v>
          </cell>
          <cell r="B29" t="str">
            <v>Y8041-BL</v>
          </cell>
          <cell r="C29" t="str">
            <v>Glock铝合金握把底座配件- G17 Gen5</v>
          </cell>
          <cell r="D29">
            <v>44918</v>
          </cell>
          <cell r="E29" t="str">
            <v>B0BP6VMQS3</v>
          </cell>
          <cell r="F29">
            <v>94</v>
          </cell>
          <cell r="G29">
            <v>4</v>
          </cell>
          <cell r="H29">
            <v>26</v>
          </cell>
          <cell r="I29">
            <v>5</v>
          </cell>
          <cell r="J29">
            <v>2</v>
          </cell>
          <cell r="K29">
            <v>131</v>
          </cell>
          <cell r="L29">
            <v>34.082</v>
          </cell>
          <cell r="M29">
            <v>4464.742</v>
          </cell>
          <cell r="N29">
            <v>87</v>
          </cell>
          <cell r="O29">
            <v>169</v>
          </cell>
          <cell r="P29">
            <v>312</v>
          </cell>
          <cell r="Q29">
            <v>65</v>
          </cell>
          <cell r="R29">
            <v>22</v>
          </cell>
          <cell r="S29">
            <v>11.5265363128492</v>
          </cell>
          <cell r="T29">
            <v>0.384217877094972</v>
          </cell>
          <cell r="U29">
            <v>1.20551090700344</v>
          </cell>
          <cell r="V29">
            <v>-0.821293029908468</v>
          </cell>
          <cell r="W29" t="str">
            <v>库存过低</v>
          </cell>
          <cell r="X29" t="str">
            <v>库存过低</v>
          </cell>
          <cell r="Y29">
            <v>13.16</v>
          </cell>
          <cell r="Z29">
            <v>23.05</v>
          </cell>
          <cell r="AA29">
            <v>39.22</v>
          </cell>
          <cell r="AB29">
            <v>0.0516361924193675</v>
          </cell>
        </row>
        <row r="30">
          <cell r="A30" t="str">
            <v>晓美</v>
          </cell>
          <cell r="B30" t="str">
            <v>Y8041-RE</v>
          </cell>
          <cell r="C30" t="str">
            <v>Glock铝合金握把底座配件- G17 Gen5</v>
          </cell>
          <cell r="D30">
            <v>44918</v>
          </cell>
          <cell r="E30" t="str">
            <v>B0BP6Y5WJ5</v>
          </cell>
          <cell r="F30">
            <v>50</v>
          </cell>
          <cell r="G30">
            <v>0</v>
          </cell>
          <cell r="H30">
            <v>0</v>
          </cell>
          <cell r="I30">
            <v>0</v>
          </cell>
          <cell r="J30">
            <v>0</v>
          </cell>
          <cell r="K30">
            <v>50</v>
          </cell>
          <cell r="L30">
            <v>34.06</v>
          </cell>
          <cell r="M30">
            <v>1703</v>
          </cell>
          <cell r="N30">
            <v>0</v>
          </cell>
          <cell r="O30">
            <v>0</v>
          </cell>
          <cell r="P30">
            <v>1</v>
          </cell>
          <cell r="Q30">
            <v>0</v>
          </cell>
          <cell r="R30">
            <v>0</v>
          </cell>
          <cell r="S30">
            <v>4500</v>
          </cell>
          <cell r="T30">
            <v>150</v>
          </cell>
          <cell r="U30">
            <v>4.59375</v>
          </cell>
          <cell r="V30">
            <v>145.40625</v>
          </cell>
          <cell r="W30" t="str">
            <v>有库存无销量</v>
          </cell>
          <cell r="X30" t="str">
            <v>库存过高</v>
          </cell>
          <cell r="Y30">
            <v>0</v>
          </cell>
          <cell r="Z30">
            <v>0</v>
          </cell>
          <cell r="AA30">
            <v>0.23</v>
          </cell>
          <cell r="AB30" t="str">
            <v>-</v>
          </cell>
        </row>
        <row r="31">
          <cell r="A31" t="str">
            <v>晓美</v>
          </cell>
          <cell r="B31" t="str">
            <v>Y8042-GR</v>
          </cell>
          <cell r="C31" t="str">
            <v>绿激光校准器（2个电池+12个头）</v>
          </cell>
          <cell r="D31">
            <v>44927</v>
          </cell>
          <cell r="E31" t="str">
            <v>B0BQ658DFT</v>
          </cell>
          <cell r="F31">
            <v>3</v>
          </cell>
          <cell r="G31">
            <v>0</v>
          </cell>
          <cell r="H31">
            <v>0</v>
          </cell>
          <cell r="I31">
            <v>0</v>
          </cell>
          <cell r="J31">
            <v>0</v>
          </cell>
          <cell r="K31">
            <v>3</v>
          </cell>
          <cell r="L31">
            <v>68.6</v>
          </cell>
          <cell r="M31">
            <v>205.8</v>
          </cell>
          <cell r="N31">
            <v>1</v>
          </cell>
          <cell r="O31">
            <v>1</v>
          </cell>
          <cell r="P31">
            <v>1</v>
          </cell>
          <cell r="Q31">
            <v>0</v>
          </cell>
          <cell r="R31">
            <v>1</v>
          </cell>
          <cell r="S31">
            <v>37.0588235294118</v>
          </cell>
          <cell r="T31">
            <v>1.23529411764706</v>
          </cell>
          <cell r="U31" t="str">
            <v>-</v>
          </cell>
          <cell r="V31" t="str">
            <v>-</v>
          </cell>
          <cell r="W31" t="str">
            <v>正常</v>
          </cell>
          <cell r="X31" t="str">
            <v>正常</v>
          </cell>
          <cell r="Y31">
            <v>0</v>
          </cell>
          <cell r="Z31">
            <v>0.37</v>
          </cell>
          <cell r="AA31">
            <v>2.46</v>
          </cell>
          <cell r="AB31" t="str">
            <v>-</v>
          </cell>
        </row>
        <row r="32">
          <cell r="A32" t="str">
            <v>晓美</v>
          </cell>
          <cell r="B32" t="str">
            <v>Y8049</v>
          </cell>
          <cell r="C32" t="str">
            <v>橡胶防滑套 适合Taurus</v>
          </cell>
          <cell r="D32">
            <v>44937</v>
          </cell>
          <cell r="E32" t="str">
            <v>B0BQPPXBGJ</v>
          </cell>
          <cell r="F32">
            <v>0</v>
          </cell>
          <cell r="G32">
            <v>1</v>
          </cell>
          <cell r="H32">
            <v>0</v>
          </cell>
          <cell r="I32">
            <v>0</v>
          </cell>
          <cell r="J32">
            <v>0</v>
          </cell>
          <cell r="K32">
            <v>1</v>
          </cell>
          <cell r="L32">
            <v>10.49</v>
          </cell>
          <cell r="M32">
            <v>10.49</v>
          </cell>
          <cell r="N32">
            <v>0</v>
          </cell>
          <cell r="O32">
            <v>0</v>
          </cell>
          <cell r="P32">
            <v>0</v>
          </cell>
          <cell r="Q32">
            <v>0</v>
          </cell>
          <cell r="R32">
            <v>0</v>
          </cell>
          <cell r="S32" t="str">
            <v>-</v>
          </cell>
          <cell r="T32" t="str">
            <v>-</v>
          </cell>
          <cell r="U32">
            <v>0.048</v>
          </cell>
          <cell r="V32" t="str">
            <v>-</v>
          </cell>
          <cell r="W32" t="str">
            <v>有库存无销量</v>
          </cell>
          <cell r="X32" t="str">
            <v>有库存无销量</v>
          </cell>
          <cell r="Y32">
            <v>0</v>
          </cell>
          <cell r="Z32">
            <v>0</v>
          </cell>
          <cell r="AA32">
            <v>0</v>
          </cell>
          <cell r="AB32" t="str">
            <v>-</v>
          </cell>
        </row>
        <row r="33">
          <cell r="A33" t="str">
            <v>晓美</v>
          </cell>
          <cell r="B33" t="str">
            <v>Y8043-RE*1</v>
          </cell>
          <cell r="C33" t="str">
            <v>带红激光和压垫开关 瞄准镜</v>
          </cell>
          <cell r="D33">
            <v>44946</v>
          </cell>
          <cell r="E33" t="str">
            <v>B0BR6M92HS</v>
          </cell>
          <cell r="F33">
            <v>1</v>
          </cell>
          <cell r="G33">
            <v>0</v>
          </cell>
          <cell r="H33">
            <v>0</v>
          </cell>
          <cell r="I33">
            <v>0</v>
          </cell>
          <cell r="J33">
            <v>0</v>
          </cell>
          <cell r="K33">
            <v>1</v>
          </cell>
          <cell r="L33">
            <v>107.75</v>
          </cell>
          <cell r="M33">
            <v>107.75</v>
          </cell>
          <cell r="N33">
            <v>0</v>
          </cell>
          <cell r="O33">
            <v>0</v>
          </cell>
          <cell r="P33">
            <v>0</v>
          </cell>
          <cell r="Q33">
            <v>0</v>
          </cell>
          <cell r="R33">
            <v>0</v>
          </cell>
          <cell r="S33" t="str">
            <v>-</v>
          </cell>
          <cell r="T33" t="str">
            <v>-</v>
          </cell>
          <cell r="U33" t="str">
            <v>-</v>
          </cell>
          <cell r="V33" t="str">
            <v>-</v>
          </cell>
          <cell r="W33" t="str">
            <v>有库存无销量</v>
          </cell>
          <cell r="X33" t="str">
            <v>有库存无销量</v>
          </cell>
          <cell r="Y33">
            <v>0</v>
          </cell>
          <cell r="Z33">
            <v>0</v>
          </cell>
          <cell r="AA33">
            <v>0</v>
          </cell>
          <cell r="AB33" t="str">
            <v>-</v>
          </cell>
        </row>
        <row r="34">
          <cell r="A34" t="str">
            <v>晓美</v>
          </cell>
          <cell r="B34" t="str">
            <v>Y8055</v>
          </cell>
          <cell r="C34" t="str">
            <v>尼龙前后准星 机械瞄 2代准星（带扳手）</v>
          </cell>
          <cell r="D34">
            <v>44946</v>
          </cell>
          <cell r="E34" t="str">
            <v>B0BRKP3QD8</v>
          </cell>
          <cell r="F34">
            <v>12</v>
          </cell>
          <cell r="G34">
            <v>0</v>
          </cell>
          <cell r="H34">
            <v>0</v>
          </cell>
          <cell r="I34">
            <v>0</v>
          </cell>
          <cell r="J34">
            <v>0</v>
          </cell>
          <cell r="K34">
            <v>12</v>
          </cell>
          <cell r="L34">
            <v>37.464</v>
          </cell>
          <cell r="M34">
            <v>449.568</v>
          </cell>
          <cell r="N34">
            <v>1</v>
          </cell>
          <cell r="O34">
            <v>1</v>
          </cell>
          <cell r="P34">
            <v>1</v>
          </cell>
          <cell r="Q34">
            <v>0</v>
          </cell>
          <cell r="R34">
            <v>1</v>
          </cell>
          <cell r="S34">
            <v>148.235294117647</v>
          </cell>
          <cell r="T34">
            <v>4.94117647058824</v>
          </cell>
          <cell r="U34">
            <v>19.5</v>
          </cell>
          <cell r="V34">
            <v>-14.5588235294118</v>
          </cell>
          <cell r="W34" t="str">
            <v>库存过高</v>
          </cell>
          <cell r="X34" t="str">
            <v>库存过高</v>
          </cell>
          <cell r="Y34">
            <v>1.15</v>
          </cell>
          <cell r="Z34">
            <v>3.08</v>
          </cell>
          <cell r="AA34">
            <v>7.55</v>
          </cell>
          <cell r="AB34" t="str">
            <v>-</v>
          </cell>
        </row>
        <row r="35">
          <cell r="A35" t="str">
            <v>晓美</v>
          </cell>
          <cell r="B35" t="str">
            <v>Y8043-GR*1</v>
          </cell>
          <cell r="C35" t="str">
            <v>带绿激光和压垫开关 瞄准镜</v>
          </cell>
          <cell r="D35">
            <v>44952</v>
          </cell>
          <cell r="E35" t="str">
            <v>B0BR6NG7RC</v>
          </cell>
          <cell r="F35">
            <v>1</v>
          </cell>
          <cell r="G35">
            <v>0</v>
          </cell>
          <cell r="H35">
            <v>0</v>
          </cell>
          <cell r="I35">
            <v>0</v>
          </cell>
          <cell r="J35">
            <v>0</v>
          </cell>
          <cell r="K35">
            <v>1</v>
          </cell>
          <cell r="L35">
            <v>132.911</v>
          </cell>
          <cell r="M35">
            <v>132.911</v>
          </cell>
          <cell r="N35">
            <v>0</v>
          </cell>
          <cell r="O35">
            <v>0</v>
          </cell>
          <cell r="P35">
            <v>0</v>
          </cell>
          <cell r="Q35">
            <v>0</v>
          </cell>
          <cell r="R35">
            <v>0</v>
          </cell>
          <cell r="S35" t="str">
            <v>-</v>
          </cell>
          <cell r="T35" t="str">
            <v>-</v>
          </cell>
          <cell r="U35">
            <v>3</v>
          </cell>
          <cell r="V35" t="str">
            <v>-</v>
          </cell>
          <cell r="W35" t="str">
            <v>有库存无销量</v>
          </cell>
          <cell r="X35" t="str">
            <v>有库存无销量</v>
          </cell>
          <cell r="Y35">
            <v>0</v>
          </cell>
          <cell r="Z35">
            <v>0</v>
          </cell>
          <cell r="AA35">
            <v>0</v>
          </cell>
          <cell r="AB35" t="str">
            <v>-</v>
          </cell>
        </row>
        <row r="36">
          <cell r="A36" t="str">
            <v>晓美</v>
          </cell>
          <cell r="B36" t="str">
            <v>Y8056-BL</v>
          </cell>
          <cell r="C36" t="str">
            <v>战术绷带收纳盒+止血带 一套</v>
          </cell>
          <cell r="D36">
            <v>44973</v>
          </cell>
          <cell r="E36" t="str">
            <v>B0BT9TK3RN</v>
          </cell>
          <cell r="F36">
            <v>199</v>
          </cell>
          <cell r="G36">
            <v>2</v>
          </cell>
          <cell r="H36">
            <v>13</v>
          </cell>
          <cell r="I36">
            <v>5</v>
          </cell>
          <cell r="J36">
            <v>1</v>
          </cell>
          <cell r="K36">
            <v>220</v>
          </cell>
          <cell r="L36">
            <v>20.15</v>
          </cell>
          <cell r="M36">
            <v>4433</v>
          </cell>
          <cell r="N36">
            <v>75</v>
          </cell>
          <cell r="O36">
            <v>132</v>
          </cell>
          <cell r="P36">
            <v>265</v>
          </cell>
          <cell r="Q36">
            <v>62</v>
          </cell>
          <cell r="R36">
            <v>13</v>
          </cell>
          <cell r="S36">
            <v>23.2823786326222</v>
          </cell>
          <cell r="T36">
            <v>0.776079287754074</v>
          </cell>
          <cell r="U36">
            <v>0.919098143236074</v>
          </cell>
          <cell r="V36">
            <v>-0.143018855482</v>
          </cell>
          <cell r="W36" t="str">
            <v>正常</v>
          </cell>
          <cell r="X36" t="str">
            <v>正常</v>
          </cell>
          <cell r="Y36">
            <v>96.9</v>
          </cell>
          <cell r="Z36">
            <v>159.82</v>
          </cell>
          <cell r="AA36">
            <v>295.02</v>
          </cell>
          <cell r="AB36">
            <v>0.122645808019441</v>
          </cell>
        </row>
        <row r="37">
          <cell r="A37" t="str">
            <v>晓美</v>
          </cell>
          <cell r="B37" t="str">
            <v>Y8057-BL</v>
          </cell>
          <cell r="C37" t="str">
            <v>战术绷带收纳盒+止血带 两套</v>
          </cell>
          <cell r="D37">
            <v>44965</v>
          </cell>
          <cell r="E37" t="str">
            <v>B0BTBDJK8Y</v>
          </cell>
          <cell r="F37">
            <v>88</v>
          </cell>
          <cell r="G37">
            <v>0</v>
          </cell>
          <cell r="H37">
            <v>16</v>
          </cell>
          <cell r="I37">
            <v>3</v>
          </cell>
          <cell r="J37">
            <v>0</v>
          </cell>
          <cell r="K37">
            <v>107</v>
          </cell>
          <cell r="L37">
            <v>42.001</v>
          </cell>
          <cell r="M37">
            <v>4494.107</v>
          </cell>
          <cell r="N37">
            <v>32</v>
          </cell>
          <cell r="O37">
            <v>82</v>
          </cell>
          <cell r="P37">
            <v>178</v>
          </cell>
          <cell r="Q37">
            <v>62</v>
          </cell>
          <cell r="R37">
            <v>-30</v>
          </cell>
          <cell r="S37">
            <v>20.0983899821109</v>
          </cell>
          <cell r="T37">
            <v>0.66994633273703</v>
          </cell>
          <cell r="U37">
            <v>0.92109129066107</v>
          </cell>
          <cell r="V37">
            <v>-0.25114495792404</v>
          </cell>
          <cell r="W37" t="str">
            <v>正常</v>
          </cell>
          <cell r="X37" t="str">
            <v>正常</v>
          </cell>
          <cell r="Y37">
            <v>32.96</v>
          </cell>
          <cell r="Z37">
            <v>69.94</v>
          </cell>
          <cell r="AA37">
            <v>132.72</v>
          </cell>
          <cell r="AB37">
            <v>0.222793024199</v>
          </cell>
        </row>
        <row r="38">
          <cell r="A38" t="str">
            <v>晓美</v>
          </cell>
          <cell r="B38" t="str">
            <v>Y8057-GR</v>
          </cell>
          <cell r="C38" t="str">
            <v>战术绷带收纳盒+止血带 两套</v>
          </cell>
          <cell r="D38">
            <v>44973</v>
          </cell>
          <cell r="E38" t="str">
            <v>B0BTBBQ8S7</v>
          </cell>
          <cell r="F38">
            <v>17</v>
          </cell>
          <cell r="G38">
            <v>1</v>
          </cell>
          <cell r="H38">
            <v>0</v>
          </cell>
          <cell r="I38">
            <v>2</v>
          </cell>
          <cell r="J38">
            <v>0</v>
          </cell>
          <cell r="K38">
            <v>20</v>
          </cell>
          <cell r="L38">
            <v>40.6</v>
          </cell>
          <cell r="M38">
            <v>812</v>
          </cell>
          <cell r="N38">
            <v>7</v>
          </cell>
          <cell r="O38">
            <v>11</v>
          </cell>
          <cell r="P38">
            <v>16</v>
          </cell>
          <cell r="Q38">
            <v>0</v>
          </cell>
          <cell r="R38">
            <v>7</v>
          </cell>
          <cell r="S38">
            <v>26.4705882352941</v>
          </cell>
          <cell r="T38">
            <v>0.882352941176471</v>
          </cell>
          <cell r="U38">
            <v>4.35</v>
          </cell>
          <cell r="V38">
            <v>-3.46764705882353</v>
          </cell>
          <cell r="W38" t="str">
            <v>正常</v>
          </cell>
          <cell r="X38" t="str">
            <v>正常</v>
          </cell>
          <cell r="Y38">
            <v>0</v>
          </cell>
          <cell r="Z38">
            <v>0</v>
          </cell>
          <cell r="AA38">
            <v>0</v>
          </cell>
          <cell r="AB38" t="str">
            <v>-</v>
          </cell>
        </row>
        <row r="39">
          <cell r="A39" t="str">
            <v>晓美</v>
          </cell>
          <cell r="B39" t="str">
            <v>Y8061-RE</v>
          </cell>
          <cell r="C39" t="str">
            <v>USB充电20MM红光激光瞄准器</v>
          </cell>
          <cell r="D39">
            <v>44977</v>
          </cell>
          <cell r="E39" t="str">
            <v>B0BTBHDJNT</v>
          </cell>
          <cell r="F39">
            <v>11</v>
          </cell>
          <cell r="G39">
            <v>0</v>
          </cell>
          <cell r="H39">
            <v>0</v>
          </cell>
          <cell r="I39">
            <v>0</v>
          </cell>
          <cell r="J39">
            <v>0</v>
          </cell>
          <cell r="K39">
            <v>11</v>
          </cell>
          <cell r="L39">
            <v>31.785</v>
          </cell>
          <cell r="M39">
            <v>349.635</v>
          </cell>
          <cell r="N39">
            <v>0</v>
          </cell>
          <cell r="O39">
            <v>0</v>
          </cell>
          <cell r="P39">
            <v>0</v>
          </cell>
          <cell r="Q39">
            <v>0</v>
          </cell>
          <cell r="R39">
            <v>0</v>
          </cell>
          <cell r="S39" t="str">
            <v>-</v>
          </cell>
          <cell r="T39" t="str">
            <v>-</v>
          </cell>
          <cell r="U39">
            <v>33</v>
          </cell>
          <cell r="V39" t="str">
            <v>-</v>
          </cell>
          <cell r="W39" t="str">
            <v>有库存无销量</v>
          </cell>
          <cell r="X39" t="str">
            <v>有库存无销量</v>
          </cell>
          <cell r="Y39">
            <v>0</v>
          </cell>
          <cell r="Z39">
            <v>0</v>
          </cell>
          <cell r="AA39">
            <v>0</v>
          </cell>
          <cell r="AB39" t="str">
            <v>-</v>
          </cell>
        </row>
        <row r="40">
          <cell r="A40" t="str">
            <v>晓美</v>
          </cell>
          <cell r="B40" t="str">
            <v>Y8062</v>
          </cell>
          <cell r="C40" t="str">
            <v>金属3色光纤瞄 前后光纤 For Glock</v>
          </cell>
          <cell r="D40">
            <v>44980</v>
          </cell>
          <cell r="E40" t="str">
            <v>B0BTHLMFQS</v>
          </cell>
          <cell r="F40">
            <v>13</v>
          </cell>
          <cell r="G40">
            <v>0</v>
          </cell>
          <cell r="H40">
            <v>0</v>
          </cell>
          <cell r="I40">
            <v>0</v>
          </cell>
          <cell r="J40">
            <v>0</v>
          </cell>
          <cell r="K40">
            <v>13</v>
          </cell>
          <cell r="L40">
            <v>30.126</v>
          </cell>
          <cell r="M40">
            <v>391.638</v>
          </cell>
          <cell r="N40">
            <v>0</v>
          </cell>
          <cell r="O40">
            <v>0</v>
          </cell>
          <cell r="P40">
            <v>2</v>
          </cell>
          <cell r="Q40">
            <v>1</v>
          </cell>
          <cell r="R40">
            <v>-1</v>
          </cell>
          <cell r="S40">
            <v>585</v>
          </cell>
          <cell r="T40">
            <v>19.5</v>
          </cell>
          <cell r="U40">
            <v>5.76470588235294</v>
          </cell>
          <cell r="V40">
            <v>13.7352941176471</v>
          </cell>
          <cell r="W40" t="str">
            <v>有库存无销量</v>
          </cell>
          <cell r="X40" t="str">
            <v>库存过高</v>
          </cell>
          <cell r="Y40">
            <v>0</v>
          </cell>
          <cell r="Z40">
            <v>0</v>
          </cell>
          <cell r="AA40">
            <v>0</v>
          </cell>
          <cell r="AB40" t="str">
            <v>-</v>
          </cell>
        </row>
        <row r="41">
          <cell r="A41" t="str">
            <v>晓美</v>
          </cell>
          <cell r="B41" t="str">
            <v>Y8053*5</v>
          </cell>
          <cell r="C41" t="str">
            <v>.223REM 红激光校瞄仪</v>
          </cell>
          <cell r="D41">
            <v>44979</v>
          </cell>
          <cell r="E41" t="str">
            <v>B0BTM6SW8Q</v>
          </cell>
          <cell r="F41">
            <v>9</v>
          </cell>
          <cell r="G41">
            <v>0</v>
          </cell>
          <cell r="H41">
            <v>0</v>
          </cell>
          <cell r="I41">
            <v>0</v>
          </cell>
          <cell r="J41">
            <v>0</v>
          </cell>
          <cell r="K41">
            <v>9</v>
          </cell>
          <cell r="L41">
            <v>17</v>
          </cell>
          <cell r="M41">
            <v>153</v>
          </cell>
          <cell r="N41">
            <v>0</v>
          </cell>
          <cell r="O41">
            <v>0</v>
          </cell>
          <cell r="P41">
            <v>0</v>
          </cell>
          <cell r="Q41">
            <v>0</v>
          </cell>
          <cell r="R41">
            <v>0</v>
          </cell>
          <cell r="S41" t="str">
            <v>-</v>
          </cell>
          <cell r="T41" t="str">
            <v>-</v>
          </cell>
          <cell r="U41" t="str">
            <v>-</v>
          </cell>
          <cell r="V41" t="str">
            <v>-</v>
          </cell>
          <cell r="W41" t="str">
            <v>有库存无销量</v>
          </cell>
          <cell r="X41" t="str">
            <v>有库存无销量</v>
          </cell>
          <cell r="Y41">
            <v>1.05</v>
          </cell>
          <cell r="Z41">
            <v>1.05</v>
          </cell>
          <cell r="AA41">
            <v>1.05</v>
          </cell>
          <cell r="AB41" t="str">
            <v>-</v>
          </cell>
        </row>
        <row r="42">
          <cell r="A42" t="str">
            <v>晓美</v>
          </cell>
          <cell r="B42" t="str">
            <v>Y8055-SC</v>
          </cell>
          <cell r="C42" t="str">
            <v>尼龙前后准星 机械瞄 2代准星 泥色（带扳手）</v>
          </cell>
          <cell r="D42">
            <v>44991</v>
          </cell>
          <cell r="E42" t="str">
            <v>B0BW3VLGQG</v>
          </cell>
          <cell r="F42">
            <v>3</v>
          </cell>
          <cell r="G42">
            <v>0</v>
          </cell>
          <cell r="H42">
            <v>0</v>
          </cell>
          <cell r="I42">
            <v>0</v>
          </cell>
          <cell r="J42">
            <v>0</v>
          </cell>
          <cell r="K42">
            <v>3</v>
          </cell>
          <cell r="L42">
            <v>32</v>
          </cell>
          <cell r="M42">
            <v>96</v>
          </cell>
          <cell r="N42">
            <v>2</v>
          </cell>
          <cell r="O42">
            <v>2</v>
          </cell>
          <cell r="P42">
            <v>2</v>
          </cell>
          <cell r="Q42">
            <v>0</v>
          </cell>
          <cell r="R42">
            <v>2</v>
          </cell>
          <cell r="S42">
            <v>18.5294117647059</v>
          </cell>
          <cell r="T42">
            <v>0.617647058823529</v>
          </cell>
          <cell r="U42">
            <v>25</v>
          </cell>
          <cell r="V42">
            <v>-24.3823529411765</v>
          </cell>
          <cell r="W42" t="str">
            <v>库存过低</v>
          </cell>
          <cell r="X42" t="str">
            <v>正常</v>
          </cell>
          <cell r="Y42">
            <v>7.02</v>
          </cell>
          <cell r="Z42">
            <v>14.92</v>
          </cell>
          <cell r="AA42">
            <v>23.78</v>
          </cell>
          <cell r="AB42" t="str">
            <v>-</v>
          </cell>
        </row>
        <row r="43">
          <cell r="A43" t="str">
            <v>晓美</v>
          </cell>
          <cell r="B43" t="str">
            <v>Y8068-1</v>
          </cell>
          <cell r="C43" t="str">
            <v>螺纹管适配器 1/2-28 2PC</v>
          </cell>
          <cell r="D43">
            <v>44992</v>
          </cell>
          <cell r="E43" t="str">
            <v>B0BW8Q2HW3</v>
          </cell>
          <cell r="F43">
            <v>31</v>
          </cell>
          <cell r="G43">
            <v>0</v>
          </cell>
          <cell r="H43">
            <v>10</v>
          </cell>
          <cell r="I43">
            <v>4</v>
          </cell>
          <cell r="J43">
            <v>0</v>
          </cell>
          <cell r="K43">
            <v>45</v>
          </cell>
          <cell r="L43">
            <v>4.216</v>
          </cell>
          <cell r="M43">
            <v>189.72</v>
          </cell>
          <cell r="N43">
            <v>44</v>
          </cell>
          <cell r="O43">
            <v>74</v>
          </cell>
          <cell r="P43">
            <v>117</v>
          </cell>
          <cell r="Q43">
            <v>24</v>
          </cell>
          <cell r="R43">
            <v>20</v>
          </cell>
          <cell r="S43">
            <v>8.92913385826772</v>
          </cell>
          <cell r="T43">
            <v>0.297637795275591</v>
          </cell>
          <cell r="U43">
            <v>1.39123630672926</v>
          </cell>
          <cell r="V43">
            <v>-1.09359851145367</v>
          </cell>
          <cell r="W43" t="str">
            <v>库存过低</v>
          </cell>
          <cell r="X43" t="str">
            <v>库存过低</v>
          </cell>
          <cell r="Y43">
            <v>18.97</v>
          </cell>
          <cell r="Z43">
            <v>34.26</v>
          </cell>
          <cell r="AA43">
            <v>72.4</v>
          </cell>
          <cell r="AB43">
            <v>0.217745638200184</v>
          </cell>
        </row>
        <row r="44">
          <cell r="A44" t="str">
            <v>晓美</v>
          </cell>
          <cell r="B44" t="str">
            <v>Y8069-1</v>
          </cell>
          <cell r="C44" t="str">
            <v>Glock后盖片 2PC</v>
          </cell>
          <cell r="D44">
            <v>44992</v>
          </cell>
          <cell r="E44" t="str">
            <v>B0BW8Q4WRZ</v>
          </cell>
          <cell r="F44">
            <v>17</v>
          </cell>
          <cell r="G44">
            <v>0</v>
          </cell>
          <cell r="H44">
            <v>1</v>
          </cell>
          <cell r="I44">
            <v>0</v>
          </cell>
          <cell r="J44">
            <v>0</v>
          </cell>
          <cell r="K44">
            <v>18</v>
          </cell>
          <cell r="L44">
            <v>17.571</v>
          </cell>
          <cell r="M44">
            <v>316.278</v>
          </cell>
          <cell r="N44">
            <v>3</v>
          </cell>
          <cell r="O44">
            <v>5</v>
          </cell>
          <cell r="P44">
            <v>16</v>
          </cell>
          <cell r="Q44">
            <v>5</v>
          </cell>
          <cell r="R44">
            <v>-2</v>
          </cell>
          <cell r="S44">
            <v>41.6911764705882</v>
          </cell>
          <cell r="T44">
            <v>1.38970588235294</v>
          </cell>
          <cell r="U44">
            <v>1.69942196531792</v>
          </cell>
          <cell r="V44">
            <v>-0.309716082964979</v>
          </cell>
          <cell r="W44" t="str">
            <v>正常</v>
          </cell>
          <cell r="X44" t="str">
            <v>正常</v>
          </cell>
          <cell r="Y44">
            <v>0</v>
          </cell>
          <cell r="Z44">
            <v>0</v>
          </cell>
          <cell r="AA44">
            <v>0</v>
          </cell>
          <cell r="AB44" t="str">
            <v>-</v>
          </cell>
        </row>
        <row r="45">
          <cell r="A45" t="str">
            <v>晓美</v>
          </cell>
          <cell r="B45" t="str">
            <v>Y8067</v>
          </cell>
          <cell r="C45" t="str">
            <v>CQB金属机瞄</v>
          </cell>
          <cell r="D45">
            <v>44999</v>
          </cell>
          <cell r="E45" t="str">
            <v>B0BWXHGNJD</v>
          </cell>
          <cell r="F45">
            <v>3</v>
          </cell>
          <cell r="G45">
            <v>1</v>
          </cell>
          <cell r="H45">
            <v>1</v>
          </cell>
          <cell r="I45">
            <v>0</v>
          </cell>
          <cell r="J45">
            <v>0</v>
          </cell>
          <cell r="K45">
            <v>5</v>
          </cell>
          <cell r="L45">
            <v>37.6</v>
          </cell>
          <cell r="M45">
            <v>188</v>
          </cell>
          <cell r="N45">
            <v>2</v>
          </cell>
          <cell r="O45">
            <v>5</v>
          </cell>
          <cell r="P45">
            <v>13</v>
          </cell>
          <cell r="Q45">
            <v>4</v>
          </cell>
          <cell r="R45">
            <v>-2</v>
          </cell>
          <cell r="S45">
            <v>14.2533936651584</v>
          </cell>
          <cell r="T45">
            <v>0.475113122171946</v>
          </cell>
          <cell r="U45">
            <v>0.790322580645161</v>
          </cell>
          <cell r="V45">
            <v>-0.315209458473215</v>
          </cell>
          <cell r="W45" t="str">
            <v>正常</v>
          </cell>
          <cell r="X45" t="str">
            <v>库存过低</v>
          </cell>
          <cell r="Y45">
            <v>0</v>
          </cell>
          <cell r="Z45">
            <v>0</v>
          </cell>
          <cell r="AA45">
            <v>0</v>
          </cell>
          <cell r="AB45" t="str">
            <v>-</v>
          </cell>
        </row>
        <row r="46">
          <cell r="A46" t="str">
            <v>晓美</v>
          </cell>
          <cell r="B46" t="str">
            <v>Y8072</v>
          </cell>
          <cell r="C46" t="str">
            <v>适用于Safariland 腰板 腰挂配件</v>
          </cell>
          <cell r="D46">
            <v>45007</v>
          </cell>
          <cell r="E46" t="str">
            <v>B0BY4WWDRM</v>
          </cell>
          <cell r="F46">
            <v>13</v>
          </cell>
          <cell r="G46">
            <v>0</v>
          </cell>
          <cell r="H46">
            <v>0</v>
          </cell>
          <cell r="I46">
            <v>0</v>
          </cell>
          <cell r="J46">
            <v>0</v>
          </cell>
          <cell r="K46">
            <v>13</v>
          </cell>
          <cell r="L46">
            <v>10</v>
          </cell>
          <cell r="M46">
            <v>130</v>
          </cell>
          <cell r="N46">
            <v>0</v>
          </cell>
          <cell r="O46">
            <v>0</v>
          </cell>
          <cell r="P46">
            <v>0</v>
          </cell>
          <cell r="Q46">
            <v>0</v>
          </cell>
          <cell r="R46">
            <v>0</v>
          </cell>
          <cell r="S46" t="str">
            <v>-</v>
          </cell>
          <cell r="T46" t="str">
            <v>-</v>
          </cell>
          <cell r="U46" t="str">
            <v>-</v>
          </cell>
          <cell r="V46" t="str">
            <v>-</v>
          </cell>
          <cell r="W46" t="str">
            <v>有库存无销量</v>
          </cell>
          <cell r="X46" t="str">
            <v>有库存无销量</v>
          </cell>
          <cell r="Y46">
            <v>0</v>
          </cell>
          <cell r="Z46">
            <v>0</v>
          </cell>
          <cell r="AA46">
            <v>0</v>
          </cell>
          <cell r="AB46" t="str">
            <v>-</v>
          </cell>
        </row>
        <row r="47">
          <cell r="A47" t="str">
            <v>晓美</v>
          </cell>
          <cell r="B47" t="str">
            <v>Y8074*2</v>
          </cell>
          <cell r="C47" t="str">
            <v>绷带 2个装</v>
          </cell>
          <cell r="D47">
            <v>45020</v>
          </cell>
          <cell r="E47" t="str">
            <v>B0BYSKSMYD</v>
          </cell>
          <cell r="F47">
            <v>12</v>
          </cell>
          <cell r="G47">
            <v>0</v>
          </cell>
          <cell r="H47">
            <v>0</v>
          </cell>
          <cell r="I47">
            <v>0</v>
          </cell>
          <cell r="J47">
            <v>0</v>
          </cell>
          <cell r="K47">
            <v>12</v>
          </cell>
          <cell r="L47">
            <v>16.6</v>
          </cell>
          <cell r="M47">
            <v>199.2</v>
          </cell>
          <cell r="N47">
            <v>5</v>
          </cell>
          <cell r="O47">
            <v>13</v>
          </cell>
          <cell r="P47">
            <v>22</v>
          </cell>
          <cell r="Q47">
            <v>5</v>
          </cell>
          <cell r="R47">
            <v>0</v>
          </cell>
          <cell r="S47">
            <v>15.5555555555556</v>
          </cell>
          <cell r="T47">
            <v>0.518518518518518</v>
          </cell>
          <cell r="U47">
            <v>1.51492537313433</v>
          </cell>
          <cell r="V47">
            <v>-0.996406854615811</v>
          </cell>
          <cell r="W47" t="str">
            <v>正常</v>
          </cell>
          <cell r="X47" t="str">
            <v>正常</v>
          </cell>
          <cell r="Y47">
            <v>1.88</v>
          </cell>
          <cell r="Z47">
            <v>3.77</v>
          </cell>
          <cell r="AA47">
            <v>6.54</v>
          </cell>
          <cell r="AB47">
            <v>0.134381701215154</v>
          </cell>
        </row>
        <row r="48">
          <cell r="A48" t="str">
            <v>晓美</v>
          </cell>
          <cell r="B48" t="str">
            <v>Y8078-BL</v>
          </cell>
          <cell r="C48" t="str">
            <v>适用于3/4代 Glock G19 G23 G32 G38</v>
          </cell>
          <cell r="D48">
            <v>45021</v>
          </cell>
          <cell r="E48" t="str">
            <v>B0BZCPXC32</v>
          </cell>
          <cell r="F48">
            <v>0</v>
          </cell>
          <cell r="G48">
            <v>1</v>
          </cell>
          <cell r="H48">
            <v>0</v>
          </cell>
          <cell r="I48">
            <v>0</v>
          </cell>
          <cell r="J48">
            <v>0</v>
          </cell>
          <cell r="K48">
            <v>1</v>
          </cell>
          <cell r="L48">
            <v>12.063</v>
          </cell>
          <cell r="M48">
            <v>12.063</v>
          </cell>
          <cell r="N48">
            <v>0</v>
          </cell>
          <cell r="O48">
            <v>0</v>
          </cell>
          <cell r="P48">
            <v>0</v>
          </cell>
          <cell r="Q48">
            <v>0</v>
          </cell>
          <cell r="R48">
            <v>0</v>
          </cell>
          <cell r="S48" t="str">
            <v>-</v>
          </cell>
          <cell r="T48" t="str">
            <v>-</v>
          </cell>
          <cell r="U48" t="str">
            <v>-</v>
          </cell>
          <cell r="V48" t="str">
            <v>-</v>
          </cell>
          <cell r="W48" t="str">
            <v>有库存无销量</v>
          </cell>
          <cell r="X48" t="str">
            <v>有库存无销量</v>
          </cell>
          <cell r="Y48">
            <v>0</v>
          </cell>
          <cell r="Z48">
            <v>0</v>
          </cell>
          <cell r="AA48">
            <v>0</v>
          </cell>
          <cell r="AB48" t="str">
            <v>-</v>
          </cell>
        </row>
        <row r="49">
          <cell r="A49" t="str">
            <v>晓美</v>
          </cell>
          <cell r="B49" t="str">
            <v>Y8079-BL</v>
          </cell>
          <cell r="C49" t="str">
            <v>For 1/2/5代 Glock 17 18 19X 20 21 22 24 橡胶防滑套</v>
          </cell>
          <cell r="D49">
            <v>45023</v>
          </cell>
          <cell r="E49" t="str">
            <v>B0BZCN378H</v>
          </cell>
          <cell r="F49">
            <v>1</v>
          </cell>
          <cell r="G49">
            <v>0</v>
          </cell>
          <cell r="H49">
            <v>0</v>
          </cell>
          <cell r="I49">
            <v>3</v>
          </cell>
          <cell r="J49">
            <v>0</v>
          </cell>
          <cell r="K49">
            <v>4</v>
          </cell>
          <cell r="L49">
            <v>12.061</v>
          </cell>
          <cell r="M49">
            <v>48.244</v>
          </cell>
          <cell r="N49">
            <v>0</v>
          </cell>
          <cell r="O49">
            <v>0</v>
          </cell>
          <cell r="P49">
            <v>0</v>
          </cell>
          <cell r="Q49">
            <v>0</v>
          </cell>
          <cell r="R49">
            <v>0</v>
          </cell>
          <cell r="S49" t="str">
            <v>-</v>
          </cell>
          <cell r="T49" t="str">
            <v>-</v>
          </cell>
          <cell r="U49">
            <v>0.433734939759036</v>
          </cell>
          <cell r="V49" t="str">
            <v>-</v>
          </cell>
          <cell r="W49" t="str">
            <v>有库存无销量</v>
          </cell>
          <cell r="X49" t="str">
            <v>有库存无销量</v>
          </cell>
          <cell r="Y49">
            <v>0</v>
          </cell>
          <cell r="Z49">
            <v>0</v>
          </cell>
          <cell r="AA49">
            <v>0</v>
          </cell>
          <cell r="AB49" t="str">
            <v>-</v>
          </cell>
        </row>
        <row r="50">
          <cell r="A50" t="str">
            <v>晓美</v>
          </cell>
          <cell r="B50" t="str">
            <v>Y8079-SC</v>
          </cell>
          <cell r="C50" t="str">
            <v>For 1/2/5代 Glock 17 18 19X 20 21 22 24 橡胶防滑套</v>
          </cell>
          <cell r="D50">
            <v>45023</v>
          </cell>
          <cell r="E50" t="str">
            <v>B0BZCJMWYW</v>
          </cell>
          <cell r="F50">
            <v>0</v>
          </cell>
          <cell r="G50">
            <v>0</v>
          </cell>
          <cell r="H50">
            <v>0</v>
          </cell>
          <cell r="I50">
            <v>2</v>
          </cell>
          <cell r="J50">
            <v>0</v>
          </cell>
          <cell r="K50">
            <v>2</v>
          </cell>
          <cell r="L50">
            <v>12.053</v>
          </cell>
          <cell r="M50">
            <v>24.106</v>
          </cell>
          <cell r="N50">
            <v>0</v>
          </cell>
          <cell r="O50">
            <v>0</v>
          </cell>
          <cell r="P50">
            <v>0</v>
          </cell>
          <cell r="Q50">
            <v>0</v>
          </cell>
          <cell r="R50">
            <v>0</v>
          </cell>
          <cell r="S50" t="str">
            <v>-</v>
          </cell>
          <cell r="T50" t="str">
            <v>-</v>
          </cell>
          <cell r="U50">
            <v>0.290322580645161</v>
          </cell>
          <cell r="V50" t="str">
            <v>-</v>
          </cell>
          <cell r="W50" t="str">
            <v>有库存无销量</v>
          </cell>
          <cell r="X50" t="str">
            <v>有库存无销量</v>
          </cell>
          <cell r="Y50">
            <v>0</v>
          </cell>
          <cell r="Z50">
            <v>0</v>
          </cell>
          <cell r="AA50">
            <v>0</v>
          </cell>
          <cell r="AB50" t="str">
            <v>-</v>
          </cell>
        </row>
        <row r="51">
          <cell r="A51" t="str">
            <v>晓美</v>
          </cell>
          <cell r="B51" t="str">
            <v>Y8080</v>
          </cell>
          <cell r="C51" t="str">
            <v>战术快拔套防滑套 适用Glock</v>
          </cell>
          <cell r="D51">
            <v>45023</v>
          </cell>
          <cell r="E51" t="str">
            <v>B0BZVQWSF6</v>
          </cell>
          <cell r="F51">
            <v>20</v>
          </cell>
          <cell r="G51">
            <v>0</v>
          </cell>
          <cell r="H51">
            <v>5</v>
          </cell>
          <cell r="I51">
            <v>0</v>
          </cell>
          <cell r="J51">
            <v>0</v>
          </cell>
          <cell r="K51">
            <v>25</v>
          </cell>
          <cell r="L51">
            <v>9.3</v>
          </cell>
          <cell r="M51">
            <v>232.5</v>
          </cell>
          <cell r="N51">
            <v>1</v>
          </cell>
          <cell r="O51">
            <v>3</v>
          </cell>
          <cell r="P51">
            <v>16</v>
          </cell>
          <cell r="Q51">
            <v>10</v>
          </cell>
          <cell r="R51">
            <v>-9</v>
          </cell>
          <cell r="S51">
            <v>85.5978260869565</v>
          </cell>
          <cell r="T51">
            <v>2.85326086956522</v>
          </cell>
          <cell r="U51">
            <v>0.400635930047695</v>
          </cell>
          <cell r="V51">
            <v>2.45262493951752</v>
          </cell>
          <cell r="W51" t="str">
            <v>库存过高</v>
          </cell>
          <cell r="X51" t="str">
            <v>库存过高</v>
          </cell>
          <cell r="Y51">
            <v>0.74</v>
          </cell>
          <cell r="Z51">
            <v>2.26</v>
          </cell>
          <cell r="AA51">
            <v>3.63</v>
          </cell>
          <cell r="AB51" t="str">
            <v>-</v>
          </cell>
        </row>
        <row r="52">
          <cell r="A52" t="str">
            <v>晓美</v>
          </cell>
          <cell r="B52" t="str">
            <v>Y8084-BL</v>
          </cell>
          <cell r="C52" t="str">
            <v>橡胶防滑套 握把套 For P365 黑色</v>
          </cell>
          <cell r="D52">
            <v>45034</v>
          </cell>
          <cell r="E52" t="str">
            <v>B0C1N2XR9Y</v>
          </cell>
          <cell r="F52">
            <v>0</v>
          </cell>
          <cell r="G52">
            <v>16</v>
          </cell>
          <cell r="H52">
            <v>0</v>
          </cell>
          <cell r="I52">
            <v>0</v>
          </cell>
          <cell r="J52">
            <v>0</v>
          </cell>
          <cell r="K52">
            <v>16</v>
          </cell>
          <cell r="L52">
            <v>9.084</v>
          </cell>
          <cell r="M52">
            <v>145.344</v>
          </cell>
          <cell r="N52">
            <v>0</v>
          </cell>
          <cell r="O52">
            <v>0</v>
          </cell>
          <cell r="P52">
            <v>0</v>
          </cell>
          <cell r="Q52">
            <v>0</v>
          </cell>
          <cell r="R52">
            <v>0</v>
          </cell>
          <cell r="S52" t="str">
            <v>-</v>
          </cell>
          <cell r="T52" t="str">
            <v>-</v>
          </cell>
          <cell r="U52" t="str">
            <v>-</v>
          </cell>
          <cell r="V52" t="str">
            <v>-</v>
          </cell>
          <cell r="W52" t="str">
            <v>有库存无销量</v>
          </cell>
          <cell r="X52" t="str">
            <v>有库存无销量</v>
          </cell>
          <cell r="Y52">
            <v>0</v>
          </cell>
          <cell r="Z52">
            <v>0</v>
          </cell>
          <cell r="AA52">
            <v>0</v>
          </cell>
          <cell r="AB52" t="str">
            <v>-</v>
          </cell>
        </row>
        <row r="53">
          <cell r="A53" t="str">
            <v>晓美</v>
          </cell>
          <cell r="B53" t="str">
            <v>Y8084-GR</v>
          </cell>
          <cell r="C53" t="str">
            <v>橡胶防滑套 握把套 For P365 绿色</v>
          </cell>
          <cell r="D53">
            <v>45034</v>
          </cell>
          <cell r="E53" t="str">
            <v>B0C1N869SH</v>
          </cell>
          <cell r="F53">
            <v>0</v>
          </cell>
          <cell r="G53">
            <v>1</v>
          </cell>
          <cell r="H53">
            <v>0</v>
          </cell>
          <cell r="I53">
            <v>0</v>
          </cell>
          <cell r="J53">
            <v>0</v>
          </cell>
          <cell r="K53">
            <v>1</v>
          </cell>
          <cell r="L53">
            <v>9.106</v>
          </cell>
          <cell r="M53">
            <v>9.106</v>
          </cell>
          <cell r="N53">
            <v>0</v>
          </cell>
          <cell r="O53">
            <v>0</v>
          </cell>
          <cell r="P53">
            <v>0</v>
          </cell>
          <cell r="Q53">
            <v>0</v>
          </cell>
          <cell r="R53">
            <v>0</v>
          </cell>
          <cell r="S53" t="str">
            <v>-</v>
          </cell>
          <cell r="T53" t="str">
            <v>-</v>
          </cell>
          <cell r="U53">
            <v>3</v>
          </cell>
          <cell r="V53" t="str">
            <v>-</v>
          </cell>
          <cell r="W53" t="str">
            <v>有库存无销量</v>
          </cell>
          <cell r="X53" t="str">
            <v>有库存无销量</v>
          </cell>
          <cell r="Y53">
            <v>0</v>
          </cell>
          <cell r="Z53">
            <v>0</v>
          </cell>
          <cell r="AA53">
            <v>0</v>
          </cell>
          <cell r="AB53" t="str">
            <v>-</v>
          </cell>
        </row>
        <row r="54">
          <cell r="A54" t="str">
            <v>晓美</v>
          </cell>
          <cell r="B54" t="str">
            <v>Y8069-BL</v>
          </cell>
          <cell r="C54" t="str">
            <v>Glock后盖片 2PC 空白 / Gen 1-4代</v>
          </cell>
          <cell r="D54">
            <v>45041</v>
          </cell>
          <cell r="E54" t="str">
            <v>B0C1YH1CHW</v>
          </cell>
          <cell r="F54">
            <v>2</v>
          </cell>
          <cell r="G54">
            <v>0</v>
          </cell>
          <cell r="H54">
            <v>0</v>
          </cell>
          <cell r="I54">
            <v>0</v>
          </cell>
          <cell r="J54">
            <v>0</v>
          </cell>
          <cell r="K54">
            <v>2</v>
          </cell>
          <cell r="L54">
            <v>16.278</v>
          </cell>
          <cell r="M54">
            <v>32.556</v>
          </cell>
          <cell r="N54">
            <v>1</v>
          </cell>
          <cell r="O54">
            <v>2</v>
          </cell>
          <cell r="P54">
            <v>3</v>
          </cell>
          <cell r="Q54">
            <v>1</v>
          </cell>
          <cell r="R54">
            <v>0</v>
          </cell>
          <cell r="S54">
            <v>15.9493670886076</v>
          </cell>
          <cell r="T54">
            <v>0.531645569620253</v>
          </cell>
          <cell r="U54">
            <v>1.29230769230769</v>
          </cell>
          <cell r="V54">
            <v>-0.760662122687437</v>
          </cell>
          <cell r="W54" t="str">
            <v>库存过低</v>
          </cell>
          <cell r="X54" t="str">
            <v>正常</v>
          </cell>
          <cell r="Y54">
            <v>0</v>
          </cell>
          <cell r="Z54">
            <v>0</v>
          </cell>
          <cell r="AA54">
            <v>0.29</v>
          </cell>
          <cell r="AB54" t="str">
            <v>-</v>
          </cell>
        </row>
        <row r="55">
          <cell r="A55" t="str">
            <v>晓美</v>
          </cell>
          <cell r="B55" t="str">
            <v>Y8069-PU</v>
          </cell>
          <cell r="C55" t="str">
            <v>Glock后盖片 2PC 骷髅 / Gen 1-4代</v>
          </cell>
          <cell r="D55">
            <v>45043</v>
          </cell>
          <cell r="E55" t="str">
            <v>B0C1YK8LFT</v>
          </cell>
          <cell r="F55">
            <v>6</v>
          </cell>
          <cell r="G55">
            <v>0</v>
          </cell>
          <cell r="H55">
            <v>0</v>
          </cell>
          <cell r="I55">
            <v>0</v>
          </cell>
          <cell r="J55">
            <v>0</v>
          </cell>
          <cell r="K55">
            <v>6</v>
          </cell>
          <cell r="L55">
            <v>16.263</v>
          </cell>
          <cell r="M55">
            <v>97.578</v>
          </cell>
          <cell r="N55">
            <v>1</v>
          </cell>
          <cell r="O55">
            <v>2</v>
          </cell>
          <cell r="P55">
            <v>3</v>
          </cell>
          <cell r="Q55">
            <v>1</v>
          </cell>
          <cell r="R55">
            <v>0</v>
          </cell>
          <cell r="S55">
            <v>47.8481012658228</v>
          </cell>
          <cell r="T55">
            <v>1.59493670886076</v>
          </cell>
          <cell r="U55">
            <v>2.12658227848101</v>
          </cell>
          <cell r="V55">
            <v>-0.53164556962025</v>
          </cell>
          <cell r="W55" t="str">
            <v>正常</v>
          </cell>
          <cell r="X55" t="str">
            <v>库存过高</v>
          </cell>
          <cell r="Y55">
            <v>0.24</v>
          </cell>
          <cell r="Z55">
            <v>0.48</v>
          </cell>
          <cell r="AA55">
            <v>1.12</v>
          </cell>
          <cell r="AB55" t="str">
            <v>-</v>
          </cell>
        </row>
        <row r="56">
          <cell r="A56" t="str">
            <v>晓美</v>
          </cell>
          <cell r="B56" t="str">
            <v>Y8082-NF</v>
          </cell>
          <cell r="C56" t="str">
            <v>Glock后盖片 2PC 国旗 / Gen 5代</v>
          </cell>
          <cell r="D56">
            <v>45054</v>
          </cell>
          <cell r="E56" t="str">
            <v>B0C1YNWB4Y</v>
          </cell>
          <cell r="F56">
            <v>20</v>
          </cell>
          <cell r="G56">
            <v>0</v>
          </cell>
          <cell r="H56">
            <v>1</v>
          </cell>
          <cell r="I56">
            <v>0</v>
          </cell>
          <cell r="J56">
            <v>0</v>
          </cell>
          <cell r="K56">
            <v>21</v>
          </cell>
          <cell r="L56">
            <v>16.15</v>
          </cell>
          <cell r="M56">
            <v>339.15</v>
          </cell>
          <cell r="N56">
            <v>0</v>
          </cell>
          <cell r="O56">
            <v>1</v>
          </cell>
          <cell r="P56">
            <v>6</v>
          </cell>
          <cell r="Q56">
            <v>1</v>
          </cell>
          <cell r="R56">
            <v>-1</v>
          </cell>
          <cell r="S56">
            <v>236.25</v>
          </cell>
          <cell r="T56">
            <v>7.875</v>
          </cell>
          <cell r="U56">
            <v>6.83720930232558</v>
          </cell>
          <cell r="V56">
            <v>1.03779069767442</v>
          </cell>
          <cell r="W56" t="str">
            <v>有库存无销量</v>
          </cell>
          <cell r="X56" t="str">
            <v>库存过高</v>
          </cell>
          <cell r="Y56">
            <v>0.35</v>
          </cell>
          <cell r="Z56">
            <v>0.69</v>
          </cell>
          <cell r="AA56">
            <v>1.39</v>
          </cell>
          <cell r="AB56" t="str">
            <v>-</v>
          </cell>
        </row>
        <row r="57">
          <cell r="A57" t="str">
            <v>晓美</v>
          </cell>
          <cell r="B57" t="str">
            <v>Y8082-BL</v>
          </cell>
          <cell r="C57" t="str">
            <v>Glock后盖片 2PC 空白 / Gen 5代</v>
          </cell>
          <cell r="D57">
            <v>45054</v>
          </cell>
          <cell r="E57" t="str">
            <v>B0C23BT743</v>
          </cell>
          <cell r="F57">
            <v>45</v>
          </cell>
          <cell r="G57">
            <v>0</v>
          </cell>
          <cell r="H57">
            <v>0</v>
          </cell>
          <cell r="I57">
            <v>0</v>
          </cell>
          <cell r="J57">
            <v>0</v>
          </cell>
          <cell r="K57">
            <v>45</v>
          </cell>
          <cell r="L57">
            <v>16.278</v>
          </cell>
          <cell r="M57">
            <v>732.51</v>
          </cell>
          <cell r="N57">
            <v>4</v>
          </cell>
          <cell r="O57">
            <v>8</v>
          </cell>
          <cell r="P57">
            <v>17</v>
          </cell>
          <cell r="Q57">
            <v>4</v>
          </cell>
          <cell r="R57">
            <v>0</v>
          </cell>
          <cell r="S57">
            <v>80.7692307692308</v>
          </cell>
          <cell r="T57">
            <v>2.69230769230769</v>
          </cell>
          <cell r="U57">
            <v>3.10483870967742</v>
          </cell>
          <cell r="V57">
            <v>-0.412531017369728</v>
          </cell>
          <cell r="W57" t="str">
            <v>库存过高</v>
          </cell>
          <cell r="X57" t="str">
            <v>库存过高</v>
          </cell>
          <cell r="Y57">
            <v>2.65</v>
          </cell>
          <cell r="Z57">
            <v>5.1</v>
          </cell>
          <cell r="AA57">
            <v>6.68</v>
          </cell>
          <cell r="AB57">
            <v>0.221017514595496</v>
          </cell>
        </row>
        <row r="58">
          <cell r="A58" t="str">
            <v>晓美</v>
          </cell>
          <cell r="B58" t="str">
            <v>Y8049-GR</v>
          </cell>
          <cell r="C58" t="str">
            <v>橡胶防滑套 绿色 适合Taurus</v>
          </cell>
          <cell r="D58">
            <v>45038</v>
          </cell>
          <cell r="E58" t="str">
            <v>B0C2HGPKZN</v>
          </cell>
          <cell r="F58">
            <v>0</v>
          </cell>
          <cell r="G58">
            <v>1</v>
          </cell>
          <cell r="H58">
            <v>0</v>
          </cell>
          <cell r="I58">
            <v>0</v>
          </cell>
          <cell r="J58">
            <v>0</v>
          </cell>
          <cell r="K58">
            <v>1</v>
          </cell>
          <cell r="L58">
            <v>10.4</v>
          </cell>
          <cell r="M58">
            <v>10.4</v>
          </cell>
          <cell r="N58">
            <v>0</v>
          </cell>
          <cell r="O58">
            <v>0</v>
          </cell>
          <cell r="P58">
            <v>0</v>
          </cell>
          <cell r="Q58">
            <v>0</v>
          </cell>
          <cell r="R58">
            <v>0</v>
          </cell>
          <cell r="S58" t="str">
            <v>-</v>
          </cell>
          <cell r="T58" t="str">
            <v>-</v>
          </cell>
          <cell r="U58">
            <v>0.473684210526316</v>
          </cell>
          <cell r="V58" t="str">
            <v>-</v>
          </cell>
          <cell r="W58" t="str">
            <v>有库存无销量</v>
          </cell>
          <cell r="X58" t="str">
            <v>有库存无销量</v>
          </cell>
          <cell r="Y58">
            <v>0</v>
          </cell>
          <cell r="Z58">
            <v>0</v>
          </cell>
          <cell r="AA58">
            <v>0</v>
          </cell>
          <cell r="AB58" t="str">
            <v>-</v>
          </cell>
        </row>
        <row r="59">
          <cell r="A59" t="str">
            <v>晓美</v>
          </cell>
          <cell r="B59" t="str">
            <v>Y8083-BL</v>
          </cell>
          <cell r="C59" t="str">
            <v>适合 P365 P365XL 后盖片 2PC 黑色空白</v>
          </cell>
          <cell r="D59">
            <v>45041</v>
          </cell>
          <cell r="E59" t="str">
            <v>B0C2P1L51B</v>
          </cell>
          <cell r="F59">
            <v>5</v>
          </cell>
          <cell r="G59">
            <v>0</v>
          </cell>
          <cell r="H59">
            <v>0</v>
          </cell>
          <cell r="I59">
            <v>0</v>
          </cell>
          <cell r="J59">
            <v>0</v>
          </cell>
          <cell r="K59">
            <v>5</v>
          </cell>
          <cell r="L59">
            <v>20.15</v>
          </cell>
          <cell r="M59">
            <v>100.75</v>
          </cell>
          <cell r="N59">
            <v>0</v>
          </cell>
          <cell r="O59">
            <v>0</v>
          </cell>
          <cell r="P59">
            <v>1</v>
          </cell>
          <cell r="Q59">
            <v>1</v>
          </cell>
          <cell r="R59">
            <v>-1</v>
          </cell>
          <cell r="S59">
            <v>450</v>
          </cell>
          <cell r="T59">
            <v>15</v>
          </cell>
          <cell r="U59">
            <v>1.22093023255814</v>
          </cell>
          <cell r="V59">
            <v>13.7790697674419</v>
          </cell>
          <cell r="W59" t="str">
            <v>有库存无销量</v>
          </cell>
          <cell r="X59" t="str">
            <v>库存过高</v>
          </cell>
          <cell r="Y59">
            <v>0.15</v>
          </cell>
          <cell r="Z59">
            <v>0.41</v>
          </cell>
          <cell r="AA59">
            <v>0.54</v>
          </cell>
          <cell r="AB59" t="str">
            <v>-</v>
          </cell>
        </row>
        <row r="60">
          <cell r="A60" t="str">
            <v>晓美</v>
          </cell>
          <cell r="B60" t="str">
            <v>Y8083-PU</v>
          </cell>
          <cell r="C60" t="str">
            <v>适合 P365 P365XL 后盖片 2PC 黑色惩罚者</v>
          </cell>
          <cell r="D60">
            <v>45041</v>
          </cell>
          <cell r="E60" t="str">
            <v>B0C2VCS231</v>
          </cell>
          <cell r="F60">
            <v>10</v>
          </cell>
          <cell r="G60">
            <v>0</v>
          </cell>
          <cell r="H60">
            <v>0</v>
          </cell>
          <cell r="I60">
            <v>0</v>
          </cell>
          <cell r="J60">
            <v>0</v>
          </cell>
          <cell r="K60">
            <v>10</v>
          </cell>
          <cell r="L60">
            <v>20.15</v>
          </cell>
          <cell r="M60">
            <v>201.5</v>
          </cell>
          <cell r="N60">
            <v>0</v>
          </cell>
          <cell r="O60">
            <v>0</v>
          </cell>
          <cell r="P60">
            <v>1</v>
          </cell>
          <cell r="Q60">
            <v>0</v>
          </cell>
          <cell r="R60">
            <v>0</v>
          </cell>
          <cell r="S60">
            <v>900</v>
          </cell>
          <cell r="T60">
            <v>30</v>
          </cell>
          <cell r="U60">
            <v>33</v>
          </cell>
          <cell r="V60">
            <v>-3</v>
          </cell>
          <cell r="W60" t="str">
            <v>有库存无销量</v>
          </cell>
          <cell r="X60" t="str">
            <v>库存过高</v>
          </cell>
          <cell r="Y60">
            <v>0</v>
          </cell>
          <cell r="Z60">
            <v>0</v>
          </cell>
          <cell r="AA60">
            <v>0.15</v>
          </cell>
          <cell r="AB60" t="str">
            <v>-</v>
          </cell>
        </row>
        <row r="61">
          <cell r="A61" t="str">
            <v>晓美</v>
          </cell>
          <cell r="B61" t="str">
            <v>Y8086</v>
          </cell>
          <cell r="C61" t="str">
            <v>带增高折叠式内红点瞄准镜</v>
          </cell>
          <cell r="D61">
            <v>45051</v>
          </cell>
          <cell r="E61" t="str">
            <v>B0C2Z567KN</v>
          </cell>
          <cell r="F61">
            <v>1</v>
          </cell>
          <cell r="G61">
            <v>2</v>
          </cell>
          <cell r="H61">
            <v>4</v>
          </cell>
          <cell r="I61">
            <v>0</v>
          </cell>
          <cell r="J61">
            <v>0</v>
          </cell>
          <cell r="K61">
            <v>7</v>
          </cell>
          <cell r="L61">
            <v>105.662</v>
          </cell>
          <cell r="M61">
            <v>739.634</v>
          </cell>
          <cell r="N61">
            <v>6</v>
          </cell>
          <cell r="O61">
            <v>24</v>
          </cell>
          <cell r="P61">
            <v>38</v>
          </cell>
          <cell r="Q61">
            <v>7</v>
          </cell>
          <cell r="R61">
            <v>-1</v>
          </cell>
          <cell r="S61">
            <v>5.63938618925831</v>
          </cell>
          <cell r="T61">
            <v>0.187979539641944</v>
          </cell>
          <cell r="U61">
            <v>1.43661971830986</v>
          </cell>
          <cell r="V61">
            <v>-1.24864017866792</v>
          </cell>
          <cell r="W61" t="str">
            <v>库存过低</v>
          </cell>
          <cell r="X61" t="str">
            <v>库存过低</v>
          </cell>
          <cell r="Y61">
            <v>21.79</v>
          </cell>
          <cell r="Z61">
            <v>36.26</v>
          </cell>
          <cell r="AA61">
            <v>56.73</v>
          </cell>
          <cell r="AB61">
            <v>0.123834962491475</v>
          </cell>
        </row>
        <row r="62">
          <cell r="A62" t="str">
            <v>秀青</v>
          </cell>
          <cell r="B62" t="str">
            <v>Y8093-1</v>
          </cell>
          <cell r="C62" t="str">
            <v>瞄准镜支架 20mm导轨Ak47</v>
          </cell>
          <cell r="D62">
            <v>45080</v>
          </cell>
          <cell r="E62" t="str">
            <v>B0C4LDPJVG</v>
          </cell>
          <cell r="F62">
            <v>8</v>
          </cell>
          <cell r="G62">
            <v>0</v>
          </cell>
          <cell r="H62">
            <v>0</v>
          </cell>
          <cell r="I62">
            <v>0</v>
          </cell>
          <cell r="J62">
            <v>0</v>
          </cell>
          <cell r="K62">
            <v>8</v>
          </cell>
          <cell r="L62">
            <v>29.593</v>
          </cell>
          <cell r="M62">
            <v>236.744</v>
          </cell>
          <cell r="N62">
            <v>2</v>
          </cell>
          <cell r="O62">
            <v>4</v>
          </cell>
          <cell r="P62">
            <v>7</v>
          </cell>
          <cell r="Q62">
            <v>2</v>
          </cell>
          <cell r="R62">
            <v>0</v>
          </cell>
          <cell r="S62">
            <v>30.5454545454545</v>
          </cell>
          <cell r="T62">
            <v>1.01818181818182</v>
          </cell>
          <cell r="U62">
            <v>2.05882352941176</v>
          </cell>
          <cell r="V62">
            <v>-1.04064171122994</v>
          </cell>
          <cell r="W62" t="str">
            <v>正常</v>
          </cell>
          <cell r="X62" t="str">
            <v>正常</v>
          </cell>
          <cell r="Y62">
            <v>10.8</v>
          </cell>
          <cell r="Z62">
            <v>15.3</v>
          </cell>
          <cell r="AA62">
            <v>24.72</v>
          </cell>
          <cell r="AB62">
            <v>0.56872037914692</v>
          </cell>
        </row>
        <row r="63">
          <cell r="A63" t="str">
            <v>秀青</v>
          </cell>
          <cell r="B63" t="str">
            <v>Y8090-2</v>
          </cell>
          <cell r="C63" t="str">
            <v>战术快拔套 适用Glock 2PC</v>
          </cell>
          <cell r="D63">
            <v>45083</v>
          </cell>
          <cell r="E63" t="str">
            <v>B0C4XZ4B7L</v>
          </cell>
          <cell r="F63">
            <v>23</v>
          </cell>
          <cell r="G63">
            <v>0</v>
          </cell>
          <cell r="H63">
            <v>0</v>
          </cell>
          <cell r="I63">
            <v>0</v>
          </cell>
          <cell r="J63">
            <v>0</v>
          </cell>
          <cell r="K63">
            <v>23</v>
          </cell>
          <cell r="L63">
            <v>6.04</v>
          </cell>
          <cell r="M63">
            <v>138.92</v>
          </cell>
          <cell r="N63">
            <v>4</v>
          </cell>
          <cell r="O63">
            <v>8</v>
          </cell>
          <cell r="P63">
            <v>17</v>
          </cell>
          <cell r="Q63">
            <v>3</v>
          </cell>
          <cell r="R63">
            <v>1</v>
          </cell>
          <cell r="S63">
            <v>41.2820512820513</v>
          </cell>
          <cell r="T63">
            <v>1.37606837606838</v>
          </cell>
          <cell r="U63">
            <v>3.28695652173913</v>
          </cell>
          <cell r="V63">
            <v>-1.91088814567075</v>
          </cell>
          <cell r="W63" t="str">
            <v>正常</v>
          </cell>
          <cell r="X63" t="str">
            <v>正常</v>
          </cell>
          <cell r="Y63">
            <v>6.37</v>
          </cell>
          <cell r="Z63">
            <v>13.9</v>
          </cell>
          <cell r="AA63">
            <v>27.72</v>
          </cell>
          <cell r="AB63">
            <v>0.335439705107952</v>
          </cell>
        </row>
        <row r="64">
          <cell r="A64" t="str">
            <v>秀青</v>
          </cell>
          <cell r="B64" t="str">
            <v>Y8090-3</v>
          </cell>
          <cell r="C64" t="str">
            <v>战术快拔套 适用Glock 3PC</v>
          </cell>
          <cell r="D64">
            <v>45083</v>
          </cell>
          <cell r="E64" t="str">
            <v>B0C4Y2FCW5</v>
          </cell>
          <cell r="F64">
            <v>16</v>
          </cell>
          <cell r="G64">
            <v>0</v>
          </cell>
          <cell r="H64">
            <v>0</v>
          </cell>
          <cell r="I64">
            <v>0</v>
          </cell>
          <cell r="J64">
            <v>0</v>
          </cell>
          <cell r="K64">
            <v>16</v>
          </cell>
          <cell r="L64">
            <v>9.06</v>
          </cell>
          <cell r="M64">
            <v>144.96</v>
          </cell>
          <cell r="N64">
            <v>2</v>
          </cell>
          <cell r="O64">
            <v>3</v>
          </cell>
          <cell r="P64">
            <v>5</v>
          </cell>
          <cell r="Q64">
            <v>3</v>
          </cell>
          <cell r="R64">
            <v>-1</v>
          </cell>
          <cell r="S64">
            <v>73.5766423357664</v>
          </cell>
          <cell r="T64">
            <v>2.45255474452555</v>
          </cell>
          <cell r="U64">
            <v>2.1</v>
          </cell>
          <cell r="V64">
            <v>0.352554744525547</v>
          </cell>
          <cell r="W64" t="str">
            <v>库存过高</v>
          </cell>
          <cell r="X64" t="str">
            <v>库存过高</v>
          </cell>
          <cell r="Y64">
            <v>0.78</v>
          </cell>
          <cell r="Z64">
            <v>1.19</v>
          </cell>
          <cell r="AA64">
            <v>2.76</v>
          </cell>
          <cell r="AB64" t="str">
            <v>-</v>
          </cell>
        </row>
        <row r="65">
          <cell r="A65" t="str">
            <v>秀青</v>
          </cell>
          <cell r="B65" t="str">
            <v>Y8092-BL-1</v>
          </cell>
          <cell r="C65" t="str">
            <v>骷髅格洛克快拔套</v>
          </cell>
          <cell r="D65">
            <v>45082</v>
          </cell>
          <cell r="E65" t="str">
            <v>B0C4XY3Y7T</v>
          </cell>
          <cell r="F65">
            <v>21</v>
          </cell>
          <cell r="G65">
            <v>0</v>
          </cell>
          <cell r="H65">
            <v>0</v>
          </cell>
          <cell r="I65">
            <v>0</v>
          </cell>
          <cell r="J65">
            <v>0</v>
          </cell>
          <cell r="K65">
            <v>21</v>
          </cell>
          <cell r="L65">
            <v>8.54</v>
          </cell>
          <cell r="M65">
            <v>179.34</v>
          </cell>
          <cell r="N65">
            <v>0</v>
          </cell>
          <cell r="O65">
            <v>3</v>
          </cell>
          <cell r="P65">
            <v>5</v>
          </cell>
          <cell r="Q65">
            <v>1</v>
          </cell>
          <cell r="R65">
            <v>-1</v>
          </cell>
          <cell r="S65">
            <v>171.818181818182</v>
          </cell>
          <cell r="T65">
            <v>5.72727272727273</v>
          </cell>
          <cell r="U65">
            <v>6.1046511627907</v>
          </cell>
          <cell r="V65">
            <v>-0.377378435517972</v>
          </cell>
          <cell r="W65" t="str">
            <v>有库存无销量</v>
          </cell>
          <cell r="X65" t="str">
            <v>库存过高</v>
          </cell>
          <cell r="Y65">
            <v>2.22</v>
          </cell>
          <cell r="Z65">
            <v>6.72</v>
          </cell>
          <cell r="AA65">
            <v>10.6</v>
          </cell>
          <cell r="AB65" t="str">
            <v>-</v>
          </cell>
        </row>
        <row r="66">
          <cell r="A66" t="str">
            <v>秀青</v>
          </cell>
          <cell r="B66" t="str">
            <v>Y8092-BL-2</v>
          </cell>
          <cell r="C66" t="str">
            <v>骷髅格洛克快拔套 2PCS</v>
          </cell>
          <cell r="D66">
            <v>45082</v>
          </cell>
          <cell r="E66" t="str">
            <v>B0C4Y46WGX</v>
          </cell>
          <cell r="F66">
            <v>12</v>
          </cell>
          <cell r="G66">
            <v>0</v>
          </cell>
          <cell r="H66">
            <v>0</v>
          </cell>
          <cell r="I66">
            <v>0</v>
          </cell>
          <cell r="J66">
            <v>0</v>
          </cell>
          <cell r="K66">
            <v>12</v>
          </cell>
          <cell r="L66">
            <v>17.08</v>
          </cell>
          <cell r="M66">
            <v>204.96</v>
          </cell>
          <cell r="N66">
            <v>0</v>
          </cell>
          <cell r="O66">
            <v>0</v>
          </cell>
          <cell r="P66">
            <v>1</v>
          </cell>
          <cell r="Q66">
            <v>0</v>
          </cell>
          <cell r="R66">
            <v>0</v>
          </cell>
          <cell r="S66">
            <v>1080</v>
          </cell>
          <cell r="T66">
            <v>36</v>
          </cell>
          <cell r="U66" t="str">
            <v>-</v>
          </cell>
          <cell r="V66" t="str">
            <v>-</v>
          </cell>
          <cell r="W66" t="str">
            <v>有库存无销量</v>
          </cell>
          <cell r="X66" t="str">
            <v>库存过高</v>
          </cell>
          <cell r="Y66">
            <v>0</v>
          </cell>
          <cell r="Z66">
            <v>0</v>
          </cell>
          <cell r="AA66">
            <v>0</v>
          </cell>
          <cell r="AB66" t="str">
            <v>-</v>
          </cell>
        </row>
        <row r="67">
          <cell r="A67" t="str">
            <v>秀青</v>
          </cell>
          <cell r="B67" t="str">
            <v>Y8092-GA-1</v>
          </cell>
          <cell r="C67" t="str">
            <v>骷髅格洛克快拔套</v>
          </cell>
          <cell r="D67">
            <v>45082</v>
          </cell>
          <cell r="E67" t="str">
            <v>B0C4Y31G5Z</v>
          </cell>
          <cell r="F67">
            <v>12</v>
          </cell>
          <cell r="G67">
            <v>0</v>
          </cell>
          <cell r="H67">
            <v>0</v>
          </cell>
          <cell r="I67">
            <v>0</v>
          </cell>
          <cell r="J67">
            <v>0</v>
          </cell>
          <cell r="K67">
            <v>12</v>
          </cell>
          <cell r="L67">
            <v>8.54</v>
          </cell>
          <cell r="M67">
            <v>102.48</v>
          </cell>
          <cell r="N67">
            <v>0</v>
          </cell>
          <cell r="O67">
            <v>0</v>
          </cell>
          <cell r="P67">
            <v>0</v>
          </cell>
          <cell r="Q67">
            <v>0</v>
          </cell>
          <cell r="R67">
            <v>0</v>
          </cell>
          <cell r="S67" t="str">
            <v>-</v>
          </cell>
          <cell r="T67" t="str">
            <v>-</v>
          </cell>
          <cell r="U67" t="str">
            <v>-</v>
          </cell>
          <cell r="V67" t="str">
            <v>-</v>
          </cell>
          <cell r="W67" t="str">
            <v>有库存无销量</v>
          </cell>
          <cell r="X67" t="str">
            <v>有库存无销量</v>
          </cell>
          <cell r="Y67">
            <v>0</v>
          </cell>
          <cell r="Z67">
            <v>0</v>
          </cell>
          <cell r="AA67">
            <v>0</v>
          </cell>
          <cell r="AB67" t="str">
            <v>-</v>
          </cell>
        </row>
        <row r="68">
          <cell r="A68" t="str">
            <v>秀青</v>
          </cell>
          <cell r="B68" t="str">
            <v>Y8092-GA-2</v>
          </cell>
          <cell r="C68" t="str">
            <v>骷髅格洛克快拔套 2PCS</v>
          </cell>
          <cell r="D68">
            <v>45082</v>
          </cell>
          <cell r="E68" t="str">
            <v>B0C4Y1FMW6</v>
          </cell>
          <cell r="F68">
            <v>4</v>
          </cell>
          <cell r="G68">
            <v>0</v>
          </cell>
          <cell r="H68">
            <v>0</v>
          </cell>
          <cell r="I68">
            <v>0</v>
          </cell>
          <cell r="J68">
            <v>0</v>
          </cell>
          <cell r="K68">
            <v>4</v>
          </cell>
          <cell r="L68">
            <v>17.08</v>
          </cell>
          <cell r="M68">
            <v>68.32</v>
          </cell>
          <cell r="N68">
            <v>0</v>
          </cell>
          <cell r="O68">
            <v>0</v>
          </cell>
          <cell r="P68">
            <v>0</v>
          </cell>
          <cell r="Q68">
            <v>0</v>
          </cell>
          <cell r="R68">
            <v>0</v>
          </cell>
          <cell r="S68" t="str">
            <v>-</v>
          </cell>
          <cell r="T68" t="str">
            <v>-</v>
          </cell>
          <cell r="U68" t="str">
            <v>-</v>
          </cell>
          <cell r="V68" t="str">
            <v>-</v>
          </cell>
          <cell r="W68" t="str">
            <v>有库存无销量</v>
          </cell>
          <cell r="X68" t="str">
            <v>有库存无销量</v>
          </cell>
          <cell r="Y68">
            <v>0</v>
          </cell>
          <cell r="Z68">
            <v>0</v>
          </cell>
          <cell r="AA68">
            <v>0</v>
          </cell>
          <cell r="AB68" t="str">
            <v>-</v>
          </cell>
        </row>
        <row r="69">
          <cell r="A69" t="str">
            <v>秀青</v>
          </cell>
          <cell r="B69" t="str">
            <v>Y8095-GR</v>
          </cell>
          <cell r="C69" t="str">
            <v>红/绿光纤瞄准具 for Taurus-非夜光款</v>
          </cell>
          <cell r="D69">
            <v>45084</v>
          </cell>
          <cell r="E69" t="str">
            <v>B0C6F4TVQ2</v>
          </cell>
          <cell r="F69">
            <v>65</v>
          </cell>
          <cell r="G69">
            <v>1</v>
          </cell>
          <cell r="H69">
            <v>5</v>
          </cell>
          <cell r="I69">
            <v>1</v>
          </cell>
          <cell r="J69">
            <v>0</v>
          </cell>
          <cell r="K69">
            <v>72</v>
          </cell>
          <cell r="L69">
            <v>30.6</v>
          </cell>
          <cell r="M69">
            <v>2203.2</v>
          </cell>
          <cell r="N69">
            <v>18</v>
          </cell>
          <cell r="O69">
            <v>48</v>
          </cell>
          <cell r="P69">
            <v>76</v>
          </cell>
          <cell r="Q69">
            <v>15</v>
          </cell>
          <cell r="R69">
            <v>3</v>
          </cell>
          <cell r="S69">
            <v>26.0091743119266</v>
          </cell>
          <cell r="T69">
            <v>0.86697247706422</v>
          </cell>
          <cell r="U69">
            <v>1.27348394768133</v>
          </cell>
          <cell r="V69">
            <v>-0.40651147061711</v>
          </cell>
          <cell r="W69" t="str">
            <v>正常</v>
          </cell>
          <cell r="X69" t="str">
            <v>正常</v>
          </cell>
          <cell r="Y69">
            <v>14.27</v>
          </cell>
          <cell r="Z69">
            <v>25.44</v>
          </cell>
          <cell r="AA69">
            <v>55.63</v>
          </cell>
          <cell r="AB69">
            <v>0.419952913478517</v>
          </cell>
        </row>
        <row r="70">
          <cell r="A70" t="str">
            <v>秀青</v>
          </cell>
          <cell r="B70" t="str">
            <v>Y8095-RE</v>
          </cell>
          <cell r="C70" t="str">
            <v>红/绿光纤瞄准具 for Taurus-非夜光款</v>
          </cell>
          <cell r="D70">
            <v>45084</v>
          </cell>
          <cell r="E70" t="str">
            <v>B0C6F27TL6</v>
          </cell>
          <cell r="F70">
            <v>33</v>
          </cell>
          <cell r="G70">
            <v>1</v>
          </cell>
          <cell r="H70">
            <v>10</v>
          </cell>
          <cell r="I70">
            <v>0</v>
          </cell>
          <cell r="J70">
            <v>1</v>
          </cell>
          <cell r="K70">
            <v>45</v>
          </cell>
          <cell r="L70">
            <v>30.6</v>
          </cell>
          <cell r="M70">
            <v>1377</v>
          </cell>
          <cell r="N70">
            <v>8</v>
          </cell>
          <cell r="O70">
            <v>8</v>
          </cell>
          <cell r="P70">
            <v>24</v>
          </cell>
          <cell r="Q70">
            <v>6</v>
          </cell>
          <cell r="R70">
            <v>2</v>
          </cell>
          <cell r="S70">
            <v>54.5192307692308</v>
          </cell>
          <cell r="T70">
            <v>1.81730769230769</v>
          </cell>
          <cell r="U70">
            <v>0.202898550724638</v>
          </cell>
          <cell r="V70">
            <v>1.61440914158305</v>
          </cell>
          <cell r="W70" t="str">
            <v>正常</v>
          </cell>
          <cell r="X70" t="str">
            <v>库存过高</v>
          </cell>
          <cell r="Y70">
            <v>6.48</v>
          </cell>
          <cell r="Z70">
            <v>6.48</v>
          </cell>
          <cell r="AA70">
            <v>14.57</v>
          </cell>
          <cell r="AB70">
            <v>0.0961995249406176</v>
          </cell>
        </row>
        <row r="71">
          <cell r="A71" t="str">
            <v>秀青</v>
          </cell>
          <cell r="B71" t="str">
            <v>Y8802-BL</v>
          </cell>
          <cell r="C71" t="str">
            <v>CA Glock铝合金握把底座配件- G19 Gen3/4</v>
          </cell>
          <cell r="D71">
            <v>45097</v>
          </cell>
          <cell r="E71" t="str">
            <v>B0C6STZ5CY</v>
          </cell>
          <cell r="F71">
            <v>30</v>
          </cell>
          <cell r="G71">
            <v>0</v>
          </cell>
          <cell r="H71">
            <v>0</v>
          </cell>
          <cell r="I71">
            <v>0</v>
          </cell>
          <cell r="J71">
            <v>0</v>
          </cell>
          <cell r="K71">
            <v>30</v>
          </cell>
          <cell r="L71">
            <v>31.081</v>
          </cell>
          <cell r="M71">
            <v>932.43</v>
          </cell>
          <cell r="N71">
            <v>0</v>
          </cell>
          <cell r="O71">
            <v>0</v>
          </cell>
          <cell r="P71">
            <v>0</v>
          </cell>
          <cell r="Q71">
            <v>0</v>
          </cell>
          <cell r="R71">
            <v>0</v>
          </cell>
          <cell r="S71" t="str">
            <v>-</v>
          </cell>
          <cell r="T71" t="str">
            <v>-</v>
          </cell>
          <cell r="U71" t="str">
            <v>-</v>
          </cell>
          <cell r="V71" t="str">
            <v>-</v>
          </cell>
          <cell r="W71" t="str">
            <v>有库存无销量</v>
          </cell>
          <cell r="X71" t="str">
            <v>有库存无销量</v>
          </cell>
          <cell r="Y71">
            <v>0</v>
          </cell>
          <cell r="Z71">
            <v>0</v>
          </cell>
          <cell r="AA71">
            <v>0</v>
          </cell>
          <cell r="AB71" t="str">
            <v>-</v>
          </cell>
        </row>
        <row r="72">
          <cell r="A72" t="str">
            <v>秀青</v>
          </cell>
          <cell r="B72" t="str">
            <v>Y8802-RE</v>
          </cell>
          <cell r="C72" t="str">
            <v>CA Glock铝合金握把底座配件- G19 Gen3/4</v>
          </cell>
          <cell r="D72">
            <v>45097</v>
          </cell>
          <cell r="E72" t="str">
            <v>B0C6STZRC8</v>
          </cell>
          <cell r="F72">
            <v>10</v>
          </cell>
          <cell r="G72">
            <v>0</v>
          </cell>
          <cell r="H72">
            <v>0</v>
          </cell>
          <cell r="I72">
            <v>0</v>
          </cell>
          <cell r="J72">
            <v>0</v>
          </cell>
          <cell r="K72">
            <v>10</v>
          </cell>
          <cell r="L72">
            <v>31.084</v>
          </cell>
          <cell r="M72">
            <v>310.84</v>
          </cell>
          <cell r="N72">
            <v>0</v>
          </cell>
          <cell r="O72">
            <v>0</v>
          </cell>
          <cell r="P72">
            <v>0</v>
          </cell>
          <cell r="Q72">
            <v>0</v>
          </cell>
          <cell r="R72">
            <v>0</v>
          </cell>
          <cell r="S72" t="str">
            <v>-</v>
          </cell>
          <cell r="T72" t="str">
            <v>-</v>
          </cell>
          <cell r="U72" t="str">
            <v>-</v>
          </cell>
          <cell r="V72" t="str">
            <v>-</v>
          </cell>
          <cell r="W72" t="str">
            <v>有库存无销量</v>
          </cell>
          <cell r="X72" t="str">
            <v>有库存无销量</v>
          </cell>
          <cell r="Y72">
            <v>0</v>
          </cell>
          <cell r="Z72">
            <v>0</v>
          </cell>
          <cell r="AA72">
            <v>0</v>
          </cell>
          <cell r="AB72" t="str">
            <v>-</v>
          </cell>
        </row>
        <row r="73">
          <cell r="A73" t="str">
            <v>秀青</v>
          </cell>
          <cell r="B73" t="str">
            <v>Y8807-BL</v>
          </cell>
          <cell r="C73" t="str">
            <v>CA Glock铝合金握把底座配件- G17 Gen3/4</v>
          </cell>
          <cell r="D73">
            <v>45097</v>
          </cell>
          <cell r="E73" t="str">
            <v>B0C6STCPW9</v>
          </cell>
          <cell r="F73">
            <v>29</v>
          </cell>
          <cell r="G73">
            <v>0</v>
          </cell>
          <cell r="H73">
            <v>0</v>
          </cell>
          <cell r="I73">
            <v>0</v>
          </cell>
          <cell r="J73">
            <v>0</v>
          </cell>
          <cell r="K73">
            <v>29</v>
          </cell>
          <cell r="L73">
            <v>32.081</v>
          </cell>
          <cell r="M73">
            <v>930.349</v>
          </cell>
          <cell r="N73">
            <v>0</v>
          </cell>
          <cell r="O73">
            <v>0</v>
          </cell>
          <cell r="P73">
            <v>0</v>
          </cell>
          <cell r="Q73">
            <v>0</v>
          </cell>
          <cell r="R73">
            <v>0</v>
          </cell>
          <cell r="S73" t="str">
            <v>-</v>
          </cell>
          <cell r="T73" t="str">
            <v>-</v>
          </cell>
          <cell r="U73" t="str">
            <v>-</v>
          </cell>
          <cell r="V73" t="str">
            <v>-</v>
          </cell>
          <cell r="W73" t="str">
            <v>有库存无销量</v>
          </cell>
          <cell r="X73" t="str">
            <v>有库存无销量</v>
          </cell>
          <cell r="Y73">
            <v>0</v>
          </cell>
          <cell r="Z73">
            <v>0</v>
          </cell>
          <cell r="AA73">
            <v>0</v>
          </cell>
          <cell r="AB73" t="str">
            <v>-</v>
          </cell>
        </row>
        <row r="74">
          <cell r="A74" t="str">
            <v>秀青</v>
          </cell>
          <cell r="B74" t="str">
            <v>Y8807-RE</v>
          </cell>
          <cell r="C74" t="str">
            <v>CA Glock铝合金握把底座配件- G17 Gen3/4</v>
          </cell>
          <cell r="D74">
            <v>45097</v>
          </cell>
          <cell r="E74" t="str">
            <v>B0C6SLQ6MK</v>
          </cell>
          <cell r="F74">
            <v>10</v>
          </cell>
          <cell r="G74">
            <v>0</v>
          </cell>
          <cell r="H74">
            <v>0</v>
          </cell>
          <cell r="I74">
            <v>0</v>
          </cell>
          <cell r="J74">
            <v>0</v>
          </cell>
          <cell r="K74">
            <v>10</v>
          </cell>
          <cell r="L74">
            <v>32.084</v>
          </cell>
          <cell r="M74">
            <v>320.84</v>
          </cell>
          <cell r="N74">
            <v>0</v>
          </cell>
          <cell r="O74">
            <v>0</v>
          </cell>
          <cell r="P74">
            <v>0</v>
          </cell>
          <cell r="Q74">
            <v>0</v>
          </cell>
          <cell r="R74">
            <v>0</v>
          </cell>
          <cell r="S74" t="str">
            <v>-</v>
          </cell>
          <cell r="T74" t="str">
            <v>-</v>
          </cell>
          <cell r="U74" t="str">
            <v>-</v>
          </cell>
          <cell r="V74" t="str">
            <v>-</v>
          </cell>
          <cell r="W74" t="str">
            <v>有库存无销量</v>
          </cell>
          <cell r="X74" t="str">
            <v>有库存无销量</v>
          </cell>
          <cell r="Y74">
            <v>0</v>
          </cell>
          <cell r="Z74">
            <v>0</v>
          </cell>
          <cell r="AA74">
            <v>0</v>
          </cell>
          <cell r="AB74" t="str">
            <v>-</v>
          </cell>
        </row>
        <row r="75">
          <cell r="A75" t="str">
            <v>秀青</v>
          </cell>
          <cell r="B75" t="str">
            <v>Y8808-BL</v>
          </cell>
          <cell r="C75" t="str">
            <v>CA Glock铝合金握把底座配件- G19 Gen5</v>
          </cell>
          <cell r="D75">
            <v>45097</v>
          </cell>
          <cell r="E75" t="str">
            <v>B0C6SM89BR</v>
          </cell>
          <cell r="F75">
            <v>30</v>
          </cell>
          <cell r="G75">
            <v>0</v>
          </cell>
          <cell r="H75">
            <v>0</v>
          </cell>
          <cell r="I75">
            <v>0</v>
          </cell>
          <cell r="J75">
            <v>0</v>
          </cell>
          <cell r="K75">
            <v>30</v>
          </cell>
          <cell r="L75">
            <v>34.081</v>
          </cell>
          <cell r="M75">
            <v>1022.43</v>
          </cell>
          <cell r="N75">
            <v>0</v>
          </cell>
          <cell r="O75">
            <v>0</v>
          </cell>
          <cell r="P75">
            <v>0</v>
          </cell>
          <cell r="Q75">
            <v>0</v>
          </cell>
          <cell r="R75">
            <v>0</v>
          </cell>
          <cell r="S75" t="str">
            <v>-</v>
          </cell>
          <cell r="T75" t="str">
            <v>-</v>
          </cell>
          <cell r="U75" t="str">
            <v>-</v>
          </cell>
          <cell r="V75" t="str">
            <v>-</v>
          </cell>
          <cell r="W75" t="str">
            <v>有库存无销量</v>
          </cell>
          <cell r="X75" t="str">
            <v>有库存无销量</v>
          </cell>
          <cell r="Y75">
            <v>0</v>
          </cell>
          <cell r="Z75">
            <v>0</v>
          </cell>
          <cell r="AA75">
            <v>0</v>
          </cell>
          <cell r="AB75" t="str">
            <v>-</v>
          </cell>
        </row>
        <row r="76">
          <cell r="A76" t="str">
            <v>秀青</v>
          </cell>
          <cell r="B76" t="str">
            <v>Y8809-BL</v>
          </cell>
          <cell r="C76" t="str">
            <v>CA Glock铝合金握把底座配件- G17 Gen5</v>
          </cell>
          <cell r="D76">
            <v>45097</v>
          </cell>
          <cell r="E76" t="str">
            <v>B0C6SNLM53</v>
          </cell>
          <cell r="F76">
            <v>29</v>
          </cell>
          <cell r="G76">
            <v>0</v>
          </cell>
          <cell r="H76">
            <v>0</v>
          </cell>
          <cell r="I76">
            <v>0</v>
          </cell>
          <cell r="J76">
            <v>0</v>
          </cell>
          <cell r="K76">
            <v>29</v>
          </cell>
          <cell r="L76">
            <v>34.081</v>
          </cell>
          <cell r="M76">
            <v>988.349</v>
          </cell>
          <cell r="N76">
            <v>0</v>
          </cell>
          <cell r="O76">
            <v>0</v>
          </cell>
          <cell r="P76">
            <v>0</v>
          </cell>
          <cell r="Q76">
            <v>0</v>
          </cell>
          <cell r="R76">
            <v>0</v>
          </cell>
          <cell r="S76" t="str">
            <v>-</v>
          </cell>
          <cell r="T76" t="str">
            <v>-</v>
          </cell>
          <cell r="U76" t="str">
            <v>-</v>
          </cell>
          <cell r="V76" t="str">
            <v>-</v>
          </cell>
          <cell r="W76" t="str">
            <v>有库存无销量</v>
          </cell>
          <cell r="X76" t="str">
            <v>有库存无销量</v>
          </cell>
          <cell r="Y76">
            <v>0</v>
          </cell>
          <cell r="Z76">
            <v>0</v>
          </cell>
          <cell r="AA76">
            <v>0</v>
          </cell>
          <cell r="AB76" t="str">
            <v>-</v>
          </cell>
        </row>
        <row r="77">
          <cell r="A77" t="str">
            <v>秀青</v>
          </cell>
          <cell r="B77" t="str">
            <v>Y8809-RE</v>
          </cell>
          <cell r="C77" t="str">
            <v>CA Glock铝合金握把底座配件- G17 Gen5</v>
          </cell>
          <cell r="D77">
            <v>45097</v>
          </cell>
          <cell r="E77" t="str">
            <v>B0C6SNGQ33</v>
          </cell>
          <cell r="F77">
            <v>10</v>
          </cell>
          <cell r="G77">
            <v>0</v>
          </cell>
          <cell r="H77">
            <v>0</v>
          </cell>
          <cell r="I77">
            <v>0</v>
          </cell>
          <cell r="J77">
            <v>0</v>
          </cell>
          <cell r="K77">
            <v>10</v>
          </cell>
          <cell r="L77">
            <v>34.084</v>
          </cell>
          <cell r="M77">
            <v>340.84</v>
          </cell>
          <cell r="N77">
            <v>0</v>
          </cell>
          <cell r="O77">
            <v>0</v>
          </cell>
          <cell r="P77">
            <v>0</v>
          </cell>
          <cell r="Q77">
            <v>0</v>
          </cell>
          <cell r="R77">
            <v>0</v>
          </cell>
          <cell r="S77" t="str">
            <v>-</v>
          </cell>
          <cell r="T77" t="str">
            <v>-</v>
          </cell>
          <cell r="U77" t="str">
            <v>-</v>
          </cell>
          <cell r="V77" t="str">
            <v>-</v>
          </cell>
          <cell r="W77" t="str">
            <v>有库存无销量</v>
          </cell>
          <cell r="X77" t="str">
            <v>有库存无销量</v>
          </cell>
          <cell r="Y77">
            <v>0</v>
          </cell>
          <cell r="Z77">
            <v>0</v>
          </cell>
          <cell r="AA77">
            <v>0</v>
          </cell>
          <cell r="AB77" t="str">
            <v>-</v>
          </cell>
        </row>
        <row r="78">
          <cell r="A78" t="str">
            <v>秀青</v>
          </cell>
          <cell r="B78" t="str">
            <v>Y8810-SC</v>
          </cell>
          <cell r="C78" t="str">
            <v>CA 橡胶防滑套 适合Taurus</v>
          </cell>
          <cell r="D78">
            <v>45097</v>
          </cell>
          <cell r="E78" t="str">
            <v>B0C6T3QVJL</v>
          </cell>
          <cell r="F78">
            <v>9</v>
          </cell>
          <cell r="G78">
            <v>0</v>
          </cell>
          <cell r="H78">
            <v>0</v>
          </cell>
          <cell r="I78">
            <v>0</v>
          </cell>
          <cell r="J78">
            <v>0</v>
          </cell>
          <cell r="K78">
            <v>9</v>
          </cell>
          <cell r="L78">
            <v>10.133</v>
          </cell>
          <cell r="M78">
            <v>91.197</v>
          </cell>
          <cell r="N78">
            <v>0</v>
          </cell>
          <cell r="O78">
            <v>0</v>
          </cell>
          <cell r="P78">
            <v>0</v>
          </cell>
          <cell r="Q78">
            <v>0</v>
          </cell>
          <cell r="R78">
            <v>0</v>
          </cell>
          <cell r="S78" t="str">
            <v>-</v>
          </cell>
          <cell r="T78" t="str">
            <v>-</v>
          </cell>
          <cell r="U78" t="str">
            <v>-</v>
          </cell>
          <cell r="V78" t="str">
            <v>-</v>
          </cell>
          <cell r="W78" t="str">
            <v>有库存无销量</v>
          </cell>
          <cell r="X78" t="str">
            <v>有库存无销量</v>
          </cell>
          <cell r="Y78">
            <v>0</v>
          </cell>
          <cell r="Z78">
            <v>0</v>
          </cell>
          <cell r="AA78">
            <v>0</v>
          </cell>
          <cell r="AB78" t="str">
            <v>-</v>
          </cell>
        </row>
        <row r="79">
          <cell r="A79" t="str">
            <v>秀青</v>
          </cell>
          <cell r="B79" t="str">
            <v>Y8808-RE</v>
          </cell>
          <cell r="C79" t="str">
            <v>CA Glock铝合金握把底座配件- G19 Gen5</v>
          </cell>
          <cell r="D79">
            <v>45097</v>
          </cell>
          <cell r="E79" t="str">
            <v>B0C6SKDL3G</v>
          </cell>
          <cell r="F79">
            <v>25</v>
          </cell>
          <cell r="G79">
            <v>0</v>
          </cell>
          <cell r="H79">
            <v>0</v>
          </cell>
          <cell r="I79">
            <v>0</v>
          </cell>
          <cell r="J79">
            <v>0</v>
          </cell>
          <cell r="K79">
            <v>25</v>
          </cell>
          <cell r="L79">
            <v>34.084</v>
          </cell>
          <cell r="M79">
            <v>852.1</v>
          </cell>
          <cell r="N79">
            <v>0</v>
          </cell>
          <cell r="O79">
            <v>0</v>
          </cell>
          <cell r="P79">
            <v>0</v>
          </cell>
          <cell r="Q79">
            <v>0</v>
          </cell>
          <cell r="R79">
            <v>0</v>
          </cell>
          <cell r="S79" t="str">
            <v>-</v>
          </cell>
          <cell r="T79" t="str">
            <v>-</v>
          </cell>
          <cell r="U79" t="str">
            <v>-</v>
          </cell>
          <cell r="V79" t="str">
            <v>-</v>
          </cell>
          <cell r="W79" t="str">
            <v>有库存无销量</v>
          </cell>
          <cell r="X79" t="str">
            <v>有库存无销量</v>
          </cell>
          <cell r="Y79">
            <v>0</v>
          </cell>
          <cell r="Z79">
            <v>0</v>
          </cell>
          <cell r="AA79">
            <v>0</v>
          </cell>
          <cell r="AB79" t="str">
            <v>-</v>
          </cell>
        </row>
        <row r="80">
          <cell r="A80" t="str">
            <v>秀青</v>
          </cell>
          <cell r="B80" t="str">
            <v>Y8810-BL</v>
          </cell>
          <cell r="C80" t="str">
            <v>CA 橡胶防滑套 适合Taurus</v>
          </cell>
          <cell r="D80">
            <v>45097</v>
          </cell>
          <cell r="E80" t="str">
            <v>B0C6T5FF87</v>
          </cell>
          <cell r="F80">
            <v>39</v>
          </cell>
          <cell r="G80">
            <v>0</v>
          </cell>
          <cell r="H80">
            <v>0</v>
          </cell>
          <cell r="I80">
            <v>0</v>
          </cell>
          <cell r="J80">
            <v>0</v>
          </cell>
          <cell r="K80">
            <v>39</v>
          </cell>
          <cell r="L80">
            <v>10.133</v>
          </cell>
          <cell r="M80">
            <v>395.187</v>
          </cell>
          <cell r="N80">
            <v>0</v>
          </cell>
          <cell r="O80">
            <v>0</v>
          </cell>
          <cell r="P80">
            <v>0</v>
          </cell>
          <cell r="Q80">
            <v>0</v>
          </cell>
          <cell r="R80">
            <v>0</v>
          </cell>
          <cell r="S80" t="str">
            <v>-</v>
          </cell>
          <cell r="T80" t="str">
            <v>-</v>
          </cell>
          <cell r="U80" t="str">
            <v>-</v>
          </cell>
          <cell r="V80" t="str">
            <v>-</v>
          </cell>
          <cell r="W80" t="str">
            <v>有库存无销量</v>
          </cell>
          <cell r="X80" t="str">
            <v>有库存无销量</v>
          </cell>
          <cell r="Y80">
            <v>0</v>
          </cell>
          <cell r="Z80">
            <v>0</v>
          </cell>
          <cell r="AA80">
            <v>0</v>
          </cell>
          <cell r="AB80" t="str">
            <v>-</v>
          </cell>
        </row>
        <row r="81">
          <cell r="A81" t="str">
            <v>秀青</v>
          </cell>
          <cell r="B81" t="str">
            <v>Y8814-BL</v>
          </cell>
          <cell r="C81" t="str">
            <v>CA  For 1/2/5代 Glock19 23 32 38 防滑燕尾握把套</v>
          </cell>
          <cell r="D81">
            <v>45097</v>
          </cell>
          <cell r="E81" t="str">
            <v>B0C6T4J33T</v>
          </cell>
          <cell r="F81">
            <v>30</v>
          </cell>
          <cell r="G81">
            <v>0</v>
          </cell>
          <cell r="H81">
            <v>0</v>
          </cell>
          <cell r="I81">
            <v>0</v>
          </cell>
          <cell r="J81">
            <v>0</v>
          </cell>
          <cell r="K81">
            <v>30</v>
          </cell>
          <cell r="L81">
            <v>11.089</v>
          </cell>
          <cell r="M81">
            <v>332.67</v>
          </cell>
          <cell r="N81">
            <v>0</v>
          </cell>
          <cell r="O81">
            <v>0</v>
          </cell>
          <cell r="P81">
            <v>0</v>
          </cell>
          <cell r="Q81">
            <v>0</v>
          </cell>
          <cell r="R81">
            <v>0</v>
          </cell>
          <cell r="S81" t="str">
            <v>-</v>
          </cell>
          <cell r="T81" t="str">
            <v>-</v>
          </cell>
          <cell r="U81" t="str">
            <v>-</v>
          </cell>
          <cell r="V81" t="str">
            <v>-</v>
          </cell>
          <cell r="W81" t="str">
            <v>有库存无销量</v>
          </cell>
          <cell r="X81" t="str">
            <v>有库存无销量</v>
          </cell>
          <cell r="Y81">
            <v>0</v>
          </cell>
          <cell r="Z81">
            <v>0</v>
          </cell>
          <cell r="AA81">
            <v>0</v>
          </cell>
          <cell r="AB81" t="str">
            <v>-</v>
          </cell>
        </row>
        <row r="82">
          <cell r="A82" t="str">
            <v>秀青</v>
          </cell>
          <cell r="B82" t="str">
            <v>Y8814-SC</v>
          </cell>
          <cell r="C82" t="str">
            <v>CA  For 1/2/5代 Glock19 23 32 38 防滑燕尾握把套</v>
          </cell>
          <cell r="D82">
            <v>45097</v>
          </cell>
          <cell r="E82" t="str">
            <v>B0C6T4RXFQ</v>
          </cell>
          <cell r="F82">
            <v>11</v>
          </cell>
          <cell r="G82">
            <v>0</v>
          </cell>
          <cell r="H82">
            <v>0</v>
          </cell>
          <cell r="I82">
            <v>0</v>
          </cell>
          <cell r="J82">
            <v>0</v>
          </cell>
          <cell r="K82">
            <v>11</v>
          </cell>
          <cell r="L82">
            <v>11.089</v>
          </cell>
          <cell r="M82">
            <v>121.979</v>
          </cell>
          <cell r="N82">
            <v>0</v>
          </cell>
          <cell r="O82">
            <v>0</v>
          </cell>
          <cell r="P82">
            <v>0</v>
          </cell>
          <cell r="Q82">
            <v>0</v>
          </cell>
          <cell r="R82">
            <v>0</v>
          </cell>
          <cell r="S82" t="str">
            <v>-</v>
          </cell>
          <cell r="T82" t="str">
            <v>-</v>
          </cell>
          <cell r="U82" t="str">
            <v>-</v>
          </cell>
          <cell r="V82" t="str">
            <v>-</v>
          </cell>
          <cell r="W82" t="str">
            <v>有库存无销量</v>
          </cell>
          <cell r="X82" t="str">
            <v>有库存无销量</v>
          </cell>
          <cell r="Y82">
            <v>0</v>
          </cell>
          <cell r="Z82">
            <v>0</v>
          </cell>
          <cell r="AA82">
            <v>0</v>
          </cell>
          <cell r="AB82" t="str">
            <v>-</v>
          </cell>
        </row>
        <row r="83">
          <cell r="A83" t="str">
            <v>秀青</v>
          </cell>
          <cell r="B83" t="str">
            <v>Y8815-BL</v>
          </cell>
          <cell r="C83" t="str">
            <v>CA 适用于3/4代 Glock G19 G23 G32 G38</v>
          </cell>
          <cell r="D83">
            <v>45097</v>
          </cell>
          <cell r="E83" t="str">
            <v>B0C6T6LBF7</v>
          </cell>
          <cell r="F83">
            <v>20</v>
          </cell>
          <cell r="G83">
            <v>0</v>
          </cell>
          <cell r="H83">
            <v>0</v>
          </cell>
          <cell r="I83">
            <v>0</v>
          </cell>
          <cell r="J83">
            <v>0</v>
          </cell>
          <cell r="K83">
            <v>20</v>
          </cell>
          <cell r="L83">
            <v>12.034</v>
          </cell>
          <cell r="M83">
            <v>240.68</v>
          </cell>
          <cell r="N83">
            <v>0</v>
          </cell>
          <cell r="O83">
            <v>2</v>
          </cell>
          <cell r="P83">
            <v>3</v>
          </cell>
          <cell r="Q83">
            <v>0</v>
          </cell>
          <cell r="R83">
            <v>0</v>
          </cell>
          <cell r="S83">
            <v>257.142857142857</v>
          </cell>
          <cell r="T83">
            <v>8.57142857142857</v>
          </cell>
          <cell r="U83">
            <v>17.25</v>
          </cell>
          <cell r="V83">
            <v>-8.67857142857143</v>
          </cell>
          <cell r="W83" t="str">
            <v>有库存无销量</v>
          </cell>
          <cell r="X83" t="str">
            <v>库存过高</v>
          </cell>
          <cell r="Y83">
            <v>0</v>
          </cell>
          <cell r="Z83">
            <v>0</v>
          </cell>
          <cell r="AA83">
            <v>0</v>
          </cell>
          <cell r="AB83" t="str">
            <v>-</v>
          </cell>
        </row>
        <row r="84">
          <cell r="A84" t="str">
            <v>秀青</v>
          </cell>
          <cell r="B84" t="str">
            <v>Y8815-SC</v>
          </cell>
          <cell r="C84" t="str">
            <v>CA 适用于3/4代 Glock G19 G23 G32 G38</v>
          </cell>
          <cell r="D84">
            <v>45097</v>
          </cell>
          <cell r="E84" t="str">
            <v>B0C6T4C525</v>
          </cell>
          <cell r="F84">
            <v>9</v>
          </cell>
          <cell r="G84">
            <v>0</v>
          </cell>
          <cell r="H84">
            <v>0</v>
          </cell>
          <cell r="I84">
            <v>0</v>
          </cell>
          <cell r="J84">
            <v>0</v>
          </cell>
          <cell r="K84">
            <v>9</v>
          </cell>
          <cell r="L84">
            <v>12.034</v>
          </cell>
          <cell r="M84">
            <v>108.306</v>
          </cell>
          <cell r="N84">
            <v>0</v>
          </cell>
          <cell r="O84">
            <v>0</v>
          </cell>
          <cell r="P84">
            <v>0</v>
          </cell>
          <cell r="Q84">
            <v>0</v>
          </cell>
          <cell r="R84">
            <v>0</v>
          </cell>
          <cell r="S84" t="str">
            <v>-</v>
          </cell>
          <cell r="T84" t="str">
            <v>-</v>
          </cell>
          <cell r="U84" t="str">
            <v>-</v>
          </cell>
          <cell r="V84" t="str">
            <v>-</v>
          </cell>
          <cell r="W84" t="str">
            <v>有库存无销量</v>
          </cell>
          <cell r="X84" t="str">
            <v>有库存无销量</v>
          </cell>
          <cell r="Y84">
            <v>0</v>
          </cell>
          <cell r="Z84">
            <v>0</v>
          </cell>
          <cell r="AA84">
            <v>0</v>
          </cell>
          <cell r="AB84" t="str">
            <v>-</v>
          </cell>
        </row>
        <row r="85">
          <cell r="A85" t="str">
            <v>秀青</v>
          </cell>
          <cell r="B85" t="str">
            <v>Y8816-SC</v>
          </cell>
          <cell r="C85" t="str">
            <v>CA  For 1/2/5代 Glock 17 18 19X 20 21 22 24 橡胶防滑套</v>
          </cell>
          <cell r="D85">
            <v>45097</v>
          </cell>
          <cell r="E85" t="str">
            <v>B0C6T42NWB</v>
          </cell>
          <cell r="F85">
            <v>3</v>
          </cell>
          <cell r="G85">
            <v>0</v>
          </cell>
          <cell r="H85">
            <v>0</v>
          </cell>
          <cell r="I85">
            <v>1</v>
          </cell>
          <cell r="J85">
            <v>0</v>
          </cell>
          <cell r="K85">
            <v>4</v>
          </cell>
          <cell r="L85">
            <v>12.034</v>
          </cell>
          <cell r="M85">
            <v>48.136</v>
          </cell>
          <cell r="N85">
            <v>1</v>
          </cell>
          <cell r="O85">
            <v>1</v>
          </cell>
          <cell r="P85">
            <v>2</v>
          </cell>
          <cell r="Q85">
            <v>0</v>
          </cell>
          <cell r="R85">
            <v>1</v>
          </cell>
          <cell r="S85">
            <v>43.448275862069</v>
          </cell>
          <cell r="T85">
            <v>1.44827586206897</v>
          </cell>
          <cell r="U85">
            <v>5</v>
          </cell>
          <cell r="V85">
            <v>-3.55172413793103</v>
          </cell>
          <cell r="W85" t="str">
            <v>正常</v>
          </cell>
          <cell r="X85" t="str">
            <v>正常</v>
          </cell>
          <cell r="Y85">
            <v>0</v>
          </cell>
          <cell r="Z85">
            <v>0</v>
          </cell>
          <cell r="AA85">
            <v>0.32</v>
          </cell>
          <cell r="AB85" t="str">
            <v>-</v>
          </cell>
        </row>
        <row r="86">
          <cell r="A86" t="str">
            <v>秀青</v>
          </cell>
          <cell r="B86" t="str">
            <v>Y8817-BL</v>
          </cell>
          <cell r="C86" t="str">
            <v>CA 橡胶防滑套 握把套 For P365 黑色</v>
          </cell>
          <cell r="D86">
            <v>45097</v>
          </cell>
          <cell r="E86" t="str">
            <v>B0C6T66K9F</v>
          </cell>
          <cell r="F86">
            <v>19</v>
          </cell>
          <cell r="G86">
            <v>0</v>
          </cell>
          <cell r="H86">
            <v>0</v>
          </cell>
          <cell r="I86">
            <v>0</v>
          </cell>
          <cell r="J86">
            <v>0</v>
          </cell>
          <cell r="K86">
            <v>19</v>
          </cell>
          <cell r="L86">
            <v>9.034</v>
          </cell>
          <cell r="M86">
            <v>171.646</v>
          </cell>
          <cell r="N86">
            <v>0</v>
          </cell>
          <cell r="O86">
            <v>0</v>
          </cell>
          <cell r="P86">
            <v>0</v>
          </cell>
          <cell r="Q86">
            <v>0</v>
          </cell>
          <cell r="R86">
            <v>0</v>
          </cell>
          <cell r="S86" t="str">
            <v>-</v>
          </cell>
          <cell r="T86" t="str">
            <v>-</v>
          </cell>
          <cell r="U86" t="str">
            <v>-</v>
          </cell>
          <cell r="V86" t="str">
            <v>-</v>
          </cell>
          <cell r="W86" t="str">
            <v>有库存无销量</v>
          </cell>
          <cell r="X86" t="str">
            <v>有库存无销量</v>
          </cell>
          <cell r="Y86">
            <v>0</v>
          </cell>
          <cell r="Z86">
            <v>0</v>
          </cell>
          <cell r="AA86">
            <v>0</v>
          </cell>
          <cell r="AB86" t="str">
            <v>-</v>
          </cell>
        </row>
        <row r="87">
          <cell r="A87" t="str">
            <v>秀青</v>
          </cell>
          <cell r="B87" t="str">
            <v>Y8817-GR</v>
          </cell>
          <cell r="C87" t="str">
            <v>CA  橡胶防滑套 握把套 For P365 绿色</v>
          </cell>
          <cell r="D87">
            <v>45097</v>
          </cell>
          <cell r="E87" t="str">
            <v>B0C6T7WR7L</v>
          </cell>
          <cell r="F87">
            <v>10</v>
          </cell>
          <cell r="G87">
            <v>0</v>
          </cell>
          <cell r="H87">
            <v>0</v>
          </cell>
          <cell r="I87">
            <v>0</v>
          </cell>
          <cell r="J87">
            <v>0</v>
          </cell>
          <cell r="K87">
            <v>10</v>
          </cell>
          <cell r="L87">
            <v>9.034</v>
          </cell>
          <cell r="M87">
            <v>90.34</v>
          </cell>
          <cell r="N87">
            <v>0</v>
          </cell>
          <cell r="O87">
            <v>0</v>
          </cell>
          <cell r="P87">
            <v>0</v>
          </cell>
          <cell r="Q87">
            <v>0</v>
          </cell>
          <cell r="R87">
            <v>0</v>
          </cell>
          <cell r="S87" t="str">
            <v>-</v>
          </cell>
          <cell r="T87" t="str">
            <v>-</v>
          </cell>
          <cell r="U87" t="str">
            <v>-</v>
          </cell>
          <cell r="V87" t="str">
            <v>-</v>
          </cell>
          <cell r="W87" t="str">
            <v>有库存无销量</v>
          </cell>
          <cell r="X87" t="str">
            <v>有库存无销量</v>
          </cell>
          <cell r="Y87">
            <v>0</v>
          </cell>
          <cell r="Z87">
            <v>0</v>
          </cell>
          <cell r="AA87">
            <v>0</v>
          </cell>
          <cell r="AB87" t="str">
            <v>-</v>
          </cell>
        </row>
        <row r="88">
          <cell r="A88" t="str">
            <v>秀青</v>
          </cell>
          <cell r="B88" t="str">
            <v>Y8804</v>
          </cell>
          <cell r="C88" t="str">
            <v>CA Glock腰带夹</v>
          </cell>
          <cell r="D88">
            <v>45097</v>
          </cell>
          <cell r="E88" t="str">
            <v>B0C6TJ2Y93</v>
          </cell>
          <cell r="F88">
            <v>27</v>
          </cell>
          <cell r="G88">
            <v>0</v>
          </cell>
          <cell r="H88">
            <v>0</v>
          </cell>
          <cell r="I88">
            <v>0</v>
          </cell>
          <cell r="J88">
            <v>0</v>
          </cell>
          <cell r="K88">
            <v>27</v>
          </cell>
          <cell r="L88">
            <v>15</v>
          </cell>
          <cell r="M88">
            <v>405</v>
          </cell>
          <cell r="N88">
            <v>1</v>
          </cell>
          <cell r="O88">
            <v>1</v>
          </cell>
          <cell r="P88">
            <v>2</v>
          </cell>
          <cell r="Q88">
            <v>0</v>
          </cell>
          <cell r="R88">
            <v>1</v>
          </cell>
          <cell r="S88">
            <v>293.275862068966</v>
          </cell>
          <cell r="T88">
            <v>9.77586206896552</v>
          </cell>
          <cell r="U88">
            <v>29</v>
          </cell>
          <cell r="V88">
            <v>-19.2241379310345</v>
          </cell>
          <cell r="W88" t="str">
            <v>库存过高</v>
          </cell>
          <cell r="X88" t="str">
            <v>库存过高</v>
          </cell>
          <cell r="Y88">
            <v>0</v>
          </cell>
          <cell r="Z88">
            <v>0</v>
          </cell>
          <cell r="AA88">
            <v>0</v>
          </cell>
          <cell r="AB88" t="str">
            <v>-</v>
          </cell>
        </row>
        <row r="89">
          <cell r="A89" t="str">
            <v>秀青</v>
          </cell>
          <cell r="B89" t="str">
            <v>Y8805-RE</v>
          </cell>
          <cell r="C89" t="str">
            <v>CA Glock光纤前后机瞄</v>
          </cell>
          <cell r="D89">
            <v>45097</v>
          </cell>
          <cell r="E89" t="str">
            <v>B0C6XJMCDF</v>
          </cell>
          <cell r="F89">
            <v>3</v>
          </cell>
          <cell r="G89">
            <v>0</v>
          </cell>
          <cell r="H89">
            <v>0</v>
          </cell>
          <cell r="I89">
            <v>1</v>
          </cell>
          <cell r="J89">
            <v>0</v>
          </cell>
          <cell r="K89">
            <v>4</v>
          </cell>
          <cell r="L89">
            <v>28.034</v>
          </cell>
          <cell r="M89">
            <v>112.136</v>
          </cell>
          <cell r="N89">
            <v>4</v>
          </cell>
          <cell r="O89">
            <v>5</v>
          </cell>
          <cell r="P89">
            <v>8</v>
          </cell>
          <cell r="Q89">
            <v>1</v>
          </cell>
          <cell r="R89">
            <v>3</v>
          </cell>
          <cell r="S89">
            <v>10.2439024390244</v>
          </cell>
          <cell r="T89">
            <v>0.341463414634146</v>
          </cell>
          <cell r="U89">
            <v>2.1</v>
          </cell>
          <cell r="V89">
            <v>-1.75853658536585</v>
          </cell>
          <cell r="W89" t="str">
            <v>库存过低</v>
          </cell>
          <cell r="X89" t="str">
            <v>库存过低</v>
          </cell>
          <cell r="Y89">
            <v>0</v>
          </cell>
          <cell r="Z89">
            <v>0</v>
          </cell>
          <cell r="AA89">
            <v>0</v>
          </cell>
          <cell r="AB89" t="str">
            <v>-</v>
          </cell>
        </row>
        <row r="90">
          <cell r="A90" t="str">
            <v>秀青</v>
          </cell>
          <cell r="B90" t="str">
            <v>Y8813</v>
          </cell>
          <cell r="C90" t="str">
            <v>CA Glock后盖片 2PC</v>
          </cell>
          <cell r="D90">
            <v>45097</v>
          </cell>
          <cell r="E90" t="str">
            <v>B0C6XTRTY6</v>
          </cell>
          <cell r="F90">
            <v>17</v>
          </cell>
          <cell r="G90">
            <v>0</v>
          </cell>
          <cell r="H90">
            <v>0</v>
          </cell>
          <cell r="I90">
            <v>0</v>
          </cell>
          <cell r="J90">
            <v>0</v>
          </cell>
          <cell r="K90">
            <v>17</v>
          </cell>
          <cell r="L90">
            <v>42.5</v>
          </cell>
          <cell r="M90">
            <v>722.5</v>
          </cell>
          <cell r="N90">
            <v>0</v>
          </cell>
          <cell r="O90">
            <v>0</v>
          </cell>
          <cell r="P90">
            <v>1</v>
          </cell>
          <cell r="Q90">
            <v>1</v>
          </cell>
          <cell r="R90">
            <v>-1</v>
          </cell>
          <cell r="S90">
            <v>1530</v>
          </cell>
          <cell r="T90">
            <v>51</v>
          </cell>
          <cell r="U90">
            <v>7</v>
          </cell>
          <cell r="V90">
            <v>44</v>
          </cell>
          <cell r="W90" t="str">
            <v>有库存无销量</v>
          </cell>
          <cell r="X90" t="str">
            <v>库存过高</v>
          </cell>
          <cell r="Y90">
            <v>0</v>
          </cell>
          <cell r="Z90">
            <v>0</v>
          </cell>
          <cell r="AA90">
            <v>0</v>
          </cell>
          <cell r="AB90" t="str">
            <v>-</v>
          </cell>
        </row>
        <row r="91">
          <cell r="A91" t="str">
            <v>秀青</v>
          </cell>
          <cell r="B91" t="str">
            <v>Y8803</v>
          </cell>
          <cell r="C91" t="str">
            <v>CA铝合金20mm快拆导轨</v>
          </cell>
          <cell r="D91">
            <v>45097</v>
          </cell>
          <cell r="E91" t="str">
            <v>B0C6XJMX3K</v>
          </cell>
          <cell r="F91">
            <v>0</v>
          </cell>
          <cell r="G91">
            <v>2</v>
          </cell>
          <cell r="H91">
            <v>0</v>
          </cell>
          <cell r="I91">
            <v>0</v>
          </cell>
          <cell r="J91">
            <v>0</v>
          </cell>
          <cell r="K91">
            <v>2</v>
          </cell>
          <cell r="L91">
            <v>42.642</v>
          </cell>
          <cell r="M91">
            <v>85.284</v>
          </cell>
          <cell r="N91">
            <v>0</v>
          </cell>
          <cell r="O91">
            <v>0</v>
          </cell>
          <cell r="P91">
            <v>0</v>
          </cell>
          <cell r="Q91">
            <v>0</v>
          </cell>
          <cell r="R91">
            <v>0</v>
          </cell>
          <cell r="S91" t="str">
            <v>-</v>
          </cell>
          <cell r="T91" t="str">
            <v>-</v>
          </cell>
          <cell r="U91">
            <v>3</v>
          </cell>
          <cell r="V91" t="str">
            <v>-</v>
          </cell>
          <cell r="W91" t="str">
            <v>有库存无销量</v>
          </cell>
          <cell r="X91" t="str">
            <v>有库存无销量</v>
          </cell>
          <cell r="Y91">
            <v>0</v>
          </cell>
          <cell r="Z91">
            <v>0</v>
          </cell>
          <cell r="AA91">
            <v>0</v>
          </cell>
          <cell r="AB91" t="str">
            <v>-</v>
          </cell>
        </row>
        <row r="92">
          <cell r="A92" t="str">
            <v>秀青</v>
          </cell>
          <cell r="B92" t="str">
            <v>Y8075-BL</v>
          </cell>
          <cell r="C92" t="str">
            <v>For 1/2/5代 Glock19 23 32 38 防滑燕尾握把套</v>
          </cell>
          <cell r="D92">
            <v>45008</v>
          </cell>
          <cell r="E92" t="str">
            <v>B0C77TDJY1</v>
          </cell>
          <cell r="F92">
            <v>1</v>
          </cell>
          <cell r="G92">
            <v>0</v>
          </cell>
          <cell r="H92">
            <v>0</v>
          </cell>
          <cell r="I92">
            <v>0</v>
          </cell>
          <cell r="J92">
            <v>0</v>
          </cell>
          <cell r="K92">
            <v>1</v>
          </cell>
          <cell r="L92">
            <v>10.763</v>
          </cell>
          <cell r="M92">
            <v>10.763</v>
          </cell>
          <cell r="N92">
            <v>0</v>
          </cell>
          <cell r="O92">
            <v>0</v>
          </cell>
          <cell r="P92">
            <v>0</v>
          </cell>
          <cell r="Q92">
            <v>0</v>
          </cell>
          <cell r="R92">
            <v>0</v>
          </cell>
          <cell r="S92" t="str">
            <v>-</v>
          </cell>
          <cell r="T92" t="str">
            <v>-</v>
          </cell>
          <cell r="U92">
            <v>0.24</v>
          </cell>
          <cell r="V92" t="str">
            <v>-</v>
          </cell>
          <cell r="W92" t="str">
            <v>有库存无销量</v>
          </cell>
          <cell r="X92" t="str">
            <v>有库存无销量</v>
          </cell>
          <cell r="Y92">
            <v>0</v>
          </cell>
          <cell r="Z92">
            <v>0</v>
          </cell>
          <cell r="AA92">
            <v>0</v>
          </cell>
          <cell r="AB92" t="str">
            <v>-</v>
          </cell>
        </row>
        <row r="93">
          <cell r="A93" t="str">
            <v>秀青</v>
          </cell>
          <cell r="B93" t="str">
            <v>Y8049-SC</v>
          </cell>
          <cell r="C93" t="str">
            <v>橡胶防滑套 适合Taurus</v>
          </cell>
          <cell r="D93">
            <v>44998</v>
          </cell>
          <cell r="E93" t="str">
            <v>B0C7C2MLFX</v>
          </cell>
          <cell r="F93">
            <v>0</v>
          </cell>
          <cell r="G93">
            <v>1</v>
          </cell>
          <cell r="H93">
            <v>0</v>
          </cell>
          <cell r="I93">
            <v>0</v>
          </cell>
          <cell r="J93">
            <v>0</v>
          </cell>
          <cell r="K93">
            <v>1</v>
          </cell>
          <cell r="L93">
            <v>10.126</v>
          </cell>
          <cell r="M93">
            <v>10.126</v>
          </cell>
          <cell r="N93">
            <v>0</v>
          </cell>
          <cell r="O93">
            <v>0</v>
          </cell>
          <cell r="P93">
            <v>0</v>
          </cell>
          <cell r="Q93">
            <v>0</v>
          </cell>
          <cell r="R93">
            <v>0</v>
          </cell>
          <cell r="S93" t="str">
            <v>-</v>
          </cell>
          <cell r="T93" t="str">
            <v>-</v>
          </cell>
          <cell r="U93">
            <v>0.692307692307692</v>
          </cell>
          <cell r="V93" t="str">
            <v>-</v>
          </cell>
          <cell r="W93" t="str">
            <v>有库存无销量</v>
          </cell>
          <cell r="X93" t="str">
            <v>有库存无销量</v>
          </cell>
          <cell r="Y93">
            <v>0</v>
          </cell>
          <cell r="Z93">
            <v>0</v>
          </cell>
          <cell r="AA93">
            <v>0</v>
          </cell>
          <cell r="AB93" t="str">
            <v>-</v>
          </cell>
        </row>
        <row r="94">
          <cell r="A94" t="str">
            <v>秀青</v>
          </cell>
          <cell r="B94" t="str">
            <v>Y8052-SI</v>
          </cell>
          <cell r="C94" t="str">
            <v>金属DD机械瞄准器（不带扳手） 银色</v>
          </cell>
          <cell r="D94">
            <v>45140</v>
          </cell>
          <cell r="E94" t="str">
            <v>B0CC5FG1FN</v>
          </cell>
          <cell r="F94">
            <v>2</v>
          </cell>
          <cell r="G94">
            <v>1</v>
          </cell>
          <cell r="H94">
            <v>0</v>
          </cell>
          <cell r="I94">
            <v>0</v>
          </cell>
          <cell r="J94">
            <v>0</v>
          </cell>
          <cell r="K94">
            <v>3</v>
          </cell>
          <cell r="L94">
            <v>42.5</v>
          </cell>
          <cell r="M94">
            <v>127.5</v>
          </cell>
          <cell r="N94">
            <v>1</v>
          </cell>
          <cell r="O94">
            <v>5</v>
          </cell>
          <cell r="P94">
            <v>10</v>
          </cell>
          <cell r="Q94">
            <v>0</v>
          </cell>
          <cell r="R94">
            <v>1</v>
          </cell>
          <cell r="S94">
            <v>11.1176470588235</v>
          </cell>
          <cell r="T94">
            <v>0.370588235294118</v>
          </cell>
          <cell r="U94">
            <v>2.4</v>
          </cell>
          <cell r="V94">
            <v>-2.02941176470588</v>
          </cell>
          <cell r="W94" t="str">
            <v>正常</v>
          </cell>
          <cell r="X94" t="str">
            <v>库存过低</v>
          </cell>
          <cell r="Y94">
            <v>9.43</v>
          </cell>
          <cell r="Z94">
            <v>17.72</v>
          </cell>
          <cell r="AA94">
            <v>31.13</v>
          </cell>
          <cell r="AB94">
            <v>0.304291707002259</v>
          </cell>
        </row>
        <row r="95">
          <cell r="A95" t="str">
            <v>秀青</v>
          </cell>
          <cell r="B95" t="str">
            <v>Y8097-GN</v>
          </cell>
          <cell r="C95" t="str">
            <v>夜光瞄 红/绿光纤瞄准具 for Taurus  绿光纤</v>
          </cell>
          <cell r="D95">
            <v>45152</v>
          </cell>
          <cell r="E95" t="str">
            <v>B0CD28MNTY</v>
          </cell>
          <cell r="F95">
            <v>0</v>
          </cell>
          <cell r="G95">
            <v>0</v>
          </cell>
          <cell r="H95">
            <v>0</v>
          </cell>
          <cell r="I95">
            <v>0</v>
          </cell>
          <cell r="J95">
            <v>0</v>
          </cell>
          <cell r="K95">
            <v>0</v>
          </cell>
          <cell r="L95">
            <v>30</v>
          </cell>
          <cell r="M95">
            <v>0</v>
          </cell>
          <cell r="N95">
            <v>2</v>
          </cell>
          <cell r="O95">
            <v>6</v>
          </cell>
          <cell r="P95">
            <v>16</v>
          </cell>
          <cell r="Q95">
            <v>4</v>
          </cell>
          <cell r="R95">
            <v>-2</v>
          </cell>
          <cell r="S95">
            <v>0</v>
          </cell>
          <cell r="T95">
            <v>0</v>
          </cell>
          <cell r="U95">
            <v>0.598574821852732</v>
          </cell>
          <cell r="V95">
            <v>-0.598574821852732</v>
          </cell>
          <cell r="W95" t="str">
            <v>无库存有销量</v>
          </cell>
          <cell r="X95" t="str">
            <v>无库存有销量</v>
          </cell>
          <cell r="Y95">
            <v>0.9</v>
          </cell>
          <cell r="Z95">
            <v>8.13</v>
          </cell>
          <cell r="AA95">
            <v>16.38</v>
          </cell>
          <cell r="AB95">
            <v>0.0539245056920312</v>
          </cell>
        </row>
        <row r="96">
          <cell r="A96" t="str">
            <v>秀青</v>
          </cell>
          <cell r="B96" t="str">
            <v>Y8097-RE</v>
          </cell>
          <cell r="C96" t="str">
            <v>夜光瞄 红/绿光纤瞄准具 for Taurus  红光纤</v>
          </cell>
          <cell r="D96">
            <v>45152</v>
          </cell>
          <cell r="E96" t="str">
            <v>B0CD27MLYP</v>
          </cell>
          <cell r="F96">
            <v>26</v>
          </cell>
          <cell r="G96">
            <v>1</v>
          </cell>
          <cell r="H96">
            <v>1</v>
          </cell>
          <cell r="I96">
            <v>1</v>
          </cell>
          <cell r="J96">
            <v>0</v>
          </cell>
          <cell r="K96">
            <v>29</v>
          </cell>
          <cell r="L96">
            <v>30</v>
          </cell>
          <cell r="M96">
            <v>870</v>
          </cell>
          <cell r="N96">
            <v>6</v>
          </cell>
          <cell r="O96">
            <v>7</v>
          </cell>
          <cell r="P96">
            <v>12</v>
          </cell>
          <cell r="Q96">
            <v>4</v>
          </cell>
          <cell r="R96">
            <v>2</v>
          </cell>
          <cell r="S96">
            <v>50.4696132596685</v>
          </cell>
          <cell r="T96">
            <v>1.68232044198895</v>
          </cell>
          <cell r="U96">
            <v>2.16363636363636</v>
          </cell>
          <cell r="V96">
            <v>-0.48131592164741</v>
          </cell>
          <cell r="W96" t="str">
            <v>正常</v>
          </cell>
          <cell r="X96" t="str">
            <v>库存过高</v>
          </cell>
          <cell r="Y96">
            <v>0</v>
          </cell>
          <cell r="Z96">
            <v>0</v>
          </cell>
          <cell r="AA96">
            <v>0</v>
          </cell>
          <cell r="AB96" t="str">
            <v>-</v>
          </cell>
        </row>
        <row r="97">
          <cell r="A97" t="str">
            <v>秀青</v>
          </cell>
          <cell r="B97" t="str">
            <v>Y8095-GR-1</v>
          </cell>
          <cell r="C97" t="str">
            <v>红/绿光纤瞄准具 for Taurus-非夜光款</v>
          </cell>
          <cell r="D97">
            <v>45160</v>
          </cell>
          <cell r="E97" t="str">
            <v>B0CF87TLHY</v>
          </cell>
          <cell r="F97">
            <v>33</v>
          </cell>
          <cell r="G97">
            <v>1</v>
          </cell>
          <cell r="H97">
            <v>9</v>
          </cell>
          <cell r="I97">
            <v>0</v>
          </cell>
          <cell r="J97">
            <v>1</v>
          </cell>
          <cell r="K97">
            <v>44</v>
          </cell>
          <cell r="L97">
            <v>30.586</v>
          </cell>
          <cell r="M97">
            <v>1345.784</v>
          </cell>
          <cell r="N97">
            <v>6</v>
          </cell>
          <cell r="O97">
            <v>12</v>
          </cell>
          <cell r="P97">
            <v>25</v>
          </cell>
          <cell r="Q97">
            <v>10</v>
          </cell>
          <cell r="R97">
            <v>-4</v>
          </cell>
          <cell r="S97">
            <v>53.0019120458891</v>
          </cell>
          <cell r="T97">
            <v>1.76673040152964</v>
          </cell>
          <cell r="U97">
            <v>1.24929178470255</v>
          </cell>
          <cell r="V97">
            <v>0.517438616827087</v>
          </cell>
          <cell r="W97" t="str">
            <v>库存过高</v>
          </cell>
          <cell r="X97" t="str">
            <v>库存过高</v>
          </cell>
          <cell r="Y97">
            <v>4.66</v>
          </cell>
          <cell r="Z97">
            <v>6.36</v>
          </cell>
          <cell r="AA97">
            <v>15.9</v>
          </cell>
          <cell r="AB97">
            <v>0.274278987639788</v>
          </cell>
        </row>
      </sheetData>
      <sheetData sheetId="15"/>
      <sheetData sheetId="16">
        <row r="1">
          <cell r="B1">
            <v>115</v>
          </cell>
          <cell r="C1" t="str">
            <v>已经把长期无库存且决定后期不再做的sku删除</v>
          </cell>
        </row>
        <row r="1">
          <cell r="K1">
            <v>4442</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A2" t="str">
            <v>运营</v>
          </cell>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4442</v>
          </cell>
        </row>
        <row r="3">
          <cell r="M3">
            <v>170830.487</v>
          </cell>
          <cell r="N3">
            <v>505</v>
          </cell>
          <cell r="O3">
            <v>958</v>
          </cell>
          <cell r="P3">
            <v>1370</v>
          </cell>
          <cell r="Q3">
            <v>174</v>
          </cell>
          <cell r="R3">
            <v>331</v>
          </cell>
        </row>
        <row r="3">
          <cell r="Y3">
            <v>902.96633</v>
          </cell>
          <cell r="Z3">
            <v>1774.46623</v>
          </cell>
          <cell r="AA3">
            <v>2717.69815</v>
          </cell>
        </row>
        <row r="4">
          <cell r="A4" t="str">
            <v>美珠</v>
          </cell>
          <cell r="B4" t="str">
            <v>Y9025-OR+Y9026+Y9027</v>
          </cell>
          <cell r="C4" t="str">
            <v>中性三星 A03s美版 橙</v>
          </cell>
        </row>
        <row r="4">
          <cell r="E4" t="str">
            <v>B0B5N285BD</v>
          </cell>
          <cell r="F4">
            <v>2</v>
          </cell>
          <cell r="G4">
            <v>0</v>
          </cell>
          <cell r="H4">
            <v>0</v>
          </cell>
          <cell r="I4">
            <v>0</v>
          </cell>
          <cell r="J4">
            <v>0</v>
          </cell>
          <cell r="K4">
            <v>2</v>
          </cell>
          <cell r="L4">
            <v>13.9</v>
          </cell>
          <cell r="M4">
            <v>27.8</v>
          </cell>
          <cell r="N4">
            <v>0</v>
          </cell>
          <cell r="O4">
            <v>0</v>
          </cell>
          <cell r="P4">
            <v>0</v>
          </cell>
          <cell r="Q4">
            <v>0</v>
          </cell>
          <cell r="R4">
            <v>0</v>
          </cell>
          <cell r="S4" t="str">
            <v>-</v>
          </cell>
          <cell r="T4" t="str">
            <v>-</v>
          </cell>
          <cell r="U4" t="str">
            <v>-</v>
          </cell>
          <cell r="V4" t="str">
            <v>-</v>
          </cell>
          <cell r="W4" t="str">
            <v>有库存无销量</v>
          </cell>
          <cell r="X4" t="str">
            <v>有库存无销量</v>
          </cell>
          <cell r="Y4">
            <v>0</v>
          </cell>
          <cell r="Z4">
            <v>0</v>
          </cell>
          <cell r="AA4">
            <v>0</v>
          </cell>
          <cell r="AB4" t="str">
            <v>-</v>
          </cell>
        </row>
        <row r="5">
          <cell r="A5" t="str">
            <v>美珠</v>
          </cell>
          <cell r="B5" t="str">
            <v>Y9002-BU+Y9005</v>
          </cell>
          <cell r="C5" t="str">
            <v>中性三星 S22 Ultra 黑+蓝</v>
          </cell>
        </row>
        <row r="5">
          <cell r="E5" t="str">
            <v>B0B6VJJMWD</v>
          </cell>
          <cell r="F5">
            <v>3</v>
          </cell>
          <cell r="G5">
            <v>0</v>
          </cell>
          <cell r="H5">
            <v>1</v>
          </cell>
          <cell r="I5">
            <v>2</v>
          </cell>
          <cell r="J5">
            <v>0</v>
          </cell>
          <cell r="K5">
            <v>6</v>
          </cell>
          <cell r="L5">
            <v>13.9</v>
          </cell>
          <cell r="M5">
            <v>83.4</v>
          </cell>
          <cell r="N5">
            <v>3</v>
          </cell>
          <cell r="O5">
            <v>10</v>
          </cell>
          <cell r="P5">
            <v>16</v>
          </cell>
          <cell r="Q5">
            <v>2</v>
          </cell>
          <cell r="R5">
            <v>1</v>
          </cell>
          <cell r="S5">
            <v>11.0526315789474</v>
          </cell>
          <cell r="T5">
            <v>0.368421052631579</v>
          </cell>
          <cell r="U5">
            <v>0.450920245398773</v>
          </cell>
          <cell r="V5">
            <v>-0.082499192767194</v>
          </cell>
          <cell r="W5" t="str">
            <v>库存过低</v>
          </cell>
          <cell r="X5" t="str">
            <v>库存过低</v>
          </cell>
          <cell r="Y5">
            <v>6.48</v>
          </cell>
          <cell r="Z5">
            <v>12.4</v>
          </cell>
          <cell r="AA5">
            <v>19.93</v>
          </cell>
          <cell r="AB5">
            <v>0.498845265588915</v>
          </cell>
        </row>
        <row r="6">
          <cell r="A6" t="str">
            <v>美珠</v>
          </cell>
          <cell r="B6" t="str">
            <v>Y9002-DB+Y9005</v>
          </cell>
          <cell r="C6" t="str">
            <v>中性三星 S22 Ultra 深蓝+蓝</v>
          </cell>
        </row>
        <row r="6">
          <cell r="E6" t="str">
            <v>B0B6VLWLHF</v>
          </cell>
          <cell r="F6">
            <v>0</v>
          </cell>
          <cell r="G6">
            <v>1</v>
          </cell>
          <cell r="H6">
            <v>0</v>
          </cell>
          <cell r="I6">
            <v>0</v>
          </cell>
          <cell r="J6">
            <v>0</v>
          </cell>
          <cell r="K6">
            <v>1</v>
          </cell>
          <cell r="L6">
            <v>13.9</v>
          </cell>
          <cell r="M6">
            <v>13.9</v>
          </cell>
          <cell r="N6">
            <v>0</v>
          </cell>
          <cell r="O6">
            <v>1</v>
          </cell>
          <cell r="P6">
            <v>3</v>
          </cell>
          <cell r="Q6">
            <v>1</v>
          </cell>
          <cell r="R6">
            <v>-1</v>
          </cell>
          <cell r="S6">
            <v>18</v>
          </cell>
          <cell r="T6">
            <v>0.6</v>
          </cell>
          <cell r="U6">
            <v>1.45833333333333</v>
          </cell>
          <cell r="V6">
            <v>-0.85833333333333</v>
          </cell>
          <cell r="W6" t="str">
            <v>有库存无销量</v>
          </cell>
          <cell r="X6" t="str">
            <v>正常</v>
          </cell>
          <cell r="Y6">
            <v>0</v>
          </cell>
          <cell r="Z6">
            <v>0</v>
          </cell>
          <cell r="AA6">
            <v>5.87</v>
          </cell>
          <cell r="AB6" t="str">
            <v>-</v>
          </cell>
        </row>
        <row r="7">
          <cell r="A7" t="str">
            <v>美珠</v>
          </cell>
          <cell r="B7" t="str">
            <v>Y9002-OR+Y9005</v>
          </cell>
          <cell r="C7" t="str">
            <v>中性三星 S22 Ultra 黑+橙</v>
          </cell>
        </row>
        <row r="7">
          <cell r="E7" t="str">
            <v>B0B6VJS464</v>
          </cell>
          <cell r="F7">
            <v>4</v>
          </cell>
          <cell r="G7">
            <v>0</v>
          </cell>
          <cell r="H7">
            <v>0</v>
          </cell>
          <cell r="I7">
            <v>0</v>
          </cell>
          <cell r="J7">
            <v>0</v>
          </cell>
          <cell r="K7">
            <v>4</v>
          </cell>
          <cell r="L7">
            <v>13.9</v>
          </cell>
          <cell r="M7">
            <v>55.6</v>
          </cell>
          <cell r="N7">
            <v>0</v>
          </cell>
          <cell r="O7">
            <v>0</v>
          </cell>
          <cell r="P7">
            <v>1</v>
          </cell>
          <cell r="Q7">
            <v>1</v>
          </cell>
          <cell r="R7">
            <v>-1</v>
          </cell>
          <cell r="S7">
            <v>360</v>
          </cell>
          <cell r="T7">
            <v>12</v>
          </cell>
          <cell r="U7">
            <v>2.05882352941176</v>
          </cell>
          <cell r="V7">
            <v>9.94117647058824</v>
          </cell>
          <cell r="W7" t="str">
            <v>有库存无销量</v>
          </cell>
          <cell r="X7" t="str">
            <v>库存过高</v>
          </cell>
          <cell r="Y7">
            <v>0</v>
          </cell>
          <cell r="Z7">
            <v>0</v>
          </cell>
          <cell r="AA7">
            <v>0</v>
          </cell>
          <cell r="AB7" t="str">
            <v>-</v>
          </cell>
        </row>
        <row r="8">
          <cell r="A8" t="str">
            <v>美珠</v>
          </cell>
          <cell r="B8" t="str">
            <v>Y92611-DB+Y92614+Y92635</v>
          </cell>
          <cell r="C8" t="str">
            <v>中性iPhone 12 6.1 深蓝+蓝色</v>
          </cell>
        </row>
        <row r="8">
          <cell r="E8" t="str">
            <v>B0B5SWTHW5</v>
          </cell>
          <cell r="F8">
            <v>2</v>
          </cell>
          <cell r="G8">
            <v>0</v>
          </cell>
          <cell r="H8">
            <v>1</v>
          </cell>
          <cell r="I8">
            <v>0</v>
          </cell>
          <cell r="J8">
            <v>0</v>
          </cell>
          <cell r="K8">
            <v>3</v>
          </cell>
          <cell r="L8">
            <v>13.9</v>
          </cell>
          <cell r="M8">
            <v>41.7</v>
          </cell>
          <cell r="N8">
            <v>3</v>
          </cell>
          <cell r="O8">
            <v>8</v>
          </cell>
          <cell r="P8">
            <v>12</v>
          </cell>
          <cell r="Q8">
            <v>2</v>
          </cell>
          <cell r="R8">
            <v>1</v>
          </cell>
          <cell r="S8">
            <v>6.60839160839161</v>
          </cell>
          <cell r="T8">
            <v>0.22027972027972</v>
          </cell>
          <cell r="U8">
            <v>1.17757009345794</v>
          </cell>
          <cell r="V8">
            <v>-0.95729037317822</v>
          </cell>
          <cell r="W8" t="str">
            <v>库存过低</v>
          </cell>
          <cell r="X8" t="str">
            <v>库存过低</v>
          </cell>
          <cell r="Y8">
            <v>6.39</v>
          </cell>
          <cell r="Z8">
            <v>13.09</v>
          </cell>
          <cell r="AA8">
            <v>24.49</v>
          </cell>
          <cell r="AB8" t="str">
            <v>-</v>
          </cell>
        </row>
        <row r="9">
          <cell r="A9" t="str">
            <v>美珠</v>
          </cell>
          <cell r="B9" t="str">
            <v>Y93475-DB+Y92615+Y93478</v>
          </cell>
          <cell r="C9" t="str">
            <v>中性iphone 13 pro max 深蓝+蓝</v>
          </cell>
        </row>
        <row r="9">
          <cell r="E9" t="str">
            <v>B0B5QJGPS2</v>
          </cell>
          <cell r="F9">
            <v>1</v>
          </cell>
          <cell r="G9">
            <v>0</v>
          </cell>
          <cell r="H9">
            <v>1</v>
          </cell>
          <cell r="I9">
            <v>2</v>
          </cell>
          <cell r="J9">
            <v>0</v>
          </cell>
          <cell r="K9">
            <v>4</v>
          </cell>
          <cell r="L9">
            <v>13.9</v>
          </cell>
          <cell r="M9">
            <v>55.6</v>
          </cell>
          <cell r="N9">
            <v>6</v>
          </cell>
          <cell r="O9">
            <v>12</v>
          </cell>
          <cell r="P9">
            <v>18</v>
          </cell>
          <cell r="Q9">
            <v>3</v>
          </cell>
          <cell r="R9">
            <v>3</v>
          </cell>
          <cell r="S9">
            <v>5.31645569620253</v>
          </cell>
          <cell r="T9">
            <v>0.177215189873418</v>
          </cell>
          <cell r="U9">
            <v>0.620253164556962</v>
          </cell>
          <cell r="V9">
            <v>-0.443037974683544</v>
          </cell>
          <cell r="W9" t="str">
            <v>库存过低</v>
          </cell>
          <cell r="X9" t="str">
            <v>库存过低</v>
          </cell>
          <cell r="Y9">
            <v>3.31</v>
          </cell>
          <cell r="Z9">
            <v>7.17</v>
          </cell>
          <cell r="AA9">
            <v>17.23</v>
          </cell>
          <cell r="AB9">
            <v>0.254811393379523</v>
          </cell>
        </row>
        <row r="10">
          <cell r="A10" t="str">
            <v>美珠</v>
          </cell>
          <cell r="B10" t="str">
            <v>Y93694-BL+Y93712+Y93744</v>
          </cell>
          <cell r="C10" t="str">
            <v>中性三星 A13 黑</v>
          </cell>
        </row>
        <row r="10">
          <cell r="E10" t="str">
            <v>B0B5N2J21Z</v>
          </cell>
          <cell r="F10">
            <v>10</v>
          </cell>
          <cell r="G10">
            <v>0</v>
          </cell>
          <cell r="H10">
            <v>0</v>
          </cell>
          <cell r="I10">
            <v>0</v>
          </cell>
          <cell r="J10">
            <v>0</v>
          </cell>
          <cell r="K10">
            <v>10</v>
          </cell>
          <cell r="L10">
            <v>13.9</v>
          </cell>
          <cell r="M10">
            <v>139</v>
          </cell>
          <cell r="N10">
            <v>0</v>
          </cell>
          <cell r="O10">
            <v>0</v>
          </cell>
          <cell r="P10">
            <v>0</v>
          </cell>
          <cell r="Q10">
            <v>0</v>
          </cell>
          <cell r="R10">
            <v>0</v>
          </cell>
          <cell r="S10" t="str">
            <v>-</v>
          </cell>
          <cell r="T10" t="str">
            <v>-</v>
          </cell>
          <cell r="U10">
            <v>11</v>
          </cell>
          <cell r="V10" t="str">
            <v>-</v>
          </cell>
          <cell r="W10" t="str">
            <v>有库存无销量</v>
          </cell>
          <cell r="X10" t="str">
            <v>有库存无销量</v>
          </cell>
          <cell r="Y10">
            <v>0</v>
          </cell>
          <cell r="Z10">
            <v>0</v>
          </cell>
          <cell r="AA10">
            <v>0</v>
          </cell>
          <cell r="AB10" t="str">
            <v>-</v>
          </cell>
        </row>
        <row r="11">
          <cell r="A11" t="str">
            <v>美珠</v>
          </cell>
          <cell r="B11" t="str">
            <v>Y93694-BU+Y93712+Y93744</v>
          </cell>
          <cell r="C11" t="str">
            <v>中性三星 A13 黑+蓝</v>
          </cell>
        </row>
        <row r="11">
          <cell r="E11" t="str">
            <v>B0B5N198G3</v>
          </cell>
          <cell r="F11">
            <v>5</v>
          </cell>
          <cell r="G11">
            <v>0</v>
          </cell>
          <cell r="H11">
            <v>0</v>
          </cell>
          <cell r="I11">
            <v>0</v>
          </cell>
          <cell r="J11">
            <v>0</v>
          </cell>
          <cell r="K11">
            <v>5</v>
          </cell>
          <cell r="L11">
            <v>13.9</v>
          </cell>
          <cell r="M11">
            <v>69.5</v>
          </cell>
          <cell r="N11">
            <v>1</v>
          </cell>
          <cell r="O11">
            <v>3</v>
          </cell>
          <cell r="P11">
            <v>4</v>
          </cell>
          <cell r="Q11">
            <v>1</v>
          </cell>
          <cell r="R11">
            <v>0</v>
          </cell>
          <cell r="S11">
            <v>31.5</v>
          </cell>
          <cell r="T11">
            <v>1.05</v>
          </cell>
          <cell r="U11">
            <v>2.625</v>
          </cell>
          <cell r="V11">
            <v>-1.575</v>
          </cell>
          <cell r="W11" t="str">
            <v>正常</v>
          </cell>
          <cell r="X11" t="str">
            <v>正常</v>
          </cell>
          <cell r="Y11">
            <v>3.63</v>
          </cell>
          <cell r="Z11">
            <v>7.25</v>
          </cell>
          <cell r="AA11">
            <v>10.89</v>
          </cell>
          <cell r="AB11">
            <v>0.139722863741339</v>
          </cell>
        </row>
        <row r="12">
          <cell r="A12" t="str">
            <v>美珠</v>
          </cell>
          <cell r="B12" t="str">
            <v>Y93694-OR+Y93712+Y93744</v>
          </cell>
          <cell r="C12" t="str">
            <v>中性三星 A13 黑+橙</v>
          </cell>
        </row>
        <row r="12">
          <cell r="E12" t="str">
            <v>B0B5N1JWMD</v>
          </cell>
          <cell r="F12">
            <v>7</v>
          </cell>
          <cell r="G12">
            <v>0</v>
          </cell>
          <cell r="H12">
            <v>0</v>
          </cell>
          <cell r="I12">
            <v>0</v>
          </cell>
          <cell r="J12">
            <v>0</v>
          </cell>
          <cell r="K12">
            <v>7</v>
          </cell>
          <cell r="L12">
            <v>13.9</v>
          </cell>
          <cell r="M12">
            <v>97.3</v>
          </cell>
          <cell r="N12">
            <v>0</v>
          </cell>
          <cell r="O12">
            <v>0</v>
          </cell>
          <cell r="P12">
            <v>0</v>
          </cell>
          <cell r="Q12">
            <v>0</v>
          </cell>
          <cell r="R12">
            <v>0</v>
          </cell>
          <cell r="S12" t="str">
            <v>-</v>
          </cell>
          <cell r="T12" t="str">
            <v>-</v>
          </cell>
          <cell r="U12">
            <v>21</v>
          </cell>
          <cell r="V12" t="str">
            <v>-</v>
          </cell>
          <cell r="W12" t="str">
            <v>有库存无销量</v>
          </cell>
          <cell r="X12" t="str">
            <v>有库存无销量</v>
          </cell>
          <cell r="Y12">
            <v>0.88</v>
          </cell>
          <cell r="Z12">
            <v>0.88</v>
          </cell>
          <cell r="AA12">
            <v>5.12</v>
          </cell>
          <cell r="AB12" t="str">
            <v>-</v>
          </cell>
        </row>
        <row r="13">
          <cell r="A13" t="str">
            <v>美珠</v>
          </cell>
          <cell r="B13" t="str">
            <v>Y9003-BL+Y9006+Y9008</v>
          </cell>
          <cell r="C13" t="str">
            <v>中性三星 S22 Plus 黑</v>
          </cell>
        </row>
        <row r="13">
          <cell r="E13" t="str">
            <v>B0B63GG8ZH</v>
          </cell>
          <cell r="F13">
            <v>4</v>
          </cell>
          <cell r="G13">
            <v>1</v>
          </cell>
          <cell r="H13">
            <v>0</v>
          </cell>
          <cell r="I13">
            <v>1</v>
          </cell>
          <cell r="J13">
            <v>0</v>
          </cell>
          <cell r="K13">
            <v>6</v>
          </cell>
          <cell r="L13">
            <v>13.9</v>
          </cell>
          <cell r="M13">
            <v>83.4</v>
          </cell>
          <cell r="N13">
            <v>1</v>
          </cell>
          <cell r="O13">
            <v>1</v>
          </cell>
          <cell r="P13">
            <v>3</v>
          </cell>
          <cell r="Q13">
            <v>1</v>
          </cell>
          <cell r="R13">
            <v>0</v>
          </cell>
          <cell r="S13">
            <v>58.1538461538461</v>
          </cell>
          <cell r="T13">
            <v>1.93846153846154</v>
          </cell>
          <cell r="U13">
            <v>1.86075949367089</v>
          </cell>
          <cell r="V13">
            <v>0.0777020447906482</v>
          </cell>
          <cell r="W13" t="str">
            <v>正常</v>
          </cell>
          <cell r="X13" t="str">
            <v>库存过高</v>
          </cell>
          <cell r="Y13">
            <v>0</v>
          </cell>
          <cell r="Z13">
            <v>0</v>
          </cell>
          <cell r="AA13">
            <v>0</v>
          </cell>
          <cell r="AB13" t="str">
            <v>-</v>
          </cell>
        </row>
        <row r="14">
          <cell r="A14" t="str">
            <v>美珠</v>
          </cell>
          <cell r="B14" t="str">
            <v>Y9003-BU+Y9006+Y9008</v>
          </cell>
          <cell r="C14" t="str">
            <v>中性三星 S22 Plus 黑+蓝</v>
          </cell>
        </row>
        <row r="14">
          <cell r="E14" t="str">
            <v>B0B7JCJGP5</v>
          </cell>
          <cell r="F14">
            <v>7</v>
          </cell>
          <cell r="G14">
            <v>0</v>
          </cell>
          <cell r="H14">
            <v>0</v>
          </cell>
          <cell r="I14">
            <v>0</v>
          </cell>
          <cell r="J14">
            <v>0</v>
          </cell>
          <cell r="K14">
            <v>7</v>
          </cell>
          <cell r="L14">
            <v>13.9</v>
          </cell>
          <cell r="M14">
            <v>97.3</v>
          </cell>
          <cell r="N14">
            <v>1</v>
          </cell>
          <cell r="O14">
            <v>1</v>
          </cell>
          <cell r="P14">
            <v>3</v>
          </cell>
          <cell r="Q14">
            <v>1</v>
          </cell>
          <cell r="R14">
            <v>0</v>
          </cell>
          <cell r="S14">
            <v>67.8461538461538</v>
          </cell>
          <cell r="T14">
            <v>2.26153846153846</v>
          </cell>
          <cell r="U14">
            <v>2.91666666666667</v>
          </cell>
          <cell r="V14">
            <v>-0.655128205128209</v>
          </cell>
          <cell r="W14" t="str">
            <v>库存过高</v>
          </cell>
          <cell r="X14" t="str">
            <v>库存过高</v>
          </cell>
          <cell r="Y14">
            <v>5.76</v>
          </cell>
          <cell r="Z14">
            <v>9.52</v>
          </cell>
          <cell r="AA14">
            <v>21.13</v>
          </cell>
          <cell r="AB14">
            <v>0.221709006928406</v>
          </cell>
        </row>
        <row r="15">
          <cell r="A15" t="str">
            <v>美珠</v>
          </cell>
          <cell r="B15" t="str">
            <v>Y9003-DB+Y9006+Y9008</v>
          </cell>
          <cell r="C15" t="str">
            <v>中性三星 S22 Plus 深蓝+蓝</v>
          </cell>
        </row>
        <row r="15">
          <cell r="E15" t="str">
            <v>B0B7JCHTKH</v>
          </cell>
          <cell r="F15">
            <v>11</v>
          </cell>
          <cell r="G15">
            <v>0</v>
          </cell>
          <cell r="H15">
            <v>0</v>
          </cell>
          <cell r="I15">
            <v>0</v>
          </cell>
          <cell r="J15">
            <v>0</v>
          </cell>
          <cell r="K15">
            <v>11</v>
          </cell>
          <cell r="L15">
            <v>13.9</v>
          </cell>
          <cell r="M15">
            <v>152.9</v>
          </cell>
          <cell r="N15">
            <v>0</v>
          </cell>
          <cell r="O15">
            <v>0</v>
          </cell>
          <cell r="P15">
            <v>0</v>
          </cell>
          <cell r="Q15">
            <v>0</v>
          </cell>
          <cell r="R15">
            <v>0</v>
          </cell>
          <cell r="S15" t="str">
            <v>-</v>
          </cell>
          <cell r="T15" t="str">
            <v>-</v>
          </cell>
          <cell r="U15">
            <v>11</v>
          </cell>
          <cell r="V15" t="str">
            <v>-</v>
          </cell>
          <cell r="W15" t="str">
            <v>有库存无销量</v>
          </cell>
          <cell r="X15" t="str">
            <v>有库存无销量</v>
          </cell>
          <cell r="Y15">
            <v>0</v>
          </cell>
          <cell r="Z15">
            <v>0</v>
          </cell>
          <cell r="AA15">
            <v>0</v>
          </cell>
          <cell r="AB15" t="str">
            <v>-</v>
          </cell>
        </row>
        <row r="16">
          <cell r="A16" t="str">
            <v>美珠</v>
          </cell>
          <cell r="B16" t="str">
            <v>Y93040-BL+Y93045+Y93043</v>
          </cell>
          <cell r="C16" t="str">
            <v>中性三星 A02S 黑色</v>
          </cell>
        </row>
        <row r="16">
          <cell r="E16" t="str">
            <v>B0B634WWTT</v>
          </cell>
          <cell r="F16">
            <v>5</v>
          </cell>
          <cell r="G16">
            <v>0</v>
          </cell>
          <cell r="H16">
            <v>0</v>
          </cell>
          <cell r="I16">
            <v>0</v>
          </cell>
          <cell r="J16">
            <v>0</v>
          </cell>
          <cell r="K16">
            <v>5</v>
          </cell>
          <cell r="L16">
            <v>13.9</v>
          </cell>
          <cell r="M16">
            <v>69.5</v>
          </cell>
          <cell r="N16">
            <v>0</v>
          </cell>
          <cell r="O16">
            <v>0</v>
          </cell>
          <cell r="P16">
            <v>1</v>
          </cell>
          <cell r="Q16">
            <v>1</v>
          </cell>
          <cell r="R16">
            <v>-1</v>
          </cell>
          <cell r="S16">
            <v>450</v>
          </cell>
          <cell r="T16">
            <v>15</v>
          </cell>
          <cell r="U16">
            <v>2.05882352941176</v>
          </cell>
          <cell r="V16">
            <v>12.9411764705882</v>
          </cell>
          <cell r="W16" t="str">
            <v>有库存无销量</v>
          </cell>
          <cell r="X16" t="str">
            <v>库存过高</v>
          </cell>
          <cell r="Y16">
            <v>0.8</v>
          </cell>
          <cell r="Z16">
            <v>1.66</v>
          </cell>
          <cell r="AA16">
            <v>2.02</v>
          </cell>
          <cell r="AB16" t="str">
            <v>-</v>
          </cell>
        </row>
        <row r="17">
          <cell r="A17" t="str">
            <v>美珠</v>
          </cell>
          <cell r="B17" t="str">
            <v>Y93040-DB+Y93045+Y93043</v>
          </cell>
          <cell r="C17" t="str">
            <v>中性三星 A02S 深蓝+蓝色</v>
          </cell>
        </row>
        <row r="17">
          <cell r="E17" t="str">
            <v>B0B7HVPQ58</v>
          </cell>
          <cell r="F17">
            <v>8</v>
          </cell>
          <cell r="G17">
            <v>0</v>
          </cell>
          <cell r="H17">
            <v>0</v>
          </cell>
          <cell r="I17">
            <v>0</v>
          </cell>
          <cell r="J17">
            <v>0</v>
          </cell>
          <cell r="K17">
            <v>8</v>
          </cell>
          <cell r="L17">
            <v>13.9</v>
          </cell>
          <cell r="M17">
            <v>111.2</v>
          </cell>
          <cell r="N17">
            <v>0</v>
          </cell>
          <cell r="O17">
            <v>0</v>
          </cell>
          <cell r="P17">
            <v>1</v>
          </cell>
          <cell r="Q17">
            <v>1</v>
          </cell>
          <cell r="R17">
            <v>-1</v>
          </cell>
          <cell r="S17">
            <v>720</v>
          </cell>
          <cell r="T17">
            <v>24</v>
          </cell>
          <cell r="U17">
            <v>3.29411764705882</v>
          </cell>
          <cell r="V17">
            <v>20.7058823529412</v>
          </cell>
          <cell r="W17" t="str">
            <v>有库存无销量</v>
          </cell>
          <cell r="X17" t="str">
            <v>库存过高</v>
          </cell>
          <cell r="Y17">
            <v>0.68</v>
          </cell>
          <cell r="Z17">
            <v>0.68</v>
          </cell>
          <cell r="AA17">
            <v>1.02</v>
          </cell>
          <cell r="AB17" t="str">
            <v>-</v>
          </cell>
        </row>
        <row r="18">
          <cell r="A18" t="str">
            <v>美珠</v>
          </cell>
          <cell r="B18" t="str">
            <v>Y93040-OR+Y93045+Y93043</v>
          </cell>
          <cell r="C18" t="str">
            <v>中性三星 A02S 黑橙</v>
          </cell>
        </row>
        <row r="18">
          <cell r="E18" t="str">
            <v>B0B7J16F66</v>
          </cell>
          <cell r="F18">
            <v>15</v>
          </cell>
          <cell r="G18">
            <v>0</v>
          </cell>
          <cell r="H18">
            <v>0</v>
          </cell>
          <cell r="I18">
            <v>0</v>
          </cell>
          <cell r="J18">
            <v>0</v>
          </cell>
          <cell r="K18">
            <v>15</v>
          </cell>
          <cell r="L18">
            <v>13.9</v>
          </cell>
          <cell r="M18">
            <v>208.5</v>
          </cell>
          <cell r="N18">
            <v>0</v>
          </cell>
          <cell r="O18">
            <v>0</v>
          </cell>
          <cell r="P18">
            <v>0</v>
          </cell>
          <cell r="Q18">
            <v>0</v>
          </cell>
          <cell r="R18">
            <v>0</v>
          </cell>
          <cell r="S18" t="str">
            <v>-</v>
          </cell>
          <cell r="T18" t="str">
            <v>-</v>
          </cell>
          <cell r="U18" t="str">
            <v>-</v>
          </cell>
          <cell r="V18" t="str">
            <v>-</v>
          </cell>
          <cell r="W18" t="str">
            <v>有库存无销量</v>
          </cell>
          <cell r="X18" t="str">
            <v>有库存无销量</v>
          </cell>
          <cell r="Y18">
            <v>0.35</v>
          </cell>
          <cell r="Z18">
            <v>0.35</v>
          </cell>
          <cell r="AA18">
            <v>1.05</v>
          </cell>
          <cell r="AB18" t="str">
            <v>-</v>
          </cell>
        </row>
        <row r="19">
          <cell r="A19" t="str">
            <v>美珠</v>
          </cell>
          <cell r="B19" t="str">
            <v>Y93106-BL+Y93109+Y93112</v>
          </cell>
          <cell r="C19" t="str">
            <v>中性三星 A12 5G 黑色</v>
          </cell>
        </row>
        <row r="19">
          <cell r="E19" t="str">
            <v>B0B7HZ9RN6</v>
          </cell>
          <cell r="F19">
            <v>2</v>
          </cell>
          <cell r="G19">
            <v>1</v>
          </cell>
          <cell r="H19">
            <v>21</v>
          </cell>
          <cell r="I19">
            <v>0</v>
          </cell>
          <cell r="J19">
            <v>0</v>
          </cell>
          <cell r="K19">
            <v>24</v>
          </cell>
          <cell r="L19">
            <v>13.9</v>
          </cell>
          <cell r="M19">
            <v>333.6</v>
          </cell>
          <cell r="N19">
            <v>9</v>
          </cell>
          <cell r="O19">
            <v>16</v>
          </cell>
          <cell r="P19">
            <v>36</v>
          </cell>
          <cell r="Q19">
            <v>8</v>
          </cell>
          <cell r="R19">
            <v>1</v>
          </cell>
          <cell r="S19">
            <v>20.2680965147453</v>
          </cell>
          <cell r="T19">
            <v>0.675603217158177</v>
          </cell>
          <cell r="U19">
            <v>1.05527638190955</v>
          </cell>
          <cell r="V19">
            <v>-0.379673164751373</v>
          </cell>
          <cell r="W19" t="str">
            <v>正常</v>
          </cell>
          <cell r="X19" t="str">
            <v>正常</v>
          </cell>
          <cell r="Y19">
            <v>6.63</v>
          </cell>
          <cell r="Z19">
            <v>12.22</v>
          </cell>
          <cell r="AA19">
            <v>23.03</v>
          </cell>
          <cell r="AB19">
            <v>0.207317073170732</v>
          </cell>
        </row>
        <row r="20">
          <cell r="A20" t="str">
            <v>美珠</v>
          </cell>
          <cell r="B20" t="str">
            <v>Y93106-DB+Y93109+Y93112</v>
          </cell>
          <cell r="C20" t="str">
            <v>中性三星 A12 5G 深蓝+蓝色</v>
          </cell>
        </row>
        <row r="20">
          <cell r="E20" t="str">
            <v>B0B6333ZLX</v>
          </cell>
          <cell r="F20">
            <v>22</v>
          </cell>
          <cell r="G20">
            <v>1</v>
          </cell>
          <cell r="H20">
            <v>0</v>
          </cell>
          <cell r="I20">
            <v>0</v>
          </cell>
          <cell r="J20">
            <v>0</v>
          </cell>
          <cell r="K20">
            <v>23</v>
          </cell>
          <cell r="L20">
            <v>13.9</v>
          </cell>
          <cell r="M20">
            <v>319.7</v>
          </cell>
          <cell r="N20">
            <v>8</v>
          </cell>
          <cell r="O20">
            <v>17</v>
          </cell>
          <cell r="P20">
            <v>29</v>
          </cell>
          <cell r="Q20">
            <v>9</v>
          </cell>
          <cell r="R20">
            <v>-1</v>
          </cell>
          <cell r="S20">
            <v>21.2775330396476</v>
          </cell>
          <cell r="T20">
            <v>0.709251101321586</v>
          </cell>
          <cell r="U20">
            <v>1.00448430493274</v>
          </cell>
          <cell r="V20">
            <v>-0.295233203611154</v>
          </cell>
          <cell r="W20" t="str">
            <v>正常</v>
          </cell>
          <cell r="X20" t="str">
            <v>正常</v>
          </cell>
          <cell r="Y20">
            <v>0.83</v>
          </cell>
          <cell r="Z20">
            <v>2.55</v>
          </cell>
          <cell r="AA20">
            <v>5.29</v>
          </cell>
          <cell r="AB20" t="str">
            <v>-</v>
          </cell>
        </row>
        <row r="21">
          <cell r="A21" t="str">
            <v>美珠</v>
          </cell>
          <cell r="B21" t="str">
            <v>Y93106-OR+Y93109+Y93112</v>
          </cell>
          <cell r="C21" t="str">
            <v>中性三星 A12 5G 黑橙</v>
          </cell>
        </row>
        <row r="21">
          <cell r="E21" t="str">
            <v>B0B7HXB967</v>
          </cell>
          <cell r="F21">
            <v>14</v>
          </cell>
          <cell r="G21">
            <v>0</v>
          </cell>
          <cell r="H21">
            <v>3</v>
          </cell>
          <cell r="I21">
            <v>1</v>
          </cell>
          <cell r="J21">
            <v>0</v>
          </cell>
          <cell r="K21">
            <v>18</v>
          </cell>
          <cell r="L21">
            <v>13.9</v>
          </cell>
          <cell r="M21">
            <v>250.2</v>
          </cell>
          <cell r="N21">
            <v>3</v>
          </cell>
          <cell r="O21">
            <v>13</v>
          </cell>
          <cell r="P21">
            <v>27</v>
          </cell>
          <cell r="Q21">
            <v>8</v>
          </cell>
          <cell r="R21">
            <v>-5</v>
          </cell>
          <cell r="S21">
            <v>24.5986984815618</v>
          </cell>
          <cell r="T21">
            <v>0.819956616052061</v>
          </cell>
          <cell r="U21">
            <v>0.755622188905547</v>
          </cell>
          <cell r="V21">
            <v>0.0643344271465136</v>
          </cell>
          <cell r="W21" t="str">
            <v>正常</v>
          </cell>
          <cell r="X21" t="str">
            <v>正常</v>
          </cell>
          <cell r="Y21">
            <v>12.1</v>
          </cell>
          <cell r="Z21">
            <v>31.37</v>
          </cell>
          <cell r="AA21">
            <v>57.22</v>
          </cell>
          <cell r="AB21">
            <v>0.295338052233341</v>
          </cell>
        </row>
        <row r="22">
          <cell r="A22" t="str">
            <v>美珠</v>
          </cell>
          <cell r="B22" t="str">
            <v>Y93134-BL+Y93137+Y93268</v>
          </cell>
          <cell r="C22" t="str">
            <v>中性Moto G Power 2021 黑色</v>
          </cell>
        </row>
        <row r="22">
          <cell r="E22" t="str">
            <v>B0B7J2W7P2</v>
          </cell>
          <cell r="F22">
            <v>14</v>
          </cell>
          <cell r="G22">
            <v>0</v>
          </cell>
          <cell r="H22">
            <v>6</v>
          </cell>
          <cell r="I22">
            <v>0</v>
          </cell>
          <cell r="J22">
            <v>0</v>
          </cell>
          <cell r="K22">
            <v>20</v>
          </cell>
          <cell r="L22">
            <v>13.9</v>
          </cell>
          <cell r="M22">
            <v>278</v>
          </cell>
          <cell r="N22">
            <v>6</v>
          </cell>
          <cell r="O22">
            <v>11</v>
          </cell>
          <cell r="P22">
            <v>22</v>
          </cell>
          <cell r="Q22">
            <v>6</v>
          </cell>
          <cell r="R22">
            <v>0</v>
          </cell>
          <cell r="S22">
            <v>25.8196721311475</v>
          </cell>
          <cell r="T22">
            <v>0.860655737704918</v>
          </cell>
          <cell r="U22">
            <v>0.990566037735849</v>
          </cell>
          <cell r="V22">
            <v>-0.129910300030931</v>
          </cell>
          <cell r="W22" t="str">
            <v>正常</v>
          </cell>
          <cell r="X22" t="str">
            <v>正常</v>
          </cell>
          <cell r="Y22">
            <v>0.39</v>
          </cell>
          <cell r="Z22">
            <v>1.94</v>
          </cell>
          <cell r="AA22">
            <v>3.4</v>
          </cell>
          <cell r="AB22" t="str">
            <v>-</v>
          </cell>
        </row>
        <row r="23">
          <cell r="A23" t="str">
            <v>美珠</v>
          </cell>
          <cell r="B23" t="str">
            <v>Y93134-DB+Y93137+Y93268</v>
          </cell>
          <cell r="C23" t="str">
            <v>中性Moto G Power 2021 深蓝+蓝色</v>
          </cell>
        </row>
        <row r="23">
          <cell r="E23" t="str">
            <v>B0B635ZHTN</v>
          </cell>
          <cell r="F23">
            <v>14</v>
          </cell>
          <cell r="G23">
            <v>0</v>
          </cell>
          <cell r="H23">
            <v>2</v>
          </cell>
          <cell r="I23">
            <v>0</v>
          </cell>
          <cell r="J23">
            <v>0</v>
          </cell>
          <cell r="K23">
            <v>16</v>
          </cell>
          <cell r="L23">
            <v>13.9</v>
          </cell>
          <cell r="M23">
            <v>222.4</v>
          </cell>
          <cell r="N23">
            <v>6</v>
          </cell>
          <cell r="O23">
            <v>7</v>
          </cell>
          <cell r="P23">
            <v>14</v>
          </cell>
          <cell r="Q23">
            <v>2</v>
          </cell>
          <cell r="R23">
            <v>4</v>
          </cell>
          <cell r="S23">
            <v>26.8085106382979</v>
          </cell>
          <cell r="T23">
            <v>0.893617021276596</v>
          </cell>
          <cell r="U23">
            <v>0.659685863874346</v>
          </cell>
          <cell r="V23">
            <v>0.23393115740225</v>
          </cell>
          <cell r="W23" t="str">
            <v>正常</v>
          </cell>
          <cell r="X23" t="str">
            <v>正常</v>
          </cell>
          <cell r="Y23">
            <v>7.25</v>
          </cell>
          <cell r="Z23">
            <v>13.31</v>
          </cell>
          <cell r="AA23">
            <v>22.79</v>
          </cell>
          <cell r="AB23">
            <v>0.129556826304503</v>
          </cell>
        </row>
        <row r="24">
          <cell r="A24" t="str">
            <v>美珠</v>
          </cell>
          <cell r="B24" t="str">
            <v>Y93134-OR+Y93137+Y93268</v>
          </cell>
          <cell r="C24" t="str">
            <v>中性Moto G Power 2021 黑橙</v>
          </cell>
        </row>
        <row r="24">
          <cell r="E24" t="str">
            <v>B0B7J2NR5N</v>
          </cell>
          <cell r="F24">
            <v>6</v>
          </cell>
          <cell r="G24">
            <v>1</v>
          </cell>
          <cell r="H24">
            <v>6</v>
          </cell>
          <cell r="I24">
            <v>0</v>
          </cell>
          <cell r="J24">
            <v>0</v>
          </cell>
          <cell r="K24">
            <v>13</v>
          </cell>
          <cell r="L24">
            <v>13.9</v>
          </cell>
          <cell r="M24">
            <v>180.7</v>
          </cell>
          <cell r="N24">
            <v>7</v>
          </cell>
          <cell r="O24">
            <v>8</v>
          </cell>
          <cell r="P24">
            <v>16</v>
          </cell>
          <cell r="Q24">
            <v>1</v>
          </cell>
          <cell r="R24">
            <v>6</v>
          </cell>
          <cell r="S24">
            <v>18.8709677419355</v>
          </cell>
          <cell r="T24">
            <v>0.629032258064516</v>
          </cell>
          <cell r="U24">
            <v>1.64921465968586</v>
          </cell>
          <cell r="V24">
            <v>-1.02018240162134</v>
          </cell>
          <cell r="W24" t="str">
            <v>库存过低</v>
          </cell>
          <cell r="X24" t="str">
            <v>正常</v>
          </cell>
          <cell r="Y24">
            <v>16.64</v>
          </cell>
          <cell r="Z24">
            <v>31.54</v>
          </cell>
          <cell r="AA24">
            <v>61.17</v>
          </cell>
          <cell r="AB24">
            <v>0.108368609573429</v>
          </cell>
        </row>
        <row r="25">
          <cell r="A25" t="str">
            <v>美珠</v>
          </cell>
          <cell r="B25" t="str">
            <v>Y93230-BL+Y903231+Y93240</v>
          </cell>
          <cell r="C25" t="str">
            <v> 中性三星 A32 5G 黑色</v>
          </cell>
        </row>
        <row r="25">
          <cell r="E25" t="str">
            <v>B0B7HX1QK8</v>
          </cell>
          <cell r="F25">
            <v>5</v>
          </cell>
          <cell r="G25">
            <v>1</v>
          </cell>
          <cell r="H25">
            <v>9</v>
          </cell>
          <cell r="I25">
            <v>0</v>
          </cell>
          <cell r="J25">
            <v>0</v>
          </cell>
          <cell r="K25">
            <v>15</v>
          </cell>
          <cell r="L25">
            <v>13.9</v>
          </cell>
          <cell r="M25">
            <v>208.5</v>
          </cell>
          <cell r="N25">
            <v>4</v>
          </cell>
          <cell r="O25">
            <v>8</v>
          </cell>
          <cell r="P25">
            <v>17</v>
          </cell>
          <cell r="Q25">
            <v>4</v>
          </cell>
          <cell r="R25">
            <v>0</v>
          </cell>
          <cell r="S25">
            <v>26.9230769230769</v>
          </cell>
          <cell r="T25">
            <v>0.897435897435897</v>
          </cell>
          <cell r="U25">
            <v>0.910216718266254</v>
          </cell>
          <cell r="V25">
            <v>-0.0127808208303566</v>
          </cell>
          <cell r="W25" t="str">
            <v>正常</v>
          </cell>
          <cell r="X25" t="str">
            <v>正常</v>
          </cell>
          <cell r="Y25">
            <v>0</v>
          </cell>
          <cell r="Z25">
            <v>0.41</v>
          </cell>
          <cell r="AA25">
            <v>0.41</v>
          </cell>
          <cell r="AB25" t="str">
            <v>-</v>
          </cell>
        </row>
        <row r="26">
          <cell r="A26" t="str">
            <v>美珠</v>
          </cell>
          <cell r="B26" t="str">
            <v>Y93230-DB+Y903231+Y93240</v>
          </cell>
          <cell r="C26" t="str">
            <v>中性三星 A32 5G 深蓝+蓝色</v>
          </cell>
        </row>
        <row r="26">
          <cell r="E26" t="str">
            <v>B0B632PTY2</v>
          </cell>
          <cell r="F26">
            <v>12</v>
          </cell>
          <cell r="G26">
            <v>0</v>
          </cell>
          <cell r="H26">
            <v>7</v>
          </cell>
          <cell r="I26">
            <v>0</v>
          </cell>
          <cell r="J26">
            <v>0</v>
          </cell>
          <cell r="K26">
            <v>19</v>
          </cell>
          <cell r="L26">
            <v>13.9</v>
          </cell>
          <cell r="M26">
            <v>264.1</v>
          </cell>
          <cell r="N26">
            <v>3</v>
          </cell>
          <cell r="O26">
            <v>9</v>
          </cell>
          <cell r="P26">
            <v>15</v>
          </cell>
          <cell r="Q26">
            <v>4</v>
          </cell>
          <cell r="R26">
            <v>-1</v>
          </cell>
          <cell r="S26">
            <v>37.2897196261682</v>
          </cell>
          <cell r="T26">
            <v>1.24299065420561</v>
          </cell>
          <cell r="U26">
            <v>1.12166172106825</v>
          </cell>
          <cell r="V26">
            <v>0.121328933137357</v>
          </cell>
          <cell r="W26" t="str">
            <v>正常</v>
          </cell>
          <cell r="X26" t="str">
            <v>正常</v>
          </cell>
          <cell r="Y26">
            <v>10.49</v>
          </cell>
          <cell r="Z26">
            <v>19.06</v>
          </cell>
          <cell r="AA26">
            <v>35.86</v>
          </cell>
          <cell r="AB26">
            <v>0.403772132409546</v>
          </cell>
        </row>
        <row r="27">
          <cell r="A27" t="str">
            <v>美珠</v>
          </cell>
          <cell r="B27" t="str">
            <v>Y93230-OR+Y903231+Y93240</v>
          </cell>
          <cell r="C27" t="str">
            <v> 中性三星 A32 5G 黑橙</v>
          </cell>
        </row>
        <row r="27">
          <cell r="E27" t="str">
            <v>B0B7HYLDSL</v>
          </cell>
          <cell r="F27">
            <v>16</v>
          </cell>
          <cell r="G27">
            <v>0</v>
          </cell>
          <cell r="H27">
            <v>0</v>
          </cell>
          <cell r="I27">
            <v>0</v>
          </cell>
          <cell r="J27">
            <v>0</v>
          </cell>
          <cell r="K27">
            <v>16</v>
          </cell>
          <cell r="L27">
            <v>13.9</v>
          </cell>
          <cell r="M27">
            <v>222.4</v>
          </cell>
          <cell r="N27">
            <v>2</v>
          </cell>
          <cell r="O27">
            <v>4</v>
          </cell>
          <cell r="P27">
            <v>11</v>
          </cell>
          <cell r="Q27">
            <v>3</v>
          </cell>
          <cell r="R27">
            <v>-1</v>
          </cell>
          <cell r="S27">
            <v>52.2279792746114</v>
          </cell>
          <cell r="T27">
            <v>1.74093264248705</v>
          </cell>
          <cell r="U27">
            <v>2.19767441860465</v>
          </cell>
          <cell r="V27">
            <v>-0.456741776117604</v>
          </cell>
          <cell r="W27" t="str">
            <v>库存过高</v>
          </cell>
          <cell r="X27" t="str">
            <v>库存过高</v>
          </cell>
          <cell r="Y27">
            <v>9.36</v>
          </cell>
          <cell r="Z27">
            <v>15.38</v>
          </cell>
          <cell r="AA27">
            <v>31.65</v>
          </cell>
          <cell r="AB27">
            <v>0.267657992565056</v>
          </cell>
        </row>
        <row r="28">
          <cell r="A28" t="str">
            <v>美珠</v>
          </cell>
          <cell r="B28" t="str">
            <v>Y9029-DB+Y9030+Y9031</v>
          </cell>
          <cell r="C28" t="str">
            <v>中性三星 A53 5G 深蓝+蓝</v>
          </cell>
        </row>
        <row r="28">
          <cell r="E28" t="str">
            <v>B0B7JH9QBS</v>
          </cell>
          <cell r="F28">
            <v>2</v>
          </cell>
          <cell r="G28">
            <v>0</v>
          </cell>
          <cell r="H28">
            <v>0</v>
          </cell>
          <cell r="I28">
            <v>0</v>
          </cell>
          <cell r="J28">
            <v>0</v>
          </cell>
          <cell r="K28">
            <v>2</v>
          </cell>
          <cell r="L28">
            <v>13.9</v>
          </cell>
          <cell r="M28">
            <v>27.8</v>
          </cell>
          <cell r="N28">
            <v>0</v>
          </cell>
          <cell r="O28">
            <v>0</v>
          </cell>
          <cell r="P28">
            <v>2</v>
          </cell>
          <cell r="Q28">
            <v>2</v>
          </cell>
          <cell r="R28">
            <v>-2</v>
          </cell>
          <cell r="S28">
            <v>90</v>
          </cell>
          <cell r="T28">
            <v>3</v>
          </cell>
          <cell r="U28">
            <v>0.617647058823529</v>
          </cell>
          <cell r="V28">
            <v>2.38235294117647</v>
          </cell>
          <cell r="W28" t="str">
            <v>有库存无销量</v>
          </cell>
          <cell r="X28" t="str">
            <v>库存过高</v>
          </cell>
          <cell r="Y28">
            <v>1.51</v>
          </cell>
          <cell r="Z28">
            <v>2.2</v>
          </cell>
          <cell r="AA28">
            <v>8.15</v>
          </cell>
          <cell r="AB28" t="str">
            <v>-</v>
          </cell>
        </row>
        <row r="29">
          <cell r="A29" t="str">
            <v>美珠</v>
          </cell>
          <cell r="B29" t="str">
            <v>Y9029-OR+Y9030+Y9031</v>
          </cell>
          <cell r="C29" t="str">
            <v>中性三星 A53 5G 黑橙</v>
          </cell>
        </row>
        <row r="29">
          <cell r="E29" t="str">
            <v>B0B7JFWQ4F</v>
          </cell>
          <cell r="F29">
            <v>6</v>
          </cell>
          <cell r="G29">
            <v>0</v>
          </cell>
          <cell r="H29">
            <v>0</v>
          </cell>
          <cell r="I29">
            <v>0</v>
          </cell>
          <cell r="J29">
            <v>0</v>
          </cell>
          <cell r="K29">
            <v>6</v>
          </cell>
          <cell r="L29">
            <v>13.9</v>
          </cell>
          <cell r="M29">
            <v>83.4</v>
          </cell>
          <cell r="N29">
            <v>0</v>
          </cell>
          <cell r="O29">
            <v>1</v>
          </cell>
          <cell r="P29">
            <v>4</v>
          </cell>
          <cell r="Q29">
            <v>2</v>
          </cell>
          <cell r="R29">
            <v>-2</v>
          </cell>
          <cell r="S29">
            <v>90</v>
          </cell>
          <cell r="T29">
            <v>3</v>
          </cell>
          <cell r="U29">
            <v>0.682926829268293</v>
          </cell>
          <cell r="V29">
            <v>2.31707317073171</v>
          </cell>
          <cell r="W29" t="str">
            <v>有库存无销量</v>
          </cell>
          <cell r="X29" t="str">
            <v>库存过高</v>
          </cell>
          <cell r="Y29">
            <v>2.54</v>
          </cell>
          <cell r="Z29">
            <v>3.7</v>
          </cell>
          <cell r="AA29">
            <v>9.52</v>
          </cell>
          <cell r="AB29" t="str">
            <v>-</v>
          </cell>
        </row>
        <row r="30">
          <cell r="A30" t="str">
            <v>美珠</v>
          </cell>
          <cell r="B30" t="str">
            <v>Y93475-GR+Y92615+Y93478</v>
          </cell>
          <cell r="C30" t="str">
            <v>中性iphone 13 pro max 浅绿+黄</v>
          </cell>
        </row>
        <row r="30">
          <cell r="E30" t="str">
            <v>B0B5QKGJH4</v>
          </cell>
          <cell r="F30">
            <v>23</v>
          </cell>
          <cell r="G30">
            <v>0</v>
          </cell>
          <cell r="H30">
            <v>0</v>
          </cell>
          <cell r="I30">
            <v>0</v>
          </cell>
          <cell r="J30">
            <v>0</v>
          </cell>
          <cell r="K30">
            <v>23</v>
          </cell>
          <cell r="L30">
            <v>13.9</v>
          </cell>
          <cell r="M30">
            <v>319.7</v>
          </cell>
          <cell r="N30">
            <v>0</v>
          </cell>
          <cell r="O30">
            <v>0</v>
          </cell>
          <cell r="P30">
            <v>2</v>
          </cell>
          <cell r="Q30">
            <v>2</v>
          </cell>
          <cell r="R30">
            <v>-2</v>
          </cell>
          <cell r="S30">
            <v>1035</v>
          </cell>
          <cell r="T30">
            <v>34.5</v>
          </cell>
          <cell r="U30">
            <v>4.43119266055046</v>
          </cell>
          <cell r="V30">
            <v>30.0688073394495</v>
          </cell>
          <cell r="W30" t="str">
            <v>有库存无销量</v>
          </cell>
          <cell r="X30" t="str">
            <v>库存过高</v>
          </cell>
          <cell r="Y30">
            <v>0.65</v>
          </cell>
          <cell r="Z30">
            <v>1.13</v>
          </cell>
          <cell r="AA30">
            <v>2.08</v>
          </cell>
          <cell r="AB30" t="str">
            <v>-</v>
          </cell>
        </row>
        <row r="31">
          <cell r="A31" t="str">
            <v>美珠</v>
          </cell>
          <cell r="B31" t="str">
            <v>Y93756-BL+Y93757+Y93760</v>
          </cell>
          <cell r="C31" t="str">
            <v>中性谷歌 Pixel 6 黑</v>
          </cell>
        </row>
        <row r="31">
          <cell r="E31" t="str">
            <v>B0B5N5NMJN</v>
          </cell>
          <cell r="F31">
            <v>1</v>
          </cell>
          <cell r="G31">
            <v>0</v>
          </cell>
          <cell r="H31">
            <v>0</v>
          </cell>
          <cell r="I31">
            <v>0</v>
          </cell>
          <cell r="J31">
            <v>0</v>
          </cell>
          <cell r="K31">
            <v>1</v>
          </cell>
          <cell r="L31">
            <v>13.9</v>
          </cell>
          <cell r="M31">
            <v>13.9</v>
          </cell>
          <cell r="N31">
            <v>1</v>
          </cell>
          <cell r="O31">
            <v>1</v>
          </cell>
          <cell r="P31">
            <v>4</v>
          </cell>
          <cell r="Q31">
            <v>3</v>
          </cell>
          <cell r="R31">
            <v>-2</v>
          </cell>
          <cell r="S31">
            <v>8.75</v>
          </cell>
          <cell r="T31">
            <v>0.291666666666667</v>
          </cell>
          <cell r="U31">
            <v>0.62874251497006</v>
          </cell>
          <cell r="V31">
            <v>-0.337075848303393</v>
          </cell>
          <cell r="W31" t="str">
            <v>库存过低</v>
          </cell>
          <cell r="X31" t="str">
            <v>库存过低</v>
          </cell>
          <cell r="Y31">
            <v>3.39</v>
          </cell>
          <cell r="Z31">
            <v>6.44</v>
          </cell>
          <cell r="AA31">
            <v>14.18</v>
          </cell>
          <cell r="AB31">
            <v>0.308462238398544</v>
          </cell>
        </row>
        <row r="32">
          <cell r="A32" t="str">
            <v>美珠</v>
          </cell>
          <cell r="B32" t="str">
            <v>Y93758-BU+Y93759+Y93761</v>
          </cell>
          <cell r="C32" t="str">
            <v>中性谷歌 Pixel 6 pro 黑+蓝</v>
          </cell>
        </row>
        <row r="32">
          <cell r="E32" t="str">
            <v>B0B5N3SD8W</v>
          </cell>
          <cell r="F32">
            <v>8</v>
          </cell>
          <cell r="G32">
            <v>0</v>
          </cell>
          <cell r="H32">
            <v>0</v>
          </cell>
          <cell r="I32">
            <v>1</v>
          </cell>
          <cell r="J32">
            <v>0</v>
          </cell>
          <cell r="K32">
            <v>9</v>
          </cell>
          <cell r="L32">
            <v>13.9</v>
          </cell>
          <cell r="M32">
            <v>125.1</v>
          </cell>
          <cell r="N32">
            <v>2</v>
          </cell>
          <cell r="O32">
            <v>2</v>
          </cell>
          <cell r="P32">
            <v>10</v>
          </cell>
          <cell r="Q32">
            <v>0</v>
          </cell>
          <cell r="R32">
            <v>2</v>
          </cell>
          <cell r="S32">
            <v>35.8860759493671</v>
          </cell>
          <cell r="T32">
            <v>1.19620253164557</v>
          </cell>
          <cell r="U32">
            <v>1.375</v>
          </cell>
          <cell r="V32">
            <v>-0.17879746835443</v>
          </cell>
          <cell r="W32" t="str">
            <v>正常</v>
          </cell>
          <cell r="X32" t="str">
            <v>正常</v>
          </cell>
          <cell r="Y32">
            <v>0</v>
          </cell>
          <cell r="Z32">
            <v>0.28</v>
          </cell>
          <cell r="AA32">
            <v>0.99</v>
          </cell>
          <cell r="AB32" t="str">
            <v>-</v>
          </cell>
        </row>
        <row r="33">
          <cell r="A33" t="str">
            <v>美珠</v>
          </cell>
          <cell r="B33" t="str">
            <v>Y93758-DB+Y93759+Y93761</v>
          </cell>
          <cell r="C33" t="str">
            <v>中性谷歌 Pixel 6 pro 深蓝+蓝</v>
          </cell>
        </row>
        <row r="33">
          <cell r="E33" t="str">
            <v>B0B5N3K7LB</v>
          </cell>
          <cell r="F33">
            <v>9</v>
          </cell>
          <cell r="G33">
            <v>1</v>
          </cell>
          <cell r="H33">
            <v>0</v>
          </cell>
          <cell r="I33">
            <v>0</v>
          </cell>
          <cell r="J33">
            <v>0</v>
          </cell>
          <cell r="K33">
            <v>10</v>
          </cell>
          <cell r="L33">
            <v>13.9</v>
          </cell>
          <cell r="M33">
            <v>139</v>
          </cell>
          <cell r="N33">
            <v>0</v>
          </cell>
          <cell r="O33">
            <v>0</v>
          </cell>
          <cell r="P33">
            <v>2</v>
          </cell>
          <cell r="Q33">
            <v>1</v>
          </cell>
          <cell r="R33">
            <v>-1</v>
          </cell>
          <cell r="S33">
            <v>450</v>
          </cell>
          <cell r="T33">
            <v>15</v>
          </cell>
          <cell r="U33">
            <v>2.65822784810127</v>
          </cell>
          <cell r="V33">
            <v>12.3417721518987</v>
          </cell>
          <cell r="W33" t="str">
            <v>有库存无销量</v>
          </cell>
          <cell r="X33" t="str">
            <v>库存过高</v>
          </cell>
          <cell r="Y33">
            <v>1.65</v>
          </cell>
          <cell r="Z33">
            <v>3.56</v>
          </cell>
          <cell r="AA33">
            <v>5.38</v>
          </cell>
          <cell r="AB33" t="str">
            <v>-</v>
          </cell>
        </row>
        <row r="34">
          <cell r="A34" t="str">
            <v>美珠</v>
          </cell>
          <cell r="B34" t="str">
            <v>Y93694-DB+Y93712+Y93744</v>
          </cell>
          <cell r="C34" t="str">
            <v>中性三星 A13 深蓝+蓝</v>
          </cell>
        </row>
        <row r="34">
          <cell r="E34" t="str">
            <v>B0B5N33WKF</v>
          </cell>
          <cell r="F34">
            <v>10</v>
          </cell>
          <cell r="G34">
            <v>0</v>
          </cell>
          <cell r="H34">
            <v>0</v>
          </cell>
          <cell r="I34">
            <v>0</v>
          </cell>
          <cell r="J34">
            <v>0</v>
          </cell>
          <cell r="K34">
            <v>10</v>
          </cell>
          <cell r="L34">
            <v>13.9</v>
          </cell>
          <cell r="M34">
            <v>139</v>
          </cell>
          <cell r="N34">
            <v>0</v>
          </cell>
          <cell r="O34">
            <v>0</v>
          </cell>
          <cell r="P34">
            <v>0</v>
          </cell>
          <cell r="Q34">
            <v>0</v>
          </cell>
          <cell r="R34">
            <v>0</v>
          </cell>
          <cell r="S34" t="str">
            <v>-</v>
          </cell>
          <cell r="T34" t="str">
            <v>-</v>
          </cell>
          <cell r="U34" t="str">
            <v>-</v>
          </cell>
          <cell r="V34" t="str">
            <v>-</v>
          </cell>
          <cell r="W34" t="str">
            <v>有库存无销量</v>
          </cell>
          <cell r="X34" t="str">
            <v>有库存无销量</v>
          </cell>
          <cell r="Y34">
            <v>0</v>
          </cell>
          <cell r="Z34">
            <v>0</v>
          </cell>
          <cell r="AA34">
            <v>0</v>
          </cell>
          <cell r="AB34" t="str">
            <v>-</v>
          </cell>
        </row>
        <row r="35">
          <cell r="A35" t="str">
            <v>美珠</v>
          </cell>
          <cell r="B35" t="str">
            <v>Y9001-BU</v>
          </cell>
          <cell r="C35" t="str">
            <v>多功能手持风扇 USB便携式折叠风扇 深海蓝</v>
          </cell>
          <cell r="D35">
            <v>44990</v>
          </cell>
          <cell r="E35" t="str">
            <v>B0BVMG2B48</v>
          </cell>
          <cell r="F35">
            <v>207</v>
          </cell>
          <cell r="G35">
            <v>2</v>
          </cell>
          <cell r="H35">
            <v>1</v>
          </cell>
          <cell r="I35">
            <v>0</v>
          </cell>
          <cell r="J35">
            <v>0</v>
          </cell>
          <cell r="K35">
            <v>210</v>
          </cell>
          <cell r="L35">
            <v>24.251</v>
          </cell>
          <cell r="M35">
            <v>5092.71</v>
          </cell>
          <cell r="N35">
            <v>30</v>
          </cell>
          <cell r="O35">
            <v>40</v>
          </cell>
          <cell r="P35">
            <v>53</v>
          </cell>
          <cell r="Q35">
            <v>4</v>
          </cell>
          <cell r="R35">
            <v>26</v>
          </cell>
          <cell r="S35">
            <v>72.2555980338613</v>
          </cell>
          <cell r="T35">
            <v>2.40851993446204</v>
          </cell>
          <cell r="U35">
            <v>5.12418300653595</v>
          </cell>
          <cell r="V35">
            <v>-2.71566307207391</v>
          </cell>
          <cell r="W35" t="str">
            <v>库存过高</v>
          </cell>
          <cell r="X35" t="str">
            <v>库存过高</v>
          </cell>
          <cell r="Y35">
            <v>53.84</v>
          </cell>
          <cell r="Z35">
            <v>78.28</v>
          </cell>
          <cell r="AA35">
            <v>114.78</v>
          </cell>
          <cell r="AB35">
            <v>0.183986604244268</v>
          </cell>
        </row>
        <row r="36">
          <cell r="A36" t="str">
            <v>美珠</v>
          </cell>
          <cell r="B36" t="str">
            <v>Y9001-GR</v>
          </cell>
          <cell r="C36" t="str">
            <v>多功能手持风扇 USB便携式折叠风扇 暗夜绿</v>
          </cell>
          <cell r="D36">
            <v>45009</v>
          </cell>
          <cell r="E36" t="str">
            <v>B0BVMG33FS</v>
          </cell>
          <cell r="F36">
            <v>8</v>
          </cell>
          <cell r="G36">
            <v>1</v>
          </cell>
          <cell r="H36">
            <v>1</v>
          </cell>
          <cell r="I36">
            <v>0</v>
          </cell>
          <cell r="J36">
            <v>0</v>
          </cell>
          <cell r="K36">
            <v>10</v>
          </cell>
          <cell r="L36">
            <v>24.167</v>
          </cell>
          <cell r="M36">
            <v>241.67</v>
          </cell>
          <cell r="N36">
            <v>9</v>
          </cell>
          <cell r="O36">
            <v>49</v>
          </cell>
          <cell r="P36">
            <v>58</v>
          </cell>
          <cell r="Q36">
            <v>0</v>
          </cell>
          <cell r="R36">
            <v>9</v>
          </cell>
          <cell r="S36">
            <v>4.62555066079295</v>
          </cell>
          <cell r="T36">
            <v>0.154185022026432</v>
          </cell>
          <cell r="U36">
            <v>10.05</v>
          </cell>
          <cell r="V36">
            <v>-9.89581497797357</v>
          </cell>
          <cell r="W36" t="str">
            <v>库存过低</v>
          </cell>
          <cell r="X36" t="str">
            <v>库存过低</v>
          </cell>
          <cell r="Y36">
            <v>2.22</v>
          </cell>
          <cell r="Z36">
            <v>4.98</v>
          </cell>
          <cell r="AA36">
            <v>6.27</v>
          </cell>
          <cell r="AB36">
            <v>0.261484098939929</v>
          </cell>
        </row>
        <row r="37">
          <cell r="A37" t="str">
            <v>美珠</v>
          </cell>
          <cell r="B37" t="str">
            <v>Y9001-PI</v>
          </cell>
          <cell r="C37" t="str">
            <v>多功能手持风扇 USB便携式折叠风扇 樱花粉</v>
          </cell>
          <cell r="D37">
            <v>44990</v>
          </cell>
          <cell r="E37" t="str">
            <v>B0BVPN4L87</v>
          </cell>
          <cell r="F37">
            <v>189</v>
          </cell>
          <cell r="G37">
            <v>1</v>
          </cell>
          <cell r="H37">
            <v>0</v>
          </cell>
          <cell r="I37">
            <v>2</v>
          </cell>
          <cell r="J37">
            <v>0</v>
          </cell>
          <cell r="K37">
            <v>192</v>
          </cell>
          <cell r="L37">
            <v>24.25</v>
          </cell>
          <cell r="M37">
            <v>4656</v>
          </cell>
          <cell r="N37">
            <v>6</v>
          </cell>
          <cell r="O37">
            <v>8</v>
          </cell>
          <cell r="P37">
            <v>24</v>
          </cell>
          <cell r="Q37">
            <v>12</v>
          </cell>
          <cell r="R37">
            <v>-6</v>
          </cell>
          <cell r="S37">
            <v>262.95652173913</v>
          </cell>
          <cell r="T37">
            <v>8.76521739130435</v>
          </cell>
          <cell r="U37">
            <v>4.30327868852459</v>
          </cell>
          <cell r="V37">
            <v>4.46193870277976</v>
          </cell>
          <cell r="W37" t="str">
            <v>库存过高</v>
          </cell>
          <cell r="X37" t="str">
            <v>库存过高</v>
          </cell>
          <cell r="Y37">
            <v>6.38</v>
          </cell>
          <cell r="Z37">
            <v>13.65</v>
          </cell>
          <cell r="AA37">
            <v>20.69</v>
          </cell>
          <cell r="AB37">
            <v>0.456040028591851</v>
          </cell>
        </row>
        <row r="38">
          <cell r="A38" t="str">
            <v>美珠</v>
          </cell>
          <cell r="B38" t="str">
            <v>Y9001-PU</v>
          </cell>
          <cell r="C38" t="str">
            <v>多功能手持风扇 USB便携式折叠风扇 紫罗兰</v>
          </cell>
          <cell r="D38">
            <v>45009</v>
          </cell>
          <cell r="E38" t="str">
            <v>B0BVMH4Q7J</v>
          </cell>
          <cell r="F38">
            <v>59</v>
          </cell>
          <cell r="G38">
            <v>1</v>
          </cell>
          <cell r="H38">
            <v>0</v>
          </cell>
          <cell r="I38">
            <v>0</v>
          </cell>
          <cell r="J38">
            <v>0</v>
          </cell>
          <cell r="K38">
            <v>60</v>
          </cell>
          <cell r="L38">
            <v>24.251</v>
          </cell>
          <cell r="M38">
            <v>1455.06</v>
          </cell>
          <cell r="N38">
            <v>6</v>
          </cell>
          <cell r="O38">
            <v>8</v>
          </cell>
          <cell r="P38">
            <v>15</v>
          </cell>
          <cell r="Q38">
            <v>4</v>
          </cell>
          <cell r="R38">
            <v>2</v>
          </cell>
          <cell r="S38">
            <v>95.2141057934509</v>
          </cell>
          <cell r="T38">
            <v>3.17380352644836</v>
          </cell>
          <cell r="U38">
            <v>3.1804008908686</v>
          </cell>
          <cell r="V38">
            <v>-0.00659736442023728</v>
          </cell>
          <cell r="W38" t="str">
            <v>库存过高</v>
          </cell>
          <cell r="X38" t="str">
            <v>库存过高</v>
          </cell>
          <cell r="Y38">
            <v>9.48</v>
          </cell>
          <cell r="Z38">
            <v>23.91</v>
          </cell>
          <cell r="AA38">
            <v>41.09</v>
          </cell>
          <cell r="AB38">
            <v>0.225929456625357</v>
          </cell>
        </row>
        <row r="39">
          <cell r="A39" t="str">
            <v>美珠</v>
          </cell>
          <cell r="B39" t="str">
            <v>Y9001-WH</v>
          </cell>
          <cell r="C39" t="str">
            <v>多功能手持风扇 USB便携式折叠风扇 雪峰白</v>
          </cell>
          <cell r="D39">
            <v>44990</v>
          </cell>
          <cell r="E39" t="str">
            <v>B0BVNW9PY5</v>
          </cell>
          <cell r="F39">
            <v>75</v>
          </cell>
          <cell r="G39">
            <v>1</v>
          </cell>
          <cell r="H39">
            <v>2</v>
          </cell>
          <cell r="I39">
            <v>49</v>
          </cell>
          <cell r="J39">
            <v>0</v>
          </cell>
          <cell r="K39">
            <v>127</v>
          </cell>
          <cell r="L39">
            <v>24.215</v>
          </cell>
          <cell r="M39">
            <v>3075.305</v>
          </cell>
          <cell r="N39">
            <v>6</v>
          </cell>
          <cell r="O39">
            <v>10</v>
          </cell>
          <cell r="P39">
            <v>22</v>
          </cell>
          <cell r="Q39">
            <v>4</v>
          </cell>
          <cell r="R39">
            <v>2</v>
          </cell>
          <cell r="S39">
            <v>168.79746835443</v>
          </cell>
          <cell r="T39">
            <v>5.62658227848101</v>
          </cell>
          <cell r="U39">
            <v>3.86842105263158</v>
          </cell>
          <cell r="V39">
            <v>1.75816122584943</v>
          </cell>
          <cell r="W39" t="str">
            <v>库存过高</v>
          </cell>
          <cell r="X39" t="str">
            <v>库存过高</v>
          </cell>
          <cell r="Y39">
            <v>1.7</v>
          </cell>
          <cell r="Z39">
            <v>3.95</v>
          </cell>
          <cell r="AA39">
            <v>13.39</v>
          </cell>
          <cell r="AB39">
            <v>0.243204577968526</v>
          </cell>
        </row>
        <row r="40">
          <cell r="A40" t="str">
            <v>美珠</v>
          </cell>
          <cell r="B40" t="str">
            <v>Y9002-BL</v>
          </cell>
          <cell r="C40" t="str">
            <v>高压可调节喷头花园洗车水枪 黑色</v>
          </cell>
          <cell r="D40">
            <v>45009</v>
          </cell>
          <cell r="E40" t="str">
            <v>B0BX252DLT</v>
          </cell>
          <cell r="F40">
            <v>585</v>
          </cell>
          <cell r="G40">
            <v>1</v>
          </cell>
          <cell r="H40">
            <v>12</v>
          </cell>
          <cell r="I40">
            <v>18</v>
          </cell>
          <cell r="J40">
            <v>0</v>
          </cell>
          <cell r="K40">
            <v>616</v>
          </cell>
          <cell r="L40">
            <v>30.583</v>
          </cell>
          <cell r="M40">
            <v>18839.128</v>
          </cell>
          <cell r="N40">
            <v>62</v>
          </cell>
          <cell r="O40">
            <v>93</v>
          </cell>
          <cell r="P40">
            <v>96</v>
          </cell>
          <cell r="Q40">
            <v>2</v>
          </cell>
          <cell r="R40">
            <v>60</v>
          </cell>
          <cell r="S40">
            <v>101.220657276995</v>
          </cell>
          <cell r="T40">
            <v>3.37402190923318</v>
          </cell>
          <cell r="U40">
            <v>71.0144927536232</v>
          </cell>
          <cell r="V40">
            <v>-67.64047084439</v>
          </cell>
          <cell r="W40" t="str">
            <v>库存过高</v>
          </cell>
          <cell r="X40" t="str">
            <v>库存过高</v>
          </cell>
          <cell r="Y40">
            <v>97.69</v>
          </cell>
          <cell r="Z40">
            <v>146.8</v>
          </cell>
          <cell r="AA40">
            <v>153.52</v>
          </cell>
          <cell r="AB40">
            <v>0.242593558320296</v>
          </cell>
        </row>
        <row r="41">
          <cell r="A41" t="str">
            <v>美珠</v>
          </cell>
          <cell r="B41" t="str">
            <v>Y9002-BU</v>
          </cell>
          <cell r="C41" t="str">
            <v>高压可调节喷头花园洗车水枪 蓝色</v>
          </cell>
          <cell r="D41">
            <v>45009</v>
          </cell>
          <cell r="E41" t="str">
            <v>B0BX1X4VP8</v>
          </cell>
          <cell r="F41">
            <v>542</v>
          </cell>
          <cell r="G41">
            <v>1</v>
          </cell>
          <cell r="H41">
            <v>0</v>
          </cell>
          <cell r="I41">
            <v>42</v>
          </cell>
          <cell r="J41">
            <v>0</v>
          </cell>
          <cell r="K41">
            <v>585</v>
          </cell>
          <cell r="L41">
            <v>30.583</v>
          </cell>
          <cell r="M41">
            <v>17891.055</v>
          </cell>
          <cell r="N41">
            <v>11</v>
          </cell>
          <cell r="O41">
            <v>11</v>
          </cell>
          <cell r="P41">
            <v>17</v>
          </cell>
          <cell r="Q41">
            <v>5</v>
          </cell>
          <cell r="R41">
            <v>6</v>
          </cell>
          <cell r="S41">
            <v>611.194029850746</v>
          </cell>
          <cell r="T41">
            <v>20.3731343283582</v>
          </cell>
          <cell r="U41">
            <v>34.4166666666667</v>
          </cell>
          <cell r="V41">
            <v>-14.0435323383085</v>
          </cell>
          <cell r="W41" t="str">
            <v>库存过高</v>
          </cell>
          <cell r="X41" t="str">
            <v>库存过高</v>
          </cell>
          <cell r="Y41">
            <v>17</v>
          </cell>
          <cell r="Z41">
            <v>28.54</v>
          </cell>
          <cell r="AA41">
            <v>48.36</v>
          </cell>
          <cell r="AB41">
            <v>0.175005147210212</v>
          </cell>
        </row>
        <row r="42">
          <cell r="A42" t="str">
            <v>美珠</v>
          </cell>
          <cell r="B42" t="str">
            <v>Y9003-1</v>
          </cell>
          <cell r="C42" t="str">
            <v>八合一便携式水质检测笔</v>
          </cell>
          <cell r="D42">
            <v>45009</v>
          </cell>
          <cell r="E42" t="str">
            <v>B0BYCMVK7Q</v>
          </cell>
          <cell r="F42">
            <v>393</v>
          </cell>
          <cell r="G42">
            <v>7</v>
          </cell>
          <cell r="H42">
            <v>1</v>
          </cell>
          <cell r="I42">
            <v>3</v>
          </cell>
          <cell r="J42">
            <v>0</v>
          </cell>
          <cell r="K42">
            <v>404</v>
          </cell>
          <cell r="L42">
            <v>68.725</v>
          </cell>
          <cell r="M42">
            <v>27764.9</v>
          </cell>
          <cell r="N42">
            <v>24</v>
          </cell>
          <cell r="O42">
            <v>31</v>
          </cell>
          <cell r="P42">
            <v>43</v>
          </cell>
          <cell r="Q42">
            <v>6</v>
          </cell>
          <cell r="R42">
            <v>18</v>
          </cell>
          <cell r="S42">
            <v>174.927835051546</v>
          </cell>
          <cell r="T42">
            <v>5.83092783505155</v>
          </cell>
          <cell r="U42">
            <v>17.2558139534884</v>
          </cell>
          <cell r="V42">
            <v>-11.4248861184369</v>
          </cell>
          <cell r="W42" t="str">
            <v>库存过高</v>
          </cell>
          <cell r="X42" t="str">
            <v>库存过高</v>
          </cell>
          <cell r="Y42">
            <v>73.01633</v>
          </cell>
          <cell r="Z42">
            <v>163.69623</v>
          </cell>
          <cell r="AA42">
            <v>279.63815</v>
          </cell>
          <cell r="AB42">
            <v>0.154101409818074</v>
          </cell>
        </row>
        <row r="43">
          <cell r="A43" t="str">
            <v>美珠</v>
          </cell>
          <cell r="B43" t="str">
            <v>Y93405-BL+Y93406+Y93397</v>
          </cell>
          <cell r="C43" t="str">
            <v>中性三星 A42 5G 黑</v>
          </cell>
        </row>
        <row r="43">
          <cell r="E43" t="str">
            <v>B0B5SW89MJ</v>
          </cell>
          <cell r="F43">
            <v>5</v>
          </cell>
          <cell r="G43">
            <v>0</v>
          </cell>
          <cell r="H43">
            <v>14</v>
          </cell>
          <cell r="I43">
            <v>0</v>
          </cell>
          <cell r="J43">
            <v>0</v>
          </cell>
          <cell r="K43">
            <v>19</v>
          </cell>
          <cell r="L43">
            <v>13.9</v>
          </cell>
          <cell r="M43">
            <v>264.1</v>
          </cell>
          <cell r="N43">
            <v>2</v>
          </cell>
          <cell r="O43">
            <v>8</v>
          </cell>
          <cell r="P43">
            <v>23</v>
          </cell>
          <cell r="Q43">
            <v>6</v>
          </cell>
          <cell r="R43">
            <v>-4</v>
          </cell>
          <cell r="S43">
            <v>35.9459459459459</v>
          </cell>
          <cell r="T43">
            <v>1.1981981981982</v>
          </cell>
          <cell r="U43">
            <v>0.854066985645933</v>
          </cell>
          <cell r="V43">
            <v>0.344131212552265</v>
          </cell>
          <cell r="W43" t="str">
            <v>库存过高</v>
          </cell>
          <cell r="X43" t="str">
            <v>正常</v>
          </cell>
          <cell r="Y43">
            <v>0.78</v>
          </cell>
          <cell r="Z43">
            <v>1.97</v>
          </cell>
          <cell r="AA43">
            <v>3.6</v>
          </cell>
          <cell r="AB43" t="str">
            <v>-</v>
          </cell>
        </row>
        <row r="44">
          <cell r="A44" t="str">
            <v>美珠</v>
          </cell>
          <cell r="B44" t="str">
            <v>Y93405-DB+Y93406+Y93397</v>
          </cell>
          <cell r="C44" t="str">
            <v>中性三星 A42 5G 深蓝+蓝</v>
          </cell>
        </row>
        <row r="44">
          <cell r="E44" t="str">
            <v>B0B5SX52BD</v>
          </cell>
          <cell r="F44">
            <v>6</v>
          </cell>
          <cell r="G44">
            <v>1</v>
          </cell>
          <cell r="H44">
            <v>10</v>
          </cell>
          <cell r="I44">
            <v>0</v>
          </cell>
          <cell r="J44">
            <v>2</v>
          </cell>
          <cell r="K44">
            <v>19</v>
          </cell>
          <cell r="L44">
            <v>13.9</v>
          </cell>
          <cell r="M44">
            <v>264.1</v>
          </cell>
          <cell r="N44">
            <v>7</v>
          </cell>
          <cell r="O44">
            <v>17</v>
          </cell>
          <cell r="P44">
            <v>32</v>
          </cell>
          <cell r="Q44">
            <v>9</v>
          </cell>
          <cell r="R44">
            <v>-2</v>
          </cell>
          <cell r="S44">
            <v>17.8125</v>
          </cell>
          <cell r="T44">
            <v>0.59375</v>
          </cell>
          <cell r="U44">
            <v>0.531645569620253</v>
          </cell>
          <cell r="V44">
            <v>0.062104430379747</v>
          </cell>
          <cell r="W44" t="str">
            <v>正常</v>
          </cell>
          <cell r="X44" t="str">
            <v>正常</v>
          </cell>
          <cell r="Y44">
            <v>9.65</v>
          </cell>
          <cell r="Z44">
            <v>21.88</v>
          </cell>
          <cell r="AA44">
            <v>39.38</v>
          </cell>
          <cell r="AB44">
            <v>0.265767006334343</v>
          </cell>
        </row>
        <row r="45">
          <cell r="A45" t="str">
            <v>美珠</v>
          </cell>
          <cell r="B45" t="str">
            <v>Y9005-BL</v>
          </cell>
          <cell r="C45" t="str">
            <v>迷你数显折叠手持小风扇 白黑</v>
          </cell>
          <cell r="D45">
            <v>45015</v>
          </cell>
          <cell r="E45" t="str">
            <v>B0BZ3ZMR15</v>
          </cell>
          <cell r="F45">
            <v>41</v>
          </cell>
          <cell r="G45">
            <v>2</v>
          </cell>
          <cell r="H45">
            <v>2</v>
          </cell>
          <cell r="I45">
            <v>2</v>
          </cell>
          <cell r="J45">
            <v>0</v>
          </cell>
          <cell r="K45">
            <v>47</v>
          </cell>
          <cell r="L45">
            <v>33.5</v>
          </cell>
          <cell r="M45">
            <v>1574.5</v>
          </cell>
          <cell r="N45">
            <v>20</v>
          </cell>
          <cell r="O45">
            <v>34</v>
          </cell>
          <cell r="P45">
            <v>53</v>
          </cell>
          <cell r="Q45">
            <v>7</v>
          </cell>
          <cell r="R45">
            <v>13</v>
          </cell>
          <cell r="S45">
            <v>20.4630269523151</v>
          </cell>
          <cell r="T45">
            <v>0.682100898410505</v>
          </cell>
          <cell r="U45">
            <v>2.43396226415094</v>
          </cell>
          <cell r="V45">
            <v>-1.75186136574044</v>
          </cell>
          <cell r="W45" t="str">
            <v>正常</v>
          </cell>
          <cell r="X45" t="str">
            <v>正常</v>
          </cell>
          <cell r="Y45">
            <v>5</v>
          </cell>
          <cell r="Z45">
            <v>10.27</v>
          </cell>
          <cell r="AA45">
            <v>32.27</v>
          </cell>
          <cell r="AB45">
            <v>0.278086763070078</v>
          </cell>
        </row>
        <row r="46">
          <cell r="A46" t="str">
            <v>美珠</v>
          </cell>
          <cell r="B46" t="str">
            <v>Y9005-BU</v>
          </cell>
          <cell r="C46" t="str">
            <v>迷你数显折叠手持小风扇 白蓝</v>
          </cell>
          <cell r="D46">
            <v>45015</v>
          </cell>
          <cell r="E46" t="str">
            <v>B0BZ439ZHM</v>
          </cell>
          <cell r="F46">
            <v>170</v>
          </cell>
          <cell r="G46">
            <v>1</v>
          </cell>
          <cell r="H46">
            <v>1</v>
          </cell>
          <cell r="I46">
            <v>1</v>
          </cell>
          <cell r="J46">
            <v>0</v>
          </cell>
          <cell r="K46">
            <v>173</v>
          </cell>
          <cell r="L46">
            <v>33.5</v>
          </cell>
          <cell r="M46">
            <v>5795.5</v>
          </cell>
          <cell r="N46">
            <v>24</v>
          </cell>
          <cell r="O46">
            <v>25</v>
          </cell>
          <cell r="P46">
            <v>34</v>
          </cell>
          <cell r="Q46">
            <v>5</v>
          </cell>
          <cell r="R46">
            <v>19</v>
          </cell>
          <cell r="S46">
            <v>83.3256880733945</v>
          </cell>
          <cell r="T46">
            <v>2.77752293577982</v>
          </cell>
          <cell r="U46">
            <v>8.83413461538461</v>
          </cell>
          <cell r="V46">
            <v>-6.05661167960479</v>
          </cell>
          <cell r="W46" t="str">
            <v>库存过高</v>
          </cell>
          <cell r="X46" t="str">
            <v>库存过高</v>
          </cell>
          <cell r="Y46">
            <v>9.98</v>
          </cell>
          <cell r="Z46">
            <v>12.7</v>
          </cell>
          <cell r="AA46">
            <v>20.73</v>
          </cell>
          <cell r="AB46">
            <v>0.332999666333</v>
          </cell>
        </row>
        <row r="47">
          <cell r="A47" t="str">
            <v>美珠</v>
          </cell>
          <cell r="B47" t="str">
            <v>Y9005-PI</v>
          </cell>
          <cell r="C47" t="str">
            <v>迷你数显折叠手持小风扇 樱花粉</v>
          </cell>
          <cell r="D47">
            <v>45015</v>
          </cell>
          <cell r="E47" t="str">
            <v>B0BZ3YPHM9</v>
          </cell>
          <cell r="F47">
            <v>0</v>
          </cell>
          <cell r="G47">
            <v>3</v>
          </cell>
          <cell r="H47">
            <v>0</v>
          </cell>
          <cell r="I47">
            <v>2</v>
          </cell>
          <cell r="J47">
            <v>0</v>
          </cell>
          <cell r="K47">
            <v>5</v>
          </cell>
          <cell r="L47">
            <v>33.5</v>
          </cell>
          <cell r="M47">
            <v>167.5</v>
          </cell>
          <cell r="N47">
            <v>98</v>
          </cell>
          <cell r="O47">
            <v>221</v>
          </cell>
          <cell r="P47">
            <v>230</v>
          </cell>
          <cell r="Q47">
            <v>5</v>
          </cell>
          <cell r="R47">
            <v>93</v>
          </cell>
          <cell r="S47">
            <v>0.412087912087912</v>
          </cell>
          <cell r="T47">
            <v>0.0137362637362637</v>
          </cell>
          <cell r="U47">
            <v>6.07269789983845</v>
          </cell>
          <cell r="V47">
            <v>-6.05896163610219</v>
          </cell>
          <cell r="W47" t="str">
            <v>库存过低</v>
          </cell>
          <cell r="X47" t="str">
            <v>库存过低</v>
          </cell>
          <cell r="Y47">
            <v>78.76</v>
          </cell>
          <cell r="Z47">
            <v>175.59</v>
          </cell>
          <cell r="AA47">
            <v>188.65</v>
          </cell>
          <cell r="AB47">
            <v>0.196639452725139</v>
          </cell>
        </row>
        <row r="48">
          <cell r="A48" t="str">
            <v>美珠</v>
          </cell>
          <cell r="B48" t="str">
            <v>Y9005-WH</v>
          </cell>
          <cell r="C48" t="str">
            <v>迷你数显折叠手持小风扇 珍珠白</v>
          </cell>
          <cell r="D48">
            <v>45015</v>
          </cell>
          <cell r="E48" t="str">
            <v>B0BZ3ZZQXL</v>
          </cell>
          <cell r="F48">
            <v>146</v>
          </cell>
          <cell r="G48">
            <v>5</v>
          </cell>
          <cell r="H48">
            <v>7</v>
          </cell>
          <cell r="I48">
            <v>0</v>
          </cell>
          <cell r="J48">
            <v>0</v>
          </cell>
          <cell r="K48">
            <v>158</v>
          </cell>
          <cell r="L48">
            <v>33.5</v>
          </cell>
          <cell r="M48">
            <v>5293</v>
          </cell>
          <cell r="N48">
            <v>13</v>
          </cell>
          <cell r="O48">
            <v>22</v>
          </cell>
          <cell r="P48">
            <v>38</v>
          </cell>
          <cell r="Q48">
            <v>6</v>
          </cell>
          <cell r="R48">
            <v>7</v>
          </cell>
          <cell r="S48">
            <v>103.257261410788</v>
          </cell>
          <cell r="T48">
            <v>3.44190871369295</v>
          </cell>
          <cell r="U48">
            <v>4.9395532194481</v>
          </cell>
          <cell r="V48">
            <v>-1.49764450575515</v>
          </cell>
          <cell r="W48" t="str">
            <v>库存过高</v>
          </cell>
          <cell r="X48" t="str">
            <v>库存过高</v>
          </cell>
          <cell r="Y48">
            <v>11.3</v>
          </cell>
          <cell r="Z48">
            <v>19.16</v>
          </cell>
          <cell r="AA48">
            <v>55.69</v>
          </cell>
          <cell r="AB48">
            <v>0.157097177811761</v>
          </cell>
        </row>
        <row r="49">
          <cell r="A49" t="str">
            <v>美珠</v>
          </cell>
          <cell r="B49" t="str">
            <v>Y93821-BU+Y93822+Y93823</v>
          </cell>
          <cell r="C49" t="str">
            <v>中性Moto G Power 2022 黑+蓝</v>
          </cell>
          <cell r="D49">
            <v>45028</v>
          </cell>
          <cell r="E49" t="str">
            <v>B0B5RBDZC5</v>
          </cell>
          <cell r="F49">
            <v>5</v>
          </cell>
          <cell r="G49">
            <v>0</v>
          </cell>
          <cell r="H49">
            <v>0</v>
          </cell>
          <cell r="I49">
            <v>0</v>
          </cell>
          <cell r="J49">
            <v>0</v>
          </cell>
          <cell r="K49">
            <v>5</v>
          </cell>
          <cell r="L49">
            <v>13.9</v>
          </cell>
          <cell r="M49">
            <v>69.5</v>
          </cell>
          <cell r="N49">
            <v>0</v>
          </cell>
          <cell r="O49">
            <v>1</v>
          </cell>
          <cell r="P49">
            <v>1</v>
          </cell>
          <cell r="Q49">
            <v>0</v>
          </cell>
          <cell r="R49">
            <v>0</v>
          </cell>
          <cell r="S49">
            <v>150</v>
          </cell>
          <cell r="T49">
            <v>5</v>
          </cell>
          <cell r="U49">
            <v>1.63636363636364</v>
          </cell>
          <cell r="V49">
            <v>3.36363636363636</v>
          </cell>
          <cell r="W49" t="str">
            <v>有库存无销量</v>
          </cell>
          <cell r="X49" t="str">
            <v>库存过高</v>
          </cell>
          <cell r="Y49">
            <v>3.23</v>
          </cell>
          <cell r="Z49">
            <v>6.26</v>
          </cell>
          <cell r="AA49">
            <v>12.86</v>
          </cell>
          <cell r="AB49" t="str">
            <v>-</v>
          </cell>
        </row>
        <row r="50">
          <cell r="A50" t="str">
            <v>美珠</v>
          </cell>
          <cell r="B50" t="str">
            <v>Y93821-DB+Y93822+Y93823</v>
          </cell>
          <cell r="C50" t="str">
            <v>中性Moto G Power 2022 深蓝+蓝</v>
          </cell>
          <cell r="D50">
            <v>45028</v>
          </cell>
          <cell r="E50" t="str">
            <v>B0B5R772YP</v>
          </cell>
          <cell r="F50">
            <v>2</v>
          </cell>
          <cell r="G50">
            <v>0</v>
          </cell>
          <cell r="H50">
            <v>0</v>
          </cell>
          <cell r="I50">
            <v>0</v>
          </cell>
          <cell r="J50">
            <v>0</v>
          </cell>
          <cell r="K50">
            <v>2</v>
          </cell>
          <cell r="L50">
            <v>13.9</v>
          </cell>
          <cell r="M50">
            <v>27.8</v>
          </cell>
          <cell r="N50">
            <v>2</v>
          </cell>
          <cell r="O50">
            <v>4</v>
          </cell>
          <cell r="P50">
            <v>4</v>
          </cell>
          <cell r="Q50">
            <v>0</v>
          </cell>
          <cell r="R50">
            <v>2</v>
          </cell>
          <cell r="S50">
            <v>8.75</v>
          </cell>
          <cell r="T50">
            <v>0.291666666666667</v>
          </cell>
          <cell r="U50">
            <v>3.6</v>
          </cell>
          <cell r="V50">
            <v>-3.30833333333333</v>
          </cell>
          <cell r="W50" t="str">
            <v>库存过低</v>
          </cell>
          <cell r="X50" t="str">
            <v>库存过低</v>
          </cell>
          <cell r="Y50">
            <v>5.59</v>
          </cell>
          <cell r="Z50">
            <v>9.5</v>
          </cell>
          <cell r="AA50">
            <v>14.62</v>
          </cell>
          <cell r="AB50">
            <v>0.215165511932256</v>
          </cell>
        </row>
        <row r="51">
          <cell r="A51" t="str">
            <v>美珠</v>
          </cell>
          <cell r="B51" t="str">
            <v>Y93821-BL+Y93822+Y93823</v>
          </cell>
          <cell r="C51" t="str">
            <v>中性Moto G Power 2022 黑</v>
          </cell>
          <cell r="D51">
            <v>45028</v>
          </cell>
          <cell r="E51" t="str">
            <v>B0B5R72V14</v>
          </cell>
          <cell r="F51">
            <v>7</v>
          </cell>
          <cell r="G51">
            <v>0</v>
          </cell>
          <cell r="H51">
            <v>0</v>
          </cell>
          <cell r="I51">
            <v>0</v>
          </cell>
          <cell r="J51">
            <v>0</v>
          </cell>
          <cell r="K51">
            <v>7</v>
          </cell>
          <cell r="L51">
            <v>13.9</v>
          </cell>
          <cell r="M51">
            <v>97.3</v>
          </cell>
          <cell r="N51">
            <v>1</v>
          </cell>
          <cell r="O51">
            <v>2</v>
          </cell>
          <cell r="P51">
            <v>8</v>
          </cell>
          <cell r="Q51">
            <v>3</v>
          </cell>
          <cell r="R51">
            <v>-2</v>
          </cell>
          <cell r="S51">
            <v>38.6842105263158</v>
          </cell>
          <cell r="T51">
            <v>1.28947368421053</v>
          </cell>
          <cell r="U51">
            <v>1.45544554455446</v>
          </cell>
          <cell r="V51">
            <v>-0.165971860343934</v>
          </cell>
          <cell r="W51" t="str">
            <v>库存过高</v>
          </cell>
          <cell r="X51" t="str">
            <v>正常</v>
          </cell>
          <cell r="Y51">
            <v>2.2</v>
          </cell>
          <cell r="Z51">
            <v>6.42</v>
          </cell>
          <cell r="AA51">
            <v>12.27</v>
          </cell>
          <cell r="AB51" t="str">
            <v>-</v>
          </cell>
        </row>
        <row r="52">
          <cell r="A52" t="str">
            <v>美珠</v>
          </cell>
          <cell r="B52" t="str">
            <v>Y92559-BL+Y92560+Y92399</v>
          </cell>
          <cell r="C52" t="str">
            <v>中性三星 A01 黑色</v>
          </cell>
          <cell r="D52">
            <v>45074</v>
          </cell>
          <cell r="E52" t="str">
            <v>B0B5Z3G5DN</v>
          </cell>
          <cell r="F52">
            <v>10</v>
          </cell>
          <cell r="G52">
            <v>0</v>
          </cell>
          <cell r="H52">
            <v>0</v>
          </cell>
          <cell r="I52">
            <v>0</v>
          </cell>
          <cell r="J52">
            <v>0</v>
          </cell>
          <cell r="K52">
            <v>10</v>
          </cell>
          <cell r="L52">
            <v>13.9</v>
          </cell>
          <cell r="M52">
            <v>139</v>
          </cell>
          <cell r="N52">
            <v>0</v>
          </cell>
          <cell r="O52">
            <v>0</v>
          </cell>
          <cell r="P52">
            <v>0</v>
          </cell>
          <cell r="Q52">
            <v>0</v>
          </cell>
          <cell r="R52">
            <v>0</v>
          </cell>
          <cell r="S52" t="str">
            <v>-</v>
          </cell>
          <cell r="T52" t="str">
            <v>-</v>
          </cell>
          <cell r="U52" t="str">
            <v>-</v>
          </cell>
          <cell r="V52" t="str">
            <v>-</v>
          </cell>
          <cell r="W52" t="str">
            <v>有库存无销量</v>
          </cell>
          <cell r="X52" t="str">
            <v>有库存无销量</v>
          </cell>
          <cell r="Y52">
            <v>0</v>
          </cell>
          <cell r="Z52">
            <v>0</v>
          </cell>
          <cell r="AA52">
            <v>0.38</v>
          </cell>
          <cell r="AB52" t="str">
            <v>-</v>
          </cell>
        </row>
        <row r="53">
          <cell r="A53" t="str">
            <v>美珠</v>
          </cell>
          <cell r="B53" t="str">
            <v>Y92559-OR+Y92560+Y92399</v>
          </cell>
          <cell r="C53" t="str">
            <v>中性三星 A01 黑橙</v>
          </cell>
          <cell r="D53">
            <v>45074</v>
          </cell>
          <cell r="E53" t="str">
            <v>B0B5Z3Y2QF</v>
          </cell>
          <cell r="F53">
            <v>10</v>
          </cell>
          <cell r="G53">
            <v>0</v>
          </cell>
          <cell r="H53">
            <v>0</v>
          </cell>
          <cell r="I53">
            <v>0</v>
          </cell>
          <cell r="J53">
            <v>0</v>
          </cell>
          <cell r="K53">
            <v>10</v>
          </cell>
          <cell r="L53">
            <v>13.9</v>
          </cell>
          <cell r="M53">
            <v>139</v>
          </cell>
          <cell r="N53">
            <v>0</v>
          </cell>
          <cell r="O53">
            <v>0</v>
          </cell>
          <cell r="P53">
            <v>0</v>
          </cell>
          <cell r="Q53">
            <v>0</v>
          </cell>
          <cell r="R53">
            <v>0</v>
          </cell>
          <cell r="S53" t="str">
            <v>-</v>
          </cell>
          <cell r="T53" t="str">
            <v>-</v>
          </cell>
          <cell r="U53" t="str">
            <v>-</v>
          </cell>
          <cell r="V53" t="str">
            <v>-</v>
          </cell>
          <cell r="W53" t="str">
            <v>有库存无销量</v>
          </cell>
          <cell r="X53" t="str">
            <v>有库存无销量</v>
          </cell>
          <cell r="Y53">
            <v>0</v>
          </cell>
          <cell r="Z53">
            <v>0.38</v>
          </cell>
          <cell r="AA53">
            <v>0.76</v>
          </cell>
          <cell r="AB53" t="str">
            <v>-</v>
          </cell>
        </row>
        <row r="54">
          <cell r="A54" t="str">
            <v>美珠</v>
          </cell>
          <cell r="B54" t="str">
            <v>Y92563-BL+Y92564+Y92571</v>
          </cell>
          <cell r="C54" t="str">
            <v>中性三星 A11 黑色</v>
          </cell>
          <cell r="D54">
            <v>45074</v>
          </cell>
          <cell r="E54" t="str">
            <v>B0B5Z3XH4G</v>
          </cell>
          <cell r="F54">
            <v>11</v>
          </cell>
          <cell r="G54">
            <v>0</v>
          </cell>
          <cell r="H54">
            <v>0</v>
          </cell>
          <cell r="I54">
            <v>0</v>
          </cell>
          <cell r="J54">
            <v>0</v>
          </cell>
          <cell r="K54">
            <v>11</v>
          </cell>
          <cell r="L54">
            <v>13.9</v>
          </cell>
          <cell r="M54">
            <v>152.9</v>
          </cell>
          <cell r="N54">
            <v>1</v>
          </cell>
          <cell r="O54">
            <v>1</v>
          </cell>
          <cell r="P54">
            <v>2</v>
          </cell>
          <cell r="Q54">
            <v>0</v>
          </cell>
          <cell r="R54">
            <v>1</v>
          </cell>
          <cell r="S54">
            <v>119.48275862069</v>
          </cell>
          <cell r="T54">
            <v>3.98275862068966</v>
          </cell>
          <cell r="U54">
            <v>8.25</v>
          </cell>
          <cell r="V54">
            <v>-4.26724137931034</v>
          </cell>
          <cell r="W54" t="str">
            <v>库存过高</v>
          </cell>
          <cell r="X54" t="str">
            <v>库存过高</v>
          </cell>
          <cell r="Y54">
            <v>0</v>
          </cell>
          <cell r="Z54">
            <v>0.44</v>
          </cell>
          <cell r="AA54">
            <v>1.49</v>
          </cell>
          <cell r="AB54" t="str">
            <v>-</v>
          </cell>
        </row>
        <row r="55">
          <cell r="A55" t="str">
            <v>美珠</v>
          </cell>
          <cell r="B55" t="str">
            <v>Y92563-OR+Y92564+Y92571</v>
          </cell>
          <cell r="C55" t="str">
            <v>中性三星 A11 黑橙</v>
          </cell>
          <cell r="D55">
            <v>45074</v>
          </cell>
          <cell r="E55" t="str">
            <v>B0B5Z3R5GW</v>
          </cell>
          <cell r="F55">
            <v>5</v>
          </cell>
          <cell r="G55">
            <v>0</v>
          </cell>
          <cell r="H55">
            <v>1</v>
          </cell>
          <cell r="I55">
            <v>0</v>
          </cell>
          <cell r="J55">
            <v>0</v>
          </cell>
          <cell r="K55">
            <v>6</v>
          </cell>
          <cell r="L55">
            <v>13.9</v>
          </cell>
          <cell r="M55">
            <v>83.4</v>
          </cell>
          <cell r="N55">
            <v>1</v>
          </cell>
          <cell r="O55">
            <v>4</v>
          </cell>
          <cell r="P55">
            <v>6</v>
          </cell>
          <cell r="Q55">
            <v>0</v>
          </cell>
          <cell r="R55">
            <v>1</v>
          </cell>
          <cell r="S55">
            <v>29.53125</v>
          </cell>
          <cell r="T55">
            <v>0.984375</v>
          </cell>
          <cell r="U55">
            <v>3.66666666666667</v>
          </cell>
          <cell r="V55">
            <v>-2.68229166666667</v>
          </cell>
          <cell r="W55" t="str">
            <v>正常</v>
          </cell>
          <cell r="X55" t="str">
            <v>正常</v>
          </cell>
          <cell r="Y55">
            <v>1.6</v>
          </cell>
          <cell r="Z55">
            <v>2.99</v>
          </cell>
          <cell r="AA55">
            <v>7.89</v>
          </cell>
          <cell r="AB55">
            <v>0.0667222685571309</v>
          </cell>
        </row>
        <row r="56">
          <cell r="A56" t="str">
            <v>美珠</v>
          </cell>
          <cell r="B56" t="str">
            <v>Y92610-BL+Y92613+Y92634</v>
          </cell>
          <cell r="C56" t="str">
            <v>中性iPhone 12 5.4 黑色</v>
          </cell>
          <cell r="D56">
            <v>45030</v>
          </cell>
          <cell r="E56" t="str">
            <v>B0B5X7WJR3</v>
          </cell>
          <cell r="F56">
            <v>4</v>
          </cell>
          <cell r="G56">
            <v>0</v>
          </cell>
          <cell r="H56">
            <v>0</v>
          </cell>
          <cell r="I56">
            <v>0</v>
          </cell>
          <cell r="J56">
            <v>0</v>
          </cell>
          <cell r="K56">
            <v>4</v>
          </cell>
          <cell r="L56">
            <v>13.9</v>
          </cell>
          <cell r="M56">
            <v>55.6</v>
          </cell>
          <cell r="N56">
            <v>1</v>
          </cell>
          <cell r="O56">
            <v>2</v>
          </cell>
          <cell r="P56">
            <v>5</v>
          </cell>
          <cell r="Q56">
            <v>2</v>
          </cell>
          <cell r="R56">
            <v>-1</v>
          </cell>
          <cell r="S56">
            <v>27.0967741935484</v>
          </cell>
          <cell r="T56">
            <v>0.903225806451613</v>
          </cell>
          <cell r="U56">
            <v>0.583333333333333</v>
          </cell>
          <cell r="V56">
            <v>0.31989247311828</v>
          </cell>
          <cell r="W56" t="str">
            <v>正常</v>
          </cell>
          <cell r="X56" t="str">
            <v>正常</v>
          </cell>
          <cell r="Y56">
            <v>0</v>
          </cell>
          <cell r="Z56">
            <v>0</v>
          </cell>
          <cell r="AA56">
            <v>0</v>
          </cell>
          <cell r="AB56" t="str">
            <v>-</v>
          </cell>
        </row>
        <row r="57">
          <cell r="A57" t="str">
            <v>美珠</v>
          </cell>
          <cell r="B57" t="str">
            <v>Y92610-DB+Y92613+Y92634</v>
          </cell>
          <cell r="C57" t="str">
            <v>中性iPhone 12 5.4 深蓝+蓝色</v>
          </cell>
          <cell r="D57">
            <v>45030</v>
          </cell>
          <cell r="E57" t="str">
            <v>B0B5X8CBNR</v>
          </cell>
          <cell r="F57">
            <v>7</v>
          </cell>
          <cell r="G57">
            <v>0</v>
          </cell>
          <cell r="H57">
            <v>0</v>
          </cell>
          <cell r="I57">
            <v>1</v>
          </cell>
          <cell r="J57">
            <v>0</v>
          </cell>
          <cell r="K57">
            <v>8</v>
          </cell>
          <cell r="L57">
            <v>13.9</v>
          </cell>
          <cell r="M57">
            <v>111.2</v>
          </cell>
          <cell r="N57">
            <v>1</v>
          </cell>
          <cell r="O57">
            <v>1</v>
          </cell>
          <cell r="P57">
            <v>2</v>
          </cell>
          <cell r="Q57">
            <v>1</v>
          </cell>
          <cell r="R57">
            <v>0</v>
          </cell>
          <cell r="S57">
            <v>86.8965517241379</v>
          </cell>
          <cell r="T57">
            <v>2.89655172413793</v>
          </cell>
          <cell r="U57">
            <v>2.58461538461538</v>
          </cell>
          <cell r="V57">
            <v>0.311936339522551</v>
          </cell>
          <cell r="W57" t="str">
            <v>库存过高</v>
          </cell>
          <cell r="X57" t="str">
            <v>库存过高</v>
          </cell>
          <cell r="Y57">
            <v>0.92</v>
          </cell>
          <cell r="Z57">
            <v>0.92</v>
          </cell>
          <cell r="AA57">
            <v>3.12</v>
          </cell>
          <cell r="AB57">
            <v>0.0418562329390355</v>
          </cell>
        </row>
        <row r="58">
          <cell r="A58" t="str">
            <v>美珠</v>
          </cell>
          <cell r="B58" t="str">
            <v>Y92610-OR+Y92613+Y92634</v>
          </cell>
          <cell r="C58" t="str">
            <v>中性iPhone 12 5.4 黑橙</v>
          </cell>
          <cell r="D58">
            <v>45030</v>
          </cell>
          <cell r="E58" t="str">
            <v>B0B5X7P8NJ</v>
          </cell>
          <cell r="F58">
            <v>1</v>
          </cell>
          <cell r="G58">
            <v>0</v>
          </cell>
          <cell r="H58">
            <v>0</v>
          </cell>
          <cell r="I58">
            <v>0</v>
          </cell>
          <cell r="J58">
            <v>0</v>
          </cell>
          <cell r="K58">
            <v>1</v>
          </cell>
          <cell r="L58">
            <v>13.9</v>
          </cell>
          <cell r="M58">
            <v>13.9</v>
          </cell>
          <cell r="N58">
            <v>2</v>
          </cell>
          <cell r="O58">
            <v>2</v>
          </cell>
          <cell r="P58">
            <v>4</v>
          </cell>
          <cell r="Q58">
            <v>0</v>
          </cell>
          <cell r="R58">
            <v>2</v>
          </cell>
          <cell r="S58">
            <v>5.43103448275862</v>
          </cell>
          <cell r="T58">
            <v>0.181034482758621</v>
          </cell>
          <cell r="U58">
            <v>0.75</v>
          </cell>
          <cell r="V58">
            <v>-0.568965517241379</v>
          </cell>
          <cell r="W58" t="str">
            <v>库存过低</v>
          </cell>
          <cell r="X58" t="str">
            <v>库存过低</v>
          </cell>
          <cell r="Y58">
            <v>3.34</v>
          </cell>
          <cell r="Z58">
            <v>5.33</v>
          </cell>
          <cell r="AA58">
            <v>14.3</v>
          </cell>
          <cell r="AB58">
            <v>0.139282735613011</v>
          </cell>
        </row>
        <row r="59">
          <cell r="A59" t="str">
            <v>美珠</v>
          </cell>
          <cell r="B59" t="str">
            <v>Y93133-BL+Y93136+Y93267</v>
          </cell>
          <cell r="C59" t="str">
            <v>中性Moto G Stylus 2021 黑色</v>
          </cell>
          <cell r="D59">
            <v>45086</v>
          </cell>
          <cell r="E59" t="str">
            <v>B0B5WZFSNQ</v>
          </cell>
          <cell r="F59">
            <v>10</v>
          </cell>
          <cell r="G59">
            <v>0</v>
          </cell>
          <cell r="H59">
            <v>0</v>
          </cell>
          <cell r="I59">
            <v>0</v>
          </cell>
          <cell r="J59">
            <v>0</v>
          </cell>
          <cell r="K59">
            <v>10</v>
          </cell>
          <cell r="L59">
            <v>13.9</v>
          </cell>
          <cell r="M59">
            <v>139</v>
          </cell>
          <cell r="N59">
            <v>0</v>
          </cell>
          <cell r="O59">
            <v>0</v>
          </cell>
          <cell r="P59">
            <v>3</v>
          </cell>
          <cell r="Q59">
            <v>0</v>
          </cell>
          <cell r="R59">
            <v>0</v>
          </cell>
          <cell r="S59">
            <v>300</v>
          </cell>
          <cell r="T59">
            <v>10</v>
          </cell>
          <cell r="U59">
            <v>2.2</v>
          </cell>
          <cell r="V59">
            <v>7.8</v>
          </cell>
          <cell r="W59" t="str">
            <v>有库存无销量</v>
          </cell>
          <cell r="X59" t="str">
            <v>库存过高</v>
          </cell>
          <cell r="Y59">
            <v>2.14</v>
          </cell>
          <cell r="Z59">
            <v>2.7</v>
          </cell>
          <cell r="AA59">
            <v>4.64</v>
          </cell>
          <cell r="AB59" t="str">
            <v>-</v>
          </cell>
        </row>
        <row r="60">
          <cell r="A60" t="str">
            <v>美珠</v>
          </cell>
          <cell r="B60" t="str">
            <v>Y93133-DB+Y93136+Y93267</v>
          </cell>
          <cell r="C60" t="str">
            <v>中性Moto G Stylus 2021 深蓝+蓝色</v>
          </cell>
          <cell r="D60">
            <v>45086</v>
          </cell>
          <cell r="E60" t="str">
            <v>B0B5WZ389D</v>
          </cell>
          <cell r="F60">
            <v>3</v>
          </cell>
          <cell r="G60">
            <v>0</v>
          </cell>
          <cell r="H60">
            <v>0</v>
          </cell>
          <cell r="I60">
            <v>0</v>
          </cell>
          <cell r="J60">
            <v>0</v>
          </cell>
          <cell r="K60">
            <v>3</v>
          </cell>
          <cell r="L60">
            <v>13.9</v>
          </cell>
          <cell r="M60">
            <v>41.7</v>
          </cell>
          <cell r="N60">
            <v>0</v>
          </cell>
          <cell r="O60">
            <v>0</v>
          </cell>
          <cell r="P60">
            <v>1</v>
          </cell>
          <cell r="Q60">
            <v>1</v>
          </cell>
          <cell r="R60">
            <v>-1</v>
          </cell>
          <cell r="S60">
            <v>270</v>
          </cell>
          <cell r="T60">
            <v>9</v>
          </cell>
          <cell r="U60">
            <v>1.44827586206897</v>
          </cell>
          <cell r="V60">
            <v>7.55172413793103</v>
          </cell>
          <cell r="W60" t="str">
            <v>有库存无销量</v>
          </cell>
          <cell r="X60" t="str">
            <v>库存过高</v>
          </cell>
          <cell r="Y60">
            <v>0</v>
          </cell>
          <cell r="Z60">
            <v>0.6</v>
          </cell>
          <cell r="AA60">
            <v>1.88</v>
          </cell>
          <cell r="AB60" t="str">
            <v>-</v>
          </cell>
        </row>
        <row r="61">
          <cell r="A61" t="str">
            <v>美珠</v>
          </cell>
          <cell r="B61" t="str">
            <v>Y93133-OR+Y93136+Y93267</v>
          </cell>
          <cell r="C61" t="str">
            <v>中性Moto G Stylus 2021 黑橙</v>
          </cell>
          <cell r="D61">
            <v>45086</v>
          </cell>
          <cell r="E61" t="str">
            <v>B0B5WZ6S9R</v>
          </cell>
          <cell r="F61">
            <v>3</v>
          </cell>
          <cell r="G61">
            <v>0</v>
          </cell>
          <cell r="H61">
            <v>0</v>
          </cell>
          <cell r="I61">
            <v>0</v>
          </cell>
          <cell r="J61">
            <v>0</v>
          </cell>
          <cell r="K61">
            <v>3</v>
          </cell>
          <cell r="L61">
            <v>13.9</v>
          </cell>
          <cell r="M61">
            <v>41.7</v>
          </cell>
          <cell r="N61">
            <v>1</v>
          </cell>
          <cell r="O61">
            <v>1</v>
          </cell>
          <cell r="P61">
            <v>2</v>
          </cell>
          <cell r="Q61">
            <v>0</v>
          </cell>
          <cell r="R61">
            <v>1</v>
          </cell>
          <cell r="S61">
            <v>32.5862068965517</v>
          </cell>
          <cell r="T61">
            <v>1.08620689655172</v>
          </cell>
          <cell r="U61">
            <v>1.71428571428571</v>
          </cell>
          <cell r="V61">
            <v>-0.628078817733986</v>
          </cell>
          <cell r="W61" t="str">
            <v>正常</v>
          </cell>
          <cell r="X61" t="str">
            <v>正常</v>
          </cell>
          <cell r="Y61">
            <v>1.69</v>
          </cell>
          <cell r="Z61">
            <v>3.17</v>
          </cell>
          <cell r="AA61">
            <v>4.45</v>
          </cell>
          <cell r="AB61">
            <v>0.130100076982294</v>
          </cell>
        </row>
        <row r="62">
          <cell r="A62" t="str">
            <v>美珠</v>
          </cell>
          <cell r="B62" t="str">
            <v>Y93153-BL+Y93155+Y93169</v>
          </cell>
          <cell r="C62" t="str">
            <v>中性三星 A52 黑</v>
          </cell>
          <cell r="D62">
            <v>45074</v>
          </cell>
          <cell r="E62" t="str">
            <v>B0B5X12SMJ</v>
          </cell>
          <cell r="F62">
            <v>9</v>
          </cell>
          <cell r="G62">
            <v>0</v>
          </cell>
          <cell r="H62">
            <v>0</v>
          </cell>
          <cell r="I62">
            <v>0</v>
          </cell>
          <cell r="J62">
            <v>0</v>
          </cell>
          <cell r="K62">
            <v>9</v>
          </cell>
          <cell r="L62">
            <v>13.9</v>
          </cell>
          <cell r="M62">
            <v>125.1</v>
          </cell>
          <cell r="N62">
            <v>0</v>
          </cell>
          <cell r="O62">
            <v>1</v>
          </cell>
          <cell r="P62">
            <v>3</v>
          </cell>
          <cell r="Q62">
            <v>2</v>
          </cell>
          <cell r="R62">
            <v>-2</v>
          </cell>
          <cell r="S62">
            <v>162</v>
          </cell>
          <cell r="T62">
            <v>5.4</v>
          </cell>
          <cell r="U62">
            <v>2.05882352941176</v>
          </cell>
          <cell r="V62">
            <v>3.34117647058824</v>
          </cell>
          <cell r="W62" t="str">
            <v>有库存无销量</v>
          </cell>
          <cell r="X62" t="str">
            <v>库存过高</v>
          </cell>
          <cell r="Y62">
            <v>0.54</v>
          </cell>
          <cell r="Z62">
            <v>0.54</v>
          </cell>
          <cell r="AA62">
            <v>1.89</v>
          </cell>
          <cell r="AB62" t="str">
            <v>-</v>
          </cell>
        </row>
        <row r="63">
          <cell r="A63" t="str">
            <v>美珠</v>
          </cell>
          <cell r="B63" t="str">
            <v>Y93153-DB+Y93155+Y93169</v>
          </cell>
          <cell r="C63" t="str">
            <v>中性三星 A52 深蓝+蓝</v>
          </cell>
          <cell r="D63">
            <v>45074</v>
          </cell>
          <cell r="E63" t="str">
            <v>B0B5WY83MR</v>
          </cell>
          <cell r="F63">
            <v>1</v>
          </cell>
          <cell r="G63">
            <v>0</v>
          </cell>
          <cell r="H63">
            <v>0</v>
          </cell>
          <cell r="I63">
            <v>0</v>
          </cell>
          <cell r="J63">
            <v>0</v>
          </cell>
          <cell r="K63">
            <v>1</v>
          </cell>
          <cell r="L63">
            <v>13.9</v>
          </cell>
          <cell r="M63">
            <v>13.9</v>
          </cell>
          <cell r="N63">
            <v>0</v>
          </cell>
          <cell r="O63">
            <v>1</v>
          </cell>
          <cell r="P63">
            <v>2</v>
          </cell>
          <cell r="Q63">
            <v>0</v>
          </cell>
          <cell r="R63">
            <v>0</v>
          </cell>
          <cell r="S63">
            <v>22.5</v>
          </cell>
          <cell r="T63">
            <v>0.75</v>
          </cell>
          <cell r="U63">
            <v>12</v>
          </cell>
          <cell r="V63">
            <v>-11.25</v>
          </cell>
          <cell r="W63" t="str">
            <v>有库存无销量</v>
          </cell>
          <cell r="X63" t="str">
            <v>正常</v>
          </cell>
          <cell r="Y63">
            <v>0</v>
          </cell>
          <cell r="Z63">
            <v>0.76</v>
          </cell>
          <cell r="AA63">
            <v>0.76</v>
          </cell>
          <cell r="AB63" t="str">
            <v>-</v>
          </cell>
        </row>
        <row r="64">
          <cell r="A64" t="str">
            <v>美珠</v>
          </cell>
          <cell r="B64" t="str">
            <v>Y93153-OR+Y93155+Y93169</v>
          </cell>
          <cell r="C64" t="str">
            <v>中性三星 A52 黑+橙</v>
          </cell>
          <cell r="D64">
            <v>45074</v>
          </cell>
          <cell r="E64" t="str">
            <v>B0B5WX6ZCM</v>
          </cell>
          <cell r="F64">
            <v>3</v>
          </cell>
          <cell r="G64">
            <v>0</v>
          </cell>
          <cell r="H64">
            <v>1</v>
          </cell>
          <cell r="I64">
            <v>0</v>
          </cell>
          <cell r="J64">
            <v>0</v>
          </cell>
          <cell r="K64">
            <v>4</v>
          </cell>
          <cell r="L64">
            <v>13.9</v>
          </cell>
          <cell r="M64">
            <v>55.6</v>
          </cell>
          <cell r="N64">
            <v>0</v>
          </cell>
          <cell r="O64">
            <v>1</v>
          </cell>
          <cell r="P64">
            <v>4</v>
          </cell>
          <cell r="Q64">
            <v>0</v>
          </cell>
          <cell r="R64">
            <v>0</v>
          </cell>
          <cell r="S64">
            <v>60</v>
          </cell>
          <cell r="T64">
            <v>2</v>
          </cell>
          <cell r="U64">
            <v>12</v>
          </cell>
          <cell r="V64">
            <v>-10</v>
          </cell>
          <cell r="W64" t="str">
            <v>有库存无销量</v>
          </cell>
          <cell r="X64" t="str">
            <v>库存过高</v>
          </cell>
          <cell r="Y64">
            <v>2.68</v>
          </cell>
          <cell r="Z64">
            <v>4.45</v>
          </cell>
          <cell r="AA64">
            <v>9.09</v>
          </cell>
          <cell r="AB64" t="str">
            <v>-</v>
          </cell>
        </row>
        <row r="65">
          <cell r="A65" t="str">
            <v>美珠</v>
          </cell>
          <cell r="B65" t="str">
            <v>Y9009-BL-ZH</v>
          </cell>
          <cell r="C65" t="str">
            <v>中性三星 S22 黑</v>
          </cell>
          <cell r="D65">
            <v>45074</v>
          </cell>
          <cell r="E65" t="str">
            <v>B0C5T553YJ</v>
          </cell>
          <cell r="F65">
            <v>1</v>
          </cell>
          <cell r="G65">
            <v>0</v>
          </cell>
          <cell r="H65">
            <v>0</v>
          </cell>
          <cell r="I65">
            <v>0</v>
          </cell>
          <cell r="J65">
            <v>0</v>
          </cell>
          <cell r="K65">
            <v>1</v>
          </cell>
          <cell r="L65">
            <v>13.9</v>
          </cell>
          <cell r="M65">
            <v>13.9</v>
          </cell>
          <cell r="N65">
            <v>5</v>
          </cell>
          <cell r="O65">
            <v>9</v>
          </cell>
          <cell r="P65">
            <v>12</v>
          </cell>
          <cell r="Q65">
            <v>1</v>
          </cell>
          <cell r="R65">
            <v>4</v>
          </cell>
          <cell r="S65">
            <v>1.75</v>
          </cell>
          <cell r="T65">
            <v>0.0583333333333333</v>
          </cell>
          <cell r="U65">
            <v>1.8046875</v>
          </cell>
          <cell r="V65">
            <v>-1.74635416666667</v>
          </cell>
          <cell r="W65" t="str">
            <v>库存过低</v>
          </cell>
          <cell r="X65" t="str">
            <v>库存过低</v>
          </cell>
          <cell r="Y65">
            <v>2.97</v>
          </cell>
          <cell r="Z65">
            <v>7.22</v>
          </cell>
          <cell r="AA65">
            <v>10.26</v>
          </cell>
          <cell r="AB65">
            <v>0.228637413394919</v>
          </cell>
        </row>
        <row r="66">
          <cell r="A66" t="str">
            <v>美珠</v>
          </cell>
          <cell r="B66" t="str">
            <v>Y9009-BU-ZH</v>
          </cell>
          <cell r="C66" t="str">
            <v>中性三星 S22 黑+蓝</v>
          </cell>
          <cell r="D66">
            <v>45074</v>
          </cell>
          <cell r="E66" t="str">
            <v>B0C5T6KTZ4</v>
          </cell>
          <cell r="F66">
            <v>2</v>
          </cell>
          <cell r="G66">
            <v>0</v>
          </cell>
          <cell r="H66">
            <v>3</v>
          </cell>
          <cell r="I66">
            <v>0</v>
          </cell>
          <cell r="J66">
            <v>0</v>
          </cell>
          <cell r="K66">
            <v>5</v>
          </cell>
          <cell r="L66">
            <v>13.9</v>
          </cell>
          <cell r="M66">
            <v>69.5</v>
          </cell>
          <cell r="N66">
            <v>6</v>
          </cell>
          <cell r="O66">
            <v>8</v>
          </cell>
          <cell r="P66">
            <v>10</v>
          </cell>
          <cell r="Q66">
            <v>2</v>
          </cell>
          <cell r="R66">
            <v>4</v>
          </cell>
          <cell r="S66">
            <v>8.70165745856354</v>
          </cell>
          <cell r="T66">
            <v>0.290055248618785</v>
          </cell>
          <cell r="U66">
            <v>0.192660550458716</v>
          </cell>
          <cell r="V66">
            <v>0.0973946981600686</v>
          </cell>
          <cell r="W66" t="str">
            <v>库存过低</v>
          </cell>
          <cell r="X66" t="str">
            <v>库存过低</v>
          </cell>
          <cell r="Y66">
            <v>6.46</v>
          </cell>
          <cell r="Z66">
            <v>11.13</v>
          </cell>
          <cell r="AA66">
            <v>16.71</v>
          </cell>
          <cell r="AB66">
            <v>0.587807097361237</v>
          </cell>
        </row>
        <row r="67">
          <cell r="A67" t="str">
            <v>美珠</v>
          </cell>
          <cell r="B67" t="str">
            <v>Y9009-DB-ZH</v>
          </cell>
          <cell r="C67" t="str">
            <v>中性三星 S22 深蓝+蓝</v>
          </cell>
          <cell r="D67">
            <v>45074</v>
          </cell>
          <cell r="E67" t="str">
            <v>B0C5T89X9T</v>
          </cell>
          <cell r="F67">
            <v>2</v>
          </cell>
          <cell r="G67">
            <v>1</v>
          </cell>
          <cell r="H67">
            <v>0</v>
          </cell>
          <cell r="I67">
            <v>0</v>
          </cell>
          <cell r="J67">
            <v>0</v>
          </cell>
          <cell r="K67">
            <v>3</v>
          </cell>
          <cell r="L67">
            <v>13.9</v>
          </cell>
          <cell r="M67">
            <v>41.7</v>
          </cell>
          <cell r="N67">
            <v>0</v>
          </cell>
          <cell r="O67">
            <v>2</v>
          </cell>
          <cell r="P67">
            <v>6</v>
          </cell>
          <cell r="Q67">
            <v>2</v>
          </cell>
          <cell r="R67">
            <v>-2</v>
          </cell>
          <cell r="S67">
            <v>27</v>
          </cell>
          <cell r="T67">
            <v>0.9</v>
          </cell>
          <cell r="U67">
            <v>0.770642201834863</v>
          </cell>
          <cell r="V67">
            <v>0.129357798165137</v>
          </cell>
          <cell r="W67" t="str">
            <v>有库存无销量</v>
          </cell>
          <cell r="X67" t="str">
            <v>正常</v>
          </cell>
          <cell r="Y67">
            <v>5.01</v>
          </cell>
          <cell r="Z67">
            <v>7.08</v>
          </cell>
          <cell r="AA67">
            <v>10.94</v>
          </cell>
          <cell r="AB67">
            <v>0.128560431100847</v>
          </cell>
        </row>
        <row r="68">
          <cell r="A68" t="str">
            <v>美珠</v>
          </cell>
          <cell r="B68" t="str">
            <v>Y9009-OR-ZH</v>
          </cell>
          <cell r="C68" t="str">
            <v>中性三星 S22 黑+橙</v>
          </cell>
          <cell r="D68">
            <v>45074</v>
          </cell>
          <cell r="E68" t="str">
            <v>B0C5T6TTX2</v>
          </cell>
          <cell r="F68">
            <v>2</v>
          </cell>
          <cell r="G68">
            <v>0</v>
          </cell>
          <cell r="H68">
            <v>0</v>
          </cell>
          <cell r="I68">
            <v>0</v>
          </cell>
          <cell r="J68">
            <v>0</v>
          </cell>
          <cell r="K68">
            <v>2</v>
          </cell>
          <cell r="L68">
            <v>13.9</v>
          </cell>
          <cell r="M68">
            <v>27.8</v>
          </cell>
          <cell r="N68">
            <v>1</v>
          </cell>
          <cell r="O68">
            <v>3</v>
          </cell>
          <cell r="P68">
            <v>4</v>
          </cell>
          <cell r="Q68">
            <v>0</v>
          </cell>
          <cell r="R68">
            <v>1</v>
          </cell>
          <cell r="S68">
            <v>12.6</v>
          </cell>
          <cell r="T68">
            <v>0.42</v>
          </cell>
          <cell r="U68" t="str">
            <v>-</v>
          </cell>
          <cell r="V68" t="str">
            <v>-</v>
          </cell>
          <cell r="W68" t="str">
            <v>库存过低</v>
          </cell>
          <cell r="X68" t="str">
            <v>库存过低</v>
          </cell>
          <cell r="Y68">
            <v>7.28</v>
          </cell>
          <cell r="Z68">
            <v>13.2</v>
          </cell>
          <cell r="AA68">
            <v>20.25</v>
          </cell>
          <cell r="AB68">
            <v>0.331210191082803</v>
          </cell>
        </row>
        <row r="69">
          <cell r="A69" t="str">
            <v>美珠</v>
          </cell>
          <cell r="B69" t="str">
            <v>Y92000-BL+Y92013+Y92749</v>
          </cell>
          <cell r="C69" t="str">
            <v>中性LG Stylo 5 黑色</v>
          </cell>
          <cell r="D69">
            <v>45086</v>
          </cell>
          <cell r="E69" t="str">
            <v>B0B5ZPQ3NS</v>
          </cell>
          <cell r="F69">
            <v>11</v>
          </cell>
          <cell r="G69">
            <v>0</v>
          </cell>
          <cell r="H69">
            <v>0</v>
          </cell>
          <cell r="I69">
            <v>1</v>
          </cell>
          <cell r="J69">
            <v>0</v>
          </cell>
          <cell r="K69">
            <v>12</v>
          </cell>
          <cell r="L69">
            <v>13.9</v>
          </cell>
          <cell r="M69">
            <v>166.8</v>
          </cell>
          <cell r="N69">
            <v>2</v>
          </cell>
          <cell r="O69">
            <v>3</v>
          </cell>
          <cell r="P69">
            <v>5</v>
          </cell>
          <cell r="Q69">
            <v>1</v>
          </cell>
          <cell r="R69">
            <v>1</v>
          </cell>
          <cell r="S69">
            <v>55.1824817518248</v>
          </cell>
          <cell r="T69">
            <v>1.83941605839416</v>
          </cell>
          <cell r="U69">
            <v>6.17647058823529</v>
          </cell>
          <cell r="V69">
            <v>-4.33705452984113</v>
          </cell>
          <cell r="W69" t="str">
            <v>正常</v>
          </cell>
          <cell r="X69" t="str">
            <v>库存过高</v>
          </cell>
          <cell r="Y69">
            <v>1.9</v>
          </cell>
          <cell r="Z69">
            <v>3.13</v>
          </cell>
          <cell r="AA69">
            <v>7.4</v>
          </cell>
          <cell r="AB69" t="str">
            <v>-</v>
          </cell>
        </row>
        <row r="70">
          <cell r="A70" t="str">
            <v>美珠</v>
          </cell>
          <cell r="B70" t="str">
            <v>Y92000-DB+Y92013+Y92749</v>
          </cell>
          <cell r="C70" t="str">
            <v>中性LG Stylo 5 深蓝+蓝色</v>
          </cell>
          <cell r="D70">
            <v>45086</v>
          </cell>
          <cell r="E70" t="str">
            <v>B0B5ZQ6S7L</v>
          </cell>
          <cell r="F70">
            <v>5</v>
          </cell>
          <cell r="G70">
            <v>0</v>
          </cell>
          <cell r="H70">
            <v>0</v>
          </cell>
          <cell r="I70">
            <v>0</v>
          </cell>
          <cell r="J70">
            <v>0</v>
          </cell>
          <cell r="K70">
            <v>5</v>
          </cell>
          <cell r="L70">
            <v>13.9</v>
          </cell>
          <cell r="M70">
            <v>69.5</v>
          </cell>
          <cell r="N70">
            <v>2</v>
          </cell>
          <cell r="O70">
            <v>3</v>
          </cell>
          <cell r="P70">
            <v>7</v>
          </cell>
          <cell r="Q70">
            <v>0</v>
          </cell>
          <cell r="R70">
            <v>2</v>
          </cell>
          <cell r="S70">
            <v>20.8609271523179</v>
          </cell>
          <cell r="T70">
            <v>0.695364238410596</v>
          </cell>
          <cell r="U70">
            <v>3.27272727272727</v>
          </cell>
          <cell r="V70">
            <v>-2.57736303431667</v>
          </cell>
          <cell r="W70" t="str">
            <v>正常</v>
          </cell>
          <cell r="X70" t="str">
            <v>正常</v>
          </cell>
          <cell r="Y70">
            <v>4.59</v>
          </cell>
          <cell r="Z70">
            <v>11.12</v>
          </cell>
          <cell r="AA70">
            <v>19.33</v>
          </cell>
          <cell r="AB70">
            <v>0.417652411282985</v>
          </cell>
        </row>
        <row r="71">
          <cell r="A71" t="str">
            <v>美珠</v>
          </cell>
          <cell r="B71" t="str">
            <v>Y92000-OR+Y92013+Y92749</v>
          </cell>
          <cell r="C71" t="str">
            <v>中性LG Stylo 5 黑橙</v>
          </cell>
          <cell r="D71">
            <v>45086</v>
          </cell>
          <cell r="E71" t="str">
            <v>B0B5ZPTCX3</v>
          </cell>
          <cell r="F71">
            <v>2</v>
          </cell>
          <cell r="G71">
            <v>0</v>
          </cell>
          <cell r="H71">
            <v>0</v>
          </cell>
          <cell r="I71">
            <v>0</v>
          </cell>
          <cell r="J71">
            <v>0</v>
          </cell>
          <cell r="K71">
            <v>2</v>
          </cell>
          <cell r="L71">
            <v>13.9</v>
          </cell>
          <cell r="M71">
            <v>27.8</v>
          </cell>
          <cell r="N71">
            <v>3</v>
          </cell>
          <cell r="O71">
            <v>5</v>
          </cell>
          <cell r="P71">
            <v>8</v>
          </cell>
          <cell r="Q71">
            <v>1</v>
          </cell>
          <cell r="R71">
            <v>2</v>
          </cell>
          <cell r="S71">
            <v>5.83333333333333</v>
          </cell>
          <cell r="T71">
            <v>0.194444444444444</v>
          </cell>
          <cell r="U71">
            <v>1.24444444444444</v>
          </cell>
          <cell r="V71">
            <v>-1.05</v>
          </cell>
          <cell r="W71" t="str">
            <v>库存过低</v>
          </cell>
          <cell r="X71" t="str">
            <v>库存过低</v>
          </cell>
          <cell r="Y71">
            <v>7.18</v>
          </cell>
          <cell r="Z71">
            <v>12.87</v>
          </cell>
          <cell r="AA71">
            <v>17.83</v>
          </cell>
          <cell r="AB71">
            <v>0.19421152285637</v>
          </cell>
        </row>
        <row r="72">
          <cell r="A72" t="str">
            <v>美珠</v>
          </cell>
          <cell r="B72" t="str">
            <v>Y93135-BL+Y93138+Y93269-1</v>
          </cell>
          <cell r="C72" t="str">
            <v>中性Moto G Play 2021 黑色</v>
          </cell>
          <cell r="D72">
            <v>45074</v>
          </cell>
          <cell r="E72" t="str">
            <v>B0C61HN4GR</v>
          </cell>
          <cell r="F72">
            <v>4</v>
          </cell>
          <cell r="G72">
            <v>0</v>
          </cell>
          <cell r="H72">
            <v>0</v>
          </cell>
          <cell r="I72">
            <v>1</v>
          </cell>
          <cell r="J72">
            <v>0</v>
          </cell>
          <cell r="K72">
            <v>5</v>
          </cell>
          <cell r="L72">
            <v>13.9</v>
          </cell>
          <cell r="M72">
            <v>69.5</v>
          </cell>
          <cell r="N72">
            <v>2</v>
          </cell>
          <cell r="O72">
            <v>4</v>
          </cell>
          <cell r="P72">
            <v>7</v>
          </cell>
          <cell r="Q72">
            <v>0</v>
          </cell>
          <cell r="R72">
            <v>2</v>
          </cell>
          <cell r="S72">
            <v>19.0909090909091</v>
          </cell>
          <cell r="T72">
            <v>0.636363636363636</v>
          </cell>
          <cell r="U72">
            <v>10</v>
          </cell>
          <cell r="V72">
            <v>-9.36363636363636</v>
          </cell>
          <cell r="W72" t="str">
            <v>正常</v>
          </cell>
          <cell r="X72" t="str">
            <v>正常</v>
          </cell>
          <cell r="Y72">
            <v>2.04</v>
          </cell>
          <cell r="Z72">
            <v>3.43</v>
          </cell>
          <cell r="AA72">
            <v>5.92</v>
          </cell>
          <cell r="AB72" t="str">
            <v>-</v>
          </cell>
        </row>
        <row r="73">
          <cell r="A73" t="str">
            <v>美珠</v>
          </cell>
          <cell r="B73" t="str">
            <v>Y93135-DB+Y93138+Y93269</v>
          </cell>
          <cell r="C73" t="str">
            <v>中性Moto G Play 2021 深蓝+蓝色</v>
          </cell>
          <cell r="D73">
            <v>45074</v>
          </cell>
          <cell r="E73" t="str">
            <v>B0C61FL9NS</v>
          </cell>
          <cell r="F73">
            <v>1</v>
          </cell>
          <cell r="G73">
            <v>0</v>
          </cell>
          <cell r="H73">
            <v>0</v>
          </cell>
          <cell r="I73">
            <v>0</v>
          </cell>
          <cell r="J73">
            <v>0</v>
          </cell>
          <cell r="K73">
            <v>1</v>
          </cell>
          <cell r="L73">
            <v>13.9</v>
          </cell>
          <cell r="M73">
            <v>13.9</v>
          </cell>
          <cell r="N73">
            <v>0</v>
          </cell>
          <cell r="O73">
            <v>0</v>
          </cell>
          <cell r="P73">
            <v>3</v>
          </cell>
          <cell r="Q73">
            <v>0</v>
          </cell>
          <cell r="R73">
            <v>0</v>
          </cell>
          <cell r="S73">
            <v>30</v>
          </cell>
          <cell r="T73">
            <v>1</v>
          </cell>
          <cell r="U73">
            <v>3</v>
          </cell>
          <cell r="V73">
            <v>-2</v>
          </cell>
          <cell r="W73" t="str">
            <v>有库存无销量</v>
          </cell>
          <cell r="X73" t="str">
            <v>正常</v>
          </cell>
          <cell r="Y73">
            <v>2.13</v>
          </cell>
          <cell r="Z73">
            <v>2.88</v>
          </cell>
          <cell r="AA73">
            <v>6.64</v>
          </cell>
          <cell r="AB73" t="str">
            <v>-</v>
          </cell>
        </row>
        <row r="74">
          <cell r="A74" t="str">
            <v>美珠</v>
          </cell>
          <cell r="B74" t="str">
            <v>Y93135-OR+Y93138+Y93269</v>
          </cell>
          <cell r="C74" t="str">
            <v>中性Moto G Play 2021 黑橙</v>
          </cell>
          <cell r="D74">
            <v>45074</v>
          </cell>
          <cell r="E74" t="str">
            <v>B0C61F8MY3</v>
          </cell>
          <cell r="F74">
            <v>3</v>
          </cell>
          <cell r="G74">
            <v>0</v>
          </cell>
          <cell r="H74">
            <v>0</v>
          </cell>
          <cell r="I74">
            <v>0</v>
          </cell>
          <cell r="J74">
            <v>0</v>
          </cell>
          <cell r="K74">
            <v>3</v>
          </cell>
          <cell r="L74">
            <v>13.9</v>
          </cell>
          <cell r="M74">
            <v>41.7</v>
          </cell>
          <cell r="N74">
            <v>3</v>
          </cell>
          <cell r="O74">
            <v>3</v>
          </cell>
          <cell r="P74">
            <v>3</v>
          </cell>
          <cell r="Q74">
            <v>0</v>
          </cell>
          <cell r="R74">
            <v>3</v>
          </cell>
          <cell r="S74">
            <v>12.3529411764706</v>
          </cell>
          <cell r="T74">
            <v>0.411764705882353</v>
          </cell>
          <cell r="U74">
            <v>4.5</v>
          </cell>
          <cell r="V74">
            <v>-4.08823529411765</v>
          </cell>
          <cell r="W74" t="str">
            <v>库存过低</v>
          </cell>
          <cell r="X74" t="str">
            <v>库存过低</v>
          </cell>
          <cell r="Y74">
            <v>1.09</v>
          </cell>
          <cell r="Z74">
            <v>1.93</v>
          </cell>
          <cell r="AA74">
            <v>3.69</v>
          </cell>
          <cell r="AB74" t="str">
            <v>-</v>
          </cell>
        </row>
        <row r="75">
          <cell r="A75" t="str">
            <v>美珠</v>
          </cell>
          <cell r="B75" t="str">
            <v>Y93452-DB-ZH</v>
          </cell>
          <cell r="C75" t="str">
            <v>中性Moto G Stylus 5G 深蓝+蓝</v>
          </cell>
          <cell r="D75">
            <v>45074</v>
          </cell>
          <cell r="E75" t="str">
            <v>B0C61JT74Y</v>
          </cell>
          <cell r="F75">
            <v>21</v>
          </cell>
          <cell r="G75">
            <v>1</v>
          </cell>
          <cell r="H75">
            <v>2</v>
          </cell>
          <cell r="I75">
            <v>0</v>
          </cell>
          <cell r="J75">
            <v>0</v>
          </cell>
          <cell r="K75">
            <v>24</v>
          </cell>
          <cell r="L75">
            <v>13.9</v>
          </cell>
          <cell r="M75">
            <v>333.6</v>
          </cell>
          <cell r="N75">
            <v>6</v>
          </cell>
          <cell r="O75">
            <v>10</v>
          </cell>
          <cell r="P75">
            <v>20</v>
          </cell>
          <cell r="Q75">
            <v>5</v>
          </cell>
          <cell r="R75">
            <v>1</v>
          </cell>
          <cell r="S75">
            <v>32.8695652173913</v>
          </cell>
          <cell r="T75">
            <v>1.09565217391304</v>
          </cell>
          <cell r="U75">
            <v>0.641666666666666</v>
          </cell>
          <cell r="V75">
            <v>0.453985507246378</v>
          </cell>
          <cell r="W75" t="str">
            <v>正常</v>
          </cell>
          <cell r="X75" t="str">
            <v>正常</v>
          </cell>
          <cell r="Y75">
            <v>7.21</v>
          </cell>
          <cell r="Z75">
            <v>19.82</v>
          </cell>
          <cell r="AA75">
            <v>47.32</v>
          </cell>
          <cell r="AB75" t="str">
            <v>-</v>
          </cell>
        </row>
        <row r="76">
          <cell r="A76" t="str">
            <v>美珠</v>
          </cell>
          <cell r="B76" t="str">
            <v>Y93452-OR-ZH</v>
          </cell>
          <cell r="C76" t="str">
            <v>中性Moto G Stylus 5G 黑+橙</v>
          </cell>
          <cell r="D76">
            <v>45074</v>
          </cell>
          <cell r="E76" t="str">
            <v>B0C61LCZK7</v>
          </cell>
          <cell r="F76">
            <v>2</v>
          </cell>
          <cell r="G76">
            <v>0</v>
          </cell>
          <cell r="H76">
            <v>1</v>
          </cell>
          <cell r="I76">
            <v>0</v>
          </cell>
          <cell r="J76">
            <v>0</v>
          </cell>
          <cell r="K76">
            <v>3</v>
          </cell>
          <cell r="L76">
            <v>13.9</v>
          </cell>
          <cell r="M76">
            <v>41.7</v>
          </cell>
          <cell r="N76">
            <v>4</v>
          </cell>
          <cell r="O76">
            <v>7</v>
          </cell>
          <cell r="P76">
            <v>15</v>
          </cell>
          <cell r="Q76">
            <v>6</v>
          </cell>
          <cell r="R76">
            <v>-2</v>
          </cell>
          <cell r="S76">
            <v>5.85139318885449</v>
          </cell>
          <cell r="T76">
            <v>0.195046439628483</v>
          </cell>
          <cell r="U76">
            <v>0</v>
          </cell>
          <cell r="V76">
            <v>0.195046439628483</v>
          </cell>
          <cell r="W76" t="str">
            <v>库存过低</v>
          </cell>
          <cell r="X76" t="str">
            <v>库存过低</v>
          </cell>
          <cell r="Y76">
            <v>20.17</v>
          </cell>
          <cell r="Z76">
            <v>35.56</v>
          </cell>
          <cell r="AA76">
            <v>57.6</v>
          </cell>
          <cell r="AB76">
            <v>0.249227727665884</v>
          </cell>
        </row>
        <row r="77">
          <cell r="A77" t="str">
            <v>美珠</v>
          </cell>
          <cell r="B77" t="str">
            <v>Y9007-12PC</v>
          </cell>
          <cell r="C77" t="str">
            <v>黑色T型橱柜门拉手 12PC</v>
          </cell>
          <cell r="D77">
            <v>45080</v>
          </cell>
          <cell r="E77" t="str">
            <v>B0C6DXQT1M</v>
          </cell>
          <cell r="F77">
            <v>73</v>
          </cell>
          <cell r="G77">
            <v>1</v>
          </cell>
          <cell r="H77">
            <v>1</v>
          </cell>
          <cell r="I77">
            <v>1</v>
          </cell>
          <cell r="J77">
            <v>0</v>
          </cell>
          <cell r="K77">
            <v>76</v>
          </cell>
          <cell r="L77">
            <v>16.634</v>
          </cell>
          <cell r="M77">
            <v>1264.184</v>
          </cell>
          <cell r="N77">
            <v>0</v>
          </cell>
          <cell r="O77">
            <v>1</v>
          </cell>
          <cell r="P77">
            <v>1</v>
          </cell>
          <cell r="Q77">
            <v>0</v>
          </cell>
          <cell r="R77">
            <v>0</v>
          </cell>
          <cell r="S77">
            <v>2280</v>
          </cell>
          <cell r="T77">
            <v>76</v>
          </cell>
          <cell r="U77">
            <v>228</v>
          </cell>
          <cell r="V77">
            <v>-152</v>
          </cell>
          <cell r="W77" t="str">
            <v>有库存无销量</v>
          </cell>
          <cell r="X77" t="str">
            <v>库存过高</v>
          </cell>
          <cell r="Y77">
            <v>2</v>
          </cell>
          <cell r="Z77">
            <v>2.4</v>
          </cell>
          <cell r="AA77">
            <v>3.1</v>
          </cell>
          <cell r="AB77" t="str">
            <v>-</v>
          </cell>
        </row>
        <row r="78">
          <cell r="A78" t="str">
            <v>美珠</v>
          </cell>
          <cell r="B78" t="str">
            <v>Y9007-24PC</v>
          </cell>
          <cell r="C78" t="str">
            <v>黑色T型橱柜门拉手 24PC</v>
          </cell>
          <cell r="D78">
            <v>45107</v>
          </cell>
          <cell r="E78" t="str">
            <v>B0C6DZMTCP</v>
          </cell>
          <cell r="F78">
            <v>75</v>
          </cell>
          <cell r="G78">
            <v>0</v>
          </cell>
          <cell r="H78">
            <v>0</v>
          </cell>
          <cell r="I78">
            <v>0</v>
          </cell>
          <cell r="J78">
            <v>0</v>
          </cell>
          <cell r="K78">
            <v>75</v>
          </cell>
          <cell r="L78">
            <v>32.03</v>
          </cell>
          <cell r="M78">
            <v>2402.25</v>
          </cell>
          <cell r="N78">
            <v>1</v>
          </cell>
          <cell r="O78">
            <v>1</v>
          </cell>
          <cell r="P78">
            <v>1</v>
          </cell>
          <cell r="Q78">
            <v>0</v>
          </cell>
          <cell r="R78">
            <v>1</v>
          </cell>
          <cell r="S78">
            <v>926.470588235294</v>
          </cell>
          <cell r="T78">
            <v>30.8823529411765</v>
          </cell>
          <cell r="U78" t="str">
            <v>-</v>
          </cell>
          <cell r="V78" t="str">
            <v>-</v>
          </cell>
          <cell r="W78" t="str">
            <v>库存过高</v>
          </cell>
          <cell r="X78" t="str">
            <v>库存过高</v>
          </cell>
          <cell r="Y78">
            <v>1.2</v>
          </cell>
          <cell r="Z78">
            <v>1.4</v>
          </cell>
          <cell r="AA78">
            <v>2.5</v>
          </cell>
          <cell r="AB78" t="str">
            <v>-</v>
          </cell>
        </row>
        <row r="79">
          <cell r="A79" t="str">
            <v>美珠</v>
          </cell>
          <cell r="B79" t="str">
            <v>Y9007-30PC</v>
          </cell>
          <cell r="C79" t="str">
            <v>黑色T型橱柜门拉手 30PC</v>
          </cell>
          <cell r="D79">
            <v>45113</v>
          </cell>
          <cell r="E79" t="str">
            <v>B0C6DYVTHK</v>
          </cell>
          <cell r="F79">
            <v>14</v>
          </cell>
          <cell r="G79">
            <v>1</v>
          </cell>
          <cell r="H79">
            <v>0</v>
          </cell>
          <cell r="I79">
            <v>2</v>
          </cell>
          <cell r="J79">
            <v>0</v>
          </cell>
          <cell r="K79">
            <v>17</v>
          </cell>
          <cell r="L79">
            <v>41.059</v>
          </cell>
          <cell r="M79">
            <v>698.003</v>
          </cell>
          <cell r="N79">
            <v>26</v>
          </cell>
          <cell r="O79">
            <v>65</v>
          </cell>
          <cell r="P79">
            <v>70</v>
          </cell>
          <cell r="Q79">
            <v>0</v>
          </cell>
          <cell r="R79">
            <v>26</v>
          </cell>
          <cell r="S79">
            <v>4.91284403669725</v>
          </cell>
          <cell r="T79">
            <v>0.163761467889908</v>
          </cell>
          <cell r="U79">
            <v>273</v>
          </cell>
          <cell r="V79">
            <v>-272.83623853211</v>
          </cell>
          <cell r="W79" t="str">
            <v>库存过低</v>
          </cell>
          <cell r="X79" t="str">
            <v>库存过低</v>
          </cell>
          <cell r="Y79">
            <v>3.64</v>
          </cell>
          <cell r="Z79">
            <v>7.18</v>
          </cell>
          <cell r="AA79">
            <v>7.34</v>
          </cell>
          <cell r="AB79">
            <v>0.269829503335804</v>
          </cell>
        </row>
        <row r="80">
          <cell r="A80" t="str">
            <v>美珠</v>
          </cell>
          <cell r="B80" t="str">
            <v>Y9007-6PC</v>
          </cell>
          <cell r="C80" t="str">
            <v>黑色T型橱柜门拉手 6PC</v>
          </cell>
          <cell r="D80">
            <v>45080</v>
          </cell>
          <cell r="E80" t="str">
            <v>B0C6DWXLZV</v>
          </cell>
          <cell r="F80">
            <v>4</v>
          </cell>
          <cell r="G80">
            <v>0</v>
          </cell>
          <cell r="H80">
            <v>2</v>
          </cell>
          <cell r="I80">
            <v>2</v>
          </cell>
          <cell r="J80">
            <v>0</v>
          </cell>
          <cell r="K80">
            <v>8</v>
          </cell>
          <cell r="L80">
            <v>8.492</v>
          </cell>
          <cell r="M80">
            <v>67.936</v>
          </cell>
          <cell r="N80">
            <v>7</v>
          </cell>
          <cell r="O80">
            <v>9</v>
          </cell>
          <cell r="P80">
            <v>10</v>
          </cell>
          <cell r="Q80">
            <v>1</v>
          </cell>
          <cell r="R80">
            <v>6</v>
          </cell>
          <cell r="S80">
            <v>12.4137931034483</v>
          </cell>
          <cell r="T80">
            <v>0.413793103448276</v>
          </cell>
          <cell r="U80">
            <v>5.06896551724138</v>
          </cell>
          <cell r="V80">
            <v>-4.6551724137931</v>
          </cell>
          <cell r="W80" t="str">
            <v>库存过低</v>
          </cell>
          <cell r="X80" t="str">
            <v>库存过低</v>
          </cell>
          <cell r="Y80">
            <v>4.48</v>
          </cell>
          <cell r="Z80">
            <v>6.11</v>
          </cell>
          <cell r="AA80">
            <v>6.11</v>
          </cell>
          <cell r="AB80" t="str">
            <v>-</v>
          </cell>
        </row>
        <row r="81">
          <cell r="A81" t="str">
            <v>美珠</v>
          </cell>
          <cell r="B81" t="str">
            <v>Y9008</v>
          </cell>
          <cell r="C81" t="str">
            <v>双筒望远镜</v>
          </cell>
          <cell r="D81">
            <v>45103</v>
          </cell>
          <cell r="E81" t="str">
            <v>B0C7VSGBVP</v>
          </cell>
          <cell r="F81">
            <v>107</v>
          </cell>
          <cell r="G81">
            <v>0</v>
          </cell>
          <cell r="H81">
            <v>1</v>
          </cell>
          <cell r="I81">
            <v>5</v>
          </cell>
          <cell r="J81">
            <v>0</v>
          </cell>
          <cell r="K81">
            <v>113</v>
          </cell>
          <cell r="L81">
            <v>73.5</v>
          </cell>
          <cell r="M81">
            <v>8305.5</v>
          </cell>
          <cell r="N81">
            <v>5</v>
          </cell>
          <cell r="O81">
            <v>6</v>
          </cell>
          <cell r="P81">
            <v>7</v>
          </cell>
          <cell r="Q81">
            <v>0</v>
          </cell>
          <cell r="R81">
            <v>5</v>
          </cell>
          <cell r="S81">
            <v>251.554770318021</v>
          </cell>
          <cell r="T81">
            <v>8.38515901060071</v>
          </cell>
          <cell r="U81">
            <v>89.25</v>
          </cell>
          <cell r="V81">
            <v>-80.8648409893993</v>
          </cell>
          <cell r="W81" t="str">
            <v>库存过高</v>
          </cell>
          <cell r="X81" t="str">
            <v>库存过高</v>
          </cell>
          <cell r="Y81">
            <v>26.82</v>
          </cell>
          <cell r="Z81">
            <v>37.87</v>
          </cell>
          <cell r="AA81">
            <v>41.69</v>
          </cell>
          <cell r="AB81">
            <v>0.208003722661703</v>
          </cell>
        </row>
        <row r="82">
          <cell r="A82" t="str">
            <v>美珠</v>
          </cell>
          <cell r="B82" t="str">
            <v>Y9008-1</v>
          </cell>
          <cell r="C82" t="str">
            <v>双筒望远镜</v>
          </cell>
          <cell r="D82">
            <v>45103</v>
          </cell>
          <cell r="E82" t="str">
            <v>B0C7VTCJVL</v>
          </cell>
          <cell r="F82">
            <v>2</v>
          </cell>
          <cell r="G82">
            <v>0</v>
          </cell>
          <cell r="H82">
            <v>0</v>
          </cell>
          <cell r="I82">
            <v>0</v>
          </cell>
          <cell r="J82">
            <v>0</v>
          </cell>
          <cell r="K82">
            <v>2</v>
          </cell>
          <cell r="L82">
            <v>73.5</v>
          </cell>
          <cell r="M82">
            <v>147</v>
          </cell>
          <cell r="N82">
            <v>0</v>
          </cell>
          <cell r="O82">
            <v>0</v>
          </cell>
          <cell r="P82">
            <v>0</v>
          </cell>
          <cell r="Q82">
            <v>0</v>
          </cell>
          <cell r="R82">
            <v>0</v>
          </cell>
          <cell r="S82" t="str">
            <v>-</v>
          </cell>
          <cell r="T82" t="str">
            <v>-</v>
          </cell>
          <cell r="U82" t="str">
            <v>-</v>
          </cell>
          <cell r="V82" t="str">
            <v>-</v>
          </cell>
          <cell r="W82" t="str">
            <v>有库存无销量</v>
          </cell>
          <cell r="X82" t="str">
            <v>有库存无销量</v>
          </cell>
          <cell r="Y82">
            <v>0</v>
          </cell>
          <cell r="Z82">
            <v>0</v>
          </cell>
          <cell r="AA82">
            <v>0</v>
          </cell>
          <cell r="AB82" t="str">
            <v>-</v>
          </cell>
        </row>
        <row r="83">
          <cell r="A83" t="str">
            <v>美珠</v>
          </cell>
          <cell r="B83" t="str">
            <v>Y9008-2</v>
          </cell>
          <cell r="C83" t="str">
            <v>双筒望远镜</v>
          </cell>
          <cell r="D83">
            <v>45103</v>
          </cell>
          <cell r="E83" t="str">
            <v>B0C7VTSKMK</v>
          </cell>
          <cell r="F83">
            <v>2</v>
          </cell>
          <cell r="G83">
            <v>0</v>
          </cell>
          <cell r="H83">
            <v>0</v>
          </cell>
          <cell r="I83">
            <v>0</v>
          </cell>
          <cell r="J83">
            <v>0</v>
          </cell>
          <cell r="K83">
            <v>2</v>
          </cell>
          <cell r="L83">
            <v>73.5</v>
          </cell>
          <cell r="M83">
            <v>147</v>
          </cell>
          <cell r="N83">
            <v>0</v>
          </cell>
          <cell r="O83">
            <v>0</v>
          </cell>
          <cell r="P83">
            <v>0</v>
          </cell>
          <cell r="Q83">
            <v>0</v>
          </cell>
          <cell r="R83">
            <v>0</v>
          </cell>
          <cell r="S83" t="str">
            <v>-</v>
          </cell>
          <cell r="T83" t="str">
            <v>-</v>
          </cell>
          <cell r="U83" t="str">
            <v>-</v>
          </cell>
          <cell r="V83" t="str">
            <v>-</v>
          </cell>
          <cell r="W83" t="str">
            <v>有库存无销量</v>
          </cell>
          <cell r="X83" t="str">
            <v>有库存无销量</v>
          </cell>
          <cell r="Y83">
            <v>0</v>
          </cell>
          <cell r="Z83">
            <v>0</v>
          </cell>
          <cell r="AA83">
            <v>0</v>
          </cell>
          <cell r="AB83" t="str">
            <v>-</v>
          </cell>
        </row>
        <row r="84">
          <cell r="A84" t="str">
            <v>美珠</v>
          </cell>
          <cell r="B84" t="str">
            <v>Y9008-3</v>
          </cell>
          <cell r="C84" t="str">
            <v>双筒望远镜</v>
          </cell>
          <cell r="D84">
            <v>45103</v>
          </cell>
          <cell r="E84" t="str">
            <v>B0C7VTPSNK</v>
          </cell>
          <cell r="F84">
            <v>1</v>
          </cell>
          <cell r="G84">
            <v>0</v>
          </cell>
          <cell r="H84">
            <v>0</v>
          </cell>
          <cell r="I84">
            <v>0</v>
          </cell>
          <cell r="J84">
            <v>0</v>
          </cell>
          <cell r="K84">
            <v>1</v>
          </cell>
          <cell r="L84">
            <v>73.5</v>
          </cell>
          <cell r="M84">
            <v>73.5</v>
          </cell>
          <cell r="N84">
            <v>1</v>
          </cell>
          <cell r="O84">
            <v>1</v>
          </cell>
          <cell r="P84">
            <v>1</v>
          </cell>
          <cell r="Q84">
            <v>0</v>
          </cell>
          <cell r="R84">
            <v>1</v>
          </cell>
          <cell r="S84">
            <v>12.3529411764706</v>
          </cell>
          <cell r="T84">
            <v>0.411764705882353</v>
          </cell>
          <cell r="U84">
            <v>3</v>
          </cell>
          <cell r="V84">
            <v>-2.58823529411765</v>
          </cell>
          <cell r="W84" t="str">
            <v>库存过低</v>
          </cell>
          <cell r="X84" t="str">
            <v>库存过低</v>
          </cell>
          <cell r="Y84">
            <v>0</v>
          </cell>
          <cell r="Z84">
            <v>0</v>
          </cell>
          <cell r="AA84">
            <v>0</v>
          </cell>
          <cell r="AB84" t="str">
            <v>-</v>
          </cell>
        </row>
        <row r="85">
          <cell r="A85" t="str">
            <v>美珠</v>
          </cell>
          <cell r="B85" t="str">
            <v>Y9008-S</v>
          </cell>
          <cell r="C85" t="str">
            <v>双筒望远镜</v>
          </cell>
          <cell r="D85">
            <v>45103</v>
          </cell>
          <cell r="E85" t="str">
            <v>B0C7VWDH3R</v>
          </cell>
          <cell r="F85">
            <v>2</v>
          </cell>
          <cell r="G85">
            <v>0</v>
          </cell>
          <cell r="H85">
            <v>0</v>
          </cell>
          <cell r="I85">
            <v>0</v>
          </cell>
          <cell r="J85">
            <v>0</v>
          </cell>
          <cell r="K85">
            <v>2</v>
          </cell>
          <cell r="L85">
            <v>73.5</v>
          </cell>
          <cell r="M85">
            <v>147</v>
          </cell>
          <cell r="N85">
            <v>0</v>
          </cell>
          <cell r="O85">
            <v>0</v>
          </cell>
          <cell r="P85">
            <v>0</v>
          </cell>
          <cell r="Q85">
            <v>0</v>
          </cell>
          <cell r="R85">
            <v>0</v>
          </cell>
          <cell r="S85" t="str">
            <v>-</v>
          </cell>
          <cell r="T85" t="str">
            <v>-</v>
          </cell>
          <cell r="U85" t="str">
            <v>-</v>
          </cell>
          <cell r="V85" t="str">
            <v>-</v>
          </cell>
          <cell r="W85" t="str">
            <v>有库存无销量</v>
          </cell>
          <cell r="X85" t="str">
            <v>有库存无销量</v>
          </cell>
          <cell r="Y85">
            <v>0</v>
          </cell>
          <cell r="Z85">
            <v>0</v>
          </cell>
          <cell r="AA85">
            <v>0</v>
          </cell>
          <cell r="AB85" t="str">
            <v>-</v>
          </cell>
        </row>
        <row r="86">
          <cell r="A86" t="str">
            <v>子杰</v>
          </cell>
          <cell r="B86" t="str">
            <v>Y9009-KH</v>
          </cell>
          <cell r="C86" t="str">
            <v>可移动书架   卡其色</v>
          </cell>
          <cell r="D86">
            <v>45191</v>
          </cell>
          <cell r="E86" t="str">
            <v>B0CF8DYKBR</v>
          </cell>
          <cell r="F86">
            <v>10</v>
          </cell>
          <cell r="G86">
            <v>0</v>
          </cell>
          <cell r="H86">
            <v>0</v>
          </cell>
          <cell r="I86">
            <v>2</v>
          </cell>
          <cell r="J86">
            <v>5</v>
          </cell>
          <cell r="K86">
            <v>17</v>
          </cell>
          <cell r="L86">
            <v>45.2</v>
          </cell>
          <cell r="M86">
            <v>768.4</v>
          </cell>
          <cell r="N86">
            <v>1</v>
          </cell>
          <cell r="O86">
            <v>2</v>
          </cell>
          <cell r="P86">
            <v>4</v>
          </cell>
          <cell r="Q86">
            <v>0</v>
          </cell>
          <cell r="R86">
            <v>1</v>
          </cell>
          <cell r="S86">
            <v>124.53488372093</v>
          </cell>
          <cell r="T86">
            <v>4.15116279069767</v>
          </cell>
          <cell r="U86" t="str">
            <v>-</v>
          </cell>
          <cell r="V86" t="str">
            <v>-</v>
          </cell>
          <cell r="W86" t="str">
            <v>库存过高</v>
          </cell>
          <cell r="X86" t="str">
            <v>库存过高</v>
          </cell>
          <cell r="Y86">
            <v>26.9</v>
          </cell>
          <cell r="Z86">
            <v>68.19</v>
          </cell>
          <cell r="AA86">
            <v>73.13</v>
          </cell>
          <cell r="AB86">
            <v>0.224222722347253</v>
          </cell>
        </row>
        <row r="87">
          <cell r="A87" t="str">
            <v>子杰</v>
          </cell>
          <cell r="B87" t="str">
            <v>Y9009-PI</v>
          </cell>
          <cell r="C87" t="str">
            <v>可移动书架   樱花粉</v>
          </cell>
          <cell r="D87">
            <v>45191</v>
          </cell>
          <cell r="E87" t="str">
            <v>B0CF8FYGLG</v>
          </cell>
          <cell r="F87">
            <v>16</v>
          </cell>
          <cell r="G87">
            <v>0</v>
          </cell>
          <cell r="H87">
            <v>2</v>
          </cell>
          <cell r="I87">
            <v>0</v>
          </cell>
          <cell r="J87">
            <v>0</v>
          </cell>
          <cell r="K87">
            <v>18</v>
          </cell>
          <cell r="L87">
            <v>45.2</v>
          </cell>
          <cell r="M87">
            <v>813.6</v>
          </cell>
          <cell r="N87">
            <v>0</v>
          </cell>
          <cell r="O87">
            <v>1</v>
          </cell>
          <cell r="P87">
            <v>1</v>
          </cell>
          <cell r="Q87">
            <v>0</v>
          </cell>
          <cell r="R87">
            <v>0</v>
          </cell>
          <cell r="S87">
            <v>540</v>
          </cell>
          <cell r="T87">
            <v>18</v>
          </cell>
          <cell r="U87" t="str">
            <v>-</v>
          </cell>
          <cell r="V87" t="str">
            <v>-</v>
          </cell>
          <cell r="W87" t="str">
            <v>有库存无销量</v>
          </cell>
          <cell r="X87" t="str">
            <v>库存过高</v>
          </cell>
          <cell r="Y87">
            <v>2.33</v>
          </cell>
          <cell r="Z87">
            <v>2.33</v>
          </cell>
          <cell r="AA87">
            <v>2.33</v>
          </cell>
          <cell r="AB87" t="str">
            <v>-</v>
          </cell>
        </row>
        <row r="88">
          <cell r="A88" t="str">
            <v>子杰</v>
          </cell>
          <cell r="B88" t="str">
            <v>Y9009-WH</v>
          </cell>
          <cell r="C88" t="str">
            <v>可移动书架   月光白</v>
          </cell>
          <cell r="D88">
            <v>45191</v>
          </cell>
          <cell r="E88" t="str">
            <v>B0CF8G54C5</v>
          </cell>
          <cell r="F88">
            <v>0</v>
          </cell>
          <cell r="G88">
            <v>0</v>
          </cell>
          <cell r="H88">
            <v>0</v>
          </cell>
          <cell r="I88">
            <v>2</v>
          </cell>
          <cell r="J88">
            <v>4</v>
          </cell>
          <cell r="K88">
            <v>6</v>
          </cell>
          <cell r="L88">
            <v>45.2</v>
          </cell>
          <cell r="M88">
            <v>271.2</v>
          </cell>
          <cell r="N88">
            <v>7</v>
          </cell>
          <cell r="O88">
            <v>15</v>
          </cell>
          <cell r="P88">
            <v>16</v>
          </cell>
          <cell r="Q88">
            <v>0</v>
          </cell>
          <cell r="R88">
            <v>7</v>
          </cell>
          <cell r="S88">
            <v>7.10526315789474</v>
          </cell>
          <cell r="T88">
            <v>0.236842105263158</v>
          </cell>
          <cell r="U88" t="str">
            <v>-</v>
          </cell>
          <cell r="V88" t="str">
            <v>-</v>
          </cell>
          <cell r="W88" t="str">
            <v>库存过低</v>
          </cell>
          <cell r="X88" t="str">
            <v>库存过低</v>
          </cell>
          <cell r="Y88">
            <v>28.3</v>
          </cell>
          <cell r="Z88">
            <v>62.78</v>
          </cell>
          <cell r="AA88">
            <v>67.93</v>
          </cell>
          <cell r="AB88">
            <v>0.306012110726644</v>
          </cell>
        </row>
        <row r="89">
          <cell r="A89" t="str">
            <v>子杰</v>
          </cell>
          <cell r="B89" t="str">
            <v>Y9010-KH</v>
          </cell>
          <cell r="C89" t="str">
            <v>可移动书架   深卡其色</v>
          </cell>
          <cell r="D89">
            <v>45191</v>
          </cell>
          <cell r="E89" t="str">
            <v>B0CF8GDQ5Q</v>
          </cell>
          <cell r="F89">
            <v>17</v>
          </cell>
          <cell r="G89">
            <v>0</v>
          </cell>
          <cell r="H89">
            <v>2</v>
          </cell>
          <cell r="I89">
            <v>0</v>
          </cell>
          <cell r="J89">
            <v>0</v>
          </cell>
          <cell r="K89">
            <v>19</v>
          </cell>
          <cell r="L89">
            <v>45</v>
          </cell>
          <cell r="M89">
            <v>855</v>
          </cell>
          <cell r="N89">
            <v>2</v>
          </cell>
          <cell r="O89">
            <v>3</v>
          </cell>
          <cell r="P89">
            <v>3</v>
          </cell>
          <cell r="Q89">
            <v>0</v>
          </cell>
          <cell r="R89">
            <v>2</v>
          </cell>
          <cell r="S89">
            <v>97.3170731707317</v>
          </cell>
          <cell r="T89">
            <v>3.24390243902439</v>
          </cell>
          <cell r="U89" t="str">
            <v>-</v>
          </cell>
          <cell r="V89" t="str">
            <v>-</v>
          </cell>
          <cell r="W89" t="str">
            <v>库存过高</v>
          </cell>
          <cell r="X89" t="str">
            <v>库存过高</v>
          </cell>
          <cell r="Y89">
            <v>0.47</v>
          </cell>
          <cell r="Z89">
            <v>0.47</v>
          </cell>
          <cell r="AA89">
            <v>0.47</v>
          </cell>
          <cell r="AB89" t="str">
            <v>-</v>
          </cell>
        </row>
        <row r="90">
          <cell r="A90" t="str">
            <v>子杰</v>
          </cell>
          <cell r="B90" t="str">
            <v>Y9010-PI</v>
          </cell>
          <cell r="C90" t="str">
            <v>可移动书架   樱花粉</v>
          </cell>
          <cell r="D90">
            <v>45191</v>
          </cell>
          <cell r="E90" t="str">
            <v>B0CF8FKZ5B</v>
          </cell>
          <cell r="F90">
            <v>12</v>
          </cell>
          <cell r="G90">
            <v>0</v>
          </cell>
          <cell r="H90">
            <v>2</v>
          </cell>
          <cell r="I90">
            <v>0</v>
          </cell>
          <cell r="J90">
            <v>1</v>
          </cell>
          <cell r="K90">
            <v>15</v>
          </cell>
          <cell r="L90">
            <v>45</v>
          </cell>
          <cell r="M90">
            <v>675</v>
          </cell>
          <cell r="N90">
            <v>2</v>
          </cell>
          <cell r="O90">
            <v>4</v>
          </cell>
          <cell r="P90">
            <v>5</v>
          </cell>
          <cell r="Q90">
            <v>0</v>
          </cell>
          <cell r="R90">
            <v>2</v>
          </cell>
          <cell r="S90">
            <v>62.5827814569536</v>
          </cell>
          <cell r="T90">
            <v>2.08609271523179</v>
          </cell>
          <cell r="U90" t="str">
            <v>-</v>
          </cell>
          <cell r="V90" t="str">
            <v>-</v>
          </cell>
          <cell r="W90" t="str">
            <v>库存过高</v>
          </cell>
          <cell r="X90" t="str">
            <v>库存过高</v>
          </cell>
          <cell r="Y90">
            <v>25.53</v>
          </cell>
          <cell r="Z90">
            <v>51.84</v>
          </cell>
          <cell r="AA90">
            <v>55.7</v>
          </cell>
          <cell r="AB90">
            <v>0.514095851792187</v>
          </cell>
        </row>
        <row r="91">
          <cell r="A91" t="str">
            <v>子杰</v>
          </cell>
          <cell r="B91" t="str">
            <v>Y9010-WH</v>
          </cell>
          <cell r="C91" t="str">
            <v>可移动书架   奶油白</v>
          </cell>
          <cell r="D91">
            <v>45191</v>
          </cell>
          <cell r="E91" t="str">
            <v>B0CF8GVH1N</v>
          </cell>
          <cell r="F91">
            <v>4</v>
          </cell>
          <cell r="G91">
            <v>0</v>
          </cell>
          <cell r="H91">
            <v>3</v>
          </cell>
          <cell r="I91">
            <v>5</v>
          </cell>
          <cell r="J91">
            <v>4</v>
          </cell>
          <cell r="K91">
            <v>16</v>
          </cell>
          <cell r="L91">
            <v>45</v>
          </cell>
          <cell r="M91">
            <v>720</v>
          </cell>
          <cell r="N91">
            <v>7</v>
          </cell>
          <cell r="O91">
            <v>13</v>
          </cell>
          <cell r="P91">
            <v>13</v>
          </cell>
          <cell r="Q91">
            <v>0</v>
          </cell>
          <cell r="R91">
            <v>7</v>
          </cell>
          <cell r="S91">
            <v>20.8695652173913</v>
          </cell>
          <cell r="T91">
            <v>0.695652173913043</v>
          </cell>
          <cell r="U91" t="str">
            <v>-</v>
          </cell>
          <cell r="V91" t="str">
            <v>-</v>
          </cell>
          <cell r="W91" t="str">
            <v>正常</v>
          </cell>
          <cell r="X91" t="str">
            <v>正常</v>
          </cell>
          <cell r="Y91">
            <v>42.89</v>
          </cell>
          <cell r="Z91">
            <v>86.38</v>
          </cell>
          <cell r="AA91">
            <v>105.19</v>
          </cell>
          <cell r="AB91">
            <v>0.309206257659866</v>
          </cell>
        </row>
        <row r="92">
          <cell r="A92" t="str">
            <v>子杰</v>
          </cell>
          <cell r="B92" t="str">
            <v>Y9018-GA</v>
          </cell>
          <cell r="C92" t="str">
            <v>透明鞋盒收纳盒5层  透灰</v>
          </cell>
          <cell r="D92">
            <v>45187</v>
          </cell>
          <cell r="E92" t="str">
            <v>B0CF8LLWRT</v>
          </cell>
          <cell r="F92">
            <v>20</v>
          </cell>
          <cell r="G92">
            <v>0</v>
          </cell>
          <cell r="H92">
            <v>6</v>
          </cell>
          <cell r="I92">
            <v>1</v>
          </cell>
          <cell r="J92">
            <v>13</v>
          </cell>
          <cell r="K92">
            <v>40</v>
          </cell>
          <cell r="L92">
            <v>28.25</v>
          </cell>
          <cell r="M92">
            <v>1130</v>
          </cell>
          <cell r="N92">
            <v>2</v>
          </cell>
          <cell r="O92">
            <v>5</v>
          </cell>
          <cell r="P92">
            <v>12</v>
          </cell>
          <cell r="Q92">
            <v>2</v>
          </cell>
          <cell r="R92">
            <v>0</v>
          </cell>
          <cell r="S92">
            <v>117.757009345794</v>
          </cell>
          <cell r="T92">
            <v>3.92523364485981</v>
          </cell>
          <cell r="U92">
            <v>3.70588235294118</v>
          </cell>
          <cell r="V92">
            <v>0.219351291918633</v>
          </cell>
          <cell r="W92" t="str">
            <v>库存过高</v>
          </cell>
          <cell r="X92" t="str">
            <v>库存过高</v>
          </cell>
          <cell r="Y92">
            <v>10.21</v>
          </cell>
          <cell r="Z92">
            <v>51.75</v>
          </cell>
          <cell r="AA92">
            <v>93.04</v>
          </cell>
          <cell r="AB92" t="str">
            <v>-</v>
          </cell>
        </row>
        <row r="93">
          <cell r="A93" t="str">
            <v>子杰</v>
          </cell>
          <cell r="B93" t="str">
            <v>Y9018-GN</v>
          </cell>
          <cell r="C93" t="str">
            <v>透明鞋盒收纳盒5层  透绿</v>
          </cell>
          <cell r="D93">
            <v>45187</v>
          </cell>
          <cell r="E93" t="str">
            <v>B0CF8MMRMK</v>
          </cell>
          <cell r="F93">
            <v>27</v>
          </cell>
          <cell r="G93">
            <v>0</v>
          </cell>
          <cell r="H93">
            <v>0</v>
          </cell>
          <cell r="I93">
            <v>2</v>
          </cell>
          <cell r="J93">
            <v>18</v>
          </cell>
          <cell r="K93">
            <v>47</v>
          </cell>
          <cell r="L93">
            <v>28.25</v>
          </cell>
          <cell r="M93">
            <v>1327.75</v>
          </cell>
          <cell r="N93">
            <v>1</v>
          </cell>
          <cell r="O93">
            <v>2</v>
          </cell>
          <cell r="P93">
            <v>4</v>
          </cell>
          <cell r="Q93">
            <v>0</v>
          </cell>
          <cell r="R93">
            <v>1</v>
          </cell>
          <cell r="S93">
            <v>344.302325581395</v>
          </cell>
          <cell r="T93">
            <v>11.4767441860465</v>
          </cell>
          <cell r="U93" t="str">
            <v>-</v>
          </cell>
          <cell r="V93" t="str">
            <v>-</v>
          </cell>
          <cell r="W93" t="str">
            <v>库存过高</v>
          </cell>
          <cell r="X93" t="str">
            <v>库存过高</v>
          </cell>
          <cell r="Y93">
            <v>4.58</v>
          </cell>
          <cell r="Z93">
            <v>37.96</v>
          </cell>
          <cell r="AA93">
            <v>74.78</v>
          </cell>
          <cell r="AB93" t="str">
            <v>-</v>
          </cell>
        </row>
        <row r="94">
          <cell r="A94" t="str">
            <v>子杰</v>
          </cell>
          <cell r="B94" t="str">
            <v>Y9019-GA</v>
          </cell>
          <cell r="C94" t="str">
            <v>透明鞋盒收纳盒6层  透灰</v>
          </cell>
          <cell r="D94">
            <v>45191</v>
          </cell>
          <cell r="E94" t="str">
            <v>B0CF8N1G5P</v>
          </cell>
          <cell r="F94">
            <v>26</v>
          </cell>
          <cell r="G94">
            <v>0</v>
          </cell>
          <cell r="H94">
            <v>2</v>
          </cell>
          <cell r="I94">
            <v>2</v>
          </cell>
          <cell r="J94">
            <v>16</v>
          </cell>
          <cell r="K94">
            <v>46</v>
          </cell>
          <cell r="L94">
            <v>33.75</v>
          </cell>
          <cell r="M94">
            <v>1552.5</v>
          </cell>
          <cell r="N94">
            <v>2</v>
          </cell>
          <cell r="O94">
            <v>4</v>
          </cell>
          <cell r="P94">
            <v>5</v>
          </cell>
          <cell r="Q94">
            <v>0</v>
          </cell>
          <cell r="R94">
            <v>2</v>
          </cell>
          <cell r="S94">
            <v>191.920529801325</v>
          </cell>
          <cell r="T94">
            <v>6.39735099337748</v>
          </cell>
          <cell r="U94" t="str">
            <v>-</v>
          </cell>
          <cell r="V94" t="str">
            <v>-</v>
          </cell>
          <cell r="W94" t="str">
            <v>库存过高</v>
          </cell>
          <cell r="X94" t="str">
            <v>库存过高</v>
          </cell>
          <cell r="Y94">
            <v>6</v>
          </cell>
          <cell r="Z94">
            <v>20.28</v>
          </cell>
          <cell r="AA94">
            <v>20.28</v>
          </cell>
          <cell r="AB94">
            <v>0.200066688896299</v>
          </cell>
        </row>
        <row r="95">
          <cell r="A95" t="str">
            <v>子杰</v>
          </cell>
          <cell r="B95" t="str">
            <v>Y9019-GN</v>
          </cell>
          <cell r="C95" t="str">
            <v>透明鞋盒收纳盒6层  透绿</v>
          </cell>
          <cell r="D95">
            <v>45191</v>
          </cell>
          <cell r="E95" t="str">
            <v>B0CF8KNMGM</v>
          </cell>
          <cell r="F95">
            <v>25</v>
          </cell>
          <cell r="G95">
            <v>1</v>
          </cell>
          <cell r="H95">
            <v>0</v>
          </cell>
          <cell r="I95">
            <v>3</v>
          </cell>
          <cell r="J95">
            <v>18</v>
          </cell>
          <cell r="K95">
            <v>47</v>
          </cell>
          <cell r="L95">
            <v>33.75</v>
          </cell>
          <cell r="M95">
            <v>1586.25</v>
          </cell>
          <cell r="N95">
            <v>1</v>
          </cell>
          <cell r="O95">
            <v>3</v>
          </cell>
          <cell r="P95">
            <v>4</v>
          </cell>
          <cell r="Q95">
            <v>0</v>
          </cell>
          <cell r="R95">
            <v>1</v>
          </cell>
          <cell r="S95">
            <v>296.1</v>
          </cell>
          <cell r="T95">
            <v>9.87</v>
          </cell>
          <cell r="U95" t="str">
            <v>-</v>
          </cell>
          <cell r="V95" t="str">
            <v>-</v>
          </cell>
          <cell r="W95" t="str">
            <v>库存过高</v>
          </cell>
          <cell r="X95" t="str">
            <v>库存过高</v>
          </cell>
          <cell r="Y95">
            <v>6.23</v>
          </cell>
          <cell r="Z95">
            <v>19.18</v>
          </cell>
          <cell r="AA95">
            <v>19.18</v>
          </cell>
          <cell r="AB95">
            <v>0.19784058431248</v>
          </cell>
        </row>
        <row r="96">
          <cell r="A96" t="str">
            <v>子杰</v>
          </cell>
          <cell r="B96" t="str">
            <v>Y9020-GA</v>
          </cell>
          <cell r="C96" t="str">
            <v>透明鞋盒收纳盒7层  透灰</v>
          </cell>
          <cell r="D96">
            <v>45191</v>
          </cell>
          <cell r="E96" t="str">
            <v>B0CF8LG9SX</v>
          </cell>
          <cell r="F96">
            <v>31</v>
          </cell>
          <cell r="G96">
            <v>0</v>
          </cell>
          <cell r="H96">
            <v>6</v>
          </cell>
          <cell r="I96">
            <v>4</v>
          </cell>
          <cell r="J96">
            <v>8</v>
          </cell>
          <cell r="K96">
            <v>49</v>
          </cell>
          <cell r="L96">
            <v>38.375</v>
          </cell>
          <cell r="M96">
            <v>1880.375</v>
          </cell>
          <cell r="N96">
            <v>2</v>
          </cell>
          <cell r="O96">
            <v>4</v>
          </cell>
          <cell r="P96">
            <v>5</v>
          </cell>
          <cell r="Q96">
            <v>0</v>
          </cell>
          <cell r="R96">
            <v>2</v>
          </cell>
          <cell r="S96">
            <v>204.437086092715</v>
          </cell>
          <cell r="T96">
            <v>6.81456953642384</v>
          </cell>
          <cell r="U96" t="str">
            <v>-</v>
          </cell>
          <cell r="V96" t="str">
            <v>-</v>
          </cell>
          <cell r="W96" t="str">
            <v>库存过高</v>
          </cell>
          <cell r="X96" t="str">
            <v>库存过高</v>
          </cell>
          <cell r="Y96">
            <v>20.28</v>
          </cell>
          <cell r="Z96">
            <v>22.38</v>
          </cell>
          <cell r="AA96">
            <v>22.38</v>
          </cell>
          <cell r="AB96" t="str">
            <v>-</v>
          </cell>
        </row>
        <row r="97">
          <cell r="A97" t="str">
            <v>子杰</v>
          </cell>
          <cell r="B97" t="str">
            <v>Y9020-GN</v>
          </cell>
          <cell r="C97" t="str">
            <v>透明鞋盒收纳盒7层  透绿</v>
          </cell>
          <cell r="D97">
            <v>45191</v>
          </cell>
          <cell r="E97" t="str">
            <v>B0CF8M7LYZ</v>
          </cell>
          <cell r="F97">
            <v>39</v>
          </cell>
          <cell r="G97">
            <v>0</v>
          </cell>
          <cell r="H97">
            <v>3</v>
          </cell>
          <cell r="I97">
            <v>16</v>
          </cell>
          <cell r="J97">
            <v>0</v>
          </cell>
          <cell r="K97">
            <v>58</v>
          </cell>
          <cell r="L97">
            <v>38.375</v>
          </cell>
          <cell r="M97">
            <v>2225.75</v>
          </cell>
          <cell r="N97">
            <v>1</v>
          </cell>
          <cell r="O97">
            <v>1</v>
          </cell>
          <cell r="P97">
            <v>2</v>
          </cell>
          <cell r="Q97">
            <v>0</v>
          </cell>
          <cell r="R97">
            <v>1</v>
          </cell>
          <cell r="S97">
            <v>630</v>
          </cell>
          <cell r="T97">
            <v>21</v>
          </cell>
          <cell r="U97" t="str">
            <v>-</v>
          </cell>
          <cell r="V97" t="str">
            <v>-</v>
          </cell>
          <cell r="W97" t="str">
            <v>库存过高</v>
          </cell>
          <cell r="X97" t="str">
            <v>库存过高</v>
          </cell>
          <cell r="Y97">
            <v>33.39</v>
          </cell>
          <cell r="Z97">
            <v>48.76</v>
          </cell>
          <cell r="AA97">
            <v>55.76</v>
          </cell>
          <cell r="AB97">
            <v>0.47713632466419</v>
          </cell>
        </row>
        <row r="98">
          <cell r="A98" t="str">
            <v>子杰</v>
          </cell>
          <cell r="B98" t="str">
            <v>Y9021</v>
          </cell>
          <cell r="C98" t="str">
            <v>安装折叠防尘鞋盒简易一体式家用鞋柜  3层</v>
          </cell>
          <cell r="D98">
            <v>45184</v>
          </cell>
          <cell r="E98" t="str">
            <v>B0CF8P8B1X</v>
          </cell>
          <cell r="F98">
            <v>29</v>
          </cell>
          <cell r="G98">
            <v>0</v>
          </cell>
          <cell r="H98">
            <v>5</v>
          </cell>
          <cell r="I98">
            <v>2</v>
          </cell>
          <cell r="J98">
            <v>7</v>
          </cell>
          <cell r="K98">
            <v>43</v>
          </cell>
          <cell r="L98">
            <v>36.867</v>
          </cell>
          <cell r="M98">
            <v>1585.281</v>
          </cell>
          <cell r="N98">
            <v>1</v>
          </cell>
          <cell r="O98">
            <v>6</v>
          </cell>
          <cell r="P98">
            <v>8</v>
          </cell>
          <cell r="Q98">
            <v>0</v>
          </cell>
          <cell r="R98">
            <v>1</v>
          </cell>
          <cell r="S98">
            <v>159.352941176471</v>
          </cell>
          <cell r="T98">
            <v>5.31176470588235</v>
          </cell>
          <cell r="U98" t="str">
            <v>-</v>
          </cell>
          <cell r="V98" t="str">
            <v>-</v>
          </cell>
          <cell r="W98" t="str">
            <v>库存过高</v>
          </cell>
          <cell r="X98" t="str">
            <v>库存过高</v>
          </cell>
          <cell r="Y98">
            <v>38.95</v>
          </cell>
          <cell r="Z98">
            <v>80.31</v>
          </cell>
          <cell r="AA98">
            <v>128.99</v>
          </cell>
          <cell r="AB98">
            <v>0.973993498374594</v>
          </cell>
        </row>
        <row r="99">
          <cell r="A99" t="str">
            <v>子杰</v>
          </cell>
          <cell r="B99" t="str">
            <v>Y9022</v>
          </cell>
          <cell r="C99" t="str">
            <v>安装折叠防尘鞋盒简易一体式家用鞋柜  6层</v>
          </cell>
          <cell r="D99">
            <v>45184</v>
          </cell>
          <cell r="E99" t="str">
            <v>B0CF8LKWD2</v>
          </cell>
          <cell r="F99">
            <v>3</v>
          </cell>
          <cell r="G99">
            <v>1</v>
          </cell>
          <cell r="H99">
            <v>4</v>
          </cell>
          <cell r="I99">
            <v>1</v>
          </cell>
          <cell r="J99">
            <v>0</v>
          </cell>
          <cell r="K99">
            <v>9</v>
          </cell>
          <cell r="L99">
            <v>67.667</v>
          </cell>
          <cell r="M99">
            <v>609.003</v>
          </cell>
          <cell r="N99">
            <v>8</v>
          </cell>
          <cell r="O99">
            <v>24</v>
          </cell>
          <cell r="P99">
            <v>40</v>
          </cell>
          <cell r="Q99">
            <v>0</v>
          </cell>
          <cell r="R99">
            <v>8</v>
          </cell>
          <cell r="S99">
            <v>6.62383177570094</v>
          </cell>
          <cell r="T99">
            <v>0.220794392523365</v>
          </cell>
          <cell r="U99" t="str">
            <v>-</v>
          </cell>
          <cell r="V99" t="str">
            <v>-</v>
          </cell>
          <cell r="W99" t="str">
            <v>库存过低</v>
          </cell>
          <cell r="X99" t="str">
            <v>库存过低</v>
          </cell>
          <cell r="Y99">
            <v>31.79</v>
          </cell>
          <cell r="Z99">
            <v>73.09</v>
          </cell>
          <cell r="AA99">
            <v>199.07</v>
          </cell>
          <cell r="AB99">
            <v>0.209199789418268</v>
          </cell>
        </row>
        <row r="100">
          <cell r="A100" t="str">
            <v>子杰</v>
          </cell>
          <cell r="B100" t="str">
            <v>Y9023-BR-15</v>
          </cell>
          <cell r="C100" t="str">
            <v>床底收纳箱家用扁平带轮抽屉式  茶色 82*40*15</v>
          </cell>
          <cell r="D100">
            <v>45209</v>
          </cell>
          <cell r="E100" t="str">
            <v>B0CF91FMHJ</v>
          </cell>
          <cell r="F100">
            <v>30</v>
          </cell>
          <cell r="G100">
            <v>0</v>
          </cell>
          <cell r="H100">
            <v>0</v>
          </cell>
          <cell r="I100">
            <v>0</v>
          </cell>
          <cell r="J100">
            <v>0</v>
          </cell>
          <cell r="K100">
            <v>30</v>
          </cell>
          <cell r="L100">
            <v>46.5</v>
          </cell>
          <cell r="M100">
            <v>1395</v>
          </cell>
          <cell r="N100">
            <v>0</v>
          </cell>
          <cell r="O100">
            <v>0</v>
          </cell>
          <cell r="P100">
            <v>0</v>
          </cell>
          <cell r="Q100">
            <v>0</v>
          </cell>
          <cell r="R100">
            <v>0</v>
          </cell>
          <cell r="S100" t="str">
            <v>-</v>
          </cell>
          <cell r="T100" t="str">
            <v>-</v>
          </cell>
          <cell r="U100" t="str">
            <v>-</v>
          </cell>
          <cell r="V100" t="str">
            <v>-</v>
          </cell>
          <cell r="W100" t="str">
            <v>本月刚到货</v>
          </cell>
          <cell r="X100" t="str">
            <v>本月刚到货</v>
          </cell>
          <cell r="Y100">
            <v>0</v>
          </cell>
          <cell r="Z100">
            <v>0</v>
          </cell>
          <cell r="AA100">
            <v>0</v>
          </cell>
          <cell r="AB100" t="str">
            <v>-</v>
          </cell>
        </row>
        <row r="101">
          <cell r="A101" t="str">
            <v>子杰</v>
          </cell>
          <cell r="B101" t="str">
            <v>Y9023-BR-20</v>
          </cell>
          <cell r="C101" t="str">
            <v>床底收纳箱家用扁平带轮抽屉式 茶色 82*40*20</v>
          </cell>
          <cell r="D101">
            <v>45209</v>
          </cell>
          <cell r="E101" t="str">
            <v>B0CF92B4V2</v>
          </cell>
          <cell r="F101">
            <v>30</v>
          </cell>
          <cell r="G101">
            <v>0</v>
          </cell>
          <cell r="H101">
            <v>0</v>
          </cell>
          <cell r="I101">
            <v>0</v>
          </cell>
          <cell r="J101">
            <v>0</v>
          </cell>
          <cell r="K101">
            <v>30</v>
          </cell>
          <cell r="L101">
            <v>52.5</v>
          </cell>
          <cell r="M101">
            <v>1575</v>
          </cell>
          <cell r="N101">
            <v>0</v>
          </cell>
          <cell r="O101">
            <v>0</v>
          </cell>
          <cell r="P101">
            <v>0</v>
          </cell>
          <cell r="Q101">
            <v>0</v>
          </cell>
          <cell r="R101">
            <v>0</v>
          </cell>
          <cell r="S101" t="str">
            <v>-</v>
          </cell>
          <cell r="T101" t="str">
            <v>-</v>
          </cell>
          <cell r="U101" t="str">
            <v>-</v>
          </cell>
          <cell r="V101" t="str">
            <v>-</v>
          </cell>
          <cell r="W101" t="str">
            <v>本月刚到货</v>
          </cell>
          <cell r="X101" t="str">
            <v>本月刚到货</v>
          </cell>
          <cell r="Y101">
            <v>0</v>
          </cell>
          <cell r="Z101">
            <v>0</v>
          </cell>
          <cell r="AA101">
            <v>0</v>
          </cell>
          <cell r="AB101" t="str">
            <v>-</v>
          </cell>
        </row>
        <row r="102">
          <cell r="A102" t="str">
            <v>子杰</v>
          </cell>
          <cell r="B102" t="str">
            <v>Y9023-BR-25</v>
          </cell>
          <cell r="C102" t="str">
            <v>床底收纳箱家用扁平带轮抽屉式 茶色 82*40*25</v>
          </cell>
          <cell r="D102">
            <v>45209</v>
          </cell>
          <cell r="E102" t="str">
            <v>B0CF916G6C</v>
          </cell>
          <cell r="F102">
            <v>30</v>
          </cell>
          <cell r="G102">
            <v>0</v>
          </cell>
          <cell r="H102">
            <v>0</v>
          </cell>
          <cell r="I102">
            <v>0</v>
          </cell>
          <cell r="J102">
            <v>0</v>
          </cell>
          <cell r="K102">
            <v>30</v>
          </cell>
          <cell r="L102">
            <v>57.5</v>
          </cell>
          <cell r="M102">
            <v>1725</v>
          </cell>
          <cell r="N102">
            <v>0</v>
          </cell>
          <cell r="O102">
            <v>0</v>
          </cell>
          <cell r="P102">
            <v>0</v>
          </cell>
          <cell r="Q102">
            <v>0</v>
          </cell>
          <cell r="R102">
            <v>0</v>
          </cell>
          <cell r="S102" t="str">
            <v>-</v>
          </cell>
          <cell r="T102" t="str">
            <v>-</v>
          </cell>
          <cell r="U102" t="str">
            <v>-</v>
          </cell>
          <cell r="V102" t="str">
            <v>-</v>
          </cell>
          <cell r="W102" t="str">
            <v>本月刚到货</v>
          </cell>
          <cell r="X102" t="str">
            <v>本月刚到货</v>
          </cell>
          <cell r="Y102">
            <v>0</v>
          </cell>
          <cell r="Z102">
            <v>0</v>
          </cell>
          <cell r="AA102">
            <v>0</v>
          </cell>
          <cell r="AB102" t="str">
            <v>-</v>
          </cell>
        </row>
        <row r="103">
          <cell r="A103" t="str">
            <v>子杰</v>
          </cell>
          <cell r="B103" t="str">
            <v>Y9023-WH-15</v>
          </cell>
          <cell r="C103" t="str">
            <v>床底收纳箱家用扁平带轮抽屉式  透明色 82*40*15</v>
          </cell>
          <cell r="D103">
            <v>45209</v>
          </cell>
          <cell r="E103" t="str">
            <v>B0CF8ZKP7F</v>
          </cell>
          <cell r="F103">
            <v>30</v>
          </cell>
          <cell r="G103">
            <v>0</v>
          </cell>
          <cell r="H103">
            <v>0</v>
          </cell>
          <cell r="I103">
            <v>0</v>
          </cell>
          <cell r="J103">
            <v>0</v>
          </cell>
          <cell r="K103">
            <v>30</v>
          </cell>
          <cell r="L103">
            <v>46.5</v>
          </cell>
          <cell r="M103">
            <v>1395</v>
          </cell>
          <cell r="N103">
            <v>0</v>
          </cell>
          <cell r="O103">
            <v>0</v>
          </cell>
          <cell r="P103">
            <v>0</v>
          </cell>
          <cell r="Q103">
            <v>0</v>
          </cell>
          <cell r="R103">
            <v>0</v>
          </cell>
          <cell r="S103" t="str">
            <v>-</v>
          </cell>
          <cell r="T103" t="str">
            <v>-</v>
          </cell>
          <cell r="U103" t="str">
            <v>-</v>
          </cell>
          <cell r="V103" t="str">
            <v>-</v>
          </cell>
          <cell r="W103" t="str">
            <v>本月刚到货</v>
          </cell>
          <cell r="X103" t="str">
            <v>本月刚到货</v>
          </cell>
          <cell r="Y103">
            <v>0</v>
          </cell>
          <cell r="Z103">
            <v>0</v>
          </cell>
          <cell r="AA103">
            <v>0</v>
          </cell>
          <cell r="AB103" t="str">
            <v>-</v>
          </cell>
        </row>
        <row r="104">
          <cell r="A104" t="str">
            <v>子杰</v>
          </cell>
          <cell r="B104" t="str">
            <v>Y9023-WH-20</v>
          </cell>
          <cell r="C104" t="str">
            <v>床底收纳箱家用扁平带轮抽屉式  透明色 82*40*20</v>
          </cell>
          <cell r="D104">
            <v>45209</v>
          </cell>
          <cell r="E104" t="str">
            <v>B0CF92LX2V</v>
          </cell>
          <cell r="F104">
            <v>30</v>
          </cell>
          <cell r="G104">
            <v>0</v>
          </cell>
          <cell r="H104">
            <v>0</v>
          </cell>
          <cell r="I104">
            <v>0</v>
          </cell>
          <cell r="J104">
            <v>0</v>
          </cell>
          <cell r="K104">
            <v>30</v>
          </cell>
          <cell r="L104">
            <v>52.5</v>
          </cell>
          <cell r="M104">
            <v>1575</v>
          </cell>
          <cell r="N104">
            <v>0</v>
          </cell>
          <cell r="O104">
            <v>0</v>
          </cell>
          <cell r="P104">
            <v>0</v>
          </cell>
          <cell r="Q104">
            <v>0</v>
          </cell>
          <cell r="R104">
            <v>0</v>
          </cell>
          <cell r="S104" t="str">
            <v>-</v>
          </cell>
          <cell r="T104" t="str">
            <v>-</v>
          </cell>
          <cell r="U104" t="str">
            <v>-</v>
          </cell>
          <cell r="V104" t="str">
            <v>-</v>
          </cell>
          <cell r="W104" t="str">
            <v>本月刚到货</v>
          </cell>
          <cell r="X104" t="str">
            <v>本月刚到货</v>
          </cell>
          <cell r="Y104">
            <v>0</v>
          </cell>
          <cell r="Z104">
            <v>0</v>
          </cell>
          <cell r="AA104">
            <v>0</v>
          </cell>
          <cell r="AB104" t="str">
            <v>-</v>
          </cell>
        </row>
        <row r="105">
          <cell r="A105" t="str">
            <v>子杰</v>
          </cell>
          <cell r="B105" t="str">
            <v>Y9023-WH-25</v>
          </cell>
          <cell r="C105" t="str">
            <v>床底收纳箱家用扁平带轮抽屉式 透明色  82*40*25</v>
          </cell>
          <cell r="D105">
            <v>45209</v>
          </cell>
          <cell r="E105" t="str">
            <v>B0CF95GGTG</v>
          </cell>
          <cell r="F105">
            <v>30</v>
          </cell>
          <cell r="G105">
            <v>0</v>
          </cell>
          <cell r="H105">
            <v>0</v>
          </cell>
          <cell r="I105">
            <v>0</v>
          </cell>
          <cell r="J105">
            <v>0</v>
          </cell>
          <cell r="K105">
            <v>30</v>
          </cell>
          <cell r="L105">
            <v>57.5</v>
          </cell>
          <cell r="M105">
            <v>1725</v>
          </cell>
          <cell r="N105">
            <v>0</v>
          </cell>
          <cell r="O105">
            <v>0</v>
          </cell>
          <cell r="P105">
            <v>0</v>
          </cell>
          <cell r="Q105">
            <v>0</v>
          </cell>
          <cell r="R105">
            <v>0</v>
          </cell>
          <cell r="S105" t="str">
            <v>-</v>
          </cell>
          <cell r="T105" t="str">
            <v>-</v>
          </cell>
          <cell r="U105" t="str">
            <v>-</v>
          </cell>
          <cell r="V105" t="str">
            <v>-</v>
          </cell>
          <cell r="W105" t="str">
            <v>本月刚到货</v>
          </cell>
          <cell r="X105" t="str">
            <v>本月刚到货</v>
          </cell>
          <cell r="Y105">
            <v>0</v>
          </cell>
          <cell r="Z105">
            <v>0</v>
          </cell>
          <cell r="AA105">
            <v>0</v>
          </cell>
          <cell r="AB105" t="str">
            <v>-</v>
          </cell>
        </row>
        <row r="106">
          <cell r="A106" t="str">
            <v>子杰</v>
          </cell>
          <cell r="B106" t="str">
            <v>Y9024-50-3</v>
          </cell>
          <cell r="C106" t="str">
            <v>收纳箱衣柜  50面宽三层</v>
          </cell>
          <cell r="D106">
            <v>45210</v>
          </cell>
          <cell r="E106" t="str">
            <v>B0CF95D2MT</v>
          </cell>
          <cell r="F106">
            <v>30</v>
          </cell>
          <cell r="G106">
            <v>0</v>
          </cell>
          <cell r="H106">
            <v>0</v>
          </cell>
          <cell r="I106">
            <v>0</v>
          </cell>
          <cell r="J106">
            <v>0</v>
          </cell>
          <cell r="K106">
            <v>30</v>
          </cell>
          <cell r="L106">
            <v>93.648</v>
          </cell>
          <cell r="M106">
            <v>2809.44</v>
          </cell>
          <cell r="N106">
            <v>0</v>
          </cell>
          <cell r="O106">
            <v>0</v>
          </cell>
          <cell r="P106">
            <v>0</v>
          </cell>
          <cell r="Q106">
            <v>0</v>
          </cell>
          <cell r="R106">
            <v>0</v>
          </cell>
          <cell r="S106" t="str">
            <v>-</v>
          </cell>
          <cell r="T106" t="str">
            <v>-</v>
          </cell>
          <cell r="U106" t="str">
            <v>-</v>
          </cell>
          <cell r="V106" t="str">
            <v>-</v>
          </cell>
          <cell r="W106" t="str">
            <v>本月刚到货</v>
          </cell>
          <cell r="X106" t="str">
            <v>本月刚到货</v>
          </cell>
          <cell r="Y106">
            <v>0</v>
          </cell>
          <cell r="Z106">
            <v>0</v>
          </cell>
          <cell r="AA106">
            <v>0</v>
          </cell>
          <cell r="AB106" t="str">
            <v>-</v>
          </cell>
        </row>
        <row r="107">
          <cell r="A107" t="str">
            <v>子杰</v>
          </cell>
          <cell r="B107" t="str">
            <v>Y9024-50-4</v>
          </cell>
          <cell r="C107" t="str">
            <v>收纳箱衣柜  50面宽四层</v>
          </cell>
          <cell r="D107">
            <v>45210</v>
          </cell>
          <cell r="E107" t="str">
            <v>B0CF919VQ2</v>
          </cell>
          <cell r="F107">
            <v>30</v>
          </cell>
          <cell r="G107">
            <v>0</v>
          </cell>
          <cell r="H107">
            <v>0</v>
          </cell>
          <cell r="I107">
            <v>0</v>
          </cell>
          <cell r="J107">
            <v>0</v>
          </cell>
          <cell r="K107">
            <v>30</v>
          </cell>
          <cell r="L107">
            <v>119.506</v>
          </cell>
          <cell r="M107">
            <v>3585.18</v>
          </cell>
          <cell r="N107">
            <v>0</v>
          </cell>
          <cell r="O107">
            <v>0</v>
          </cell>
          <cell r="P107">
            <v>0</v>
          </cell>
          <cell r="Q107">
            <v>0</v>
          </cell>
          <cell r="R107">
            <v>0</v>
          </cell>
          <cell r="S107" t="str">
            <v>-</v>
          </cell>
          <cell r="T107" t="str">
            <v>-</v>
          </cell>
          <cell r="U107" t="str">
            <v>-</v>
          </cell>
          <cell r="V107" t="str">
            <v>-</v>
          </cell>
          <cell r="W107" t="str">
            <v>本月刚到货</v>
          </cell>
          <cell r="X107" t="str">
            <v>本月刚到货</v>
          </cell>
          <cell r="Y107">
            <v>0</v>
          </cell>
          <cell r="Z107">
            <v>0</v>
          </cell>
          <cell r="AA107">
            <v>0</v>
          </cell>
          <cell r="AB107" t="str">
            <v>-</v>
          </cell>
        </row>
        <row r="108">
          <cell r="A108" t="str">
            <v>子杰</v>
          </cell>
          <cell r="B108" t="str">
            <v>Y9011-KH</v>
          </cell>
          <cell r="C108" t="str">
            <v>家用客厅落地置物架抽屉式  焦糖奶油色  二层</v>
          </cell>
          <cell r="D108">
            <v>45212</v>
          </cell>
          <cell r="E108" t="str">
            <v>B0CFD2B7KD</v>
          </cell>
          <cell r="F108">
            <v>30</v>
          </cell>
          <cell r="G108">
            <v>0</v>
          </cell>
          <cell r="H108">
            <v>0</v>
          </cell>
          <cell r="I108">
            <v>0</v>
          </cell>
          <cell r="J108">
            <v>0</v>
          </cell>
          <cell r="K108">
            <v>30</v>
          </cell>
          <cell r="L108">
            <v>76.667</v>
          </cell>
          <cell r="M108">
            <v>2300.01</v>
          </cell>
          <cell r="N108">
            <v>0</v>
          </cell>
          <cell r="O108">
            <v>0</v>
          </cell>
          <cell r="P108">
            <v>0</v>
          </cell>
          <cell r="Q108">
            <v>0</v>
          </cell>
          <cell r="R108">
            <v>0</v>
          </cell>
          <cell r="S108" t="str">
            <v>-</v>
          </cell>
          <cell r="T108" t="str">
            <v>-</v>
          </cell>
          <cell r="U108" t="str">
            <v>-</v>
          </cell>
          <cell r="V108" t="str">
            <v>-</v>
          </cell>
          <cell r="W108" t="str">
            <v>本月刚到货</v>
          </cell>
          <cell r="X108" t="str">
            <v>本月刚到货</v>
          </cell>
          <cell r="Y108">
            <v>0</v>
          </cell>
          <cell r="Z108">
            <v>0</v>
          </cell>
          <cell r="AA108">
            <v>0</v>
          </cell>
          <cell r="AB108" t="str">
            <v>-</v>
          </cell>
        </row>
        <row r="109">
          <cell r="A109" t="str">
            <v>子杰</v>
          </cell>
          <cell r="B109" t="str">
            <v>Y9012-BU</v>
          </cell>
          <cell r="C109" t="str">
            <v>家用客厅落地置物架抽屉式 蓝莓奶油色  三层</v>
          </cell>
          <cell r="D109">
            <v>45212</v>
          </cell>
          <cell r="E109" t="str">
            <v>B0CFD6CYN6</v>
          </cell>
          <cell r="F109">
            <v>29</v>
          </cell>
          <cell r="G109">
            <v>0</v>
          </cell>
          <cell r="H109">
            <v>0</v>
          </cell>
          <cell r="I109">
            <v>1</v>
          </cell>
          <cell r="J109">
            <v>0</v>
          </cell>
          <cell r="K109">
            <v>30</v>
          </cell>
          <cell r="L109">
            <v>106.667</v>
          </cell>
          <cell r="M109">
            <v>3200.01</v>
          </cell>
          <cell r="N109">
            <v>0</v>
          </cell>
          <cell r="O109">
            <v>0</v>
          </cell>
          <cell r="P109">
            <v>0</v>
          </cell>
          <cell r="Q109">
            <v>0</v>
          </cell>
          <cell r="R109">
            <v>0</v>
          </cell>
          <cell r="S109" t="str">
            <v>-</v>
          </cell>
          <cell r="T109" t="str">
            <v>-</v>
          </cell>
          <cell r="U109" t="str">
            <v>-</v>
          </cell>
          <cell r="V109" t="str">
            <v>-</v>
          </cell>
          <cell r="W109" t="str">
            <v>本月刚到货</v>
          </cell>
          <cell r="X109" t="str">
            <v>本月刚到货</v>
          </cell>
          <cell r="Y109">
            <v>0</v>
          </cell>
          <cell r="Z109">
            <v>0</v>
          </cell>
          <cell r="AA109">
            <v>0</v>
          </cell>
          <cell r="AB109" t="str">
            <v>-</v>
          </cell>
        </row>
        <row r="110">
          <cell r="A110" t="str">
            <v>子杰</v>
          </cell>
          <cell r="B110" t="str">
            <v>Y9012-KH</v>
          </cell>
          <cell r="C110" t="str">
            <v>家用客厅落地置物架抽屉式 焦糖奶油色 三层</v>
          </cell>
          <cell r="D110">
            <v>45212</v>
          </cell>
          <cell r="E110" t="str">
            <v>B0CFD36WF7</v>
          </cell>
          <cell r="F110">
            <v>29</v>
          </cell>
          <cell r="G110">
            <v>0</v>
          </cell>
          <cell r="H110">
            <v>0</v>
          </cell>
          <cell r="I110">
            <v>1</v>
          </cell>
          <cell r="J110">
            <v>0</v>
          </cell>
          <cell r="K110">
            <v>30</v>
          </cell>
          <cell r="L110">
            <v>106.667</v>
          </cell>
          <cell r="M110">
            <v>3200.01</v>
          </cell>
          <cell r="N110">
            <v>0</v>
          </cell>
          <cell r="O110">
            <v>0</v>
          </cell>
          <cell r="P110">
            <v>0</v>
          </cell>
          <cell r="Q110">
            <v>0</v>
          </cell>
          <cell r="R110">
            <v>0</v>
          </cell>
          <cell r="S110" t="str">
            <v>-</v>
          </cell>
          <cell r="T110" t="str">
            <v>-</v>
          </cell>
          <cell r="U110" t="str">
            <v>-</v>
          </cell>
          <cell r="V110" t="str">
            <v>-</v>
          </cell>
          <cell r="W110" t="str">
            <v>本月刚到货</v>
          </cell>
          <cell r="X110" t="str">
            <v>本月刚到货</v>
          </cell>
          <cell r="Y110">
            <v>0</v>
          </cell>
          <cell r="Z110">
            <v>0</v>
          </cell>
          <cell r="AA110">
            <v>0</v>
          </cell>
          <cell r="AB110" t="str">
            <v>-</v>
          </cell>
        </row>
        <row r="111">
          <cell r="A111" t="str">
            <v>子杰</v>
          </cell>
          <cell r="B111" t="str">
            <v>Y9014-BR</v>
          </cell>
          <cell r="C111" t="str">
            <v>儿童玩具收纳柜  棕色</v>
          </cell>
          <cell r="D111">
            <v>45212</v>
          </cell>
          <cell r="E111" t="str">
            <v>B0CFDKZ368</v>
          </cell>
          <cell r="F111">
            <v>29</v>
          </cell>
          <cell r="G111">
            <v>0</v>
          </cell>
          <cell r="H111">
            <v>0</v>
          </cell>
          <cell r="I111">
            <v>2</v>
          </cell>
          <cell r="J111">
            <v>0</v>
          </cell>
          <cell r="K111">
            <v>31</v>
          </cell>
          <cell r="L111">
            <v>43.667</v>
          </cell>
          <cell r="M111">
            <v>1353.677</v>
          </cell>
          <cell r="N111">
            <v>0</v>
          </cell>
          <cell r="O111">
            <v>0</v>
          </cell>
          <cell r="P111">
            <v>0</v>
          </cell>
          <cell r="Q111">
            <v>0</v>
          </cell>
          <cell r="R111">
            <v>0</v>
          </cell>
          <cell r="S111" t="str">
            <v>-</v>
          </cell>
          <cell r="T111" t="str">
            <v>-</v>
          </cell>
          <cell r="U111" t="str">
            <v>-</v>
          </cell>
          <cell r="V111" t="str">
            <v>-</v>
          </cell>
          <cell r="W111" t="str">
            <v>本月刚到货</v>
          </cell>
          <cell r="X111" t="str">
            <v>本月刚到货</v>
          </cell>
          <cell r="Y111">
            <v>0</v>
          </cell>
          <cell r="Z111">
            <v>0</v>
          </cell>
          <cell r="AA111">
            <v>0</v>
          </cell>
          <cell r="AB111" t="str">
            <v>-</v>
          </cell>
        </row>
        <row r="112">
          <cell r="A112" t="str">
            <v>子杰</v>
          </cell>
          <cell r="B112" t="str">
            <v>Y9014-GN</v>
          </cell>
          <cell r="C112" t="str">
            <v>儿童玩具收纳柜  绿色</v>
          </cell>
          <cell r="D112">
            <v>45212</v>
          </cell>
          <cell r="E112" t="str">
            <v>B0CFDBVT85</v>
          </cell>
          <cell r="F112">
            <v>30</v>
          </cell>
          <cell r="G112">
            <v>0</v>
          </cell>
          <cell r="H112">
            <v>0</v>
          </cell>
          <cell r="I112">
            <v>0</v>
          </cell>
          <cell r="J112">
            <v>0</v>
          </cell>
          <cell r="K112">
            <v>30</v>
          </cell>
          <cell r="L112">
            <v>43.667</v>
          </cell>
          <cell r="M112">
            <v>1310.01</v>
          </cell>
          <cell r="N112">
            <v>0</v>
          </cell>
          <cell r="O112">
            <v>0</v>
          </cell>
          <cell r="P112">
            <v>0</v>
          </cell>
          <cell r="Q112">
            <v>0</v>
          </cell>
          <cell r="R112">
            <v>0</v>
          </cell>
          <cell r="S112" t="str">
            <v>-</v>
          </cell>
          <cell r="T112" t="str">
            <v>-</v>
          </cell>
          <cell r="U112" t="str">
            <v>-</v>
          </cell>
          <cell r="V112" t="str">
            <v>-</v>
          </cell>
          <cell r="W112" t="str">
            <v>本月刚到货</v>
          </cell>
          <cell r="X112" t="str">
            <v>本月刚到货</v>
          </cell>
          <cell r="Y112">
            <v>0</v>
          </cell>
          <cell r="Z112">
            <v>0</v>
          </cell>
          <cell r="AA112">
            <v>0</v>
          </cell>
          <cell r="AB112" t="str">
            <v>-</v>
          </cell>
        </row>
        <row r="113">
          <cell r="A113" t="str">
            <v>子杰</v>
          </cell>
          <cell r="B113" t="str">
            <v>Y9015-BR</v>
          </cell>
          <cell r="C113" t="str">
            <v>儿童玩具收纳柜2层 棕色</v>
          </cell>
          <cell r="D113">
            <v>45212</v>
          </cell>
          <cell r="E113" t="str">
            <v>B0CFDCLFZX</v>
          </cell>
          <cell r="F113">
            <v>30</v>
          </cell>
          <cell r="G113">
            <v>0</v>
          </cell>
          <cell r="H113">
            <v>0</v>
          </cell>
          <cell r="I113">
            <v>0</v>
          </cell>
          <cell r="J113">
            <v>0</v>
          </cell>
          <cell r="K113">
            <v>30</v>
          </cell>
          <cell r="L113">
            <v>82.667</v>
          </cell>
          <cell r="M113">
            <v>2480.01</v>
          </cell>
          <cell r="N113">
            <v>0</v>
          </cell>
          <cell r="O113">
            <v>0</v>
          </cell>
          <cell r="P113">
            <v>0</v>
          </cell>
          <cell r="Q113">
            <v>0</v>
          </cell>
          <cell r="R113">
            <v>0</v>
          </cell>
          <cell r="S113" t="str">
            <v>-</v>
          </cell>
          <cell r="T113" t="str">
            <v>-</v>
          </cell>
          <cell r="U113" t="str">
            <v>-</v>
          </cell>
          <cell r="V113" t="str">
            <v>-</v>
          </cell>
          <cell r="W113" t="str">
            <v>本月刚到货</v>
          </cell>
          <cell r="X113" t="str">
            <v>本月刚到货</v>
          </cell>
          <cell r="Y113">
            <v>0</v>
          </cell>
          <cell r="Z113">
            <v>0</v>
          </cell>
          <cell r="AA113">
            <v>0</v>
          </cell>
          <cell r="AB113" t="str">
            <v>-</v>
          </cell>
        </row>
        <row r="114">
          <cell r="A114" t="str">
            <v>子杰</v>
          </cell>
          <cell r="B114" t="str">
            <v>Y9015-GN</v>
          </cell>
          <cell r="C114" t="str">
            <v>儿童玩具收纳柜2层 绿色</v>
          </cell>
          <cell r="D114">
            <v>45212</v>
          </cell>
          <cell r="E114" t="str">
            <v>B0CFD319K2</v>
          </cell>
          <cell r="F114">
            <v>30</v>
          </cell>
          <cell r="G114">
            <v>0</v>
          </cell>
          <cell r="H114">
            <v>0</v>
          </cell>
          <cell r="I114">
            <v>0</v>
          </cell>
          <cell r="J114">
            <v>0</v>
          </cell>
          <cell r="K114">
            <v>30</v>
          </cell>
          <cell r="L114">
            <v>82.667</v>
          </cell>
          <cell r="M114">
            <v>2480.01</v>
          </cell>
          <cell r="N114">
            <v>0</v>
          </cell>
          <cell r="O114">
            <v>0</v>
          </cell>
          <cell r="P114">
            <v>0</v>
          </cell>
          <cell r="Q114">
            <v>0</v>
          </cell>
          <cell r="R114">
            <v>0</v>
          </cell>
          <cell r="S114" t="str">
            <v>-</v>
          </cell>
          <cell r="T114" t="str">
            <v>-</v>
          </cell>
          <cell r="U114" t="str">
            <v>-</v>
          </cell>
          <cell r="V114" t="str">
            <v>-</v>
          </cell>
          <cell r="W114" t="str">
            <v>本月刚到货</v>
          </cell>
          <cell r="X114" t="str">
            <v>本月刚到货</v>
          </cell>
          <cell r="Y114">
            <v>0</v>
          </cell>
          <cell r="Z114">
            <v>0</v>
          </cell>
          <cell r="AA114">
            <v>0</v>
          </cell>
          <cell r="AB114" t="str">
            <v>-</v>
          </cell>
        </row>
        <row r="115">
          <cell r="A115" t="str">
            <v>子杰</v>
          </cell>
          <cell r="B115" t="str">
            <v>Y9016-BR</v>
          </cell>
          <cell r="C115" t="str">
            <v>儿童玩具收纳柜3层 棕色</v>
          </cell>
          <cell r="D115">
            <v>45211</v>
          </cell>
          <cell r="E115" t="str">
            <v>B0CFD43WK7</v>
          </cell>
          <cell r="F115">
            <v>30</v>
          </cell>
          <cell r="G115">
            <v>0</v>
          </cell>
          <cell r="H115">
            <v>0</v>
          </cell>
          <cell r="I115">
            <v>0</v>
          </cell>
          <cell r="J115">
            <v>0</v>
          </cell>
          <cell r="K115">
            <v>30</v>
          </cell>
          <cell r="L115">
            <v>111.667</v>
          </cell>
          <cell r="M115">
            <v>3350.01</v>
          </cell>
          <cell r="N115">
            <v>0</v>
          </cell>
          <cell r="O115">
            <v>0</v>
          </cell>
          <cell r="P115">
            <v>0</v>
          </cell>
          <cell r="Q115">
            <v>0</v>
          </cell>
          <cell r="R115">
            <v>0</v>
          </cell>
          <cell r="S115" t="str">
            <v>-</v>
          </cell>
          <cell r="T115" t="str">
            <v>-</v>
          </cell>
          <cell r="U115" t="str">
            <v>-</v>
          </cell>
          <cell r="V115" t="str">
            <v>-</v>
          </cell>
          <cell r="W115" t="str">
            <v>本月刚到货</v>
          </cell>
          <cell r="X115" t="str">
            <v>本月刚到货</v>
          </cell>
          <cell r="Y115">
            <v>0</v>
          </cell>
          <cell r="Z115">
            <v>0</v>
          </cell>
          <cell r="AA115">
            <v>0</v>
          </cell>
          <cell r="AB115" t="str">
            <v>-</v>
          </cell>
        </row>
        <row r="116">
          <cell r="A116" t="str">
            <v>子杰</v>
          </cell>
          <cell r="B116" t="str">
            <v>Y9016-GN</v>
          </cell>
          <cell r="C116" t="str">
            <v>儿童玩具收纳柜3层 绿色</v>
          </cell>
          <cell r="D116">
            <v>45211</v>
          </cell>
          <cell r="E116" t="str">
            <v>B0CFD62MVH</v>
          </cell>
          <cell r="F116">
            <v>30</v>
          </cell>
          <cell r="G116">
            <v>0</v>
          </cell>
          <cell r="H116">
            <v>0</v>
          </cell>
          <cell r="I116">
            <v>0</v>
          </cell>
          <cell r="J116">
            <v>0</v>
          </cell>
          <cell r="K116">
            <v>30</v>
          </cell>
          <cell r="L116">
            <v>111.667</v>
          </cell>
          <cell r="M116">
            <v>3350.01</v>
          </cell>
          <cell r="N116">
            <v>0</v>
          </cell>
          <cell r="O116">
            <v>0</v>
          </cell>
          <cell r="P116">
            <v>0</v>
          </cell>
          <cell r="Q116">
            <v>0</v>
          </cell>
          <cell r="R116">
            <v>0</v>
          </cell>
          <cell r="S116" t="str">
            <v>-</v>
          </cell>
          <cell r="T116" t="str">
            <v>-</v>
          </cell>
          <cell r="U116" t="str">
            <v>-</v>
          </cell>
          <cell r="V116" t="str">
            <v>-</v>
          </cell>
          <cell r="W116" t="str">
            <v>本月刚到货</v>
          </cell>
          <cell r="X116" t="str">
            <v>本月刚到货</v>
          </cell>
          <cell r="Y116">
            <v>0</v>
          </cell>
          <cell r="Z116">
            <v>0</v>
          </cell>
          <cell r="AA116">
            <v>0</v>
          </cell>
          <cell r="AB116" t="str">
            <v>-</v>
          </cell>
        </row>
        <row r="117">
          <cell r="A117" t="str">
            <v>子杰</v>
          </cell>
          <cell r="B117" t="str">
            <v>Y9026-6-BL</v>
          </cell>
          <cell r="C117" t="str">
            <v>办公室宿舍鞋柜多层防尘收纳鞋架子  黑色  6层一列（4矮1高）</v>
          </cell>
          <cell r="D117">
            <v>45206</v>
          </cell>
          <cell r="E117" t="str">
            <v>B0CFQSZ24S</v>
          </cell>
          <cell r="F117">
            <v>22</v>
          </cell>
          <cell r="G117">
            <v>0</v>
          </cell>
          <cell r="H117">
            <v>9</v>
          </cell>
          <cell r="I117">
            <v>0</v>
          </cell>
          <cell r="J117">
            <v>18</v>
          </cell>
          <cell r="K117">
            <v>49</v>
          </cell>
          <cell r="L117">
            <v>37</v>
          </cell>
          <cell r="M117">
            <v>1813</v>
          </cell>
          <cell r="N117">
            <v>0</v>
          </cell>
          <cell r="O117">
            <v>0</v>
          </cell>
          <cell r="P117">
            <v>0</v>
          </cell>
          <cell r="Q117">
            <v>0</v>
          </cell>
          <cell r="R117">
            <v>0</v>
          </cell>
          <cell r="S117" t="str">
            <v>-</v>
          </cell>
          <cell r="T117" t="str">
            <v>-</v>
          </cell>
          <cell r="U117" t="str">
            <v>-</v>
          </cell>
          <cell r="V117" t="str">
            <v>-</v>
          </cell>
          <cell r="W117" t="str">
            <v>本月刚到货</v>
          </cell>
          <cell r="X117" t="str">
            <v>本月刚到货</v>
          </cell>
          <cell r="Y117">
            <v>4.51</v>
          </cell>
          <cell r="Z117">
            <v>4.51</v>
          </cell>
          <cell r="AA117">
            <v>4.51</v>
          </cell>
          <cell r="AB117" t="str">
            <v>-</v>
          </cell>
        </row>
        <row r="118">
          <cell r="A118" t="str">
            <v>子杰</v>
          </cell>
          <cell r="B118" t="str">
            <v>Y9026-6-GA</v>
          </cell>
          <cell r="C118" t="str">
            <v>办公室宿舍鞋柜多层防尘收纳鞋架子灰色  6层一列（4矮1高）</v>
          </cell>
          <cell r="D118">
            <v>45206</v>
          </cell>
          <cell r="E118" t="str">
            <v>B0CFQX1KZM</v>
          </cell>
          <cell r="F118">
            <v>16</v>
          </cell>
          <cell r="G118">
            <v>0</v>
          </cell>
          <cell r="H118">
            <v>10</v>
          </cell>
          <cell r="I118">
            <v>5</v>
          </cell>
          <cell r="J118">
            <v>21</v>
          </cell>
          <cell r="K118">
            <v>52</v>
          </cell>
          <cell r="L118">
            <v>37</v>
          </cell>
          <cell r="M118">
            <v>1924</v>
          </cell>
          <cell r="N118">
            <v>0</v>
          </cell>
          <cell r="O118">
            <v>0</v>
          </cell>
          <cell r="P118">
            <v>0</v>
          </cell>
          <cell r="Q118">
            <v>0</v>
          </cell>
          <cell r="R118">
            <v>0</v>
          </cell>
          <cell r="S118" t="str">
            <v>-</v>
          </cell>
          <cell r="T118" t="str">
            <v>-</v>
          </cell>
          <cell r="U118" t="str">
            <v>-</v>
          </cell>
          <cell r="V118" t="str">
            <v>-</v>
          </cell>
          <cell r="W118" t="str">
            <v>本月刚到货</v>
          </cell>
          <cell r="X118" t="str">
            <v>本月刚到货</v>
          </cell>
          <cell r="Y118">
            <v>12</v>
          </cell>
          <cell r="Z118">
            <v>12</v>
          </cell>
          <cell r="AA118">
            <v>12</v>
          </cell>
          <cell r="AB118" t="str">
            <v>-</v>
          </cell>
        </row>
      </sheetData>
      <sheetData sheetId="17"/>
      <sheetData sheetId="18">
        <row r="1">
          <cell r="B1">
            <v>15</v>
          </cell>
          <cell r="C1" t="str">
            <v>已经把长期无库存且决定后期不再做的sku删除</v>
          </cell>
        </row>
        <row r="1">
          <cell r="K1">
            <v>218</v>
          </cell>
        </row>
        <row r="1">
          <cell r="T1" t="str">
            <v>以30天的销量预测销售天数</v>
          </cell>
        </row>
        <row r="1">
          <cell r="W1" t="str">
            <v>可能存在7天爆单与滞销情况，45天库存报警显示库存过高可忽略，仅看此列</v>
          </cell>
          <cell r="X1" t="str">
            <v>库存报警显示本月刚到货，代表新品刚到海外仓开始销售，需注意新品的库存，库存报警显示为库存过低，代表库存数只够销售半个月或以下，库存报警显示正常代表可用库存可够销售14天-45天，库存报警显示库存过多代表可用库存可够销售超过45天以上</v>
          </cell>
          <cell r="Y1" t="str">
            <v>广告花费、acos情况，具体分析7天、15天、30天的营销方式是否促使销量变动
库存和广告有问题的已用红色标识</v>
          </cell>
        </row>
        <row r="2">
          <cell r="B2" t="str">
            <v>Seller SKU</v>
          </cell>
          <cell r="C2" t="str">
            <v>中文名称</v>
          </cell>
          <cell r="D2" t="str">
            <v>开始出售日期</v>
          </cell>
          <cell r="E2" t="str">
            <v>ASIN</v>
          </cell>
          <cell r="F2" t="str">
            <v>可售</v>
          </cell>
          <cell r="G2" t="str">
            <v>不可售</v>
          </cell>
          <cell r="H2" t="str">
            <v>冻结（调仓）</v>
          </cell>
          <cell r="I2" t="str">
            <v>冻结（待调仓）</v>
          </cell>
          <cell r="J2" t="str">
            <v>入库中</v>
          </cell>
          <cell r="K2" t="str">
            <v>可用库存</v>
          </cell>
          <cell r="L2" t="str">
            <v>平均成本
(CNY)</v>
          </cell>
          <cell r="M2" t="str">
            <v>期末货值</v>
          </cell>
          <cell r="N2" t="str">
            <v>7天销量</v>
          </cell>
          <cell r="O2" t="str">
            <v>15天销量</v>
          </cell>
          <cell r="P2" t="str">
            <v>30天销量</v>
          </cell>
          <cell r="Q2" t="str">
            <v>上周七天销量</v>
          </cell>
          <cell r="R2" t="str">
            <v>两周七天销量差额</v>
          </cell>
          <cell r="S2" t="str">
            <v>可用可售天数(t30)</v>
          </cell>
          <cell r="T2" t="str">
            <v>30天内可卖完指标（&lt;1)</v>
          </cell>
          <cell r="U2" t="str">
            <v>上周库存指标</v>
          </cell>
          <cell r="V2" t="str">
            <v>本周与上周对比</v>
          </cell>
          <cell r="W2" t="str">
            <v>库存报警（近7天）</v>
          </cell>
          <cell r="X2" t="str">
            <v>库存报警（超1.5个月）45天</v>
          </cell>
          <cell r="Y2" t="str">
            <v>7天
广告花费</v>
          </cell>
          <cell r="Z2" t="str">
            <v>15天
广告花费</v>
          </cell>
          <cell r="AA2" t="str">
            <v>30天
广告花费</v>
          </cell>
          <cell r="AB2" t="str">
            <v>7天
ACOS</v>
          </cell>
        </row>
        <row r="3">
          <cell r="B3" t="str">
            <v>合计</v>
          </cell>
        </row>
        <row r="3">
          <cell r="K3">
            <v>218</v>
          </cell>
        </row>
        <row r="3">
          <cell r="M3">
            <v>3030.2</v>
          </cell>
          <cell r="N3">
            <v>5</v>
          </cell>
          <cell r="O3">
            <v>5</v>
          </cell>
          <cell r="P3">
            <v>5</v>
          </cell>
          <cell r="Q3">
            <v>0</v>
          </cell>
          <cell r="R3">
            <v>5</v>
          </cell>
        </row>
        <row r="3">
          <cell r="Y3">
            <v>19.42</v>
          </cell>
          <cell r="Z3">
            <v>24.76</v>
          </cell>
          <cell r="AA3">
            <v>24.76</v>
          </cell>
        </row>
        <row r="4">
          <cell r="B4" t="str">
            <v>Y102000-BL+Y102013+Y102749</v>
          </cell>
          <cell r="C4" t="str">
            <v>中性LG Stylo 5 黑色</v>
          </cell>
          <cell r="D4">
            <v>45180</v>
          </cell>
          <cell r="E4" t="str">
            <v>B0CHMKGDF3</v>
          </cell>
          <cell r="F4">
            <v>11</v>
          </cell>
          <cell r="G4">
            <v>0</v>
          </cell>
          <cell r="H4">
            <v>0</v>
          </cell>
          <cell r="I4">
            <v>0</v>
          </cell>
          <cell r="J4">
            <v>0</v>
          </cell>
          <cell r="K4">
            <v>11</v>
          </cell>
          <cell r="L4">
            <v>13.9</v>
          </cell>
          <cell r="M4">
            <v>152.9</v>
          </cell>
          <cell r="N4">
            <v>0</v>
          </cell>
          <cell r="O4">
            <v>0</v>
          </cell>
          <cell r="P4">
            <v>0</v>
          </cell>
          <cell r="Q4">
            <v>0</v>
          </cell>
          <cell r="R4">
            <v>0</v>
          </cell>
          <cell r="S4" t="str">
            <v>-</v>
          </cell>
          <cell r="T4" t="str">
            <v>-</v>
          </cell>
          <cell r="U4" t="str">
            <v>-</v>
          </cell>
          <cell r="V4" t="str">
            <v>-</v>
          </cell>
          <cell r="W4" t="str">
            <v>有库存无销量</v>
          </cell>
          <cell r="X4" t="str">
            <v>有库存无销量</v>
          </cell>
          <cell r="Y4">
            <v>3.12</v>
          </cell>
          <cell r="Z4">
            <v>3.12</v>
          </cell>
          <cell r="AA4">
            <v>3.12</v>
          </cell>
          <cell r="AB4" t="str">
            <v>-</v>
          </cell>
        </row>
        <row r="5">
          <cell r="B5" t="str">
            <v>Y102000-DB+Y102013+Y102749</v>
          </cell>
          <cell r="C5" t="str">
            <v>中性LG Stylo 5 深蓝+蓝色</v>
          </cell>
          <cell r="D5">
            <v>45180</v>
          </cell>
          <cell r="E5" t="str">
            <v>B0CHMKWP67</v>
          </cell>
          <cell r="F5">
            <v>15</v>
          </cell>
          <cell r="G5">
            <v>0</v>
          </cell>
          <cell r="H5">
            <v>0</v>
          </cell>
          <cell r="I5">
            <v>0</v>
          </cell>
          <cell r="J5">
            <v>0</v>
          </cell>
          <cell r="K5">
            <v>15</v>
          </cell>
          <cell r="L5">
            <v>13.9</v>
          </cell>
          <cell r="M5">
            <v>208.5</v>
          </cell>
          <cell r="N5">
            <v>0</v>
          </cell>
          <cell r="O5">
            <v>0</v>
          </cell>
          <cell r="P5">
            <v>0</v>
          </cell>
          <cell r="Q5">
            <v>0</v>
          </cell>
          <cell r="R5">
            <v>0</v>
          </cell>
          <cell r="S5" t="str">
            <v>-</v>
          </cell>
          <cell r="T5" t="str">
            <v>-</v>
          </cell>
          <cell r="U5" t="str">
            <v>-</v>
          </cell>
          <cell r="V5" t="str">
            <v>-</v>
          </cell>
          <cell r="W5" t="str">
            <v>有库存无销量</v>
          </cell>
          <cell r="X5" t="str">
            <v>有库存无销量</v>
          </cell>
          <cell r="Y5">
            <v>1.33</v>
          </cell>
          <cell r="Z5">
            <v>1.33</v>
          </cell>
          <cell r="AA5">
            <v>1.33</v>
          </cell>
          <cell r="AB5" t="str">
            <v>-</v>
          </cell>
        </row>
        <row r="6">
          <cell r="B6" t="str">
            <v>Y102000-OR+Y102013+Y102749</v>
          </cell>
          <cell r="C6" t="str">
            <v>中性LG Stylo 5 黑橙</v>
          </cell>
          <cell r="D6">
            <v>45180</v>
          </cell>
          <cell r="E6" t="str">
            <v>B0CHMLHWQQ</v>
          </cell>
          <cell r="F6">
            <v>15</v>
          </cell>
          <cell r="G6">
            <v>0</v>
          </cell>
          <cell r="H6">
            <v>0</v>
          </cell>
          <cell r="I6">
            <v>0</v>
          </cell>
          <cell r="J6">
            <v>0</v>
          </cell>
          <cell r="K6">
            <v>15</v>
          </cell>
          <cell r="L6">
            <v>13.9</v>
          </cell>
          <cell r="M6">
            <v>208.5</v>
          </cell>
          <cell r="N6">
            <v>0</v>
          </cell>
          <cell r="O6">
            <v>0</v>
          </cell>
          <cell r="P6">
            <v>0</v>
          </cell>
          <cell r="Q6">
            <v>0</v>
          </cell>
          <cell r="R6">
            <v>0</v>
          </cell>
          <cell r="S6" t="str">
            <v>-</v>
          </cell>
          <cell r="T6" t="str">
            <v>-</v>
          </cell>
          <cell r="U6" t="str">
            <v>-</v>
          </cell>
          <cell r="V6" t="str">
            <v>-</v>
          </cell>
          <cell r="W6" t="str">
            <v>有库存无销量</v>
          </cell>
          <cell r="X6" t="str">
            <v>有库存无销量</v>
          </cell>
          <cell r="Y6">
            <v>0.48</v>
          </cell>
          <cell r="Z6">
            <v>0.91</v>
          </cell>
          <cell r="AA6">
            <v>0.91</v>
          </cell>
          <cell r="AB6" t="str">
            <v>-</v>
          </cell>
        </row>
        <row r="7">
          <cell r="B7" t="str">
            <v>Y103040-BL+Y103045+Y103043</v>
          </cell>
          <cell r="C7" t="str">
            <v>中性三星 A02S 黑色</v>
          </cell>
          <cell r="D7">
            <v>45180</v>
          </cell>
          <cell r="E7" t="str">
            <v>B0CHMLMTL1</v>
          </cell>
          <cell r="F7">
            <v>14</v>
          </cell>
          <cell r="G7">
            <v>0</v>
          </cell>
          <cell r="H7">
            <v>0</v>
          </cell>
          <cell r="I7">
            <v>0</v>
          </cell>
          <cell r="J7">
            <v>0</v>
          </cell>
          <cell r="K7">
            <v>14</v>
          </cell>
          <cell r="L7">
            <v>13.9</v>
          </cell>
          <cell r="M7">
            <v>194.6</v>
          </cell>
          <cell r="N7">
            <v>1</v>
          </cell>
          <cell r="O7">
            <v>1</v>
          </cell>
          <cell r="P7">
            <v>1</v>
          </cell>
          <cell r="Q7">
            <v>0</v>
          </cell>
          <cell r="R7">
            <v>1</v>
          </cell>
          <cell r="S7">
            <v>172.941176470588</v>
          </cell>
          <cell r="T7">
            <v>5.76470588235294</v>
          </cell>
          <cell r="U7" t="str">
            <v>-</v>
          </cell>
          <cell r="V7" t="str">
            <v>-</v>
          </cell>
          <cell r="W7" t="str">
            <v>库存过高</v>
          </cell>
          <cell r="X7" t="str">
            <v>库存过高</v>
          </cell>
          <cell r="Y7">
            <v>0.98</v>
          </cell>
          <cell r="Z7">
            <v>1.44</v>
          </cell>
          <cell r="AA7">
            <v>1.44</v>
          </cell>
          <cell r="AB7">
            <v>0.0754426481909161</v>
          </cell>
        </row>
        <row r="8">
          <cell r="B8" t="str">
            <v>Y103040-DB+Y103045+Y103043</v>
          </cell>
          <cell r="C8" t="str">
            <v>中性三星 A02S 深蓝+蓝色</v>
          </cell>
          <cell r="D8">
            <v>45180</v>
          </cell>
          <cell r="E8" t="str">
            <v>B0CHMLRBC5</v>
          </cell>
          <cell r="F8">
            <v>15</v>
          </cell>
          <cell r="G8">
            <v>0</v>
          </cell>
          <cell r="H8">
            <v>0</v>
          </cell>
          <cell r="I8">
            <v>0</v>
          </cell>
          <cell r="J8">
            <v>0</v>
          </cell>
          <cell r="K8">
            <v>15</v>
          </cell>
          <cell r="L8">
            <v>13.9</v>
          </cell>
          <cell r="M8">
            <v>208.5</v>
          </cell>
          <cell r="N8">
            <v>0</v>
          </cell>
          <cell r="O8">
            <v>0</v>
          </cell>
          <cell r="P8">
            <v>0</v>
          </cell>
          <cell r="Q8">
            <v>0</v>
          </cell>
          <cell r="R8">
            <v>0</v>
          </cell>
          <cell r="S8" t="str">
            <v>-</v>
          </cell>
          <cell r="T8" t="str">
            <v>-</v>
          </cell>
          <cell r="U8" t="str">
            <v>-</v>
          </cell>
          <cell r="V8" t="str">
            <v>-</v>
          </cell>
          <cell r="W8" t="str">
            <v>有库存无销量</v>
          </cell>
          <cell r="X8" t="str">
            <v>有库存无销量</v>
          </cell>
          <cell r="Y8">
            <v>0.98</v>
          </cell>
          <cell r="Z8">
            <v>0.98</v>
          </cell>
          <cell r="AA8">
            <v>0.98</v>
          </cell>
          <cell r="AB8" t="str">
            <v>-</v>
          </cell>
        </row>
        <row r="9">
          <cell r="B9" t="str">
            <v>Y103040-OR+Y103045+Y103043</v>
          </cell>
          <cell r="C9" t="str">
            <v>中性三星 A02S 黑橙</v>
          </cell>
          <cell r="D9">
            <v>45180</v>
          </cell>
          <cell r="E9" t="str">
            <v>B0CHMKL2HT</v>
          </cell>
          <cell r="F9">
            <v>15</v>
          </cell>
          <cell r="G9">
            <v>0</v>
          </cell>
          <cell r="H9">
            <v>0</v>
          </cell>
          <cell r="I9">
            <v>0</v>
          </cell>
          <cell r="J9">
            <v>0</v>
          </cell>
          <cell r="K9">
            <v>15</v>
          </cell>
          <cell r="L9">
            <v>13.9</v>
          </cell>
          <cell r="M9">
            <v>208.5</v>
          </cell>
          <cell r="N9">
            <v>0</v>
          </cell>
          <cell r="O9">
            <v>0</v>
          </cell>
          <cell r="P9">
            <v>0</v>
          </cell>
          <cell r="Q9">
            <v>0</v>
          </cell>
          <cell r="R9">
            <v>0</v>
          </cell>
          <cell r="S9" t="str">
            <v>-</v>
          </cell>
          <cell r="T9" t="str">
            <v>-</v>
          </cell>
          <cell r="U9" t="str">
            <v>-</v>
          </cell>
          <cell r="V9" t="str">
            <v>-</v>
          </cell>
          <cell r="W9" t="str">
            <v>有库存无销量</v>
          </cell>
          <cell r="X9" t="str">
            <v>有库存无销量</v>
          </cell>
          <cell r="Y9">
            <v>1.13</v>
          </cell>
          <cell r="Z9">
            <v>1.62</v>
          </cell>
          <cell r="AA9">
            <v>1.62</v>
          </cell>
          <cell r="AB9" t="str">
            <v>-</v>
          </cell>
        </row>
        <row r="10">
          <cell r="B10" t="str">
            <v>Y103106-BL+Y103109+Y103112</v>
          </cell>
          <cell r="C10" t="str">
            <v>中性三星 A12 5G 黑色</v>
          </cell>
          <cell r="D10">
            <v>45180</v>
          </cell>
          <cell r="E10" t="str">
            <v>B0CHMMBRZ4</v>
          </cell>
          <cell r="F10">
            <v>15</v>
          </cell>
          <cell r="G10">
            <v>0</v>
          </cell>
          <cell r="H10">
            <v>0</v>
          </cell>
          <cell r="I10">
            <v>0</v>
          </cell>
          <cell r="J10">
            <v>0</v>
          </cell>
          <cell r="K10">
            <v>15</v>
          </cell>
          <cell r="L10">
            <v>13.9</v>
          </cell>
          <cell r="M10">
            <v>208.5</v>
          </cell>
          <cell r="N10">
            <v>0</v>
          </cell>
          <cell r="O10">
            <v>0</v>
          </cell>
          <cell r="P10">
            <v>0</v>
          </cell>
          <cell r="Q10">
            <v>0</v>
          </cell>
          <cell r="R10">
            <v>0</v>
          </cell>
          <cell r="S10" t="str">
            <v>-</v>
          </cell>
          <cell r="T10" t="str">
            <v>-</v>
          </cell>
          <cell r="U10" t="str">
            <v>-</v>
          </cell>
          <cell r="V10" t="str">
            <v>-</v>
          </cell>
          <cell r="W10" t="str">
            <v>有库存无销量</v>
          </cell>
          <cell r="X10" t="str">
            <v>有库存无销量</v>
          </cell>
          <cell r="Y10">
            <v>1.37</v>
          </cell>
          <cell r="Z10">
            <v>2.49</v>
          </cell>
          <cell r="AA10">
            <v>2.49</v>
          </cell>
          <cell r="AB10" t="str">
            <v>-</v>
          </cell>
        </row>
        <row r="11">
          <cell r="B11" t="str">
            <v>Y103106-DB+Y103109+Y103112</v>
          </cell>
          <cell r="C11" t="str">
            <v>中性三星 A12 5G 深蓝+蓝色</v>
          </cell>
          <cell r="D11">
            <v>45180</v>
          </cell>
          <cell r="E11" t="str">
            <v>B0CHMM6HZV</v>
          </cell>
          <cell r="F11">
            <v>14</v>
          </cell>
          <cell r="G11">
            <v>0</v>
          </cell>
          <cell r="H11">
            <v>0</v>
          </cell>
          <cell r="I11">
            <v>0</v>
          </cell>
          <cell r="J11">
            <v>0</v>
          </cell>
          <cell r="K11">
            <v>14</v>
          </cell>
          <cell r="L11">
            <v>13.9</v>
          </cell>
          <cell r="M11">
            <v>194.6</v>
          </cell>
          <cell r="N11">
            <v>1</v>
          </cell>
          <cell r="O11">
            <v>1</v>
          </cell>
          <cell r="P11">
            <v>1</v>
          </cell>
          <cell r="Q11">
            <v>0</v>
          </cell>
          <cell r="R11">
            <v>1</v>
          </cell>
          <cell r="S11">
            <v>172.941176470588</v>
          </cell>
          <cell r="T11">
            <v>5.76470588235294</v>
          </cell>
          <cell r="U11" t="str">
            <v>-</v>
          </cell>
          <cell r="V11" t="str">
            <v>-</v>
          </cell>
          <cell r="W11" t="str">
            <v>库存过高</v>
          </cell>
          <cell r="X11" t="str">
            <v>库存过高</v>
          </cell>
          <cell r="Y11">
            <v>0.45</v>
          </cell>
          <cell r="Z11">
            <v>1.36</v>
          </cell>
          <cell r="AA11">
            <v>1.36</v>
          </cell>
          <cell r="AB11">
            <v>0.0346420323325635</v>
          </cell>
        </row>
        <row r="12">
          <cell r="B12" t="str">
            <v>Y103106-OR+Y103109+Y103112</v>
          </cell>
          <cell r="C12" t="str">
            <v>中性三星 A12 5G 黑橙</v>
          </cell>
          <cell r="D12">
            <v>45180</v>
          </cell>
          <cell r="E12" t="str">
            <v>B0CHMM7L2T</v>
          </cell>
          <cell r="F12">
            <v>15</v>
          </cell>
          <cell r="G12">
            <v>0</v>
          </cell>
          <cell r="H12">
            <v>0</v>
          </cell>
          <cell r="I12">
            <v>0</v>
          </cell>
          <cell r="J12">
            <v>0</v>
          </cell>
          <cell r="K12">
            <v>15</v>
          </cell>
          <cell r="L12">
            <v>13.9</v>
          </cell>
          <cell r="M12">
            <v>208.5</v>
          </cell>
          <cell r="N12">
            <v>0</v>
          </cell>
          <cell r="O12">
            <v>0</v>
          </cell>
          <cell r="P12">
            <v>0</v>
          </cell>
          <cell r="Q12">
            <v>0</v>
          </cell>
          <cell r="R12">
            <v>0</v>
          </cell>
          <cell r="S12" t="str">
            <v>-</v>
          </cell>
          <cell r="T12" t="str">
            <v>-</v>
          </cell>
          <cell r="U12" t="str">
            <v>-</v>
          </cell>
          <cell r="V12" t="str">
            <v>-</v>
          </cell>
          <cell r="W12" t="str">
            <v>有库存无销量</v>
          </cell>
          <cell r="X12" t="str">
            <v>有库存无销量</v>
          </cell>
          <cell r="Y12">
            <v>1.65</v>
          </cell>
          <cell r="Z12">
            <v>2.1</v>
          </cell>
          <cell r="AA12">
            <v>2.1</v>
          </cell>
          <cell r="AB12" t="str">
            <v>-</v>
          </cell>
        </row>
        <row r="13">
          <cell r="B13" t="str">
            <v>Y103134-BL+Y103137+Y103268</v>
          </cell>
          <cell r="C13" t="str">
            <v>中性Moto G Power 2021 黑色</v>
          </cell>
          <cell r="D13">
            <v>45180</v>
          </cell>
          <cell r="E13" t="str">
            <v>B0CHMMKNF1</v>
          </cell>
          <cell r="F13">
            <v>15</v>
          </cell>
          <cell r="G13">
            <v>0</v>
          </cell>
          <cell r="H13">
            <v>0</v>
          </cell>
          <cell r="I13">
            <v>0</v>
          </cell>
          <cell r="J13">
            <v>0</v>
          </cell>
          <cell r="K13">
            <v>15</v>
          </cell>
          <cell r="L13">
            <v>13.9</v>
          </cell>
          <cell r="M13">
            <v>208.5</v>
          </cell>
          <cell r="N13">
            <v>0</v>
          </cell>
          <cell r="O13">
            <v>0</v>
          </cell>
          <cell r="P13">
            <v>0</v>
          </cell>
          <cell r="Q13">
            <v>0</v>
          </cell>
          <cell r="R13">
            <v>0</v>
          </cell>
          <cell r="S13" t="str">
            <v>-</v>
          </cell>
          <cell r="T13" t="str">
            <v>-</v>
          </cell>
          <cell r="U13" t="str">
            <v>-</v>
          </cell>
          <cell r="V13" t="str">
            <v>-</v>
          </cell>
          <cell r="W13" t="str">
            <v>有库存无销量</v>
          </cell>
          <cell r="X13" t="str">
            <v>有库存无销量</v>
          </cell>
          <cell r="Y13">
            <v>0</v>
          </cell>
          <cell r="Z13">
            <v>0</v>
          </cell>
          <cell r="AA13">
            <v>0</v>
          </cell>
          <cell r="AB13" t="str">
            <v>-</v>
          </cell>
        </row>
        <row r="14">
          <cell r="B14" t="str">
            <v>Y103134-DB+Y103137+Y103268</v>
          </cell>
          <cell r="C14" t="str">
            <v>中性Moto G Power 2021 深蓝+蓝色</v>
          </cell>
          <cell r="D14">
            <v>45180</v>
          </cell>
          <cell r="E14" t="str">
            <v>B0CHMMQZ2X</v>
          </cell>
          <cell r="F14">
            <v>15</v>
          </cell>
          <cell r="G14">
            <v>0</v>
          </cell>
          <cell r="H14">
            <v>0</v>
          </cell>
          <cell r="I14">
            <v>0</v>
          </cell>
          <cell r="J14">
            <v>0</v>
          </cell>
          <cell r="K14">
            <v>15</v>
          </cell>
          <cell r="L14">
            <v>13.9</v>
          </cell>
          <cell r="M14">
            <v>208.5</v>
          </cell>
          <cell r="N14">
            <v>0</v>
          </cell>
          <cell r="O14">
            <v>0</v>
          </cell>
          <cell r="P14">
            <v>0</v>
          </cell>
          <cell r="Q14">
            <v>0</v>
          </cell>
          <cell r="R14">
            <v>0</v>
          </cell>
          <cell r="S14" t="str">
            <v>-</v>
          </cell>
          <cell r="T14" t="str">
            <v>-</v>
          </cell>
          <cell r="U14" t="str">
            <v>-</v>
          </cell>
          <cell r="V14" t="str">
            <v>-</v>
          </cell>
          <cell r="W14" t="str">
            <v>有库存无销量</v>
          </cell>
          <cell r="X14" t="str">
            <v>有库存无销量</v>
          </cell>
          <cell r="Y14">
            <v>0.46</v>
          </cell>
          <cell r="Z14">
            <v>0.46</v>
          </cell>
          <cell r="AA14">
            <v>0.46</v>
          </cell>
          <cell r="AB14" t="str">
            <v>-</v>
          </cell>
        </row>
        <row r="15">
          <cell r="B15" t="str">
            <v>Y103134-OR+Y103137+Y103268</v>
          </cell>
          <cell r="C15" t="str">
            <v>中性Moto G Power 2021 黑橙</v>
          </cell>
          <cell r="D15">
            <v>45180</v>
          </cell>
          <cell r="E15" t="str">
            <v>B0CHMNYGFS</v>
          </cell>
          <cell r="F15">
            <v>15</v>
          </cell>
          <cell r="G15">
            <v>0</v>
          </cell>
          <cell r="H15">
            <v>0</v>
          </cell>
          <cell r="I15">
            <v>0</v>
          </cell>
          <cell r="J15">
            <v>0</v>
          </cell>
          <cell r="K15">
            <v>15</v>
          </cell>
          <cell r="L15">
            <v>13.9</v>
          </cell>
          <cell r="M15">
            <v>208.5</v>
          </cell>
          <cell r="N15">
            <v>0</v>
          </cell>
          <cell r="O15">
            <v>0</v>
          </cell>
          <cell r="P15">
            <v>0</v>
          </cell>
          <cell r="Q15">
            <v>0</v>
          </cell>
          <cell r="R15">
            <v>0</v>
          </cell>
          <cell r="S15" t="str">
            <v>-</v>
          </cell>
          <cell r="T15" t="str">
            <v>-</v>
          </cell>
          <cell r="U15" t="str">
            <v>-</v>
          </cell>
          <cell r="V15" t="str">
            <v>-</v>
          </cell>
          <cell r="W15" t="str">
            <v>有库存无销量</v>
          </cell>
          <cell r="X15" t="str">
            <v>有库存无销量</v>
          </cell>
          <cell r="Y15">
            <v>0</v>
          </cell>
          <cell r="Z15">
            <v>0.09</v>
          </cell>
          <cell r="AA15">
            <v>0.09</v>
          </cell>
          <cell r="AB15" t="str">
            <v>-</v>
          </cell>
        </row>
        <row r="16">
          <cell r="B16" t="str">
            <v>Y103230-BL+Y1003231+Y1003240</v>
          </cell>
          <cell r="C16" t="str">
            <v>中性三星 A32 5G 黑色</v>
          </cell>
          <cell r="D16">
            <v>45180</v>
          </cell>
          <cell r="E16" t="str">
            <v>B0CHMNYSK4</v>
          </cell>
          <cell r="F16">
            <v>15</v>
          </cell>
          <cell r="G16">
            <v>0</v>
          </cell>
          <cell r="H16">
            <v>0</v>
          </cell>
          <cell r="I16">
            <v>0</v>
          </cell>
          <cell r="J16">
            <v>0</v>
          </cell>
          <cell r="K16">
            <v>15</v>
          </cell>
          <cell r="L16">
            <v>13.9</v>
          </cell>
          <cell r="M16">
            <v>208.5</v>
          </cell>
          <cell r="N16">
            <v>1</v>
          </cell>
          <cell r="O16">
            <v>1</v>
          </cell>
          <cell r="P16">
            <v>1</v>
          </cell>
          <cell r="Q16">
            <v>0</v>
          </cell>
          <cell r="R16">
            <v>1</v>
          </cell>
          <cell r="S16">
            <v>185.294117647059</v>
          </cell>
          <cell r="T16">
            <v>6.17647058823529</v>
          </cell>
          <cell r="U16" t="str">
            <v>-</v>
          </cell>
          <cell r="V16" t="str">
            <v>-</v>
          </cell>
          <cell r="W16" t="str">
            <v>库存过高</v>
          </cell>
          <cell r="X16" t="str">
            <v>库存过高</v>
          </cell>
          <cell r="Y16">
            <v>1.88</v>
          </cell>
          <cell r="Z16">
            <v>2.82</v>
          </cell>
          <cell r="AA16">
            <v>2.82</v>
          </cell>
          <cell r="AB16">
            <v>0.144726712856043</v>
          </cell>
        </row>
        <row r="17">
          <cell r="B17" t="str">
            <v>Y103230-DB+Y1003231+Y1003240</v>
          </cell>
          <cell r="C17" t="str">
            <v>中性三星 A32 5G 深蓝+蓝色</v>
          </cell>
          <cell r="D17">
            <v>45180</v>
          </cell>
          <cell r="E17" t="str">
            <v>B0CHMMDTDL</v>
          </cell>
          <cell r="F17">
            <v>13</v>
          </cell>
          <cell r="G17">
            <v>0</v>
          </cell>
          <cell r="H17">
            <v>0</v>
          </cell>
          <cell r="I17">
            <v>1</v>
          </cell>
          <cell r="J17">
            <v>0</v>
          </cell>
          <cell r="K17">
            <v>14</v>
          </cell>
          <cell r="L17">
            <v>13.9</v>
          </cell>
          <cell r="M17">
            <v>194.6</v>
          </cell>
          <cell r="N17">
            <v>2</v>
          </cell>
          <cell r="O17">
            <v>2</v>
          </cell>
          <cell r="P17">
            <v>2</v>
          </cell>
          <cell r="Q17">
            <v>0</v>
          </cell>
          <cell r="R17">
            <v>2</v>
          </cell>
          <cell r="S17">
            <v>86.4705882352941</v>
          </cell>
          <cell r="T17">
            <v>2.88235294117647</v>
          </cell>
          <cell r="U17" t="str">
            <v>-</v>
          </cell>
          <cell r="V17" t="str">
            <v>-</v>
          </cell>
          <cell r="W17" t="str">
            <v>库存过高</v>
          </cell>
          <cell r="X17" t="str">
            <v>库存过高</v>
          </cell>
          <cell r="Y17">
            <v>3.29</v>
          </cell>
          <cell r="Z17">
            <v>3.29</v>
          </cell>
          <cell r="AA17">
            <v>3.29</v>
          </cell>
          <cell r="AB17" t="str">
            <v>-</v>
          </cell>
        </row>
        <row r="18">
          <cell r="B18" t="str">
            <v>Y103230-OR+Y1003231+Y1003240</v>
          </cell>
          <cell r="C18" t="str">
            <v>中性三星 A32 5G 黑橙</v>
          </cell>
          <cell r="D18">
            <v>45180</v>
          </cell>
          <cell r="E18" t="str">
            <v>B0CHMPSJXK</v>
          </cell>
          <cell r="F18">
            <v>15</v>
          </cell>
          <cell r="G18">
            <v>0</v>
          </cell>
          <cell r="H18">
            <v>0</v>
          </cell>
          <cell r="I18">
            <v>0</v>
          </cell>
          <cell r="J18">
            <v>0</v>
          </cell>
          <cell r="K18">
            <v>15</v>
          </cell>
          <cell r="L18">
            <v>13.9</v>
          </cell>
          <cell r="M18">
            <v>208.5</v>
          </cell>
          <cell r="N18">
            <v>0</v>
          </cell>
          <cell r="O18">
            <v>0</v>
          </cell>
          <cell r="P18">
            <v>0</v>
          </cell>
          <cell r="Q18">
            <v>0</v>
          </cell>
          <cell r="R18">
            <v>0</v>
          </cell>
          <cell r="S18" t="str">
            <v>-</v>
          </cell>
          <cell r="T18" t="str">
            <v>-</v>
          </cell>
          <cell r="U18" t="str">
            <v>-</v>
          </cell>
          <cell r="V18" t="str">
            <v>-</v>
          </cell>
          <cell r="W18" t="str">
            <v>有库存无销量</v>
          </cell>
          <cell r="X18" t="str">
            <v>有库存无销量</v>
          </cell>
          <cell r="Y18">
            <v>2.3</v>
          </cell>
          <cell r="Z18">
            <v>2.75</v>
          </cell>
          <cell r="AA18">
            <v>2.75</v>
          </cell>
          <cell r="AB18">
            <v>0.177059276366436</v>
          </cell>
        </row>
      </sheetData>
      <sheetData sheetId="19"/>
      <sheetData sheetId="20"/>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24215;&#38144;&#21806;&#24773;&#20917;-1020.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24215;&#38144;&#21806;&#24773;&#20917;-1020.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24215;&#38144;&#21806;&#24773;&#20917;-1020.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24215;&#38144;&#21806;&#24773;&#20917;-1020.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24215;&#38144;&#21806;&#24773;&#20917;-1020.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24215;&#38144;&#21806;&#24773;&#20917;-1020.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24215;&#38144;&#21806;&#24773;&#20917;-1020.xlsx"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24215;&#38144;&#21806;&#24773;&#20917;-1020.xlsx" TargetMode="External"/><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24215;&#38144;&#21806;&#24773;&#20917;-1020.xlsx" TargetMode="External"/><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2&#24215;&#38144;&#21806;&#24773;&#20917;-1020.xlsx" TargetMode="External"/><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2&#24215;&#38144;&#21806;&#24773;&#20917;-1020.xlsx" TargetMode="External"/><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2&#24215;&#38144;&#21806;&#24773;&#20917;-1020.xlsx" TargetMode="External"/><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2&#24215;&#38144;&#21806;&#24773;&#20917;-1020.xlsx" TargetMode="External"/><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2&#24215;&#38144;&#21806;&#24773;&#20917;-1020.xlsx" TargetMode="External"/><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2&#24215;&#38144;&#21806;&#24773;&#20917;-1020.xlsx" TargetMode="External"/><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3&#24215;&#38144;&#21806;&#24773;&#20917;-1020.xlsx" TargetMode="External"/><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3&#24215;&#38144;&#21806;&#24773;&#20917;-1020.xlsx" TargetMode="External"/><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3&#24215;&#38144;&#21806;&#24773;&#20917;-1020.xlsx" TargetMode="External"/><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3&#24215;&#38144;&#21806;&#24773;&#20917;-1020.xlsx" TargetMode="External"/><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3&#24215;&#38144;&#21806;&#24773;&#20917;-1020.xlsx" TargetMode="External"/><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3&#24215;&#38144;&#21806;&#24773;&#20917;-1020.xlsx" TargetMode="External"/><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4&#24215;&#38144;&#21806;&#24773;&#20917;-1020.xlsx" TargetMode="External"/><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4&#24215;&#38144;&#21806;&#24773;&#20917;-1020.xlsx" TargetMode="External"/><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4&#24215;&#38144;&#21806;&#24773;&#20917;-1020.xlsx" TargetMode="External"/><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4&#24215;&#38144;&#21806;&#24773;&#20917;-1020.xlsx" TargetMode="External"/><Relationship Id="rId1" Type="http://schemas.openxmlformats.org/officeDocument/2006/relationships/pivotCacheRecords" Target="pivotCacheRecords25.xml"/></Relationships>
</file>

<file path=xl/pivotCache/_rels/pivotCacheDefinition26.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4&#24215;&#38144;&#21806;&#24773;&#20917;-1020.xlsx" TargetMode="External"/><Relationship Id="rId1" Type="http://schemas.openxmlformats.org/officeDocument/2006/relationships/pivotCacheRecords" Target="pivotCacheRecords26.xml"/></Relationships>
</file>

<file path=xl/pivotCache/_rels/pivotCacheDefinition27.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4&#24215;&#38144;&#21806;&#24773;&#20917;-1020.xlsx" TargetMode="External"/><Relationship Id="rId1" Type="http://schemas.openxmlformats.org/officeDocument/2006/relationships/pivotCacheRecords" Target="pivotCacheRecords27.xml"/></Relationships>
</file>

<file path=xl/pivotCache/_rels/pivotCacheDefinition28.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5&#24215;&#38144;&#21806;&#24773;&#20917;-1020.xlsx" TargetMode="External"/><Relationship Id="rId1" Type="http://schemas.openxmlformats.org/officeDocument/2006/relationships/pivotCacheRecords" Target="pivotCacheRecords28.xml"/></Relationships>
</file>

<file path=xl/pivotCache/_rels/pivotCacheDefinition29.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5&#24215;&#38144;&#21806;&#24773;&#20917;-1020.xlsx" TargetMode="External"/><Relationship Id="rId1" Type="http://schemas.openxmlformats.org/officeDocument/2006/relationships/pivotCacheRecords" Target="pivotCacheRecords29.xml"/></Relationships>
</file>

<file path=xl/pivotCache/_rels/pivotCacheDefinition30.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5&#24215;&#38144;&#21806;&#24773;&#20917;-1020.xlsx" TargetMode="External"/><Relationship Id="rId1" Type="http://schemas.openxmlformats.org/officeDocument/2006/relationships/pivotCacheRecords" Target="pivotCacheRecords30.xml"/></Relationships>
</file>

<file path=xl/pivotCache/_rels/pivotCacheDefinition31.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5&#24215;&#38144;&#21806;&#24773;&#20917;-1020.xlsx" TargetMode="External"/><Relationship Id="rId1" Type="http://schemas.openxmlformats.org/officeDocument/2006/relationships/pivotCacheRecords" Target="pivotCacheRecords31.xml"/></Relationships>
</file>

<file path=xl/pivotCache/_rels/pivotCacheDefinition32.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5&#24215;&#38144;&#21806;&#24773;&#20917;-1020.xlsx" TargetMode="External"/><Relationship Id="rId1" Type="http://schemas.openxmlformats.org/officeDocument/2006/relationships/pivotCacheRecords" Target="pivotCacheRecords32.xml"/></Relationships>
</file>

<file path=xl/pivotCache/_rels/pivotCacheDefinition33.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5&#24215;&#38144;&#21806;&#24773;&#20917;-1020.xlsx" TargetMode="External"/><Relationship Id="rId1" Type="http://schemas.openxmlformats.org/officeDocument/2006/relationships/pivotCacheRecords" Target="pivotCacheRecords33.xml"/></Relationships>
</file>

<file path=xl/pivotCache/_rels/pivotCacheDefinition34.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6&#24215;&#38144;&#21806;&#24773;&#20917;-1020.xlsx" TargetMode="External"/><Relationship Id="rId1" Type="http://schemas.openxmlformats.org/officeDocument/2006/relationships/pivotCacheRecords" Target="pivotCacheRecords34.xml"/></Relationships>
</file>

<file path=xl/pivotCache/_rels/pivotCacheDefinition35.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6&#24215;&#38144;&#21806;&#24773;&#20917;-1020.xlsx" TargetMode="External"/><Relationship Id="rId1" Type="http://schemas.openxmlformats.org/officeDocument/2006/relationships/pivotCacheRecords" Target="pivotCacheRecords35.xml"/></Relationships>
</file>

<file path=xl/pivotCache/_rels/pivotCacheDefinition36.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6&#24215;&#38144;&#21806;&#24773;&#20917;-1020.xlsx" TargetMode="External"/><Relationship Id="rId1" Type="http://schemas.openxmlformats.org/officeDocument/2006/relationships/pivotCacheRecords" Target="pivotCacheRecords36.xml"/></Relationships>
</file>

<file path=xl/pivotCache/_rels/pivotCacheDefinition37.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6&#24215;&#38144;&#21806;&#24773;&#20917;-1020.xlsx" TargetMode="External"/><Relationship Id="rId1" Type="http://schemas.openxmlformats.org/officeDocument/2006/relationships/pivotCacheRecords" Target="pivotCacheRecords37.xml"/></Relationships>
</file>

<file path=xl/pivotCache/_rels/pivotCacheDefinition38.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6&#24215;&#38144;&#21806;&#24773;&#20917;-1020.xlsx" TargetMode="External"/><Relationship Id="rId1" Type="http://schemas.openxmlformats.org/officeDocument/2006/relationships/pivotCacheRecords" Target="pivotCacheRecords38.xml"/></Relationships>
</file>

<file path=xl/pivotCache/_rels/pivotCacheDefinition39.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6&#24215;&#38144;&#21806;&#24773;&#20917;-1020.xlsx" TargetMode="External"/><Relationship Id="rId1" Type="http://schemas.openxmlformats.org/officeDocument/2006/relationships/pivotCacheRecords" Target="pivotCacheRecords39.xml"/></Relationships>
</file>

<file path=xl/pivotCache/_rels/pivotCacheDefinition40.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7&#24215;&#38144;&#21806;&#24773;&#20917;-1020.xlsx" TargetMode="External"/><Relationship Id="rId1" Type="http://schemas.openxmlformats.org/officeDocument/2006/relationships/pivotCacheRecords" Target="pivotCacheRecords40.xml"/></Relationships>
</file>

<file path=xl/pivotCache/_rels/pivotCacheDefinition41.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7&#24215;&#38144;&#21806;&#24773;&#20917;-1020.xlsx" TargetMode="External"/><Relationship Id="rId1" Type="http://schemas.openxmlformats.org/officeDocument/2006/relationships/pivotCacheRecords" Target="pivotCacheRecords41.xml"/></Relationships>
</file>

<file path=xl/pivotCache/_rels/pivotCacheDefinition42.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7&#24215;&#38144;&#21806;&#24773;&#20917;-1020.xlsx" TargetMode="External"/><Relationship Id="rId1" Type="http://schemas.openxmlformats.org/officeDocument/2006/relationships/pivotCacheRecords" Target="pivotCacheRecords42.xml"/></Relationships>
</file>

<file path=xl/pivotCache/_rels/pivotCacheDefinition43.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7&#24215;&#38144;&#21806;&#24773;&#20917;-1020.xlsx" TargetMode="External"/><Relationship Id="rId1" Type="http://schemas.openxmlformats.org/officeDocument/2006/relationships/pivotCacheRecords" Target="pivotCacheRecords43.xml"/></Relationships>
</file>

<file path=xl/pivotCache/_rels/pivotCacheDefinition44.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7&#24215;&#38144;&#21806;&#24773;&#20917;-1020.xlsx" TargetMode="External"/><Relationship Id="rId1" Type="http://schemas.openxmlformats.org/officeDocument/2006/relationships/pivotCacheRecords" Target="pivotCacheRecords44.xml"/></Relationships>
</file>

<file path=xl/pivotCache/_rels/pivotCacheDefinition45.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7&#24215;&#38144;&#21806;&#24773;&#20917;-1020.xlsx" TargetMode="External"/><Relationship Id="rId1" Type="http://schemas.openxmlformats.org/officeDocument/2006/relationships/pivotCacheRecords" Target="pivotCacheRecords45.xml"/></Relationships>
</file>

<file path=xl/pivotCache/_rels/pivotCacheDefinition46.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8&#24215;&#38144;&#21806;&#24773;&#20917;-1020.xlsx" TargetMode="External"/><Relationship Id="rId1" Type="http://schemas.openxmlformats.org/officeDocument/2006/relationships/pivotCacheRecords" Target="pivotCacheRecords46.xml"/></Relationships>
</file>

<file path=xl/pivotCache/_rels/pivotCacheDefinition47.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8&#24215;&#38144;&#21806;&#24773;&#20917;-1020.xlsx" TargetMode="External"/><Relationship Id="rId1" Type="http://schemas.openxmlformats.org/officeDocument/2006/relationships/pivotCacheRecords" Target="pivotCacheRecords47.xml"/></Relationships>
</file>

<file path=xl/pivotCache/_rels/pivotCacheDefinition48.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8&#24215;&#38144;&#21806;&#24773;&#20917;-1020.xlsx" TargetMode="External"/><Relationship Id="rId1" Type="http://schemas.openxmlformats.org/officeDocument/2006/relationships/pivotCacheRecords" Target="pivotCacheRecords48.xml"/></Relationships>
</file>

<file path=xl/pivotCache/_rels/pivotCacheDefinition49.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8&#24215;&#38144;&#21806;&#24773;&#20917;-1020.xlsx" TargetMode="External"/><Relationship Id="rId1" Type="http://schemas.openxmlformats.org/officeDocument/2006/relationships/pivotCacheRecords" Target="pivotCacheRecords49.xml"/></Relationships>
</file>

<file path=xl/pivotCache/_rels/pivotCacheDefinition50.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8&#24215;&#38144;&#21806;&#24773;&#20917;-1020.xlsx" TargetMode="External"/><Relationship Id="rId1" Type="http://schemas.openxmlformats.org/officeDocument/2006/relationships/pivotCacheRecords" Target="pivotCacheRecords50.xml"/></Relationships>
</file>

<file path=xl/pivotCache/_rels/pivotCacheDefinition51.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8&#24215;&#38144;&#21806;&#24773;&#20917;-1020.xlsx" TargetMode="External"/><Relationship Id="rId1" Type="http://schemas.openxmlformats.org/officeDocument/2006/relationships/pivotCacheRecords" Target="pivotCacheRecords51.xml"/></Relationships>
</file>

<file path=xl/pivotCache/_rels/pivotCacheDefinition52.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9&#24215;&#38144;&#21806;&#24773;&#20917;-1020.xlsx" TargetMode="External"/><Relationship Id="rId1" Type="http://schemas.openxmlformats.org/officeDocument/2006/relationships/pivotCacheRecords" Target="pivotCacheRecords52.xml"/></Relationships>
</file>

<file path=xl/pivotCache/_rels/pivotCacheDefinition53.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9&#24215;&#38144;&#21806;&#24773;&#20917;-1020.xlsx" TargetMode="External"/><Relationship Id="rId1" Type="http://schemas.openxmlformats.org/officeDocument/2006/relationships/pivotCacheRecords" Target="pivotCacheRecords53.xml"/></Relationships>
</file>

<file path=xl/pivotCache/_rels/pivotCacheDefinition54.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9&#24215;&#38144;&#21806;&#24773;&#20917;-1020.xlsx" TargetMode="External"/><Relationship Id="rId1" Type="http://schemas.openxmlformats.org/officeDocument/2006/relationships/pivotCacheRecords" Target="pivotCacheRecords54.xml"/></Relationships>
</file>

<file path=xl/pivotCache/_rels/pivotCacheDefinition55.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9&#24215;&#38144;&#21806;&#24773;&#20917;-1020.xlsx" TargetMode="External"/><Relationship Id="rId1" Type="http://schemas.openxmlformats.org/officeDocument/2006/relationships/pivotCacheRecords" Target="pivotCacheRecords55.xml"/></Relationships>
</file>

<file path=xl/pivotCache/_rels/pivotCacheDefinition56.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9&#24215;&#38144;&#21806;&#24773;&#20917;-1020.xlsx" TargetMode="External"/><Relationship Id="rId1" Type="http://schemas.openxmlformats.org/officeDocument/2006/relationships/pivotCacheRecords" Target="pivotCacheRecords56.xml"/></Relationships>
</file>

<file path=xl/pivotCache/_rels/pivotCacheDefinition57.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9&#24215;&#38144;&#21806;&#24773;&#20917;-1020.xlsx" TargetMode="External"/><Relationship Id="rId1" Type="http://schemas.openxmlformats.org/officeDocument/2006/relationships/pivotCacheRecords" Target="pivotCacheRecords57.xml"/></Relationships>
</file>

<file path=xl/pivotCache/_rels/pivotCacheDefinition58.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9&#24215;&#38144;&#21806;&#24773;&#20917;-1020.xlsx" TargetMode="External"/><Relationship Id="rId1" Type="http://schemas.openxmlformats.org/officeDocument/2006/relationships/pivotCacheRecords" Target="pivotCacheRecords58.xml"/></Relationships>
</file>

<file path=xl/pivotCache/_rels/pivotCacheDefinition59.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9&#24215;&#38144;&#21806;&#24773;&#20917;-1020.xlsx" TargetMode="External"/><Relationship Id="rId1" Type="http://schemas.openxmlformats.org/officeDocument/2006/relationships/pivotCacheRecords" Target="pivotCacheRecords59.xml"/></Relationships>
</file>

<file path=xl/pivotCache/_rels/pivotCacheDefinition60.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9&#24215;&#38144;&#21806;&#24773;&#20917;-1020.xlsx" TargetMode="External"/><Relationship Id="rId1" Type="http://schemas.openxmlformats.org/officeDocument/2006/relationships/pivotCacheRecords" Target="pivotCacheRecords60.xml"/></Relationships>
</file>

<file path=xl/pivotCache/_rels/pivotCacheDefinition61.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0&#24215;&#38144;&#21806;&#24773;&#20917;-1020.xlsx" TargetMode="External"/><Relationship Id="rId1" Type="http://schemas.openxmlformats.org/officeDocument/2006/relationships/pivotCacheRecords" Target="pivotCacheRecords61.xml"/></Relationships>
</file>

<file path=xl/pivotCache/_rels/pivotCacheDefinition62.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0&#24215;&#38144;&#21806;&#24773;&#20917;-1020.xlsx" TargetMode="External"/><Relationship Id="rId1" Type="http://schemas.openxmlformats.org/officeDocument/2006/relationships/pivotCacheRecords" Target="pivotCacheRecords62.xml"/></Relationships>
</file>

<file path=xl/pivotCache/_rels/pivotCacheDefinition63.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0&#24215;&#38144;&#21806;&#24773;&#20917;-1020.xlsx" TargetMode="External"/><Relationship Id="rId1" Type="http://schemas.openxmlformats.org/officeDocument/2006/relationships/pivotCacheRecords" Target="pivotCacheRecords63.xml"/></Relationships>
</file>

<file path=xl/pivotCache/_rels/pivotCacheDefinition64.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0&#24215;&#38144;&#21806;&#24773;&#20917;-1020.xlsx" TargetMode="External"/><Relationship Id="rId1" Type="http://schemas.openxmlformats.org/officeDocument/2006/relationships/pivotCacheRecords" Target="pivotCacheRecords64.xml"/></Relationships>
</file>

<file path=xl/pivotCache/_rels/pivotCacheDefinition65.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0&#24215;&#38144;&#21806;&#24773;&#20917;-1020.xlsx" TargetMode="External"/><Relationship Id="rId1" Type="http://schemas.openxmlformats.org/officeDocument/2006/relationships/pivotCacheRecords" Target="pivotCacheRecords65.xml"/></Relationships>
</file>

<file path=xl/pivotCache/_rels/pivotCacheDefinition66.xml.rels><?xml version="1.0" encoding="UTF-8" standalone="yes"?>
<Relationships xmlns="http://schemas.openxmlformats.org/package/2006/relationships"><Relationship Id="rId2" Type="http://schemas.openxmlformats.org/officeDocument/2006/relationships/externalLinkPath" Target="file:///D:\&#8730;&#8730;&#8730;&#36164;&#26009;&#25991;&#20214;\2&#12289;&#24211;&#23384;&#20998;&#26512;\3&#12289;&#20122;&#39532;&#36874;&#24211;&#23384;&#20998;&#26512;\2023&#24180;\10.20\10&#24215;&#38144;&#21806;&#24773;&#20917;-1020.xlsx" TargetMode="External"/><Relationship Id="rId1" Type="http://schemas.openxmlformats.org/officeDocument/2006/relationships/pivotCacheRecords" Target="pivotCacheRecords66.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219.5734722222" refreshedBy="Administrator" recordCount="51">
  <cacheSource type="worksheet">
    <worksheetSource ref="B1:O1048576" sheet="10.12-10.18" r:id="rId2"/>
  </cacheSource>
  <cacheFields count="14">
    <cacheField name="（子）ASIN" numFmtId="0">
      <sharedItems containsBlank="1" count="51">
        <s v="B0BSKLT31P"/>
        <s v="B0BSL4HJZ7"/>
        <s v="B0BPLHD839"/>
        <s v="B0BTLRZ257"/>
        <s v="B0BPLH6Y2M"/>
        <s v="B0BSKVG5TZ"/>
        <s v="B0BTLVJWH9"/>
        <s v="B0BQ2CTDGC"/>
        <s v="B0BSKXSTBJ"/>
        <s v="B0BTLSNFTQ"/>
        <s v="B0BPLH79XD"/>
        <s v="B0BY7RYYVC"/>
        <s v="B0CJ8WX9XC"/>
        <s v="B0BN36ND1X"/>
        <s v="B0BPLH7GYS"/>
        <s v="B0BPLH99RF"/>
        <s v="B0BSFKQ92J"/>
        <s v="B0BTLT57SZ"/>
        <s v="B0BN38LNGW"/>
        <s v="B0BN4YY117"/>
        <s v="B0BPLH27DX"/>
        <s v="B0BPLJ443H"/>
        <s v="B0BPLK6Q8D"/>
        <s v="B0BPLLR7N8"/>
        <s v="B0BSL2JNM5"/>
        <s v="B0BTLSB925"/>
        <s v="B0BV2Y7GVY"/>
        <s v="B0C27R8ZWM"/>
        <s v="B0BMQ7R71D"/>
        <s v="B0BN4ZBXVH"/>
        <s v="B0BPLHWMFV"/>
        <s v="B0BPLJXZCH"/>
        <s v="B0BRSMQ9MZ"/>
        <s v="B0BRSNR54R"/>
        <s v="B0BRSP3ZJ3"/>
        <s v="B0BS12FW4M"/>
        <s v="B0BS12MJSQ"/>
        <s v="B0BSF5TCZ6"/>
        <s v="B0BSL4V5GH"/>
        <s v="B0BV2XTCCV"/>
        <s v="B0C233HY1X"/>
        <s v="B0C27PXBB6"/>
        <s v="B0CBK7YJ77"/>
        <s v="B0CFDY1DQH"/>
        <s v="B0C3LKDC86"/>
        <s v="B0C3LNV2JL"/>
        <s v="B0BN51D93D"/>
        <s v="B0C9PX2YFL"/>
        <s v="B0C9PYKSPV"/>
        <s v="B0CFDX8X5Y"/>
        <m/>
      </sharedItems>
    </cacheField>
    <cacheField name="商品名称" numFmtId="0">
      <sharedItems containsBlank="1" count="43">
        <s v="Jimtyee Car Air Freshener Cute Cartoon Hero Pilot Car Diffuser Rotating Propeller Automotive Air Outlet Fan Creative Car Perfume Decoration Men Cool Car Accessories"/>
        <s v="Jimtyee Car Air Fresheners Cute Cartoon Pink Cat Pilot Car Diffuser Rotating Propeller Automotive Air Outlet Fan Creative Car Perfume Decoration Car Interior Accessories"/>
        <s v="Jimtyee Car Air Freshener Cute Cartoon Bear Pilot Car Diffuser Rotating Propeller Automotive Air Outlet Fan Creative Car Perfume Decoration Cool Car Accessories Comes with 4 Fragrant Tablets"/>
        <s v="2pcs Car Air Fresheners Cartoon Cute Bear Pilot Automotive Air Outlet Propeller Car Diffuser Creative Car Perfume Decoration for Car Vent Clips with 8 Fragrant Tablets for Women Men (Bear + Hero)"/>
        <s v="Car Air Freshener Cute Cartoon Yellow Duck Pilot Car Diffuser Rotating Propeller Automotive Air Outlet Fan Creative Car Perfume Decoration Cool Car Accessories Comes with 4 Fragrant Tablets"/>
        <s v="Jimtyee Car Air Fresheners Cute Cartoon Mouse Pilot Car Diffuser Rotating Propeller Automotive Air Outlet Fan Creative Car Perfume Decoration Cool Car Accessories (Men)"/>
        <s v="2pcs Car Air Fresheners Cute Cartoon Rabbit Pink Cat Pilot Automotive Air Outlet Propeller Car Diffuser Creative Car Perfume Decoration for Car Vent Clips Cool Car Accessories (Rabbit + Cat)"/>
        <s v="Jimtyee Car Truck Antenna Replacement for Chevy Silverado 1500 2500 3500 HD Ford F150 F250 F350 GMC Sierra 1500 2500 3500 Car Antenna Toppers Heavy Duty Pickup Truck Accessories (Silver)"/>
        <s v="Jimtyee Car Air Fresheners Cute Cartoon Mouse Pilot Car Diffuser Rotating Propeller Automotive Air Outlet Fan Creative Car Perfume Decoration Cool Car Accessories (Women)"/>
        <s v="2pcs Car Air Fresheners Cute Cartoon Bear Pilot Automotive Air Outlet Propeller Car Diffuser Creative Car Perfume Decoration for Car Vent Clips for Women Men with 8 Fragrant Tablets(Bear + Teddy Bear)"/>
        <s v="Car Air Fresheners Cartoon Pilot Automotive Air Outlet Propeller Cute Car Diffuser Creative Car Perfume Decoration for Car Vent Clips Car Vent Clip Air Freshener Accessories for Women Men"/>
        <s v="2pcs Bear Pilot Car Air Fresheners Cute Cartoon Automotive Air Outlet Propeller Car Diffuser Creative Car Perfume Decoration for Car Vent Clips for Women Men Cool Car Accessories (Bear + Teddy Bear)"/>
        <s v="Jimtyee Car Air Freshener Yellow Duck Pilot Car Diffuser Rotating Propeller Automotive Auto Vehicle Air Outlet Fan Creative Car Perfume Fragrance Decoration Comes with 4 Fragrant Tablets"/>
        <s v="Jimtyee 5 in 1 Car Handle Assist for Elderly Car Door Handle Automotive Portable Vehicle Support Handles with LED Flashlight,Seatbelt Cutter Multifunction for Seniors and Handicapped"/>
        <s v="Jimtyee Car Air Fresheners Refills Solid Fragrance Replacement Pads Car Air Vent Clip Freshener Gulong flavor Long Lasting Air Freshener for Car"/>
        <s v="Jimtyee for GMC Key Fob Cover with Leather Lanyard Keychain TPU Key Fob Case Shell Protection for Chevy Silverado Tahoe Suburban GMC Sierra Yukon Acadia Terrain Smart Remote Key Protector"/>
        <s v="2pcs Car Air Fresheners Cute Yellow Duck Fox Pilot Automotive Air Outlet Propeller Car Diffuser Creative Cartoon Car Perfume for Car Vent Clips with 8 Fragrant Tablets (Yellow duck + Red Fox)"/>
        <s v="Jimtyee RV Winterizing Kit Sprinkler Blowout Adapter with Shut Off Valve 12inch Air Compressor Quick Connect Plug Water Blow Out Fitting Adapter for RV, Camper, Boat,Travel Trailer"/>
        <s v="Jimtyee Car Air Freshener Cute Cartoon Rabbit Pilot Car Diffuser Rotating Propeller Automotive Air Outlet Fan Creative Car Perfume Decoration Cool Car Accessories"/>
        <s v="Jimtyee Car Air Freshener Cute Cartoon Panda Bear Pilot Car Diffuser Rotating Propeller Automotive Air Outlet Fan Creative Car Perfume Decoration Cool Car Accessories"/>
        <s v="Jimtyee Car Air Fresheners Cute Cartoon Fox Pilot Car Diffuser Rotating Propeller Automotive Air Outlet Fan Creative Car Perfume Decoration Funny Car Interior Accessories"/>
        <s v="2pcs Car Air Fresheners Cute Cartoon Dog Pilot Automotive Air Outlet Propeller Car Diffuser Creative Car Perfume Decoration for Car Vent Clips Comes with 8 Fragrant Tablets (Husky + Shiba Inu)"/>
        <s v="Jimtyee 5 in 1 Car Door Assist Handle for Elderly Automotive Portable Vehicle Support Handles with LED Flashlight,Seatbelt Cutter,Window Breaker for Seniors and Handicapped"/>
        <s v="Jimtyee 3Pcs Car Air Fresheners Refills Solid Fragrance for Yellow Duck Replacement Pads Car Air Vent Clip Freshener Long Lasting Air Freshener for Car"/>
        <s v="Jimtyee Gas Can Spout Replacement,Gas Can Nozzle (3Kit-Yellow) Fit for 1/2/5/10 Gal Oil Cans,with 6 Screw Collar Caps,Gas Can Vent Caps,Spout Cover,Base Caps,Drill"/>
        <s v="Jimtyee Car Air Freshener Cute Cartoon Teddy Bear Pilot Car Diffuser Rotating Propeller Automotive Air Outlet Fan Creative Car Perfume Decoration Cool Car Accessories"/>
        <s v="Jimtyee Car Air Freshener Cute Cartoon Bulldog Pilot Car Diffuser Rotating Propeller Automotive Air Outlet Fan Creative Funny Car Perfume Decoration Cool Car Accessories (Silver)"/>
        <s v="for Nissan Key Fob Cover 4 Button TPU Protection Car Key Case Shell with Bling Keychain Compatible with 2013-2023 Nissan Altima Maxima Murano Rogue Armada Pathfinder Sentra Smart Key Car Accessories"/>
        <s v="Jimtyee for Nissan Key Fob Cover Soft Car Key Case Shell Protection with Bling Keychain Compatible with 2013-2023 Nissan Altima Maxima Murano Rogue Armada Pathfinder Sentra 5 Button Smart Key"/>
        <s v="Jimtyee for Jeep Key Fob Cover with Leather Keychain Soft TPU Car Key Case Shell Protection Compatible with Grand Cherokee Renegade Chrysler Dodge Ram Durango Journey Challenger Smart Key (Red)"/>
        <s v="Jimtyee for Jeep Key Fob Cover with Leather Keychain Soft TPU Car Key Case Shell Protection Compatible with Grand Cherokee Renegade Chrysler Dodge Ram Durango Journey Challenger Smart Key (Blue)"/>
        <s v="Jimtyee for Honda Key Fob Cover 5 Buttons Soft TPU Car Key Case Shell Full Protection Compatible with Honda Accord Civic CRV Pilot Passort Insight Smart Key Protector Bling Keychain Girly Women"/>
        <s v="Jimtyee Car Air Fresheners Cute Cartoon White Puppy Pilot Car Diffuser Rotating Propeller Automotive Air Outlet Fan Creative Car Perfume Decoration Funny Car Interior Accessories"/>
        <s v="Jimtyee Car Air Freshener Cute Cartoon Cool Rabbit Car Diffuser Automotive Air Outlet Creative Car Perfume Decoration Aromatherapy Ornament Car Vent Accessories"/>
        <s v="Jimtyee Car Air Freshener Yellow Duck Cute Cartoon Car Fragrance Diffuser Automotive Air Outlet Fan Creative Car Perfume Decoration Aromatherapy Car Vent Clip Accessories (Red)"/>
        <s v="Jimtyee 2Pcs Car Air Fresheners Cute Cartoon Mouse Pilot Men Women Car Perfume Rotating Propeller Automotive Air Outlet Fan Creative Diffuser Car Decoration (M.ickey+M.innie)"/>
        <s v="Upgrade Car Truck Antenna Universal Replacement for Chevy Silverado Avalanche Ford F150 F250 F350 GMC Sierra Short Car Antenna Toppers Heavy Duty Pickup Truck Accessories (Black)"/>
        <s v="Jimtyee Car Truck Antenna Replacement for Chevy Silverado 1500 2500 3500 HD Ford F150 F250 F350 GMC Sierra 1500 2500 3500 Car Antenna Toppers Heavy Duty Pickup Truck Accessories (Black)"/>
        <s v="Jimtyee RV Winterizing Kit, RV Blowout Adapter with 1/4&quot; Male Quick Connect Plug and 3/4&quot; Garden Water Hose Threading, Sprinkler Blowout Adapter with Ball Valve for RV Boat Camper Travel Trailer"/>
        <s v="Jimtyee Car Truck Antenna Replacement for Chevy Silverado 1500 2500 3500 HD Ford F150 F250 F350 GMC Sierra 1500 2500 3500 Car Antenna Toppers Heavy Duty Pickup Truck Accessories (Purple)"/>
        <s v="Jimtyee Car Truck Antenna Replacement for Chevy Silverado 1500 2500 3500 HD Ford F150 F250 F350 GMC Sierra 1500 2500 3500 Car Antenna Toppers Heavy Duty Pickup Truck Accessories (Red)"/>
        <s v="Jimtyee Upgrade Car Truck Antenna Universal Replacement for Chevy Silverado Avalanche Ford F150 F250 F350 GMC Sierra Short Car Antenna Toppers Heavy Duty Pickup Truck Accessories (Silver)"/>
        <m/>
      </sharedItems>
    </cacheField>
    <cacheField name="SKU" numFmtId="0">
      <sharedItems containsBlank="1" count="51">
        <s v="Y1083"/>
        <s v="Y1087"/>
        <s v="Y1054"/>
        <s v="Y1054-ZH"/>
        <s v="Y1055"/>
        <s v="Y1084"/>
        <s v="Y1057-ZH"/>
        <s v="Y1038-SI"/>
        <s v="Y1085"/>
        <s v="Y1058-ZH"/>
        <s v="Y1060-GR"/>
        <s v="Y1060-ZH-"/>
        <s v="Y1104"/>
        <s v="Y1041-BU"/>
        <s v="Y1060-BL"/>
        <s v="Y1064"/>
        <s v="Y1081-BL"/>
        <s v="Y1088-ZH"/>
        <s v="Y1041-RE"/>
        <s v="Y1040-GR"/>
        <s v="Y1061"/>
        <s v="Y1063"/>
        <s v="Y1057"/>
        <s v="Y1056"/>
        <s v="Y1088"/>
        <s v="Y1060-GR-ZH"/>
        <s v="Y1093-RE"/>
        <s v="Y1098"/>
        <s v="Y1037"/>
        <s v="Y1040-BU"/>
        <s v="Y1058"/>
        <s v="Y1059-SI"/>
        <s v="Y1074-MG"/>
        <s v="Y1074-WH"/>
        <s v="Y1073-BL"/>
        <s v="Y1076-RE"/>
        <s v="Y1076-BG"/>
        <s v="Y1078-WH"/>
        <s v="Y1089"/>
        <s v="Y1093-BU"/>
        <s v="Y1100-RE"/>
        <s v="Y1097-RE"/>
        <s v="Y1084-ZH"/>
        <s v="Y1103-BL"/>
        <s v="Y1038-BLACK"/>
        <s v="Y1038-SILVER"/>
        <s v="Y1039"/>
        <s v="Y1102-PU"/>
        <s v="Y1102-RE"/>
        <s v="Y1103-SI"/>
        <m/>
      </sharedItems>
    </cacheField>
    <cacheField name="会话次数 – 总计" numFmtId="0">
      <sharedItems containsString="0" containsBlank="1" containsNumber="1" containsInteger="1" minValue="0" maxValue="407" count="42">
        <n v="195"/>
        <n v="407"/>
        <n v="117"/>
        <n v="286"/>
        <n v="127"/>
        <n v="91"/>
        <n v="248"/>
        <n v="65"/>
        <n v="55"/>
        <n v="109"/>
        <n v="105"/>
        <n v="102"/>
        <n v="38"/>
        <n v="20"/>
        <n v="50"/>
        <n v="39"/>
        <n v="4"/>
        <n v="59"/>
        <n v="42"/>
        <n v="19"/>
        <n v="35"/>
        <n v="51"/>
        <n v="57"/>
        <n v="48"/>
        <n v="11"/>
        <n v="77"/>
        <n v="5"/>
        <n v="29"/>
        <n v="8"/>
        <n v="41"/>
        <n v="47"/>
        <n v="22"/>
        <n v="6"/>
        <n v="1"/>
        <n v="7"/>
        <n v="9"/>
        <n v="90"/>
        <n v="32"/>
        <n v="23"/>
        <n v="3"/>
        <n v="2"/>
        <m/>
      </sharedItems>
    </cacheField>
    <cacheField name="会话次数 – 总计 – B2B" numFmtId="0">
      <sharedItems containsString="0" containsBlank="1" containsNumber="1" containsInteger="1" minValue="0" maxValue="7" count="8">
        <n v="0"/>
        <n v="4"/>
        <n v="5"/>
        <n v="1"/>
        <n v="2"/>
        <n v="7"/>
        <n v="3"/>
        <m/>
      </sharedItems>
    </cacheField>
    <cacheField name="会话百分比 – 总计" numFmtId="0">
      <sharedItems containsString="0" containsBlank="1" containsNumber="1" minValue="0" maxValue="0.5952" count="45">
        <n v="0.067"/>
        <n v="0.1398"/>
        <n v="0.0402"/>
        <n v="0.0982"/>
        <n v="0.0436"/>
        <n v="0.0313"/>
        <n v="0.0852"/>
        <n v="0.0223"/>
        <n v="0.0189"/>
        <n v="0.0374"/>
        <n v="0.0361"/>
        <n v="0.035"/>
        <n v="0.0131"/>
        <n v="0.0069"/>
        <n v="0.0172"/>
        <n v="0.0134"/>
        <n v="0.0014"/>
        <n v="0.0203"/>
        <n v="0.0144"/>
        <n v="0.0065"/>
        <n v="0.012"/>
        <n v="0.0175"/>
        <n v="0.0196"/>
        <n v="0.0165"/>
        <n v="0.0038"/>
        <n v="0.0265"/>
        <n v="0.0017"/>
        <n v="0.01"/>
        <n v="0.0027"/>
        <n v="0.0141"/>
        <n v="0.0161"/>
        <n v="0.0076"/>
        <n v="0.0021"/>
        <n v="0.0003"/>
        <n v="0.0024"/>
        <n v="0.0031"/>
        <n v="0.0309"/>
        <n v="0.011"/>
        <n v="0.2738"/>
        <n v="0.5952"/>
        <n v="0.0119"/>
        <n v="0.0595"/>
        <n v="0.0357"/>
        <n v="0.0238"/>
        <m/>
      </sharedItems>
    </cacheField>
    <cacheField name="会话百分比 – 总计 – B2B" numFmtId="0">
      <sharedItems containsString="0" containsBlank="1" containsNumber="1" minValue="0" maxValue="1" count="9">
        <n v="0"/>
        <n v="0.1212"/>
        <n v="0.1515"/>
        <n v="0.0303"/>
        <n v="0.0606"/>
        <n v="0.2121"/>
        <n v="0.0909"/>
        <n v="1"/>
        <m/>
      </sharedItems>
    </cacheField>
    <cacheField name="页面浏览量 – 总计" numFmtId="0">
      <sharedItems containsString="0" containsBlank="1" containsNumber="1" containsInteger="1" minValue="0" maxValue="539" count="41">
        <n v="279"/>
        <n v="539"/>
        <n v="159"/>
        <n v="367"/>
        <n v="167"/>
        <n v="118"/>
        <n v="317"/>
        <n v="90"/>
        <n v="74"/>
        <n v="142"/>
        <n v="136"/>
        <n v="120"/>
        <n v="47"/>
        <n v="21"/>
        <n v="57"/>
        <n v="45"/>
        <n v="5"/>
        <n v="66"/>
        <n v="59"/>
        <n v="62"/>
        <n v="64"/>
        <n v="56"/>
        <n v="13"/>
        <n v="93"/>
        <n v="29"/>
        <n v="25"/>
        <n v="11"/>
        <n v="46"/>
        <n v="53"/>
        <n v="36"/>
        <n v="15"/>
        <n v="10"/>
        <n v="6"/>
        <n v="1"/>
        <n v="8"/>
        <n v="63"/>
        <n v="12"/>
        <n v="26"/>
        <n v="2"/>
        <n v="3"/>
        <m/>
      </sharedItems>
    </cacheField>
    <cacheField name="页面浏览量 – 总计 – B2B" numFmtId="0">
      <sharedItems containsString="0" containsBlank="1" containsNumber="1" containsInteger="1" minValue="0" maxValue="8" count="8">
        <n v="0"/>
        <n v="4"/>
        <n v="5"/>
        <n v="1"/>
        <n v="2"/>
        <n v="8"/>
        <n v="3"/>
        <m/>
      </sharedItems>
    </cacheField>
    <cacheField name="页面浏览量百分比 – 总计" numFmtId="0">
      <sharedItems containsString="0" containsBlank="1" containsNumber="1" minValue="0" maxValue="0.5842" count="44">
        <n v="0.0754"/>
        <n v="0.1456"/>
        <n v="0.043"/>
        <n v="0.0992"/>
        <n v="0.0451"/>
        <n v="0.0319"/>
        <n v="0.0857"/>
        <n v="0.0243"/>
        <n v="0.02"/>
        <n v="0.0384"/>
        <n v="0.0367"/>
        <n v="0.0324"/>
        <n v="0.0127"/>
        <n v="0.0057"/>
        <n v="0.0154"/>
        <n v="0.0122"/>
        <n v="0.0014"/>
        <n v="0.0178"/>
        <n v="0.0159"/>
        <n v="0.0168"/>
        <n v="0.0173"/>
        <n v="0.0151"/>
        <n v="0.0035"/>
        <n v="0.0251"/>
        <n v="0.0078"/>
        <n v="0.0068"/>
        <n v="0.003"/>
        <n v="0.0124"/>
        <n v="0.0143"/>
        <n v="0.0097"/>
        <n v="0.0041"/>
        <n v="0.0027"/>
        <n v="0.0016"/>
        <n v="0.0003"/>
        <n v="0.0022"/>
        <n v="0.017"/>
        <n v="0.0032"/>
        <n v="0.2574"/>
        <n v="0.5842"/>
        <n v="0.0198"/>
        <n v="0.0495"/>
        <n v="0.0297"/>
        <n v="0.0594"/>
        <m/>
      </sharedItems>
    </cacheField>
    <cacheField name="页面浏览量百分比 – 总计 – B2B" numFmtId="0">
      <sharedItems containsString="0" containsBlank="1" containsNumber="1" minValue="0" maxValue="1" count="9">
        <n v="0"/>
        <n v="0.1111"/>
        <n v="0.1389"/>
        <n v="0.0278"/>
        <n v="0.0556"/>
        <n v="0.2222"/>
        <n v="0.0833"/>
        <n v="1"/>
        <m/>
      </sharedItems>
    </cacheField>
    <cacheField name="推荐报价（购买按钮）百分比" numFmtId="0">
      <sharedItems containsString="0" containsBlank="1" containsNumber="1" minValue="0" maxValue="1" count="17">
        <n v="0.9963"/>
        <n v="1"/>
        <n v="0.9669"/>
        <n v="0.9972"/>
        <n v="0.9848"/>
        <n v="0.9918"/>
        <n v="0.9878"/>
        <n v="0.975"/>
        <n v="0.9706"/>
        <n v="0.9048"/>
        <n v="0.973"/>
        <n v="0.9231"/>
        <n v="0.75"/>
        <n v="0.9811"/>
        <n v="0.9091"/>
        <n v="0.9817"/>
        <m/>
      </sharedItems>
    </cacheField>
    <cacheField name="推荐报价（购买按钮）百分比 – B2B" numFmtId="0">
      <sharedItems containsString="0" containsBlank="1" containsNumber="1" containsInteger="1" minValue="0" maxValue="1" count="3">
        <n v="0"/>
        <n v="1"/>
        <m/>
      </sharedItems>
    </cacheField>
    <cacheField name="已订购商品数量" numFmtId="0">
      <sharedItems containsString="0" containsBlank="1" containsNumber="1" containsInteger="1" minValue="0" maxValue="22" count="13">
        <n v="22"/>
        <n v="19"/>
        <n v="15"/>
        <n v="16"/>
        <n v="12"/>
        <n v="8"/>
        <n v="6"/>
        <n v="5"/>
        <n v="4"/>
        <n v="3"/>
        <n v="2"/>
        <n v="1"/>
        <m/>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219.5735300926" refreshedBy="Administrator" recordCount="63">
  <cacheSource type="worksheet">
    <worksheetSource ref="B1:O1048576" sheet="10.04-10.18" r:id="rId2"/>
  </cacheSource>
  <cacheFields count="14">
    <cacheField name="（子）ASIN" numFmtId="0">
      <sharedItems containsBlank="1" count="61">
        <s v="B0BSL4HJZ7"/>
        <s v="B0BSKLT31P"/>
        <s v="B0BTLRZ257"/>
        <s v="B0BPLH6Y2M"/>
        <s v="B0BPLHD839"/>
        <s v="B0BSKVG5TZ"/>
        <s v="B0BTLVJWH9"/>
        <s v="B0BSKXSTBJ"/>
        <s v="B0CBK7YJ77"/>
        <s v="B0BQ2CTDGC"/>
        <s v="B0BTLSNFTQ"/>
        <s v="B0BY7RYYVC"/>
        <s v="B0CFDY1DQH"/>
        <s v="B0BN38LNGW"/>
        <s v="B0BTLSB925"/>
        <s v="B0BPLH7GYS"/>
        <s v="B0BPLJ443H"/>
        <s v="B0BPLH79XD"/>
        <s v="B0BPLH99RF"/>
        <s v="B0BPLHWMFV"/>
        <s v="B0BMQ7R71D"/>
        <s v="B0BN36ND1X"/>
        <s v="B0BSFKQ92J"/>
        <s v="B0BSL2JNM5"/>
        <s v="B0CJ8WX9XC"/>
        <s v="B0BN4YY117"/>
        <s v="B0BNND5225"/>
        <s v="B0BPLH27DX"/>
        <s v="B0BPLK6Q8D"/>
        <s v="B0BPLLR7N8"/>
        <s v="B0BRSNR54R"/>
        <s v="B0BSL4V5GH"/>
        <s v="B0BTLT57SZ"/>
        <s v="B0BV2Y7GVY"/>
        <s v="B0CFDX8X5Y"/>
        <s v="B0BRSMQ9MZ"/>
        <s v="B0BS12FW4M"/>
        <s v="B0BSF5TCZ6"/>
        <s v="B0BSF6DY4D"/>
        <s v="B0BWRNFX4D"/>
        <s v="B0C1Z22VN3"/>
        <s v="B0C233HY1X"/>
        <s v="B0C27R8ZWM"/>
        <s v="B0CDH3MR1F"/>
        <s v="B0BN4ZBXVH"/>
        <s v="B0BPLJXZCH"/>
        <s v="B0BQHXN5N9"/>
        <s v="B0BRSP3ZJ3"/>
        <s v="B0BS12MJSQ"/>
        <s v="B0BTD9HZNV"/>
        <s v="B0BV2XTCCV"/>
        <s v="B0BVT3HRQS"/>
        <s v="B0C232CPTJ"/>
        <s v="B0C27PXBB6"/>
        <s v="B0CD1TFNWH"/>
        <s v="B0C3LNV2JL"/>
        <s v="B0C3LKDC86"/>
        <s v="B0C9PYKSPV"/>
        <s v="B0BN51D93D"/>
        <s v="B0C9PX2YFL"/>
        <m/>
      </sharedItems>
    </cacheField>
    <cacheField name="商品名称" numFmtId="0">
      <sharedItems containsBlank="1" count="52">
        <s v="Jimtyee Car Air Fresheners Cute Cartoon Pink Cat Pilot Car Diffuser Rotating Propeller Automotive Air Outlet Fan Creative Car Perfume Decoration Car Interior Accessories"/>
        <s v="Jimtyee Car Air Freshener Cute Cartoon Hero Pilot Car Diffuser Rotating Propeller Automotive Air Outlet Fan Creative Car Perfume Decoration Men Cool Car Accessories"/>
        <s v="2pcs Car Air Fresheners Cartoon Cute Bear Pilot Automotive Air Outlet Propeller Car Diffuser Creative Car Perfume Decoration for Car Vent Clips with 8 Fragrant Tablets for Women Men (Bear + Hero)"/>
        <s v="Car Air Freshener Cute Cartoon Yellow Duck Pilot Car Diffuser Rotating Propeller Automotive Air Outlet Fan Creative Car Perfume Decoration Cool Car Accessories Comes with 4 Fragrant Tablets"/>
        <s v="Jimtyee Car Air Freshener Cute Cartoon Bear Pilot Car Diffuser Rotating Propeller Automotive Air Outlet Fan Creative Car Perfume Decoration Cool Car Accessories Comes with 4 Fragrant Tablets"/>
        <s v="Jimtyee Car Air Fresheners Cute Cartoon Mouse Pilot Car Diffuser Rotating Propeller Automotive Air Outlet Fan Creative Car Perfume Decoration Cool Car Accessories (Men)"/>
        <s v="2pcs Car Air Fresheners Cute Cartoon Rabbit Pink Cat Pilot Automotive Air Outlet Propeller Car Diffuser Creative Car Perfume Decoration for Car Vent Clips Cool Car Accessories (Rabbit + Cat)"/>
        <s v="Jimtyee Car Air Fresheners Cute Cartoon Mouse Pilot Car Diffuser Rotating Propeller Automotive Air Outlet Fan Creative Car Perfume Decoration Cool Car Accessories (Women)"/>
        <s v="Jimtyee 2Pcs Car Air Fresheners Cute Cartoon Mouse Pilot Men Women Car Perfume Rotating Propeller Automotive Air Outlet Fan Creative Diffuser Car Decoration (M.ickey+M.innie)"/>
        <s v="Jimtyee Car Truck Antenna Replacement for Chevy Silverado 1500 2500 3500 HD Ford F150 F250 F350 GMC Sierra 1500 2500 3500 Car Antenna Toppers Heavy Duty Pickup Truck Accessories (Silver)"/>
        <s v="2pcs Car Air Fresheners Cute Cartoon Bear Pilot Automotive Air Outlet Propeller Car Diffuser Creative Car Perfume Decoration for Car Vent Clips for Women Men with 8 Fragrant Tablets(Bear + Teddy Bear)"/>
        <s v="2pcs Bear Pilot Car Air Fresheners Cute Cartoon Automotive Air Outlet Propeller Car Diffuser Creative Car Perfume Decoration for Car Vent Clips for Women Men Cool Car Accessories (Bear + Teddy Bear)"/>
        <s v="Upgrade Car Truck Antenna Universal Replacement for Chevy Silverado Avalanche Ford F150 F250 F350 GMC Sierra Short Car Antenna Toppers Heavy Duty Pickup Truck Accessories (Black)"/>
        <s v="Jimtyee 5 in 1 Car Handle Assist for Elderly Car Door Handle Automotive Portable Vehicle Support Handles with LED Flashlight,Seatbelt Cutter Multifunction for Seniors and Handicapped"/>
        <s v="2pcs Car Air Fresheners Cute Cartoon Dog Pilot Automotive Air Outlet Propeller Car Diffuser Creative Car Perfume Decoration for Car Vent Clips Comes with 8 Fragrant Tablets (Husky + Shiba Inu)"/>
        <s v="Car Air Fresheners Cartoon Pilot Automotive Air Outlet Propeller Cute Car Diffuser Creative Car Perfume Decoration for Car Vent Clips Car Vent Clip Air Freshener Accessories for Women Men"/>
        <s v="Jimtyee Car Air Fresheners Refills Solid Fragrance Replacement Pads Car Air Vent Clip Freshener Gulong flavor Long Lasting Air Freshener for Car"/>
        <s v="Jimtyee Car Air Freshener Cute Cartoon Teddy Bear Pilot Car Diffuser Rotating Propeller Automotive Air Outlet Fan Creative Car Perfume Decoration Cool Car Accessories"/>
        <s v="Jimtyee Gas Can Spout Replacement,Gas Can Nozzle (3Kit-Yellow) Fit for 1/2/5/10 Gal Oil Cans,with 6 Screw Collar Caps,Gas Can Vent Caps,Spout Cover,Base Caps,Drill"/>
        <s v="Jimtyee for GMC Key Fob Cover with Leather Lanyard Keychain TPU Key Fob Case Shell Protection for Chevy Silverado Tahoe Suburban GMC Sierra Yukon Acadia Terrain Smart Remote Key Protector"/>
        <s v="Jimtyee Car Air Fresheners Cute Cartoon Fox Pilot Car Diffuser Rotating Propeller Automotive Air Outlet Fan Creative Car Perfume Decoration Funny Car Interior Accessories"/>
        <s v="Jimtyee Car Air Freshener Yellow Duck Pilot Car Diffuser Rotating Propeller Automotive Auto Vehicle Air Outlet Fan Creative Car Perfume Fragrance Decoration Comes with 4 Fragrant Tablets"/>
        <s v="Jimtyee RV Winterizing Kit Sprinkler Blowout Adapter with Shut Off Valve 12inch Air Compressor Quick Connect Plug Water Blow Out Fitting Adapter for RV, Camper, Boat,Travel Trailer"/>
        <s v="Car Cup Holder Expander Tray Multifunctional 4 in 1 Car Food Tray for Eating with Dual Cup Holder,Phone Slot and Adjustable Swivel Arm,Universal Car Cup Organizer for Travel Automotive Accessories"/>
        <s v="Jimtyee Car Air Freshener Cute Cartoon Rabbit Pilot Car Diffuser Rotating Propeller Automotive Air Outlet Fan Creative Car Perfume Decoration Cool Car Accessories"/>
        <s v="Jimtyee Car Air Freshener Cute Cartoon Panda Bear Pilot Car Diffuser Rotating Propeller Automotive Air Outlet Fan Creative Car Perfume Decoration Cool Car Accessories"/>
        <s v="for Nissan Key Fob Cover 4 Button TPU Protection Car Key Case Shell with Bling Keychain Compatible with 2013-2023 Nissan Altima Maxima Murano Rogue Armada Pathfinder Sentra Smart Key Car Accessories"/>
        <s v="Jimtyee Car Air Fresheners Cute Cartoon White Puppy Pilot Car Diffuser Rotating Propeller Automotive Air Outlet Fan Creative Car Perfume Decoration Funny Car Interior Accessories"/>
        <s v="2pcs Car Air Fresheners Cute Yellow Duck Fox Pilot Automotive Air Outlet Propeller Car Diffuser Creative Cartoon Car Perfume for Car Vent Clips with 8 Fragrant Tablets (Yellow duck + Red Fox)"/>
        <s v="Jimtyee 5 in 1 Car Door Assist Handle for Elderly Automotive Portable Vehicle Support Handles with LED Flashlight,Seatbelt Cutter,Window Breaker for Seniors and Handicapped"/>
        <s v="Upgrade Car Truck Antenna Universal Replacement for Chevy Silverado Avalanche Ford F150 F250 F350 GMC Sierra Short Car Antenna Toppers Heavy Duty Pickup Truck Accessories (Silver)"/>
        <s v="Jimtyee for Jeep Key Fob Cover with Leather Keychain Soft TPU Car Key Case Shell Protection Compatible with Grand Cherokee Renegade Chrysler Dodge Ram Durango Journey Challenger Smart Key (Red)"/>
        <s v="Jimtyee for Honda Key Fob Cover 5 Buttons Soft TPU Car Key Case Shell Full Protection Compatible with Honda Accord Civic CRV Pilot Passort Insight Smart Key Protector Bling Keychain Girly Women"/>
        <s v="Jimtyee Car Truck Antenna Replacement for Chevy Silverado 1500 2500 3500 HD Ford F150 F250 F350 GMC Sierra 1500 2500 3500 Car Antenna Toppers Heavy Duty Pickup Truck Accessories (Black)"/>
        <s v="Car Truck Antenna American Flag Design Replacement for Chevy Silverado 1500 2500 3500 HD Ford F150 F250 F350 GMC Sierra 1500 2500 3500 Short Car Antenna Toppers Heavy Duty Pickup Truck (Flag)"/>
        <s v="Jimtyee Car Air Freshener Cute Cartoon Cool Rabbit Car Diffuser Automotive Air Outlet Creative Car Perfume Decoration Aromatherapy Ornament Car Vent Accessories"/>
        <s v="Jimtyee 3Pcs Car Air Fresheners Refills Solid Fragrance for Yellow Duck Replacement Pads Car Air Vent Clip Freshener Long Lasting Air Freshener for Car"/>
        <s v="Car Truck Antenna Replacement for Chevy Silverado 1500 2500 3500 HD Ford F150 F250 F350 GMC Sierra 1500 2500 3500 Short Car Antenna Toppers Heavy Duty Pickup Truck (Black)"/>
        <s v="Jimtyee Car Air Freshener Cute Cartoon Bulldog Pilot Car Diffuser Rotating Propeller Automotive Air Outlet Fan Creative Funny Car Perfume Decoration Cool Car Accessories (Silver)"/>
        <s v="Jimtyee Sunglass Holder for Car,Magnetic Leather Glasses Eyeglass Hanger Clip for Car Visor,Ticket Card Clip Eyeglasses Mount Storage, Car Interior Accessories"/>
        <s v="Jimtyee for Nissan Key Fob Cover Soft Car Key Case Shell Protection with Bling Keychain Compatible with 2013-2023 Nissan Altima Maxima Murano Rogue Armada Pathfinder Sentra 5 Button Smart Key"/>
        <s v="Jimtyee for Jeep Key Fob Cover with Leather Keychain Soft TPU Car Key Case Shell Protection Compatible with Grand Cherokee Renegade Chrysler Dodge Ram Durango Journey Challenger Smart Key (Blue)"/>
        <s v="Jimtyee Car Truck Antenna Replacement for Chevy Silverado 1500 2500 3500 HD Ford F150 F250 F350 GMC Sierra 1500 2500 3500 Car Antenna Toppers Heavy Duty Pickup Truck Accessories (Bule)"/>
        <s v="Jimtyee Steering Wheel Lock for Car Seat Belt Lock Anti-Theft Device Universal Car Security Device Max 17 Inch Length Car Lock Theft Prevention with 3 Keys Fit for Car Truck SUV Van Golf Cart Vehicle"/>
        <s v="Jimtyee Car Air Fresheners Refills Solid Rose Fragrance Replacement Pads Car Air Vent Clip Freshener Long Lasting Air Freshener for Car (Pack of 10)"/>
        <s v="Jimtyee Car Air Freshener Yellow Duck Cute Cartoon Car Fragrance Diffuser Automotive Air Outlet Fan Creative Car Perfume Decoration Aromatherapy Car Vent Clip Accessories (Red)"/>
        <s v="Jimtyee Car Truck Antenna Replacement for Chevy Silverado 1500 2500 3500 HD Ford F150 F250 F350 GMC Sierra 1500 2500 3500 Car Antenna Toppers Heavy Duty Pickup Truck Accessories (Red)"/>
        <s v="Jimtyee RV Winterizing Kit, Sprinkler Blowout Adapter with Shut Off Valve 12 inch Air Compressor Quick Connect Plug Garden Hose Water Blow Out Fitting Adapter for RV, Camper, Boat,Travel Trailer Blue"/>
        <s v="Jimtyee RV Winterizing Kit, RV Blowout Adapter with 1/4&quot; Male Quick Connect Plug and 3/4&quot; Garden Water Hose Threading, Sprinkler Blowout Adapter with Ball Valve for RV Boat Camper Travel Trailer"/>
        <s v="Jimtyee Car Truck Antenna Replacement for Chevy Silverado 1500 2500 3500 HD Ford F150 F250 F350 GMC Sierra 1500 2500 3500 Car Antenna Toppers Heavy Duty Pickup Truck Accessories (Purple)"/>
        <s v="Jimtyee Upgrade Car Truck Antenna Universal Replacement for Chevy Silverado Avalanche Ford F150 F250 F350 GMC Sierra Short Car Antenna Toppers Heavy Duty Pickup Truck Accessories (Silver)"/>
        <m/>
      </sharedItems>
    </cacheField>
    <cacheField name="SKU" numFmtId="0">
      <sharedItems containsBlank="1" count="61">
        <s v="Y1087"/>
        <s v="Y1083"/>
        <s v="Y1054-ZH"/>
        <s v="Y1055"/>
        <s v="Y1054"/>
        <s v="Y1084"/>
        <s v="Y1057-ZH"/>
        <s v="Y1085"/>
        <s v="Y1084-ZH"/>
        <s v="Y1038-SI"/>
        <s v="Y1058-ZH"/>
        <s v="Y1060-ZH-"/>
        <s v="Y1103-BL"/>
        <s v="Y1041-RE"/>
        <s v="Y1060-GR-ZH"/>
        <s v="Y1060-BL"/>
        <s v="Y1063"/>
        <s v="Y1060-GR"/>
        <s v="Y1064"/>
        <s v="Y1058"/>
        <s v="Y1037"/>
        <s v="Y1041-BU"/>
        <s v="Y1081-BL"/>
        <s v="Y1088"/>
        <s v="Y1104"/>
        <s v="Y1040-GR"/>
        <s v="Y1052-ZH"/>
        <s v="Y1061"/>
        <s v="Y1057"/>
        <s v="Y1056"/>
        <s v="Y1074-WH"/>
        <s v="Y1089"/>
        <s v="Y1088-ZH"/>
        <s v="Y1093-RE"/>
        <s v="Y1103-SI"/>
        <s v="Y1074-MG"/>
        <s v="Y1076-RE"/>
        <s v="Y1078-WH"/>
        <s v="Y1078-BL"/>
        <s v="Y1038-BL"/>
        <s v="Y1095"/>
        <s v="Y1100-RE"/>
        <s v="Y1098"/>
        <s v="Y1038-BL-1"/>
        <s v="Y1040-BU"/>
        <s v="Y1059-SI"/>
        <s v="Y1065-BL"/>
        <s v="Y1073-BL"/>
        <s v="Y1076-BG"/>
        <s v="Y1038-BU"/>
        <s v="Y1093-BU"/>
        <s v="Y1094-YW"/>
        <s v="Y1101-CA"/>
        <s v="Y1097-RE"/>
        <s v="Y1062-1"/>
        <s v="Y1038-SILVER"/>
        <s v="Y1038-BLACK"/>
        <s v="Y1102-RE"/>
        <s v="Y1039"/>
        <s v="Y1102-PU"/>
        <m/>
      </sharedItems>
    </cacheField>
    <cacheField name="会话次数 – 总计" numFmtId="0">
      <sharedItems containsString="0" containsBlank="1" containsNumber="1" containsInteger="1" minValue="0" maxValue="936" count="56">
        <n v="936"/>
        <n v="448"/>
        <n v="622"/>
        <n v="316"/>
        <n v="225"/>
        <n v="247"/>
        <n v="508"/>
        <n v="150"/>
        <n v="201"/>
        <n v="152"/>
        <n v="228"/>
        <n v="206"/>
        <n v="123"/>
        <n v="85"/>
        <n v="116"/>
        <n v="94"/>
        <n v="114"/>
        <n v="242"/>
        <n v="90"/>
        <n v="87"/>
        <n v="38"/>
        <n v="46"/>
        <n v="14"/>
        <n v="58"/>
        <n v="52"/>
        <n v="29"/>
        <n v="74"/>
        <n v="72"/>
        <n v="131"/>
        <n v="107"/>
        <n v="30"/>
        <n v="122"/>
        <n v="125"/>
        <n v="10"/>
        <n v="45"/>
        <n v="40"/>
        <n v="16"/>
        <n v="24"/>
        <n v="26"/>
        <n v="48"/>
        <n v="15"/>
        <n v="18"/>
        <n v="53"/>
        <n v="11"/>
        <n v="96"/>
        <n v="17"/>
        <n v="5"/>
        <n v="22"/>
        <n v="19"/>
        <n v="86"/>
        <n v="127"/>
        <n v="130"/>
        <n v="8"/>
        <n v="1"/>
        <n v="2"/>
        <m/>
      </sharedItems>
    </cacheField>
    <cacheField name="会话次数 – 总计 – B2B" numFmtId="0">
      <sharedItems containsString="0" containsBlank="1" containsNumber="1" containsInteger="1" minValue="0" maxValue="8" count="10">
        <n v="6"/>
        <n v="2"/>
        <n v="7"/>
        <n v="5"/>
        <n v="4"/>
        <n v="3"/>
        <n v="8"/>
        <n v="1"/>
        <n v="0"/>
        <m/>
      </sharedItems>
    </cacheField>
    <cacheField name="会话百分比 – 总计" numFmtId="0">
      <sharedItems containsString="0" containsBlank="1" containsNumber="1" minValue="0" maxValue="0.5963" count="58">
        <n v="0.1365"/>
        <n v="0.0653"/>
        <n v="0.0907"/>
        <n v="0.0461"/>
        <n v="0.0328"/>
        <n v="0.036"/>
        <n v="0.0741"/>
        <n v="0.0219"/>
        <n v="0.0293"/>
        <n v="0.0222"/>
        <n v="0.0332"/>
        <n v="0.03"/>
        <n v="0.0179"/>
        <n v="0.0124"/>
        <n v="0.0169"/>
        <n v="0.0137"/>
        <n v="0.0166"/>
        <n v="0.0353"/>
        <n v="0.0131"/>
        <n v="0.0127"/>
        <n v="0.0055"/>
        <n v="0.0067"/>
        <n v="0.002"/>
        <n v="0.0085"/>
        <n v="0.0076"/>
        <n v="0.0042"/>
        <n v="0.0108"/>
        <n v="0.0105"/>
        <n v="0.0191"/>
        <n v="0.0156"/>
        <n v="0.0044"/>
        <n v="0.0178"/>
        <n v="0.0182"/>
        <n v="0.0015"/>
        <n v="0.0066"/>
        <n v="0.0058"/>
        <n v="0.0023"/>
        <n v="0.0035"/>
        <n v="0.0038"/>
        <n v="0.007"/>
        <n v="0.0022"/>
        <n v="0.0026"/>
        <n v="0.0077"/>
        <n v="0.0016"/>
        <n v="0.014"/>
        <n v="0.0025"/>
        <n v="0.0007"/>
        <n v="0.0032"/>
        <n v="0.0028"/>
        <n v="0.0125"/>
        <n v="0.0185"/>
        <n v="0.5963"/>
        <n v="0.2431"/>
        <n v="0.0734"/>
        <n v="0.0367"/>
        <n v="0.0046"/>
        <n v="0.0092"/>
        <m/>
      </sharedItems>
    </cacheField>
    <cacheField name="会话百分比 – 总计 – B2B" numFmtId="0">
      <sharedItems containsString="0" containsBlank="1" containsNumber="1" minValue="0" maxValue="0.5" count="11">
        <n v="0.0909"/>
        <n v="0.0303"/>
        <n v="0.1061"/>
        <n v="0.0758"/>
        <n v="0.0606"/>
        <n v="0.0455"/>
        <n v="0.1212"/>
        <n v="0.0152"/>
        <n v="0"/>
        <n v="0.5"/>
        <m/>
      </sharedItems>
    </cacheField>
    <cacheField name="页面浏览量 – 总计" numFmtId="0">
      <sharedItems containsString="0" containsBlank="1" containsNumber="1" containsInteger="1" minValue="0" maxValue="1264" count="55">
        <n v="1264"/>
        <n v="625"/>
        <n v="793"/>
        <n v="418"/>
        <n v="308"/>
        <n v="326"/>
        <n v="679"/>
        <n v="218"/>
        <n v="260"/>
        <n v="194"/>
        <n v="300"/>
        <n v="242"/>
        <n v="150"/>
        <n v="119"/>
        <n v="141"/>
        <n v="104"/>
        <n v="136"/>
        <n v="314"/>
        <n v="101"/>
        <n v="97"/>
        <n v="44"/>
        <n v="55"/>
        <n v="18"/>
        <n v="63"/>
        <n v="32"/>
        <n v="85"/>
        <n v="92"/>
        <n v="151"/>
        <n v="126"/>
        <n v="37"/>
        <n v="138"/>
        <n v="135"/>
        <n v="11"/>
        <n v="49"/>
        <n v="77"/>
        <n v="17"/>
        <n v="43"/>
        <n v="38"/>
        <n v="59"/>
        <n v="20"/>
        <n v="82"/>
        <n v="14"/>
        <n v="121"/>
        <n v="25"/>
        <n v="6"/>
        <n v="24"/>
        <n v="13"/>
        <n v="23"/>
        <n v="95"/>
        <n v="166"/>
        <n v="64"/>
        <n v="16"/>
        <n v="2"/>
        <n v="8"/>
        <m/>
      </sharedItems>
    </cacheField>
    <cacheField name="页面浏览量 – 总计 – B2B" numFmtId="0">
      <sharedItems containsString="0" containsBlank="1" containsNumber="1" containsInteger="1" minValue="0" maxValue="9" count="10">
        <n v="8"/>
        <n v="2"/>
        <n v="7"/>
        <n v="4"/>
        <n v="3"/>
        <n v="9"/>
        <n v="5"/>
        <n v="1"/>
        <n v="0"/>
        <m/>
      </sharedItems>
    </cacheField>
    <cacheField name="页面浏览量百分比 – 总计" numFmtId="0">
      <sharedItems containsString="0" containsBlank="1" containsNumber="1" minValue="0" maxValue="0.6081" count="57">
        <n v="0.1438"/>
        <n v="0.0711"/>
        <n v="0.0902"/>
        <n v="0.0475"/>
        <n v="0.035"/>
        <n v="0.0371"/>
        <n v="0.0772"/>
        <n v="0.0248"/>
        <n v="0.0296"/>
        <n v="0.0221"/>
        <n v="0.0341"/>
        <n v="0.0275"/>
        <n v="0.0171"/>
        <n v="0.0135"/>
        <n v="0.016"/>
        <n v="0.0118"/>
        <n v="0.0155"/>
        <n v="0.0357"/>
        <n v="0.0115"/>
        <n v="0.011"/>
        <n v="0.005"/>
        <n v="0.0063"/>
        <n v="0.002"/>
        <n v="0.0072"/>
        <n v="0.0036"/>
        <n v="0.0097"/>
        <n v="0.0105"/>
        <n v="0.0172"/>
        <n v="0.0143"/>
        <n v="0.0042"/>
        <n v="0.0157"/>
        <n v="0.0154"/>
        <n v="0.0013"/>
        <n v="0.0056"/>
        <n v="0.0088"/>
        <n v="0.0019"/>
        <n v="0.0049"/>
        <n v="0.0043"/>
        <n v="0.0067"/>
        <n v="0.0023"/>
        <n v="0.0093"/>
        <n v="0.0016"/>
        <n v="0.0138"/>
        <n v="0.0028"/>
        <n v="0.0007"/>
        <n v="0.0027"/>
        <n v="0.0015"/>
        <n v="0.0026"/>
        <n v="0.0108"/>
        <n v="0.6081"/>
        <n v="0.2344"/>
        <n v="0.0586"/>
        <n v="0.0403"/>
        <n v="0.0073"/>
        <n v="0.0293"/>
        <n v="0.022"/>
        <m/>
      </sharedItems>
    </cacheField>
    <cacheField name="页面浏览量百分比 – 总计 – B2B" numFmtId="0">
      <sharedItems containsString="0" containsBlank="1" containsNumber="1" minValue="0" maxValue="0.5" count="11">
        <n v="0.1026"/>
        <n v="0.0256"/>
        <n v="0.0897"/>
        <n v="0.0513"/>
        <n v="0.0385"/>
        <n v="0.1154"/>
        <n v="0.0641"/>
        <n v="0.0128"/>
        <n v="0"/>
        <n v="0.5"/>
        <m/>
      </sharedItems>
    </cacheField>
    <cacheField name="推荐报价（购买按钮）百分比" numFmtId="0">
      <sharedItems containsString="0" containsBlank="1" containsNumber="1" minValue="0" maxValue="1" count="32">
        <n v="0.9975"/>
        <n v="0.9933"/>
        <n v="0.9883"/>
        <n v="1"/>
        <n v="0.9826"/>
        <n v="0.9985"/>
        <n v="0.9949"/>
        <n v="0.9917"/>
        <n v="0.9948"/>
        <n v="0.9944"/>
        <n v="0.9583"/>
        <n v="0.9924"/>
        <n v="0.9964"/>
        <n v="0.9783"/>
        <n v="0.9773"/>
        <n v="0.9592"/>
        <n v="0.9818"/>
        <n v="0.9804"/>
        <n v="0.9355"/>
        <n v="0.9861"/>
        <n v="0.9926"/>
        <n v="0.9722"/>
        <n v="0.9915"/>
        <n v="0.5556"/>
        <n v="0.9412"/>
        <n v="0.9048"/>
        <n v="0.8814"/>
        <n v="0.9375"/>
        <n v="0.8333"/>
        <n v="0.9697"/>
        <n v="0.994"/>
        <m/>
      </sharedItems>
    </cacheField>
    <cacheField name="推荐报价（购买按钮）百分比 – B2B" numFmtId="0">
      <sharedItems containsString="0" containsBlank="1" containsNumber="1" containsInteger="1" minValue="0" maxValue="1" count="3">
        <n v="1"/>
        <n v="0"/>
        <m/>
      </sharedItems>
    </cacheField>
    <cacheField name="已订购商品数量" numFmtId="0">
      <sharedItems containsString="0" containsBlank="1" containsNumber="1" containsInteger="1" minValue="0" maxValue="60" count="22">
        <n v="60"/>
        <n v="42"/>
        <n v="36"/>
        <n v="39"/>
        <n v="34"/>
        <n v="29"/>
        <n v="23"/>
        <n v="20"/>
        <n v="14"/>
        <n v="13"/>
        <n v="12"/>
        <n v="10"/>
        <n v="9"/>
        <n v="8"/>
        <n v="6"/>
        <n v="5"/>
        <n v="4"/>
        <n v="3"/>
        <n v="2"/>
        <n v="1"/>
        <n v="7"/>
        <m/>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createdVersion="5" refreshedVersion="5" minRefreshableVersion="3" refreshedDate="45219.573587963" refreshedBy="Administrator" recordCount="84">
  <cacheSource type="worksheet">
    <worksheetSource ref="B1:O1048576" sheet="9.19-10.18" r:id="rId2"/>
  </cacheSource>
  <cacheFields count="14">
    <cacheField name="（子）ASIN" numFmtId="0">
      <sharedItems containsBlank="1" count="81">
        <s v="B0BSL4HJZ7"/>
        <s v="B0BPLH6Y2M"/>
        <s v="B0BSKLT31P"/>
        <s v="B0BTLRZ257"/>
        <s v="B0BPLHD839"/>
        <s v="B0BSKVG5TZ"/>
        <s v="B0BTLVJWH9"/>
        <s v="B0BQ2CTDGC"/>
        <s v="B0BSKXSTBJ"/>
        <s v="B0BTLSNFTQ"/>
        <s v="B0CBK7YJ77"/>
        <s v="B0BPLH79XD"/>
        <s v="B0BN38LNGW"/>
        <s v="B0CFDY1DQH"/>
        <s v="B0BY7RYYVC"/>
        <s v="B0BPLHWMFV"/>
        <s v="B0BPLH27DX"/>
        <s v="B0BMQ7R71D"/>
        <s v="B0BPLH7GYS"/>
        <s v="B0BPLH99RF"/>
        <s v="B0BPLJ443H"/>
        <s v="B0BSL2JNM5"/>
        <s v="B0BN36ND1X"/>
        <s v="B0BPLK6Q8D"/>
        <s v="B0BPLLR7N8"/>
        <s v="B0BTLSB925"/>
        <s v="B0BNND5225"/>
        <s v="B0BND7TV52"/>
        <s v="B0BV2Y7GVY"/>
        <s v="B0BWRNFX4D"/>
        <s v="B0CFDX8X5Y"/>
        <s v="B0BS12FW4M"/>
        <s v="B0BSFKQ92J"/>
        <s v="B0BSL4V5GH"/>
        <s v="B0BTLT57SZ"/>
        <s v="B0CD1TFNWH"/>
        <s v="B0CJ8WX9XC"/>
        <s v="B0BN4YY117"/>
        <s v="B0BQHV22J4"/>
        <s v="B0BRSMQ9MZ"/>
        <s v="B0BRSNR54R"/>
        <s v="B0BRSP3ZJ3"/>
        <s v="B0BTD6K52M"/>
        <s v="B0C1Z22VN3"/>
        <s v="B0CDH3MR1F"/>
        <s v="B0BN4ZBXVH"/>
        <s v="B0BPLJXZCH"/>
        <s v="B0BR9KFGF7"/>
        <s v="B0BSF5TCZ6"/>
        <s v="B0BSF6DY4D"/>
        <s v="B0BTD9QY9N"/>
        <s v="B0BV2XTCCV"/>
        <s v="B0C1Z2L3JF"/>
        <s v="B0C232CPTJ"/>
        <s v="B0C2336K9F"/>
        <s v="B0C233HY1X"/>
        <s v="B0C27R8ZWM"/>
        <s v="B0BND5CP99"/>
        <s v="B0BNNBJQD5"/>
        <s v="B0BQHVXHLK"/>
        <s v="B0BQHXN5N9"/>
        <s v="B0BRXZCGZC"/>
        <s v="B0BRY14RTZ"/>
        <s v="B0BS12MJSQ"/>
        <s v="B0BS133PLR"/>
        <s v="B0BSF63HXT"/>
        <s v="B0BSF6TYWW"/>
        <s v="B0BSFJX84G"/>
        <s v="B0BTD8GG33"/>
        <s v="B0BTD9HZNV"/>
        <s v="B0BVT3HRQS"/>
        <s v="B0C27P74P9"/>
        <s v="B0C27PXBB6"/>
        <s v="B0CDKCZNNC"/>
        <s v="B0C3LNV2JL"/>
        <s v="B0C3LKDC86"/>
        <s v="B0C9PYKSPV"/>
        <s v="B0BN51D93D"/>
        <s v="B0C3LN38TL"/>
        <s v="B0C9PX2YFL"/>
        <m/>
      </sharedItems>
    </cacheField>
    <cacheField name="商品名称" numFmtId="0">
      <sharedItems containsBlank="1" count="65">
        <s v="Jimtyee Car Air Fresheners Cute Cartoon Pink Cat Pilot Car Diffuser Rotating Propeller Automotive Air Outlet Fan Creative Car Perfume Decoration Car Interior Accessories"/>
        <s v="Car Air Freshener Cute Cartoon Yellow Duck Pilot Car Diffuser Rotating Propeller Automotive Air Outlet Fan Creative Car Perfume Decoration Cool Car Accessories Comes with 4 Fragrant Tablets"/>
        <s v="Jimtyee Car Air Freshener Cute Cartoon Hero Pilot Car Diffuser Rotating Propeller Automotive Air Outlet Fan Creative Car Perfume Decoration Men Cool Car Accessories"/>
        <s v="2pcs Car Air Fresheners Cartoon Cute Bear Pilot Automotive Air Outlet Propeller Car Diffuser Creative Car Perfume Decoration for Car Vent Clips with 8 Fragrant Tablets for Women Men (Bear + Hero)"/>
        <s v="Jimtyee Car Air Freshener Cute Cartoon Bear Pilot Car Diffuser Rotating Propeller Automotive Air Outlet Fan Creative Car Perfume Decoration Cool Car Accessories Comes with 4 Fragrant Tablets"/>
        <s v="Jimtyee Car Air Fresheners Cute Cartoon Mouse Pilot Car Diffuser Rotating Propeller Automotive Air Outlet Fan Creative Car Perfume Decoration Cool Car Accessories (Men)"/>
        <s v="2pcs Car Air Fresheners Cute Cartoon Rabbit Pink Cat Pilot Automotive Air Outlet Propeller Car Diffuser Creative Car Perfume Decoration for Car Vent Clips Cool Car Accessories (Rabbit + Cat)"/>
        <s v="Jimtyee Car Truck Antenna Replacement for Chevy Silverado 1500 2500 3500 HD Ford F150 F250 F350 GMC Sierra 1500 2500 3500 Car Antenna Toppers Heavy Duty Pickup Truck Accessories (Silver)"/>
        <s v="Jimtyee Car Air Fresheners Cute Cartoon Mouse Pilot Car Diffuser Rotating Propeller Automotive Air Outlet Fan Creative Car Perfume Decoration Cool Car Accessories (Women)"/>
        <s v="2pcs Car Air Fresheners Cute Cartoon Bear Pilot Automotive Air Outlet Propeller Car Diffuser Creative Car Perfume Decoration for Car Vent Clips for Women Men with 8 Fragrant Tablets(Bear + Teddy Bear)"/>
        <s v="Jimtyee 2Pcs Car Air Fresheners Cute Cartoon Mouse Pilot Men Women Car Perfume Rotating Propeller Automotive Air Outlet Fan Creative Diffuser Car Decoration (M.ickey+M.innie)"/>
        <s v="Car Air Fresheners Cartoon Pilot Automotive Air Outlet Propeller Cute Car Diffuser Creative Car Perfume Decoration for Car Vent Clips Car Vent Clip Air Freshener Accessories for Women Men"/>
        <s v="Jimtyee 5 in 1 Car Handle Assist for Elderly Car Door Handle Automotive Portable Vehicle Support Handles with LED Flashlight,Seatbelt Cutter Multifunction for Seniors and Handicapped"/>
        <s v="Upgrade Car Truck Antenna Universal Replacement for Chevy Silverado Avalanche Ford F150 F250 F350 GMC Sierra Short Car Antenna Toppers Heavy Duty Pickup Truck Accessories (Black)"/>
        <s v="2pcs Bear Pilot Car Air Fresheners Cute Cartoon Automotive Air Outlet Propeller Car Diffuser Creative Car Perfume Decoration for Car Vent Clips for Women Men Cool Car Accessories (Bear + Teddy Bear)"/>
        <s v="Jimtyee Car Air Freshener Cute Cartoon Teddy Bear Pilot Car Diffuser Rotating Propeller Automotive Air Outlet Fan Creative Car Perfume Decoration Cool Car Accessories"/>
        <s v="Jimtyee Gas Can Spout Replacement,Gas Can Nozzle (3Kit-Yellow) Fit for 1/2/5/10 Gal Oil Cans,with 6 Screw Collar Caps,Gas Can Vent Caps,Spout Cover,Base Caps,Drill"/>
        <s v="Jimtyee Car Air Fresheners Refills Solid Fragrance Replacement Pads Car Air Vent Clip Freshener Gulong flavor Long Lasting Air Freshener for Car"/>
        <s v="Jimtyee Car Air Fresheners Cute Cartoon Fox Pilot Car Diffuser Rotating Propeller Automotive Air Outlet Fan Creative Car Perfume Decoration Funny Car Interior Accessories"/>
        <s v="Jimtyee Car Air Freshener Cute Cartoon Rabbit Pilot Car Diffuser Rotating Propeller Automotive Air Outlet Fan Creative Car Perfume Decoration Cool Car Accessories"/>
        <s v="Jimtyee Car Air Freshener Cute Cartoon Panda Bear Pilot Car Diffuser Rotating Propeller Automotive Air Outlet Fan Creative Car Perfume Decoration Cool Car Accessories"/>
        <s v="2pcs Car Air Fresheners Cute Cartoon Dog Pilot Automotive Air Outlet Propeller Car Diffuser Creative Car Perfume Decoration for Car Vent Clips Comes with 8 Fragrant Tablets (Husky + Shiba Inu)"/>
        <s v="Car Cup Holder Expander Tray Multifunctional 4 in 1 Car Food Tray for Eating with Dual Cup Holder,Phone Slot and Adjustable Swivel Arm,Universal Car Cup Organizer for Travel Automotive Accessories"/>
        <s v="Jimtyee Cup Holder Expander for Car with Adjustable Base Compatible with Yeti 20/26/30oz Hydro Flasks Large 32/40oz,Large Car Cup Holder Fits Most Cup Holder Diameter Bottles and Mugs in 2.7&quot;-4.1&quot;"/>
        <s v="Jimtyee 5 in 1 Car Door Assist Handle for Elderly Automotive Portable Vehicle Support Handles with LED Flashlight,Seatbelt Cutter,Window Breaker for Seniors and Handicapped"/>
        <s v="Jimtyee Car Truck Antenna Replacement for Chevy Silverado 1500 2500 3500 HD Ford F150 F250 F350 GMC Sierra 1500 2500 3500 Car Antenna Toppers Heavy Duty Pickup Truck Accessories (Black)"/>
        <s v="Upgrade Car Truck Antenna Universal Replacement for Chevy Silverado Avalanche Ford F150 F250 F350 GMC Sierra Short Car Antenna Toppers Heavy Duty Pickup Truck Accessories (Silver)"/>
        <s v="Jimtyee for Jeep Key Fob Cover with Leather Keychain Soft TPU Car Key Case Shell Protection Compatible with Grand Cherokee Renegade Chrysler Dodge Ram Durango Journey Challenger Smart Key (Red)"/>
        <s v="Jimtyee for GMC Key Fob Cover with Leather Lanyard Keychain TPU Key Fob Case Shell Protection for Chevy Silverado Tahoe Suburban GMC Sierra Yukon Acadia Terrain Smart Remote Key Protector"/>
        <s v="Jimtyee Car Air Fresheners Cute Cartoon White Puppy Pilot Car Diffuser Rotating Propeller Automotive Air Outlet Fan Creative Car Perfume Decoration Funny Car Interior Accessories"/>
        <s v="2pcs Car Air Fresheners Cute Yellow Duck Fox Pilot Automotive Air Outlet Propeller Car Diffuser Creative Cartoon Car Perfume for Car Vent Clips with 8 Fragrant Tablets (Yellow duck + Red Fox)"/>
        <s v="Jimtyee Car Air Freshener Yellow Duck Pilot Car Diffuser Rotating Propeller Automotive Auto Vehicle Air Outlet Fan Creative Car Perfume Fragrance Decoration Comes with 4 Fragrant Tablets"/>
        <s v="Jimtyee RV Winterizing Kit Sprinkler Blowout Adapter with Shut Off Valve 12inch Air Compressor Quick Connect Plug Water Blow Out Fitting Adapter for RV, Camper, Boat,Travel Trailer"/>
        <s v="Jimtyee 2 Pack Sunglass Holder for Car,Magnetic Leather Eyeglass Hanger Clip for Car Sun Visor,Car Sunglass Holder Organizer Car Visor Accessories"/>
        <s v="for Nissan Key Fob Cover 4 Button TPU Protection Car Key Case Shell with Bling Keychain Compatible with 2013-2023 Nissan Altima Maxima Murano Rogue Armada Pathfinder Sentra Smart Key Car Accessories"/>
        <s v="Jimtyee for Nissan Key Fob Cover Soft Car Key Case Shell Protection with Bling Keychain Compatible with 2013-2023 Nissan Altima Maxima Murano Rogue Armada Pathfinder Sentra 5 Button Smart Key"/>
        <s v="Jimtyee Car Truck Antenna Replacement for Chevy Silverado 1500 2500 3500 HD Ford F150 F250 F350 GMC Sierra 1500 2500 3500 Car Antenna Toppers Heavy Duty Pickup Truck Accessories (Red)"/>
        <s v="Car Truck Antenna American Flag Design Replacement for Chevy Silverado 1500 2500 3500 HD Ford F150 F250 F350 GMC Sierra 1500 2500 3500 Short Car Antenna Toppers Heavy Duty Pickup Truck (Flag)"/>
        <s v="Car Truck Antenna Replacement for Chevy Silverado 1500 2500 3500 HD Ford F150 F250 F350 GMC Sierra 1500 2500 3500 Short Car Antenna Toppers Heavy Duty Pickup Truck (Black)"/>
        <s v="Jimtyee Car Air Freshener Cute Cartoon Bulldog Pilot Car Diffuser Rotating Propeller Automotive Air Outlet Fan Creative Funny Car Perfume Decoration Cool Car Accessories (Silver)"/>
        <s v="Jimtyee Center Console Hanging Storage Box Compatible with Jeep Wrangler JL/JLU 2018-2023 &amp; Gladiator JT Truck Gear Shift Organizer Tray Interior Accessories"/>
        <s v="Jimtyee for Honda Key Fob Cover 5 Buttons Soft TPU Car Key Case Shell Full Protection Compatible with Honda Accord Civic CRV Pilot Passort Insight Smart Key Protector Bling Keychain Girly Women"/>
        <s v="Jimtyee Car Truck Antenna Replacement for Chevy Silverado 1500 2500 3500 HD Ford F150 F250 F350 GMC Sierra 1500 2500 3500 Car Antenna Toppers Heavy Duty Pickup Truck Accessories (Golden)"/>
        <s v="Car Truck Antenna American Flag Design Replacement for Chevy Silverado 1500 2500 3500 HD Ford F150 F250 F350 GMC Sierra 1500 2500 3500 Short Car Antenna Toppers Heavy Duty Pickup Truck (American Flag)"/>
        <s v="Jimtyee Car Air Fresheners Refills Solid Rose Fragrance Replacement Pads Car Air Vent Clip Freshener Long Lasting Air Freshener for Car (Pack of 10)"/>
        <s v="Jimtyee Car Air Freshener Cute Cartoon Cool Rabbit Car Diffuser Automotive Air Outlet Creative Car Perfume Decoration Aromatherapy Ornament Car Vent Accessories"/>
        <s v="Jimtyee 3Pcs Car Air Fresheners Refills Solid Fragrance for Yellow Duck Replacement Pads Car Air Vent Clip Freshener Long Lasting Air Freshener for Car"/>
        <s v="Dual Cup Holder Expander for Car, 2 in 1 Multifunctional Car Cup Holder Expander Adapter with Adjustable Base All Purpose Vehicle Mounted Water Cup Holder for Seat Automotive Truck"/>
        <s v="Car Cup Holder Expander Tray with Adjustable Base Multifunctional 2 in 1 Upgraded Cup Holder Expander for Car with Phone Slot Car Food Tray Car Fits Most Bottles Mugs in 2.4&quot;- 3.7&quot;"/>
        <s v="Jimtyee Sunglass Holder for Car,Magnetic Leather Glasses Eyeglass Hanger Clip for Car Visor,Ticket Card Clip Eyeglasses Mount Storage, Car Interior Accessories"/>
        <s v="Jimtyee for Ford Key Fob Cover with Keychain Soft TPU Car Key Case Shell Protection Compatible with Ford Explorer Edge Fusion Escape Expedition Mustang F150 F250 F350 Maverick Ranger Smart Key Case"/>
        <s v="Jimtyee for Jeep Key Fob Cover with Leather Keychain Soft TPU Car Key Case Shell Protection Compatible with Grand Cherokee Renegade Chrysler Dodge Ram Durango Journey Challenger Smart Key (Blue)"/>
        <s v="Jimtyee for Jeep Key Fob Cover with Leather Keychain Soft TPU Car Key Case Shell Protection Compatible with Grand Cherokee Renegade Chrysler Dodge Ram Durango Journey Challenger Smart Key (Black)"/>
        <s v="Jimtyee for GMC Key Fob Cover with Leather Keychain Soft TPU 6 Buttons Key Fob Case Shell for Chevy Silverado Tahoe Suburban GMC Yukon Yukon XL Sierra Acadia Terrain Smart Remote Key Protector (White)"/>
        <s v="Jimtyee Car Truck Antenna Replacement for Chevy Silverado 1500 2500 3500 HD Ford F150 F250 F350 GMC Sierra 1500 2500 3500 Car Antenna Toppers Heavy Duty Pickup Truck Accessories (Purple)"/>
        <s v="Jimtyee Car Truck Antenna Replacement for Chevy Silverado 1500 2500 3500 HD Ford F150 F250 F350 GMC Sierra 1500 2500 3500 Car Antenna Toppers Heavy Duty Pickup Truck Accessories (Bule)"/>
        <s v="Jimtyee Steering Wheel Lock for Car Seat Belt Lock Anti-Theft Device Universal Car Security Device Max 17 Inch Length Car Lock Theft Prevention with 3 Keys Fit for Car Truck SUV Van Golf Cart Vehicle"/>
        <s v="Jimtyee Car Air Freshener Yellow Duck Cute Cartoon Car Fragrance Diffuser Automotive Air Outlet Fan Creative Car Perfume Decoration Aromatherapy Car Vent Clip Accessories (Bule)"/>
        <s v="Jimtyee Car Air Freshener Yellow Duck Cute Cartoon Car Fragrance Diffuser Automotive Air Outlet Fan Creative Car Perfume Decoration Aromatherapy Car Vent Clip Accessories (Red)"/>
        <s v="Car Truck Antenna American Flag Design Replacement for Chevy Silverado Ford F150 F250 F350 GMC Sierra 1500 2500 3500 Car Antenna Toppers Heavy Duty Pickup Truck Accessories (American Flag)"/>
        <s v="Jimtyee RV Winterizing Kit, Sprinkler Blowout Adapter with Shut Off Valve 12 inch Air Compressor Quick Connect Plug Garden Hose Water Blow Out Fitting Adapter for RV, Camper, Boat,Travel Trailer Blue"/>
        <s v="Jimtyee RV Winterizing Kit, RV Blowout Adapter with 1/4&quot; Male Quick Connect Plug and 3/4&quot; Garden Water Hose Threading, Sprinkler Blowout Adapter with Ball Valve for RV Boat Camper Travel Trailer"/>
        <s v="Jimtyee Car Truck Antenna Replacement for Chevy Silverado 1500 2500 3500 HD Ford F150 F250 F350 GMC Sierra 1500 2500 3500 Car Antenna Toppers Heavy Duty Pickup Truck Accessories (Blue)"/>
        <s v="Jimtyee Upgrade Car Truck Antenna Universal Replacement for Chevy Silverado Avalanche Ford F150 F250 F350 GMC Sierra Short Car Antenna Toppers Heavy Duty Pickup Truck Accessories (Silver)"/>
        <m/>
      </sharedItems>
    </cacheField>
    <cacheField name="SKU" numFmtId="0">
      <sharedItems containsBlank="1" count="81">
        <s v="Y1087"/>
        <s v="Y1055"/>
        <s v="Y1083"/>
        <s v="Y1054-ZH"/>
        <s v="Y1054"/>
        <s v="Y1084"/>
        <s v="Y1057-ZH"/>
        <s v="Y1038-SI"/>
        <s v="Y1085"/>
        <s v="Y1058-ZH"/>
        <s v="Y1084-ZH"/>
        <s v="Y1060-GR"/>
        <s v="Y1041-RE"/>
        <s v="Y1103-BL"/>
        <s v="Y1060-ZH-"/>
        <s v="Y1058"/>
        <s v="Y1061"/>
        <s v="Y1037"/>
        <s v="Y1060-BL"/>
        <s v="Y1064"/>
        <s v="Y1063"/>
        <s v="Y1088"/>
        <s v="Y1041-BU"/>
        <s v="Y1057"/>
        <s v="Y1056"/>
        <s v="Y1060-GR-ZH"/>
        <s v="Y1052-ZH"/>
        <s v="Y1045-ZH"/>
        <s v="Y1093-RE"/>
        <s v="Y1038-BL"/>
        <s v="Y1103-SI"/>
        <s v="Y1076-RE"/>
        <s v="Y1081-BL"/>
        <s v="Y1089"/>
        <s v="Y1088-ZH"/>
        <s v="Y1062-1"/>
        <s v="Y1104"/>
        <s v="Y1040-GR"/>
        <s v="Y1066-GA"/>
        <s v="Y1074-MG"/>
        <s v="Y1074-WH"/>
        <s v="Y1073-BL"/>
        <s v="Y1038-RE"/>
        <s v="Y1095"/>
        <s v="Y1038-BL-1"/>
        <s v="Y1040-BU"/>
        <s v="Y1059-SI"/>
        <s v="Y1069"/>
        <s v="Y1078-WH"/>
        <s v="Y1078-BL"/>
        <s v="Y1038-GL"/>
        <s v="Y1093-BU"/>
        <s v="Y1096"/>
        <s v="Y1101-CA"/>
        <s v="Y1101-RO"/>
        <s v="Y1100-RE"/>
        <s v="Y1098"/>
        <s v="Y1043-ZH"/>
        <s v="Y1053-ZH"/>
        <s v="Y1066-BE"/>
        <s v="Y1065-BL"/>
        <s v="Y1075-WH"/>
        <s v="Y1075-RE"/>
        <s v="Y1076-BG"/>
        <s v="Y1076-BL"/>
        <s v="Y1079-BL"/>
        <s v="Y1080-BU"/>
        <s v="Y1081-WH"/>
        <s v="Y1038-PU"/>
        <s v="Y1038-BU"/>
        <s v="Y1094-YW"/>
        <s v="Y1097-BU"/>
        <s v="Y1097-RE"/>
        <s v="Y1096-2"/>
        <s v="Y1038-SILVER"/>
        <s v="Y1038-BLACK"/>
        <s v="Y1102-RE"/>
        <s v="Y1039"/>
        <s v="Y1038-BLUE"/>
        <s v="Y1102-PU"/>
        <m/>
      </sharedItems>
    </cacheField>
    <cacheField name="会话次数 – 总计" numFmtId="0">
      <sharedItems containsString="0" containsBlank="1" containsNumber="1" containsInteger="1" minValue="0" maxValue="1704" count="66">
        <n v="1704"/>
        <n v="686"/>
        <n v="852"/>
        <n v="1047"/>
        <n v="451"/>
        <n v="498"/>
        <n v="938"/>
        <n v="323"/>
        <n v="307"/>
        <n v="418"/>
        <n v="384"/>
        <n v="457"/>
        <n v="180"/>
        <n v="185"/>
        <n v="286"/>
        <n v="175"/>
        <n v="154"/>
        <n v="89"/>
        <n v="177"/>
        <n v="157"/>
        <n v="215"/>
        <n v="124"/>
        <n v="112"/>
        <n v="242"/>
        <n v="234"/>
        <n v="116"/>
        <n v="29"/>
        <n v="19"/>
        <n v="105"/>
        <n v="109"/>
        <n v="28"/>
        <n v="219"/>
        <n v="224"/>
        <n v="222"/>
        <n v="52"/>
        <n v="45"/>
        <n v="15"/>
        <n v="53"/>
        <n v="30"/>
        <n v="35"/>
        <n v="27"/>
        <n v="92"/>
        <n v="216"/>
        <n v="8"/>
        <n v="51"/>
        <n v="22"/>
        <n v="21"/>
        <n v="85"/>
        <n v="56"/>
        <n v="39"/>
        <n v="43"/>
        <n v="9"/>
        <n v="16"/>
        <n v="32"/>
        <n v="13"/>
        <n v="17"/>
        <n v="87"/>
        <n v="50"/>
        <n v="97"/>
        <n v="31"/>
        <n v="11"/>
        <n v="1"/>
        <n v="20"/>
        <n v="14"/>
        <n v="2"/>
        <m/>
      </sharedItems>
    </cacheField>
    <cacheField name="会话次数 – 总计 – B2B" numFmtId="0">
      <sharedItems containsString="0" containsBlank="1" containsNumber="1" containsInteger="1" minValue="0" maxValue="19" count="13">
        <n v="19"/>
        <n v="10"/>
        <n v="6"/>
        <n v="12"/>
        <n v="8"/>
        <n v="7"/>
        <n v="16"/>
        <n v="5"/>
        <n v="2"/>
        <n v="3"/>
        <n v="1"/>
        <n v="0"/>
        <m/>
      </sharedItems>
    </cacheField>
    <cacheField name="会话百分比 – 总计" numFmtId="0">
      <sharedItems containsString="0" containsBlank="1" containsNumber="1" minValue="0" maxValue="0.5578" count="66">
        <n v="0.1286"/>
        <n v="0.0518"/>
        <n v="0.0643"/>
        <n v="0.079"/>
        <n v="0.034"/>
        <n v="0.0376"/>
        <n v="0.0708"/>
        <n v="0.0244"/>
        <n v="0.0232"/>
        <n v="0.0315"/>
        <n v="0.029"/>
        <n v="0.0345"/>
        <n v="0.0136"/>
        <n v="0.014"/>
        <n v="0.0216"/>
        <n v="0.0132"/>
        <n v="0.0116"/>
        <n v="0.0067"/>
        <n v="0.0134"/>
        <n v="0.0118"/>
        <n v="0.0162"/>
        <n v="0.0094"/>
        <n v="0.0085"/>
        <n v="0.0183"/>
        <n v="0.0177"/>
        <n v="0.0088"/>
        <n v="0.0022"/>
        <n v="0.0014"/>
        <n v="0.0079"/>
        <n v="0.0082"/>
        <n v="0.0021"/>
        <n v="0.0165"/>
        <n v="0.0169"/>
        <n v="0.0167"/>
        <n v="0.0039"/>
        <n v="0.0034"/>
        <n v="0.0011"/>
        <n v="0.004"/>
        <n v="0.0023"/>
        <n v="0.0026"/>
        <n v="0.002"/>
        <n v="0.0069"/>
        <n v="0.0163"/>
        <n v="0.0006"/>
        <n v="0.0038"/>
        <n v="0.0017"/>
        <n v="0.0016"/>
        <n v="0.0064"/>
        <n v="0.0042"/>
        <n v="0.0029"/>
        <n v="0.0032"/>
        <n v="0.0007"/>
        <n v="0.0012"/>
        <n v="0.0024"/>
        <n v="0.001"/>
        <n v="0.0013"/>
        <n v="0.0066"/>
        <n v="0.5578"/>
        <n v="0.2437"/>
        <n v="0.0779"/>
        <n v="0.0276"/>
        <n v="0.0025"/>
        <n v="0.0503"/>
        <n v="0.0352"/>
        <n v="0.005"/>
        <m/>
      </sharedItems>
    </cacheField>
    <cacheField name="会话百分比 – 总计 – B2B" numFmtId="0">
      <sharedItems containsString="0" containsBlank="1" containsNumber="1" minValue="0" maxValue="0.4" count="15">
        <n v="0.1293"/>
        <n v="0.068"/>
        <n v="0.0408"/>
        <n v="0.0816"/>
        <n v="0.0544"/>
        <n v="0.0476"/>
        <n v="0.1088"/>
        <n v="0.034"/>
        <n v="0.0136"/>
        <n v="0.0204"/>
        <n v="0.0068"/>
        <n v="0"/>
        <n v="0.4"/>
        <n v="0.2"/>
        <m/>
      </sharedItems>
    </cacheField>
    <cacheField name="页面浏览量 – 总计" numFmtId="0">
      <sharedItems containsString="0" containsBlank="1" containsNumber="1" containsInteger="1" minValue="0" maxValue="2272" count="71">
        <n v="2272"/>
        <n v="916"/>
        <n v="1130"/>
        <n v="1392"/>
        <n v="596"/>
        <n v="647"/>
        <n v="1243"/>
        <n v="423"/>
        <n v="428"/>
        <n v="541"/>
        <n v="491"/>
        <n v="582"/>
        <n v="236"/>
        <n v="255"/>
        <n v="345"/>
        <n v="197"/>
        <n v="187"/>
        <n v="100"/>
        <n v="198"/>
        <n v="178"/>
        <n v="268"/>
        <n v="145"/>
        <n v="141"/>
        <n v="286"/>
        <n v="280"/>
        <n v="208"/>
        <n v="31"/>
        <n v="23"/>
        <n v="127"/>
        <n v="136"/>
        <n v="41"/>
        <n v="33"/>
        <n v="246"/>
        <n v="240"/>
        <n v="243"/>
        <n v="63"/>
        <n v="49"/>
        <n v="18"/>
        <n v="92"/>
        <n v="42"/>
        <n v="37"/>
        <n v="254"/>
        <n v="14"/>
        <n v="83"/>
        <n v="68"/>
        <n v="25"/>
        <n v="39"/>
        <n v="26"/>
        <n v="113"/>
        <n v="58"/>
        <n v="47"/>
        <n v="52"/>
        <n v="36"/>
        <n v="13"/>
        <n v="20"/>
        <n v="44"/>
        <n v="21"/>
        <n v="10"/>
        <n v="59"/>
        <n v="38"/>
        <n v="28"/>
        <n v="96"/>
        <n v="17"/>
        <n v="67"/>
        <n v="292"/>
        <n v="118"/>
        <n v="32"/>
        <n v="15"/>
        <n v="2"/>
        <n v="6"/>
        <m/>
      </sharedItems>
    </cacheField>
    <cacheField name="页面浏览量 – 总计 – B2B" numFmtId="0">
      <sharedItems containsString="0" containsBlank="1" containsNumber="1" containsInteger="1" minValue="0" maxValue="30" count="11">
        <n v="30"/>
        <n v="13"/>
        <n v="6"/>
        <n v="8"/>
        <n v="18"/>
        <n v="3"/>
        <n v="2"/>
        <n v="0"/>
        <n v="1"/>
        <n v="4"/>
        <m/>
      </sharedItems>
    </cacheField>
    <cacheField name="页面浏览量百分比 – 总计" numFmtId="0">
      <sharedItems containsString="0" containsBlank="1" containsNumber="1" minValue="0" maxValue="0.5817" count="66">
        <n v="0.134"/>
        <n v="0.054"/>
        <n v="0.0667"/>
        <n v="0.0821"/>
        <n v="0.0352"/>
        <n v="0.0382"/>
        <n v="0.0733"/>
        <n v="0.0249"/>
        <n v="0.0252"/>
        <n v="0.0319"/>
        <n v="0.029"/>
        <n v="0.0343"/>
        <n v="0.0139"/>
        <n v="0.015"/>
        <n v="0.0203"/>
        <n v="0.0116"/>
        <n v="0.011"/>
        <n v="0.0059"/>
        <n v="0.0117"/>
        <n v="0.0105"/>
        <n v="0.0158"/>
        <n v="0.0086"/>
        <n v="0.0083"/>
        <n v="0.0169"/>
        <n v="0.0165"/>
        <n v="0.0123"/>
        <n v="0.0018"/>
        <n v="0.0014"/>
        <n v="0.0075"/>
        <n v="0.008"/>
        <n v="0.0024"/>
        <n v="0.0019"/>
        <n v="0.0145"/>
        <n v="0.0142"/>
        <n v="0.0143"/>
        <n v="0.0037"/>
        <n v="0.0029"/>
        <n v="0.0011"/>
        <n v="0.0054"/>
        <n v="0.0025"/>
        <n v="0.0022"/>
        <n v="0.0008"/>
        <n v="0.0049"/>
        <n v="0.004"/>
        <n v="0.0015"/>
        <n v="0.0023"/>
        <n v="0.0067"/>
        <n v="0.0034"/>
        <n v="0.0028"/>
        <n v="0.0031"/>
        <n v="0.0021"/>
        <n v="0.0012"/>
        <n v="0.0026"/>
        <n v="0.0006"/>
        <n v="0.0035"/>
        <n v="0.0017"/>
        <n v="0.0057"/>
        <n v="0.001"/>
        <n v="0.5817"/>
        <n v="0.2351"/>
        <n v="0.0637"/>
        <n v="0.0299"/>
        <n v="0.0458"/>
        <n v="0.0279"/>
        <n v="0.012"/>
        <m/>
      </sharedItems>
    </cacheField>
    <cacheField name="页面浏览量百分比 – 总计 – B2B" numFmtId="0">
      <sharedItems containsString="0" containsBlank="1" containsNumber="1" minValue="0" maxValue="0.4" count="13">
        <n v="0.1676"/>
        <n v="0.0726"/>
        <n v="0.0335"/>
        <n v="0.0447"/>
        <n v="0.1006"/>
        <n v="0.0168"/>
        <n v="0.0112"/>
        <n v="0"/>
        <n v="0.0056"/>
        <n v="0.0223"/>
        <n v="0.4"/>
        <n v="0.2"/>
        <m/>
      </sharedItems>
    </cacheField>
    <cacheField name="推荐报价（购买按钮）百分比" numFmtId="0">
      <sharedItems containsString="0" containsBlank="1" containsNumber="1" minValue="0" maxValue="1" count="51">
        <n v="0.9973"/>
        <n v="0.9989"/>
        <n v="0.9899"/>
        <n v="0.9926"/>
        <n v="0.9912"/>
        <n v="0.9984"/>
        <n v="0.9992"/>
        <n v="0.9953"/>
        <n v="0.9922"/>
        <n v="0.9979"/>
        <n v="0.9911"/>
        <n v="0.9884"/>
        <n v="1"/>
        <n v="0.9959"/>
        <n v="0.9942"/>
        <n v="0.9876"/>
        <n v="0.94"/>
        <n v="0.9684"/>
        <n v="0.9758"/>
        <n v="0.9921"/>
        <n v="0.9844"/>
        <n v="0.9683"/>
        <n v="0.9886"/>
        <n v="0.9961"/>
        <n v="0.9951"/>
        <n v="0.9667"/>
        <n v="0.7647"/>
        <n v="0.937"/>
        <n v="0.95"/>
        <n v="0.9909"/>
        <n v="0.9779"/>
        <n v="0.9804"/>
        <n v="0.9375"/>
        <n v="0.875"/>
        <n v="0.9677"/>
        <n v="0.9512"/>
        <n v="0.9852"/>
        <n v="0.9474"/>
        <n v="0.9506"/>
        <n v="0.9846"/>
        <n v="0.96"/>
        <n v="0.8519"/>
        <n v="0.9429"/>
        <n v="0.5833"/>
        <n v="0.9189"/>
        <n v="0.8"/>
        <n v="0.9661"/>
        <n v="0.9722"/>
        <n v="0.9107"/>
        <n v="0.9915"/>
        <m/>
      </sharedItems>
    </cacheField>
    <cacheField name="推荐报价（购买按钮）百分比 – B2B" numFmtId="0">
      <sharedItems containsString="0" containsBlank="1" containsNumber="1" minValue="0" maxValue="1" count="5">
        <n v="1"/>
        <n v="0.9231"/>
        <n v="0"/>
        <n v="0.5"/>
        <m/>
      </sharedItems>
    </cacheField>
    <cacheField name="已订购商品数量" numFmtId="0">
      <sharedItems containsString="0" containsBlank="1" containsNumber="1" containsInteger="1" minValue="0" maxValue="103" count="28">
        <n v="103"/>
        <n v="81"/>
        <n v="61"/>
        <n v="55"/>
        <n v="51"/>
        <n v="36"/>
        <n v="33"/>
        <n v="27"/>
        <n v="28"/>
        <n v="24"/>
        <n v="22"/>
        <n v="19"/>
        <n v="15"/>
        <n v="14"/>
        <n v="13"/>
        <n v="11"/>
        <n v="10"/>
        <n v="9"/>
        <n v="8"/>
        <n v="6"/>
        <n v="5"/>
        <n v="4"/>
        <n v="3"/>
        <n v="2"/>
        <n v="1"/>
        <n v="16"/>
        <n v="12"/>
        <m/>
      </sharedItems>
    </cacheField>
  </cacheFields>
</pivotCacheDefinition>
</file>

<file path=xl/pivotCache/pivotCacheDefinition4.xml><?xml version="1.0" encoding="utf-8"?>
<pivotCacheDefinition xmlns="http://schemas.openxmlformats.org/spreadsheetml/2006/main" xmlns:r="http://schemas.openxmlformats.org/officeDocument/2006/relationships" r:id="rId1" createdVersion="5" refreshedVersion="5" minRefreshableVersion="3" refreshedDate="45219.5736574074" refreshedBy="Administrator" recordCount="83">
  <cacheSource type="worksheet">
    <worksheetSource ref="G1:W1048576" sheet="商品推广10.12-10.18" r:id="rId2"/>
  </cacheSource>
  <cacheFields count="19">
    <cacheField name="广告SKU" numFmtId="0">
      <sharedItems containsBlank="1" count="48">
        <s v="Y1038-SI"/>
        <s v="Y1041-BU"/>
        <s v="Y1041-RE"/>
        <s v="Y1055"/>
        <s v="Y1037"/>
        <s v="Y1054"/>
        <s v="Y1065-BE"/>
        <s v="Y1056"/>
        <s v="Y1065-BL"/>
        <s v="Y1066-BE"/>
        <s v="Y1066-GA"/>
        <s v="Y1057"/>
        <s v="Y1066-BL"/>
        <s v="Y1083"/>
        <s v="Y1084"/>
        <s v="Y1087"/>
        <s v="Y1088"/>
        <s v="Y1089"/>
        <s v="Y1058-ZH"/>
        <s v="Y1054-ZH"/>
        <s v="Y1079-WH"/>
        <s v="Y1078-WH"/>
        <s v="Y1079-BL"/>
        <s v="Y1057-ZH"/>
        <s v="Y1088-ZH"/>
        <s v="Y1060-GR-ZH"/>
        <s v="Y1081-RE"/>
        <s v="Y1038-PU"/>
        <s v="Y1059-SI"/>
        <s v="Y1038-BL"/>
        <s v="Y1085"/>
        <s v="Y1076-BL"/>
        <s v="Y1081-BL"/>
        <s v="Y1099-RE"/>
        <s v="Y1097-BU"/>
        <s v="Y1071-WH"/>
        <s v="Y1073-BL"/>
        <s v="Y1074-WH"/>
        <s v="Y1084-ZH"/>
        <s v="Y1038-BL-1"/>
        <s v="Y1094-YW"/>
        <s v="Y1096-2"/>
        <s v="Y1103-BL"/>
        <s v="Y1103-SI"/>
        <s v="Y1095"/>
        <s v="Y1038-BLACK"/>
        <s v="Y1038-SILVER"/>
        <m/>
      </sharedItems>
    </cacheField>
    <cacheField name="广告ASIN" numFmtId="0">
      <sharedItems containsBlank="1" count="48">
        <s v="B0BQ2CTDGC"/>
        <s v="B0BN36ND1X"/>
        <s v="B0BN38LNGW"/>
        <s v="B0BPLH6Y2M"/>
        <s v="B0BMQ7R71D"/>
        <s v="B0BPLHD839"/>
        <s v="B0BQHWYQ6K"/>
        <s v="B0BPLLR7N8"/>
        <s v="B0BQHXN5N9"/>
        <s v="B0BQHVXHLK"/>
        <s v="B0BQHV22J4"/>
        <s v="B0BPLK6Q8D"/>
        <s v="B0BQHZGBK9"/>
        <s v="B0BSKLT31P"/>
        <s v="B0BSKVG5TZ"/>
        <s v="B0BSL4HJZ7"/>
        <s v="B0BSL2JNM5"/>
        <s v="B0BSL4V5GH"/>
        <s v="B0BTLSNFTQ"/>
        <s v="B0BTLRZ257"/>
        <s v="B0BSF5H6Q6"/>
        <s v="B0BSF5TCZ6"/>
        <s v="B0BSF63HXT"/>
        <s v="B0BTLVJWH9"/>
        <s v="B0BTLT57SZ"/>
        <s v="B0BTLSB925"/>
        <s v="B0BSFL42YW"/>
        <s v="B0BTD8GG33"/>
        <s v="B0BPLJXZCH"/>
        <s v="B0BWRNFX4D"/>
        <s v="B0BSKXSTBJ"/>
        <s v="B0BS133PLR"/>
        <s v="B0BSFKQ92J"/>
        <s v="B0C22ZPJ85"/>
        <s v="B0C27P74P9"/>
        <s v="B0BRN6SVB3"/>
        <s v="B0BRSP3ZJ3"/>
        <s v="B0BRSNR54R"/>
        <s v="B0CBK7YJ77"/>
        <s v="B0CDH3MR1F"/>
        <s v="B0BVT3HRQS"/>
        <s v="B0CDKCZNNC"/>
        <s v="B0CFDY1DQH"/>
        <s v="B0CFDX8X5Y"/>
        <s v="B0C1Z22VN3"/>
        <s v="B0C3LKDC86"/>
        <s v="B0C3LNV2JL"/>
        <m/>
      </sharedItems>
    </cacheField>
    <cacheField name="展示量" numFmtId="0">
      <sharedItems containsString="0" containsBlank="1" containsNumber="1" containsInteger="1" minValue="0" maxValue="18520" count="79">
        <n v="4671"/>
        <n v="864"/>
        <n v="4679"/>
        <n v="2427"/>
        <n v="3391"/>
        <n v="4065"/>
        <n v="304"/>
        <n v="1624"/>
        <n v="9774"/>
        <n v="1612"/>
        <n v="195"/>
        <n v="71"/>
        <n v="5114"/>
        <n v="30"/>
        <n v="9"/>
        <n v="7"/>
        <n v="3695"/>
        <n v="1065"/>
        <n v="7540"/>
        <n v="6470"/>
        <n v="1"/>
        <n v="895"/>
        <n v="646"/>
        <n v="1203"/>
        <n v="614"/>
        <n v="2147"/>
        <n v="12438"/>
        <n v="18520"/>
        <n v="3592"/>
        <n v="1250"/>
        <n v="6759"/>
        <n v="112"/>
        <n v="17"/>
        <n v="78"/>
        <n v="785"/>
        <n v="66"/>
        <n v="1176"/>
        <n v="6540"/>
        <n v="295"/>
        <n v="1614"/>
        <n v="642"/>
        <n v="650"/>
        <n v="12479"/>
        <n v="8345"/>
        <n v="392"/>
        <n v="9761"/>
        <n v="8465"/>
        <n v="14530"/>
        <n v="10802"/>
        <n v="3691"/>
        <n v="693"/>
        <n v="93"/>
        <n v="213"/>
        <n v="251"/>
        <n v="192"/>
        <n v="1975"/>
        <n v="1049"/>
        <n v="280"/>
        <n v="5"/>
        <n v="28"/>
        <n v="64"/>
        <n v="1416"/>
        <n v="33"/>
        <n v="685"/>
        <n v="3299"/>
        <n v="421"/>
        <n v="2837"/>
        <n v="3157"/>
        <n v="0"/>
        <n v="453"/>
        <n v="4300"/>
        <n v="199"/>
        <n v="491"/>
        <n v="34"/>
        <n v="29"/>
        <n v="120"/>
        <n v="2055"/>
        <n v="2709"/>
        <m/>
      </sharedItems>
    </cacheField>
    <cacheField name="点击量" numFmtId="0">
      <sharedItems containsString="0" containsBlank="1" containsNumber="1" containsInteger="1" minValue="0" maxValue="76" count="29">
        <n v="24"/>
        <n v="3"/>
        <n v="6"/>
        <n v="14"/>
        <n v="1"/>
        <n v="9"/>
        <n v="0"/>
        <n v="34"/>
        <n v="11"/>
        <n v="4"/>
        <n v="17"/>
        <n v="48"/>
        <n v="8"/>
        <n v="7"/>
        <n v="47"/>
        <n v="16"/>
        <n v="58"/>
        <n v="15"/>
        <n v="18"/>
        <n v="2"/>
        <n v="20"/>
        <n v="5"/>
        <n v="12"/>
        <n v="22"/>
        <n v="64"/>
        <n v="63"/>
        <n v="76"/>
        <n v="10"/>
        <m/>
      </sharedItems>
    </cacheField>
    <cacheField name="点击率(CTR)" numFmtId="0">
      <sharedItems containsString="0" containsBlank="1" containsNumber="1" minValue="0" maxValue="0.0390689941812136" count="60">
        <n v="0.00513808606294155"/>
        <n v="0.00347222222222222"/>
        <n v="0.00128232528318017"/>
        <n v="0.0057684384013185"/>
        <n v="0.000294898260100265"/>
        <n v="0.0022140221402214"/>
        <n v="0.00328947368421053"/>
        <n v="0"/>
        <n v="0.00347861673828525"/>
        <n v="0.000620347394540943"/>
        <n v="0.00512820512820513"/>
        <n v="0.0140845070422535"/>
        <n v="0.0333333333333333"/>
        <n v="0.00297699594046008"/>
        <n v="0.00375586854460094"/>
        <n v="0.00225464190981432"/>
        <n v="0.00741885625965997"/>
        <n v="0.00893854748603352"/>
        <n v="0.0108359133126935"/>
        <n v="0.0390689941812136"/>
        <n v="0.00745225896599907"/>
        <n v="0.00128638044701721"/>
        <n v="0.0031317494600432"/>
        <n v="0.00417594654788419"/>
        <n v="0.0144"/>
        <n v="0.00858115105784879"/>
        <n v="0.0256410256410256"/>
        <n v="0.0223463687150838"/>
        <n v="0.00636942675159236"/>
        <n v="0.0151515151515152"/>
        <n v="0.0102040816326531"/>
        <n v="0.00336391437308868"/>
        <n v="0.0135593220338983"/>
        <n v="0.00185873605947955"/>
        <n v="0.00467289719626168"/>
        <n v="0.00512861607500601"/>
        <n v="0.00754943079688436"/>
        <n v="0.00143427927466448"/>
        <n v="0.00897814530419374"/>
        <n v="0.00399174122505162"/>
        <n v="0.00222181077578226"/>
        <n v="0.00135464643727987"/>
        <n v="0.00288600288600289"/>
        <n v="0.010752688172043"/>
        <n v="0.00469483568075117"/>
        <n v="0.0119521912350598"/>
        <n v="0.015625"/>
        <n v="0.00151898734177215"/>
        <n v="0.00357142857142857"/>
        <n v="0.00583941605839416"/>
        <n v="0.00424371021521673"/>
        <n v="0.0118764845605701"/>
        <n v="0.00563976031018682"/>
        <n v="0.00063351282863478"/>
        <m/>
        <n v="0.00418604651162791"/>
        <n v="0.0050251256281407"/>
        <n v="0.0166666666666667"/>
        <n v="0.00437956204379562"/>
        <n v="0.00369139904023625"/>
      </sharedItems>
    </cacheField>
    <cacheField name="每次点击成本(CPC)" numFmtId="0">
      <sharedItems containsString="0" containsBlank="1" containsNumber="1" minValue="0" maxValue="1.72" count="57">
        <n v="0.5225"/>
        <n v="0.953333333333333"/>
        <n v="0.813333333333333"/>
        <n v="0.46"/>
        <n v="1.02"/>
        <n v="0.436666666666667"/>
        <n v="0.5"/>
        <m/>
        <n v="0.547058823529412"/>
        <n v="0.09"/>
        <n v="0.73"/>
        <n v="1.72"/>
        <n v="0.483636363636364"/>
        <n v="0.22"/>
        <n v="0.479411764705882"/>
        <n v="0.594791666666667"/>
        <n v="0.19"/>
        <n v="0.238571428571429"/>
        <n v="0.319148936170213"/>
        <n v="0.481875"/>
        <n v="0.59875"/>
        <n v="0.528620689655172"/>
        <n v="0.213333333333333"/>
        <n v="0.183333333333333"/>
        <n v="0.252413793103448"/>
        <n v="0.21"/>
        <n v="0.1895"/>
        <n v="0.212"/>
        <n v="0.25"/>
        <n v="0.3025"/>
        <n v="0.576363636363636"/>
        <n v="0.23"/>
        <n v="0.313333333333333"/>
        <n v="0.21828125"/>
        <n v="0.313492063492063"/>
        <n v="0.408571428571429"/>
        <n v="0.358289473684211"/>
        <n v="0.352931034482759"/>
        <n v="0.33375"/>
        <n v="0.28"/>
        <n v="0.45"/>
        <n v="0.39"/>
        <n v="1.16"/>
        <n v="0.253333333333333"/>
        <n v="0.14"/>
        <n v="0.48"/>
        <n v="0.2"/>
        <n v="0.33"/>
        <n v="0.505714285714286"/>
        <n v="0.256"/>
        <n v="0.268125"/>
        <n v="1"/>
        <n v="0.592222222222222"/>
        <n v="0.64"/>
        <n v="0.15"/>
        <n v="0.414444444444444"/>
        <n v="0.359"/>
      </sharedItems>
    </cacheField>
    <cacheField name="花费" numFmtId="0">
      <sharedItems containsString="0" containsBlank="1" containsNumber="1" minValue="0" maxValue="30.66" count="58">
        <n v="12.54"/>
        <n v="2.86"/>
        <n v="4.88"/>
        <n v="6.44"/>
        <n v="1.02"/>
        <n v="3.93"/>
        <n v="0.5"/>
        <n v="0"/>
        <n v="18.6"/>
        <n v="0.09"/>
        <n v="0.73"/>
        <n v="1.72"/>
        <n v="5.32"/>
        <n v="0.88"/>
        <n v="8.15"/>
        <n v="28.55"/>
        <n v="1.52"/>
        <n v="1.67"/>
        <n v="15"/>
        <n v="7.71"/>
        <n v="9.58"/>
        <n v="30.66"/>
        <n v="3.2"/>
        <n v="3.3"/>
        <n v="14.64"/>
        <n v="0.42"/>
        <n v="3.79"/>
        <n v="1.06"/>
        <n v="0.25"/>
        <n v="3.63"/>
        <n v="12.68"/>
        <n v="0.92"/>
        <n v="0.55"/>
        <n v="0.94"/>
        <n v="13.97"/>
        <n v="19.75"/>
        <n v="5.72"/>
        <n v="27.23"/>
        <n v="20.47"/>
        <n v="8.01"/>
        <n v="1.4"/>
        <n v="0.9"/>
        <n v="0.39"/>
        <n v="1.16"/>
        <n v="0.76"/>
        <n v="0.48"/>
        <n v="0.2"/>
        <n v="1.32"/>
        <n v="7.08"/>
        <n v="1.28"/>
        <n v="4.29"/>
        <n v="2"/>
        <n v="10.66"/>
        <n v="0.64"/>
        <n v="0.3"/>
        <n v="3.73"/>
        <n v="3.59"/>
        <m/>
      </sharedItems>
    </cacheField>
    <cacheField name="7天总销售额" numFmtId="0">
      <sharedItems containsString="0" containsBlank="1" containsNumber="1" minValue="0" maxValue="140.94" count="29">
        <n v="29.97"/>
        <n v="35.98"/>
        <n v="17.99"/>
        <n v="29.98"/>
        <n v="0"/>
        <n v="23.98"/>
        <n v="30.98"/>
        <n v="18.99"/>
        <n v="136.89"/>
        <n v="113.94"/>
        <n v="14.99"/>
        <n v="23.99"/>
        <n v="77.97"/>
        <n v="69.96"/>
        <n v="8.99"/>
        <n v="37.98"/>
        <n v="51.98"/>
        <n v="25.99"/>
        <n v="65.97"/>
        <n v="28.98"/>
        <n v="127.95"/>
        <n v="140.94"/>
        <n v="71.96"/>
        <n v="74.96"/>
        <n v="9.99"/>
        <n v="17.98"/>
        <n v="63.96"/>
        <n v="33.98"/>
        <m/>
      </sharedItems>
    </cacheField>
    <cacheField name="广告成本销售比(ACOS)" numFmtId="0">
      <sharedItems containsString="0" containsBlank="1" containsNumber="1" minValue="0" maxValue="0.600387346675274" count="32">
        <n v="0.418418418418418"/>
        <n v="0.0794886047804336"/>
        <n v="0.271261812117843"/>
        <n v="0.214809873248833"/>
        <m/>
        <n v="0.163886572143453"/>
        <n v="0.600387346675274"/>
        <n v="0.177451634422949"/>
        <n v="0.429173249078462"/>
        <n v="0.208561618818029"/>
        <n v="0.084491384102279"/>
        <n v="0.131648235913639"/>
        <n v="0.514342895263509"/>
        <n v="0.399333055439767"/>
        <n v="0.393228164678723"/>
        <n v="0.0457404230989137"/>
        <n v="0.367074527252503"/>
        <n v="0.385466034755134"/>
        <n v="0.0729126587148903"/>
        <n v="0.0407849172758753"/>
        <n v="0.19220857965742"/>
        <n v="0.102335928809789"/>
        <n v="0.482056590752243"/>
        <n v="0.154357170769832"/>
        <n v="0.150605581885203"/>
        <n v="0.193202781325387"/>
        <n v="0.284463590883824"/>
        <n v="0.106856990394877"/>
        <n v="0.0900900900900901"/>
        <n v="0.0422691879866518"/>
        <n v="0.058317698561601"/>
        <n v="0.105650382577987"/>
      </sharedItems>
    </cacheField>
    <cacheField name="投入产出比(ROAS)" numFmtId="0">
      <sharedItems containsString="0" containsBlank="1" containsNumber="1" minValue="0" maxValue="24.5188679245283" count="33">
        <n v="2.38995215311005"/>
        <n v="12.5804195804196"/>
        <n v="3.68647540983607"/>
        <n v="4.65527950310559"/>
        <n v="0"/>
        <n v="6.10178117048346"/>
        <m/>
        <n v="1.66559139784946"/>
        <n v="5.63533834586466"/>
        <n v="2.33006134969325"/>
        <n v="4.79474605954466"/>
        <n v="11.8355263157895"/>
        <n v="7.596"/>
        <n v="1.94422827496757"/>
        <n v="2.50417536534447"/>
        <n v="2.54305283757339"/>
        <n v="21.8625"/>
        <n v="2.72424242424242"/>
        <n v="2.59426229508197"/>
        <n v="13.7150395778364"/>
        <n v="24.5188679245283"/>
        <n v="5.20268138801262"/>
        <n v="9.77173913043478"/>
        <n v="2.07444523979957"/>
        <n v="6.47848101265823"/>
        <n v="6.63986013986014"/>
        <n v="5.1759089239809"/>
        <n v="3.51538837322911"/>
        <n v="9.35830212234707"/>
        <n v="11.1"/>
        <n v="23.6578947368421"/>
        <n v="17.1474530831099"/>
        <n v="9.46518105849582"/>
      </sharedItems>
    </cacheField>
    <cacheField name="7天总订单数(#)" numFmtId="0">
      <sharedItems containsString="0" containsBlank="1" containsNumber="1" containsInteger="1" minValue="0" maxValue="11" count="9">
        <n v="3"/>
        <n v="2"/>
        <n v="1"/>
        <n v="0"/>
        <n v="11"/>
        <n v="5"/>
        <n v="4"/>
        <n v="6"/>
        <m/>
      </sharedItems>
    </cacheField>
    <cacheField name="7天总销售量(#)" numFmtId="0">
      <sharedItems containsString="0" containsBlank="1" containsNumber="1" containsInteger="1" minValue="0" maxValue="11" count="9">
        <n v="3"/>
        <n v="2"/>
        <n v="1"/>
        <n v="0"/>
        <n v="11"/>
        <n v="6"/>
        <n v="4"/>
        <n v="5"/>
        <m/>
      </sharedItems>
    </cacheField>
    <cacheField name="7天的转化率" numFmtId="0">
      <sharedItems containsString="0" containsBlank="1" containsNumber="1" minValue="0" maxValue="0.666666666666667" count="26">
        <n v="0.125"/>
        <n v="0.666666666666667"/>
        <n v="0.166666666666667"/>
        <n v="0.142857142857143"/>
        <n v="0"/>
        <n v="0.222222222222222"/>
        <m/>
        <n v="0.0588235294117647"/>
        <n v="0.181818181818182"/>
        <n v="0.229166666666667"/>
        <n v="0.106382978723404"/>
        <n v="0.0625"/>
        <n v="0.0517241379310345"/>
        <n v="0.266666666666667"/>
        <n v="0.0555555555555556"/>
        <n v="0.0344827586206897"/>
        <n v="0.1"/>
        <n v="0.2"/>
        <n v="0.136363636363636"/>
        <n v="0.25"/>
        <n v="0.03125"/>
        <n v="0.0793650793650794"/>
        <n v="0.0789473684210526"/>
        <n v="0.0689655172413793"/>
        <n v="0.5"/>
        <n v="0.333333333333333"/>
      </sharedItems>
    </cacheField>
    <cacheField name="7天内广告SKU销售量(#)" numFmtId="0">
      <sharedItems containsString="0" containsBlank="1" containsNumber="1" containsInteger="1" minValue="0" maxValue="8" count="8">
        <n v="3"/>
        <n v="1"/>
        <n v="2"/>
        <n v="0"/>
        <n v="8"/>
        <n v="6"/>
        <n v="4"/>
        <m/>
      </sharedItems>
    </cacheField>
    <cacheField name="7天内其他SKU销售量(#)" numFmtId="0">
      <sharedItems containsString="0" containsBlank="1" containsNumber="1" containsInteger="1" minValue="0" maxValue="4" count="6">
        <n v="0"/>
        <n v="1"/>
        <n v="3"/>
        <n v="2"/>
        <n v="4"/>
        <m/>
      </sharedItems>
    </cacheField>
    <cacheField name="7天内广告SKU销售额" numFmtId="0">
      <sharedItems containsString="0" containsBlank="1" containsNumber="1" minValue="0" maxValue="113.94" count="22">
        <n v="29.97"/>
        <n v="17.99"/>
        <n v="29.98"/>
        <n v="0"/>
        <n v="23.98"/>
        <n v="14.99"/>
        <n v="95.92"/>
        <n v="113.94"/>
        <n v="23.99"/>
        <n v="77.97"/>
        <n v="53.97"/>
        <n v="37.98"/>
        <n v="51.98"/>
        <n v="25.99"/>
        <n v="24.99"/>
        <n v="18.99"/>
        <n v="71.96"/>
        <n v="9.99"/>
        <n v="17.98"/>
        <n v="63.96"/>
        <n v="16.99"/>
        <m/>
      </sharedItems>
    </cacheField>
    <cacheField name="7天内其他SKU销售额" numFmtId="0">
      <sharedItems containsString="0" containsBlank="1" containsNumber="1" minValue="0" maxValue="88.96" count="14">
        <n v="0"/>
        <n v="17.99"/>
        <n v="15.99"/>
        <n v="14.99"/>
        <n v="18.99"/>
        <n v="40.97"/>
        <n v="8.99"/>
        <n v="40.98"/>
        <n v="9.99"/>
        <n v="49.98"/>
        <n v="88.96"/>
        <n v="36.98"/>
        <n v="16.99"/>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5.xml><?xml version="1.0" encoding="utf-8"?>
<pivotCacheDefinition xmlns="http://schemas.openxmlformats.org/spreadsheetml/2006/main" xmlns:r="http://schemas.openxmlformats.org/officeDocument/2006/relationships" r:id="rId1" createdVersion="5" refreshedVersion="5" minRefreshableVersion="3" refreshedDate="45219.5739467593" refreshedBy="Administrator" recordCount="93">
  <cacheSource type="worksheet">
    <worksheetSource ref="G1:W1048576" sheet="商品推广10.04-10.18" r:id="rId2"/>
  </cacheSource>
  <cacheFields count="19">
    <cacheField name="广告SKU" numFmtId="0">
      <sharedItems containsBlank="1" count="52">
        <s v="Y1038-SI"/>
        <s v="Y1041-BU"/>
        <s v="Y1041-RE"/>
        <s v="Y1055"/>
        <s v="Y1037"/>
        <s v="Y1054"/>
        <s v="Y1065-BE"/>
        <s v="Y1056"/>
        <s v="Y1065-BL"/>
        <s v="Y1066-BE"/>
        <s v="Y1066-GA"/>
        <s v="Y1057"/>
        <s v="Y1066-BL"/>
        <s v="Y1083"/>
        <s v="Y1084"/>
        <s v="Y1087"/>
        <s v="Y1088"/>
        <s v="Y1089"/>
        <s v="Y1058-ZH"/>
        <s v="Y1054-ZH"/>
        <s v="Y1079-WH"/>
        <s v="Y1078-WH"/>
        <s v="Y1079-BL"/>
        <s v="Y1057-ZH"/>
        <s v="Y1088-ZH"/>
        <s v="Y1060-GR-ZH"/>
        <s v="Y1081-RE"/>
        <s v="Y1038-PU"/>
        <s v="Y1059-SI"/>
        <s v="Y1038-BL"/>
        <s v="Y1085"/>
        <s v="Y1095"/>
        <s v="Y1076-BL"/>
        <s v="Y1075-WH"/>
        <s v="Y1081-BL"/>
        <s v="Y1075-RE"/>
        <s v="Y1099-RE"/>
        <s v="Y1097-BU"/>
        <s v="Y1071-WH"/>
        <s v="Y1073-BL"/>
        <s v="Y1074-WH"/>
        <s v="Y1071-MG"/>
        <s v="Y1084-ZH"/>
        <s v="Y1038-BL-1"/>
        <s v="Y1043-ZH"/>
        <s v="Y1094-YW"/>
        <s v="Y1096-2"/>
        <s v="Y1103-BL"/>
        <s v="Y1103-SI"/>
        <s v="Y1038-BLACK"/>
        <s v="Y1038-SILVER"/>
        <m/>
      </sharedItems>
    </cacheField>
    <cacheField name="广告ASIN" numFmtId="0">
      <sharedItems containsBlank="1" count="52">
        <s v="B0BQ2CTDGC"/>
        <s v="B0BN36ND1X"/>
        <s v="B0BN38LNGW"/>
        <s v="B0BPLH6Y2M"/>
        <s v="B0BMQ7R71D"/>
        <s v="B0BPLHD839"/>
        <s v="B0BQHWYQ6K"/>
        <s v="B0BPLLR7N8"/>
        <s v="B0BQHXN5N9"/>
        <s v="B0BQHVXHLK"/>
        <s v="B0BQHV22J4"/>
        <s v="B0BPLK6Q8D"/>
        <s v="B0BQHZGBK9"/>
        <s v="B0BSKLT31P"/>
        <s v="B0BSKVG5TZ"/>
        <s v="B0BSL4HJZ7"/>
        <s v="B0BSL2JNM5"/>
        <s v="B0BSL4V5GH"/>
        <s v="B0BTLSNFTQ"/>
        <s v="B0BTLRZ257"/>
        <s v="B0BSF5H6Q6"/>
        <s v="B0BSF5TCZ6"/>
        <s v="B0BSF63HXT"/>
        <s v="B0BTLVJWH9"/>
        <s v="B0BTLT57SZ"/>
        <s v="B0BTLSB925"/>
        <s v="B0BSFL42YW"/>
        <s v="B0BTD8GG33"/>
        <s v="B0BPLJXZCH"/>
        <s v="B0BWRNFX4D"/>
        <s v="B0BSKXSTBJ"/>
        <s v="B0C1Z22VN3"/>
        <s v="B0BS133PLR"/>
        <s v="B0BRXZCGZC"/>
        <s v="B0BSFKQ92J"/>
        <s v="B0BRY14RTZ"/>
        <s v="B0C22ZPJ85"/>
        <s v="B0C27P74P9"/>
        <s v="B0BRN6SVB3"/>
        <s v="B0BRSP3ZJ3"/>
        <s v="B0BRSNR54R"/>
        <s v="B0BRN7X3WS"/>
        <s v="B0CBK7YJ77"/>
        <s v="B0CDH3MR1F"/>
        <s v="B0BND5CP99"/>
        <s v="B0BVT3HRQS"/>
        <s v="B0CDKCZNNC"/>
        <s v="B0CFDY1DQH"/>
        <s v="B0CFDX8X5Y"/>
        <s v="B0C3LKDC86"/>
        <s v="B0C3LNV2JL"/>
        <m/>
      </sharedItems>
    </cacheField>
    <cacheField name="展示量" numFmtId="0">
      <sharedItems containsString="0" containsBlank="1" containsNumber="1" containsInteger="1" minValue="0" maxValue="37004" count="92">
        <n v="11221"/>
        <n v="2023"/>
        <n v="7555"/>
        <n v="5268"/>
        <n v="6269"/>
        <n v="9452"/>
        <n v="1220"/>
        <n v="6512"/>
        <n v="3008"/>
        <n v="23342"/>
        <n v="3206"/>
        <n v="542"/>
        <n v="284"/>
        <n v="18929"/>
        <n v="43"/>
        <n v="11"/>
        <n v="10"/>
        <n v="7370"/>
        <n v="2147"/>
        <n v="11797"/>
        <n v="13390"/>
        <n v="9"/>
        <n v="6"/>
        <n v="1969"/>
        <n v="1921"/>
        <n v="2266"/>
        <n v="3485"/>
        <n v="3535"/>
        <n v="30001"/>
        <n v="37004"/>
        <n v="7992"/>
        <n v="3663"/>
        <n v="13238"/>
        <n v="303"/>
        <n v="31"/>
        <n v="168"/>
        <n v="1798"/>
        <n v="1693"/>
        <n v="186"/>
        <n v="4671"/>
        <n v="9205"/>
        <n v="571"/>
        <n v="3126"/>
        <n v="1468"/>
        <n v="1699"/>
        <n v="22892"/>
        <n v="15379"/>
        <n v="479"/>
        <n v="25494"/>
        <n v="19514"/>
        <n v="32477"/>
        <n v="20242"/>
        <n v="8868"/>
        <n v="1365"/>
        <n v="53"/>
        <n v="211"/>
        <n v="451"/>
        <n v="482"/>
        <n v="67"/>
        <n v="660"/>
        <n v="4505"/>
        <n v="20"/>
        <n v="1151"/>
        <n v="396"/>
        <n v="52"/>
        <n v="151"/>
        <n v="44"/>
        <n v="56"/>
        <n v="2584"/>
        <n v="28"/>
        <n v="14"/>
        <n v="122"/>
        <n v="1316"/>
        <n v="6358"/>
        <n v="798"/>
        <n v="6351"/>
        <n v="109"/>
        <n v="33"/>
        <n v="9013"/>
        <n v="224"/>
        <n v="990"/>
        <n v="20844"/>
        <n v="79"/>
        <n v="1328"/>
        <n v="1686"/>
        <n v="1880"/>
        <n v="177"/>
        <n v="29"/>
        <n v="120"/>
        <n v="3954"/>
        <n v="5069"/>
        <m/>
      </sharedItems>
    </cacheField>
    <cacheField name="点击量" numFmtId="0">
      <sharedItems containsString="0" containsBlank="1" containsNumber="1" containsInteger="1" minValue="0" maxValue="151" count="39">
        <n v="38"/>
        <n v="5"/>
        <n v="7"/>
        <n v="32"/>
        <n v="2"/>
        <n v="18"/>
        <n v="6"/>
        <n v="10"/>
        <n v="1"/>
        <n v="81"/>
        <n v="0"/>
        <n v="19"/>
        <n v="8"/>
        <n v="41"/>
        <n v="87"/>
        <n v="15"/>
        <n v="86"/>
        <n v="26"/>
        <n v="35"/>
        <n v="139"/>
        <n v="47"/>
        <n v="125"/>
        <n v="34"/>
        <n v="17"/>
        <n v="3"/>
        <n v="43"/>
        <n v="33"/>
        <n v="4"/>
        <n v="9"/>
        <n v="151"/>
        <n v="130"/>
        <n v="56"/>
        <n v="140"/>
        <n v="115"/>
        <n v="11"/>
        <n v="39"/>
        <n v="66"/>
        <n v="23"/>
        <m/>
      </sharedItems>
    </cacheField>
    <cacheField name="点击率(CTR)" numFmtId="0">
      <sharedItems containsString="0" containsBlank="1" containsNumber="1" minValue="0" maxValue="0.0379523389232127" count="76">
        <n v="0.00338650744140451"/>
        <n v="0.00247157686604053"/>
        <n v="0.000926538716082065"/>
        <n v="0.00607441154138193"/>
        <n v="0.000319030148349019"/>
        <n v="0.0019043588658485"/>
        <n v="0.00491803278688525"/>
        <n v="0.00153562653562654"/>
        <n v="0.000332446808510638"/>
        <n v="0.0034701396624111"/>
        <n v="0.00218340611353712"/>
        <n v="0.0018450184501845"/>
        <n v="0.00352112676056338"/>
        <n v="5.28289925511121e-5"/>
        <n v="0.0232558139534884"/>
        <n v="0"/>
        <n v="0.00257801899592944"/>
        <n v="0.00372612948299953"/>
        <n v="0.00347545986267695"/>
        <n v="0.00649738610903659"/>
        <n v="0.00914169629253428"/>
        <n v="0.00780843310775638"/>
        <n v="0.0379523389232127"/>
        <n v="0.00143472022955524"/>
        <n v="0.00735502121640736"/>
        <n v="0.00116662777907403"/>
        <n v="0.003756350664793"/>
        <n v="0.00437937937937938"/>
        <n v="0.0128310128310128"/>
        <n v="0.00944251397492068"/>
        <n v="0.0033003300330033"/>
        <n v="0.0119047619047619"/>
        <n v="0.0189098998887653"/>
        <n v="0.0100413467217956"/>
        <n v="0.0161290322580645"/>
        <n v="0.00920573752943695"/>
        <n v="0.00358500814774579"/>
        <n v="0.00700525394045534"/>
        <n v="0.00287907869481766"/>
        <n v="0.00476839237057221"/>
        <n v="0.00659619080901625"/>
        <n v="0.0084530853761623"/>
        <n v="0.00219659527732015"/>
        <n v="0.00717433637388542"/>
        <n v="0.00354096745389045"/>
        <n v="0.00232190495010374"/>
        <n v="0.0012404149751917"/>
        <n v="0.00293040293040293"/>
        <n v="0.00947867298578199"/>
        <n v="0.00221729490022173"/>
        <n v="0.0103734439834025"/>
        <n v="0.0149253731343284"/>
        <n v="0.0151515151515152"/>
        <n v="0.00421753607103219"/>
        <n v="0.00505050505050505"/>
        <n v="0.0192307692307692"/>
        <n v="0.0198675496688742"/>
        <n v="0.0011609907120743"/>
        <n v="0.0060790273556231"/>
        <n v="0.00519031141868512"/>
        <n v="0.0100250626566416"/>
        <n v="0.00614076523382144"/>
        <n v="0.00917431192660551"/>
        <n v="0.000554754243869966"/>
        <n v="0.00892857142857143"/>
        <n v="0.00101010101010101"/>
        <n v="0.00316637881404721"/>
        <n v="0.0253164556962025"/>
        <n v="0.00677710843373494"/>
        <n v="0.00177935943060498"/>
        <n v="0.00319148936170213"/>
        <n v="0.0169491525423729"/>
        <n v="0.0166666666666667"/>
        <n v="0.00581689428426909"/>
        <n v="0.00512921680804892"/>
        <m/>
      </sharedItems>
    </cacheField>
    <cacheField name="每次点击成本(CPC)" numFmtId="0">
      <sharedItems containsString="0" containsBlank="1" containsNumber="1" minValue="0" maxValue="1.72" count="70">
        <n v="0.531052631578947"/>
        <n v="0.824"/>
        <n v="0.828571428571429"/>
        <n v="0.4496875"/>
        <n v="1.02"/>
        <n v="0.499444444444444"/>
        <n v="1.29833333333333"/>
        <n v="1.166"/>
        <n v="0.73"/>
        <n v="0.581358024691358"/>
        <n v="0.39"/>
        <n v="1.72"/>
        <m/>
        <n v="0.522105263157895"/>
        <n v="0.225"/>
        <n v="0.467317073170732"/>
        <n v="0.579770114942529"/>
        <n v="0.207777777777778"/>
        <n v="0.224666666666667"/>
        <n v="0.320348837209302"/>
        <n v="0.434"/>
        <n v="0.473461538461538"/>
        <n v="0.586"/>
        <n v="0.524892086330935"/>
        <n v="0.248"/>
        <n v="0.189574468085106"/>
        <n v="0.26016"/>
        <n v="0.37"/>
        <n v="0.21"/>
        <n v="0.194705882352941"/>
        <n v="0.221764705882353"/>
        <n v="0.216666666666667"/>
        <n v="0.274883720930233"/>
        <n v="0.576363636363636"/>
        <n v="0.23"/>
        <n v="0.158888888888889"/>
        <n v="0.318571428571429"/>
        <n v="0.218013245033113"/>
        <n v="0.302384615384615"/>
        <n v="0.347321428571429"/>
        <n v="0.367285714285714"/>
        <n v="0.350782608695652"/>
        <n v="0.33"/>
        <n v="0.285454545454546"/>
        <n v="0.435"/>
        <n v="0.375"/>
        <n v="1.16"/>
        <n v="0.264"/>
        <n v="0.28"/>
        <n v="0.249"/>
        <n v="0.285263157894737"/>
        <n v="0.51"/>
        <n v="0.2"/>
        <n v="1.29666666666667"/>
        <n v="0.473030303030303"/>
        <n v="0.245"/>
        <n v="0.247692307692308"/>
        <n v="0.55"/>
        <n v="1"/>
        <n v="0.08"/>
        <n v="1.35"/>
        <n v="0.76469696969697"/>
        <n v="0.59"/>
        <n v="0.437777777777778"/>
        <n v="0.456666666666667"/>
        <n v="0.666666666666667"/>
        <n v="0.503333333333333"/>
        <n v="0.15"/>
        <n v="0.415652173913043"/>
        <n v="0.337692307692308"/>
      </sharedItems>
    </cacheField>
    <cacheField name="花费" numFmtId="0">
      <sharedItems containsString="0" containsBlank="1" containsNumber="1" minValue="0" maxValue="72.96" count="73">
        <n v="20.18"/>
        <n v="4.12"/>
        <n v="5.8"/>
        <n v="14.39"/>
        <n v="2.04"/>
        <n v="8.99"/>
        <n v="7.79"/>
        <n v="11.66"/>
        <n v="0.73"/>
        <n v="47.09"/>
        <n v="2.73"/>
        <n v="1.72"/>
        <n v="0"/>
        <n v="9.92"/>
        <n v="1.8"/>
        <n v="19.16"/>
        <n v="50.44"/>
        <n v="3.74"/>
        <n v="3.37"/>
        <n v="27.55"/>
        <n v="2.17"/>
        <n v="12.31"/>
        <n v="20.51"/>
        <n v="72.96"/>
        <n v="8.68"/>
        <n v="8.91"/>
        <n v="32.52"/>
        <n v="0.37"/>
        <n v="0.42"/>
        <n v="6.62"/>
        <n v="3.77"/>
        <n v="0.65"/>
        <n v="11.82"/>
        <n v="19.02"/>
        <n v="0.92"/>
        <n v="1.43"/>
        <n v="2.23"/>
        <n v="32.92"/>
        <n v="39.31"/>
        <n v="19.45"/>
        <n v="51.42"/>
        <n v="40.34"/>
        <n v="15.51"/>
        <n v="3.14"/>
        <n v="1.74"/>
        <n v="0.75"/>
        <n v="1.16"/>
        <n v="1.32"/>
        <n v="0.28"/>
        <n v="2.49"/>
        <n v="5.42"/>
        <n v="1.02"/>
        <n v="0.2"/>
        <n v="0.6"/>
        <n v="3.89"/>
        <n v="3"/>
        <n v="15.61"/>
        <n v="1.96"/>
        <n v="9.66"/>
        <n v="0.55"/>
        <n v="5"/>
        <n v="0.16"/>
        <n v="1.35"/>
        <n v="50.47"/>
        <n v="1.18"/>
        <n v="3.94"/>
        <n v="1.37"/>
        <n v="4"/>
        <n v="1.51"/>
        <n v="0.3"/>
        <n v="9.56"/>
        <n v="8.78"/>
        <m/>
      </sharedItems>
    </cacheField>
    <cacheField name="7天总销售额" numFmtId="0">
      <sharedItems containsString="0" containsBlank="1" containsNumber="1" minValue="0" maxValue="293.68" count="44">
        <n v="29.97"/>
        <n v="35.98"/>
        <n v="17.99"/>
        <n v="29.98"/>
        <n v="0"/>
        <n v="75.94"/>
        <n v="33.98"/>
        <n v="75.95"/>
        <n v="50.77"/>
        <n v="44.98"/>
        <n v="272.78"/>
        <n v="37.98"/>
        <n v="212.68"/>
        <n v="14.99"/>
        <n v="23.99"/>
        <n v="293.68"/>
        <n v="69.96"/>
        <n v="17.98"/>
        <n v="121.53"/>
        <n v="51.98"/>
        <n v="68.17"/>
        <n v="46.78"/>
        <n v="143.53"/>
        <n v="8.99"/>
        <n v="108.14"/>
        <n v="226.91"/>
        <n v="56.97"/>
        <n v="273.68"/>
        <n v="154.71"/>
        <n v="207.69"/>
        <n v="21.98"/>
        <n v="9.99"/>
        <n v="26.97"/>
        <n v="15.19"/>
        <n v="33.99"/>
        <n v="22.98"/>
        <n v="10.99"/>
        <n v="88.37"/>
        <n v="19.99"/>
        <n v="62.35"/>
        <n v="12.99"/>
        <n v="79.95"/>
        <n v="50.97"/>
        <m/>
      </sharedItems>
    </cacheField>
    <cacheField name="广告成本销售比(ACOS)" numFmtId="0">
      <sharedItems containsString="0" containsBlank="1" containsNumber="1" minValue="0" maxValue="0.854939558149229" count="47">
        <n v="0.67334000667334"/>
        <n v="0.114508060033352"/>
        <n v="0.322401334074486"/>
        <n v="0.479986657771848"/>
        <m/>
        <n v="0.11838293389518"/>
        <n v="0.343143025309005"/>
        <n v="0.620013166556945"/>
        <n v="0.195390978924562"/>
        <n v="0.425967096487328"/>
        <n v="0.18491091722267"/>
        <n v="0.103946637020567"/>
        <n v="0.0887309110057925"/>
        <n v="0.129537333082565"/>
        <n v="0.821214142761841"/>
        <n v="0.854939558149229"/>
        <n v="0.248433669299918"/>
        <n v="0.124070897655803"/>
        <n v="0.495550611790879"/>
        <n v="0.267588249814861"/>
        <n v="0.127356675644479"/>
        <n v="0.0553029191726566"/>
        <n v="0.252672082086362"/>
        <n v="0.132515850344876"/>
        <n v="0.102335928809789"/>
        <n v="0.304420196042168"/>
        <n v="0.173240491824953"/>
        <n v="0.34140775846937"/>
        <n v="0.187883659748611"/>
        <n v="0.260745911705772"/>
        <n v="0.0746786075400838"/>
        <n v="0.142857142857143"/>
        <n v="0.174174174174174"/>
        <n v="0.0923248053392658"/>
        <n v="0.356813693219223"/>
        <n v="0.0667408231368187"/>
        <n v="0.114479105356092"/>
        <n v="0.088261253309797"/>
        <n v="0.6792863359443"/>
        <n v="0.178343949044586"/>
        <n v="0.109313115310626"/>
        <n v="0.250125062531266"/>
        <n v="0.809462710505212"/>
        <n v="0.303310238645112"/>
        <n v="0.116243264049269"/>
        <n v="0.119574734208881"/>
        <n v="0.1722581910928"/>
      </sharedItems>
    </cacheField>
    <cacheField name="投入产出比(ROAS)" numFmtId="0">
      <sharedItems containsString="0" containsBlank="1" containsNumber="1" minValue="0" maxValue="18.0822281167109" count="48">
        <n v="1.48513379583746"/>
        <n v="8.73300970873786"/>
        <n v="3.10172413793103"/>
        <n v="2.08339124391939"/>
        <n v="0"/>
        <n v="8.44716351501669"/>
        <n v="2.91423670668954"/>
        <n v="1.61286897430452"/>
        <m/>
        <n v="5.1179435483871"/>
        <n v="2.34759916492693"/>
        <n v="5.40800951625694"/>
        <n v="9.62032085561497"/>
        <n v="11.2700296735905"/>
        <n v="7.71978221415608"/>
        <n v="1.21770917952884"/>
        <n v="1.16967333008289"/>
        <n v="4.02521929824561"/>
        <n v="8.05990783410138"/>
        <n v="2.01795735129068"/>
        <n v="3.73708487084871"/>
        <n v="7.85196374622357"/>
        <n v="18.0822281167109"/>
        <n v="3.95769881556684"/>
        <n v="7.54626708727655"/>
        <n v="9.77173913043478"/>
        <n v="3.28493317132442"/>
        <n v="5.77232256423302"/>
        <n v="2.92904884318766"/>
        <n v="5.32244262932711"/>
        <n v="3.83515121467526"/>
        <n v="13.3907156673114"/>
        <n v="7"/>
        <n v="5.74137931034483"/>
        <n v="10.8313253012048"/>
        <n v="2.80258302583026"/>
        <n v="14.9833333333333"/>
        <n v="8.73521850899743"/>
        <n v="11.33"/>
        <n v="1.472133247918"/>
        <n v="5.60714285714286"/>
        <n v="9.148033126294"/>
        <n v="3.998"/>
        <n v="1.23538735882703"/>
        <n v="3.29695431472081"/>
        <n v="8.60264900662252"/>
        <n v="8.36297071129707"/>
        <n v="5.80523917995444"/>
      </sharedItems>
    </cacheField>
    <cacheField name="7天总订单数(#)" numFmtId="0">
      <sharedItems containsString="0" containsBlank="1" containsNumber="1" containsInteger="1" minValue="0" maxValue="22" count="14">
        <n v="3"/>
        <n v="2"/>
        <n v="1"/>
        <n v="0"/>
        <n v="5"/>
        <n v="22"/>
        <n v="11"/>
        <n v="12"/>
        <n v="4"/>
        <n v="7"/>
        <n v="6"/>
        <n v="9"/>
        <n v="10"/>
        <m/>
      </sharedItems>
    </cacheField>
    <cacheField name="7天总销售量(#)" numFmtId="0">
      <sharedItems containsString="0" containsBlank="1" containsNumber="1" containsInteger="1" minValue="0" maxValue="22" count="13">
        <n v="3"/>
        <n v="2"/>
        <n v="1"/>
        <n v="0"/>
        <n v="6"/>
        <n v="5"/>
        <n v="22"/>
        <n v="12"/>
        <n v="4"/>
        <n v="7"/>
        <n v="9"/>
        <n v="11"/>
        <m/>
      </sharedItems>
    </cacheField>
    <cacheField name="7天的转化率" numFmtId="0">
      <sharedItems containsString="0" containsBlank="1" containsNumber="1" minValue="0" maxValue="0.666666666666667" count="43">
        <n v="0.0789473684210526"/>
        <n v="0.4"/>
        <n v="0.142857142857143"/>
        <n v="0.0625"/>
        <n v="0"/>
        <n v="0.277777777777778"/>
        <n v="0.2"/>
        <n v="0.0617283950617284"/>
        <m/>
        <n v="0.157894736842105"/>
        <n v="0.0487804878048781"/>
        <n v="0.252873563218391"/>
        <n v="0.111111111111111"/>
        <n v="0.133333333333333"/>
        <n v="0.127906976744186"/>
        <n v="0.0384615384615385"/>
        <n v="0.0285714285714286"/>
        <n v="0.0863309352517986"/>
        <n v="0.114285714285714"/>
        <n v="0.0425531914893617"/>
        <n v="0.056"/>
        <n v="0.0588235294117647"/>
        <n v="0.176470588235294"/>
        <n v="0.0465116279069767"/>
        <n v="0.212121212121212"/>
        <n v="0.25"/>
        <n v="0.0397350993377483"/>
        <n v="0.0692307692307692"/>
        <n v="0.0535714285714286"/>
        <n v="0.0857142857142857"/>
        <n v="0.0782608695652174"/>
        <n v="0.212765957446809"/>
        <n v="0.181818181818182"/>
        <n v="0.3"/>
        <n v="0.0526315789473684"/>
        <n v="0.333333333333333"/>
        <n v="0.666666666666667"/>
        <n v="0.125"/>
        <n v="0.0606060606060606"/>
        <n v="0.0769230769230769"/>
        <n v="0.0757575757575758"/>
        <n v="0.173913043478261"/>
        <n v="0.115384615384615"/>
      </sharedItems>
    </cacheField>
    <cacheField name="7天内广告SKU销售量(#)" numFmtId="0">
      <sharedItems containsString="0" containsBlank="1" containsNumber="1" containsInteger="1" minValue="0" maxValue="16" count="12">
        <n v="3"/>
        <n v="1"/>
        <n v="2"/>
        <n v="0"/>
        <n v="4"/>
        <n v="16"/>
        <n v="12"/>
        <n v="9"/>
        <n v="6"/>
        <n v="7"/>
        <n v="5"/>
        <m/>
      </sharedItems>
    </cacheField>
    <cacheField name="7天内其他SKU销售量(#)" numFmtId="0">
      <sharedItems containsString="0" containsBlank="1" containsNumber="1" containsInteger="1" minValue="0" maxValue="8" count="9">
        <n v="0"/>
        <n v="1"/>
        <n v="3"/>
        <n v="2"/>
        <n v="6"/>
        <n v="5"/>
        <n v="8"/>
        <n v="4"/>
        <m/>
      </sharedItems>
    </cacheField>
    <cacheField name="7天内广告SKU销售额" numFmtId="0">
      <sharedItems containsString="0" containsBlank="1" containsNumber="1" minValue="0" maxValue="228.71" count="36">
        <n v="29.97"/>
        <n v="17.99"/>
        <n v="29.98"/>
        <n v="0"/>
        <n v="35.97"/>
        <n v="33.98"/>
        <n v="59.96"/>
        <n v="14.99"/>
        <n v="191.84"/>
        <n v="35.98"/>
        <n v="18.99"/>
        <n v="212.68"/>
        <n v="23.99"/>
        <n v="228.71"/>
        <n v="53.97"/>
        <n v="102.54"/>
        <n v="51.98"/>
        <n v="25.99"/>
        <n v="46.78"/>
        <n v="44.98"/>
        <n v="56.97"/>
        <n v="77.97"/>
        <n v="98.76"/>
        <n v="154.71"/>
        <n v="121.53"/>
        <n v="9.99"/>
        <n v="26.97"/>
        <n v="15.19"/>
        <n v="8.99"/>
        <n v="33.99"/>
        <n v="88.37"/>
        <n v="19.99"/>
        <n v="62.35"/>
        <n v="12.99"/>
        <n v="79.95"/>
        <m/>
      </sharedItems>
    </cacheField>
    <cacheField name="7天内其他SKU销售额" numFmtId="0">
      <sharedItems containsString="0" containsBlank="1" containsNumber="1" minValue="0" maxValue="174.92" count="23">
        <n v="0"/>
        <n v="17.99"/>
        <n v="39.97"/>
        <n v="15.99"/>
        <n v="35.78"/>
        <n v="44.98"/>
        <n v="80.94"/>
        <n v="18.99"/>
        <n v="14.99"/>
        <n v="64.97"/>
        <n v="17.98"/>
        <n v="42.18"/>
        <n v="98.55"/>
        <n v="8.99"/>
        <n v="51.17"/>
        <n v="148.94"/>
        <n v="174.92"/>
        <n v="86.16"/>
        <n v="21.98"/>
        <n v="12.99"/>
        <n v="10.99"/>
        <n v="16.99"/>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6.xml><?xml version="1.0" encoding="utf-8"?>
<pivotCacheDefinition xmlns="http://schemas.openxmlformats.org/spreadsheetml/2006/main" xmlns:r="http://schemas.openxmlformats.org/officeDocument/2006/relationships" r:id="rId1" createdVersion="5" refreshedVersion="5" minRefreshableVersion="3" refreshedDate="45219.5740509259" refreshedBy="Administrator" recordCount="97">
  <cacheSource type="worksheet">
    <worksheetSource ref="G1:W1048576" sheet="商品推广9.19-10.18" r:id="rId2"/>
  </cacheSource>
  <cacheFields count="19">
    <cacheField name="广告SKU" numFmtId="0">
      <sharedItems containsBlank="1" count="54">
        <s v="Y1038-SI"/>
        <s v="Y1041-BU"/>
        <s v="Y1041-RE"/>
        <s v="Y1055"/>
        <s v="Y1037"/>
        <s v="Y1054"/>
        <s v="Y1065-BE"/>
        <s v="Y1056"/>
        <s v="Y1065-BL"/>
        <s v="Y1066-BE"/>
        <s v="Y1066-GA"/>
        <s v="Y1057"/>
        <s v="Y1066-BL"/>
        <s v="Y1083"/>
        <s v="Y1084"/>
        <s v="Y1087"/>
        <s v="Y1088"/>
        <s v="Y1089"/>
        <s v="Y1058-ZH"/>
        <s v="Y1054-ZH"/>
        <s v="Y1080-BU"/>
        <s v="Y1079-WH"/>
        <s v="Y1078-WH"/>
        <s v="Y1079-BL"/>
        <s v="Y1057-ZH"/>
        <s v="Y1088-ZH"/>
        <s v="Y1060-GR-ZH"/>
        <s v="Y1081-RE"/>
        <s v="Y1038-PU"/>
        <s v="Y1059-SI"/>
        <s v="Y1038-BL"/>
        <s v="Y1085"/>
        <s v="Y1095"/>
        <s v="Y1076-BL"/>
        <s v="Y1075-WH"/>
        <s v="Y1081-BL"/>
        <s v="Y1096"/>
        <s v="Y1075-RE"/>
        <s v="Y1099-RE"/>
        <s v="Y1097-BU"/>
        <s v="Y1071-WH"/>
        <s v="Y1073-BL"/>
        <s v="Y1074-WH"/>
        <s v="Y1071-MG"/>
        <s v="Y1084-ZH"/>
        <s v="Y1038-BL-1"/>
        <s v="Y1043-ZH"/>
        <s v="Y1094-YW"/>
        <s v="Y1096-2"/>
        <s v="Y1103-BL"/>
        <s v="Y1103-SI"/>
        <s v="Y1038-BLACK"/>
        <s v="Y1038-SILVER"/>
        <m/>
      </sharedItems>
    </cacheField>
    <cacheField name="广告ASIN" numFmtId="0">
      <sharedItems containsBlank="1" count="54">
        <s v="B0BQ2CTDGC"/>
        <s v="B0BN36ND1X"/>
        <s v="B0BN38LNGW"/>
        <s v="B0BPLH6Y2M"/>
        <s v="B0BMQ7R71D"/>
        <s v="B0BPLHD839"/>
        <s v="B0BQHWYQ6K"/>
        <s v="B0BPLLR7N8"/>
        <s v="B0BQHXN5N9"/>
        <s v="B0BQHVXHLK"/>
        <s v="B0BQHV22J4"/>
        <s v="B0BPLK6Q8D"/>
        <s v="B0BQHZGBK9"/>
        <s v="B0BSKLT31P"/>
        <s v="B0BSKVG5TZ"/>
        <s v="B0BSL4HJZ7"/>
        <s v="B0BSL2JNM5"/>
        <s v="B0BSL4V5GH"/>
        <s v="B0BTLSNFTQ"/>
        <s v="B0BTLRZ257"/>
        <s v="B0BSF6TYWW"/>
        <s v="B0BSF5H6Q6"/>
        <s v="B0BSF5TCZ6"/>
        <s v="B0BSF63HXT"/>
        <s v="B0BTLVJWH9"/>
        <s v="B0BTLT57SZ"/>
        <s v="B0BTLSB925"/>
        <s v="B0BSFL42YW"/>
        <s v="B0BTD8GG33"/>
        <s v="B0BPLJXZCH"/>
        <s v="B0BWRNFX4D"/>
        <s v="B0BSKXSTBJ"/>
        <s v="B0C1Z22VN3"/>
        <s v="B0BS133PLR"/>
        <s v="B0BRXZCGZC"/>
        <s v="B0BSFKQ92J"/>
        <s v="B0C1Z2L3JF"/>
        <s v="B0BRY14RTZ"/>
        <s v="B0C22ZPJ85"/>
        <s v="B0C27P74P9"/>
        <s v="B0BRN6SVB3"/>
        <s v="B0BRSP3ZJ3"/>
        <s v="B0BRSNR54R"/>
        <s v="B0BRN7X3WS"/>
        <s v="B0CBK7YJ77"/>
        <s v="B0CDH3MR1F"/>
        <s v="B0BND5CP99"/>
        <s v="B0BVT3HRQS"/>
        <s v="B0CDKCZNNC"/>
        <s v="B0CFDY1DQH"/>
        <s v="B0CFDX8X5Y"/>
        <s v="B0C3LKDC86"/>
        <s v="B0C3LNV2JL"/>
        <m/>
      </sharedItems>
    </cacheField>
    <cacheField name="展示量" numFmtId="0">
      <sharedItems containsString="0" containsBlank="1" containsNumber="1" containsInteger="1" minValue="0" maxValue="62494" count="97">
        <n v="18846"/>
        <n v="3361"/>
        <n v="7555"/>
        <n v="13813"/>
        <n v="16666"/>
        <n v="16767"/>
        <n v="12727"/>
        <n v="50595"/>
        <n v="3479"/>
        <n v="43578"/>
        <n v="7810"/>
        <n v="1325"/>
        <n v="28444"/>
        <n v="31814"/>
        <n v="43"/>
        <n v="11"/>
        <n v="10"/>
        <n v="15289"/>
        <n v="3921"/>
        <n v="17172"/>
        <n v="18670"/>
        <n v="13"/>
        <n v="8"/>
        <n v="3473"/>
        <n v="4353"/>
        <n v="4284"/>
        <n v="6102"/>
        <n v="5963"/>
        <n v="43177"/>
        <n v="60151"/>
        <n v="17749"/>
        <n v="137"/>
        <n v="4941"/>
        <n v="28780"/>
        <n v="687"/>
        <n v="79"/>
        <n v="374"/>
        <n v="4203"/>
        <n v="3239"/>
        <n v="459"/>
        <n v="8300"/>
        <n v="9205"/>
        <n v="1188"/>
        <n v="5387"/>
        <n v="3764"/>
        <n v="4865"/>
        <n v="32393"/>
        <n v="25958"/>
        <n v="479"/>
        <n v="36609"/>
        <n v="35366"/>
        <n v="48578"/>
        <n v="26299"/>
        <n v="16924"/>
        <n v="2223"/>
        <n v="103"/>
        <n v="435"/>
        <n v="896"/>
        <n v="1329"/>
        <n v="676"/>
        <n v="599"/>
        <n v="980"/>
        <n v="31"/>
        <n v="7645"/>
        <n v="220"/>
        <n v="1254"/>
        <n v="808"/>
        <n v="16"/>
        <n v="0"/>
        <n v="99"/>
        <n v="290"/>
        <n v="1181"/>
        <n v="642"/>
        <n v="3590"/>
        <n v="215"/>
        <n v="62494"/>
        <n v="317"/>
        <n v="3577"/>
        <n v="10078"/>
        <n v="1194"/>
        <n v="9435"/>
        <n v="214"/>
        <n v="165"/>
        <n v="10683"/>
        <n v="460"/>
        <n v="1595"/>
        <n v="22420"/>
        <n v="3968"/>
        <n v="2363"/>
        <n v="5374"/>
        <n v="2688"/>
        <n v="1248"/>
        <n v="29"/>
        <n v="120"/>
        <n v="7463"/>
        <n v="7947"/>
        <m/>
      </sharedItems>
    </cacheField>
    <cacheField name="点击量" numFmtId="0">
      <sharedItems containsString="0" containsBlank="1" containsNumber="1" containsInteger="1" minValue="0" maxValue="294" count="53">
        <n v="86"/>
        <n v="7"/>
        <n v="82"/>
        <n v="3"/>
        <n v="52"/>
        <n v="35"/>
        <n v="65"/>
        <n v="5"/>
        <n v="185"/>
        <n v="22"/>
        <n v="1"/>
        <n v="10"/>
        <n v="4"/>
        <n v="0"/>
        <n v="42"/>
        <n v="17"/>
        <n v="75"/>
        <n v="117"/>
        <n v="38"/>
        <n v="44"/>
        <n v="13"/>
        <n v="39"/>
        <n v="64"/>
        <n v="243"/>
        <n v="81"/>
        <n v="71"/>
        <n v="294"/>
        <n v="61"/>
        <n v="37"/>
        <n v="62"/>
        <n v="33"/>
        <n v="11"/>
        <n v="24"/>
        <n v="12"/>
        <n v="213"/>
        <n v="221"/>
        <n v="105"/>
        <n v="225"/>
        <n v="178"/>
        <n v="76"/>
        <n v="9"/>
        <n v="19"/>
        <n v="41"/>
        <n v="2"/>
        <n v="6"/>
        <n v="21"/>
        <n v="56"/>
        <n v="63"/>
        <n v="83"/>
        <n v="18"/>
        <n v="8"/>
        <n v="43"/>
        <m/>
      </sharedItems>
    </cacheField>
    <cacheField name="点击率(CTR)" numFmtId="0">
      <sharedItems containsString="0" containsBlank="1" containsNumber="1" minValue="0" maxValue="0.0273109243697479" count="84">
        <n v="0.0045633025575719"/>
        <n v="0.00208271347813151"/>
        <n v="0.000926538716082065"/>
        <n v="0.00593643669007457"/>
        <n v="0.000180007200288012"/>
        <n v="0.00310132999343949"/>
        <n v="0.00275005892983421"/>
        <n v="0.00128471192805613"/>
        <n v="0.00143719459614832"/>
        <n v="0.00424526137041626"/>
        <n v="0.0028169014084507"/>
        <n v="0.000754716981132075"/>
        <n v="0.000351567993249895"/>
        <n v="0.000125730810335073"/>
        <n v="0.0232558139534884"/>
        <n v="0"/>
        <n v="0.00274707305906207"/>
        <n v="0.00433562866615659"/>
        <n v="0.0043675751222921"/>
        <n v="0.00626673808248527"/>
        <n v="0.0109415490930032"/>
        <n v="0.0101079715138985"/>
        <n v="0.0273109243697479"/>
        <n v="0.0021304490331039"/>
        <n v="0.00654033204762703"/>
        <n v="0.00148227065335711"/>
        <n v="0.00403983308673173"/>
        <n v="0.00456363738802186"/>
        <n v="0.0218978102189781"/>
        <n v="0.0143695608176483"/>
        <n v="0.0102154273801251"/>
        <n v="0.0101892285298399"/>
        <n v="0.00802139037433155"/>
        <n v="0.0145134427789674"/>
        <n v="0.0114232787897499"/>
        <n v="0.0065359477124183"/>
        <n v="0.00746987951807229"/>
        <n v="0.00358500814774579"/>
        <n v="0.00925925925925926"/>
        <n v="0.00445516985335066"/>
        <n v="0.00318809776833156"/>
        <n v="0.000616649537512847"/>
        <n v="0.00657549470564628"/>
        <n v="0.00851375298559211"/>
        <n v="0.00286814717692371"/>
        <n v="0.00636204263982356"/>
        <n v="0.00366421013627568"/>
        <n v="0.00288984372029355"/>
        <n v="0.00141810446702907"/>
        <n v="0.00404858299595142"/>
        <n v="0.00689655172413793"/>
        <n v="0.00111607142857143"/>
        <n v="0.00978179082016554"/>
        <n v="0.00739644970414201"/>
        <n v="0.00834724540901502"/>
        <n v="0.0193877551020408"/>
        <n v="0.00536298234139961"/>
        <n v="0.0136363636363636"/>
        <n v="0.00371287128712871"/>
        <m/>
        <n v="0.0202020202020202"/>
        <n v="0.0172413793103448"/>
        <n v="0.00508044030482642"/>
        <n v="0.00467289719626168"/>
        <n v="0.00139275766016713"/>
        <n v="0.00465116279069767"/>
        <n v="0.000192018433769642"/>
        <n v="0.00587084148727984"/>
        <n v="0.0055566580670768"/>
        <n v="0.00753768844221105"/>
        <n v="0.00667726550079491"/>
        <n v="0.0121212121212121"/>
        <n v="0.000655246653561734"/>
        <n v="0.00652173913043478"/>
        <n v="0.000626959247648903"/>
        <n v="0.00370205173951829"/>
        <n v="0.00831653225806452"/>
        <n v="0.00931019889970377"/>
        <n v="0.00334946036471902"/>
        <n v="0.00297619047619048"/>
        <n v="0.00320512820512821"/>
        <n v="0.0166666666666667"/>
        <n v="0.00509178614498191"/>
        <n v="0.00541084686045048"/>
      </sharedItems>
    </cacheField>
    <cacheField name="每次点击成本(CPC)" numFmtId="0">
      <sharedItems containsString="0" containsBlank="1" containsNumber="1" minValue="0" maxValue="1.72" count="79">
        <n v="0.523139534883721"/>
        <n v="0.741428571428571"/>
        <n v="0.828571428571429"/>
        <n v="0.433292682926829"/>
        <n v="1.05333333333333"/>
        <n v="0.530192307692308"/>
        <n v="1.302"/>
        <n v="1.29184615384615"/>
        <n v="0.73"/>
        <n v="0.555891891891892"/>
        <n v="0.359090909090909"/>
        <n v="0.716"/>
        <n v="0.725"/>
        <n v="1.72"/>
        <m/>
        <n v="0.526190476190476"/>
        <n v="0.203529411764706"/>
        <n v="0.429333333333333"/>
        <n v="0.538974358974359"/>
        <n v="0.243421052631579"/>
        <n v="0.270454545454545"/>
        <n v="0.312051282051282"/>
        <n v="0.41"/>
        <n v="0.433589743589744"/>
        <n v="0.5209375"/>
        <n v="0.478189300411522"/>
        <n v="0.281604938271605"/>
        <n v="0.2"/>
        <n v="0.19169014084507"/>
        <n v="0.255646258503401"/>
        <n v="0.345714285714286"/>
        <n v="0.223333333333333"/>
        <n v="0.20672131147541"/>
        <n v="0.220540540540541"/>
        <n v="0.216666666666667"/>
        <n v="0.288225806451613"/>
        <n v="0.576363636363636"/>
        <n v="0.241818181818182"/>
        <n v="0.189166666666667"/>
        <n v="0.353333333333333"/>
        <n v="0.776666666666667"/>
        <n v="0.20887323943662"/>
        <n v="0.289592760180995"/>
        <n v="0.310380952380952"/>
        <n v="0.344101123595505"/>
        <n v="0.313552631578947"/>
        <n v="0.287083333333333"/>
        <n v="0.38"/>
        <n v="1.16"/>
        <n v="0.274615384615385"/>
        <n v="0.362"/>
        <n v="0.286"/>
        <n v="0.241578947368421"/>
        <n v="0.305853658536586"/>
        <n v="0.3"/>
        <n v="0.44"/>
        <n v="0.185"/>
        <n v="0.293333333333333"/>
        <n v="0.366666666666667"/>
        <n v="1.378"/>
        <n v="0.64"/>
        <n v="0.58"/>
        <n v="0.387619047619048"/>
        <n v="0.4875"/>
        <n v="0.242222222222222"/>
        <n v="0.282698412698413"/>
        <n v="0.55"/>
        <n v="0.972857142857143"/>
        <n v="0.08"/>
        <n v="1.35"/>
        <n v="0.749879518072289"/>
        <n v="0.681818181818182"/>
        <n v="0.575"/>
        <n v="0.535555555555556"/>
        <n v="0.6725"/>
        <n v="0.3875"/>
        <n v="0.15"/>
        <n v="0.387368421052632"/>
        <n v="0.341162790697674"/>
      </sharedItems>
    </cacheField>
    <cacheField name="花费" numFmtId="0">
      <sharedItems containsString="0" containsBlank="1" containsNumber="1" minValue="0" maxValue="116.2" count="83">
        <n v="44.99"/>
        <n v="5.19"/>
        <n v="5.8"/>
        <n v="35.53"/>
        <n v="3.16"/>
        <n v="27.57"/>
        <n v="45.57"/>
        <n v="83.97"/>
        <n v="3.65"/>
        <n v="102.84"/>
        <n v="7.9"/>
        <n v="0.73"/>
        <n v="7.16"/>
        <n v="2.9"/>
        <n v="1.72"/>
        <n v="0"/>
        <n v="22.1"/>
        <n v="3.46"/>
        <n v="32.2"/>
        <n v="63.06"/>
        <n v="9.25"/>
        <n v="11.9"/>
        <n v="36.51"/>
        <n v="5.33"/>
        <n v="16.91"/>
        <n v="33.34"/>
        <n v="116.2"/>
        <n v="22.81"/>
        <n v="0.6"/>
        <n v="13.61"/>
        <n v="75.16"/>
        <n v="2.42"/>
        <n v="0.67"/>
        <n v="12.61"/>
        <n v="8.16"/>
        <n v="0.65"/>
        <n v="17.87"/>
        <n v="19.02"/>
        <n v="2.66"/>
        <n v="4.54"/>
        <n v="4.24"/>
        <n v="2.33"/>
        <n v="44.49"/>
        <n v="64"/>
        <n v="32.59"/>
        <n v="79.5"/>
        <n v="61.25"/>
        <n v="23.83"/>
        <n v="6.89"/>
        <n v="3.42"/>
        <n v="1.14"/>
        <n v="1.16"/>
        <n v="3.57"/>
        <n v="1.81"/>
        <n v="1.43"/>
        <n v="4.59"/>
        <n v="12.54"/>
        <n v="0.9"/>
        <n v="1.32"/>
        <n v="0.37"/>
        <n v="1"/>
        <n v="1.76"/>
        <n v="1.1"/>
        <n v="0.64"/>
        <n v="6.96"/>
        <n v="8.14"/>
        <n v="27.3"/>
        <n v="2.18"/>
        <n v="17.81"/>
        <n v="0.55"/>
        <n v="6.81"/>
        <n v="0.24"/>
        <n v="1.35"/>
        <n v="62.24"/>
        <n v="22.5"/>
        <n v="12.65"/>
        <n v="9.64"/>
        <n v="5.38"/>
        <n v="1.55"/>
        <n v="0.3"/>
        <n v="14.72"/>
        <n v="14.67"/>
        <m/>
      </sharedItems>
    </cacheField>
    <cacheField name="7天总销售额" numFmtId="0">
      <sharedItems containsString="0" containsBlank="1" containsNumber="1" minValue="0" maxValue="553.58" count="49">
        <n v="109.89"/>
        <n v="35.98"/>
        <n v="17.99"/>
        <n v="120.92"/>
        <n v="0"/>
        <n v="143.88"/>
        <n v="33.98"/>
        <n v="96.94"/>
        <n v="12.99"/>
        <n v="298.79"/>
        <n v="7.49"/>
        <n v="50.77"/>
        <n v="9.99"/>
        <n v="138.92"/>
        <n v="398.69"/>
        <n v="56.97"/>
        <n v="326.62"/>
        <n v="29.98"/>
        <n v="32.98"/>
        <n v="97.96"/>
        <n v="553.58"/>
        <n v="87.95"/>
        <n v="17.98"/>
        <n v="292.44"/>
        <n v="85.97"/>
        <n v="120.15"/>
        <n v="72.77"/>
        <n v="143.53"/>
        <n v="8.99"/>
        <n v="200.09"/>
        <n v="313.88"/>
        <n v="147.93"/>
        <n v="469.6"/>
        <n v="235.67"/>
        <n v="240.67"/>
        <n v="55.96"/>
        <n v="19.98"/>
        <n v="10.99"/>
        <n v="36.96"/>
        <n v="34.18"/>
        <n v="67.98"/>
        <n v="54.95"/>
        <n v="122.36"/>
        <n v="19.99"/>
        <n v="101.32"/>
        <n v="25.98"/>
        <n v="95.94"/>
        <n v="118.93"/>
        <m/>
      </sharedItems>
    </cacheField>
    <cacheField name="广告成本销售比(ACOS)" numFmtId="0">
      <sharedItems containsString="0" containsBlank="1" containsNumber="1" minValue="0" maxValue="1.34108298999411" count="57">
        <n v="0.40940940940941"/>
        <n v="0.144246803779878"/>
        <n v="0.322401334074486"/>
        <n v="0.293830631822693"/>
        <m/>
        <n v="0.191618015012511"/>
        <n v="1.34108298999411"/>
        <n v="0.866205900557046"/>
        <n v="0.280985373364126"/>
        <n v="0.344188225844238"/>
        <n v="0.955941255006676"/>
        <n v="0.223248652809854"/>
        <n v="0.435296434902502"/>
        <n v="0.346346346346346"/>
        <n v="0.231788079470199"/>
        <n v="0.158168000200657"/>
        <n v="0.257087270705948"/>
        <n v="0.20888186764964"/>
        <n v="0.111781274876003"/>
        <n v="0.177785190126751"/>
        <n v="0.512734990903578"/>
        <n v="0.34034299714169"/>
        <n v="0.20990642725532"/>
        <n v="0.259351904491188"/>
        <n v="0.756952169076752"/>
        <n v="0.257009984954179"/>
        <n v="0.146679074095615"/>
        <n v="0.0679151061173533"/>
        <n v="0.245568228665659"/>
        <n v="0.132515850344876"/>
        <n v="0.295884315906563"/>
        <n v="0.222349942525863"/>
        <n v="0.203899579457117"/>
        <n v="0.220306901913067"/>
        <n v="0.169293015332198"/>
        <n v="0.25989731404082"/>
        <n v="0.0990152490962729"/>
        <n v="0.123123659756969"/>
        <n v="0.171171171171171"/>
        <n v="0.357357357357357"/>
        <n v="0.130118289353958"/>
        <n v="0.124188311688312"/>
        <n v="0.366881217086015"/>
        <n v="0.111234705228031"/>
        <n v="0.20276633313714"/>
        <n v="0.119741100323625"/>
        <n v="0.496815286624204"/>
        <n v="0.198362147406733"/>
        <n v="0.145554102647924"/>
        <n v="0.340670335167584"/>
        <n v="0.614291354125543"/>
        <n v="0.866050808314088"/>
        <n v="0.973826020015397"/>
        <n v="0.371054657428791"/>
        <n v="0.119322555812163"/>
        <n v="0.153429226599958"/>
        <n v="0.123349869671235"/>
      </sharedItems>
    </cacheField>
    <cacheField name="投入产出比(ROAS)" numFmtId="0">
      <sharedItems containsString="0" containsBlank="1" containsNumber="1" minValue="0" maxValue="14.7242647058823" count="58">
        <n v="2.44254278728606"/>
        <n v="6.93256262042389"/>
        <n v="3.10172413793103"/>
        <n v="3.40332113706727"/>
        <n v="0"/>
        <n v="5.21871599564744"/>
        <n v="0.745666008338819"/>
        <n v="1.15445992616411"/>
        <n v="3.55890410958904"/>
        <n v="2.90538700894594"/>
        <n v="1.04608938547486"/>
        <n v="4.47931034482759"/>
        <m/>
        <n v="2.2972850678733"/>
        <n v="2.88728323699422"/>
        <n v="4.31428571428571"/>
        <n v="6.32239137329528"/>
        <n v="3.88972972972973"/>
        <n v="4.78739495798319"/>
        <n v="8.9460421802246"/>
        <n v="5.62476547842402"/>
        <n v="1.95032525133057"/>
        <n v="2.93821235752849"/>
        <n v="4.76402753872634"/>
        <n v="3.85576501534415"/>
        <n v="1.32108743570904"/>
        <n v="3.89089941458222"/>
        <n v="6.81760507533703"/>
        <n v="14.7242647058823"/>
        <n v="4.07218802462227"/>
        <n v="7.54626708727655"/>
        <n v="3.3796992481203"/>
        <n v="4.49741514947179"/>
        <n v="4.904375"/>
        <n v="4.53912243019331"/>
        <n v="5.90691823899371"/>
        <n v="3.84767346938776"/>
        <n v="10.0994544691565"/>
        <n v="8.12191582002903"/>
        <n v="5.84210526315789"/>
        <n v="2.79831932773109"/>
        <n v="7.68531468531468"/>
        <n v="8.05228758169935"/>
        <n v="2.72567783094099"/>
        <n v="8.99"/>
        <n v="4.93178519593614"/>
        <n v="8.35135135135135"/>
        <n v="2.01282051282051"/>
        <n v="5.04128440366972"/>
        <n v="6.87029758562605"/>
        <n v="2.93538913362702"/>
        <n v="1.62789203084833"/>
        <n v="1.15466666666667"/>
        <n v="1.02687747035573"/>
        <n v="2.69502074688797"/>
        <n v="8.38064516129032"/>
        <n v="6.51766304347826"/>
        <n v="8.10702113156101"/>
      </sharedItems>
    </cacheField>
    <cacheField name="7天总订单数(#)" numFmtId="0">
      <sharedItems containsString="0" containsBlank="1" containsNumber="1" containsInteger="1" minValue="0" maxValue="31" count="19">
        <n v="12"/>
        <n v="2"/>
        <n v="1"/>
        <n v="8"/>
        <n v="0"/>
        <n v="11"/>
        <n v="6"/>
        <n v="21"/>
        <n v="3"/>
        <n v="31"/>
        <n v="17"/>
        <n v="4"/>
        <n v="22"/>
        <n v="5"/>
        <n v="16"/>
        <n v="7"/>
        <n v="20"/>
        <n v="13"/>
        <m/>
      </sharedItems>
    </cacheField>
    <cacheField name="7天总销售量(#)" numFmtId="0">
      <sharedItems containsString="0" containsBlank="1" containsNumber="1" containsInteger="1" minValue="0" maxValue="31" count="19">
        <n v="12"/>
        <n v="2"/>
        <n v="1"/>
        <n v="8"/>
        <n v="0"/>
        <n v="6"/>
        <n v="21"/>
        <n v="3"/>
        <n v="31"/>
        <n v="18"/>
        <n v="4"/>
        <n v="22"/>
        <n v="5"/>
        <n v="16"/>
        <n v="7"/>
        <n v="11"/>
        <n v="20"/>
        <n v="13"/>
        <m/>
      </sharedItems>
    </cacheField>
    <cacheField name="7天的转化率" numFmtId="0">
      <sharedItems containsString="0" containsBlank="1" containsNumber="1" minValue="0" maxValue="0.4" count="52">
        <n v="0.13953488372093"/>
        <n v="0.285714285714286"/>
        <n v="0.142857142857143"/>
        <n v="0.0975609756097561"/>
        <n v="0"/>
        <n v="0.211538461538462"/>
        <n v="0.0571428571428571"/>
        <n v="0.0923076923076923"/>
        <n v="0.2"/>
        <n v="0.113513513513514"/>
        <n v="0.1"/>
        <n v="0.25"/>
        <m/>
        <n v="0.0714285714285714"/>
        <n v="0.0588235294117647"/>
        <n v="0.106666666666667"/>
        <n v="0.264957264957265"/>
        <n v="0.0526315789473684"/>
        <n v="0.0681818181818182"/>
        <n v="0.145299145299145"/>
        <n v="0.153846153846154"/>
        <n v="0.0512820512820513"/>
        <n v="0.0625"/>
        <n v="0.0905349794238683"/>
        <n v="0.0617283950617284"/>
        <n v="0.028169014084507"/>
        <n v="0.054421768707483"/>
        <n v="0.0491803278688525"/>
        <n v="0.135135135135135"/>
        <n v="0.0483870967741935"/>
        <n v="0.212121212121212"/>
        <n v="0.0909090909090909"/>
        <n v="0.0516431924882629"/>
        <n v="0.0542986425339367"/>
        <n v="0.0666666666666667"/>
        <n v="0.0888888888888889"/>
        <n v="0.0730337078651685"/>
        <n v="0.157894736842105"/>
        <n v="0.166666666666667"/>
        <n v="0.222222222222222"/>
        <n v="0.0769230769230769"/>
        <n v="0.210526315789474"/>
        <n v="0.0487804878048781"/>
        <n v="0.4"/>
        <n v="0.0952380952380952"/>
        <n v="0.111111111111111"/>
        <n v="0.0634920634920635"/>
        <n v="0.0963855421686747"/>
        <n v="0.0606060606060606"/>
        <n v="0.0454545454545455"/>
        <n v="0.131578947368421"/>
        <n v="0.162790697674419"/>
      </sharedItems>
    </cacheField>
    <cacheField name="7天内广告SKU销售量(#)" numFmtId="0">
      <sharedItems containsString="0" containsBlank="1" containsNumber="1" containsInteger="1" minValue="0" maxValue="20" count="17">
        <n v="10"/>
        <n v="1"/>
        <n v="7"/>
        <n v="0"/>
        <n v="2"/>
        <n v="5"/>
        <n v="14"/>
        <n v="3"/>
        <n v="20"/>
        <n v="18"/>
        <n v="4"/>
        <n v="15"/>
        <n v="9"/>
        <n v="11"/>
        <n v="8"/>
        <n v="6"/>
        <m/>
      </sharedItems>
    </cacheField>
    <cacheField name="7天内其他SKU销售量(#)" numFmtId="0">
      <sharedItems containsString="0" containsBlank="1" containsNumber="1" containsInteger="1" minValue="0" maxValue="11" count="12">
        <n v="2"/>
        <n v="1"/>
        <n v="0"/>
        <n v="5"/>
        <n v="7"/>
        <n v="11"/>
        <n v="8"/>
        <n v="4"/>
        <n v="9"/>
        <n v="3"/>
        <n v="6"/>
        <m/>
      </sharedItems>
    </cacheField>
    <cacheField name="7天内广告SKU销售额" numFmtId="0">
      <sharedItems containsString="0" containsBlank="1" containsNumber="1" minValue="0" maxValue="358.66" count="44">
        <n v="89.91"/>
        <n v="17.99"/>
        <n v="104.93"/>
        <n v="0"/>
        <n v="83.93"/>
        <n v="33.98"/>
        <n v="84.95"/>
        <n v="209.86"/>
        <n v="7.49"/>
        <n v="12.99"/>
        <n v="14.99"/>
        <n v="9.99"/>
        <n v="44.97"/>
        <n v="239.8"/>
        <n v="35.98"/>
        <n v="37.98"/>
        <n v="326.62"/>
        <n v="29.98"/>
        <n v="71.97"/>
        <n v="358.66"/>
        <n v="71.96"/>
        <n v="273.45"/>
        <n v="51.98"/>
        <n v="77.97"/>
        <n v="72.77"/>
        <n v="44.98"/>
        <n v="132.93"/>
        <n v="75.96"/>
        <n v="228.71"/>
        <n v="190.69"/>
        <n v="121.53"/>
        <n v="23.99"/>
        <n v="19.98"/>
        <n v="10.99"/>
        <n v="26.97"/>
        <n v="15.19"/>
        <n v="8.99"/>
        <n v="67.98"/>
        <n v="122.36"/>
        <n v="19.99"/>
        <n v="101.32"/>
        <n v="25.98"/>
        <n v="95.94"/>
        <m/>
      </sharedItems>
    </cacheField>
    <cacheField name="7天内其他SKU销售额" numFmtId="0">
      <sharedItems containsString="0" containsBlank="1" containsNumber="1" minValue="0" maxValue="240.89" count="32">
        <n v="19.98"/>
        <n v="17.99"/>
        <n v="0"/>
        <n v="15.99"/>
        <n v="59.95"/>
        <n v="11.99"/>
        <n v="12.99"/>
        <n v="88.93"/>
        <n v="35.78"/>
        <n v="93.95"/>
        <n v="158.89"/>
        <n v="18.99"/>
        <n v="32.98"/>
        <n v="25.99"/>
        <n v="194.92"/>
        <n v="17.98"/>
        <n v="33.99"/>
        <n v="42.18"/>
        <n v="98.55"/>
        <n v="8.99"/>
        <n v="67.16"/>
        <n v="235.91"/>
        <n v="71.97"/>
        <n v="240.89"/>
        <n v="44.98"/>
        <n v="119.14"/>
        <n v="31.97"/>
        <n v="9.99"/>
        <n v="34.97"/>
        <n v="10.99"/>
        <n v="33.98"/>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7.xml><?xml version="1.0" encoding="utf-8"?>
<pivotCacheDefinition xmlns="http://schemas.openxmlformats.org/spreadsheetml/2006/main" xmlns:r="http://schemas.openxmlformats.org/officeDocument/2006/relationships" r:id="rId1" createdVersion="5" refreshedVersion="5" minRefreshableVersion="3" refreshedDate="45219.5742476852" refreshedBy="Administrator" recordCount="143">
  <cacheSource type="worksheet">
    <worksheetSource ref="I1:AH1048576" sheet="展示推10.12-10.18" r:id="rId2"/>
  </cacheSource>
  <cacheFields count="26">
    <cacheField name="广告SKU" numFmtId="0">
      <sharedItems containsBlank="1" count="79">
        <s v="Y1090"/>
        <s v="Y1088"/>
        <s v="Y1086"/>
        <s v="Y1087"/>
        <s v="Y1084"/>
        <s v="Y1060-BL"/>
        <s v="Y1058"/>
        <s v="Y1089"/>
        <s v="Y1061"/>
        <s v="Y1088-ZH"/>
        <s v="Y1060-GR-ZH"/>
        <s v="Y1058-ZH"/>
        <s v="Y1057-ZH"/>
        <s v="Y1054-ZH"/>
        <s v="Y1085"/>
        <s v="Y1083"/>
        <s v="Y1055-ZH"/>
        <s v="Y1071-WH"/>
        <s v="Y1071-BG"/>
        <s v="Y1078-BL"/>
        <s v="Y1078-GRA"/>
        <s v="Y1079-BL"/>
        <s v="Y1080-BU"/>
        <s v="Y1080-GRA"/>
        <s v="Y1079-WH"/>
        <s v="Y1080-GR"/>
        <s v="Y1076-BL"/>
        <s v="Y1076-RE"/>
        <s v="Y1076-MG"/>
        <s v="Y1076-BG"/>
        <s v="Y1076-WH"/>
        <s v="Y1074-BG"/>
        <s v="Y1074-BL"/>
        <s v="Y1074-MG"/>
        <s v="Y1075-RE"/>
        <s v="Y1075-BG"/>
        <s v="Y1075-BL"/>
        <s v="Y1075-MG"/>
        <s v="Y1073-BG"/>
        <s v="Y1071-MG"/>
        <s v="Y1071-RE"/>
        <s v="Y1071-BL"/>
        <s v="Y1081-WH"/>
        <s v="Y1081-BG"/>
        <s v="Y1081-BL"/>
        <s v="Y1082"/>
        <s v="Y1037"/>
        <s v="Y1081-RE"/>
        <s v="Y1055"/>
        <s v="Y1054"/>
        <s v="Y1059-BL"/>
        <s v="Y1057"/>
        <s v="Y1059-SI"/>
        <s v="Y1060-ZH-"/>
        <s v="Y1065-BE"/>
        <s v="Y1065-BL"/>
        <s v="Y1065-GA"/>
        <s v="Y1066-BE"/>
        <s v="Y1066-BL"/>
        <s v="Y1066-GA"/>
        <s v="Y1099-RE"/>
        <s v="Y1096"/>
        <s v="Y1099"/>
        <s v="Y1097-RE"/>
        <s v="Y1097-BU"/>
        <s v="Y1100-RE"/>
        <s v="Y1100-GA"/>
        <s v="Y1056"/>
        <s v="Y1060-GR"/>
        <s v="Y1084-ZH"/>
        <s v="Y1103-BL"/>
        <s v="Y1103-SI"/>
        <s v="Y1095"/>
        <s v="Y1038-PU"/>
        <s v="Y1038-BU"/>
        <s v="Y1038-GL"/>
        <s v="Y1094-YW"/>
        <s v="Y1094-RE"/>
        <m/>
      </sharedItems>
    </cacheField>
    <cacheField name="广告ASIN" numFmtId="0">
      <sharedItems containsBlank="1" count="79">
        <s v="B0BSLCKCDS"/>
        <s v="B0BSL2JNM5"/>
        <s v="B0BSKYV9CG"/>
        <s v="B0BSL4HJZ7"/>
        <s v="B0BSKVG5TZ"/>
        <s v="B0BPLH7GYS"/>
        <s v="B0BPLHWMFV"/>
        <s v="B0BSL4V5GH"/>
        <s v="B0BPLH27DX"/>
        <s v="B0BTLT57SZ"/>
        <s v="B0BTLSB925"/>
        <s v="B0BTLSNFTQ"/>
        <s v="B0BTLVJWH9"/>
        <s v="B0BTLRZ257"/>
        <s v="B0BSKXSTBJ"/>
        <s v="B0BSKLT31P"/>
        <s v="B0BTLTDZX4"/>
        <s v="B0BRN6SVB3"/>
        <s v="B0BRN5STCY"/>
        <s v="B0BSF6DY4D"/>
        <s v="B0BSF5MT9C"/>
        <s v="B0BSF63HXT"/>
        <s v="B0BSF6TYWW"/>
        <s v="B0C4KL4GDQ"/>
        <s v="B0BSF5H6Q6"/>
        <s v="B0BSF5H3N3"/>
        <s v="B0BS133PLR"/>
        <s v="B0BS12FW4M"/>
        <s v="B0BS13H4JM"/>
        <s v="B0BS12MJSQ"/>
        <s v="B0BS13JCCS"/>
        <s v="B0BRSP1DKN"/>
        <s v="B0BRSM9ZCG"/>
        <s v="B0BRSMQ9MZ"/>
        <s v="B0BRY14RTZ"/>
        <s v="B0BRY26PWT"/>
        <s v="B0BRY17P9S"/>
        <s v="B0BRXZXRV5"/>
        <s v="B0BRSPP9G4"/>
        <s v="B0BRN7X3WS"/>
        <s v="B0BRN79WL5"/>
        <s v="B0BRN5STD1"/>
        <s v="B0BSFJX84G"/>
        <s v="B0BSFKQ92H"/>
        <s v="B0BSFKQ92J"/>
        <s v="B0BSFKNKD1"/>
        <s v="B0BMQ7R71D"/>
        <s v="B0BSFL42YW"/>
        <s v="B0BPLH6Y2M"/>
        <s v="B0BPLHD839"/>
        <s v="B0BPLK4JHK"/>
        <s v="B0BPLK6Q8D"/>
        <s v="B0BPLJXZCH"/>
        <s v="B0BY7RYYVC"/>
        <s v="B0BQHWYQ6K"/>
        <s v="B0BQHXN5N9"/>
        <s v="B0BQHXKRTT"/>
        <s v="B0BQHVXHLK"/>
        <s v="B0BQHZGBK9"/>
        <s v="B0BQHV22J4"/>
        <s v="B0C22ZPJ85"/>
        <s v="B0C1Z2L3JF"/>
        <s v="B0C22SLCM2"/>
        <s v="B0C27PXBB6"/>
        <s v="B0C27P74P9"/>
        <s v="B0C233HY1X"/>
        <s v="B0C2326PCB"/>
        <s v="B0BPLLR7N8"/>
        <s v="B0BPLH79XD"/>
        <s v="B0CBK7YJ77"/>
        <s v="B0CFDY1DQH"/>
        <s v="B0CFDX8X5Y"/>
        <s v="B0C1Z22VN3"/>
        <s v="B0BTD8GG33"/>
        <s v="B0BTD9HZNV"/>
        <s v="B0BTD9QY9N"/>
        <s v="B0BVT3HRQS"/>
        <s v="B0BVTDDLYC"/>
        <m/>
      </sharedItems>
    </cacheField>
    <cacheField name="展示量" numFmtId="0">
      <sharedItems containsString="0" containsBlank="1" containsNumber="1" containsInteger="1" minValue="0" maxValue="2408" count="46">
        <n v="0"/>
        <n v="11"/>
        <n v="5"/>
        <n v="4"/>
        <n v="6"/>
        <n v="10"/>
        <n v="9"/>
        <n v="112"/>
        <n v="94"/>
        <n v="115"/>
        <n v="106"/>
        <n v="74"/>
        <n v="141"/>
        <n v="153"/>
        <n v="143"/>
        <n v="99"/>
        <n v="92"/>
        <n v="111"/>
        <n v="3"/>
        <n v="1"/>
        <n v="28"/>
        <n v="21"/>
        <n v="17"/>
        <n v="34"/>
        <n v="2"/>
        <n v="1298"/>
        <n v="105"/>
        <n v="2408"/>
        <n v="101"/>
        <n v="116"/>
        <n v="119"/>
        <n v="109"/>
        <n v="250"/>
        <n v="233"/>
        <n v="134"/>
        <n v="29"/>
        <n v="8"/>
        <n v="117"/>
        <n v="137"/>
        <n v="159"/>
        <n v="131"/>
        <n v="26"/>
        <n v="7"/>
        <n v="2109"/>
        <n v="660"/>
        <m/>
      </sharedItems>
    </cacheField>
    <cacheField name="可查看的展现量" numFmtId="0">
      <sharedItems containsString="0" containsBlank="1" containsNumber="1" containsInteger="1" minValue="0" maxValue="1421" count="35">
        <n v="0"/>
        <n v="52"/>
        <n v="43"/>
        <n v="70"/>
        <n v="59"/>
        <n v="42"/>
        <n v="76"/>
        <n v="73"/>
        <n v="57"/>
        <n v="62"/>
        <n v="2"/>
        <n v="17"/>
        <n v="8"/>
        <n v="5"/>
        <n v="11"/>
        <n v="1"/>
        <n v="3"/>
        <n v="51"/>
        <n v="1421"/>
        <n v="50"/>
        <n v="58"/>
        <n v="64"/>
        <n v="135"/>
        <n v="115"/>
        <n v="60"/>
        <n v="15"/>
        <n v="71"/>
        <n v="63"/>
        <n v="83"/>
        <n v="54"/>
        <n v="7"/>
        <n v="13"/>
        <n v="1315"/>
        <n v="404"/>
        <m/>
      </sharedItems>
    </cacheField>
    <cacheField name="点击量" numFmtId="0">
      <sharedItems containsString="0" containsBlank="1" containsNumber="1" containsInteger="1" minValue="0" maxValue="8" count="5">
        <n v="0"/>
        <n v="1"/>
        <n v="8"/>
        <n v="2"/>
        <m/>
      </sharedItems>
    </cacheField>
    <cacheField name="点击率(CTR)" numFmtId="0">
      <sharedItems containsString="0" containsBlank="1" containsNumber="1" minValue="0" maxValue="0.1" count="13">
        <m/>
        <n v="0"/>
        <n v="0.00869565217391304"/>
        <n v="0.0135135135135135"/>
        <n v="0.00709219858156028"/>
        <n v="0.0061633281972265"/>
        <n v="0.000830564784053156"/>
        <n v="0.00746268656716418"/>
        <n v="0.1"/>
        <n v="0.00854700854700855"/>
        <n v="0.0072992700729927"/>
        <n v="0.00628930817610063"/>
        <n v="0.000948316737790422"/>
      </sharedItems>
    </cacheField>
    <cacheField name="14 天商品详情页浏览量 (DPV)" numFmtId="0">
      <sharedItems containsString="0" containsBlank="1" containsNumber="1" containsInteger="1" minValue="0" maxValue="109" count="38">
        <n v="0"/>
        <n v="47"/>
        <n v="52"/>
        <n v="73"/>
        <n v="79"/>
        <n v="69"/>
        <n v="49"/>
        <n v="78"/>
        <n v="46"/>
        <n v="65"/>
        <n v="4"/>
        <n v="15"/>
        <n v="12"/>
        <n v="1"/>
        <n v="13"/>
        <n v="16"/>
        <n v="7"/>
        <n v="53"/>
        <n v="48"/>
        <n v="54"/>
        <n v="59"/>
        <n v="77"/>
        <n v="109"/>
        <n v="94"/>
        <n v="74"/>
        <n v="20"/>
        <n v="58"/>
        <n v="2"/>
        <n v="63"/>
        <n v="44"/>
        <n v="67"/>
        <n v="83"/>
        <n v="66"/>
        <n v="22"/>
        <n v="11"/>
        <n v="6"/>
        <n v="3"/>
        <m/>
      </sharedItems>
    </cacheField>
    <cacheField name="花费" numFmtId="0">
      <sharedItems containsString="0" containsBlank="1" containsNumber="1" minValue="0" maxValue="6.26" count="51">
        <n v="0"/>
        <n v="0.13224"/>
        <n v="0.10885"/>
        <n v="0.17692"/>
        <n v="0.14809"/>
        <n v="0.10695"/>
        <n v="0.20362"/>
        <n v="0.18738"/>
        <n v="0.13352"/>
        <n v="0.10962"/>
        <n v="0.14685"/>
        <n v="0.16012"/>
        <n v="0.00419"/>
        <n v="0.00286"/>
        <n v="0.03558"/>
        <n v="0.01604"/>
        <n v="0.01226"/>
        <n v="0.01678"/>
        <n v="0.02104"/>
        <n v="0.00209"/>
        <n v="0.00266"/>
        <n v="0.00152"/>
        <n v="0.00203"/>
        <n v="0.00582"/>
        <n v="6.26"/>
        <n v="0.12793"/>
        <n v="3.58179"/>
        <n v="0.13054"/>
        <n v="0.13139"/>
        <n v="0.14606"/>
        <n v="0.16203"/>
        <n v="0.34244"/>
        <n v="0.29781"/>
        <n v="0.15415"/>
        <n v="0.03665"/>
        <n v="0.18139"/>
        <n v="0.74"/>
        <n v="0.18983"/>
        <n v="0.16888"/>
        <n v="0.18027"/>
        <n v="0.21348"/>
        <n v="0.17777"/>
        <n v="0.13611"/>
        <n v="0.01634"/>
        <n v="0.03589"/>
        <n v="0.039"/>
        <n v="0.00528"/>
        <n v="0.00315"/>
        <n v="4.02147"/>
        <n v="1.26836"/>
        <m/>
      </sharedItems>
    </cacheField>
    <cacheField name="每次点击成本(CPC)" numFmtId="0">
      <sharedItems containsString="0" containsBlank="1" containsNumber="1" minValue="0" maxValue="2.010735" count="12">
        <m/>
        <n v="0.17692"/>
        <n v="0.10695"/>
        <n v="0.20362"/>
        <n v="0.7825"/>
        <n v="1.790895"/>
        <n v="0.15415"/>
        <n v="0.74"/>
        <n v="0.18983"/>
        <n v="0.18027"/>
        <n v="0.21348"/>
        <n v="2.010735"/>
      </sharedItems>
    </cacheField>
    <cacheField name="每 1,000 次可见展示次数的成本 (VCPM)" numFmtId="0">
      <sharedItems containsString="0" containsBlank="1" containsNumber="1" minValue="0" maxValue="3.26272727272727" count="48">
        <m/>
        <n v="2.54307692307692"/>
        <n v="2.53139534883721"/>
        <n v="2.52742857142857"/>
        <n v="2.51"/>
        <n v="2.54642857142857"/>
        <n v="2.67921052631579"/>
        <n v="2.56684931506849"/>
        <n v="2.56769230769231"/>
        <n v="2.5493023255814"/>
        <n v="2.57631578947368"/>
        <n v="2.58258064516129"/>
        <n v="2.095"/>
        <n v="1.43"/>
        <n v="2.09294117647059"/>
        <n v="2.005"/>
        <n v="2.452"/>
        <n v="2.0975"/>
        <n v="1.91272727272727"/>
        <n v="2.09"/>
        <n v="2.66"/>
        <n v="1.52"/>
        <n v="2.03"/>
        <n v="1.94"/>
        <n v="2.50843137254902"/>
        <n v="2.52061224489796"/>
        <n v="2.6108"/>
        <n v="2.57627450980392"/>
        <n v="2.51827586206897"/>
        <n v="2.53171875"/>
        <n v="2.53659259259259"/>
        <n v="2.58965217391304"/>
        <n v="2.56916666666667"/>
        <n v="2.44333333333333"/>
        <n v="2.59128571428571"/>
        <n v="2.67366197183099"/>
        <n v="2.68063492063492"/>
        <n v="2.57528571428571"/>
        <n v="2.57204819277108"/>
        <n v="2.53957142857143"/>
        <n v="2.52055555555556"/>
        <n v="2.33428571428571"/>
        <n v="3.26272727272727"/>
        <n v="3"/>
        <n v="1.76"/>
        <n v="1.05"/>
        <n v="3.05815209125475"/>
        <n v="3.13950495049505"/>
      </sharedItems>
    </cacheField>
    <cacheField name="广告成本销售比(ACOS)" numFmtId="0">
      <sharedItems containsString="0" containsBlank="1" containsNumber="1" minValue="0" maxValue="0.481909160892995" count="23">
        <m/>
        <n v="0.00441094062708472"/>
        <n v="0.00330048514251061"/>
        <n v="0.00135146283706363"/>
        <n v="0.00382237312365976"/>
        <n v="0.00783455175067334"/>
        <n v="0.00986729857819905"/>
        <n v="0.00274187093546773"/>
        <n v="0.00565025009619084"/>
        <n v="0.00667444768653606"/>
        <n v="0.00117018909899889"/>
        <n v="0.481909160892995"/>
        <n v="0.00304812961639266"/>
        <n v="0.0050227010388611"/>
        <n v="0.00228361475922452"/>
        <n v="0.00385023611423432"/>
        <n v="0.0165541967759867"/>
        <n v="0.00955186940494997"/>
        <n v="0.00791288036681951"/>
        <n v="0.00281803970611224"/>
        <n v="0.0112417061611374"/>
        <n v="0.00257749746266493"/>
        <n v="0.00619244767970882"/>
      </sharedItems>
    </cacheField>
    <cacheField name="投入产出比(ROAS)" numFmtId="0">
      <sharedItems containsString="0" containsBlank="1" containsNumber="1" minValue="0" maxValue="854.562737642586" count="24">
        <m/>
        <n v="226.709013914096"/>
        <n v="302.985760220487"/>
        <n v="739.938955460095"/>
        <n v="0"/>
        <n v="261.61757830762"/>
        <n v="127.639721049013"/>
        <n v="101.344860710855"/>
        <n v="364.714468162744"/>
        <n v="176.983316309159"/>
        <n v="149.825131151636"/>
        <n v="854.562737642586"/>
        <n v="2.07507987220447"/>
        <n v="328.070038302197"/>
        <n v="199.096062509576"/>
        <n v="437.902231959469"/>
        <n v="259.724331269712"/>
        <n v="60.4076424565998"/>
        <n v="104.691548596946"/>
        <n v="126.376231364905"/>
        <n v="354.856603982914"/>
        <n v="88.9544688026981"/>
        <n v="387.973223828543"/>
        <n v="161.487032547205"/>
      </sharedItems>
    </cacheField>
    <cacheField name="14天总订单数(#)" numFmtId="0">
      <sharedItems containsString="0" containsBlank="1" containsNumber="1" containsInteger="1" minValue="0" maxValue="6" count="7">
        <n v="0"/>
        <n v="2"/>
        <n v="6"/>
        <n v="1"/>
        <n v="3"/>
        <n v="4"/>
        <m/>
      </sharedItems>
    </cacheField>
    <cacheField name="14天总销售量(#)" numFmtId="0">
      <sharedItems containsString="0" containsBlank="1" containsNumber="1" containsInteger="1" minValue="0" maxValue="9" count="8">
        <n v="0"/>
        <n v="2"/>
        <n v="9"/>
        <n v="1"/>
        <n v="3"/>
        <n v="4"/>
        <n v="6"/>
        <m/>
      </sharedItems>
    </cacheField>
    <cacheField name="14天总销售额" numFmtId="0">
      <sharedItems containsString="0" containsBlank="1" containsNumber="1" minValue="0" maxValue="130.91" count="19">
        <n v="0"/>
        <n v="29.98"/>
        <n v="32.98"/>
        <n v="130.91"/>
        <n v="27.98"/>
        <n v="25.99"/>
        <n v="18.99"/>
        <n v="39.98"/>
        <n v="23.99"/>
        <n v="17.98"/>
        <n v="12.99"/>
        <n v="41.97"/>
        <n v="63.96"/>
        <n v="88.94"/>
        <n v="17.99"/>
        <n v="63.97"/>
        <n v="68.97"/>
        <n v="21.98"/>
        <m/>
      </sharedItems>
    </cacheField>
    <cacheField name="14天内“品牌新买家”订单数量(#)" numFmtId="0">
      <sharedItems containsString="0" containsBlank="1" containsNumber="1" containsInteger="1" minValue="0" maxValue="6" count="6">
        <n v="0"/>
        <n v="2"/>
        <n v="6"/>
        <n v="1"/>
        <n v="3"/>
        <m/>
      </sharedItems>
    </cacheField>
    <cacheField name="14天内“品牌新买家”销售额" numFmtId="0">
      <sharedItems containsString="0" containsBlank="1" containsNumber="1" minValue="0" maxValue="130.91" count="18">
        <n v="0"/>
        <n v="29.98"/>
        <n v="32.98"/>
        <n v="130.91"/>
        <n v="27.98"/>
        <n v="18.99"/>
        <n v="39.98"/>
        <n v="25.99"/>
        <n v="23.99"/>
        <n v="8.99"/>
        <n v="12.99"/>
        <n v="15.99"/>
        <n v="88.94"/>
        <n v="17.99"/>
        <n v="44.98"/>
        <n v="68.97"/>
        <n v="21.98"/>
        <m/>
      </sharedItems>
    </cacheField>
    <cacheField name="14天内“品牌新买家”商品数量(#)" numFmtId="0">
      <sharedItems containsString="0" containsBlank="1" containsNumber="1" containsInteger="1" minValue="0" maxValue="9" count="7">
        <n v="0"/>
        <n v="2"/>
        <n v="9"/>
        <n v="1"/>
        <n v="6"/>
        <n v="3"/>
        <m/>
      </sharedItems>
    </cacheField>
    <cacheField name="广告投入产出比 (ACOS) 总计 -（点击）" numFmtId="0">
      <sharedItems containsString="0" containsBlank="1" containsNumber="1" minValue="0" maxValue="0.481909160892995" count="2">
        <m/>
        <n v="0.481909160892995"/>
      </sharedItems>
    </cacheField>
    <cacheField name="总广告投资回报率 (ROAS) -（点击）" numFmtId="0">
      <sharedItems containsString="0" containsBlank="1" containsNumber="1" minValue="0" maxValue="2.07507987220447" count="3">
        <m/>
        <n v="0"/>
        <n v="2.07507987220447"/>
      </sharedItems>
    </cacheField>
    <cacheField name="14 天内订单总量 (#) -（点击）" numFmtId="0">
      <sharedItems containsString="0" containsBlank="1" containsNumber="1" containsInteger="1" minValue="0" maxValue="1" count="3">
        <n v="0"/>
        <n v="1"/>
        <m/>
      </sharedItems>
    </cacheField>
    <cacheField name="14 天内已售商品总量 (#) -（点击）" numFmtId="0">
      <sharedItems containsString="0" containsBlank="1" containsNumber="1" containsInteger="1" minValue="0" maxValue="1" count="3">
        <n v="0"/>
        <n v="1"/>
        <m/>
      </sharedItems>
    </cacheField>
    <cacheField name="14 天内总销售额 -（点击）" numFmtId="0">
      <sharedItems containsString="0" containsBlank="1" containsNumber="1" minValue="0" maxValue="12.99" count="3">
        <n v="0"/>
        <n v="12.99"/>
        <m/>
      </sharedItems>
    </cacheField>
    <cacheField name="14 天内“品牌新客”订单数量 (#) -（点击）" numFmtId="0">
      <sharedItems containsString="0" containsBlank="1" containsNumber="1" containsInteger="1" minValue="0" maxValue="1" count="3">
        <n v="0"/>
        <n v="1"/>
        <m/>
      </sharedItems>
    </cacheField>
    <cacheField name="14 天内“品牌新客”销售额 -（点击）" numFmtId="0">
      <sharedItems containsString="0" containsBlank="1" containsNumber="1" minValue="0" maxValue="12.99" count="3">
        <n v="0"/>
        <n v="12.99"/>
        <m/>
      </sharedItems>
    </cacheField>
    <cacheField name="14 天内“品牌新客”已售商品数量 (#) -（点击）" numFmtId="0">
      <sharedItems containsString="0" containsBlank="1" containsNumber="1" containsInteger="1" minValue="0" maxValue="1" count="3">
        <n v="0"/>
        <n v="1"/>
        <m/>
      </sharedItems>
    </cacheField>
  </cacheFields>
</pivotCacheDefinition>
</file>

<file path=xl/pivotCache/pivotCacheDefinition8.xml><?xml version="1.0" encoding="utf-8"?>
<pivotCacheDefinition xmlns="http://schemas.openxmlformats.org/spreadsheetml/2006/main" xmlns:r="http://schemas.openxmlformats.org/officeDocument/2006/relationships" r:id="rId1" createdVersion="5" refreshedVersion="5" minRefreshableVersion="3" refreshedDate="45219.5744791667" refreshedBy="Administrator" recordCount="143">
  <cacheSource type="worksheet">
    <worksheetSource ref="I1:AH1048576" sheet="展示推广10.04-10.18" r:id="rId2"/>
  </cacheSource>
  <cacheFields count="26">
    <cacheField name="广告SKU" numFmtId="0">
      <sharedItems containsBlank="1" count="79">
        <s v="Y1090"/>
        <s v="Y1088"/>
        <s v="Y1086"/>
        <s v="Y1087"/>
        <s v="Y1084"/>
        <s v="Y1060-BL"/>
        <s v="Y1058"/>
        <s v="Y1089"/>
        <s v="Y1061"/>
        <s v="Y1088-ZH"/>
        <s v="Y1060-GR-ZH"/>
        <s v="Y1058-ZH"/>
        <s v="Y1057-ZH"/>
        <s v="Y1054-ZH"/>
        <s v="Y1085"/>
        <s v="Y1083"/>
        <s v="Y1055-ZH"/>
        <s v="Y1071-WH"/>
        <s v="Y1071-BG"/>
        <s v="Y1078-BL"/>
        <s v="Y1078-GRA"/>
        <s v="Y1079-BL"/>
        <s v="Y1080-BU"/>
        <s v="Y1080-GRA"/>
        <s v="Y1079-WH"/>
        <s v="Y1080-GR"/>
        <s v="Y1076-BL"/>
        <s v="Y1076-RE"/>
        <s v="Y1076-MG"/>
        <s v="Y1076-BG"/>
        <s v="Y1076-WH"/>
        <s v="Y1074-BG"/>
        <s v="Y1074-BL"/>
        <s v="Y1074-MG"/>
        <s v="Y1075-RE"/>
        <s v="Y1075-BG"/>
        <s v="Y1075-BL"/>
        <s v="Y1075-MG"/>
        <s v="Y1073-BG"/>
        <s v="Y1071-MG"/>
        <s v="Y1071-RE"/>
        <s v="Y1071-BL"/>
        <s v="Y1081-WH"/>
        <s v="Y1081-BG"/>
        <s v="Y1081-BL"/>
        <s v="Y1082"/>
        <s v="Y1037"/>
        <s v="Y1081-RE"/>
        <s v="Y1055"/>
        <s v="Y1054"/>
        <s v="Y1059-BL"/>
        <s v="Y1057"/>
        <s v="Y1059-SI"/>
        <s v="Y1060-ZH-"/>
        <s v="Y1065-BE"/>
        <s v="Y1065-BL"/>
        <s v="Y1065-GA"/>
        <s v="Y1066-BE"/>
        <s v="Y1066-BL"/>
        <s v="Y1066-GA"/>
        <s v="Y1099-RE"/>
        <s v="Y1096"/>
        <s v="Y1099"/>
        <s v="Y1097-RE"/>
        <s v="Y1097-BU"/>
        <s v="Y1100-RE"/>
        <s v="Y1100-GA"/>
        <s v="Y1056"/>
        <s v="Y1060-GR"/>
        <s v="Y1084-ZH"/>
        <s v="Y1103-BL"/>
        <s v="Y1103-SI"/>
        <s v="Y1095"/>
        <s v="Y1038-PU"/>
        <s v="Y1038-BU"/>
        <s v="Y1038-GL"/>
        <s v="Y1094-YW"/>
        <s v="Y1094-RE"/>
        <m/>
      </sharedItems>
    </cacheField>
    <cacheField name="广告ASIN" numFmtId="0">
      <sharedItems containsBlank="1" count="79">
        <s v="B0BSLCKCDS"/>
        <s v="B0BSL2JNM5"/>
        <s v="B0BSKYV9CG"/>
        <s v="B0BSL4HJZ7"/>
        <s v="B0BSKVG5TZ"/>
        <s v="B0BPLH7GYS"/>
        <s v="B0BPLHWMFV"/>
        <s v="B0BSL4V5GH"/>
        <s v="B0BPLH27DX"/>
        <s v="B0BTLT57SZ"/>
        <s v="B0BTLSB925"/>
        <s v="B0BTLSNFTQ"/>
        <s v="B0BTLVJWH9"/>
        <s v="B0BTLRZ257"/>
        <s v="B0BSKXSTBJ"/>
        <s v="B0BSKLT31P"/>
        <s v="B0BTLTDZX4"/>
        <s v="B0BRN6SVB3"/>
        <s v="B0BRN5STCY"/>
        <s v="B0BSF6DY4D"/>
        <s v="B0BSF5MT9C"/>
        <s v="B0BSF63HXT"/>
        <s v="B0BSF6TYWW"/>
        <s v="B0C4KL4GDQ"/>
        <s v="B0BSF5H6Q6"/>
        <s v="B0BSF5H3N3"/>
        <s v="B0BS133PLR"/>
        <s v="B0BS12FW4M"/>
        <s v="B0BS13H4JM"/>
        <s v="B0BS12MJSQ"/>
        <s v="B0BS13JCCS"/>
        <s v="B0BRSP1DKN"/>
        <s v="B0BRSM9ZCG"/>
        <s v="B0BRSMQ9MZ"/>
        <s v="B0BRY14RTZ"/>
        <s v="B0BRY26PWT"/>
        <s v="B0BRY17P9S"/>
        <s v="B0BRXZXRV5"/>
        <s v="B0BRSPP9G4"/>
        <s v="B0BRN7X3WS"/>
        <s v="B0BRN79WL5"/>
        <s v="B0BRN5STD1"/>
        <s v="B0BSFJX84G"/>
        <s v="B0BSFKQ92H"/>
        <s v="B0BSFKQ92J"/>
        <s v="B0BSFKNKD1"/>
        <s v="B0BMQ7R71D"/>
        <s v="B0BSFL42YW"/>
        <s v="B0BPLH6Y2M"/>
        <s v="B0BPLHD839"/>
        <s v="B0BPLK4JHK"/>
        <s v="B0BPLK6Q8D"/>
        <s v="B0BPLJXZCH"/>
        <s v="B0BY7RYYVC"/>
        <s v="B0BQHWYQ6K"/>
        <s v="B0BQHXN5N9"/>
        <s v="B0BQHXKRTT"/>
        <s v="B0BQHVXHLK"/>
        <s v="B0BQHZGBK9"/>
        <s v="B0BQHV22J4"/>
        <s v="B0C22ZPJ85"/>
        <s v="B0C1Z2L3JF"/>
        <s v="B0C22SLCM2"/>
        <s v="B0C27PXBB6"/>
        <s v="B0C27P74P9"/>
        <s v="B0C233HY1X"/>
        <s v="B0C2326PCB"/>
        <s v="B0BPLLR7N8"/>
        <s v="B0BPLH79XD"/>
        <s v="B0CBK7YJ77"/>
        <s v="B0CFDY1DQH"/>
        <s v="B0CFDX8X5Y"/>
        <s v="B0C1Z22VN3"/>
        <s v="B0BTD8GG33"/>
        <s v="B0BTD9HZNV"/>
        <s v="B0BTD9QY9N"/>
        <s v="B0BVT3HRQS"/>
        <s v="B0BVTDDLYC"/>
        <m/>
      </sharedItems>
    </cacheField>
    <cacheField name="展示量" numFmtId="0">
      <sharedItems containsString="0" containsBlank="1" containsNumber="1" containsInteger="1" minValue="0" maxValue="4352" count="57">
        <n v="0"/>
        <n v="2"/>
        <n v="32"/>
        <n v="19"/>
        <n v="29"/>
        <n v="9"/>
        <n v="26"/>
        <n v="16"/>
        <n v="12"/>
        <n v="233"/>
        <n v="136"/>
        <n v="261"/>
        <n v="252"/>
        <n v="191"/>
        <n v="357"/>
        <n v="376"/>
        <n v="396"/>
        <n v="243"/>
        <n v="250"/>
        <n v="251"/>
        <n v="15"/>
        <n v="11"/>
        <n v="8"/>
        <n v="13"/>
        <n v="5"/>
        <n v="6"/>
        <n v="37"/>
        <n v="27"/>
        <n v="45"/>
        <n v="18"/>
        <n v="4"/>
        <n v="2503"/>
        <n v="274"/>
        <n v="4352"/>
        <n v="293"/>
        <n v="245"/>
        <n v="255"/>
        <n v="244"/>
        <n v="614"/>
        <n v="536"/>
        <n v="305"/>
        <n v="169"/>
        <n v="347"/>
        <n v="72"/>
        <n v="1"/>
        <n v="291"/>
        <n v="297"/>
        <n v="328"/>
        <n v="306"/>
        <n v="287"/>
        <n v="35"/>
        <n v="41"/>
        <n v="14"/>
        <n v="22"/>
        <n v="2325"/>
        <n v="929"/>
        <m/>
      </sharedItems>
    </cacheField>
    <cacheField name="可查看的展现量" numFmtId="0">
      <sharedItems containsString="0" containsBlank="1" containsNumber="1" containsInteger="1" minValue="0" maxValue="2549" count="42">
        <n v="0"/>
        <n v="121"/>
        <n v="68"/>
        <n v="145"/>
        <n v="132"/>
        <n v="111"/>
        <n v="182"/>
        <n v="181"/>
        <n v="108"/>
        <n v="148"/>
        <n v="137"/>
        <n v="7"/>
        <n v="5"/>
        <n v="4"/>
        <n v="3"/>
        <n v="2"/>
        <n v="22"/>
        <n v="11"/>
        <n v="9"/>
        <n v="13"/>
        <n v="18"/>
        <n v="6"/>
        <n v="1"/>
        <n v="141"/>
        <n v="2549"/>
        <n v="103"/>
        <n v="143"/>
        <n v="315"/>
        <n v="250"/>
        <n v="140"/>
        <n v="87"/>
        <n v="162"/>
        <n v="136"/>
        <n v="155"/>
        <n v="169"/>
        <n v="158"/>
        <n v="16"/>
        <n v="23"/>
        <n v="12"/>
        <n v="1467"/>
        <n v="572"/>
        <m/>
      </sharedItems>
    </cacheField>
    <cacheField name="点击量" numFmtId="0">
      <sharedItems containsString="0" containsBlank="1" containsNumber="1" containsInteger="1" minValue="0" maxValue="14" count="6">
        <n v="0"/>
        <n v="1"/>
        <n v="2"/>
        <n v="14"/>
        <n v="4"/>
        <m/>
      </sharedItems>
    </cacheField>
    <cacheField name="点击率(CTR)" numFmtId="0">
      <sharedItems containsString="0" containsBlank="1" containsNumber="1" minValue="0" maxValue="0.027027027027027" count="22">
        <m/>
        <n v="0"/>
        <n v="0.00383141762452107"/>
        <n v="0.00396825396825397"/>
        <n v="0.0104712041884817"/>
        <n v="0.00280112044817927"/>
        <n v="0.00531914893617021"/>
        <n v="0.00398406374501992"/>
        <n v="0.027027027027027"/>
        <n v="0.0055932880543348"/>
        <n v="0.000919117647058823"/>
        <n v="0.00341296928327645"/>
        <n v="0.00392156862745098"/>
        <n v="0.00162866449511401"/>
        <n v="0.00327868852459016"/>
        <n v="0.00288184438040346"/>
        <n v="0.0138888888888889"/>
        <n v="0.00343642611683849"/>
        <n v="0.00673400673400673"/>
        <n v="0.00304878048780488"/>
        <n v="0.000860215053763441"/>
        <n v="0.00107642626480086"/>
      </sharedItems>
    </cacheField>
    <cacheField name="14 天商品详情页浏览量 (DPV)" numFmtId="0">
      <sharedItems containsString="0" containsBlank="1" containsNumber="1" containsInteger="1" minValue="0" maxValue="263" count="48">
        <n v="0"/>
        <n v="111"/>
        <n v="71"/>
        <n v="168"/>
        <n v="165"/>
        <n v="140"/>
        <n v="131"/>
        <n v="156"/>
        <n v="109"/>
        <n v="161"/>
        <n v="136"/>
        <n v="8"/>
        <n v="4"/>
        <n v="1"/>
        <n v="2"/>
        <n v="29"/>
        <n v="13"/>
        <n v="3"/>
        <n v="20"/>
        <n v="31"/>
        <n v="26"/>
        <n v="9"/>
        <n v="7"/>
        <n v="16"/>
        <n v="5"/>
        <n v="15"/>
        <n v="14"/>
        <n v="128"/>
        <n v="132"/>
        <n v="123"/>
        <n v="99"/>
        <n v="137"/>
        <n v="188"/>
        <n v="263"/>
        <n v="232"/>
        <n v="152"/>
        <n v="98"/>
        <n v="163"/>
        <n v="117"/>
        <n v="147"/>
        <n v="150"/>
        <n v="151"/>
        <n v="32"/>
        <n v="30"/>
        <n v="23"/>
        <n v="17"/>
        <n v="12"/>
        <m/>
      </sharedItems>
    </cacheField>
    <cacheField name="花费" numFmtId="0">
      <sharedItems containsString="0" containsBlank="1" containsNumber="1" minValue="0" maxValue="12.74" count="65">
        <n v="0"/>
        <n v="0.30806"/>
        <n v="0.17301"/>
        <n v="0.37144"/>
        <n v="0.33755"/>
        <n v="0.28305"/>
        <n v="0.48221"/>
        <n v="0.4821"/>
        <n v="0.48723"/>
        <n v="0.28627"/>
        <n v="0.37886"/>
        <n v="0.35656"/>
        <n v="0.017"/>
        <n v="0.00944"/>
        <n v="0.00898"/>
        <n v="0.00614"/>
        <n v="0.00486"/>
        <n v="0.00346"/>
        <n v="0.04429"/>
        <n v="0.02318"/>
        <n v="0.02157"/>
        <n v="0.02847"/>
        <n v="0.03682"/>
        <n v="0.01392"/>
        <n v="0.01166"/>
        <n v="0.00808"/>
        <n v="0.00745"/>
        <n v="0.02395"/>
        <n v="0.02552"/>
        <n v="0.02056"/>
        <n v="0.01896"/>
        <n v="0.00826"/>
        <n v="0.00799"/>
        <n v="0.00283"/>
        <n v="0.00702"/>
        <n v="0.0071"/>
        <n v="12.74"/>
        <n v="0.00609"/>
        <n v="0.36291"/>
        <n v="6.47028"/>
        <n v="0.39009"/>
        <n v="0.26982"/>
        <n v="0.33335"/>
        <n v="0.36139"/>
        <n v="0.82119"/>
        <n v="0.64704"/>
        <n v="0.36548"/>
        <n v="0.22173"/>
        <n v="0.47209"/>
        <n v="0.74"/>
        <n v="0.43803"/>
        <n v="0.3623"/>
        <n v="0.40895"/>
        <n v="0.44464"/>
        <n v="0.40764"/>
        <n v="0.36544"/>
        <n v="0.03011"/>
        <n v="0.06398"/>
        <n v="0.0578"/>
        <n v="0.00684"/>
        <n v="0.01389"/>
        <n v="0.00659"/>
        <n v="4.49935"/>
        <n v="1.80774"/>
        <m/>
      </sharedItems>
    </cacheField>
    <cacheField name="每次点击成本(CPC)" numFmtId="0">
      <sharedItems containsString="0" containsBlank="1" containsNumber="1" minValue="0" maxValue="2.249675" count="21">
        <m/>
        <n v="0.37144"/>
        <n v="0.33755"/>
        <n v="0.141525"/>
        <n v="0.48221"/>
        <n v="0.24105"/>
        <n v="0.35656"/>
        <n v="0.04429"/>
        <n v="0.91"/>
        <n v="1.61757"/>
        <n v="0.39009"/>
        <n v="0.33335"/>
        <n v="0.82119"/>
        <n v="0.36548"/>
        <n v="0.47209"/>
        <n v="0.74"/>
        <n v="0.43803"/>
        <n v="0.204475"/>
        <n v="0.44464"/>
        <n v="2.249675"/>
        <n v="1.80774"/>
      </sharedItems>
    </cacheField>
    <cacheField name="每 1,000 次可见展示次数的成本 (VCPM)" numFmtId="0">
      <sharedItems containsString="0" containsBlank="1" containsNumber="1" minValue="0" maxValue="3.16038461538462" count="62">
        <m/>
        <n v="2.54595041322314"/>
        <n v="2.54426470588235"/>
        <n v="2.56165517241379"/>
        <n v="2.55719696969697"/>
        <n v="2.55"/>
        <n v="2.64950549450549"/>
        <n v="2.66353591160221"/>
        <n v="2.67708791208791"/>
        <n v="2.65064814814815"/>
        <n v="2.55986486486486"/>
        <n v="2.60262773722628"/>
        <n v="2.42857142857143"/>
        <n v="1.888"/>
        <n v="2.245"/>
        <n v="2.04666666666667"/>
        <n v="1.62"/>
        <n v="1.73"/>
        <n v="2.01318181818182"/>
        <n v="2.10727272727273"/>
        <n v="2.39666666666667"/>
        <n v="2.19"/>
        <n v="2.04555555555556"/>
        <n v="1.98857142857143"/>
        <n v="1.94333333333333"/>
        <n v="2.02"/>
        <n v="2.48333333333333"/>
        <n v="2.66111111111111"/>
        <n v="2.32"/>
        <n v="2.28444444444444"/>
        <n v="2.10666666666667"/>
        <n v="2.065"/>
        <n v="2.66333333333333"/>
        <n v="2.83"/>
        <n v="2.34"/>
        <n v="2.36666666666667"/>
        <n v="2.03"/>
        <n v="2.57382978723404"/>
        <n v="2.53836014123185"/>
        <n v="2.63574324324324"/>
        <n v="2.61961165048544"/>
        <n v="2.52537878787879"/>
        <n v="2.5272027972028"/>
        <n v="2.60695238095238"/>
        <n v="2.58816"/>
        <n v="2.61057142857143"/>
        <n v="2.54862068965517"/>
        <n v="2.6082320441989"/>
        <n v="2.70388888888889"/>
        <n v="2.66397058823529"/>
        <n v="2.63838709677419"/>
        <n v="2.63100591715976"/>
        <n v="2.58"/>
        <n v="2.55552447552447"/>
        <n v="1.881875"/>
        <n v="2.90818181818182"/>
        <n v="2.51304347826087"/>
        <n v="1.368"/>
        <n v="1.1575"/>
        <n v="2.19666666666667"/>
        <n v="3.06704158145876"/>
        <n v="3.16038461538462"/>
      </sharedItems>
    </cacheField>
    <cacheField name="广告成本销售比(ACOS)" numFmtId="0">
      <sharedItems containsString="0" containsBlank="1" containsNumber="1" minValue="0" maxValue="0.247042854372697" count="30">
        <m/>
        <n v="0.0102755170113409"/>
        <n v="0.00359165455677808"/>
        <n v="0.00283736918493622"/>
        <n v="0.0125111193476649"/>
        <n v="0.00464320866141732"/>
        <n v="0.00415913403484561"/>
        <n v="0.00263860762957692"/>
        <n v="0.0162518345563709"/>
        <n v="0.00138374903325599"/>
        <n v="0.00464516920058852"/>
        <n v="0.00566237891059234"/>
        <n v="0.00204783092324805"/>
        <n v="0.247042854372697"/>
        <n v="0.00288206797966963"/>
        <n v="0.00473640116561438"/>
        <n v="0.00356371605730169"/>
        <n v="0.0237913100724161"/>
        <n v="0.00596318350156125"/>
        <n v="0.00633483454082632"/>
        <n v="0.0253981931897151"/>
        <n v="0.0045945498783455"/>
        <n v="0.0182588578574406"/>
        <n v="0.00203558984569438"/>
        <n v="0.00464375979112271"/>
        <n v="0.00410306995470559"/>
        <n v="0.00330057803468208"/>
        <n v="0.00301401401401401"/>
        <n v="0.000342342342342342"/>
        <n v="0.00139039039039039"/>
      </sharedItems>
    </cacheField>
    <cacheField name="投入产出比(ROAS)" numFmtId="0">
      <sharedItems containsString="0" containsBlank="1" containsNumber="1" minValue="0" maxValue="2921.05263157895" count="31">
        <m/>
        <n v="97.3187041485425"/>
        <n v="278.423212531068"/>
        <n v="352.439155718286"/>
        <n v="79.9288994223078"/>
        <n v="215.368309485956"/>
        <n v="240.434665394745"/>
        <n v="378.98776187513"/>
        <n v="61.5315148902982"/>
        <n v="722.674398295316"/>
        <n v="215.277411180911"/>
        <n v="176.604218083913"/>
        <n v="0"/>
        <n v="488.321564367192"/>
        <n v="4.04788069073783"/>
        <n v="346.973078724753"/>
        <n v="211.130764695327"/>
        <n v="280.605969701515"/>
        <n v="42.0321536290434"/>
        <n v="167.695661174637"/>
        <n v="157.857319485658"/>
        <n v="39.3728795009303"/>
        <n v="217.649177063695"/>
        <n v="54.7679382690683"/>
        <n v="491.258100012226"/>
        <n v="215.342749190356"/>
        <n v="243.719948974585"/>
        <n v="302.977232924694"/>
        <n v="331.783460644304"/>
        <n v="2921.05263157895"/>
        <n v="719.222462203024"/>
      </sharedItems>
    </cacheField>
    <cacheField name="14天总订单数(#)" numFmtId="0">
      <sharedItems containsString="0" containsBlank="1" containsNumber="1" containsInteger="1" minValue="0" maxValue="11" count="11">
        <n v="0"/>
        <n v="2"/>
        <n v="3"/>
        <n v="6"/>
        <n v="4"/>
        <n v="5"/>
        <n v="8"/>
        <n v="11"/>
        <n v="1"/>
        <n v="9"/>
        <m/>
      </sharedItems>
    </cacheField>
    <cacheField name="14天总销售量(#)" numFmtId="0">
      <sharedItems containsString="0" containsBlank="1" containsNumber="1" containsInteger="1" minValue="0" maxValue="12" count="12">
        <n v="0"/>
        <n v="2"/>
        <n v="3"/>
        <n v="9"/>
        <n v="4"/>
        <n v="6"/>
        <n v="12"/>
        <n v="8"/>
        <n v="1"/>
        <n v="5"/>
        <n v="11"/>
        <m/>
      </sharedItems>
    </cacheField>
    <cacheField name="14天总销售额" numFmtId="0">
      <sharedItems containsString="0" containsBlank="1" containsNumber="1" minValue="0" maxValue="206.88" count="29">
        <n v="0"/>
        <n v="29.98"/>
        <n v="48.17"/>
        <n v="130.91"/>
        <n v="26.98"/>
        <n v="60.96"/>
        <n v="115.94"/>
        <n v="182.71"/>
        <n v="206.88"/>
        <n v="81.56"/>
        <n v="62.97"/>
        <n v="17.98"/>
        <n v="51.57"/>
        <n v="125.92"/>
        <n v="82.36"/>
        <n v="93.54"/>
        <n v="15.19"/>
        <n v="137.71"/>
        <n v="102.14"/>
        <n v="14.39"/>
        <n v="102.75"/>
        <n v="23.99"/>
        <n v="200.9"/>
        <n v="95.75"/>
        <n v="99.35"/>
        <n v="110.72"/>
        <n v="9.99"/>
        <n v="19.98"/>
        <m/>
      </sharedItems>
    </cacheField>
    <cacheField name="14天内“品牌新买家”订单数量(#)" numFmtId="0">
      <sharedItems containsString="0" containsBlank="1" containsNumber="1" containsInteger="1" minValue="0" maxValue="10" count="12">
        <n v="0"/>
        <n v="2"/>
        <n v="6"/>
        <n v="1"/>
        <n v="4"/>
        <n v="8"/>
        <n v="10"/>
        <n v="3"/>
        <n v="9"/>
        <n v="5"/>
        <n v="7"/>
        <m/>
      </sharedItems>
    </cacheField>
    <cacheField name="14天内“品牌新买家”销售额" numFmtId="0">
      <sharedItems containsString="0" containsBlank="1" containsNumber="1" minValue="0" maxValue="191.89" count="29">
        <n v="0"/>
        <n v="29.98"/>
        <n v="32.98"/>
        <n v="130.91"/>
        <n v="14.99"/>
        <n v="60.96"/>
        <n v="89.95"/>
        <n v="182.71"/>
        <n v="191.89"/>
        <n v="81.56"/>
        <n v="62.97"/>
        <n v="8.99"/>
        <n v="51.57"/>
        <n v="99.94"/>
        <n v="82.36"/>
        <n v="48.57"/>
        <n v="15.19"/>
        <n v="137.71"/>
        <n v="86.95"/>
        <n v="14.39"/>
        <n v="102.75"/>
        <n v="23.99"/>
        <n v="181.91"/>
        <n v="95.75"/>
        <n v="99.35"/>
        <n v="100.73"/>
        <n v="9.99"/>
        <n v="19.98"/>
        <m/>
      </sharedItems>
    </cacheField>
    <cacheField name="14天内“品牌新买家”商品数量(#)" numFmtId="0">
      <sharedItems containsString="0" containsBlank="1" containsNumber="1" containsInteger="1" minValue="0" maxValue="11" count="11">
        <n v="0"/>
        <n v="2"/>
        <n v="9"/>
        <n v="1"/>
        <n v="4"/>
        <n v="5"/>
        <n v="11"/>
        <n v="3"/>
        <n v="6"/>
        <n v="7"/>
        <m/>
      </sharedItems>
    </cacheField>
    <cacheField name="广告投入产出比 (ACOS) 总计 -（点击）" numFmtId="0">
      <sharedItems containsString="0" containsBlank="1" containsNumber="1" minValue="0" maxValue="0.247042854372697" count="3">
        <m/>
        <n v="0.247042854372697"/>
        <n v="0.0248599262769879"/>
      </sharedItems>
    </cacheField>
    <cacheField name="总广告投资回报率 (ROAS) -（点击）" numFmtId="0">
      <sharedItems containsString="0" containsBlank="1" containsNumber="1" minValue="0" maxValue="40.2253807536698" count="4">
        <m/>
        <n v="0"/>
        <n v="4.04788069073783"/>
        <n v="40.2253807536698"/>
      </sharedItems>
    </cacheField>
    <cacheField name="14 天内订单总量 (#) -（点击）" numFmtId="0">
      <sharedItems containsString="0" containsBlank="1" containsNumber="1" containsInteger="1" minValue="0" maxValue="4" count="4">
        <n v="0"/>
        <n v="4"/>
        <n v="1"/>
        <m/>
      </sharedItems>
    </cacheField>
    <cacheField name="14 天内已售商品总量 (#) -（点击）" numFmtId="0">
      <sharedItems containsString="0" containsBlank="1" containsNumber="1" containsInteger="1" minValue="0" maxValue="4" count="4">
        <n v="0"/>
        <n v="4"/>
        <n v="1"/>
        <m/>
      </sharedItems>
    </cacheField>
    <cacheField name="14 天内总销售额 -（点击）" numFmtId="0">
      <sharedItems containsString="0" containsBlank="1" containsNumber="1" minValue="0" maxValue="51.57" count="4">
        <n v="0"/>
        <n v="51.57"/>
        <n v="18.99"/>
        <m/>
      </sharedItems>
    </cacheField>
    <cacheField name="14 天内“品牌新客”订单数量 (#) -（点击）" numFmtId="0">
      <sharedItems containsString="0" containsBlank="1" containsNumber="1" containsInteger="1" minValue="0" maxValue="4" count="4">
        <n v="0"/>
        <n v="4"/>
        <n v="1"/>
        <m/>
      </sharedItems>
    </cacheField>
    <cacheField name="14 天内“品牌新客”销售额 -（点击）" numFmtId="0">
      <sharedItems containsString="0" containsBlank="1" containsNumber="1" minValue="0" maxValue="51.57" count="4">
        <n v="0"/>
        <n v="51.57"/>
        <n v="18.99"/>
        <m/>
      </sharedItems>
    </cacheField>
    <cacheField name="14 天内“品牌新客”已售商品数量 (#) -（点击）" numFmtId="0">
      <sharedItems containsString="0" containsBlank="1" containsNumber="1" containsInteger="1" minValue="0" maxValue="4" count="4">
        <n v="0"/>
        <n v="4"/>
        <n v="1"/>
        <m/>
      </sharedItems>
    </cacheField>
  </cacheFields>
</pivotCacheDefinition>
</file>

<file path=xl/pivotCache/pivotCacheDefinition9.xml><?xml version="1.0" encoding="utf-8"?>
<pivotCacheDefinition xmlns="http://schemas.openxmlformats.org/spreadsheetml/2006/main" xmlns:r="http://schemas.openxmlformats.org/officeDocument/2006/relationships" r:id="rId1" createdVersion="5" refreshedVersion="5" minRefreshableVersion="3" refreshedDate="45219.577962963" refreshedBy="Administrator" recordCount="145">
  <cacheSource type="worksheet">
    <worksheetSource ref="I1:AH1048576" sheet="展示推广9.19-10.18" r:id="rId2"/>
  </cacheSource>
  <cacheFields count="26">
    <cacheField name="广告SKU" numFmtId="0">
      <sharedItems containsBlank="1" count="79">
        <s v="Y1090"/>
        <s v="Y1088"/>
        <s v="Y1086"/>
        <s v="Y1087"/>
        <s v="Y1084"/>
        <s v="Y1060-BL"/>
        <s v="Y1058"/>
        <s v="Y1089"/>
        <s v="Y1061"/>
        <s v="Y1088-ZH"/>
        <s v="Y1060-GR-ZH"/>
        <s v="Y1058-ZH"/>
        <s v="Y1057-ZH"/>
        <s v="Y1055-ZH"/>
        <s v="Y1054-ZH"/>
        <s v="Y1085"/>
        <s v="Y1083"/>
        <s v="Y1071-WH"/>
        <s v="Y1071-BG"/>
        <s v="Y1078-BL"/>
        <s v="Y1078-GRA"/>
        <s v="Y1079-BL"/>
        <s v="Y1080-BU"/>
        <s v="Y1080-GRA"/>
        <s v="Y1079-WH"/>
        <s v="Y1080-GR"/>
        <s v="Y1076-BL"/>
        <s v="Y1076-RE"/>
        <s v="Y1076-MG"/>
        <s v="Y1076-BG"/>
        <s v="Y1076-WH"/>
        <s v="Y1074-BG"/>
        <s v="Y1074-BL"/>
        <s v="Y1074-MG"/>
        <s v="Y1075-RE"/>
        <s v="Y1075-BG"/>
        <s v="Y1075-BL"/>
        <s v="Y1075-MG"/>
        <s v="Y1073-BG"/>
        <s v="Y1071-MG"/>
        <s v="Y1071-RE"/>
        <s v="Y1071-BL"/>
        <s v="Y1081-WH"/>
        <s v="Y1081-BG"/>
        <s v="Y1081-BL"/>
        <s v="Y1082"/>
        <s v="Y1037"/>
        <s v="Y1081-RE"/>
        <s v="Y1055"/>
        <s v="Y1054"/>
        <s v="Y1059-BL"/>
        <s v="Y1057"/>
        <s v="Y1059-SI"/>
        <s v="Y1060-ZH-"/>
        <s v="Y1065-BE"/>
        <s v="Y1065-BL"/>
        <s v="Y1065-GA"/>
        <s v="Y1066-BE"/>
        <s v="Y1066-BL"/>
        <s v="Y1066-GA"/>
        <s v="Y1099-RE"/>
        <s v="Y1096"/>
        <s v="Y1099"/>
        <s v="Y1097-RE"/>
        <s v="Y1097-BU"/>
        <s v="Y1100-RE"/>
        <s v="Y1100-GA"/>
        <s v="Y1056"/>
        <s v="Y1060-GR"/>
        <s v="Y1084-ZH"/>
        <s v="Y1103-BL"/>
        <s v="Y1103-SI"/>
        <s v="Y1095"/>
        <s v="Y1038-PU"/>
        <s v="Y1038-BU"/>
        <s v="Y1038-GL"/>
        <s v="Y1094-YW"/>
        <s v="Y1094-RE"/>
        <m/>
      </sharedItems>
    </cacheField>
    <cacheField name="广告ASIN" numFmtId="0">
      <sharedItems containsBlank="1" count="79">
        <s v="B0BSLCKCDS"/>
        <s v="B0BSL2JNM5"/>
        <s v="B0BSKYV9CG"/>
        <s v="B0BSL4HJZ7"/>
        <s v="B0BSKVG5TZ"/>
        <s v="B0BPLH7GYS"/>
        <s v="B0BPLHWMFV"/>
        <s v="B0BSL4V5GH"/>
        <s v="B0BPLH27DX"/>
        <s v="B0BTLT57SZ"/>
        <s v="B0BTLSB925"/>
        <s v="B0BTLSNFTQ"/>
        <s v="B0BTLVJWH9"/>
        <s v="B0BTLTDZX4"/>
        <s v="B0BTLRZ257"/>
        <s v="B0BSKXSTBJ"/>
        <s v="B0BSKLT31P"/>
        <s v="B0BRN6SVB3"/>
        <s v="B0BRN5STCY"/>
        <s v="B0BSF6DY4D"/>
        <s v="B0BSF5MT9C"/>
        <s v="B0BSF63HXT"/>
        <s v="B0BSF6TYWW"/>
        <s v="B0C4KL4GDQ"/>
        <s v="B0BSF5H6Q6"/>
        <s v="B0BSF5H3N3"/>
        <s v="B0BS133PLR"/>
        <s v="B0BS12FW4M"/>
        <s v="B0BS13H4JM"/>
        <s v="B0BS12MJSQ"/>
        <s v="B0BS13JCCS"/>
        <s v="B0BRSP1DKN"/>
        <s v="B0BRSM9ZCG"/>
        <s v="B0BRSMQ9MZ"/>
        <s v="B0BRY14RTZ"/>
        <s v="B0BRY26PWT"/>
        <s v="B0BRY17P9S"/>
        <s v="B0BRXZXRV5"/>
        <s v="B0BRSPP9G4"/>
        <s v="B0BRN7X3WS"/>
        <s v="B0BRN79WL5"/>
        <s v="B0BRN5STD1"/>
        <s v="B0BSFJX84G"/>
        <s v="B0BSFKQ92H"/>
        <s v="B0BSFKQ92J"/>
        <s v="B0BSFKNKD1"/>
        <s v="B0BMQ7R71D"/>
        <s v="B0BSFL42YW"/>
        <s v="B0BPLH6Y2M"/>
        <s v="B0BPLHD839"/>
        <s v="B0BPLK4JHK"/>
        <s v="B0BPLK6Q8D"/>
        <s v="B0BPLJXZCH"/>
        <s v="B0BY7RYYVC"/>
        <s v="B0BQHWYQ6K"/>
        <s v="B0BQHXN5N9"/>
        <s v="B0BQHXKRTT"/>
        <s v="B0BQHVXHLK"/>
        <s v="B0BQHZGBK9"/>
        <s v="B0BQHV22J4"/>
        <s v="B0C22ZPJ85"/>
        <s v="B0C1Z2L3JF"/>
        <s v="B0C22SLCM2"/>
        <s v="B0C27PXBB6"/>
        <s v="B0C27P74P9"/>
        <s v="B0C233HY1X"/>
        <s v="B0C2326PCB"/>
        <s v="B0BPLLR7N8"/>
        <s v="B0BPLH79XD"/>
        <s v="B0CBK7YJ77"/>
        <s v="B0CFDY1DQH"/>
        <s v="B0CFDX8X5Y"/>
        <s v="B0C1Z22VN3"/>
        <s v="B0BTD8GG33"/>
        <s v="B0BTD9HZNV"/>
        <s v="B0BTD9QY9N"/>
        <s v="B0BVT3HRQS"/>
        <s v="B0BVTDDLYC"/>
        <m/>
      </sharedItems>
    </cacheField>
    <cacheField name="展示量" numFmtId="0">
      <sharedItems containsString="0" containsBlank="1" containsNumber="1" containsInteger="1" minValue="0" maxValue="6040" count="66">
        <n v="0"/>
        <n v="2"/>
        <n v="101"/>
        <n v="39"/>
        <n v="62"/>
        <n v="9"/>
        <n v="58"/>
        <n v="38"/>
        <n v="82"/>
        <n v="425"/>
        <n v="136"/>
        <n v="475"/>
        <n v="438"/>
        <n v="355"/>
        <n v="632"/>
        <n v="658"/>
        <n v="691"/>
        <n v="432"/>
        <n v="517"/>
        <n v="543"/>
        <n v="37"/>
        <n v="29"/>
        <n v="20"/>
        <n v="24"/>
        <n v="14"/>
        <n v="1"/>
        <n v="48"/>
        <n v="18"/>
        <n v="53"/>
        <n v="10"/>
        <n v="35"/>
        <n v="46"/>
        <n v="54"/>
        <n v="34"/>
        <n v="45"/>
        <n v="25"/>
        <n v="36"/>
        <n v="16"/>
        <n v="15"/>
        <n v="5139"/>
        <n v="382"/>
        <n v="6040"/>
        <n v="680"/>
        <n v="460"/>
        <n v="835"/>
        <n v="780"/>
        <n v="1248"/>
        <n v="1091"/>
        <n v="598"/>
        <n v="469"/>
        <n v="584"/>
        <n v="11"/>
        <n v="52"/>
        <n v="105"/>
        <n v="616"/>
        <n v="511"/>
        <n v="592"/>
        <n v="613"/>
        <n v="636"/>
        <n v="470"/>
        <n v="41"/>
        <n v="22"/>
        <n v="12"/>
        <n v="2325"/>
        <n v="929"/>
        <m/>
      </sharedItems>
    </cacheField>
    <cacheField name="可查看的展现量" numFmtId="0">
      <sharedItems containsString="0" containsBlank="1" containsNumber="1" containsInteger="1" minValue="0" maxValue="3577" count="49">
        <n v="0"/>
        <n v="206"/>
        <n v="68"/>
        <n v="259"/>
        <n v="218"/>
        <n v="189"/>
        <n v="320"/>
        <n v="311"/>
        <n v="323"/>
        <n v="211"/>
        <n v="286"/>
        <n v="288"/>
        <n v="16"/>
        <n v="15"/>
        <n v="12"/>
        <n v="7"/>
        <n v="8"/>
        <n v="1"/>
        <n v="26"/>
        <n v="17"/>
        <n v="11"/>
        <n v="20"/>
        <n v="24"/>
        <n v="14"/>
        <n v="22"/>
        <n v="23"/>
        <n v="5"/>
        <n v="6"/>
        <n v="9"/>
        <n v="199"/>
        <n v="3577"/>
        <n v="336"/>
        <n v="230"/>
        <n v="410"/>
        <n v="411"/>
        <n v="611"/>
        <n v="525"/>
        <n v="290"/>
        <n v="255"/>
        <n v="304"/>
        <n v="281"/>
        <n v="326"/>
        <n v="309"/>
        <n v="339"/>
        <n v="239"/>
        <n v="3"/>
        <n v="1467"/>
        <n v="572"/>
        <m/>
      </sharedItems>
    </cacheField>
    <cacheField name="点击量" numFmtId="0">
      <sharedItems containsString="0" containsBlank="1" containsNumber="1" containsInteger="1" minValue="0" maxValue="33" count="7">
        <n v="0"/>
        <n v="1"/>
        <n v="2"/>
        <n v="33"/>
        <n v="7"/>
        <n v="3"/>
        <m/>
      </sharedItems>
    </cacheField>
    <cacheField name="点击率(CTR)" numFmtId="0">
      <sharedItems containsString="0" containsBlank="1" containsNumber="1" minValue="0" maxValue="0.0222222222222222" count="27">
        <m/>
        <n v="0"/>
        <n v="0.00210526315789474"/>
        <n v="0.00228310502283105"/>
        <n v="0.00563380281690141"/>
        <n v="0.00316455696202532"/>
        <n v="0.00303951367781155"/>
        <n v="0.00184162062615101"/>
        <n v="0.0208333333333333"/>
        <n v="0.0222222222222222"/>
        <n v="0.00642148277875073"/>
        <n v="0.00115894039735099"/>
        <n v="0.00147058823529412"/>
        <n v="0.00217391304347826"/>
        <n v="0.00359281437125748"/>
        <n v="0.00128205128205128"/>
        <n v="0.00240384615384615"/>
        <n v="0.000916590284142988"/>
        <n v="0.00167224080267559"/>
        <n v="0.00171232876712329"/>
        <n v="0.00952380952380952"/>
        <n v="0.00487012987012987"/>
        <n v="0.00337837837837838"/>
        <n v="0.0032626427406199"/>
        <n v="0.00212765957446809"/>
        <n v="0.000860215053763441"/>
        <n v="0.00107642626480086"/>
      </sharedItems>
    </cacheField>
    <cacheField name="14 天商品详情页浏览量 (DPV)" numFmtId="0">
      <sharedItems containsString="0" containsBlank="1" containsNumber="1" containsInteger="1" minValue="0" maxValue="400" count="53">
        <n v="0"/>
        <n v="202"/>
        <n v="71"/>
        <n v="288"/>
        <n v="240"/>
        <n v="218"/>
        <n v="215"/>
        <n v="252"/>
        <n v="259"/>
        <n v="181"/>
        <n v="246"/>
        <n v="249"/>
        <n v="13"/>
        <n v="15"/>
        <n v="8"/>
        <n v="2"/>
        <n v="7"/>
        <n v="1"/>
        <n v="14"/>
        <n v="44"/>
        <n v="3"/>
        <n v="26"/>
        <n v="45"/>
        <n v="37"/>
        <n v="9"/>
        <n v="18"/>
        <n v="29"/>
        <n v="6"/>
        <n v="25"/>
        <n v="17"/>
        <n v="40"/>
        <n v="159"/>
        <n v="201"/>
        <n v="242"/>
        <n v="200"/>
        <n v="262"/>
        <n v="353"/>
        <n v="400"/>
        <n v="392"/>
        <n v="286"/>
        <n v="220"/>
        <n v="264"/>
        <n v="214"/>
        <n v="274"/>
        <n v="294"/>
        <n v="267"/>
        <n v="231"/>
        <n v="32"/>
        <n v="30"/>
        <n v="23"/>
        <n v="12"/>
        <n v="5"/>
        <m/>
      </sharedItems>
    </cacheField>
    <cacheField name="花费" numFmtId="0">
      <sharedItems containsString="0" containsBlank="1" containsNumber="1" minValue="0" maxValue="30.01" count="67">
        <n v="0"/>
        <n v="0.56043"/>
        <n v="0.17301"/>
        <n v="0.70592"/>
        <n v="0.582"/>
        <n v="0.50434"/>
        <n v="0.89721"/>
        <n v="0.86587"/>
        <n v="0.89991"/>
        <n v="0.59476"/>
        <n v="0.8095"/>
        <n v="0.8174"/>
        <n v="0.03335"/>
        <n v="0.02885"/>
        <n v="0.0244"/>
        <n v="0.0135"/>
        <n v="0.01265"/>
        <n v="0.00169"/>
        <n v="0.02143"/>
        <n v="0.05039"/>
        <n v="0.03639"/>
        <n v="0.02577"/>
        <n v="0.04165"/>
        <n v="0.04902"/>
        <n v="0.02366"/>
        <n v="0.01356"/>
        <n v="0.01512"/>
        <n v="0.02997"/>
        <n v="0.04855"/>
        <n v="0.04961"/>
        <n v="0.03766"/>
        <n v="0.01285"/>
        <n v="0.05514"/>
        <n v="0.03251"/>
        <n v="0.02447"/>
        <n v="0.0138"/>
        <n v="0.01827"/>
        <n v="0.01363"/>
        <n v="30.01"/>
        <n v="0.01889"/>
        <n v="0.52169"/>
        <n v="8.7841"/>
        <n v="0.96082"/>
        <n v="0.64663"/>
        <n v="1.19039"/>
        <n v="1.18931"/>
        <n v="1.72516"/>
        <n v="1.46897"/>
        <n v="0.83054"/>
        <n v="0.7454"/>
        <n v="0.84854"/>
        <n v="0.74"/>
        <n v="0.924"/>
        <n v="0.80741"/>
        <n v="0.93336"/>
        <n v="0.8605"/>
        <n v="0.96815"/>
        <n v="0.64451"/>
        <n v="0.03011"/>
        <n v="0.06398"/>
        <n v="0.0578"/>
        <n v="0.00684"/>
        <n v="0.01389"/>
        <n v="0.00659"/>
        <n v="4.49935"/>
        <n v="1.80774"/>
        <m/>
      </sharedItems>
    </cacheField>
    <cacheField name="每次点击成本(CPC)" numFmtId="0">
      <sharedItems containsString="0" containsBlank="1" containsNumber="1" minValue="0" maxValue="2.249675" count="26">
        <m/>
        <n v="0.70592"/>
        <n v="0.582"/>
        <n v="0.25217"/>
        <n v="0.448605"/>
        <n v="0.432935"/>
        <n v="0.8174"/>
        <n v="0.05039"/>
        <n v="0.05514"/>
        <n v="0.909393939393939"/>
        <n v="1.25487142857143"/>
        <n v="0.96082"/>
        <n v="0.64663"/>
        <n v="0.396796666666667"/>
        <n v="1.18931"/>
        <n v="0.575053333333333"/>
        <n v="1.46897"/>
        <n v="0.83054"/>
        <n v="0.84854"/>
        <n v="0.74"/>
        <n v="0.308"/>
        <n v="0.46668"/>
        <n v="0.43025"/>
        <n v="0.64451"/>
        <n v="2.249675"/>
        <n v="1.80774"/>
      </sharedItems>
    </cacheField>
    <cacheField name="每 1,000 次可见展示次数的成本 (VCPM)" numFmtId="0">
      <sharedItems containsString="0" containsBlank="1" containsNumber="1" minValue="0" maxValue="3.16038461538462" count="64">
        <m/>
        <n v="2.72053398058252"/>
        <n v="2.54426470588235"/>
        <n v="2.72555984555985"/>
        <n v="2.6697247706422"/>
        <n v="2.66846560846561"/>
        <n v="2.80378125"/>
        <n v="2.78414790996785"/>
        <n v="2.78609907120743"/>
        <n v="2.81876777251185"/>
        <n v="2.83041958041958"/>
        <n v="2.83819444444445"/>
        <n v="2.084375"/>
        <n v="1.92333333333333"/>
        <n v="2.03333333333333"/>
        <n v="1.92857142857143"/>
        <n v="1.58125"/>
        <n v="1.69"/>
        <n v="1.78583333333333"/>
        <n v="1.93807692307692"/>
        <n v="2.14058823529412"/>
        <n v="2.34272727272727"/>
        <n v="2.0825"/>
        <n v="2.0425"/>
        <n v="1.97166666666667"/>
        <n v="1.93714285714286"/>
        <n v="2.16"/>
        <n v="2.14071428571429"/>
        <n v="2.20681818181818"/>
        <n v="2.15695652173913"/>
        <n v="2.35375"/>
        <n v="2.57"/>
        <n v="2.12076923076923"/>
        <n v="2.031875"/>
        <n v="2.22454545454545"/>
        <n v="1.97142857142857"/>
        <n v="2.28375"/>
        <n v="2.27166666666667"/>
        <n v="2.09888888888889"/>
        <n v="2.62155778894472"/>
        <n v="2.45571708135309"/>
        <n v="2.85958333333333"/>
        <n v="2.8114347826087"/>
        <n v="2.90339024390244"/>
        <n v="2.89369829683698"/>
        <n v="2.82350245499182"/>
        <n v="2.79803809523809"/>
        <n v="2.86393103448276"/>
        <n v="2.92313725490196"/>
        <n v="2.79125"/>
        <n v="2.86068111455108"/>
        <n v="2.87334519572954"/>
        <n v="2.86306748466258"/>
        <n v="2.78478964401294"/>
        <n v="2.85589970501475"/>
        <n v="2.69669456066946"/>
        <n v="1.881875"/>
        <n v="2.90818181818182"/>
        <n v="2.51304347826087"/>
        <n v="1.368"/>
        <n v="1.1575"/>
        <n v="2.19666666666667"/>
        <n v="3.06704158145876"/>
        <n v="3.16038461538462"/>
      </sharedItems>
    </cacheField>
    <cacheField name="广告成本销售比(ACOS)" numFmtId="0">
      <sharedItems containsString="0" containsBlank="1" containsNumber="1" minValue="0" maxValue="0.386976144422953" count="38">
        <m/>
        <n v="0.00415379484138749"/>
        <n v="0.00359165455677808"/>
        <n v="0.00428115713505974"/>
        <n v="0.00895935960591133"/>
        <n v="0.00630819262038774"/>
        <n v="0.00528050144193985"/>
        <n v="0.00473904000875705"/>
        <n v="0.0200113408939293"/>
        <n v="0.00250046245690742"/>
        <n v="0.00752673175267318"/>
        <n v="0.00997315763787214"/>
        <n v="0.00214514514514514"/>
        <n v="0.00272636262513904"/>
        <n v="0.00496596596596597"/>
        <n v="0.00501728844404004"/>
        <n v="0.00244944944944945"/>
        <n v="0.00151815181518152"/>
        <n v="0.386976144422953"/>
        <n v="0.00370229224327585"/>
        <n v="0.008330327726721"/>
        <n v="0.0161738369184592"/>
        <n v="0.0127259995723755"/>
        <n v="0.01541355624676"/>
        <n v="0.00628130347715274"/>
        <n v="0.00638488286173773"/>
        <n v="0.0161678022191941"/>
        <n v="0.028680261639092"/>
        <n v="0.00582268578878748"/>
        <n v="0.0385160483534806"/>
        <n v="0.0126216976707832"/>
        <n v="0.0039236589877249"/>
        <n v="0.00615830530308452"/>
        <n v="0.00704980703415131"/>
        <n v="0.00582108020231214"/>
        <n v="0.00301401401401401"/>
        <n v="0.000342342342342342"/>
        <n v="0.00139039039039039"/>
      </sharedItems>
    </cacheField>
    <cacheField name="投入产出比(ROAS)" numFmtId="0">
      <sharedItems containsString="0" containsBlank="1" containsNumber="1" minValue="0" maxValue="2921.05263157895" count="39">
        <m/>
        <n v="240.743714647681"/>
        <n v="278.423212531068"/>
        <n v="233.581708975521"/>
        <n v="111.615120274914"/>
        <n v="158.52401157949"/>
        <n v="189.375954347366"/>
        <n v="211.013200595932"/>
        <n v="49.97166383305"/>
        <n v="399.92602057973"/>
        <n v="132.859789993823"/>
        <n v="100.269146072914"/>
        <n v="0"/>
        <n v="466.168922071862"/>
        <n v="366.789065687474"/>
        <n v="201.370691392864"/>
        <n v="199.310845121509"/>
        <n v="408.255006129955"/>
        <n v="658.695652173913"/>
        <n v="2.58413862045985"/>
        <n v="270.102934693017"/>
        <n v="120.043296351034"/>
        <n v="61.8282479934429"/>
        <n v="78.5792891405338"/>
        <n v="64.8779544441735"/>
        <n v="159.202624684087"/>
        <n v="156.619944587024"/>
        <n v="61.8513256435572"/>
        <n v="34.86718540381"/>
        <n v="171.742051052396"/>
        <n v="25.9632034632035"/>
        <n v="79.2286446786639"/>
        <n v="254.864146738665"/>
        <n v="162.382335851249"/>
        <n v="141.847854154831"/>
        <n v="171.789421420924"/>
        <n v="331.783460644304"/>
        <n v="2921.05263157895"/>
        <n v="719.222462203024"/>
      </sharedItems>
    </cacheField>
    <cacheField name="14天总订单数(#)" numFmtId="0">
      <sharedItems containsString="0" containsBlank="1" containsNumber="1" containsInteger="1" minValue="0" maxValue="15" count="14">
        <n v="0"/>
        <n v="5"/>
        <n v="3"/>
        <n v="8"/>
        <n v="4"/>
        <n v="13"/>
        <n v="1"/>
        <n v="2"/>
        <n v="6"/>
        <n v="9"/>
        <n v="15"/>
        <n v="7"/>
        <n v="11"/>
        <m/>
      </sharedItems>
    </cacheField>
    <cacheField name="14天总销售量(#)" numFmtId="0">
      <sharedItems containsString="0" containsBlank="1" containsNumber="1" containsInteger="1" minValue="0" maxValue="15" count="15">
        <n v="0"/>
        <n v="8"/>
        <n v="3"/>
        <n v="11"/>
        <n v="4"/>
        <n v="5"/>
        <n v="9"/>
        <n v="14"/>
        <n v="1"/>
        <n v="2"/>
        <n v="6"/>
        <n v="15"/>
        <n v="13"/>
        <n v="7"/>
        <m/>
      </sharedItems>
    </cacheField>
    <cacheField name="14天总销售额" numFmtId="0">
      <sharedItems containsString="0" containsBlank="1" containsNumber="1" minValue="0" maxValue="274.65" count="35">
        <n v="0"/>
        <n v="134.92"/>
        <n v="48.17"/>
        <n v="164.89"/>
        <n v="64.96"/>
        <n v="79.95"/>
        <n v="169.91"/>
        <n v="182.71"/>
        <n v="44.97"/>
        <n v="237.86"/>
        <n v="107.55"/>
        <n v="81.96"/>
        <n v="9.99"/>
        <n v="17.98"/>
        <n v="10.99"/>
        <n v="9.09"/>
        <n v="77.55"/>
        <n v="140.91"/>
        <n v="115.34"/>
        <n v="39.98"/>
        <n v="93.54"/>
        <n v="77.16"/>
        <n v="274.65"/>
        <n v="230.07"/>
        <n v="51.37"/>
        <n v="25.99"/>
        <n v="145.73"/>
        <n v="23.99"/>
        <n v="63.97"/>
        <n v="237.88"/>
        <n v="139.73"/>
        <n v="137.33"/>
        <n v="110.72"/>
        <n v="19.98"/>
        <m/>
      </sharedItems>
    </cacheField>
    <cacheField name="14天内“品牌新买家”订单数量(#)" numFmtId="0">
      <sharedItems containsString="0" containsBlank="1" containsNumber="1" containsInteger="1" minValue="0" maxValue="15" count="13">
        <n v="0"/>
        <n v="5"/>
        <n v="2"/>
        <n v="8"/>
        <n v="3"/>
        <n v="6"/>
        <n v="12"/>
        <n v="4"/>
        <n v="1"/>
        <n v="7"/>
        <n v="15"/>
        <n v="9"/>
        <m/>
      </sharedItems>
    </cacheField>
    <cacheField name="14天内“品牌新买家”销售额" numFmtId="0">
      <sharedItems containsString="0" containsBlank="1" containsNumber="1" minValue="0" maxValue="274.65" count="35">
        <n v="0"/>
        <n v="134.92"/>
        <n v="32.98"/>
        <n v="164.89"/>
        <n v="52.97"/>
        <n v="79.95"/>
        <n v="119.93"/>
        <n v="182.71"/>
        <n v="44.97"/>
        <n v="222.87"/>
        <n v="107.55"/>
        <n v="81.96"/>
        <n v="9.99"/>
        <n v="8.99"/>
        <n v="10.99"/>
        <n v="9.09"/>
        <n v="77.55"/>
        <n v="114.93"/>
        <n v="115.34"/>
        <n v="39.98"/>
        <n v="48.57"/>
        <n v="77.16"/>
        <n v="274.65"/>
        <n v="214.88"/>
        <n v="51.37"/>
        <n v="25.99"/>
        <n v="145.73"/>
        <n v="23.99"/>
        <n v="63.97"/>
        <n v="218.89"/>
        <n v="139.73"/>
        <n v="137.33"/>
        <n v="100.73"/>
        <n v="19.98"/>
        <m/>
      </sharedItems>
    </cacheField>
    <cacheField name="14天内“品牌新买家”商品数量(#)" numFmtId="0">
      <sharedItems containsString="0" containsBlank="1" containsNumber="1" containsInteger="1" minValue="0" maxValue="15" count="15">
        <n v="0"/>
        <n v="8"/>
        <n v="2"/>
        <n v="11"/>
        <n v="3"/>
        <n v="5"/>
        <n v="7"/>
        <n v="9"/>
        <n v="13"/>
        <n v="4"/>
        <n v="1"/>
        <n v="6"/>
        <n v="15"/>
        <n v="12"/>
        <m/>
      </sharedItems>
    </cacheField>
    <cacheField name="广告投入产出比 (ACOS) 总计 -（点击）" numFmtId="0">
      <sharedItems containsString="0" containsBlank="1" containsNumber="1" minValue="0" maxValue="0.386976144422953" count="3">
        <m/>
        <n v="0.386976144422953"/>
        <n v="0.0446835176408636"/>
      </sharedItems>
    </cacheField>
    <cacheField name="总广告投资回报率 (ROAS) -（点击）" numFmtId="0">
      <sharedItems containsString="0" containsBlank="1" containsNumber="1" minValue="0" maxValue="22.3796167534824" count="4">
        <m/>
        <n v="0"/>
        <n v="2.58413862045985"/>
        <n v="22.3796167534824"/>
      </sharedItems>
    </cacheField>
    <cacheField name="14 天内订单总量 (#) -（点击）" numFmtId="0">
      <sharedItems containsString="0" containsBlank="1" containsNumber="1" containsInteger="1" minValue="0" maxValue="6" count="4">
        <n v="0"/>
        <n v="6"/>
        <n v="1"/>
        <m/>
      </sharedItems>
    </cacheField>
    <cacheField name="14 天内已售商品总量 (#) -（点击）" numFmtId="0">
      <sharedItems containsString="0" containsBlank="1" containsNumber="1" containsInteger="1" minValue="0" maxValue="6" count="4">
        <n v="0"/>
        <n v="6"/>
        <n v="1"/>
        <m/>
      </sharedItems>
    </cacheField>
    <cacheField name="14 天内总销售额 -（点击）" numFmtId="0">
      <sharedItems containsString="0" containsBlank="1" containsNumber="1" minValue="0" maxValue="77.55" count="4">
        <n v="0"/>
        <n v="77.55"/>
        <n v="18.99"/>
        <m/>
      </sharedItems>
    </cacheField>
    <cacheField name="14 天内“品牌新客”订单数量 (#) -（点击）" numFmtId="0">
      <sharedItems containsString="0" containsBlank="1" containsNumber="1" containsInteger="1" minValue="0" maxValue="6" count="4">
        <n v="0"/>
        <n v="6"/>
        <n v="1"/>
        <m/>
      </sharedItems>
    </cacheField>
    <cacheField name="14 天内“品牌新客”销售额 -（点击）" numFmtId="0">
      <sharedItems containsString="0" containsBlank="1" containsNumber="1" minValue="0" maxValue="77.55" count="4">
        <n v="0"/>
        <n v="77.55"/>
        <n v="18.99"/>
        <m/>
      </sharedItems>
    </cacheField>
    <cacheField name="14 天内“品牌新客”已售商品数量 (#) -（点击）" numFmtId="0">
      <sharedItems containsString="0" containsBlank="1" containsNumber="1" containsInteger="1" minValue="0" maxValue="6" count="4">
        <n v="0"/>
        <n v="6"/>
        <n v="1"/>
        <m/>
      </sharedItems>
    </cacheField>
  </cacheFields>
</pivotCacheDefinition>
</file>

<file path=xl/pivotCache/pivotCacheDefinition10.xml><?xml version="1.0" encoding="utf-8"?>
<pivotCacheDefinition xmlns="http://schemas.openxmlformats.org/spreadsheetml/2006/main" xmlns:r="http://schemas.openxmlformats.org/officeDocument/2006/relationships" r:id="rId1" createdVersion="5" refreshedVersion="5" minRefreshableVersion="3" refreshedDate="45219.5826967593" refreshedBy="Administrator" recordCount="4">
  <cacheSource type="worksheet">
    <worksheetSource ref="B1:O1048576" sheet="广告1012-1018" r:id="rId2"/>
  </cacheSource>
  <cacheFields count="14">
    <cacheField name="（子）ASIN" numFmtId="0">
      <sharedItems containsBlank="1" count="3">
        <s v="B0BZ7SHKXZ"/>
        <s v="B09R1MH1J4"/>
        <m/>
      </sharedItems>
    </cacheField>
    <cacheField name="商品名称" numFmtId="0">
      <sharedItems containsBlank="1" count="3">
        <s v="Portable Air Conditioners Fan, KEWEK Ice Cube Air Conditioner 4 in1 Small Air Cooler/Evaporative/Desk Fan/Color Lights 3 Speeds 2 Mist 1500ml 2/4/8H Timer ac Unit with Handle for Home/Office"/>
        <s v="KEWEK Case for Samsung Galaxy S21 FE 5G Heavy Duty Shockproof Rugged Case, Military Grade Full Body Protection with [Screen Protectors] [Camera Lens Protector] (Navy)"/>
        <m/>
      </sharedItems>
    </cacheField>
    <cacheField name="SKU" numFmtId="0">
      <sharedItems containsBlank="1" count="4">
        <s v="Y2010-4"/>
        <s v="Y2010"/>
        <s v="FXC03680-NA"/>
        <m/>
      </sharedItems>
    </cacheField>
    <cacheField name="会话次数 – 总计" numFmtId="0">
      <sharedItems containsString="0" containsBlank="1" containsNumber="1" containsInteger="1" minValue="0" maxValue="188" count="3">
        <n v="188"/>
        <n v="11"/>
        <m/>
      </sharedItems>
    </cacheField>
    <cacheField name="会话次数 – 总计 – B2B" numFmtId="0">
      <sharedItems containsString="0" containsBlank="1" containsNumber="1" containsInteger="1" minValue="0" maxValue="7" count="3">
        <n v="7"/>
        <n v="0"/>
        <m/>
      </sharedItems>
    </cacheField>
    <cacheField name="会话百分比 – 总计" numFmtId="0">
      <sharedItems containsString="0" containsBlank="1" containsNumber="1" minValue="0" maxValue="0.4858" count="3">
        <n v="0.4858"/>
        <n v="0.0284"/>
        <m/>
      </sharedItems>
    </cacheField>
    <cacheField name="会话百分比 – 总计 – B2B" numFmtId="0">
      <sharedItems containsString="0" containsBlank="1" containsNumber="1" minValue="0" maxValue="0.5" count="3">
        <n v="0.5"/>
        <n v="0"/>
        <m/>
      </sharedItems>
    </cacheField>
    <cacheField name="页面浏览量 – 总计" numFmtId="0">
      <sharedItems containsString="0" containsBlank="1" containsNumber="1" containsInteger="1" minValue="0" maxValue="257" count="3">
        <n v="257"/>
        <n v="12"/>
        <m/>
      </sharedItems>
    </cacheField>
    <cacheField name="页面浏览量 – 总计 – B2B" numFmtId="0">
      <sharedItems containsString="0" containsBlank="1" containsNumber="1" containsInteger="1" minValue="0" maxValue="9" count="3">
        <n v="9"/>
        <n v="0"/>
        <m/>
      </sharedItems>
    </cacheField>
    <cacheField name="页面浏览量百分比 – 总计" numFmtId="0">
      <sharedItems containsString="0" containsBlank="1" containsNumber="1" minValue="0" maxValue="0.4886" count="3">
        <n v="0.4886"/>
        <n v="0.0228"/>
        <m/>
      </sharedItems>
    </cacheField>
    <cacheField name="页面浏览量百分比 – 总计 – B2B" numFmtId="0">
      <sharedItems containsString="0" containsBlank="1" containsNumber="1" minValue="0" maxValue="0.5" count="3">
        <n v="0.5"/>
        <n v="0"/>
        <m/>
      </sharedItems>
    </cacheField>
    <cacheField name="推荐报价（购买按钮）百分比" numFmtId="0">
      <sharedItems containsString="0" containsBlank="1" containsNumber="1" minValue="0" maxValue="1" count="3">
        <n v="0.8405"/>
        <n v="1"/>
        <m/>
      </sharedItems>
    </cacheField>
    <cacheField name="推荐报价（购买按钮）百分比 – B2B" numFmtId="0">
      <sharedItems containsString="0" containsBlank="1" containsNumber="1" minValue="0" maxValue="0.7778" count="3">
        <n v="0.7778"/>
        <n v="0"/>
        <m/>
      </sharedItems>
    </cacheField>
    <cacheField name="已订购商品数量" numFmtId="0">
      <sharedItems containsString="0" containsBlank="1" containsNumber="1" containsInteger="1" minValue="0" maxValue="2" count="3">
        <n v="2"/>
        <n v="1"/>
        <m/>
      </sharedItems>
    </cacheField>
  </cacheFields>
</pivotCacheDefinition>
</file>

<file path=xl/pivotCache/pivotCacheDefinition11.xml><?xml version="1.0" encoding="utf-8"?>
<pivotCacheDefinition xmlns="http://schemas.openxmlformats.org/spreadsheetml/2006/main" xmlns:r="http://schemas.openxmlformats.org/officeDocument/2006/relationships" r:id="rId1" createdVersion="5" refreshedVersion="5" minRefreshableVersion="3" refreshedDate="45219.5827546296" refreshedBy="Administrator" recordCount="10">
  <cacheSource type="worksheet">
    <worksheetSource ref="B1:O1048576" sheet="广告1004-1018" r:id="rId2"/>
  </cacheSource>
  <cacheFields count="14">
    <cacheField name="（子）ASIN" numFmtId="0">
      <sharedItems containsBlank="1" count="9">
        <s v="B0BZ7SHKXZ"/>
        <s v="B0BBFLCM84"/>
        <s v="B09R1MH1J4"/>
        <s v="B0BB1YYDDW"/>
        <s v="B0BB75P8RM"/>
        <s v="B0BB77VZF7"/>
        <s v="B0BB79KFCQ"/>
        <s v="B0BB7JSCJV"/>
        <m/>
      </sharedItems>
    </cacheField>
    <cacheField name="商品名称" numFmtId="0">
      <sharedItems containsBlank="1" count="9">
        <s v="Portable Air Conditioners Fan, KEWEK Ice Cube Air Conditioner 4 in1 Small Air Cooler/Evaporative/Desk Fan/Color Lights 3 Speeds 2 Mist 1500ml 2/4/8H Timer ac Unit with Handle for Home/Office"/>
        <s v="KEWEK Compatible with iPhone 14 Plus Case, Heavy-Duty Tough Rugged Full-Body Shockproof Protective Anti-Scratch Drop Protection Phone Case for iPhone 14 Plus 6.7 Inch(Teal)"/>
        <s v="KEWEK Case for Samsung Galaxy S21 FE 5G Heavy Duty Shockproof Rugged Case, Military Grade Full Body Protection with [Screen Protectors] [Camera Lens Protector] (Navy)"/>
        <s v="KEWEK Compatible with iPhone 14 Case, Heavy-Duty Tough Rugged Full-Body Shockproof Protective Anti-Scratch Drop Protection Phone Case for iPhone 14 6.1 Inch (Navy)"/>
        <s v="KEWEK Compatible with iPhone 14 Pro Case, Heavy-Duty Tough Rugged Full-Body Shockproof Protective Anti-Scratch Drop Protection Phone Case for iPhone 14 Pro 6.1 Inch (Black)"/>
        <s v="KEWEK Compatible with iPhone 14 Pro Case, Heavy-Duty Tough Rugged Full-Body Shockproof Protective Anti-Scratch Drop Protection Phone Case for iPhone 14 Pro 6.1 Inch (Green)"/>
        <s v="KEWEK Compatible with iPhone 14 Pro Max Case, Heavy-Duty Tough Rugged Full-Body Shockproof Protective Anti-Scratch Drop Protection Phone Case for iPhone 14 Pro Max 6.7 inch (Navy)"/>
        <s v="KEWEK Compatible with iPhone 14 Pro Max Case, Heavy-Duty Tough Rugged Full-Body Shockproof Protective Anti-Scratch Drop Protection Phone Case for iPhone 14 Pro Max 6.7 inch (Dark Green)"/>
        <m/>
      </sharedItems>
    </cacheField>
    <cacheField name="SKU" numFmtId="0">
      <sharedItems containsBlank="1" count="10">
        <s v="Y2010"/>
        <s v="Y2008-BL-1"/>
        <s v="Y2010-4"/>
        <s v="FXC03680-NA"/>
        <s v="Y2006-NA"/>
        <s v="Y2007-BL"/>
        <s v="Y2007-PG"/>
        <s v="Y2009-NA"/>
        <s v="Y2009-DK"/>
        <m/>
      </sharedItems>
    </cacheField>
    <cacheField name="会话次数 – 总计" numFmtId="0">
      <sharedItems containsString="0" containsBlank="1" containsNumber="1" containsInteger="1" minValue="0" maxValue="495" count="8">
        <n v="495"/>
        <n v="17"/>
        <n v="12"/>
        <n v="3"/>
        <n v="4"/>
        <n v="2"/>
        <n v="11"/>
        <m/>
      </sharedItems>
    </cacheField>
    <cacheField name="会话次数 – 总计 – B2B" numFmtId="0">
      <sharedItems containsString="0" containsBlank="1" containsNumber="1" containsInteger="1" minValue="0" maxValue="11" count="3">
        <n v="11"/>
        <n v="0"/>
        <m/>
      </sharedItems>
    </cacheField>
    <cacheField name="会话百分比 – 总计" numFmtId="0">
      <sharedItems containsString="0" containsBlank="1" containsNumber="1" minValue="0" maxValue="0.475" count="8">
        <n v="0.475"/>
        <n v="0.0163"/>
        <n v="0.0115"/>
        <n v="0.0029"/>
        <n v="0.0038"/>
        <n v="0.0019"/>
        <n v="0.0106"/>
        <m/>
      </sharedItems>
    </cacheField>
    <cacheField name="会话百分比 – 总计 – B2B" numFmtId="0">
      <sharedItems containsString="0" containsBlank="1" containsNumber="1" minValue="0" maxValue="0.5" count="3">
        <n v="0.5"/>
        <n v="0"/>
        <m/>
      </sharedItems>
    </cacheField>
    <cacheField name="页面浏览量 – 总计" numFmtId="0">
      <sharedItems containsString="0" containsBlank="1" containsNumber="1" containsInteger="1" minValue="0" maxValue="703" count="8">
        <n v="703"/>
        <n v="35"/>
        <n v="13"/>
        <n v="4"/>
        <n v="7"/>
        <n v="3"/>
        <n v="18"/>
        <m/>
      </sharedItems>
    </cacheField>
    <cacheField name="页面浏览量 – 总计 – B2B" numFmtId="0">
      <sharedItems containsString="0" containsBlank="1" containsNumber="1" containsInteger="1" minValue="0" maxValue="13" count="3">
        <n v="13"/>
        <n v="0"/>
        <m/>
      </sharedItems>
    </cacheField>
    <cacheField name="页面浏览量百分比 – 总计" numFmtId="0">
      <sharedItems containsString="0" containsBlank="1" containsNumber="1" minValue="0" maxValue="0.4718" count="8">
        <n v="0.4718"/>
        <n v="0.0235"/>
        <n v="0.0087"/>
        <n v="0.0027"/>
        <n v="0.0047"/>
        <n v="0.002"/>
        <n v="0.0121"/>
        <m/>
      </sharedItems>
    </cacheField>
    <cacheField name="页面浏览量百分比 – 总计 – B2B" numFmtId="0">
      <sharedItems containsString="0" containsBlank="1" containsNumber="1" minValue="0" maxValue="0.5" count="3">
        <n v="0.5"/>
        <n v="0"/>
        <m/>
      </sharedItems>
    </cacheField>
    <cacheField name="推荐报价（购买按钮）百分比" numFmtId="0">
      <sharedItems containsString="0" containsBlank="1" containsNumber="1" minValue="0" maxValue="1" count="6">
        <n v="0.9403"/>
        <n v="0.8286"/>
        <n v="1"/>
        <n v="0.75"/>
        <n v="0.7778"/>
        <m/>
      </sharedItems>
    </cacheField>
    <cacheField name="推荐报价（购买按钮）百分比 – B2B" numFmtId="0">
      <sharedItems containsString="0" containsBlank="1" containsNumber="1" minValue="0" maxValue="0.8462" count="3">
        <n v="0.8462"/>
        <n v="0"/>
        <m/>
      </sharedItems>
    </cacheField>
    <cacheField name="已订购商品数量" numFmtId="0">
      <sharedItems containsString="0" containsBlank="1" containsNumber="1" containsInteger="1" minValue="0" maxValue="15" count="4">
        <n v="15"/>
        <n v="2"/>
        <n v="1"/>
        <m/>
      </sharedItems>
    </cacheField>
  </cacheFields>
</pivotCacheDefinition>
</file>

<file path=xl/pivotCache/pivotCacheDefinition12.xml><?xml version="1.0" encoding="utf-8"?>
<pivotCacheDefinition xmlns="http://schemas.openxmlformats.org/spreadsheetml/2006/main" xmlns:r="http://schemas.openxmlformats.org/officeDocument/2006/relationships" r:id="rId1" createdVersion="5" refreshedVersion="5" minRefreshableVersion="3" refreshedDate="45219.5829861111" refreshedBy="Administrator" recordCount="17">
  <cacheSource type="worksheet">
    <worksheetSource ref="B1:O1048576" sheet="广告0919-1018" r:id="rId2"/>
  </cacheSource>
  <cacheFields count="14">
    <cacheField name="（子）ASIN" numFmtId="0">
      <sharedItems containsBlank="1" count="16">
        <s v="B0BZ7SHKXZ"/>
        <s v="B0BB1YYDDW"/>
        <s v="B0BBFLCM84"/>
        <s v="B09KY2SC1V"/>
        <s v="B09KY2YCNH"/>
        <s v="B09KY2L5X2"/>
        <s v="B09PR62MG7"/>
        <s v="B09R1MH1J4"/>
        <s v="B09V28K87F"/>
        <s v="B0BB75P8RM"/>
        <s v="B0BB77VZF7"/>
        <s v="B0BB79KFCQ"/>
        <s v="B0BB7BR725"/>
        <s v="B0BB7JSCJV"/>
        <s v="B0BBFJDHCY"/>
        <m/>
      </sharedItems>
    </cacheField>
    <cacheField name="商品名称" numFmtId="0">
      <sharedItems containsBlank="1" count="15">
        <s v="Portable Air Conditioners Fan, KEWEK Ice Cube Air Conditioner 4 in1 Small Air Cooler/Evaporative/Desk Fan/Color Lights 3 Speeds 2 Mist 1500ml 2/4/8H Timer ac Unit with Handle for Home/Office"/>
        <s v="KEWEK Compatible with iPhone 14 Case, Heavy-Duty Tough Rugged Full-Body Shockproof Protective Anti-Scratch Drop Protection Phone Case for iPhone 14 6.1 Inch (Navy)"/>
        <s v="KEWEK Compatible with iPhone 14 Plus Case, Heavy-Duty Tough Rugged Full-Body Shockproof Protective Anti-Scratch Drop Protection Phone Case for iPhone 14 Plus 6.7 Inch(Teal)"/>
        <s v="KEWEK Case for iPhone 13 Pro Max Heavy Duty Shockproof Rugged Case, Military Grade Full Body Protection Cover for iPhone 13 Pro Max (Navy)"/>
        <s v="KEWEK Case for iPhone 13 Pro Heavy Duty Shockproof Rugged Case, Military Grade Full Body Protection Cover for iPhone 13 Pro (Teal)"/>
        <s v="KEWEK Case for iPhone 13 Pro Max Heavy Duty Shockproof Rugged Case, Military Grade Full Body Protection Cover for iPhone 13 Pro Max (Teal)"/>
        <s v="KEWEK Case for Samsung Galaxy S22 5G Heavy Duty Rugged Phone Case, Shockproof Protection with [Screen Protectors] [Camera Lens Protector] Cover for Samsung S22 (Purple)"/>
        <s v="KEWEK Case for Samsung Galaxy S21 FE 5G Heavy Duty Shockproof Rugged Case, Military Grade Full Body Protection with [Screen Protectors] [Camera Lens Protector] (Navy)"/>
        <s v="KEWEK Case for Samsung Galaxy A03s Heavy Duty Shockproof Rugged Case, Military Grade Full Body Protection with [Screen Protectors] for Samsung Galaxy A03s (Navy)"/>
        <s v="KEWEK Compatible with iPhone 14 Pro Case, Heavy-Duty Tough Rugged Full-Body Shockproof Protective Anti-Scratch Drop Protection Phone Case for iPhone 14 Pro 6.1 Inch (Black)"/>
        <s v="KEWEK Compatible with iPhone 14 Pro Case, Heavy-Duty Tough Rugged Full-Body Shockproof Protective Anti-Scratch Drop Protection Phone Case for iPhone 14 Pro 6.1 Inch (Green)"/>
        <s v="KEWEK Compatible with iPhone 14 Pro Max Case, Heavy-Duty Tough Rugged Full-Body Shockproof Protective Anti-Scratch Drop Protection Phone Case for iPhone 14 Pro Max 6.7 inch (Navy)"/>
        <s v="KEWEK Compatible with iPhone 14 Pro Max Case, Heavy-Duty Tough Rugged Full-Body Shockproof Protective Anti-Scratch Drop Protection Phone Case for iPhone 14 Pro Max 6.7 inch (Purple)"/>
        <s v="KEWEK Compatible with iPhone 14 Pro Max Case, Heavy-Duty Tough Rugged Full-Body Shockproof Protective Anti-Scratch Drop Protection Phone Case for iPhone 14 Pro Max 6.7 inch (Dark Green)"/>
        <m/>
      </sharedItems>
    </cacheField>
    <cacheField name="SKU" numFmtId="0">
      <sharedItems containsBlank="1" count="18">
        <s v="Y2010"/>
        <s v="Y2006-NA"/>
        <s v="Y2008-BL-1"/>
        <s v="FXC03657-NA"/>
        <s v="FXC03656-TG"/>
        <s v="Y2010-4"/>
        <s v="FXC03657-TG"/>
        <s v="FXC03677-LP"/>
        <s v="FXC03680-NA"/>
        <s v="Y2004-NA"/>
        <s v="Y2007-BL"/>
        <s v="Y2007-PG"/>
        <s v="Y2009-NA"/>
        <s v="Y2009-LP"/>
        <s v="Y2009-DK"/>
        <s v="Y2008-NA-1"/>
        <m/>
        <s v="amzn.gr.Y2009-LP-UFyYU6cNwWfXGJSA25jI-LN" u="1"/>
      </sharedItems>
    </cacheField>
    <cacheField name="会话次数 – 总计" numFmtId="0">
      <sharedItems containsString="0" containsBlank="1" containsNumber="1" containsInteger="1" minValue="0" maxValue="890" count="14">
        <n v="890"/>
        <n v="16"/>
        <n v="41"/>
        <n v="28"/>
        <n v="36"/>
        <n v="6"/>
        <n v="12"/>
        <n v="8"/>
        <n v="11"/>
        <n v="2"/>
        <n v="4"/>
        <n v="33"/>
        <n v="1"/>
        <m/>
      </sharedItems>
    </cacheField>
    <cacheField name="会话次数 – 总计 – B2B" numFmtId="0">
      <sharedItems containsString="0" containsBlank="1" containsNumber="1" containsInteger="1" minValue="0" maxValue="16" count="4">
        <n v="16"/>
        <n v="1"/>
        <n v="0"/>
        <m/>
      </sharedItems>
    </cacheField>
    <cacheField name="会话百分比 – 总计" numFmtId="0">
      <sharedItems containsString="0" containsBlank="1" containsNumber="1" minValue="0" maxValue="0.4459" count="14">
        <n v="0.4459"/>
        <n v="0.008"/>
        <n v="0.0205"/>
        <n v="0.014"/>
        <n v="0.018"/>
        <n v="0.003"/>
        <n v="0.006"/>
        <n v="0.004"/>
        <n v="0.0055"/>
        <n v="0.001"/>
        <n v="0.002"/>
        <n v="0.0165"/>
        <n v="0.0005"/>
        <m/>
      </sharedItems>
    </cacheField>
    <cacheField name="会话百分比 – 总计 – B2B" numFmtId="0">
      <sharedItems containsString="0" containsBlank="1" containsNumber="1" minValue="0" maxValue="0.4848" count="4">
        <n v="0.4848"/>
        <n v="0.0303"/>
        <n v="0"/>
        <m/>
      </sharedItems>
    </cacheField>
    <cacheField name="页面浏览量 – 总计" numFmtId="0">
      <sharedItems containsString="0" containsBlank="1" containsNumber="1" containsInteger="1" minValue="0" maxValue="1268" count="15">
        <n v="1268"/>
        <n v="27"/>
        <n v="61"/>
        <n v="44"/>
        <n v="41"/>
        <n v="10"/>
        <n v="13"/>
        <n v="12"/>
        <n v="19"/>
        <n v="11"/>
        <n v="3"/>
        <n v="7"/>
        <n v="46"/>
        <n v="2"/>
        <m/>
      </sharedItems>
    </cacheField>
    <cacheField name="页面浏览量 – 总计 – B2B" numFmtId="0">
      <sharedItems containsString="0" containsBlank="1" containsNumber="1" containsInteger="1" minValue="0" maxValue="19" count="4">
        <n v="19"/>
        <n v="1"/>
        <n v="0"/>
        <m/>
      </sharedItems>
    </cacheField>
    <cacheField name="页面浏览量百分比 – 总计" numFmtId="0">
      <sharedItems containsString="0" containsBlank="1" containsNumber="1" minValue="0" maxValue="0.4435" count="15">
        <n v="0.4435"/>
        <n v="0.0094"/>
        <n v="0.0213"/>
        <n v="0.0154"/>
        <n v="0.0143"/>
        <n v="0.0035"/>
        <n v="0.0045"/>
        <n v="0.0042"/>
        <n v="0.0066"/>
        <n v="0.0038"/>
        <n v="0.001"/>
        <n v="0.0024"/>
        <n v="0.0161"/>
        <n v="0.0007"/>
        <m/>
      </sharedItems>
    </cacheField>
    <cacheField name="页面浏览量百分比 – 总计 – B2B" numFmtId="0">
      <sharedItems containsString="0" containsBlank="1" containsNumber="1" minValue="0" maxValue="0.4872" count="4">
        <n v="0.4872"/>
        <n v="0.0256"/>
        <n v="0"/>
        <m/>
      </sharedItems>
    </cacheField>
    <cacheField name="推荐报价（购买按钮）百分比" numFmtId="0">
      <sharedItems containsString="0" containsBlank="1" containsNumber="1" minValue="0" maxValue="1" count="9">
        <n v="0.9629"/>
        <n v="0.7778"/>
        <n v="0.9016"/>
        <n v="1"/>
        <n v="0.95"/>
        <n v="0.8333"/>
        <n v="0"/>
        <n v="0.913"/>
        <m/>
      </sharedItems>
    </cacheField>
    <cacheField name="推荐报价（购买按钮）百分比 – B2B" numFmtId="0">
      <sharedItems containsString="0" containsBlank="1" containsNumber="1" minValue="0" maxValue="1" count="4">
        <n v="0.8947"/>
        <n v="1"/>
        <n v="0"/>
        <m/>
      </sharedItems>
    </cacheField>
    <cacheField name="已订购商品数量" numFmtId="0">
      <sharedItems containsString="0" containsBlank="1" containsNumber="1" containsInteger="1" minValue="0" maxValue="21" count="5">
        <n v="21"/>
        <n v="3"/>
        <n v="2"/>
        <n v="1"/>
        <m/>
      </sharedItems>
    </cacheField>
  </cacheFields>
</pivotCacheDefinition>
</file>

<file path=xl/pivotCache/pivotCacheDefinition13.xml><?xml version="1.0" encoding="utf-8"?>
<pivotCacheDefinition xmlns="http://schemas.openxmlformats.org/spreadsheetml/2006/main" xmlns:r="http://schemas.openxmlformats.org/officeDocument/2006/relationships" r:id="rId1" createdVersion="5" refreshedVersion="5" minRefreshableVersion="3" refreshedDate="45219.5831828704" refreshedBy="Administrator" recordCount="6">
  <cacheSource type="worksheet">
    <worksheetSource ref="G1:W1048576" sheet="2店1012-1018" r:id="rId2"/>
  </cacheSource>
  <cacheFields count="19">
    <cacheField name="广告SKU" numFmtId="0">
      <sharedItems containsBlank="1" count="2">
        <s v="Y2010"/>
        <m/>
      </sharedItems>
    </cacheField>
    <cacheField name="广告ASIN" numFmtId="0">
      <sharedItems containsBlank="1" count="2">
        <s v="B0BZ7SHKXZ"/>
        <m/>
      </sharedItems>
    </cacheField>
    <cacheField name="展示量" numFmtId="0">
      <sharedItems containsString="0" containsBlank="1" containsNumber="1" containsInteger="1" minValue="0" maxValue="5307" count="6">
        <n v="396"/>
        <n v="5307"/>
        <n v="629"/>
        <n v="3462"/>
        <n v="2132"/>
        <m/>
      </sharedItems>
    </cacheField>
    <cacheField name="点击量" numFmtId="0">
      <sharedItems containsString="0" containsBlank="1" containsNumber="1" containsInteger="1" minValue="0" maxValue="20" count="5">
        <n v="2"/>
        <n v="20"/>
        <n v="14"/>
        <n v="11"/>
        <m/>
      </sharedItems>
    </cacheField>
    <cacheField name="点击率(CTR)" numFmtId="0">
      <sharedItems containsString="0" containsBlank="1" containsNumber="1" minValue="0" maxValue="0.00515947467166979" count="6">
        <n v="0.00505050505050505"/>
        <n v="0.00376860749952892"/>
        <n v="0.00317965023847377"/>
        <n v="0.00404390525707683"/>
        <n v="0.00515947467166979"/>
        <m/>
      </sharedItems>
    </cacheField>
    <cacheField name="每次点击成本(CPC)" numFmtId="0">
      <sharedItems containsString="0" containsBlank="1" containsNumber="1" minValue="0" maxValue="0.212857142857143" count="6">
        <n v="0.02"/>
        <n v="0.1085"/>
        <n v="0.13"/>
        <n v="0.212857142857143"/>
        <n v="0.161818181818182"/>
        <m/>
      </sharedItems>
    </cacheField>
    <cacheField name="花费" numFmtId="0">
      <sharedItems containsString="0" containsBlank="1" containsNumber="1" minValue="0" maxValue="2.98" count="6">
        <n v="0.04"/>
        <n v="2.17"/>
        <n v="0.26"/>
        <n v="2.98"/>
        <n v="1.78"/>
        <m/>
      </sharedItems>
    </cacheField>
    <cacheField name="7天总销售额" numFmtId="0">
      <sharedItems containsString="0" containsBlank="1" containsNumber="1" minValue="0" maxValue="19.99" count="3">
        <n v="0"/>
        <n v="19.99"/>
        <m/>
      </sharedItems>
    </cacheField>
    <cacheField name="广告成本销售比(ACOS)" numFmtId="0">
      <sharedItems containsString="0" containsBlank="1" containsNumber="1" minValue="0" maxValue="0.108554277138569" count="2">
        <m/>
        <n v="0.108554277138569"/>
      </sharedItems>
    </cacheField>
    <cacheField name="投入产出比(ROAS)" numFmtId="0">
      <sharedItems containsString="0" containsBlank="1" containsNumber="1" minValue="0" maxValue="9.21198156682028" count="3">
        <n v="0"/>
        <n v="9.21198156682028"/>
        <m/>
      </sharedItems>
    </cacheField>
    <cacheField name="7天总订单数(#)" numFmtId="0">
      <sharedItems containsString="0" containsBlank="1" containsNumber="1" containsInteger="1" minValue="0" maxValue="1" count="3">
        <n v="0"/>
        <n v="1"/>
        <m/>
      </sharedItems>
    </cacheField>
    <cacheField name="7天总销售量(#)" numFmtId="0">
      <sharedItems containsString="0" containsBlank="1" containsNumber="1" containsInteger="1" minValue="0" maxValue="1" count="3">
        <n v="0"/>
        <n v="1"/>
        <m/>
      </sharedItems>
    </cacheField>
    <cacheField name="7天的转化率" numFmtId="0">
      <sharedItems containsString="0" containsBlank="1" containsNumber="1" minValue="0" maxValue="0.05" count="3">
        <n v="0"/>
        <n v="0.05"/>
        <m/>
      </sharedItems>
    </cacheField>
    <cacheField name="7天内广告SKU销售量(#)" numFmtId="0">
      <sharedItems containsString="0" containsBlank="1" containsNumber="1" containsInteger="1" minValue="0" maxValue="1" count="3">
        <n v="0"/>
        <n v="1"/>
        <m/>
      </sharedItems>
    </cacheField>
    <cacheField name="7天内其他SKU销售量(#)" numFmtId="0">
      <sharedItems containsString="0" containsBlank="1" containsNumber="1" containsInteger="1" minValue="0" maxValue="0" count="2">
        <n v="0"/>
        <m/>
      </sharedItems>
    </cacheField>
    <cacheField name="7天内广告SKU销售额" numFmtId="0">
      <sharedItems containsString="0" containsBlank="1" containsNumber="1" minValue="0" maxValue="19.99" count="3">
        <n v="0"/>
        <n v="19.99"/>
        <m/>
      </sharedItems>
    </cacheField>
    <cacheField name="7天内其他SKU销售额" numFmtId="0">
      <sharedItems containsString="0" containsBlank="1" containsNumber="1" containsInteger="1" minValue="0" maxValue="0" count="2">
        <n v="0"/>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14.xml><?xml version="1.0" encoding="utf-8"?>
<pivotCacheDefinition xmlns="http://schemas.openxmlformats.org/spreadsheetml/2006/main" xmlns:r="http://schemas.openxmlformats.org/officeDocument/2006/relationships" r:id="rId1" createdVersion="5" refreshedVersion="5" minRefreshableVersion="3" refreshedDate="45219.5835069444" refreshedBy="Administrator" recordCount="8">
  <cacheSource type="worksheet">
    <worksheetSource ref="G1:W1048576" sheet="1004-1018" r:id="rId2"/>
  </cacheSource>
  <cacheFields count="19">
    <cacheField name="广告SKU" numFmtId="0">
      <sharedItems containsBlank="1" count="4">
        <s v="Y2007-BL"/>
        <s v="Y2008-BL-1"/>
        <s v="Y2010"/>
        <m/>
      </sharedItems>
    </cacheField>
    <cacheField name="广告ASIN" numFmtId="0">
      <sharedItems containsBlank="1" count="4">
        <s v="B0BB75P8RM"/>
        <s v="B0BBFLCM84"/>
        <s v="B0BZ7SHKXZ"/>
        <m/>
      </sharedItems>
    </cacheField>
    <cacheField name="展示量" numFmtId="0">
      <sharedItems containsString="0" containsBlank="1" containsNumber="1" containsInteger="1" minValue="0" maxValue="15844" count="8">
        <n v="228"/>
        <n v="792"/>
        <n v="894"/>
        <n v="10785"/>
        <n v="1678"/>
        <n v="15844"/>
        <n v="4553"/>
        <m/>
      </sharedItems>
    </cacheField>
    <cacheField name="点击量" numFmtId="0">
      <sharedItems containsString="0" containsBlank="1" containsNumber="1" containsInteger="1" minValue="0" maxValue="58" count="8">
        <n v="2"/>
        <n v="8"/>
        <n v="7"/>
        <n v="49"/>
        <n v="11"/>
        <n v="58"/>
        <n v="31"/>
        <m/>
      </sharedItems>
    </cacheField>
    <cacheField name="点击率(CTR)" numFmtId="0">
      <sharedItems containsString="0" containsBlank="1" containsNumber="1" minValue="0" maxValue="0.0101010101010101" count="8">
        <n v="0.0087719298245614"/>
        <n v="0.0101010101010101"/>
        <n v="0.00782997762863535"/>
        <n v="0.00454334724153917"/>
        <n v="0.0065554231227652"/>
        <n v="0.00366069174450896"/>
        <n v="0.006808697562047"/>
        <m/>
      </sharedItems>
    </cacheField>
    <cacheField name="每次点击成本(CPC)" numFmtId="0">
      <sharedItems containsString="0" containsBlank="1" containsNumber="1" minValue="0" maxValue="0.49" count="8">
        <n v="0.45"/>
        <n v="0.49"/>
        <n v="0.0271428571428571"/>
        <n v="0.112448979591837"/>
        <n v="0.174545454545455"/>
        <n v="0.228965517241379"/>
        <n v="0.181935483870968"/>
        <m/>
      </sharedItems>
    </cacheField>
    <cacheField name="花费" numFmtId="0">
      <sharedItems containsString="0" containsBlank="1" containsNumber="1" minValue="0" maxValue="13.28" count="8">
        <n v="0.9"/>
        <n v="3.92"/>
        <n v="0.19"/>
        <n v="5.51"/>
        <n v="1.92"/>
        <n v="13.28"/>
        <n v="5.64"/>
        <m/>
      </sharedItems>
    </cacheField>
    <cacheField name="7天总销售额" numFmtId="0">
      <sharedItems containsString="0" containsBlank="1" containsNumber="1" minValue="0" maxValue="155.97" count="7">
        <n v="8.66"/>
        <n v="7.99"/>
        <n v="0"/>
        <n v="19.99"/>
        <n v="155.97"/>
        <n v="51.99"/>
        <m/>
      </sharedItems>
    </cacheField>
    <cacheField name="广告成本销售比(ACOS)" numFmtId="0">
      <sharedItems containsString="0" containsBlank="1" containsNumber="1" minValue="0" maxValue="0.490613266583229" count="6">
        <n v="0.103926096997691"/>
        <n v="0.490613266583229"/>
        <m/>
        <n v="0.275637818909455"/>
        <n v="0.0851445790857216"/>
        <n v="0.108482400461627"/>
      </sharedItems>
    </cacheField>
    <cacheField name="投入产出比(ROAS)" numFmtId="0">
      <sharedItems containsString="0" containsBlank="1" containsNumber="1" minValue="0" maxValue="11.7447289156626" count="7">
        <n v="9.62222222222222"/>
        <n v="2.03826530612245"/>
        <n v="0"/>
        <n v="3.62794918330309"/>
        <n v="11.7447289156626"/>
        <n v="9.21808510638298"/>
        <m/>
      </sharedItems>
    </cacheField>
    <cacheField name="7天总订单数(#)" numFmtId="0">
      <sharedItems containsString="0" containsBlank="1" containsNumber="1" containsInteger="1" minValue="0" maxValue="3" count="4">
        <n v="1"/>
        <n v="0"/>
        <n v="3"/>
        <m/>
      </sharedItems>
    </cacheField>
    <cacheField name="7天总销售量(#)" numFmtId="0">
      <sharedItems containsString="0" containsBlank="1" containsNumber="1" containsInteger="1" minValue="0" maxValue="3" count="4">
        <n v="1"/>
        <n v="0"/>
        <n v="3"/>
        <m/>
      </sharedItems>
    </cacheField>
    <cacheField name="7天的转化率" numFmtId="0">
      <sharedItems containsString="0" containsBlank="1" containsNumber="1" minValue="0" maxValue="0.5" count="7">
        <n v="0.5"/>
        <n v="0.125"/>
        <n v="0"/>
        <n v="0.0204081632653061"/>
        <n v="0.0517241379310345"/>
        <n v="0.032258064516129"/>
        <m/>
      </sharedItems>
    </cacheField>
    <cacheField name="7天内广告SKU销售量(#)" numFmtId="0">
      <sharedItems containsString="0" containsBlank="1" containsNumber="1" containsInteger="1" minValue="0" maxValue="3" count="4">
        <n v="1"/>
        <n v="0"/>
        <n v="3"/>
        <m/>
      </sharedItems>
    </cacheField>
    <cacheField name="7天内其他SKU销售量(#)" numFmtId="0">
      <sharedItems containsString="0" containsBlank="1" containsNumber="1" containsInteger="1" minValue="0" maxValue="0" count="2">
        <n v="0"/>
        <m/>
      </sharedItems>
    </cacheField>
    <cacheField name="7天内广告SKU销售额" numFmtId="0">
      <sharedItems containsString="0" containsBlank="1" containsNumber="1" minValue="0" maxValue="155.97" count="7">
        <n v="8.66"/>
        <n v="7.99"/>
        <n v="0"/>
        <n v="19.99"/>
        <n v="155.97"/>
        <n v="51.99"/>
        <m/>
      </sharedItems>
    </cacheField>
    <cacheField name="7天内其他SKU销售额" numFmtId="0">
      <sharedItems containsString="0" containsBlank="1" containsNumber="1" containsInteger="1" minValue="0" maxValue="0" count="2">
        <n v="0"/>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15.xml><?xml version="1.0" encoding="utf-8"?>
<pivotCacheDefinition xmlns="http://schemas.openxmlformats.org/spreadsheetml/2006/main" xmlns:r="http://schemas.openxmlformats.org/officeDocument/2006/relationships" r:id="rId1" createdVersion="5" refreshedVersion="5" minRefreshableVersion="3" refreshedDate="45219.5836805556" refreshedBy="Administrator" recordCount="10">
  <cacheSource type="worksheet">
    <worksheetSource ref="G1:W1048576" sheet="0919-1018" r:id="rId2"/>
  </cacheSource>
  <cacheFields count="19">
    <cacheField name="广告SKU" numFmtId="0">
      <sharedItems containsBlank="1" count="6">
        <s v="FXC03656-TG"/>
        <s v="Y2007-BL"/>
        <s v="Y2008-BL-1"/>
        <s v="FXC03657-NA"/>
        <s v="Y2010"/>
        <m/>
      </sharedItems>
    </cacheField>
    <cacheField name="广告ASIN" numFmtId="0">
      <sharedItems containsBlank="1" count="6">
        <s v="B09KY2YCNH"/>
        <s v="B0BB75P8RM"/>
        <s v="B0BBFLCM84"/>
        <s v="B09KY2SC1V"/>
        <s v="B0BZ7SHKXZ"/>
        <m/>
      </sharedItems>
    </cacheField>
    <cacheField name="展示量" numFmtId="0">
      <sharedItems containsString="0" containsBlank="1" containsNumber="1" containsInteger="1" minValue="0" maxValue="38332" count="10">
        <n v="1490"/>
        <n v="1069"/>
        <n v="2300"/>
        <n v="143"/>
        <n v="1825"/>
        <n v="22237"/>
        <n v="3458"/>
        <n v="38332"/>
        <n v="10455"/>
        <m/>
      </sharedItems>
    </cacheField>
    <cacheField name="点击量" numFmtId="0">
      <sharedItems containsString="0" containsBlank="1" containsNumber="1" containsInteger="1" minValue="0" maxValue="132" count="10">
        <n v="16"/>
        <n v="6"/>
        <n v="18"/>
        <n v="1"/>
        <n v="11"/>
        <n v="81"/>
        <n v="15"/>
        <n v="132"/>
        <n v="76"/>
        <m/>
      </sharedItems>
    </cacheField>
    <cacheField name="点击率(CTR)" numFmtId="0">
      <sharedItems containsString="0" containsBlank="1" containsNumber="1" minValue="0" maxValue="0.010738255033557" count="10">
        <n v="0.010738255033557"/>
        <n v="0.00561272217025257"/>
        <n v="0.00782608695652174"/>
        <n v="0.00699300699300699"/>
        <n v="0.00602739726027397"/>
        <n v="0.00364257768583892"/>
        <n v="0.00433776749566223"/>
        <n v="0.00344359803819263"/>
        <n v="0.00726924916307987"/>
        <m/>
      </sharedItems>
    </cacheField>
    <cacheField name="每次点击成本(CPC)" numFmtId="0">
      <sharedItems containsString="0" containsBlank="1" containsNumber="1" minValue="0" maxValue="0.477222222222222" count="10">
        <n v="0.24375"/>
        <n v="0.4"/>
        <n v="0.477222222222222"/>
        <n v="0.13"/>
        <n v="0.0254545454545455"/>
        <n v="0.114691358024691"/>
        <n v="0.164666666666667"/>
        <n v="0.233939393939394"/>
        <n v="0.199210526315789"/>
        <m/>
      </sharedItems>
    </cacheField>
    <cacheField name="花费" numFmtId="0">
      <sharedItems containsString="0" containsBlank="1" containsNumber="1" minValue="0" maxValue="30.88" count="10">
        <n v="3.9"/>
        <n v="2.4"/>
        <n v="8.59"/>
        <n v="0.13"/>
        <n v="0.28"/>
        <n v="9.29"/>
        <n v="2.47"/>
        <n v="30.88"/>
        <n v="15.14"/>
        <m/>
      </sharedItems>
    </cacheField>
    <cacheField name="7天总销售额" numFmtId="0">
      <sharedItems containsString="0" containsBlank="1" containsNumber="1" minValue="0" maxValue="311.94" count="8">
        <n v="0"/>
        <n v="16.65"/>
        <n v="22.97"/>
        <n v="8.99"/>
        <n v="71.98"/>
        <n v="311.94"/>
        <n v="103.98"/>
        <m/>
      </sharedItems>
    </cacheField>
    <cacheField name="广告成本销售比(ACOS)" numFmtId="0">
      <sharedItems containsString="0" containsBlank="1" containsNumber="1" minValue="0" maxValue="0.373966042664345" count="7">
        <m/>
        <n v="0.144144144144144"/>
        <n v="0.373966042664345"/>
        <n v="0.014460511679644"/>
        <n v="0.129063628785774"/>
        <n v="0.0989933961659294"/>
        <n v="0.145604924023851"/>
      </sharedItems>
    </cacheField>
    <cacheField name="投入产出比(ROAS)" numFmtId="0">
      <sharedItems containsString="0" containsBlank="1" containsNumber="1" minValue="0" maxValue="69.1538461538461" count="8">
        <n v="0"/>
        <n v="6.9375"/>
        <n v="2.67403958090803"/>
        <n v="69.1538461538461"/>
        <n v="7.7481162540366"/>
        <n v="10.1016839378238"/>
        <n v="6.86789960369881"/>
        <m/>
      </sharedItems>
    </cacheField>
    <cacheField name="7天总订单数(#)" numFmtId="0">
      <sharedItems containsString="0" containsBlank="1" containsNumber="1" containsInteger="1" minValue="0" maxValue="6" count="6">
        <n v="0"/>
        <n v="2"/>
        <n v="3"/>
        <n v="1"/>
        <n v="6"/>
        <m/>
      </sharedItems>
    </cacheField>
    <cacheField name="7天总销售量(#)" numFmtId="0">
      <sharedItems containsString="0" containsBlank="1" containsNumber="1" containsInteger="1" minValue="0" maxValue="6" count="6">
        <n v="0"/>
        <n v="2"/>
        <n v="3"/>
        <n v="1"/>
        <n v="6"/>
        <m/>
      </sharedItems>
    </cacheField>
    <cacheField name="7天的转化率" numFmtId="0">
      <sharedItems containsString="0" containsBlank="1" containsNumber="1" minValue="0" maxValue="1" count="8">
        <n v="0"/>
        <n v="0.333333333333333"/>
        <n v="0.166666666666667"/>
        <n v="1"/>
        <n v="0.0246913580246914"/>
        <n v="0.0454545454545455"/>
        <n v="0.0263157894736842"/>
        <m/>
      </sharedItems>
    </cacheField>
    <cacheField name="7天内广告SKU销售量(#)" numFmtId="0">
      <sharedItems containsString="0" containsBlank="1" containsNumber="1" containsInteger="1" minValue="0" maxValue="6" count="5">
        <n v="0"/>
        <n v="1"/>
        <n v="2"/>
        <n v="6"/>
        <m/>
      </sharedItems>
    </cacheField>
    <cacheField name="7天内其他SKU销售量(#)" numFmtId="0">
      <sharedItems containsString="0" containsBlank="1" containsNumber="1" containsInteger="1" minValue="0" maxValue="1" count="3">
        <n v="0"/>
        <n v="1"/>
        <m/>
      </sharedItems>
    </cacheField>
    <cacheField name="7天内广告SKU销售额" numFmtId="0">
      <sharedItems containsString="0" containsBlank="1" containsNumber="1" minValue="0" maxValue="311.94" count="8">
        <n v="0"/>
        <n v="8.66"/>
        <n v="15.98"/>
        <n v="8.99"/>
        <n v="71.98"/>
        <n v="311.94"/>
        <n v="103.98"/>
        <m/>
      </sharedItems>
    </cacheField>
    <cacheField name="7天内其他SKU销售额" numFmtId="0">
      <sharedItems containsString="0" containsBlank="1" containsNumber="1" minValue="0" maxValue="7.99" count="4">
        <n v="0"/>
        <n v="7.99"/>
        <n v="6.99"/>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16.xml><?xml version="1.0" encoding="utf-8"?>
<pivotCacheDefinition xmlns="http://schemas.openxmlformats.org/spreadsheetml/2006/main" xmlns:r="http://schemas.openxmlformats.org/officeDocument/2006/relationships" r:id="rId1" createdVersion="5" refreshedVersion="5" minRefreshableVersion="3" refreshedDate="45219.5875810185" refreshedBy="Administrator" recordCount="146">
  <cacheSource type="worksheet">
    <worksheetSource ref="B1:O1048576" sheet="3店1012-1018" r:id="rId2"/>
  </cacheSource>
  <cacheFields count="14">
    <cacheField name="（子）ASIN" numFmtId="0">
      <sharedItems containsBlank="1" count="144">
        <s v="B09FP627KW"/>
        <s v="B09V278J16"/>
        <s v="B096TKYS6R"/>
        <s v="B09Y19ZRB9"/>
        <s v="B09B1M73FL"/>
        <s v="B094FTXFCS"/>
        <s v="B09MHS412L"/>
        <s v="B0B8N6JY13"/>
        <s v="B0BRMX26NH"/>
        <s v="B094HRCLXF"/>
        <s v="B096TMB4ZM"/>
        <s v="B09V27JQ4S"/>
        <s v="B0BMFRH2YG"/>
        <s v="B098T1675V"/>
        <s v="B0B7MS7DMW"/>
        <s v="B09FNYDGY5"/>
        <s v="B09WZYBG5Y"/>
        <s v="B0BWYDK4SR"/>
        <s v="B09B1N5SXM"/>
        <s v="B09HGDHZQ1"/>
        <s v="B0BFQY2HCW"/>
        <s v="B093KZ59LY"/>
        <s v="B09CM5DD9F"/>
        <s v="B09V27L3BY"/>
        <s v="B0BMFPDY3X"/>
        <s v="B0CF1TJQ3P"/>
        <s v="B094FQS1FC"/>
        <s v="B096TKPWD7"/>
        <s v="B09MHRWLB5"/>
        <s v="B0BWYBZ4DM"/>
        <s v="B094HQ8MSM"/>
        <s v="B09FKY9NB2"/>
        <s v="B09FNT64S9"/>
        <s v="B09H29PZXG"/>
        <s v="B09V289STH"/>
        <s v="B0B2QVCZ4W"/>
        <s v="B0B8NBWGMM"/>
        <s v="B0BMFPBCF9"/>
        <s v="B0BMFRQ616"/>
        <s v="B09CM4S4MM"/>
        <s v="B09FP3Y2WP"/>
        <s v="B09V27VN42"/>
        <s v="B0BFQZM17H"/>
        <s v="B0BP6M7Z48"/>
        <s v="B0BRMWFB9L"/>
        <s v="B0CF1RXKWZ"/>
        <s v="B0CH9V5XYG"/>
        <s v="B094FR2LXM"/>
        <s v="B094HQNRN7"/>
        <s v="B09CPQ77F1"/>
        <s v="B09FKWZKZQ"/>
        <s v="B09FPBNRWX"/>
        <s v="B09H2FVVKR"/>
        <s v="B09Y185WLW"/>
        <s v="B09Y1BSTNT"/>
        <s v="B0BFR1HGZX"/>
        <s v="B0BP6PXXBQ"/>
        <s v="B0BRMWJXZR"/>
        <s v="B093KYKS43"/>
        <s v="B093W782KT"/>
        <s v="B098T19BMD"/>
        <s v="B09B1MQZPN"/>
        <s v="B09DFFRTPG"/>
        <s v="B09FKZBMCJ"/>
        <s v="B09MHRVV79"/>
        <s v="B0B7MPP93H"/>
        <s v="B0B8N8W6KW"/>
        <s v="B0B8N96D3H"/>
        <s v="B0BFVNJNYV"/>
        <s v="B0BMFPR37C"/>
        <s v="B093L2V62Y"/>
        <s v="B09CPPMYNK"/>
        <s v="B09DFRLP5Y"/>
        <s v="B09DP3W7BQ"/>
        <s v="B09HGMN29X"/>
        <s v="B09V2GY7PT"/>
        <s v="B09WZZ1LM2"/>
        <s v="B09Y1B9G8T"/>
        <s v="B0B2QTY69B"/>
        <s v="B0B7MT3VYL"/>
        <s v="B0B7NK6JNL"/>
        <s v="B0B8N3VX4F"/>
        <s v="B0B9XK7L5X"/>
        <s v="B0BFQZJXSG"/>
        <s v="B0BFR2JK9C"/>
        <s v="B0BFVRPPHJ"/>
        <s v="B0BP6B6XFB"/>
        <s v="B0BP6GRTJJ"/>
        <s v="B0BP6P5ZM2"/>
        <s v="B0BRMXH62X"/>
        <s v="B0BVLH6LSR"/>
        <s v="B0BWY9XSLR"/>
        <s v="B0C84VPJMX"/>
        <s v="B0C84X13TP"/>
        <s v="B0CF1Q7BQF"/>
        <s v="B0CF1RC4FF"/>
        <s v="B0CH9VBDY9"/>
        <s v="B0CH9X3J1D"/>
        <s v="B093W8PSZW"/>
        <s v="B098T16TQT"/>
        <s v="B09FKX7J3C"/>
        <s v="B09FKYBRXJ"/>
        <s v="B09FPDDPNN"/>
        <s v="B09H29QXK4"/>
        <s v="B09V2H6GTC"/>
        <s v="B09WZYJWPY"/>
        <s v="B09WZZM9VS"/>
        <s v="B09Y1Q5PK6"/>
        <s v="B0B589R1T4"/>
        <s v="B0B6V92FQD"/>
        <s v="B0B8N43RJL"/>
        <s v="B0B8NCT531"/>
        <s v="B0B9XJM8X7"/>
        <s v="B0B9XJN2XQ"/>
        <s v="B0B9XJNDBZ"/>
        <s v="B0BFVR2BK9"/>
        <s v="B0BP6DDHYQ"/>
        <s v="B0BP6GXWSC"/>
        <s v="B0BP6LX8RH"/>
        <s v="B0BP6V1VTL"/>
        <s v="B0BRMX3QZ7"/>
        <s v="B0BWY9YYSH"/>
        <s v="B0BWYBY69F"/>
        <s v="B0BWYDSTQ7"/>
        <s v="B0C3CJHH5Z"/>
        <s v="B0C3CLR6GX"/>
        <s v="B0C3CMYH84"/>
        <s v="B0C84VL5PH"/>
        <s v="B0C84W3155"/>
        <s v="B0C84W9MND"/>
        <s v="B0CF1QTDNF"/>
        <s v="B0CF1QV5PP"/>
        <s v="B0CF1T4QXV"/>
        <s v="B0CF1T979Y"/>
        <s v="B0CH9TDSB2"/>
        <s v="B0CH9VTT4D"/>
        <s v="B0C5CPJ62G"/>
        <s v="B0B2P3JS91"/>
        <s v="B0BFW7BCXR"/>
        <s v="B0C4NFGQYS"/>
        <s v="B0C5CCV144"/>
        <s v="B0C5CD5ZQM"/>
        <s v="B0C5CJ7SRR"/>
        <m/>
      </sharedItems>
    </cacheField>
    <cacheField name="商品名称" numFmtId="0">
      <sharedItems containsBlank="1" count="141">
        <s v="Compatible with iPhone 13 6.1 inch Case,with Screen Protectors,Heavy Duty Rugged Shockproof Full Body Protection Kickstand Case with Belt Clip Holster for iPhone 13 Phone (Black)"/>
        <s v="Compatible with Samsung Galaxy A03s Case, with Belt Clip Holster Heavy Duty Rugged Shockproof Full Body Protection Kickstand Cover for Samsung Galaxy A03s Phone (Black)"/>
        <s v="Compatible with Samsung Galaxy A42 5G Case,with Screen Protectors,Heavy Duty Rugged Shockproof Full Body Protection Kickstand Case with Belt Clip Holster for Samsung Galaxy A42 5G (Black)"/>
        <s v="Compatible with Samsung Galaxy A13 5G Case(NOT for A13 4G), with Belt Clip Holster Heavy Duty Rugged Shockproof Full Body Protection Kickstand Phone case for Samsung Galaxy A13 5G (Black)"/>
        <s v="Compatible with Moto G Stylus 5G 2021 Case,with Screen Protectors,Heavy Duty Rugged Shockproof Full Body Protection Kickstand Case with Belt Clip Holster for Moto G Stylus 5G 2021 (Black)"/>
        <s v="TENCO Compatible with Samsung Galaxy A32 5G Case,with Screen Protectors,Heavy Duty Rugged Shockproof Full Body Protection Kickstand Case Belt Clip Holster for 5G(Black), SM-A326B, SM-A326BDS"/>
        <s v="Compatible with Motorola G Pure/Moto G Power 2022 Case, Heavy Duty Rugged Shockproof Full Body Protection Kickstand Case with Belt Clip Holster for Motorola G Pure 6.5 inch Phone (Black)"/>
        <s v="Niubity Rugged Phone Case for Apple iPhone 14, with Belt Clip Holster &amp; Kickstand Heavy Duty Shockproof Protective Full Body Case Cover for iPhone 14 6.1 inch Phone(Black)"/>
        <s v="TMIDVFV Rugged Phone Case for Moto G Play (2023) Case/Moto G Power (2022), with Belt Clip Holster &amp; Kickstand Heavy Duty Shockproof Protective Full Body Case Cover for Moto G Play (2023) (Black)"/>
        <s v="TENCO Compatible with Samsung Galaxy A52 5G Case,with Screen Protectors,Heavy Duty Rugged Shockproof Full Body Protection Kickstand Case with Belt Clip Holster for Samsung Galaxy A52 5G(Black)"/>
        <s v="Compatible with Samsung Galaxy A42 5G Case,with Screen Protectors,Heavy Duty Rugged Shockproof Full Body Protection Kickstand Case with Belt Clip Holster for Samsung Galaxy A42 5G (Blue)"/>
        <s v="Compatible with Samsung Galaxy A03s Case, with Belt Clip Holster Heavy Duty Rugged Shockproof Full Body Protection Kickstand Cover for Samsung Galaxy A03s Phone (Blue)"/>
        <s v="TMIDVFV Compatible with Samsung Galaxy A14 5G Case, with Belt Clip Holster Heavy Duty Rugged Shockproof Full Body Protection Kickstand Phone case for Samsung Galaxy A14 5G (Black)"/>
        <s v="Compatible with Samsung Galaxy A02s Case,with Screen Protectors,Heavy Duty Rugged Shockproof Full Body Protection Kickstand Case with Belt Clip Holster for Samsung Galaxy A02s (Black)"/>
        <s v="Compatible with Google Pixel 6a Case, with Belt Clip Holster Heavy Duty Rugged Shockproof Full Body Protection Kickstand Phone case for Google Pixel 6a (Black)"/>
        <s v="Compatible with iPhone 13 6.1 inch Case,with Screen Protectors,Heavy Duty Rugged Shockproof Full Body Protection Kickstand Case with Belt Clip Holster for iPhone 13 Phone (Blue)"/>
        <s v="Compatible with Samsung Galaxy A53 5G Case, with Belt Clip Holster Heavy Duty Rugged Shockproof Full Body Protection Kickstand Phone case for Samsung Galaxy A53 5G (Black)"/>
        <s v="TMIDVFV Compatible with Samsung Galaxy A54 5G Case, with Belt Clip Holster Heavy Duty Rugged Shockproof Full Body Protection Kickstand Phone case for Samsung Galaxy A54 5G (Black)"/>
        <s v="Compatible with Moto G Stylus 5G 2021 Case,with Screen Protectors,Heavy Duty Rugged Shockproof Full Body Protection Kickstand Case with Belt Clip Holster for Moto G Stylus 5G 2021 (Blue)"/>
        <s v="Compatible with Motorola Edge 2021/Edge 5G UW 2021 Case,Heavy Duty Rugged Shockproof Full Body Protection Kickstand Case with Belt Clip Holster for Motorola Edge 2021 Phone (Black)"/>
        <s v="Rugged Phone Case for Samsung Galaxy A23 5G|4G, with Belt Clip Holster &amp; Kickstand Heavy Duty Shockproof Protective Full Body Case Cover for Samsung Galaxy A23 5G 6.6 inch Phone (Black)"/>
        <s v="TENCO Compatible with Moto G Play 2021 Case with Screen Protectors Heavy Duty Rugged Shockproof Full Body Protection Kickstand Case with Belt Clip Holster Black Motorola Moto G Play 2021 6.5in"/>
        <s v="Compatible with Samsung Galaxy A42 5G Case,with Screen Protectors,Heavy Duty Rugged Shockproof Full Body Protection Kickstand Case with Belt Clip Holster for Samsung Galaxy A42 5G (Dark Grey+Green)"/>
        <s v="Compatible with Samsung Galaxy A03s Case, with Belt Clip Holster Heavy Duty Rugged Shockproof Full Body Protection Kickstand Cover for Samsung Galaxy A03s Phone (Teal+Light Blue)"/>
        <s v="TMIDVFV Compatible with Samsung Galaxy A14 5G Case, with Belt Clip Holster Heavy Duty Rugged Shockproof Full Body Protection Kickstand Phone case for Samsung Galaxy A14 5G (Orange)"/>
        <s v="TMIDVFV Compatible with iPhone 15 Pro Max Case, with Belt Clip Holster Heavy Duty Rugged Shockproof Full Body Protection Kickstand Cover for iPhone 15 Pro Max 6.7 inch Phone(Black)"/>
        <s v="TENCO Compatible with Samsung Galaxy A32 5G Case,with Screen Protectors,Heavy Duty Rugged Shockproof Full Body Protection Kickstand Case Belt Clip Holster for 5G(Blue) SM-A326B, SM-A326B/DS"/>
        <s v="Compatible with Samsung Galaxy A42 5G Case,with Screen Protectors,Heavy Duty Rugged Shockproof Full Body Protection Kickstand Case with Belt Clip Holster for Samsung Galaxy A42 5G (Orange)"/>
        <s v="Compatible with Motorola G Pure/Moto G Power 2022 Case, Heavy Duty Rugged Shockproof Full Body Protection Kickstand Case with Belt Clip Holster for Motorola G Pure 6.5 inch Phone (Blue)"/>
        <s v="TMIDVFV Compatible with Google Pixel 7A Case, with Belt Clip Holster Heavy Duty Rugged Shockproof Full Body Protection Kickstand Phone case for Google Pixel 7A 5G (Black)"/>
        <s v="TENCO Compatible with Samsung Galaxy A52 5G Case,with Screen Protectors,Heavy Duty Rugged Shockproof Full Body Protection Kickstand Case with Belt Clip Holster for Samsung Galaxy A52 5G (Blue)"/>
        <s v="Compatible with iPhone 13 Pro Max 6.7 inch Case,with Screen Protectors,Heavy Duty Rugged Shockproof Full Body Protection Kickstand Case with Belt Clip Holster for iPhone 13 Pro Max (Black)"/>
        <s v="Compatible with iPhone 13 6.1 inch Case,with Screen Protectors,Heavy Duty Rugged Shockproof Full Body Protection Kickstand Case with Belt Clip Holster for iPhone 13 Phone (Dark Grey+Green)"/>
        <s v="Compatible with Motorola One 5G Ace Case, Heavy Duty Rugged Shockproof Full Body Protection Kickstand Case with Belt Clip Holster for Motorola One 5G Ace 6.7 inch Phone (Blue)"/>
        <s v="Compatible with Samsung Galaxy A03s Case, with Belt Clip Holster Heavy Duty Rugged Shockproof Full Body Protection Kickstand Cover for Samsung Galaxy A03s Phone (Dark Grey+Green)"/>
        <s v="Compatible with Motorola G Pure/Moto G Power 2022 Case, Heavy Duty Rugged Shockproof Full Body Protection Kickstand Case with Belt Clip Holster for Motorola G Pure 6.5 inch Phone (Black+Yellow)"/>
        <s v="Niubity Rugged Phone Case for Apple iPhone 14 Plus, with Belt Clip Holster &amp; Kickstand Heavy Duty Shockproof Protective Full Body Case Cover for iPhone 14 Plus 6.7 inch Phone (Black)"/>
        <s v="TMIDVFV Compatible with Samsung Galaxy A14 5G Case, with Belt Clip Holster Heavy Duty Rugged Shockproof Full Body Protection Kickstand Phone case for Samsung Galaxy A14 5G (Green+Black)"/>
        <s v="TMIDVFV Compatible with Samsung Galaxy A14 5G Case, with Belt Clip Holster Heavy Duty Rugged Shockproof Full Body Protection Kickstand Phone case for Samsung Galaxy A14 5G (Blue)"/>
        <s v="Compatible with Samsung Galaxy A42 5G Case,with Screen Protectors,Heavy Duty Rugged Shockproof Full Body Protection Kickstand Case with Belt Clip Holster for Samsung Galaxy A42 5G (Teal+Light Blue)"/>
        <s v="Compatible with iPhone 13 6.1 inch Case,with Screen Protectors,Heavy Duty Rugged Shockproof Full Body Protection Kickstand Case with Belt Clip Holster for iPhone 13 Phone (Orange)"/>
        <s v="Compatible with Samsung Galaxy A03s Case, with Belt Clip Holster Heavy Duty Rugged Shockproof Full Body Protection Kickstand Cover for Samsung Galaxy A03s Phone (Orange)"/>
        <s v="Rugged Phone Case for Samsung Galaxy A23 5G|4G, with Belt Clip Holster &amp; Kickstand Heavy Duty Shockproof Protective Full Body Case Cover for Samsung Galaxy A23 5G 6.6 inch Phone (Orange)"/>
        <s v="TMIDVFV Rugged Phone Case for Samsung Galaxy S23 Ultra 5G, with Belt Clip Holster &amp; Kickstand Heavy Duty Shockproof Protective Full Body Case Cover for Samsung Galaxy S23 Ultra 5G Phone (Black+Grey)"/>
        <s v="TMIDVFV Rugged Phone Case for Moto G Play (2023) Case/Moto G Power (2022), with Belt Clip Holster &amp; Kickstand Heavy Duty Shockproof Protective Full Body Case Cover for Moto G Play (2023) (Orange)"/>
        <s v="TMIDVFV Compatible with iPhone 15 Plus Case, with Belt Clip Holster Heavy Duty Rugged Shockproof Full Body Protection Kickstand Cover for iPhone 15 Plus 6.7 inch Phone (Black)"/>
        <s v="Compatible with Google Pixel 8 Pro Case, with Belt Clip Holster Heavy Duty Rugged Shockproof Full Body Protection Kickstand Phone case for Google Pixel 8 Pro 6.7-inch 2023 (Google Pixel 8 Pro, Black)"/>
        <s v="TENCO Compatible Samsung Galaxy A32 5G Case,with Screen Protectors, Shockproof Full Body Protection Kickstand Case Belt Clip Holster Samsung Galaxy A32 5G(Orange), (SM-A326B, SM-A326BDS)"/>
        <s v="TENCO Compatible with Samsung Galaxy A52 5G Case,with Screen Protectors,Heavy Duty Rugged Shockproof Full Body Protection Kickstand Case with Belt Clip Holster for Samsung Galaxy A52 5G (Orange)"/>
        <s v="Compatible with Moto G Power (2021) Case,with Screen Protectors,Heavy Duty Rugged Shockproof Full Body Protection Kickstand Case with Belt Clip Holster for Moto G Power (2021) (Blue)"/>
        <s v="Compatible with iPhone 13 Pro Max 6.7 inch Case,with Screen Protectors,Heavy Duty Rugged Shockproof Full Body Protection Kickstand Case with Belt Clip Holster for iPhone 13 Pro Max (Blue)"/>
        <s v="Compatible with iPhone 13 6.1 inch Case,with Screen Protectors,Heavy Duty Rugged Shockproof Full Body Protection Kickstand Case with Belt Clip Holster for iPhone 13 Phone (Teal+Light Blue)"/>
        <s v="Compatible with Motorola One 5G Ace Case,with Screen Protectors,Heavy Duty Rugged Shockproof Full Body Protection Kickstand Case with Belt Clip Holster for Motorola One 5G Ace 6.7 inch Phone (Black)"/>
        <s v="Compatible with Samsung Galaxy A13 5G Case(NOT for A13 4G), with Belt Clip Holster Heavy Duty Rugged Shockproof Full Body Protection Kickstand Phone case for Samsung Galaxy A13 5G (Orange)"/>
        <s v="Compatible with Samsung Galaxy A13 5G Case(NOT for A13 4G), with Belt Clip Holster Heavy Duty Rugged Shockproof Full Body Protection Kickstand Phone case for Samsung Galaxy A13 5G (Blue)"/>
        <s v="Rugged Phone Case for Samsung Galaxy A23 5G|4G, with Belt Clip Holster &amp; Kickstand Heavy Duty Shockproof Protective Full Body Case Cover for Samsung Galaxy A23 5G 6.6 inch Phone (Blue)"/>
        <s v="TMIDVFV Rugged Phone Case for Samsung Galaxy S23+ Plus 5G, with Belt Clip Holster &amp; Kickstand Heavy Duty Shockproof Protective Full Body Case Cover for Samsung S23 Plus 6.6 inch Phone (Black)"/>
        <s v="TMIDVFV Rugged Phone Case for Moto G Play (2023) Case/Moto G Power (2022), with Belt Clip Holster &amp; Kickstand Heavy Duty Shockproof Protective Full Body Case Cover for Moto G Play (2023) (Grey+Black)"/>
        <s v="TENCO Compatible with Moto G Play 2021 Case,with Screen Protectors,Heavy Duty Rugged Shockproof Full Body Protection Kickstand Case with Belt Clip Holster for Moto G Play 2021, Blue"/>
        <s v="TENCO Compatible with Moto G Stylus (2021) Case,NOT Fit Moto G Stylus 5G,with Screen Protector,Heavy Duty Rugged Shockproof Kickstand Case with Belt Clip Holster for Moto G Stylus (Black)"/>
        <s v="Compatible with Samsung Galaxy A02s Case,with Screen Protectors,Heavy Duty Rugged Shockproof Full Body Protection Kickstand Case with Belt Clip Holster for Samsung Galaxy A02s (Blue)"/>
        <s v="Compatible with Moto G Stylus 5G 2021 Case,with Screen Protectors,Heavy Duty Rugged Shockproof Full Body Protection Kickstand Case with Belt Clip Holster for Moto G Stylus 5G 2021 (Orange)"/>
        <s v="Compatible with Samsung Galaxy A02s Case,with Screen Protectors,Heavy Duty Rugged Shockproof Full Body Protection Kickstand Case with Belt Clip Holster for Samsung Galaxy A02s (Dark Grey+Green)"/>
        <s v="Compatible with iPhone 13 Pro Max 6.7 inch Case,with Screen Protectors,Heavy Duty Rugged Shockproof Full Body Protection Kickstand Case with Belt Clip Holster for iPhone 13 Pro Max (Dark Grey+Green)"/>
        <s v="Compatible with Motorola G Pure/Moto G Power 2022 Case, Heavy Duty Rugged Shockproof Full Body Protection Kickstand Case with Belt Clip Holster for Motorola G Pure 6.5 inch Phone (Orange)"/>
        <s v="Compatible with Google Pixel 6a Case, with Belt Clip Holster Heavy Duty Rugged Shockproof Full Body Protection Kickstand Phone case for Google Pixel 6a (Green+Black)"/>
        <s v="Compatible with iPhone 14 Pro Case, with Belt Clip Holster Heavy Duty Rugged Shockproof Full Body Protection Kickstand Cover for iPhone 14 Pro 6.1 inch Phone (Black)"/>
        <s v="Niubity Rugged Phone Case for Apple iPhone 14 Plus, with Belt Clip Holster &amp; Kickstand Heavy Duty Shockproof Protective Full Body Case Cover for iPhone 14 Plus 6.7 inch Phone (Blue)"/>
        <s v="Compatible with Motorola Edge (2022) Case, with Belt Clip Holster Heavy Duty Rugged Shockproof Full Body Protection Kickstand Phone case for Motorola Edge (2022) (Black)"/>
        <s v="TMIDVFV Compatible with Samsung Galaxy A14 5G Case, with Belt Clip Holster Heavy Duty Rugged Shockproof Full Body Protection Kickstand Phone case for Samsung Galaxy A14 5G (Black+Yellow)"/>
        <s v="TENCO Compatible with Moto G Play 2021 Case with Screen Protectors Heavy Duty Rugged Shockproof Full Body Protection Kickstand Case with Belt Clip Holster Motorola Moto G Play 2021 6 5"/>
        <s v="Compatible with Moto G Power (2021) Case,with Screen Protectors,Heavy Duty Rugged Shockproof Full Body Protection Kickstand Case with Belt Clip Holster for Moto G Power (2021) (Black)"/>
        <s v="Compatible with Samsung Galaxy A02s Case,with Screen Protectors,Heavy Duty Rugged Shockproof Full Body Protection Kickstand Case with Belt Clip Holster for Samsung Galaxy A02s (Teal+Light Blue)"/>
        <s v="Compatible with Moto G Stylus 5G 2021 Case,with Screen Protectors,Heavy Duty Rugged Shockproof Full Body Protection Kickstand Case with Belt Clip Holster for Moto G Stylus 5G 2021 (Grey+Light Blue)"/>
        <s v="Compatible with Motorola Edge 2021/Edge 5G UW 2021 Case, Heavy Duty Rugged Shockproof Full Body Protection Kickstand Case with Belt Clip Holster for Motorola Edge 2021 Phone (Blue)"/>
        <s v="Compatible with Moto G Stylus (2022) 4G Case(NOT for 5G), Heavy Duty Rugged Shockproof Full Body Protection Kickstand Case with Belt Clip Holster for Moto G Stylus (2022) 4G Phone (Orange)"/>
        <s v="Compatible with Samsung Galaxy A53 5G Case, with Belt Clip Holster Heavy Duty Rugged Shockproof Full Body Protection Kickstand Phone case for Samsung Galaxy A53 5G (Teal+Light Blue)"/>
        <s v="Compatible with Samsung Galaxy A13 5G Case(NOT for A13 4G), with Belt Clip Holster Heavy Duty Rugged Shockproof Full Body Protection Kickstand Phone case for Samsung Galaxy A13 5G (Teal+Light Blue)"/>
        <s v="Compatible with Motorola G Pure/Moto G Power 2022 Case, Heavy Duty Rugged Shockproof Full Body Protection Kickstand Case with Belt Clip Holster for Motorola G Pure 6.5 inch Phone(Green+Black)"/>
        <s v="Compatible with Google Pixel 6a Case, with Belt Clip Holster Heavy Duty Rugged Shockproof Full Body Protection Kickstand Phone case for Google Pixel 6a (Orange)"/>
        <s v="Compatible with Google Pixel 6a Case, with Belt Clip Holster Heavy Duty Rugged Shockproof Full Body Protection Kickstand Phone case for Google Pixel 6a (Blue)"/>
        <s v="Niubity Rugged Phone Case for Apple iPhone 14, with Belt Clip Holster &amp; Kickstand Heavy Duty Shockproof Protective Full Body Case Cover for iPhone 14 6.1 inch Phone (Blue)"/>
        <s v="Compatible with Google Pixel 7 Case, with Belt Clip Holster Heavy Duty Rugged Shockproof Full Body Protection Kickstand Phone case for Google Pixel 7 6.3-inch 2022 (Black)"/>
        <s v="Rugged Phone Case for Samsung Galaxy A23 5G|4G, with Belt Clip Holster &amp; Kickstand Heavy Duty Shockproof Protective Full Body Case Cover for Samsung Galaxy A23 5G 6.6 inch Phone (Black+Yellow)"/>
        <s v="Rugged Phone Case for Samsung Galaxy A23 5G|4G, with Belt Clip Holster &amp; Kickstand Heavy Duty Shockproof Protective Full Body Case Cover for Samsung Galaxy A23 5G 6.6 inch Phone (Green+Black)"/>
        <s v="Compatible with Motorola Edge (2022) Case, with Belt Clip Holster Heavy Duty Rugged Shockproof Full Body Protection Kickstand Phone case for Motorola Edge (2022) (Blue)"/>
        <s v="TMIDVFV Compatible with Samsung Galaxy S23+ Plus 5G Case, with Belt Clip Holster Heavy Duty Rugged Shockproof Full Body Protection Kickstand Cover for Samsung Galaxy S23+ Plus Phone (Blue)"/>
        <s v="TMIDVFV Rugged Phone Case for Samsung Galaxy S23 5G, with Belt Clip Holster &amp; Kickstand Heavy Duty Shockproof Protective Full Body Case Cover for Samsung S23 6.1 inch Phone (Black+Grey)"/>
        <s v="TMIDVFV Rugged Phone Case for Samsung Galaxy S23+ Plus 5G, with Belt Clip Holster &amp; Kickstand Heavy Duty Shockproof Protective Full Body Case Cover for Samsung S23 Plus 6.6 inch Phone (Grey+Blue)"/>
        <s v="TMIDVFV Rugged Phone Case for Moto G Play (2023) Case/Moto G Power (2022), with Belt Clip Holster &amp; Kickstand Heavy Duty Shockproof Protective Full Body Case Cover for Moto G Play (2023) (Blue)"/>
        <s v="TENCO Compatible with Samsung Galaxy A42 5G Case,with Screen Protectors,Heavy Duty Rugged Shockproof Full Body Protection Kickstand Case with Belt Clip Holster for Samsung Galaxy A42 5G (Black 2)"/>
        <s v="TMIDVFV Compatible with Google Pixel 7A Case, with Belt Clip Holster Heavy Duty Rugged Shockproof Full Body Protection Kickstand Phone case for Google Pixel 7A 5G (Grey+Blue)"/>
        <s v="TMIDVFV Compatible with Moto G Stylus 5G 2023 Case, with Belt Clip Holster Heavy Duty Rugged Shockproof Full Body Protection Kickstand Cover for Moto G Stylus 5G 2023 Phone (Blue)"/>
        <s v="TMIDVFV Compatible with Moto G Stylus 5G 2023 Case, with Belt Clip Holster Heavy Duty Rugged Shockproof Full Body Protection Kickstand Cover for Moto G Stylus 5G 2023 Phone (Black)"/>
        <s v="TMIDVFV Compatible with iPhone 15 Pro Case, with Belt Clip Holster Heavy Duty Rugged Shockproof Full Body Protection Kickstand Cover for iPhone 15 Pro 6.1 inch Phone (Black)"/>
        <s v="TMIDVFV Compatible with iPhone 15 Case, with Belt Clip Holster Heavy Duty Rugged Shockproof Full Body Protection Kickstand Cover for iPhone 15 6.1 inch Phone (Black)"/>
        <s v="Compatible with Google Pixel 8 Pro Case, with Belt Clip Holster Heavy Duty Rugged Shockproof Full Body Protection Kickstand Phone case for Google Pixel 8 Pro 6.7-inch 2023 (Google Pixel 8 Pro, Blue)"/>
        <s v="Compatible with Google Pixel 8 Case, with Belt Clip Holster Heavy Duty Rugged Shockproof Full Body Protection Kickstand Phone case for Google Pixel 8 (Google Pixel 8, Black)"/>
        <s v="TENCO Compatible with Moto G Stylus (2021) Case,NOT Fit Moto G Stylus 5G,with Screen Protector,Heavy Duty Rugged Shockproof Kickstand Case with Belt Clip Holster for Moto G Stylus (2021)"/>
        <s v="Compatible with Samsung Galaxy A02s Case,with Screen Protectors,Heavy Duty Rugged Shockproof Full Body Protection Kickstand Case with Belt Clip Holster for Samsung Galaxy A02s (Orange)"/>
        <s v="Compatible with iPhone 13 Pro Max 6.7 inch Case ,with Screen Protectors,Heavy Duty Rugged Shockproof Full Body Protection Kickstand Case with Belt Clip Holster for iPhone 13 Pro Max (Teal+Light Blue)"/>
        <s v="NIUBITY Compatible with iPhone 13 Pro Max 6.7 inch Case,with Screen Protectors,Heavy Duty Rugged Shockproof Full Body Protection Kickstand Case with Belt Clip Holster for iPhone 13 Pro Max (Orange)"/>
        <s v="Compatible with iPhone 13 Pro 6.1 inch Case,with Screen Protectors,Heavy Duty Rugged Shockproof Full Body Protection Kickstand Case with Belt Clip Holster for iPhone 13 Pro Phone (Blue)"/>
        <s v="Compatible with Motorola One 5G Ace Case,with Screen Protectors,Heavy Duty Rugged Shockproof Full Body Protection Kickstand Case with Belt Clip Holster for Motorola One 5G Ace 6.7 inch Phone (Orange)"/>
        <s v="Compatible with Moto G Stylus (2022) 4G Case(NOT for 5G), Heavy Duty Rugged Shockproof Full Body Protection Kickstand Case with Belt Clip Holster for Moto G Stylus (2022) 4G Phone (Black)"/>
        <s v="Compatible with Samsung Galaxy A53 5G Case, with Belt Clip Holster Heavy Duty Rugged Shockproof Full Body Protection Kickstand Phone case for Samsung Galaxy A53 5G (Blue)"/>
        <s v="Compatible with Samsung Galaxy A53 5G Case, with Belt Clip Holster Heavy Duty Rugged Shockproof Full Body Protection Kickstand Phone case for Samsung Galaxy A53 5G (Orange)"/>
        <s v="Compatible with Samsung Galaxy A13 5G Case(NOT for A13 4G), with Belt Clip Holster Heavy Duty Rugged Shockproof Full Body Protection Kickstand Phone case for Samsung Galaxy A13 5G (Dark Grey+Green)"/>
        <s v="Compatible with Moto G Stylus (2022) 4G Case(NOT for 5G), Heavy Duty Rugged Shockproof Full Body Protection Kickstand Case with Belt Clip Holster for Moto G Stylus (2022) 4G Phone (Green+Black)"/>
        <s v="Compatible with Motorola Edge 2021 Case,Heavy Duty Rugged Shockproof Full Body Protection Kickstand Case with Belt Clip Holster for Motorola Edge 2021 6.8 inch Phone (Black+Yellow)"/>
        <s v="Niubity Rugged Phone Case for Apple iPhone 14, with Belt Clip Holster &amp; Kickstand Heavy Duty Shockproof Protective Full Body Case Cover for iPhone 14 6.1 inch Phone (Orange)"/>
        <s v="Niubity Rugged Phone Case for Apple iPhone 14 Plus, with Belt Clip Holster &amp; Kickstand Heavy Duty Shockproof Protective Full Body Case Cover for iPhone 14 Plus 6.7 inch Phone (Orange)"/>
        <s v="Compatible with Google Pixel 7 Pro Case, with Belt Clip Holster Heavy Duty Rugged Shockproof Full Body Protection Kickstand Phone case for Google Pixel 7 Pro 6.7-inch 2022 (Black+Yellow)"/>
        <s v="Compatible with Google Pixel 7 Case, with Belt Clip Holster Heavy Duty Rugged Shockproof Full Body Protection Kickstand Phone case for Google Pixel 7 6.3-inch 2022 (Orange)"/>
        <s v="Compatible with Google Pixel 7 Pro Case, with Belt Clip Holster Heavy Duty Rugged Shockproof Full Body Protection Kickstand Phone case for Google Pixel 7 Pro 6.7-inch 2022 (Green+Black)"/>
        <s v="Compatible with Motorola Edge (2022) Case, with Belt Clip Holster Heavy Duty Rugged Shockproof Full Body Protection Kickstand Phone case for Motorola Edge (2022) (Orange)"/>
        <s v="TMIDVFV Rugged Phone Case for Samsung Galaxy S23 5G, with Belt Clip Holster &amp; Kickstand Heavy Duty Shockproof Protective Full Body Case Cover for Samsung S23 6.1 inch Phone (Teal+Black)"/>
        <s v="TMIDVFV Rugged Phone Case for Samsung Galaxy S23 Ultra 5G, with Belt Clip Holster &amp; Kickstand Heavy Duty Shockproof Protective Full Body Case Cover for Samsung Galaxy S23 Ultra 5G Phone (Purple)"/>
        <s v="TMIDVFV Rugged Phone Case for Samsung Galaxy S23 Ultra 5G, with Belt Clip Holster &amp; Kickstand Heavy Duty Shockproof Protective Full Body Case Cover for Samsung Galaxy S23 Ultra 5G Phone (Grey+Blue)"/>
        <s v="TMIDVFV Rugged Phone Case for Samsung Galaxy S23 Ultra 5G, with Belt Clip Holster &amp; Kickstand Heavy Duty Shockproof Protective Full Body Case Cover for Samsung Galaxy S23 Ultra 5G Phone (Teal+Black)"/>
        <s v="TMIDVFV Rugged Phone Case for Moto G Play (2023) Case/Moto G Power (2022), with Belt Clip Holster &amp; Kickstand Heavy Duty Shockproof Protective Full Body Case Cover for Moto G Play (2023) (Light Blue)"/>
        <s v="TMIDVFV Compatible with Google Pixel 7A Case, with Belt Clip Holster Heavy Duty Rugged Shockproof Full Body Protection Kickstand Phone case for Google Pixel 7A 5G (Blue)"/>
        <s v="TMIDVFV Compatible with Google Pixel 7A Case, with Belt Clip Holster Heavy Duty Rugged Shockproof Full Body Protection Kickstand Phone case for Google Pixel 7A 5G (Teal+Black)"/>
        <s v="TMIDVFV Compatible with Samsung Galaxy A54 5G Case, with Belt Clip Holster Heavy Duty Rugged Shockproof Full Body Protection Kickstand Phone case for Samsung Galaxy A54 5G (Black+Grey)"/>
        <s v="TMIDVFV Rugged Phone Case for Moto G Power 5G 2023, with Belt Clip Holster &amp; Kickstand Heavy Duty Shockproof Protective Full Body Case Cover for Moto G Power 2023 5G Phone (Blue)"/>
        <s v="TMIDVFV Rugged Phone Case for Moto G Power 5G 2023, with Belt Clip Holster &amp; Kickstand Heavy Duty Shockproof Protective Full Body Case Cover for Moto G Power 2023 5G Phone (Green+Black)"/>
        <s v="TMIDVFV Rugged Phone Case for Moto G Power 5G 2023, with Belt Clip Holster &amp; Kickstand Heavy Duty Shockproof Protective Full Body Case Cover for Moto G Power 2023 5G Phone (Black)"/>
        <s v="TMIDVFV Compatible with Moto G Stylus 5G 2023 Case, with Belt Clip Holster Heavy Duty Rugged Shockproof Full Body Protection Kickstand Cover for Moto G Stylus 5G 2023 Phone (Orange)"/>
        <s v="TMIDVFV Compatible with Moto G Stylus 5G 2023 Case, with Belt Clip Holster Heavy Duty Rugged Shockproof Full Body Protection Kickstand Cover for Moto G Stylus 5G 2023 Phone (Black+Yellow)"/>
        <s v="TMIDVFV Compatible with Moto G Stylus 5G 2023 Case, with Belt Clip Holster Heavy Duty Rugged Shockproof Full Body Protection Kickstand Cover for Moto G Stylus 5G 2023 Phone (Green+Black)"/>
        <s v="TMIDVFV Compatible with iPhone 15 Plus Case, with Belt Clip Holster Heavy Duty Rugged Shockproof Full Body Protection Kickstand Cover for iPhone 15 Plus 6.7 inch Phone (Black+Grey)"/>
        <s v="TMIDVFV Compatible with iPhone 15 Pro Max Case, with Belt Clip Holster Heavy Duty Rugged Shockproof Full Body Protection Kickstand Cover for iPhone 15 Pro Max 6.7 inch Phone(Black+Green)"/>
        <s v="TMIDVFV Compatible with iPhone 15 Pro Max Case, with Belt Clip Holster Heavy Duty Rugged Shockproof Full Body Protection Kickstand Cover for iPhone 15 Pro Max 6.7 inch Phone(Black+Grey)"/>
        <s v="TMIDVFV Compatible with iPhone 15 Pro Max Case, with Belt Clip Holster Heavy Duty Rugged Shockproof Full Body Protection Kickstand Cover for iPhone 15 Pro Max 6.7 inch Phone(Grey+Blue)"/>
        <s v="Compatible with Google Pixel 8 Case, with Belt Clip Holster Heavy Duty Rugged Shockproof Full Body Protection Kickstand Phone case for Google Pixel 8 (Google Pixel 8, Grey+Blue)"/>
        <s v="Compatible with Google Pixel 8 Pro Case, with Belt Clip Holster Heavy Duty Rugged Shockproof Full Body Protection Kickstand Phone case for Google Pixel 8 Pro 6.7-inch (Google Pixel 8 Pro, Dark Green)"/>
        <s v="Compatible with Moto G Stylus 5G (2022) Case(NOT for 4G), with Belt Clip Holster Heavy Duty Rugged Shockproof Full Body Protection Kickstand Phone case for Moto G Stylus 5G (2022) (Black)"/>
        <s v="Compatible with Motorola Edge (2022) Case, with Belt Clip Holster Heavy Duty Rugged Shockproof Full Body Protection Kickstand Phone case for Motorola Edge (2022) (Black+Yellow)"/>
        <s v="TMIDVFV Rugged Phone Case for Samsung Galaxy A54 5G, with Belt Clip Holster &amp; Kickstand Heavy Duty Shockproof Protective Full Body Case Cover for Samsung Galaxy A54 5G 6.4 inch Phone (Black)"/>
        <s v="TMIDVFV Compatible with Google Pixel 7A Case, with Belt Clip Holster Heavy Duty Rugged Shockproof Full Body Protection Kickstand Phone case for Google Pixel 7A 5G (Dark Green)"/>
        <m/>
      </sharedItems>
    </cacheField>
    <cacheField name="SKU" numFmtId="0">
      <sharedItems containsBlank="1" count="145">
        <s v="Y03449-BL+Y03476"/>
        <s v="Y3013-BL+Y3014"/>
        <s v="E03375-BL+E03380+E03397"/>
        <s v="Y03742-BL+Y03743"/>
        <s v="Y03507-BL+Y03508+Y03509"/>
        <s v="E03390-BL+E03240"/>
        <s v="Y03652-BL+Y03653+Y03654"/>
        <s v="Y3025-BL+Y3026"/>
        <s v="Y3079-BL+Y3079"/>
        <s v="E03391-BL+E03271"/>
        <s v="E03375-NB+E03380+E03397"/>
        <s v="Y3013-NB+Y3014"/>
        <s v="Y3060-BL+Y3061+Y3062"/>
        <s v="Y03466-BL+E03063"/>
        <s v="Y3033-BL+Y3034+Y3035"/>
        <s v="Y03449-NB+Y03476"/>
        <s v="Y3018-BL+Y3019"/>
        <s v="Y3074-BL"/>
        <s v="Y03507-NB+Y03508+Y03509"/>
        <s v="Y03564-BL+Y03565+Y03566"/>
        <s v="Y3049-BL+Y3050+Y3051"/>
        <s v="E03135-bl"/>
        <s v="E03375-DG+E03380+E03397"/>
        <s v="Y3013-TG+Y3014"/>
        <s v="Y3060-OR+Y3061+Y3062"/>
        <s v="Y3108-BL+Y3109"/>
        <s v="E03390-NB+E03240"/>
        <s v="E03375-OR+E03380+E03397"/>
        <s v="Y03652-DB+Y03653+Y03654"/>
        <s v="Y3075-BL"/>
        <s v="E03391-NB+E03271"/>
        <s v="Y03451-BL+Y03478"/>
        <s v="Y03449-DG+Y03476"/>
        <s v="Y03561-NB+Y03562+Y03565"/>
        <s v="Y3013-DG+Y3014"/>
        <s v="Y03652-BY+Y03653+Y03654"/>
        <s v="Y3029-BL+Y3030"/>
        <s v="Y3060-GK+Y3061+Y3062"/>
        <s v="Y3060-DB+Y3061+Y3062"/>
        <s v="E03375-TG+E03380+E03397"/>
        <s v="Y03449-OR+Y03476"/>
        <s v="Y3013-OR+Y3014"/>
        <s v="Y3049-OR+Y3050+Y3051"/>
        <s v="Y3058-GY"/>
        <s v="Y3079-OR+Y3079"/>
        <s v="Y3106-BL+Y3107"/>
        <s v="Y3111-BL"/>
        <s v="E03390-OR+E03240"/>
        <s v="E03391-OR+E03271"/>
        <s v="E03386-NB+E03268-02"/>
        <s v="Y03451-NB+Y03478"/>
        <s v="Y03449-TG+Y03476"/>
        <s v="Y03561-BL+Y03562+Y03565"/>
        <s v="Y03742-OR+Y03743"/>
        <s v="Y03742-NB+Y03743"/>
        <s v="Y3049-DB+Y3050+Y3051"/>
        <s v="Y3056-BL+Y3057"/>
        <s v="Y3079-GB+Y3079"/>
        <s v="E03135-db"/>
        <s v="E03388-BL+E03267"/>
        <s v="Y03466-NB+E03063"/>
        <s v="Y03507-OR+Y03508+Y03509"/>
        <s v="Y03466-DG+E03063"/>
        <s v="Y03451-DG+Y03478"/>
        <s v="Y03652-OR+Y03653+Y03654"/>
        <s v="Y3033-GK+Y3034+Y3035"/>
        <s v="Y3027-BL+Y3028"/>
        <s v="Y3029-NB+Y3030"/>
        <s v="Y3046-BL+Y3047+Y3048"/>
        <s v="Y3060-BY+Y3061+Y3062"/>
        <s v="E03135-or"/>
        <s v="E03386-BL+E03268-02"/>
        <s v="Y03466-TG+E03063"/>
        <s v="Y03507-GR+Y03508+Y03509"/>
        <s v="Y03564-NB+Y03565+Y03566"/>
        <s v="Y3015-OR+Y3016+Y3017"/>
        <s v="Y3018-TG+Y3019"/>
        <s v="Y03742-TG+Y03743"/>
        <s v="Y03652-GK+Y03653+Y03654"/>
        <s v="Y3033-OR+Y3034+Y3035"/>
        <s v="Y3033-DB+Y3034+Y3035"/>
        <s v="Y3025-NB+Y3026"/>
        <s v="Y3036-BL"/>
        <s v="Y3049-BY+Y3050+Y3051"/>
        <s v="Y3049-GK+Y3050+Y3051"/>
        <s v="Y3046-DB+Y3047+Y3048"/>
        <s v="Y3056-NB+Y3057"/>
        <s v="Y3054-GY+Y3055"/>
        <s v="Y3056-GN+Y3057"/>
        <s v="Y3079-NB+Y3079"/>
        <s v="E03375-BL+E03380+E03397-001"/>
        <s v="Y3075-GN"/>
        <s v="Y3096-DB+Y3097+Y3098"/>
        <s v="Y3096-BL+Y3097+Y3098"/>
        <s v="Y3104-BL+Y3105"/>
        <s v="Y3102-BL+Y3103"/>
        <s v="Y3111-NB"/>
        <s v="Y3110-BL"/>
        <s v="E03388-NB+E03267"/>
        <s v="Y03466-OR+E03063"/>
        <s v="Y03451-TG+Y03478"/>
        <s v="Y03451-OR+Y03478"/>
        <s v="Y03450-NB+Y03477"/>
        <s v="Y03561-OR+Y03562+Y03565"/>
        <s v="Y3015-BL+Y3016+Y3017"/>
        <s v="Y3018-NB+Y3019"/>
        <s v="Y3018-OR+Y3019"/>
        <s v="Y03742-DG+Y03743"/>
        <s v="Y3015-GK+Y3016+Y3017"/>
        <s v="Y03564-BY+Y03565+Y03566"/>
        <s v="Y3025-OR+Y3026"/>
        <s v="Y3029-OR+Y3030"/>
        <s v="Y3039-BY"/>
        <s v="Y3036-OR"/>
        <s v="Y3039-GK"/>
        <s v="Y3046-OR+Y3047+Y3048"/>
        <s v="Y3054-TG+Y3055"/>
        <s v="Y3058-LP"/>
        <s v="Y3058-GN"/>
        <s v="Y3058-TG"/>
        <s v="Y3079-TG+Y3079"/>
        <s v="Y3075-NB"/>
        <s v="Y3075-TG"/>
        <s v="Y3074-GY"/>
        <s v="Y3085-DB+Y3086+Y3087"/>
        <s v="Y3085-GK+Y3086+Y3087"/>
        <s v="Y3085-BL+Y3086+Y3087"/>
        <s v="Y3096-OR+Y3097+Y3098"/>
        <s v="Y3096-BY+Y3097+Y3098"/>
        <s v="Y3096-GK+Y3097+Y3098"/>
        <s v="Y3106-GY+Y3107"/>
        <s v="Y3108-BG+Y3109"/>
        <s v="Y3108-GY+Y3109"/>
        <s v="Y3108-GN+Y3109"/>
        <s v="Y3110-GN"/>
        <s v="Y3111-GR"/>
        <s v="Y3092-BL+Y3093+Y3094"/>
        <s v="Y3022-BL+Y3023+Y3024"/>
        <s v="Y3046-BY+Y3047+Y3048"/>
        <s v="Y3095-BL"/>
        <s v="Y3088-BL"/>
        <s v="Y3092-OR+Y3093+Y3094"/>
        <s v="Y3092-DB+Y3093+Y3094"/>
        <s v="Y3095-GR"/>
        <m/>
      </sharedItems>
    </cacheField>
    <cacheField name="会话次数 – 总计" numFmtId="0">
      <sharedItems containsString="0" containsBlank="1" containsNumber="1" containsInteger="1" minValue="0" maxValue="553" count="72">
        <n v="553"/>
        <n v="508"/>
        <n v="301"/>
        <n v="195"/>
        <n v="295"/>
        <n v="239"/>
        <n v="268"/>
        <n v="184"/>
        <n v="112"/>
        <n v="114"/>
        <n v="55"/>
        <n v="73"/>
        <n v="189"/>
        <n v="136"/>
        <n v="96"/>
        <n v="76"/>
        <n v="95"/>
        <n v="120"/>
        <n v="40"/>
        <n v="109"/>
        <n v="170"/>
        <n v="29"/>
        <n v="52"/>
        <n v="126"/>
        <n v="37"/>
        <n v="26"/>
        <n v="48"/>
        <n v="38"/>
        <n v="87"/>
        <n v="44"/>
        <n v="23"/>
        <n v="67"/>
        <n v="33"/>
        <n v="31"/>
        <n v="28"/>
        <n v="45"/>
        <n v="24"/>
        <n v="22"/>
        <n v="72"/>
        <n v="25"/>
        <n v="20"/>
        <n v="46"/>
        <n v="68"/>
        <n v="17"/>
        <n v="43"/>
        <n v="21"/>
        <n v="7"/>
        <n v="64"/>
        <n v="34"/>
        <n v="16"/>
        <n v="13"/>
        <n v="11"/>
        <n v="77"/>
        <n v="9"/>
        <n v="14"/>
        <n v="12"/>
        <n v="15"/>
        <n v="39"/>
        <n v="18"/>
        <n v="4"/>
        <n v="35"/>
        <n v="10"/>
        <n v="19"/>
        <n v="27"/>
        <n v="8"/>
        <n v="51"/>
        <n v="74"/>
        <n v="6"/>
        <n v="2"/>
        <n v="3"/>
        <n v="1"/>
        <m/>
      </sharedItems>
    </cacheField>
    <cacheField name="会话次数 – 总计 – B2B" numFmtId="0">
      <sharedItems containsString="0" containsBlank="1" containsNumber="1" containsInteger="1" minValue="0" maxValue="24" count="16">
        <n v="24"/>
        <n v="17"/>
        <n v="10"/>
        <n v="3"/>
        <n v="8"/>
        <n v="9"/>
        <n v="12"/>
        <n v="6"/>
        <n v="2"/>
        <n v="0"/>
        <n v="11"/>
        <n v="4"/>
        <n v="7"/>
        <n v="5"/>
        <n v="1"/>
        <m/>
      </sharedItems>
    </cacheField>
    <cacheField name="会话百分比 – 总计" numFmtId="0">
      <sharedItems containsString="0" containsBlank="1" containsNumber="1" minValue="0" maxValue="0.3875" count="80">
        <n v="0.0777"/>
        <n v="0.0714"/>
        <n v="0.0423"/>
        <n v="0.0274"/>
        <n v="0.0414"/>
        <n v="0.0336"/>
        <n v="0.0377"/>
        <n v="0.0258"/>
        <n v="0.0157"/>
        <n v="0.016"/>
        <n v="0.0077"/>
        <n v="0.0103"/>
        <n v="0.0266"/>
        <n v="0.0191"/>
        <n v="0.0135"/>
        <n v="0.0107"/>
        <n v="0.0133"/>
        <n v="0.0169"/>
        <n v="0.0056"/>
        <n v="0.0153"/>
        <n v="0.0239"/>
        <n v="0.0041"/>
        <n v="0.0073"/>
        <n v="0.0177"/>
        <n v="0.0052"/>
        <n v="0.0037"/>
        <n v="0.0067"/>
        <n v="0.0053"/>
        <n v="0.0122"/>
        <n v="0.0062"/>
        <n v="0.0032"/>
        <n v="0.0094"/>
        <n v="0.0046"/>
        <n v="0.0044"/>
        <n v="0.0039"/>
        <n v="0.0063"/>
        <n v="0.0034"/>
        <n v="0.0031"/>
        <n v="0.0101"/>
        <n v="0.0035"/>
        <n v="0.0028"/>
        <n v="0.0065"/>
        <n v="0.0096"/>
        <n v="0.0024"/>
        <n v="0.006"/>
        <n v="0.003"/>
        <n v="0.001"/>
        <n v="0.009"/>
        <n v="0.0048"/>
        <n v="0.0022"/>
        <n v="0.0018"/>
        <n v="0.0015"/>
        <n v="0.0108"/>
        <n v="0.0013"/>
        <n v="0.002"/>
        <n v="0.0017"/>
        <n v="0.0021"/>
        <n v="0.0055"/>
        <n v="0.0025"/>
        <n v="0.0006"/>
        <n v="0.0049"/>
        <n v="0.0014"/>
        <n v="0.0027"/>
        <n v="0.0038"/>
        <n v="0.0011"/>
        <n v="0.0072"/>
        <n v="0.0104"/>
        <n v="0.0008"/>
        <n v="0.0003"/>
        <n v="0.0004"/>
        <n v="0.0001"/>
        <n v="0.3875"/>
        <n v="0.0375"/>
        <n v="0.0125"/>
        <n v="0.025"/>
        <n v="0.1"/>
        <n v="0.2375"/>
        <n v="0.075"/>
        <n v="0.1125"/>
        <m/>
      </sharedItems>
    </cacheField>
    <cacheField name="会话百分比 – 总计 – B2B" numFmtId="0">
      <sharedItems containsString="0" containsBlank="1" containsNumber="1" minValue="0" maxValue="0.25" count="17">
        <n v="0.1188"/>
        <n v="0.0842"/>
        <n v="0.0495"/>
        <n v="0.0149"/>
        <n v="0.0396"/>
        <n v="0.0446"/>
        <n v="0.0594"/>
        <n v="0.0297"/>
        <n v="0.0099"/>
        <n v="0"/>
        <n v="0.0545"/>
        <n v="0.0198"/>
        <n v="0.0347"/>
        <n v="0.0248"/>
        <n v="0.005"/>
        <n v="0.25"/>
        <m/>
      </sharedItems>
    </cacheField>
    <cacheField name="页面浏览量 – 总计" numFmtId="0">
      <sharedItems containsString="0" containsBlank="1" containsNumber="1" containsInteger="1" minValue="0" maxValue="817" count="86">
        <n v="817"/>
        <n v="714"/>
        <n v="429"/>
        <n v="254"/>
        <n v="418"/>
        <n v="352"/>
        <n v="351"/>
        <n v="281"/>
        <n v="170"/>
        <n v="164"/>
        <n v="72"/>
        <n v="93"/>
        <n v="257"/>
        <n v="199"/>
        <n v="150"/>
        <n v="89"/>
        <n v="132"/>
        <n v="172"/>
        <n v="46"/>
        <n v="145"/>
        <n v="231"/>
        <n v="119"/>
        <n v="41"/>
        <n v="63"/>
        <n v="147"/>
        <n v="165"/>
        <n v="49"/>
        <n v="36"/>
        <n v="61"/>
        <n v="37"/>
        <n v="103"/>
        <n v="53"/>
        <n v="32"/>
        <n v="92"/>
        <n v="95"/>
        <n v="54"/>
        <n v="48"/>
        <n v="25"/>
        <n v="39"/>
        <n v="96"/>
        <n v="28"/>
        <n v="30"/>
        <n v="40"/>
        <n v="45"/>
        <n v="98"/>
        <n v="26"/>
        <n v="43"/>
        <n v="62"/>
        <n v="27"/>
        <n v="10"/>
        <n v="80"/>
        <n v="34"/>
        <n v="23"/>
        <n v="14"/>
        <n v="35"/>
        <n v="19"/>
        <n v="11"/>
        <n v="102"/>
        <n v="71"/>
        <n v="20"/>
        <n v="24"/>
        <n v="21"/>
        <n v="17"/>
        <n v="7"/>
        <n v="13"/>
        <n v="55"/>
        <n v="22"/>
        <n v="50"/>
        <n v="31"/>
        <n v="12"/>
        <n v="16"/>
        <n v="9"/>
        <n v="8"/>
        <n v="18"/>
        <n v="75"/>
        <n v="107"/>
        <n v="6"/>
        <n v="4"/>
        <n v="29"/>
        <n v="5"/>
        <n v="1"/>
        <n v="15"/>
        <n v="86"/>
        <n v="59"/>
        <n v="2"/>
        <m/>
      </sharedItems>
    </cacheField>
    <cacheField name="页面浏览量 – 总计 – B2B" numFmtId="0">
      <sharedItems containsString="0" containsBlank="1" containsNumber="1" containsInteger="1" minValue="0" maxValue="41" count="15">
        <n v="41"/>
        <n v="24"/>
        <n v="11"/>
        <n v="3"/>
        <n v="12"/>
        <n v="17"/>
        <n v="7"/>
        <n v="0"/>
        <n v="6"/>
        <n v="5"/>
        <n v="9"/>
        <n v="2"/>
        <n v="1"/>
        <n v="4"/>
        <m/>
      </sharedItems>
    </cacheField>
    <cacheField name="页面浏览量百分比 – 总计" numFmtId="0">
      <sharedItems containsString="0" containsBlank="1" containsNumber="1" minValue="0" maxValue="0.4126" count="92">
        <n v="0.084"/>
        <n v="0.0734"/>
        <n v="0.0441"/>
        <n v="0.0261"/>
        <n v="0.043"/>
        <n v="0.0362"/>
        <n v="0.0361"/>
        <n v="0.0289"/>
        <n v="0.0175"/>
        <n v="0.0169"/>
        <n v="0.0074"/>
        <n v="0.0096"/>
        <n v="0.0264"/>
        <n v="0.0205"/>
        <n v="0.0154"/>
        <n v="0.0091"/>
        <n v="0.0136"/>
        <n v="0.0177"/>
        <n v="0.0047"/>
        <n v="0.0149"/>
        <n v="0.0237"/>
        <n v="0.0122"/>
        <n v="0.0042"/>
        <n v="0.0065"/>
        <n v="0.0151"/>
        <n v="0.017"/>
        <n v="0.005"/>
        <n v="0.0037"/>
        <n v="0.0063"/>
        <n v="0.0038"/>
        <n v="0.0106"/>
        <n v="0.0054"/>
        <n v="0.0033"/>
        <n v="0.0095"/>
        <n v="0.0098"/>
        <n v="0.0055"/>
        <n v="0.0049"/>
        <n v="0.0026"/>
        <n v="0.004"/>
        <n v="0.0099"/>
        <n v="0.0029"/>
        <n v="0.0031"/>
        <n v="0.0041"/>
        <n v="0.0046"/>
        <n v="0.0101"/>
        <n v="0.0027"/>
        <n v="0.0044"/>
        <n v="0.0064"/>
        <n v="0.0028"/>
        <n v="0.001"/>
        <n v="0.0082"/>
        <n v="0.0035"/>
        <n v="0.0024"/>
        <n v="0.0014"/>
        <n v="0.0036"/>
        <n v="0.002"/>
        <n v="0.0011"/>
        <n v="0.0105"/>
        <n v="0.0073"/>
        <n v="0.0021"/>
        <n v="0.0025"/>
        <n v="0.0022"/>
        <n v="0.0017"/>
        <n v="0.0007"/>
        <n v="0.0013"/>
        <n v="0.0057"/>
        <n v="0.0023"/>
        <n v="0.0051"/>
        <n v="0.0032"/>
        <n v="0.0012"/>
        <n v="0.0016"/>
        <n v="0.0009"/>
        <n v="0.0008"/>
        <n v="0.0018"/>
        <n v="0.0077"/>
        <n v="0.011"/>
        <n v="0.0006"/>
        <n v="0.0004"/>
        <n v="0.003"/>
        <n v="0.0005"/>
        <n v="0.0001"/>
        <n v="0.0015"/>
        <n v="0.0088"/>
        <n v="0.4126"/>
        <n v="0.1399"/>
        <n v="0.049"/>
        <n v="0.014"/>
        <n v="0.0699"/>
        <n v="0.1678"/>
        <n v="0.0909"/>
        <n v="0.007"/>
        <m/>
      </sharedItems>
    </cacheField>
    <cacheField name="页面浏览量百分比 – 总计 – B2B" numFmtId="0">
      <sharedItems containsString="0" containsBlank="1" containsNumber="1" minValue="0" maxValue="0.4286" count="18">
        <n v="0.153"/>
        <n v="0.0896"/>
        <n v="0.041"/>
        <n v="0.0112"/>
        <n v="0.0448"/>
        <n v="0.0634"/>
        <n v="0.0261"/>
        <n v="0"/>
        <n v="0.0224"/>
        <n v="0.0187"/>
        <n v="0.0336"/>
        <n v="0.0075"/>
        <n v="0.0037"/>
        <n v="0.0149"/>
        <n v="0.4286"/>
        <n v="0.1429"/>
        <n v="0.2857"/>
        <m/>
      </sharedItems>
    </cacheField>
    <cacheField name="推荐报价（购买按钮）百分比" numFmtId="0">
      <sharedItems containsString="0" containsBlank="1" containsNumber="1" minValue="0" maxValue="1" count="31">
        <n v="1"/>
        <n v="0.9913"/>
        <n v="0.9975"/>
        <n v="0.9876"/>
        <n v="0.9875"/>
        <n v="0.9964"/>
        <n v="0.9835"/>
        <n v="0.9946"/>
        <n v="0.9955"/>
        <n v="0.9836"/>
        <n v="0.9813"/>
        <n v="0.9833"/>
        <n v="0.9649"/>
        <n v="0.9143"/>
        <n v="0.9902"/>
        <n v="0.9891"/>
        <n v="0.9808"/>
        <n v="0.9167"/>
        <n v="0.9412"/>
        <n v="0.9091"/>
        <n v="0.9583"/>
        <n v="0.8571"/>
        <n v="0.9231"/>
        <n v="0.8889"/>
        <n v="0.7778"/>
        <n v="0.9677"/>
        <n v="0.5"/>
        <n v="0.8"/>
        <n v="0.9762"/>
        <n v="0"/>
        <m/>
      </sharedItems>
    </cacheField>
    <cacheField name="推荐报价（购买按钮）百分比 – B2B" numFmtId="0">
      <sharedItems containsString="0" containsBlank="1" containsNumber="1" minValue="0" maxValue="1" count="4">
        <n v="1"/>
        <n v="0.9565"/>
        <n v="0"/>
        <m/>
      </sharedItems>
    </cacheField>
    <cacheField name="已订购商品数量" numFmtId="0">
      <sharedItems containsString="0" containsBlank="1" containsNumber="1" containsInteger="1" minValue="0" maxValue="176" count="25">
        <n v="176"/>
        <n v="75"/>
        <n v="68"/>
        <n v="37"/>
        <n v="27"/>
        <n v="25"/>
        <n v="28"/>
        <n v="23"/>
        <n v="22"/>
        <n v="21"/>
        <n v="15"/>
        <n v="13"/>
        <n v="14"/>
        <n v="10"/>
        <n v="12"/>
        <n v="9"/>
        <n v="8"/>
        <n v="7"/>
        <n v="6"/>
        <n v="5"/>
        <n v="4"/>
        <n v="3"/>
        <n v="2"/>
        <n v="1"/>
        <m/>
      </sharedItems>
    </cacheField>
  </cacheFields>
</pivotCacheDefinition>
</file>

<file path=xl/pivotCache/pivotCacheDefinition17.xml><?xml version="1.0" encoding="utf-8"?>
<pivotCacheDefinition xmlns="http://schemas.openxmlformats.org/spreadsheetml/2006/main" xmlns:r="http://schemas.openxmlformats.org/officeDocument/2006/relationships" r:id="rId1" createdVersion="5" refreshedVersion="5" minRefreshableVersion="3" refreshedDate="45219.5876388889" refreshedBy="Administrator" recordCount="186">
  <cacheSource type="worksheet">
    <worksheetSource ref="B1:O1048576" sheet="3店1004-1018" r:id="rId2"/>
  </cacheSource>
  <cacheFields count="14">
    <cacheField name="（子）ASIN" numFmtId="0">
      <sharedItems containsBlank="1" count="182">
        <s v="B09FP627KW"/>
        <s v="B09V278J16"/>
        <s v="B096TKYS6R"/>
        <s v="B09MHS412L"/>
        <s v="B094FTXFCS"/>
        <s v="B09B1M73FL"/>
        <s v="B0B8N6JY13"/>
        <s v="B09Y19ZRB9"/>
        <s v="B0BRMX26NH"/>
        <s v="B0BMFRH2YG"/>
        <s v="B098T1675V"/>
        <s v="B094HRCLXF"/>
        <s v="B096TMB4ZM"/>
        <s v="B09V27JQ4S"/>
        <s v="B0BWYDK4SR"/>
        <s v="B0CF1TJQ3P"/>
        <s v="B09FNYDGY5"/>
        <s v="B093KZ59LY"/>
        <s v="B0B7MS7DMW"/>
        <s v="B09MHRWLB5"/>
        <s v="B09V27L3BY"/>
        <s v="B09CM5DD9F"/>
        <s v="B09WZYBG5Y"/>
        <s v="B0B8NBWGMM"/>
        <s v="B094FQS1FC"/>
        <s v="B09B1N5SXM"/>
        <s v="B09HGDHZQ1"/>
        <s v="B0BFQY2HCW"/>
        <s v="B0BMFPDY3X"/>
        <s v="B0BWYBZ4DM"/>
        <s v="B09FKY9NB2"/>
        <s v="B09V289STH"/>
        <s v="B09CM4S4MM"/>
        <s v="B09Y1BSTNT"/>
        <s v="B09H29PZXG"/>
        <s v="B09V27VN42"/>
        <s v="B09V2H6GTC"/>
        <s v="B0BMFRQ616"/>
        <s v="B096TKPWD7"/>
        <s v="B0B2QVCZ4W"/>
        <s v="B0BFVNJNYV"/>
        <s v="B094FR2LXM"/>
        <s v="B094HQ8MSM"/>
        <s v="B09FNT64S9"/>
        <s v="B093W782KT"/>
        <s v="B09FKWZKZQ"/>
        <s v="B0BMFPBCF9"/>
        <s v="B094HQNRN7"/>
        <s v="B098T19BMD"/>
        <s v="B09CPQ77F1"/>
        <s v="B09FP3Y2WP"/>
        <s v="B09FPBNRWX"/>
        <s v="B0B2QTY69B"/>
        <s v="B0B7NK6JNL"/>
        <s v="B0B8N3VX4F"/>
        <s v="B0B9XK7L5X"/>
        <s v="B0BFQZM17H"/>
        <s v="B0BRMWFB9L"/>
        <s v="B0BRMWJXZR"/>
        <s v="B0BVLH6LSR"/>
        <s v="B0C84VPJMX"/>
        <s v="B0C84X13TP"/>
        <s v="B093KYKS43"/>
        <s v="B09B1MQZPN"/>
        <s v="B09HGMN29X"/>
        <s v="B0B7MPP93H"/>
        <s v="B0BFR1HGZX"/>
        <s v="B0BFVRPPHJ"/>
        <s v="B0BMFPR37C"/>
        <s v="B0BP6B6XFB"/>
        <s v="B0BP6PXXBQ"/>
        <s v="B0BWY9YYSH"/>
        <s v="B0C84VL5PH"/>
        <s v="B093L2V62Y"/>
        <s v="B09H2FVVKR"/>
        <s v="B09HH4MC8R"/>
        <s v="B09MHRVV79"/>
        <s v="B09V2GY7PT"/>
        <s v="B09Y185WLW"/>
        <s v="B0B8N8W6KW"/>
        <s v="B0B8N96D3H"/>
        <s v="B0BP6M7Z48"/>
        <s v="B0CF1RXKWZ"/>
        <s v="B0CH9V5XYG"/>
        <s v="B09331SXMC"/>
        <s v="B093W9BDQM"/>
        <s v="B098T16TQT"/>
        <s v="B09DFFRTPG"/>
        <s v="B09DFRLP5Y"/>
        <s v="B09FKZBMCJ"/>
        <s v="B09WZZ1LM2"/>
        <s v="B09Y1B9G8T"/>
        <s v="B0B7MT3VYL"/>
        <s v="B0BFQZJXSG"/>
        <s v="B0BFR2JK9C"/>
        <s v="B0BP6GRTJJ"/>
        <s v="B0BRMXH62X"/>
        <s v="B0BWY9XSLR"/>
        <s v="B0CF1RC4FF"/>
        <s v="B0CF1T4QXV"/>
        <s v="B093W8PSZW"/>
        <s v="B09CPPMYNK"/>
        <s v="B09DP3W7BQ"/>
        <s v="B09FKYBRXJ"/>
        <s v="B0B6V92FQD"/>
        <s v="B0B6V94936"/>
        <s v="B0B8N43RJL"/>
        <s v="B0B9XJNDBZ"/>
        <s v="B0BP6GXWSC"/>
        <s v="B0BP6MGMJS"/>
        <s v="B0BRMX3QZ7"/>
        <s v="B0CF1QV5PP"/>
        <s v="B0CF1T979Y"/>
        <s v="B09FKX7J3C"/>
        <s v="B09FNSXT22"/>
        <s v="B09H29QXK4"/>
        <s v="B09V2GXNWZ"/>
        <s v="B09WZYJWPY"/>
        <s v="B09X331PFB"/>
        <s v="B0B589R1T4"/>
        <s v="B0B6V75VF1"/>
        <s v="B0B8NCT531"/>
        <s v="B0B9XJM8X7"/>
        <s v="B0B9XJN2XQ"/>
        <s v="B0BFVG46SH"/>
        <s v="B0BFVR2BK9"/>
        <s v="B0BP6DDHYQ"/>
        <s v="B0BP6KHKTY"/>
        <s v="B0BP6LX8RH"/>
        <s v="B0BP6P5ZM2"/>
        <s v="B0BWYBY69F"/>
        <s v="B0BWYDSTQ7"/>
        <s v="B0C3CJHH5Z"/>
        <s v="B0C3CKPXV1"/>
        <s v="B0C3CMYH84"/>
        <s v="B0CF1Q7BQF"/>
        <s v="B0CF1QTDNF"/>
        <s v="B0CH9VBDY9"/>
        <s v="B0CH9X3J1D"/>
        <s v="B09CPPSVMQ"/>
        <s v="B09FPDDPNN"/>
        <s v="B09T2KMQY3"/>
        <s v="B09T2LCZ9H"/>
        <s v="B09WZXRLPX"/>
        <s v="B09WZZM9VS"/>
        <s v="B09Y1Q5PK6"/>
        <s v="B0B58731G6"/>
        <s v="B0B8N4P5GT"/>
        <s v="B0B8N5DJY6"/>
        <s v="B0B8NBD1GB"/>
        <s v="B0B8NBX1LW"/>
        <s v="B0B92K7KPG"/>
        <s v="B0B9XNCNHP"/>
        <s v="B0B9XTKZTH"/>
        <s v="B0BFWY4QJK"/>
        <s v="B0BP6FSNJ4"/>
        <s v="B0BP6MC99V"/>
        <s v="B0BP6V1VTL"/>
        <s v="B0BWYBBC3K"/>
        <s v="B0BWYBCRPY"/>
        <s v="B0BWYKGC6F"/>
        <s v="B0BYYZDLTR"/>
        <s v="B0C3CLR6GX"/>
        <s v="B0C84W3155"/>
        <s v="B0C84W9MND"/>
        <s v="B0CF1MGFCV"/>
        <s v="B0CF1PHY2H"/>
        <s v="B0CF1RH614"/>
        <s v="B0CF1RT8FV"/>
        <s v="B0CH9TDSB2"/>
        <s v="B0CH9VTT4D"/>
        <s v="B0C5CPJ62G"/>
        <s v="B0C4NFGQYS"/>
        <s v="B0B2P3JS91"/>
        <s v="B0B9M8LQ18"/>
        <s v="B0BFW7BCXR"/>
        <s v="B0C4NJLDST"/>
        <s v="B0C5CCV144"/>
        <s v="B0C5CD5ZQM"/>
        <s v="B0C5CFPRRN"/>
        <s v="B0C5CJ7SRR"/>
        <m/>
      </sharedItems>
    </cacheField>
    <cacheField name="商品名称" numFmtId="0">
      <sharedItems containsBlank="1" count="178">
        <s v="Compatible with iPhone 13 6.1 inch Case,with Screen Protectors,Heavy Duty Rugged Shockproof Full Body Protection Kickstand Case with Belt Clip Holster for iPhone 13 Phone (Black)"/>
        <s v="Compatible with Samsung Galaxy A03s Case, with Belt Clip Holster Heavy Duty Rugged Shockproof Full Body Protection Kickstand Cover for Samsung Galaxy A03s Phone (Black)"/>
        <s v="Compatible with Samsung Galaxy A42 5G Case,with Screen Protectors,Heavy Duty Rugged Shockproof Full Body Protection Kickstand Case with Belt Clip Holster for Samsung Galaxy A42 5G (Black)"/>
        <s v="Compatible with Motorola G Pure/Moto G Power 2022 Case, Heavy Duty Rugged Shockproof Full Body Protection Kickstand Case with Belt Clip Holster for Motorola G Pure 6.5 inch Phone (Black)"/>
        <s v="TENCO Compatible with Samsung Galaxy A32 5G Case,with Screen Protectors,Heavy Duty Rugged Shockproof Full Body Protection Kickstand Case Belt Clip Holster for 5G(Black), SM-A326B, SM-A326BDS"/>
        <s v="Compatible with Moto G Stylus 5G 2021 Case,with Screen Protectors,Heavy Duty Rugged Shockproof Full Body Protection Kickstand Case with Belt Clip Holster for Moto G Stylus 5G 2021 (Black)"/>
        <s v="Niubity Rugged Phone Case for Apple iPhone 14, with Belt Clip Holster &amp; Kickstand Heavy Duty Shockproof Protective Full Body Case Cover for iPhone 14 6.1 inch Phone(Black)"/>
        <s v="Compatible with Samsung Galaxy A13 5G Case(NOT for A13 4G), with Belt Clip Holster Heavy Duty Rugged Shockproof Full Body Protection Kickstand Phone case for Samsung Galaxy A13 5G (Black)"/>
        <s v="TMIDVFV Rugged Phone Case for Moto G Play (2023) Case/Moto G Power (2022), with Belt Clip Holster &amp; Kickstand Heavy Duty Shockproof Protective Full Body Case Cover for Moto G Play (2023) (Black)"/>
        <s v="TMIDVFV Compatible with Samsung Galaxy A14 5G Case, with Belt Clip Holster Heavy Duty Rugged Shockproof Full Body Protection Kickstand Phone case for Samsung Galaxy A14 5G (Black)"/>
        <s v="Compatible with Samsung Galaxy A02s Case,with Screen Protectors,Heavy Duty Rugged Shockproof Full Body Protection Kickstand Case with Belt Clip Holster for Samsung Galaxy A02s (Black)"/>
        <s v="TENCO Compatible with Samsung Galaxy A52 5G Case,with Screen Protectors,Heavy Duty Rugged Shockproof Full Body Protection Kickstand Case with Belt Clip Holster for Samsung Galaxy A52 5G(Black)"/>
        <s v="Compatible with Samsung Galaxy A42 5G Case,with Screen Protectors,Heavy Duty Rugged Shockproof Full Body Protection Kickstand Case with Belt Clip Holster for Samsung Galaxy A42 5G (Blue)"/>
        <s v="Compatible with Samsung Galaxy A03s Case, with Belt Clip Holster Heavy Duty Rugged Shockproof Full Body Protection Kickstand Cover for Samsung Galaxy A03s Phone (Blue)"/>
        <s v="TMIDVFV Compatible with Samsung Galaxy A54 5G Case, with Belt Clip Holster Heavy Duty Rugged Shockproof Full Body Protection Kickstand Phone case for Samsung Galaxy A54 5G (Black)"/>
        <s v="TMIDVFV Compatible with iPhone 15 Pro Max Case, with Belt Clip Holster Heavy Duty Rugged Shockproof Full Body Protection Kickstand Cover for iPhone 15 Pro Max 6.7 inch Phone(Black)"/>
        <s v="Compatible with iPhone 13 6.1 inch Case,with Screen Protectors,Heavy Duty Rugged Shockproof Full Body Protection Kickstand Case with Belt Clip Holster for iPhone 13 Phone (Blue)"/>
        <s v="TENCO Compatible with Moto G Play 2021 Case with Screen Protectors Heavy Duty Rugged Shockproof Full Body Protection Kickstand Case with Belt Clip Holster Black Motorola Moto G Play 2021 6.5in"/>
        <s v="Compatible with Google Pixel 6a Case, with Belt Clip Holster Heavy Duty Rugged Shockproof Full Body Protection Kickstand Phone case for Google Pixel 6a (Black)"/>
        <s v="Compatible with Motorola G Pure/Moto G Power 2022 Case, Heavy Duty Rugged Shockproof Full Body Protection Kickstand Case with Belt Clip Holster for Motorola G Pure 6.5 inch Phone (Blue)"/>
        <s v="Compatible with Samsung Galaxy A03s Case, with Belt Clip Holster Heavy Duty Rugged Shockproof Full Body Protection Kickstand Cover for Samsung Galaxy A03s Phone (Teal+Light Blue)"/>
        <s v="Compatible with Samsung Galaxy A42 5G Case,with Screen Protectors,Heavy Duty Rugged Shockproof Full Body Protection Kickstand Case with Belt Clip Holster for Samsung Galaxy A42 5G (Dark Grey+Green)"/>
        <s v="Compatible with Samsung Galaxy A53 5G Case, with Belt Clip Holster Heavy Duty Rugged Shockproof Full Body Protection Kickstand Phone case for Samsung Galaxy A53 5G (Black)"/>
        <s v="Niubity Rugged Phone Case for Apple iPhone 14 Plus, with Belt Clip Holster &amp; Kickstand Heavy Duty Shockproof Protective Full Body Case Cover for iPhone 14 Plus 6.7 inch Phone (Black)"/>
        <s v="TENCO Compatible with Samsung Galaxy A32 5G Case,with Screen Protectors,Heavy Duty Rugged Shockproof Full Body Protection Kickstand Case Belt Clip Holster for 5G(Blue) SM-A326B, SM-A326B/DS"/>
        <s v="Compatible with Moto G Stylus 5G 2021 Case,with Screen Protectors,Heavy Duty Rugged Shockproof Full Body Protection Kickstand Case with Belt Clip Holster for Moto G Stylus 5G 2021 (Blue)"/>
        <s v="Compatible with Motorola Edge 2021/Edge 5G UW 2021 Case,Heavy Duty Rugged Shockproof Full Body Protection Kickstand Case with Belt Clip Holster for Motorola Edge 2021 Phone (Black)"/>
        <s v="Rugged Phone Case for Samsung Galaxy A23 5G|4G, with Belt Clip Holster &amp; Kickstand Heavy Duty Shockproof Protective Full Body Case Cover for Samsung Galaxy A23 5G 6.6 inch Phone (Black)"/>
        <s v="TMIDVFV Compatible with Samsung Galaxy A14 5G Case, with Belt Clip Holster Heavy Duty Rugged Shockproof Full Body Protection Kickstand Phone case for Samsung Galaxy A14 5G (Orange)"/>
        <s v="TMIDVFV Compatible with Google Pixel 7A Case, with Belt Clip Holster Heavy Duty Rugged Shockproof Full Body Protection Kickstand Phone case for Google Pixel 7A 5G (Black)"/>
        <s v="Compatible with iPhone 13 Pro Max 6.7 inch Case,with Screen Protectors,Heavy Duty Rugged Shockproof Full Body Protection Kickstand Case with Belt Clip Holster for iPhone 13 Pro Max (Black)"/>
        <s v="Compatible with Samsung Galaxy A03s Case, with Belt Clip Holster Heavy Duty Rugged Shockproof Full Body Protection Kickstand Cover for Samsung Galaxy A03s Phone (Dark Grey+Green)"/>
        <s v="Compatible with Samsung Galaxy A42 5G Case,with Screen Protectors,Heavy Duty Rugged Shockproof Full Body Protection Kickstand Case with Belt Clip Holster for Samsung Galaxy A42 5G (Teal+Light Blue)"/>
        <s v="Compatible with Samsung Galaxy A13 5G Case(NOT for A13 4G), with Belt Clip Holster Heavy Duty Rugged Shockproof Full Body Protection Kickstand Phone case for Samsung Galaxy A13 5G (Blue)"/>
        <s v="Compatible with Motorola One 5G Ace Case, Heavy Duty Rugged Shockproof Full Body Protection Kickstand Case with Belt Clip Holster for Motorola One 5G Ace 6.7 inch Phone (Blue)"/>
        <s v="Compatible with Samsung Galaxy A03s Case, with Belt Clip Holster Heavy Duty Rugged Shockproof Full Body Protection Kickstand Cover for Samsung Galaxy A03s Phone (Orange)"/>
        <s v="Compatible with Moto G Stylus (2022) 4G Case(NOT for 5G), Heavy Duty Rugged Shockproof Full Body Protection Kickstand Case with Belt Clip Holster for Moto G Stylus (2022) 4G Phone (Black)"/>
        <s v="TMIDVFV Compatible with Samsung Galaxy A14 5G Case, with Belt Clip Holster Heavy Duty Rugged Shockproof Full Body Protection Kickstand Phone case for Samsung Galaxy A14 5G (Blue)"/>
        <s v="Compatible with Samsung Galaxy A42 5G Case,with Screen Protectors,Heavy Duty Rugged Shockproof Full Body Protection Kickstand Case with Belt Clip Holster for Samsung Galaxy A42 5G (Orange)"/>
        <s v="Compatible with Motorola G Pure/Moto G Power 2022 Case, Heavy Duty Rugged Shockproof Full Body Protection Kickstand Case with Belt Clip Holster for Motorola G Pure 6.5 inch Phone (Black+Yellow)"/>
        <s v="Compatible with Motorola Edge (2022) Case, with Belt Clip Holster Heavy Duty Rugged Shockproof Full Body Protection Kickstand Phone case for Motorola Edge (2022) (Black)"/>
        <s v="TENCO Compatible Samsung Galaxy A32 5G Case,with Screen Protectors, Shockproof Full Body Protection Kickstand Case Belt Clip Holster Samsung Galaxy A32 5G(Orange), (SM-A326B, SM-A326BDS)"/>
        <s v="TENCO Compatible with Samsung Galaxy A52 5G Case,with Screen Protectors,Heavy Duty Rugged Shockproof Full Body Protection Kickstand Case with Belt Clip Holster for Samsung Galaxy A52 5G (Blue)"/>
        <s v="Compatible with iPhone 13 6.1 inch Case,with Screen Protectors,Heavy Duty Rugged Shockproof Full Body Protection Kickstand Case with Belt Clip Holster for iPhone 13 Phone (Dark Grey+Green)"/>
        <s v="TENCO Compatible with Moto G Stylus (2021) Case,NOT Fit Moto G Stylus 5G,with Screen Protector,Heavy Duty Rugged Shockproof Kickstand Case with Belt Clip Holster for Moto G Stylus (Black)"/>
        <s v="Compatible with iPhone 13 Pro Max 6.7 inch Case,with Screen Protectors,Heavy Duty Rugged Shockproof Full Body Protection Kickstand Case with Belt Clip Holster for iPhone 13 Pro Max (Blue)"/>
        <s v="TMIDVFV Compatible with Samsung Galaxy A14 5G Case, with Belt Clip Holster Heavy Duty Rugged Shockproof Full Body Protection Kickstand Phone case for Samsung Galaxy A14 5G (Green+Black)"/>
        <s v="TENCO Compatible with Samsung Galaxy A52 5G Case,with Screen Protectors,Heavy Duty Rugged Shockproof Full Body Protection Kickstand Case with Belt Clip Holster for Samsung Galaxy A52 5G (Orange)"/>
        <s v="Compatible with Samsung Galaxy A02s Case,with Screen Protectors,Heavy Duty Rugged Shockproof Full Body Protection Kickstand Case with Belt Clip Holster for Samsung Galaxy A02s (Blue)"/>
        <s v="Compatible with Moto G Power (2021) Case,with Screen Protectors,Heavy Duty Rugged Shockproof Full Body Protection Kickstand Case with Belt Clip Holster for Moto G Power (2021) (Blue)"/>
        <s v="Compatible with iPhone 13 6.1 inch Case,with Screen Protectors,Heavy Duty Rugged Shockproof Full Body Protection Kickstand Case with Belt Clip Holster for iPhone 13 Phone (Orange)"/>
        <s v="Compatible with iPhone 13 6.1 inch Case,with Screen Protectors,Heavy Duty Rugged Shockproof Full Body Protection Kickstand Case with Belt Clip Holster for iPhone 13 Phone (Teal+Light Blue)"/>
        <s v="Compatible with Motorola G Pure/Moto G Power 2022 Case, Heavy Duty Rugged Shockproof Full Body Protection Kickstand Case with Belt Clip Holster for Motorola G Pure 6.5 inch Phone(Green+Black)"/>
        <s v="Compatible with Google Pixel 6a Case, with Belt Clip Holster Heavy Duty Rugged Shockproof Full Body Protection Kickstand Phone case for Google Pixel 6a (Blue)"/>
        <s v="Niubity Rugged Phone Case for Apple iPhone 14, with Belt Clip Holster &amp; Kickstand Heavy Duty Shockproof Protective Full Body Case Cover for iPhone 14 6.1 inch Phone (Blue)"/>
        <s v="Compatible with Google Pixel 7 Case, with Belt Clip Holster Heavy Duty Rugged Shockproof Full Body Protection Kickstand Phone case for Google Pixel 7 6.3-inch 2022 (Black)"/>
        <s v="Rugged Phone Case for Samsung Galaxy A23 5G|4G, with Belt Clip Holster &amp; Kickstand Heavy Duty Shockproof Protective Full Body Case Cover for Samsung Galaxy A23 5G 6.6 inch Phone (Orange)"/>
        <s v="TMIDVFV Rugged Phone Case for Moto G Play (2023) Case/Moto G Power (2022), with Belt Clip Holster &amp; Kickstand Heavy Duty Shockproof Protective Full Body Case Cover for Moto G Play (2023) (Orange)"/>
        <s v="TMIDVFV Rugged Phone Case for Moto G Play (2023) Case/Moto G Power (2022), with Belt Clip Holster &amp; Kickstand Heavy Duty Shockproof Protective Full Body Case Cover for Moto G Play (2023) (Grey+Black)"/>
        <s v="TENCO Compatible with Samsung Galaxy A42 5G Case,with Screen Protectors,Heavy Duty Rugged Shockproof Full Body Protection Kickstand Case with Belt Clip Holster for Samsung Galaxy A42 5G (Black 2)"/>
        <s v="TMIDVFV Compatible with Moto G Stylus 5G 2023 Case, with Belt Clip Holster Heavy Duty Rugged Shockproof Full Body Protection Kickstand Cover for Moto G Stylus 5G 2023 Phone (Blue)"/>
        <s v="TMIDVFV Compatible with Moto G Stylus 5G 2023 Case, with Belt Clip Holster Heavy Duty Rugged Shockproof Full Body Protection Kickstand Cover for Moto G Stylus 5G 2023 Phone (Black)"/>
        <s v="TENCO Compatible with Moto G Play 2021 Case,with Screen Protectors,Heavy Duty Rugged Shockproof Full Body Protection Kickstand Case with Belt Clip Holster for Moto G Play 2021, Blue"/>
        <s v="Compatible with Moto G Stylus 5G 2021 Case,with Screen Protectors,Heavy Duty Rugged Shockproof Full Body Protection Kickstand Case with Belt Clip Holster for Moto G Stylus 5G 2021 (Orange)"/>
        <s v="Compatible with Motorola Edge 2021/Edge 5G UW 2021 Case, Heavy Duty Rugged Shockproof Full Body Protection Kickstand Case with Belt Clip Holster for Motorola Edge 2021 Phone (Blue)"/>
        <s v="Compatible with Google Pixel 6a Case, with Belt Clip Holster Heavy Duty Rugged Shockproof Full Body Protection Kickstand Phone case for Google Pixel 6a (Green+Black)"/>
        <s v="Rugged Phone Case for Samsung Galaxy A23 5G|4G, with Belt Clip Holster &amp; Kickstand Heavy Duty Shockproof Protective Full Body Case Cover for Samsung Galaxy A23 5G 6.6 inch Phone (Blue)"/>
        <s v="Compatible with Motorola Edge (2022) Case, with Belt Clip Holster Heavy Duty Rugged Shockproof Full Body Protection Kickstand Phone case for Motorola Edge (2022) (Blue)"/>
        <s v="TMIDVFV Compatible with Samsung Galaxy A14 5G Case, with Belt Clip Holster Heavy Duty Rugged Shockproof Full Body Protection Kickstand Phone case for Samsung Galaxy A14 5G (Black+Yellow)"/>
        <s v="TMIDVFV Compatible with Samsung Galaxy S23+ Plus 5G Case, with Belt Clip Holster Heavy Duty Rugged Shockproof Full Body Protection Kickstand Cover for Samsung Galaxy S23+ Plus Phone (Blue)"/>
        <s v="TMIDVFV Rugged Phone Case for Samsung Galaxy S23+ Plus 5G, with Belt Clip Holster &amp; Kickstand Heavy Duty Shockproof Protective Full Body Case Cover for Samsung S23 Plus 6.6 inch Phone (Black)"/>
        <s v="TMIDVFV Compatible with Google Pixel 7A Case, with Belt Clip Holster Heavy Duty Rugged Shockproof Full Body Protection Kickstand Phone case for Google Pixel 7A 5G (Blue)"/>
        <s v="TMIDVFV Compatible with Moto G Stylus 5G 2023 Case, with Belt Clip Holster Heavy Duty Rugged Shockproof Full Body Protection Kickstand Cover for Moto G Stylus 5G 2023 Phone (Orange)"/>
        <s v="TENCO Compatible with Moto G Play 2021 Case with Screen Protectors Heavy Duty Rugged Shockproof Full Body Protection Kickstand Case with Belt Clip Holster Motorola Moto G Play 2021 6 5"/>
        <s v="Compatible with Motorola One 5G Ace Case,with Screen Protectors,Heavy Duty Rugged Shockproof Full Body Protection Kickstand Case with Belt Clip Holster for Motorola One 5G Ace 6.7 inch Phone (Black)"/>
        <s v="Compatible with Motorola Edge 2021/Edge 5G UW 2021 Case, Heavy Duty Rugged Shockproof Full Body Protection Kickstand Case with Belt Clip Holster for Motorola Edge 2021 Phone (Orange)"/>
        <s v="Compatible with Motorola G Pure/Moto G Power 2022 Case, Heavy Duty Rugged Shockproof Full Body Protection Kickstand Case with Belt Clip Holster for Motorola G Pure 6.5 inch Phone (Orange)"/>
        <s v="Compatible with Moto G Stylus (2022) 4G Case(NOT for 5G), Heavy Duty Rugged Shockproof Full Body Protection Kickstand Case with Belt Clip Holster for Moto G Stylus (2022) 4G Phone (Orange)"/>
        <s v="Compatible with Samsung Galaxy A13 5G Case(NOT for A13 4G), with Belt Clip Holster Heavy Duty Rugged Shockproof Full Body Protection Kickstand Phone case for Samsung Galaxy A13 5G (Orange)"/>
        <s v="Compatible with iPhone 14 Pro Case, with Belt Clip Holster Heavy Duty Rugged Shockproof Full Body Protection Kickstand Cover for iPhone 14 Pro 6.1 inch Phone (Black)"/>
        <s v="Niubity Rugged Phone Case for Apple iPhone 14 Plus, with Belt Clip Holster &amp; Kickstand Heavy Duty Shockproof Protective Full Body Case Cover for iPhone 14 Plus 6.7 inch Phone (Blue)"/>
        <s v="TMIDVFV Rugged Phone Case for Samsung Galaxy S23 Ultra 5G, with Belt Clip Holster &amp; Kickstand Heavy Duty Shockproof Protective Full Body Case Cover for Samsung Galaxy S23 Ultra 5G Phone (Black+Grey)"/>
        <s v="TMIDVFV Compatible with iPhone 15 Plus Case, with Belt Clip Holster Heavy Duty Rugged Shockproof Full Body Protection Kickstand Cover for iPhone 15 Plus 6.7 inch Phone (Black)"/>
        <s v="Compatible with Google Pixel 8 Pro Case, with Belt Clip Holster Heavy Duty Rugged Shockproof Full Body Protection Kickstand Phone case for Google Pixel 8 Pro 6.7-inch 2023 (Google Pixel 8 Pro, Black)"/>
        <s v="TENCO Compatible with Samsung Galaxy A12 5G Case,with Screen Protectors,Heavy Duty Rugged Shockproof Full Body Protection Kickstand Case with Belt Clip Holster for Samsung Galaxy A12 5G, Orange"/>
        <s v="TENCO Compatible with Moto G Stylus (2021) Case,NOT Fit 5G,with Screen Protector,Heavy Duty Rugged Shockproof Kickstand Case Belt Clip Holster for (2021), Orange, XT2115"/>
        <s v="Compatible with Samsung Galaxy A02s Case,with Screen Protectors,Heavy Duty Rugged Shockproof Full Body Protection Kickstand Case with Belt Clip Holster for Samsung Galaxy A02s (Orange)"/>
        <s v="Compatible with Samsung Galaxy A02s Case,with Screen Protectors,Heavy Duty Rugged Shockproof Full Body Protection Kickstand Case with Belt Clip Holster for Samsung Galaxy A02s (Dark Grey+Green)"/>
        <s v="Compatible with Samsung Galaxy A02s Case,with Screen Protectors,Heavy Duty Rugged Shockproof Full Body Protection Kickstand Case with Belt Clip Holster for Samsung Galaxy A02s (Teal+Light Blue)"/>
        <s v="Compatible with iPhone 13 Pro Max 6.7 inch Case,with Screen Protectors,Heavy Duty Rugged Shockproof Full Body Protection Kickstand Case with Belt Clip Holster for iPhone 13 Pro Max (Dark Grey+Green)"/>
        <s v="Compatible with Samsung Galaxy A53 5G Case, with Belt Clip Holster Heavy Duty Rugged Shockproof Full Body Protection Kickstand Phone case for Samsung Galaxy A53 5G (Teal+Light Blue)"/>
        <s v="Compatible with Samsung Galaxy A13 5G Case(NOT for A13 4G), with Belt Clip Holster Heavy Duty Rugged Shockproof Full Body Protection Kickstand Phone case for Samsung Galaxy A13 5G (Teal+Light Blue)"/>
        <s v="Compatible with Google Pixel 6a Case, with Belt Clip Holster Heavy Duty Rugged Shockproof Full Body Protection Kickstand Phone case for Google Pixel 6a (Orange)"/>
        <s v="Rugged Phone Case for Samsung Galaxy A23 5G|4G, with Belt Clip Holster &amp; Kickstand Heavy Duty Shockproof Protective Full Body Case Cover for Samsung Galaxy A23 5G 6.6 inch Phone (Black+Yellow)"/>
        <s v="Rugged Phone Case for Samsung Galaxy A23 5G|4G, with Belt Clip Holster &amp; Kickstand Heavy Duty Shockproof Protective Full Body Case Cover for Samsung Galaxy A23 5G 6.6 inch Phone (Green+Black)"/>
        <s v="TMIDVFV Rugged Phone Case for Samsung Galaxy S23 5G, with Belt Clip Holster &amp; Kickstand Heavy Duty Shockproof Protective Full Body Case Cover for Samsung S23 6.1 inch Phone (Black+Grey)"/>
        <s v="TMIDVFV Rugged Phone Case for Moto G Play (2023) Case/Moto G Power (2022), with Belt Clip Holster &amp; Kickstand Heavy Duty Shockproof Protective Full Body Case Cover for Moto G Play (2023) (Blue)"/>
        <s v="TMIDVFV Compatible with Google Pixel 7A Case, with Belt Clip Holster Heavy Duty Rugged Shockproof Full Body Protection Kickstand Phone case for Google Pixel 7A 5G (Grey+Blue)"/>
        <s v="TMIDVFV Compatible with iPhone 15 Case, with Belt Clip Holster Heavy Duty Rugged Shockproof Full Body Protection Kickstand Cover for iPhone 15 6.1 inch Phone (Black)"/>
        <s v="TMIDVFV Compatible with iPhone 15 Pro Max Case, with Belt Clip Holster Heavy Duty Rugged Shockproof Full Body Protection Kickstand Cover for iPhone 15 Pro Max 6.7 inch Phone(Black+Grey)"/>
        <s v="TENCO Compatible with Moto G Stylus (2021) Case,NOT Fit Moto G Stylus 5G,with Screen Protector,Heavy Duty Rugged Shockproof Kickstand Case with Belt Clip Holster for Moto G Stylus (2021)"/>
        <s v="Compatible with Moto G Power (2021) Case,with Screen Protectors,Heavy Duty Rugged Shockproof Full Body Protection Kickstand Case with Belt Clip Holster for Moto G Power (2021) (Black)"/>
        <s v="Compatible with Moto G Stylus 5G 2021 Case,with Screen Protectors,Heavy Duty Rugged Shockproof Full Body Protection Kickstand Case with Belt Clip Holster for Moto G Stylus 5G 2021 (Grey+Light Blue)"/>
        <s v="NIUBITY Compatible with iPhone 13 Pro Max 6.7 inch Case,with Screen Protectors,Heavy Duty Rugged Shockproof Full Body Protection Kickstand Case with Belt Clip Holster for iPhone 13 Pro Max (Orange)"/>
        <s v="Compatible with Motorola Edge 2021 Case,Heavy Duty Rugged Shockproof Full Body Protection Kickstand Case with Belt Clip Holster for Motorola Edge 2021 6.8 inch Phone (Black+Yellow)"/>
        <s v="Compatible with Moto G Stylus 5G (2022) Case(NOT for 4G), with Belt Clip Holster Heavy Duty Rugged Shockproof Full Body Protection Kickstand Phone case for Moto G Stylus 5G (2022) (Green+Black)"/>
        <s v="Niubity Rugged Phone Case for Apple iPhone 14, with Belt Clip Holster &amp; Kickstand Heavy Duty Shockproof Protective Full Body Case Cover for iPhone 14 6.1 inch Phone (Orange)"/>
        <s v="Compatible with Google Pixel 7 Pro Case, with Belt Clip Holster Heavy Duty Rugged Shockproof Full Body Protection Kickstand Phone case for Google Pixel 7 Pro 6.7-inch 2022 (Green+Black)"/>
        <s v="TMIDVFV Rugged Phone Case for Samsung Galaxy S23 Ultra 5G, with Belt Clip Holster &amp; Kickstand Heavy Duty Shockproof Protective Full Body Case Cover for Samsung Galaxy S23 Ultra 5G Phone (Purple)"/>
        <s v="TMIDVFV Rugged Phone Case for Samsung Galaxy S23 Ultra 5G, with Belt Clip Holster &amp; Kickstand Heavy Duty Shockproof Protective Full Body Case Cover for Samsung Galaxy S23 Ultra 5G Phone (Blue)"/>
        <s v="TMIDVFV Rugged Phone Case for Moto G Play (2023) Case/Moto G Power (2022), with Belt Clip Holster &amp; Kickstand Heavy Duty Shockproof Protective Full Body Case Cover for Moto G Play (2023) (Light Blue)"/>
        <s v="TMIDVFV Compatible with iPhone 15 Pro Max Case, with Belt Clip Holster Heavy Duty Rugged Shockproof Full Body Protection Kickstand Cover for iPhone 15 Pro Max 6.7 inch Phone(Black+Green)"/>
        <s v="TMIDVFV Compatible with iPhone 15 Pro Max Case, with Belt Clip Holster Heavy Duty Rugged Shockproof Full Body Protection Kickstand Cover for iPhone 15 Pro Max 6.7 inch Phone(Grey+Blue)"/>
        <s v="Compatible with iPhone 13 Pro Max 6.7 inch Case ,with Screen Protectors,Heavy Duty Rugged Shockproof Full Body Protection Kickstand Case with Belt Clip Holster for iPhone 13 Pro Max (Teal+Light Blue)"/>
        <s v="Compatible with iPhone 13 Pro 6.1 inch Case,with Screen Protectors,Heavy Duty Rugged Shockproof Full Body Protection Kickstand Case with Belt Clip Holster for iPhone 13 Pro Phone (Orange)"/>
        <s v="Compatible with Motorola One 5G Ace Case,with Screen Protectors,Heavy Duty Rugged Shockproof Full Body Protection Kickstand Case with Belt Clip Holster for Motorola One 5G Ace 6.7 inch Phone (Orange)"/>
        <s v="Compatible with Moto G Stylus (2022) 4G Case(NOT for 5G), Heavy Duty Rugged Shockproof Full Body Protection Kickstand Case with Belt Clip Holster for Moto G Stylus (2022) 4G Phone (Blue)"/>
        <s v="Compatible with Samsung Galaxy A53 5G Case, with Belt Clip Holster Heavy Duty Rugged Shockproof Full Body Protection Kickstand Phone case for Samsung Galaxy A53 5G (Blue)"/>
        <s v="Compatible with Moto G Stylus 5G 2021 Case,with Screen Protectors,Heavy Duty Rugged Shockproof Full Body Protection Kickstand Case with Belt Clip Holster for Moto G Stylus 5G 2021 (Green+Light Blue)"/>
        <s v="Compatible with Moto G Stylus (2022) 4G Case(NOT for 5G), Heavy Duty Rugged Shockproof Full Body Protection Kickstand Case with Belt Clip Holster for Moto G Stylus (2022) 4G Phone (Green+Black)"/>
        <s v="Compatible with Motorola Edge 2021 Case,Heavy Duty Rugged Shockproof Full Body Protection Kickstand Case with Belt Clip Holster for Motorola Edge 2021 6.8 inch Phone (Green+Black)"/>
        <s v="Niubity Rugged Phone Case for Apple iPhone 14 Plus, with Belt Clip Holster &amp; Kickstand Heavy Duty Shockproof Protective Full Body Case Cover for iPhone 14 Plus 6.7 inch Phone (Orange)"/>
        <s v="Compatible with Google Pixel 7 Pro Case, with Belt Clip Holster Heavy Duty Rugged Shockproof Full Body Protection Kickstand Phone case for Google Pixel 7 Pro 6.7-inch 2022 (Black+Yellow)"/>
        <s v="Compatible with Google Pixel 7 Case, with Belt Clip Holster Heavy Duty Rugged Shockproof Full Body Protection Kickstand Phone case for Google Pixel 7 6.3-inch 2022 (Orange)"/>
        <s v="Compatible with Motorola Edge (2022) Case, with Belt Clip Holster Heavy Duty Rugged Shockproof Full Body Protection Kickstand Phone case for Motorola Edge (2022) (Green+Black)"/>
        <s v="Compatible with Motorola Edge (2022) Case, with Belt Clip Holster Heavy Duty Rugged Shockproof Full Body Protection Kickstand Phone case for Motorola Edge (2022) (Orange)"/>
        <s v="TMIDVFV Rugged Phone Case for Samsung Galaxy S23 5G, with Belt Clip Holster &amp; Kickstand Heavy Duty Shockproof Protective Full Body Case Cover for Samsung S23 6.1 inch Phone (Teal+Black)"/>
        <s v="TMIDVFV Rugged Phone Case for Samsung Galaxy S23+ Plus 5G, with Belt Clip Holster &amp; Kickstand Heavy Duty Shockproof Protective Full Body Case Cover for Samsung S23 Plus 6.6 inch Phone (Black+Grey)"/>
        <s v="TMIDVFV Rugged Phone Case for Samsung Galaxy S23 Ultra 5G, with Belt Clip Holster &amp; Kickstand Heavy Duty Shockproof Protective Full Body Case Cover for Samsung Galaxy S23 Ultra 5G Phone (Grey+Blue)"/>
        <s v="TMIDVFV Rugged Phone Case for Samsung Galaxy S23+ Plus 5G, with Belt Clip Holster &amp; Kickstand Heavy Duty Shockproof Protective Full Body Case Cover for Samsung S23 Plus 6.6 inch Phone (Grey+Blue)"/>
        <s v="TMIDVFV Compatible with Google Pixel 7A Case, with Belt Clip Holster Heavy Duty Rugged Shockproof Full Body Protection Kickstand Phone case for Google Pixel 7A 5G (Teal+Black)"/>
        <s v="TMIDVFV Compatible with Samsung Galaxy A54 5G Case, with Belt Clip Holster Heavy Duty Rugged Shockproof Full Body Protection Kickstand Phone case for Samsung Galaxy A54 5G (Black+Grey)"/>
        <s v="TMIDVFV Rugged Phone Case for Moto G Power 5G 2023, with Belt Clip Holster &amp; Kickstand Heavy Duty Shockproof Protective Full Body Case Cover for Moto G Power 2023 5G Phone (Blue)"/>
        <s v="TMIDVFV Rugged Phone Case for Samsung Galaxy A24 4G, with Belt Clip Holster &amp; Kickstand Heavy Duty Shockproof Protective Full Body Case Cover for Samsung Galaxy A24 4G Phone (Black)"/>
        <s v="TMIDVFV Rugged Phone Case for Moto G Power 5G 2023, with Belt Clip Holster &amp; Kickstand Heavy Duty Shockproof Protective Full Body Case Cover for Moto G Power 2023 5G Phone (Black)"/>
        <s v="TMIDVFV Compatible with iPhone 15 Pro Case, with Belt Clip Holster Heavy Duty Rugged Shockproof Full Body Protection Kickstand Cover for iPhone 15 Pro 6.1 inch Phone (Black)"/>
        <s v="TMIDVFV Compatible with iPhone 15 Plus Case, with Belt Clip Holster Heavy Duty Rugged Shockproof Full Body Protection Kickstand Cover for iPhone 15 Plus 6.7 inch Phone (Black+Grey)"/>
        <s v="Compatible with Google Pixel 8 Pro Case, with Belt Clip Holster Heavy Duty Rugged Shockproof Full Body Protection Kickstand Phone case for Google Pixel 8 Pro 6.7-inch 2023 (Google Pixel 8 Pro, Blue)"/>
        <s v="Compatible with Google Pixel 8 Case, with Belt Clip Holster Heavy Duty Rugged Shockproof Full Body Protection Kickstand Phone case for Google Pixel 8 (Google Pixel 8, Black)"/>
        <s v="Compatible with Moto G Power (2021) Case,with Screen Protectors,Heavy Duty Rugged Shockproof Full Body Protection Kickstand Case with Belt Clip Holster for Moto G Power (2021) (Orange)"/>
        <s v="Compatible with iPhone 13 Pro 6.1 inch Case,with Screen Protectors,Heavy Duty Rugged Shockproof Full Body Protection Kickstand Case with Belt Clip Holster for iPhone 13 Pro Phone (Blue)"/>
        <s v="Compatible with Samsung Galaxy S22+ Plus 5G Case, Heavy Duty Rugged Shockproof Full Body Protection Kickstand Case with Belt Clip Holster for Samsung Galaxy S22+ Plus 5G Phone (Orange)"/>
        <s v="Compatible with Samsung Galaxy S22+ Plus 5G Case, Heavy Duty Rugged Shockproof Full Body Protection Kickstand Case with Belt Clip Holster for Samsung Galaxy S22+ Plus 5G Phone (Teal+Light Blue)"/>
        <s v="Compatible with Samsung Galaxy A53 5G Case, with Belt Clip Holster Heavy Duty Rugged Shockproof Full Body Protection Kickstand Phone case for Samsung Galaxy A53 5G (Dark Grey+Light Blue)"/>
        <s v="Compatible with Samsung Galaxy A53 5G Case, with Belt Clip Holster Heavy Duty Rugged Shockproof Full Body Protection Kickstand Phone case for Samsung Galaxy A53 5G (Orange)"/>
        <s v="Compatible with Samsung Galaxy A13 5G Case(NOT for A13 4G), with Belt Clip Holster Heavy Duty Rugged Shockproof Full Body Protection Kickstand Phone case for Samsung Galaxy A13 5G (Dark Grey+Green)"/>
        <s v="Compatible with Moto G Stylus (2022) 4G Case(NOT for 5G), Heavy Duty Rugged Shockproof Full Body Protection Kickstand Case with Belt Clip Holster for Moto G Stylus (2022) 4G Phone (Black+Yellow)"/>
        <s v="Niubity Rugged Phone Case for Apple iPhone 14, with Belt Clip Holster &amp; Kickstand Heavy Duty Shockproof Protective Full Body Case Cover for iPhone 14 6.1 inch Phone (Dark Grey+Green)"/>
        <s v="Niubity Rugged Phone Case for Apple iPhone 14, with Belt Clip Holster &amp; Kickstand Heavy Duty Shockproof Protective Full Body Case Cover for iPhone 14 6.1 inch Phone (Teal+Light Blue)"/>
        <s v="Niubity Rugged Phone Case for Apple iPhone 14 Plus, with Belt Clip Holster &amp; Kickstand Heavy Duty Shockproof Protective Full Body Case Cover for iPhone 14 Plus 6.7 inch Phone (Dark Grey+Green)"/>
        <s v="Niubity Rugged Phone Case for Apple iPhone 14 Plus, with Belt Clip Holster &amp; Kickstand Heavy Duty Shockproof Protective Full Body Case Cover for iPhone 14 Plus 6.7 inch Phone (Teal+Light Blue)"/>
        <s v="Niubity for Samsung Galaxy Z Fold 4 Case, with Slide Camera Cover &amp; Magnetic Kickstand, Rugged Shockproof Protective Cover, Built-in 360° Rotating Ring Holder for Samsung Galaxy Z Fold 4 2022 (Green)"/>
        <s v="Compatible with Google Pixel 7 Case, with Belt Clip Holster Heavy Duty Rugged Shockproof Full Body Protection Kickstand Phone case for Google Pixel 7 6.3-inch 2022(Blue)"/>
        <s v="Compatible with Google Pixel 7 Case, with Belt Clip Holster Heavy Duty Rugged Shockproof Full Body Protection Kickstand Phone case for Google Pixel 7 6.3-inch 2022 (Green+Black)"/>
        <s v="Niubity Rugged Phone Case for Apple iPhone 14 Pro Max, with Belt Clip Holster &amp; Kickstand Heavy Duty Shockproof Protective Full Body Case Cover for iPhone 14 Pro Max 6.7 inch Phone (Purple+Black)"/>
        <s v="TMIDVFV Rugged Phone Case for Samsung Galaxy S23+ Plus 5G, with Belt Clip Holster &amp; Kickstand Heavy Duty Shockproof Protective Full Body Case Cover for Samsung S23 Plus 6.6 inch Phone (Purple)"/>
        <s v="TMIDVFV Rugged Phone Case for Samsung Galaxy S23 5G, with Belt Clip Holster &amp; Kickstand Heavy Duty Shockproof Protective Full Body Case Cover for Samsung S23 6.1 inch Phone (Blue)"/>
        <s v="TMIDVFV Rugged Phone Case for Samsung Galaxy S23 Ultra 5G, with Belt Clip Holster &amp; Kickstand Heavy Duty Shockproof Protective Full Body Case Cover for Samsung Galaxy S23 Ultra 5G Phone (Teal+Black)"/>
        <s v="TMIDVFV Compatible with Samsung Galaxy A54 5G Case, with Belt Clip Holster Heavy Duty Rugged Shockproof Full Body Protection Kickstand Phone case for Samsung Galaxy A54 5G (Grey+Blue)"/>
        <s v="TMIDVFV Compatible with Samsung Galaxy A54 5G Case, with Belt Clip Holster Heavy Duty Rugged Shockproof Full Body Protection Kickstand Phone case for Samsung Galaxy A54 5G (Blue)"/>
        <s v="TMIDVFV Compatible with Samsung Galaxy A54 5G Case, with Belt Clip Holster Heavy Duty Rugged Shockproof Full Body Protection Kickstand Phone case for Samsung Galaxy A54 5G (Teal+Black)"/>
        <s v="TMIDVFV Rugged Phone Case for Samsung Galaxy A34, with Belt Clip Holster &amp; Kickstand Heavy Duty Shockproof Protective Full Body Case Cover for Samsung Galaxy A34 6.6 inch Phone (Blue)"/>
        <s v="TMIDVFV Rugged Phone Case for Moto G Power 5G 2023, with Belt Clip Holster &amp; Kickstand Heavy Duty Shockproof Protective Full Body Case Cover for Moto G Power 2023 5G Phone (Green+Black)"/>
        <s v="TMIDVFV Compatible with Moto G Stylus 5G 2023 Case, with Belt Clip Holster Heavy Duty Rugged Shockproof Full Body Protection Kickstand Cover for Moto G Stylus 5G 2023 Phone (Black+Yellow)"/>
        <s v="TMIDVFV Compatible with Moto G Stylus 5G 2023 Case, with Belt Clip Holster Heavy Duty Rugged Shockproof Full Body Protection Kickstand Cover for Moto G Stylus 5G 2023 Phone (Green+Black)"/>
        <s v="TMIDVFV Compatible with iPhone 15 Plus Case, with Belt Clip Holster Heavy Duty Rugged Shockproof Full Body Protection Kickstand Cover for iPhone 15 Plus 6.7 inch Phone (Blue)"/>
        <s v="TMIDVFV Compatible with iPhone 15 Pro Max Case, with Belt Clip Holster Heavy Duty Rugged Shockproof Full Body Protection Kickstand Cover for iPhone 15 Pro Max 6.7 inch Phone (Blue)"/>
        <s v="TMIDVFV Compatible with iPhone 15 Case, with Belt Clip Holster Heavy Duty Rugged Shockproof Full Body Protection Kickstand Cover for iPhone 15 6.1 inch Phone (Blue)"/>
        <s v="TMIDVFV Compatible with iPhone 15 Case, with Belt Clip Holster Heavy Duty Rugged Shockproof Full Body Protection Kickstand Cover for iPhone 15 6.1 inch Phone (Black+Grey)"/>
        <s v="Compatible with Google Pixel 8 Case, with Belt Clip Holster Heavy Duty Rugged Shockproof Full Body Protection Kickstand Phone case for Google Pixel 8 (Google Pixel 8, Grey+Blue)"/>
        <s v="Compatible with Google Pixel 8 Pro Case, with Belt Clip Holster Heavy Duty Rugged Shockproof Full Body Protection Kickstand Phone case for Google Pixel 8 Pro 6.7-inch (Google Pixel 8 Pro, Dark Green)"/>
        <s v="TMIDVFV Rugged Phone Case for Samsung Galaxy A54 5G, with Belt Clip Holster &amp; Kickstand Heavy Duty Shockproof Protective Full Body Case Cover for Samsung Galaxy A54 5G 6.4 inch Phone (Black)"/>
        <s v="Compatible with Moto G Stylus 5G (2022) Case(NOT for 4G), with Belt Clip Holster Heavy Duty Rugged Shockproof Full Body Protection Kickstand Phone case for Moto G Stylus 5G (2022) (Black)"/>
        <s v="Niubity for Samsung Galaxy Z Flip 4 Phone Case, with [Sliding Hinge Protection] [Built-in Camera Protector] [Magnetic Ring Kickstand] Shockproof Protective Cover for Samsung Galaxy Z Flip 4 (Black)"/>
        <s v="Compatible with Motorola Edge (2022) Case, with Belt Clip Holster Heavy Duty Rugged Shockproof Full Body Protection Kickstand Phone case for Motorola Edge (2022) (Black+Yellow)"/>
        <s v="TMIDVFV Rugged Phone Case for Samsung Galaxy A54 5G, with Belt Clip Holster &amp; Kickstand Heavy Duty Shockproof Protective Full Body Case Cover for Samsung Galaxy A54 5G 6.4 inch Phone (Black+Grey)"/>
        <s v="TMIDVFV Compatible with Google Pixel 7A Case, with Belt Clip Holster Heavy Duty Rugged Shockproof Full Body Protection Kickstand Phone case for Google Pixel 7A 5G (Dark Green)"/>
        <m/>
      </sharedItems>
    </cacheField>
    <cacheField name="SKU" numFmtId="0">
      <sharedItems containsBlank="1" count="183">
        <s v="Y03449-BL+Y03476"/>
        <s v="Y3013-BL+Y3014"/>
        <s v="E03375-BL+E03380+E03397"/>
        <s v="Y03652-BL+Y03653+Y03654"/>
        <s v="E03390-BL+E03240"/>
        <s v="Y03507-BL+Y03508+Y03509"/>
        <s v="Y3025-BL+Y3026"/>
        <s v="Y03742-BL+Y03743"/>
        <s v="Y3079-BL+Y3079"/>
        <s v="Y3060-BL+Y3061+Y3062"/>
        <s v="Y03466-BL+E03063"/>
        <s v="E03391-BL+E03271"/>
        <s v="E03375-NB+E03380+E03397"/>
        <s v="Y3013-NB+Y3014"/>
        <s v="Y3074-BL"/>
        <s v="Y3108-BL+Y3109"/>
        <s v="Y03449-NB+Y03476"/>
        <s v="E03135-bl"/>
        <s v="Y3033-BL+Y3034+Y3035"/>
        <s v="Y03652-DB+Y03653+Y03654"/>
        <s v="Y3013-TG+Y3014"/>
        <s v="E03375-DG+E03380+E03397"/>
        <s v="Y3018-BL+Y3019"/>
        <s v="Y3029-BL+Y3030"/>
        <s v="E03390-NB+E03240"/>
        <s v="Y03507-NB+Y03508+Y03509"/>
        <s v="Y03564-BL+Y03565+Y03566"/>
        <s v="Y3049-BL+Y3050+Y3051"/>
        <s v="Y3060-OR+Y3061+Y3062"/>
        <s v="Y3075-BL"/>
        <s v="Y03451-BL+Y03478"/>
        <s v="Y3013-DG+Y3014"/>
        <s v="E03375-TG+E03380+E03397"/>
        <s v="Y03742-NB+Y03743"/>
        <s v="Y03561-NB+Y03562+Y03565"/>
        <s v="Y3013-OR+Y3014"/>
        <s v="Y3015-BL+Y3016+Y3017"/>
        <s v="Y3060-DB+Y3061+Y3062"/>
        <s v="E03375-OR+E03380+E03397"/>
        <s v="Y03652-BY+Y03653+Y03654"/>
        <s v="Y3046-BL+Y3047+Y3048"/>
        <s v="E03390-OR+E03240"/>
        <s v="E03391-NB+E03271"/>
        <s v="Y03449-DG+Y03476"/>
        <s v="E03388-BL+E03267"/>
        <s v="Y03451-NB+Y03478"/>
        <s v="Y3060-GK+Y3061+Y3062"/>
        <s v="E03391-OR+E03271"/>
        <s v="Y03466-NB+E03063"/>
        <s v="E03386-NB+E03268-02"/>
        <s v="Y03449-OR+Y03476"/>
        <s v="Y03449-TG+Y03476"/>
        <s v="Y03652-GK+Y03653+Y03654"/>
        <s v="Y3033-DB+Y3034+Y3035"/>
        <s v="Y3025-NB+Y3026"/>
        <s v="Y3036-BL"/>
        <s v="Y3049-OR+Y3050+Y3051"/>
        <s v="Y3079-OR+Y3079"/>
        <s v="Y3079-GB+Y3079"/>
        <s v="E03375-BL+E03380+E03397-001"/>
        <s v="Y3096-DB+Y3097+Y3098"/>
        <s v="Y3096-BL+Y3097+Y3098"/>
        <s v="E03135-db"/>
        <s v="Y03507-OR+Y03508+Y03509"/>
        <s v="Y03564-NB+Y03565+Y03566"/>
        <s v="Y3033-GK+Y3034+Y3035"/>
        <s v="Y3049-DB+Y3050+Y3051"/>
        <s v="Y3046-DB+Y3047+Y3048"/>
        <s v="Y3060-BY+Y3061+Y3062"/>
        <s v="Y3056-NB+Y3057"/>
        <s v="Y3056-BL+Y3057"/>
        <s v="Y3075-NB"/>
        <s v="Y3096-OR+Y3097+Y3098"/>
        <s v="E03135-or"/>
        <s v="Y03561-BL+Y03562+Y03565"/>
        <s v="Y03564-OR+Y03565+Y03566"/>
        <s v="Y03652-OR+Y03653+Y03654"/>
        <s v="Y3015-OR+Y3016+Y3017"/>
        <s v="Y03742-OR+Y03743"/>
        <s v="Y3027-BL+Y3028"/>
        <s v="Y3029-NB+Y3030"/>
        <s v="Y3058-GY"/>
        <s v="Y3106-BL+Y3107"/>
        <s v="Y3111-BL"/>
        <s v="E03106-OR+E03109+E03129"/>
        <s v="E03388-OR+E03267"/>
        <s v="Y03466-OR+E03063"/>
        <s v="Y03466-DG+E03063"/>
        <s v="Y03466-TG+E03063"/>
        <s v="Y03451-DG+Y03478"/>
        <s v="Y3018-TG+Y3019"/>
        <s v="Y03742-TG+Y03743"/>
        <s v="Y3033-OR+Y3034+Y3035"/>
        <s v="Y3049-BY+Y3050+Y3051"/>
        <s v="Y3049-GK+Y3050+Y3051"/>
        <s v="Y3054-GY+Y3055"/>
        <s v="Y3079-NB+Y3079"/>
        <s v="Y3075-GN"/>
        <s v="Y3102-BL+Y3103"/>
        <s v="Y3108-GY+Y3109"/>
        <s v="E03388-NB+E03267"/>
        <s v="E03386-BL+E03268-02"/>
        <s v="Y03507-GR+Y03508+Y03509"/>
        <s v="Y03451-OR+Y03478"/>
        <s v="Y03564-BY+Y03565+Y03566"/>
        <s v="Y3022-GK+Y3023+Y3024"/>
        <s v="Y3025-OR+Y3026"/>
        <s v="Y3039-GK"/>
        <s v="Y3058-LP"/>
        <s v="Y3058-NB"/>
        <s v="Y3079-TG+Y3079"/>
        <s v="Y3108-BG+Y3109"/>
        <s v="Y3108-GN+Y3109"/>
        <s v="Y03451-TG+Y03478"/>
        <s v="Y03450-OR+Y03477"/>
        <s v="Y03561-OR+Y03562+Y03565"/>
        <s v="Y3015-NB+Y3016+Y3017"/>
        <s v="Y3018-NB+Y3019"/>
        <s v="Y03507-DN+Y03508+Y03509"/>
        <s v="Y3015-GK+Y3016+Y3017"/>
        <s v="Y03564-GK+Y03565+Y03566"/>
        <s v="Y3029-OR+Y3030"/>
        <s v="Y3039-BY"/>
        <s v="Y3036-OR"/>
        <s v="Y3046-GK+Y3047+Y3048"/>
        <s v="Y3046-OR+Y3047+Y3048"/>
        <s v="Y3054-TG+Y3055"/>
        <s v="Y3056-GY+Y3057"/>
        <s v="Y3058-GN"/>
        <s v="Y3056-GN+Y3057"/>
        <s v="Y3075-TG"/>
        <s v="Y3074-GY"/>
        <s v="Y3085-DB+Y3086+Y3087"/>
        <s v="Y3082-BL+Y3083+Y3084"/>
        <s v="Y3085-BL+Y3086+Y3087"/>
        <s v="Y3104-BL+Y3105"/>
        <s v="Y3106-GY+Y3107"/>
        <s v="Y3111-NB"/>
        <s v="Y3110-BL"/>
        <s v="E03386-OR+E03268-02"/>
        <s v="Y03450-NB+Y03477"/>
        <s v="Y3007-OR+Y3009"/>
        <s v="Y3007-TG+Y3009"/>
        <s v="Y3018-DG+Y3019"/>
        <s v="Y3018-OR+Y3019"/>
        <s v="Y03742-DG+Y03743"/>
        <s v="Y3015-BY+Y3016+Y3017"/>
        <s v="Y3025-DG+Y3026"/>
        <s v="Y3025-TG+Y3026"/>
        <s v="Y3029-DG+Y3030"/>
        <s v="Y3029-TG+Y3030"/>
        <s v="Y3044-DK"/>
        <s v="Y3036-DB"/>
        <s v="Y3036-GK"/>
        <s v="Y3031-LP+Y3032"/>
        <s v="Y3056-LP+Y3057"/>
        <s v="Y3054-NB+Y3055"/>
        <s v="Y3058-TG"/>
        <s v="Y3074-GN"/>
        <s v="Y3074-NB"/>
        <s v="Y3074-TG"/>
        <s v="Y3080-NB+Y3081"/>
        <s v="Y3085-GK+Y3086+Y3087"/>
        <s v="Y3096-BY+Y3097+Y3098"/>
        <s v="Y3096-GK+Y3097+Y3098"/>
        <s v="Y3106-NB+Y3107"/>
        <s v="Y3108-NB+Y3109"/>
        <s v="Y3102-NB+Y3103"/>
        <s v="Y3102-GY+Y3103"/>
        <s v="Y3110-GN"/>
        <s v="Y3111-GR"/>
        <s v="Y3092-BL+Y3093+Y3094"/>
        <s v="Y3095-BL"/>
        <s v="Y3088-BL"/>
        <s v="Y3022-BL+Y3023+Y3024"/>
        <s v="Y3043-BL"/>
        <s v="Y3046-BY+Y3047+Y3048"/>
        <s v="Y3088-GY"/>
        <s v="Y3092-OR+Y3093+Y3094"/>
        <s v="Y3092-DB+Y3093+Y3094"/>
        <s v="Y3092-BY+Y3093+Y3094"/>
        <s v="Y3095-GR"/>
        <m/>
      </sharedItems>
    </cacheField>
    <cacheField name="会话次数 – 总计" numFmtId="0">
      <sharedItems containsString="0" containsBlank="1" containsNumber="1" containsInteger="1" minValue="0" maxValue="1130" count="107">
        <n v="1130"/>
        <n v="1129"/>
        <n v="629"/>
        <n v="610"/>
        <n v="498"/>
        <n v="607"/>
        <n v="424"/>
        <n v="454"/>
        <n v="258"/>
        <n v="395"/>
        <n v="305"/>
        <n v="228"/>
        <n v="137"/>
        <n v="146"/>
        <n v="272"/>
        <n v="365"/>
        <n v="177"/>
        <n v="215"/>
        <n v="185"/>
        <n v="115"/>
        <n v="104"/>
        <n v="76"/>
        <n v="203"/>
        <n v="188"/>
        <n v="77"/>
        <n v="84"/>
        <n v="239"/>
        <n v="287"/>
        <n v="247"/>
        <n v="103"/>
        <n v="178"/>
        <n v="124"/>
        <n v="71"/>
        <n v="53"/>
        <n v="95"/>
        <n v="206"/>
        <n v="86"/>
        <n v="62"/>
        <n v="82"/>
        <n v="195"/>
        <n v="56"/>
        <n v="49"/>
        <n v="93"/>
        <n v="151"/>
        <n v="63"/>
        <n v="38"/>
        <n v="64"/>
        <n v="90"/>
        <n v="52"/>
        <n v="92"/>
        <n v="50"/>
        <n v="65"/>
        <n v="46"/>
        <n v="75"/>
        <n v="61"/>
        <n v="32"/>
        <n v="78"/>
        <n v="44"/>
        <n v="34"/>
        <n v="45"/>
        <n v="31"/>
        <n v="73"/>
        <n v="98"/>
        <n v="153"/>
        <n v="26"/>
        <n v="111"/>
        <n v="39"/>
        <n v="70"/>
        <n v="20"/>
        <n v="41"/>
        <n v="23"/>
        <n v="30"/>
        <n v="33"/>
        <n v="37"/>
        <n v="27"/>
        <n v="18"/>
        <n v="28"/>
        <n v="22"/>
        <n v="29"/>
        <n v="16"/>
        <n v="85"/>
        <n v="105"/>
        <n v="25"/>
        <n v="57"/>
        <n v="36"/>
        <n v="141"/>
        <n v="48"/>
        <n v="17"/>
        <n v="8"/>
        <n v="14"/>
        <n v="15"/>
        <n v="7"/>
        <n v="11"/>
        <n v="55"/>
        <n v="35"/>
        <n v="10"/>
        <n v="24"/>
        <n v="19"/>
        <n v="9"/>
        <n v="5"/>
        <n v="58"/>
        <n v="2"/>
        <n v="6"/>
        <n v="102"/>
        <n v="3"/>
        <n v="4"/>
        <m/>
      </sharedItems>
    </cacheField>
    <cacheField name="会话次数 – 总计 – B2B" numFmtId="0">
      <sharedItems containsString="0" containsBlank="1" containsNumber="1" containsInteger="1" minValue="0" maxValue="47" count="19">
        <n v="47"/>
        <n v="33"/>
        <n v="24"/>
        <n v="16"/>
        <n v="14"/>
        <n v="11"/>
        <n v="8"/>
        <n v="9"/>
        <n v="18"/>
        <n v="3"/>
        <n v="7"/>
        <n v="5"/>
        <n v="15"/>
        <n v="1"/>
        <n v="2"/>
        <n v="4"/>
        <n v="6"/>
        <n v="0"/>
        <m/>
      </sharedItems>
    </cacheField>
    <cacheField name="会话百分比 – 总计" numFmtId="0">
      <sharedItems containsString="0" containsBlank="1" containsNumber="1" minValue="0" maxValue="0.3397" count="90">
        <n v="0.0686"/>
        <n v="0.0382"/>
        <n v="0.0371"/>
        <n v="0.0303"/>
        <n v="0.0369"/>
        <n v="0.0258"/>
        <n v="0.0276"/>
        <n v="0.0157"/>
        <n v="0.024"/>
        <n v="0.0185"/>
        <n v="0.0139"/>
        <n v="0.0083"/>
        <n v="0.0089"/>
        <n v="0.0165"/>
        <n v="0.0222"/>
        <n v="0.0108"/>
        <n v="0.0131"/>
        <n v="0.0112"/>
        <n v="0.007"/>
        <n v="0.0063"/>
        <n v="0.0046"/>
        <n v="0.0123"/>
        <n v="0.0114"/>
        <n v="0.0047"/>
        <n v="0.0051"/>
        <n v="0.0145"/>
        <n v="0.0174"/>
        <n v="0.015"/>
        <n v="0.0075"/>
        <n v="0.0043"/>
        <n v="0.0032"/>
        <n v="0.0058"/>
        <n v="0.0125"/>
        <n v="0.0052"/>
        <n v="0.0038"/>
        <n v="0.005"/>
        <n v="0.0118"/>
        <n v="0.0034"/>
        <n v="0.003"/>
        <n v="0.0056"/>
        <n v="0.0092"/>
        <n v="0.0023"/>
        <n v="0.0039"/>
        <n v="0.0055"/>
        <n v="0.0028"/>
        <n v="0.0037"/>
        <n v="0.0019"/>
        <n v="0.0027"/>
        <n v="0.0021"/>
        <n v="0.0044"/>
        <n v="0.006"/>
        <n v="0.0093"/>
        <n v="0.0016"/>
        <n v="0.0067"/>
        <n v="0.0024"/>
        <n v="0.0012"/>
        <n v="0.0025"/>
        <n v="0.0014"/>
        <n v="0.0018"/>
        <n v="0.002"/>
        <n v="0.0022"/>
        <n v="0.0011"/>
        <n v="0.0017"/>
        <n v="0.0013"/>
        <n v="0.001"/>
        <n v="0.0064"/>
        <n v="0.0015"/>
        <n v="0.0035"/>
        <n v="0.0086"/>
        <n v="0.0029"/>
        <n v="0.0005"/>
        <n v="0.0009"/>
        <n v="0.0004"/>
        <n v="0.0007"/>
        <n v="0.0033"/>
        <n v="0.0006"/>
        <n v="0.0003"/>
        <n v="0.0001"/>
        <n v="0.0062"/>
        <n v="0.3397"/>
        <n v="0.0909"/>
        <n v="0.2201"/>
        <n v="0.0287"/>
        <n v="0.0144"/>
        <n v="0.0096"/>
        <n v="0.0191"/>
        <n v="0.0431"/>
        <n v="0.0718"/>
        <n v="0.0957"/>
        <m/>
      </sharedItems>
    </cacheField>
    <cacheField name="会话百分比 – 总计 – B2B" numFmtId="0">
      <sharedItems containsString="0" containsBlank="1" containsNumber="1" minValue="0" maxValue="0.4" count="21">
        <n v="0.1054"/>
        <n v="0.074"/>
        <n v="0.0538"/>
        <n v="0.0359"/>
        <n v="0.0314"/>
        <n v="0.0247"/>
        <n v="0.0179"/>
        <n v="0.0202"/>
        <n v="0.0404"/>
        <n v="0.0067"/>
        <n v="0.0157"/>
        <n v="0.0112"/>
        <n v="0.0336"/>
        <n v="0.0022"/>
        <n v="0.0045"/>
        <n v="0.009"/>
        <n v="0.0135"/>
        <n v="0"/>
        <n v="0.2"/>
        <n v="0.4"/>
        <m/>
      </sharedItems>
    </cacheField>
    <cacheField name="页面浏览量 – 总计" numFmtId="0">
      <sharedItems containsString="0" containsBlank="1" containsNumber="1" containsInteger="1" minValue="0" maxValue="1660" count="119">
        <n v="1660"/>
        <n v="1602"/>
        <n v="912"/>
        <n v="857"/>
        <n v="732"/>
        <n v="867"/>
        <n v="626"/>
        <n v="587"/>
        <n v="382"/>
        <n v="548"/>
        <n v="440"/>
        <n v="331"/>
        <n v="183"/>
        <n v="188"/>
        <n v="383"/>
        <n v="498"/>
        <n v="213"/>
        <n v="279"/>
        <n v="276"/>
        <n v="145"/>
        <n v="121"/>
        <n v="98"/>
        <n v="273"/>
        <n v="260"/>
        <n v="101"/>
        <n v="96"/>
        <n v="321"/>
        <n v="412"/>
        <n v="155"/>
        <n v="222"/>
        <n v="161"/>
        <n v="92"/>
        <n v="112"/>
        <n v="79"/>
        <n v="109"/>
        <n v="296"/>
        <n v="113"/>
        <n v="78"/>
        <n v="93"/>
        <n v="248"/>
        <n v="72"/>
        <n v="62"/>
        <n v="114"/>
        <n v="196"/>
        <n v="87"/>
        <n v="76"/>
        <n v="59"/>
        <n v="81"/>
        <n v="63"/>
        <n v="124"/>
        <n v="52"/>
        <n v="85"/>
        <n v="74"/>
        <n v="89"/>
        <n v="42"/>
        <n v="106"/>
        <n v="60"/>
        <n v="41"/>
        <n v="56"/>
        <n v="39"/>
        <n v="136"/>
        <n v="55"/>
        <n v="219"/>
        <n v="32"/>
        <n v="156"/>
        <n v="47"/>
        <n v="25"/>
        <n v="97"/>
        <n v="26"/>
        <n v="67"/>
        <n v="103"/>
        <n v="61"/>
        <n v="49"/>
        <n v="45"/>
        <n v="31"/>
        <n v="20"/>
        <n v="35"/>
        <n v="40"/>
        <n v="44"/>
        <n v="23"/>
        <n v="133"/>
        <n v="29"/>
        <n v="127"/>
        <n v="24"/>
        <n v="50"/>
        <n v="37"/>
        <n v="69"/>
        <n v="58"/>
        <n v="194"/>
        <n v="46"/>
        <n v="71"/>
        <n v="54"/>
        <n v="22"/>
        <n v="8"/>
        <n v="107"/>
        <n v="30"/>
        <n v="17"/>
        <n v="19"/>
        <n v="9"/>
        <n v="21"/>
        <n v="15"/>
        <n v="73"/>
        <n v="10"/>
        <n v="34"/>
        <n v="7"/>
        <n v="28"/>
        <n v="16"/>
        <n v="36"/>
        <n v="11"/>
        <n v="12"/>
        <n v="5"/>
        <n v="38"/>
        <n v="2"/>
        <n v="99"/>
        <n v="122"/>
        <n v="27"/>
        <n v="13"/>
        <n v="3"/>
        <m/>
      </sharedItems>
    </cacheField>
    <cacheField name="页面浏览量 – 总计 – B2B" numFmtId="0">
      <sharedItems containsString="0" containsBlank="1" containsNumber="1" containsInteger="1" minValue="0" maxValue="96" count="23">
        <n v="96"/>
        <n v="45"/>
        <n v="31"/>
        <n v="22"/>
        <n v="17"/>
        <n v="18"/>
        <n v="9"/>
        <n v="15"/>
        <n v="32"/>
        <n v="14"/>
        <n v="6"/>
        <n v="13"/>
        <n v="11"/>
        <n v="20"/>
        <n v="1"/>
        <n v="2"/>
        <n v="4"/>
        <n v="5"/>
        <n v="3"/>
        <n v="8"/>
        <n v="0"/>
        <n v="7"/>
        <m/>
      </sharedItems>
    </cacheField>
    <cacheField name="页面浏览量百分比 – 总计" numFmtId="0">
      <sharedItems containsString="0" containsBlank="1" containsNumber="1" minValue="0" maxValue="0.3509" count="97">
        <n v="0.0739"/>
        <n v="0.0713"/>
        <n v="0.0406"/>
        <n v="0.0381"/>
        <n v="0.0326"/>
        <n v="0.0386"/>
        <n v="0.0279"/>
        <n v="0.0261"/>
        <n v="0.017"/>
        <n v="0.0244"/>
        <n v="0.0196"/>
        <n v="0.0147"/>
        <n v="0.0081"/>
        <n v="0.0084"/>
        <n v="0.0222"/>
        <n v="0.0095"/>
        <n v="0.0124"/>
        <n v="0.0123"/>
        <n v="0.0065"/>
        <n v="0.0054"/>
        <n v="0.0044"/>
        <n v="0.0122"/>
        <n v="0.0116"/>
        <n v="0.0045"/>
        <n v="0.0043"/>
        <n v="0.0143"/>
        <n v="0.0183"/>
        <n v="0.0069"/>
        <n v="0.0099"/>
        <n v="0.0072"/>
        <n v="0.0041"/>
        <n v="0.005"/>
        <n v="0.0035"/>
        <n v="0.0049"/>
        <n v="0.0132"/>
        <n v="0.011"/>
        <n v="0.0032"/>
        <n v="0.0028"/>
        <n v="0.0051"/>
        <n v="0.0087"/>
        <n v="0.0039"/>
        <n v="0.0034"/>
        <n v="0.0026"/>
        <n v="0.0036"/>
        <n v="0.0055"/>
        <n v="0.0023"/>
        <n v="0.0038"/>
        <n v="0.0033"/>
        <n v="0.004"/>
        <n v="0.0019"/>
        <n v="0.0047"/>
        <n v="0.0027"/>
        <n v="0.0018"/>
        <n v="0.0025"/>
        <n v="0.0017"/>
        <n v="0.0061"/>
        <n v="0.0024"/>
        <n v="0.0097"/>
        <n v="0.0014"/>
        <n v="0.0021"/>
        <n v="0.0011"/>
        <n v="0.0012"/>
        <n v="0.003"/>
        <n v="0.0046"/>
        <n v="0.0022"/>
        <n v="0.002"/>
        <n v="0.0009"/>
        <n v="0.0016"/>
        <n v="0.001"/>
        <n v="0.0059"/>
        <n v="0.0013"/>
        <n v="0.0057"/>
        <n v="0.0031"/>
        <n v="0.0086"/>
        <n v="0.0004"/>
        <n v="0.0048"/>
        <n v="0.0008"/>
        <n v="0.0007"/>
        <n v="0.0015"/>
        <n v="0.0003"/>
        <n v="0.0005"/>
        <n v="0.0002"/>
        <n v="0.0001"/>
        <n v="0.3509"/>
        <n v="0.0839"/>
        <n v="0.1957"/>
        <n v="0.0714"/>
        <n v="0.0404"/>
        <n v="0.0093"/>
        <n v="0.0217"/>
        <n v="0.0155"/>
        <n v="0.028"/>
        <n v="0.0311"/>
        <n v="0.059"/>
        <n v="0.0776"/>
        <n v="0.0062"/>
        <m/>
      </sharedItems>
    </cacheField>
    <cacheField name="页面浏览量百分比 – 总计 – B2B" numFmtId="0">
      <sharedItems containsString="0" containsBlank="1" containsNumber="1" minValue="0" maxValue="0.375" count="25">
        <n v="0.1521"/>
        <n v="0.0713"/>
        <n v="0.0491"/>
        <n v="0.0349"/>
        <n v="0.0269"/>
        <n v="0.0285"/>
        <n v="0.0143"/>
        <n v="0.0238"/>
        <n v="0.0507"/>
        <n v="0.0222"/>
        <n v="0.0095"/>
        <n v="0.0206"/>
        <n v="0.0174"/>
        <n v="0.0317"/>
        <n v="0.0016"/>
        <n v="0.0032"/>
        <n v="0.0063"/>
        <n v="0.0079"/>
        <n v="0.0048"/>
        <n v="0.0127"/>
        <n v="0"/>
        <n v="0.0111"/>
        <n v="0.375"/>
        <n v="0.125"/>
        <m/>
      </sharedItems>
    </cacheField>
    <cacheField name="推荐报价（购买按钮）百分比" numFmtId="0">
      <sharedItems containsString="0" containsBlank="1" containsNumber="1" minValue="0" maxValue="1" count="78">
        <n v="1"/>
        <n v="0.9916"/>
        <n v="0.9988"/>
        <n v="0.9905"/>
        <n v="0.9926"/>
        <n v="0.994"/>
        <n v="0.9984"/>
        <n v="0.9964"/>
        <n v="0.9558"/>
        <n v="0.9885"/>
        <n v="0.9976"/>
        <n v="0.9968"/>
        <n v="0.9753"/>
        <n v="0.9649"/>
        <n v="0.9923"/>
        <n v="0.9929"/>
        <n v="0.9914"/>
        <n v="0.9621"/>
        <n v="0.9961"/>
        <n v="0.9651"/>
        <n v="0.9586"/>
        <n v="0.9955"/>
        <n v="0.9419"/>
        <n v="0.988"/>
        <n v="0.8889"/>
        <n v="0.9931"/>
        <n v="0.9806"/>
        <n v="0.9688"/>
        <n v="0.9886"/>
        <n v="0.9855"/>
        <n v="0.9333"/>
        <n v="0.9945"/>
        <n v="0.9863"/>
        <n v="0.9744"/>
        <n v="0.9535"/>
        <n v="0.9318"/>
        <n v="0.9828"/>
        <n v="0.9655"/>
        <n v="0.9766"/>
        <n v="0.9816"/>
        <n v="0.9783"/>
        <n v="0.92"/>
        <n v="0.9556"/>
        <n v="0.9"/>
        <n v="0.9211"/>
        <n v="0.9714"/>
        <n v="0.969"/>
        <n v="0.9167"/>
        <n v="0.9737"/>
        <n v="0.9496"/>
        <n v="0.962"/>
        <n v="0.9123"/>
        <n v="0.9896"/>
        <n v="0.9762"/>
        <n v="0.9836"/>
        <n v="0.94"/>
        <n v="0.95"/>
        <n v="0.9773"/>
        <n v="0.8667"/>
        <n v="0.875"/>
        <n v="0.8"/>
        <n v="0.9474"/>
        <n v="0.7273"/>
        <n v="0.9286"/>
        <n v="0.9643"/>
        <n v="0.9677"/>
        <n v="0.8182"/>
        <n v="0.9875"/>
        <n v="0.9189"/>
        <n v="0.9091"/>
        <n v="0.5833"/>
        <n v="0.989"/>
        <n v="0.9633"/>
        <n v="0.9833"/>
        <n v="0.9545"/>
        <n v="0.8824"/>
        <n v="0"/>
        <m/>
      </sharedItems>
    </cacheField>
    <cacheField name="推荐报价（购买按钮）百分比 – B2B" numFmtId="0">
      <sharedItems containsString="0" containsBlank="1" containsNumber="1" minValue="0" maxValue="1" count="11">
        <n v="1"/>
        <n v="0.9762"/>
        <n v="0.8824"/>
        <n v="0.8333"/>
        <n v="0.9333"/>
        <n v="0.9091"/>
        <n v="0"/>
        <n v="0.6667"/>
        <n v="0.75"/>
        <n v="0.5"/>
        <m/>
      </sharedItems>
    </cacheField>
    <cacheField name="已订购商品数量" numFmtId="0">
      <sharedItems containsString="0" containsBlank="1" containsNumber="1" containsInteger="1" minValue="0" maxValue="269" count="39">
        <n v="269"/>
        <n v="151"/>
        <n v="157"/>
        <n v="81"/>
        <n v="55"/>
        <n v="53"/>
        <n v="52"/>
        <n v="57"/>
        <n v="48"/>
        <n v="44"/>
        <n v="37"/>
        <n v="35"/>
        <n v="40"/>
        <n v="30"/>
        <n v="26"/>
        <n v="27"/>
        <n v="23"/>
        <n v="22"/>
        <n v="20"/>
        <n v="24"/>
        <n v="19"/>
        <n v="17"/>
        <n v="16"/>
        <n v="14"/>
        <n v="13"/>
        <n v="11"/>
        <n v="12"/>
        <n v="15"/>
        <n v="10"/>
        <n v="9"/>
        <n v="8"/>
        <n v="7"/>
        <n v="6"/>
        <n v="5"/>
        <n v="4"/>
        <n v="3"/>
        <n v="2"/>
        <n v="1"/>
        <m/>
      </sharedItems>
    </cacheField>
  </cacheFields>
</pivotCacheDefinition>
</file>

<file path=xl/pivotCache/pivotCacheDefinition18.xml><?xml version="1.0" encoding="utf-8"?>
<pivotCacheDefinition xmlns="http://schemas.openxmlformats.org/spreadsheetml/2006/main" xmlns:r="http://schemas.openxmlformats.org/officeDocument/2006/relationships" r:id="rId1" createdVersion="5" refreshedVersion="5" minRefreshableVersion="3" refreshedDate="45219.5877083333" refreshedBy="Administrator" recordCount="220">
  <cacheSource type="worksheet">
    <worksheetSource ref="B1:O1048576" sheet="3店0919-1018" r:id="rId2"/>
  </cacheSource>
  <cacheFields count="14">
    <cacheField name="（子）ASIN" numFmtId="0">
      <sharedItems containsBlank="1" count="207">
        <s v="B09V278J16"/>
        <s v="B09FP627KW"/>
        <s v="B096TKYS6R"/>
        <s v="B09MHS412L"/>
        <s v="B0BMFRH2YG"/>
        <s v="B09B1M73FL"/>
        <s v="B094FTXFCS"/>
        <s v="B0BRMX26NH"/>
        <s v="B0B8N6JY13"/>
        <s v="B09Y19ZRB9"/>
        <s v="B098T1675V"/>
        <s v="B0CF1TJQ3P"/>
        <s v="B096TMB4ZM"/>
        <s v="B094HRCLXF"/>
        <s v="B0BWYDK4SR"/>
        <s v="B09V27JQ4S"/>
        <s v="B0B7MS7DMW"/>
        <s v="B09MHRWLB5"/>
        <s v="B09FNYDGY5"/>
        <s v="B094FQS1FC"/>
        <s v="B09WZYBG5Y"/>
        <s v="B09V27L3BY"/>
        <s v="B093KZ59LY"/>
        <s v="B09V2H6GTC"/>
        <s v="B0BFVNJNYV"/>
        <s v="B09V289STH"/>
        <s v="B0B8NBWGMM"/>
        <s v="B096TKPWD7"/>
        <s v="B09CM5DD9F"/>
        <s v="B0BMFRQ616"/>
        <s v="B09V27VN42"/>
        <s v="B0BMFPDY3X"/>
        <s v="B09HGDHZQ1"/>
        <s v="B09B1N5SXM"/>
        <s v="B09FNT64S9"/>
        <s v="B09H2FVVKR"/>
        <s v="B0BWYBZ4DM"/>
        <s v="B0BFQY2HCW"/>
        <s v="B098T19BMD"/>
        <s v="B09Y1BSTNT"/>
        <s v="B0BVLH6LSR"/>
        <s v="B0B2QVCZ4W"/>
        <s v="B0B8N44FQ4"/>
        <s v="B093W782KT"/>
        <s v="B094FR2LXM"/>
        <s v="B09CM4S4MM"/>
        <s v="B0CF1RC4FF"/>
        <s v="B09FPBNRWX"/>
        <s v="B0BFVRPPHJ"/>
        <s v="B09HGMN29X"/>
        <s v="B0BRMWJXZR"/>
        <s v="B0CF1T4QXV"/>
        <s v="B094HQ8MSM"/>
        <s v="B09FKY9NB2"/>
        <s v="B09H29PZXG"/>
        <s v="B0BP6PXXBQ"/>
        <s v="B0BP6RST4R"/>
        <s v="B09FP3Y2WP"/>
        <s v="B0BMFPR37C"/>
        <s v="B0BRMWFB9L"/>
        <s v="B0C84VL5PH"/>
        <s v="B09MHRVV79"/>
        <s v="B0B7NK6JNL"/>
        <s v="B0B9XK7L5X"/>
        <s v="B0BFQZM17H"/>
        <s v="B0BWY9YYSH"/>
        <s v="B0C84X13TP"/>
        <s v="B094HQNRN7"/>
        <s v="B0B2QTY69B"/>
        <s v="B0B8N3VX4F"/>
        <s v="B0B8N8W6KW"/>
        <s v="B0BRMXH62X"/>
        <s v="B0C84VPJMX"/>
        <s v="B09B1MQZPN"/>
        <s v="B0BFR1HGZX"/>
        <s v="B0BRMX3QZ7"/>
        <s v="B0CF1PHY2H"/>
        <s v="B093KYKS43"/>
        <s v="B093W8PSZW"/>
        <s v="B09CPQ77F1"/>
        <s v="B09DFFRTPG"/>
        <s v="B09FKWZKZQ"/>
        <s v="B09Y185WLW"/>
        <s v="B0BMFPBCF9"/>
        <s v="B0BP6B6XFB"/>
        <s v="B09331SXMC"/>
        <s v="B093W9BDQM"/>
        <s v="B09DFRLP5Y"/>
        <s v="B09V2GXNWZ"/>
        <s v="B0B6V75VF1"/>
        <s v="B0B6V92FQD"/>
        <s v="B0CF1RXKWZ"/>
        <s v="B09V2GY7PT"/>
        <s v="B09Y1Q5PK6"/>
        <s v="B0BWYDSTQ7"/>
        <s v="B0C3CMYH84"/>
        <s v="B0CF1QV5PP"/>
        <s v="B093L2V62Y"/>
        <s v="B09CPPMYNK"/>
        <s v="B09HH4MC8R"/>
        <s v="B0B7MPP93H"/>
        <s v="B0B8NDYW95"/>
        <s v="B0BP6M7Z48"/>
        <s v="B0BP6MGMJS"/>
        <s v="B0BWY9XSLR"/>
        <s v="B0BWYBCRPY"/>
        <s v="B098T16TQT"/>
        <s v="B09CPPSVMQ"/>
        <s v="B09FKYBRXJ"/>
        <s v="B09FKZBMCJ"/>
        <s v="B09WZXRLPX"/>
        <s v="B09Y1B9G8T"/>
        <s v="B0B58731G6"/>
        <s v="B0B7MT3VYL"/>
        <s v="B0B8N43RJL"/>
        <s v="B0BP68VBJP"/>
        <s v="B0BP6GXWSC"/>
        <s v="B0CF1RH614"/>
        <s v="B09T2KMQY3"/>
        <s v="B0B589R1T4"/>
        <s v="B0B8N4P5GT"/>
        <s v="B0B8N96D3H"/>
        <s v="B0BFQZJXSG"/>
        <s v="B0BFR2JK9C"/>
        <s v="B0BP6GRTJJ"/>
        <s v="B0BP6LX8RH"/>
        <s v="B0BP6MC99V"/>
        <s v="B0CH9V5XYG"/>
        <s v="B09DP3W7BQ"/>
        <s v="B09FKX7J3C"/>
        <s v="B09FNSXT22"/>
        <s v="B09FPDDPNN"/>
        <s v="B09H29QXK4"/>
        <s v="B09WZYJWPY"/>
        <s v="B09WZZ1LM2"/>
        <s v="B09WZZM9VS"/>
        <s v="B09X331PFB"/>
        <s v="B0B6V94936"/>
        <s v="B0B7MMFS3J"/>
        <s v="B0B9XJN2XQ"/>
        <s v="B0B9XJNDBZ"/>
        <s v="B0BP6V1VTL"/>
        <s v="B0BWYBBC3K"/>
        <s v="B0CF1Q7BQF"/>
        <s v="B0CF1T979Y"/>
        <s v="B0B8N5DJY6"/>
        <s v="B0B8NBD1GB"/>
        <s v="B0B8NCT531"/>
        <s v="B0B9XJM8X7"/>
        <s v="B0B9XTKZTH"/>
        <s v="B0BFVG46SH"/>
        <s v="B0BFVR2BK9"/>
        <s v="B0BFWY4QJK"/>
        <s v="B0BP6DDHYQ"/>
        <s v="B0BP6KHKTY"/>
        <s v="B0BP6M89NF"/>
        <s v="B0BP6P5ZM2"/>
        <s v="B0C3CJHH5Z"/>
        <s v="B0C84W3155"/>
        <s v="B0C84W9MND"/>
        <s v="B0CF1NTH13"/>
        <s v="B0CF1QTDNF"/>
        <s v="B0B8NBX1LW"/>
        <s v="B0B92K7KPG"/>
        <s v="B0BFW7BCXR"/>
        <s v="B0BP6FSNJ4"/>
        <s v="B0BWYBY69F"/>
        <s v="B0BWYKGC6F"/>
        <s v="B0C3CKPXV1"/>
        <s v="B0C3CLR6GX"/>
        <s v="B0CF1RT8FV"/>
        <s v="B0CF1SC16L"/>
        <s v="B0CF1TR544"/>
        <s v="B0CH9VBDY9"/>
        <s v="B0CH9X3J1D"/>
        <s v="B09BFF27D1"/>
        <s v="B09T2LCZ9H"/>
        <s v="B0B8N47RS5"/>
        <s v="B0B8YVKG4S"/>
        <s v="B0B9278DLQ"/>
        <s v="B0B9MQ1DGF"/>
        <s v="B0B9N5S7RZ"/>
        <s v="B0B9XJW9J7"/>
        <s v="B0B9XMDH6L"/>
        <s v="B0B9XNCNHP"/>
        <s v="B0BWYC69B9"/>
        <s v="B0BYYZDLTR"/>
        <s v="B0C3CLLSR4"/>
        <s v="B0C3CMM291"/>
        <s v="B0C3CMNJLX"/>
        <s v="B0CF1MGFCV"/>
        <s v="B0CF1NTWBL"/>
        <s v="B0CF1Q1BCQ"/>
        <s v="B0CF1TRFC4"/>
        <s v="B0CH9TDSB2"/>
        <s v="B0CH9VTT4D"/>
        <s v="B0C5CPJ62G"/>
        <s v="B0C4NFGQYS"/>
        <s v="B0B9M8LQ18"/>
        <s v="B0C5CD5ZQM"/>
        <s v="B0B2P3JS91"/>
        <s v="B0C4NJLDST"/>
        <s v="B0C4NKKZP2"/>
        <s v="B0C5CCV144"/>
        <s v="B0C5CFPRRN"/>
        <s v="B0C5CJ7SRR"/>
        <m/>
      </sharedItems>
    </cacheField>
    <cacheField name="商品名称" numFmtId="0">
      <sharedItems containsBlank="1" count="203">
        <s v="Compatible with Samsung Galaxy A03s Case, with Belt Clip Holster Heavy Duty Rugged Shockproof Full Body Protection Kickstand Cover for Samsung Galaxy A03s Phone (Black)"/>
        <s v="Compatible with iPhone 13 6.1 inch Case,with Screen Protectors,Heavy Duty Rugged Shockproof Full Body Protection Kickstand Case with Belt Clip Holster for iPhone 13 Phone (Black)"/>
        <s v="Compatible with Samsung Galaxy A42 5G Case,with Screen Protectors,Heavy Duty Rugged Shockproof Full Body Protection Kickstand Case with Belt Clip Holster for Samsung Galaxy A42 5G (Black)"/>
        <s v="Compatible with Motorola G Pure/Moto G Power 2022 Case, Heavy Duty Rugged Shockproof Full Body Protection Kickstand Case with Belt Clip Holster for Motorola G Pure 6.5 inch Phone (Black)"/>
        <s v="TMIDVFV Compatible with Samsung Galaxy A14 5G Case, with Belt Clip Holster Heavy Duty Rugged Shockproof Full Body Protection Kickstand Phone case for Samsung Galaxy A14 5G (Black)"/>
        <s v="Compatible with Moto G Stylus 5G 2021 Case,with Screen Protectors,Heavy Duty Rugged Shockproof Full Body Protection Kickstand Case with Belt Clip Holster for Moto G Stylus 5G 2021 (Black)"/>
        <s v="TENCO Compatible with Samsung Galaxy A32 5G Case,with Screen Protectors,Heavy Duty Rugged Shockproof Full Body Protection Kickstand Case Belt Clip Holster for 5G(Black), SM-A326B, SM-A326BDS"/>
        <s v="TMIDVFV Rugged Phone Case for Moto G Play (2023) Case/Moto G Power (2022), with Belt Clip Holster &amp; Kickstand Heavy Duty Shockproof Protective Full Body Case Cover for Moto G Play (2023) (Black)"/>
        <s v="Niubity Rugged Phone Case for Apple iPhone 14, with Belt Clip Holster &amp; Kickstand Heavy Duty Shockproof Protective Full Body Case Cover for iPhone 14 6.1 inch Phone(Black)"/>
        <s v="Compatible with Samsung Galaxy A13 5G Case(NOT for A13 4G), with Belt Clip Holster Heavy Duty Rugged Shockproof Full Body Protection Kickstand Phone case for Samsung Galaxy A13 5G (Black)"/>
        <s v="Compatible with Samsung Galaxy A02s Case,with Screen Protectors,Heavy Duty Rugged Shockproof Full Body Protection Kickstand Case with Belt Clip Holster for Samsung Galaxy A02s (Black)"/>
        <s v="TMIDVFV Compatible with iPhone 15 Pro Max Case, with Belt Clip Holster Heavy Duty Rugged Shockproof Full Body Protection Kickstand Cover for iPhone 15 Pro Max 6.7 inch Phone(Black)"/>
        <s v="Compatible with Samsung Galaxy A42 5G Case,with Screen Protectors,Heavy Duty Rugged Shockproof Full Body Protection Kickstand Case with Belt Clip Holster for Samsung Galaxy A42 5G (Blue)"/>
        <s v="TENCO Compatible with Samsung Galaxy A52 5G Case,with Screen Protectors,Heavy Duty Rugged Shockproof Full Body Protection Kickstand Case with Belt Clip Holster for Samsung Galaxy A52 5G(Black)"/>
        <s v="TMIDVFV Compatible with Samsung Galaxy A54 5G Case, with Belt Clip Holster Heavy Duty Rugged Shockproof Full Body Protection Kickstand Phone case for Samsung Galaxy A54 5G (Black)"/>
        <s v="Compatible with Samsung Galaxy A03s Case, with Belt Clip Holster Heavy Duty Rugged Shockproof Full Body Protection Kickstand Cover for Samsung Galaxy A03s Phone (Blue)"/>
        <s v="Compatible with Google Pixel 6a Case, with Belt Clip Holster Heavy Duty Rugged Shockproof Full Body Protection Kickstand Phone case for Google Pixel 6a (Black)"/>
        <s v="Compatible with Motorola G Pure/Moto G Power 2022 Case, Heavy Duty Rugged Shockproof Full Body Protection Kickstand Case with Belt Clip Holster for Motorola G Pure 6.5 inch Phone (Blue)"/>
        <s v="Compatible with iPhone 13 6.1 inch Case,with Screen Protectors,Heavy Duty Rugged Shockproof Full Body Protection Kickstand Case with Belt Clip Holster for iPhone 13 Phone (Blue)"/>
        <s v="TENCO Compatible with Samsung Galaxy A32 5G Case,with Screen Protectors,Heavy Duty Rugged Shockproof Full Body Protection Kickstand Case Belt Clip Holster for 5G(Blue) SM-A326B, SM-A326B/DS"/>
        <s v="Compatible with Samsung Galaxy A53 5G Case, with Belt Clip Holster Heavy Duty Rugged Shockproof Full Body Protection Kickstand Phone case for Samsung Galaxy A53 5G (Black)"/>
        <s v="Compatible with Samsung Galaxy A03s Case, with Belt Clip Holster Heavy Duty Rugged Shockproof Full Body Protection Kickstand Cover for Samsung Galaxy A03s Phone (Teal+Light Blue)"/>
        <s v="TENCO Compatible with Moto G Play 2021 Case with Screen Protectors Heavy Duty Rugged Shockproof Full Body Protection Kickstand Case with Belt Clip Holster Black Motorola Moto G Play 2021 6.5in"/>
        <s v="Compatible with Moto G Stylus (2022) 4G Case(NOT for 5G), Heavy Duty Rugged Shockproof Full Body Protection Kickstand Case with Belt Clip Holster for Moto G Stylus (2022) 4G Phone (Black)"/>
        <s v="Compatible with Motorola Edge (2022) Case, with Belt Clip Holster Heavy Duty Rugged Shockproof Full Body Protection Kickstand Phone case for Motorola Edge (2022) (Black)"/>
        <s v="Compatible with Samsung Galaxy A03s Case, with Belt Clip Holster Heavy Duty Rugged Shockproof Full Body Protection Kickstand Cover for Samsung Galaxy A03s Phone (Dark Grey+Green)"/>
        <s v="Niubity Rugged Phone Case for Apple iPhone 14 Plus, with Belt Clip Holster &amp; Kickstand Heavy Duty Shockproof Protective Full Body Case Cover for iPhone 14 Plus 6.7 inch Phone (Black)"/>
        <s v="Compatible with Samsung Galaxy A42 5G Case,with Screen Protectors,Heavy Duty Rugged Shockproof Full Body Protection Kickstand Case with Belt Clip Holster for Samsung Galaxy A42 5G (Orange)"/>
        <s v="Compatible with Samsung Galaxy A42 5G Case,with Screen Protectors,Heavy Duty Rugged Shockproof Full Body Protection Kickstand Case with Belt Clip Holster for Samsung Galaxy A42 5G (Dark Grey+Green)"/>
        <s v="TMIDVFV Compatible with Samsung Galaxy A14 5G Case, with Belt Clip Holster Heavy Duty Rugged Shockproof Full Body Protection Kickstand Phone case for Samsung Galaxy A14 5G (Blue)"/>
        <s v="Compatible with Samsung Galaxy A03s Case, with Belt Clip Holster Heavy Duty Rugged Shockproof Full Body Protection Kickstand Cover for Samsung Galaxy A03s Phone (Orange)"/>
        <s v="TMIDVFV Compatible with Samsung Galaxy A14 5G Case, with Belt Clip Holster Heavy Duty Rugged Shockproof Full Body Protection Kickstand Phone case for Samsung Galaxy A14 5G (Orange)"/>
        <s v="Compatible with Motorola Edge 2021/Edge 5G UW 2021 Case,Heavy Duty Rugged Shockproof Full Body Protection Kickstand Case with Belt Clip Holster for Motorola Edge 2021 Phone (Black)"/>
        <s v="Compatible with Moto G Stylus 5G 2021 Case,with Screen Protectors,Heavy Duty Rugged Shockproof Full Body Protection Kickstand Case with Belt Clip Holster for Moto G Stylus 5G 2021 (Blue)"/>
        <s v="Compatible with iPhone 13 6.1 inch Case,with Screen Protectors,Heavy Duty Rugged Shockproof Full Body Protection Kickstand Case with Belt Clip Holster for iPhone 13 Phone (Dark Grey+Green)"/>
        <s v="Compatible with Motorola One 5G Ace Case,with Screen Protectors,Heavy Duty Rugged Shockproof Full Body Protection Kickstand Case with Belt Clip Holster for Motorola One 5G Ace 6.7 inch Phone (Black)"/>
        <s v="TMIDVFV Compatible with Google Pixel 7A Case, with Belt Clip Holster Heavy Duty Rugged Shockproof Full Body Protection Kickstand Phone case for Google Pixel 7A 5G (Black)"/>
        <s v="Rugged Phone Case for Samsung Galaxy A23 5G|4G, with Belt Clip Holster &amp; Kickstand Heavy Duty Shockproof Protective Full Body Case Cover for Samsung Galaxy A23 5G 6.6 inch Phone (Black)"/>
        <s v="Compatible with Samsung Galaxy A02s Case,with Screen Protectors,Heavy Duty Rugged Shockproof Full Body Protection Kickstand Case with Belt Clip Holster for Samsung Galaxy A02s (Blue)"/>
        <s v="Compatible with Samsung Galaxy A13 5G Case(NOT for A13 4G), with Belt Clip Holster Heavy Duty Rugged Shockproof Full Body Protection Kickstand Phone case for Samsung Galaxy A13 5G (Blue)"/>
        <s v="TENCO Compatible with Samsung Galaxy A42 5G Case,with Screen Protectors,Heavy Duty Rugged Shockproof Full Body Protection Kickstand Case with Belt Clip Holster for Samsung Galaxy A42 5G (Black 2)"/>
        <s v="Compatible with Motorola G Pure/Moto G Power 2022 Case, Heavy Duty Rugged Shockproof Full Body Protection Kickstand Case with Belt Clip Holster for Motorola G Pure 6.5 inch Phone (Black+Yellow)"/>
        <s v="Niubity for Samsung Galaxy Z Fold 4 Case, Ultra Thin Slim Shockproof Protective Anti-Scratch Cover with Built-in Screen Protector Matte Hard PC Phone Case for Samsung Z Fold 4 5G 2022 (Black)"/>
        <s v="TENCO Compatible with Moto G Stylus (2021) Case,NOT Fit Moto G Stylus 5G,with Screen Protector,Heavy Duty Rugged Shockproof Kickstand Case with Belt Clip Holster for Moto G Stylus (Black)"/>
        <s v="TENCO Compatible Samsung Galaxy A32 5G Case,with Screen Protectors, Shockproof Full Body Protection Kickstand Case Belt Clip Holster Samsung Galaxy A32 5G(Orange), (SM-A326B, SM-A326BDS)"/>
        <s v="Compatible with Samsung Galaxy A42 5G Case,with Screen Protectors,Heavy Duty Rugged Shockproof Full Body Protection Kickstand Case with Belt Clip Holster for Samsung Galaxy A42 5G (Teal+Light Blue)"/>
        <s v="TMIDVFV Compatible with iPhone 15 Case, with Belt Clip Holster Heavy Duty Rugged Shockproof Full Body Protection Kickstand Cover for iPhone 15 6.1 inch Phone (Black)"/>
        <s v="Compatible with iPhone 13 6.1 inch Case,with Screen Protectors,Heavy Duty Rugged Shockproof Full Body Protection Kickstand Case with Belt Clip Holster for iPhone 13 Phone (Teal+Light Blue)"/>
        <s v="Compatible with Motorola Edge (2022) Case, with Belt Clip Holster Heavy Duty Rugged Shockproof Full Body Protection Kickstand Phone case for Motorola Edge (2022) (Blue)"/>
        <s v="Compatible with Motorola Edge 2021/Edge 5G UW 2021 Case, Heavy Duty Rugged Shockproof Full Body Protection Kickstand Case with Belt Clip Holster for Motorola Edge 2021 Phone (Blue)"/>
        <s v="TMIDVFV Rugged Phone Case for Moto G Play (2023) Case/Moto G Power (2022), with Belt Clip Holster &amp; Kickstand Heavy Duty Shockproof Protective Full Body Case Cover for Moto G Play (2023) (Grey+Black)"/>
        <s v="TMIDVFV Compatible with iPhone 15 Pro Max Case, with Belt Clip Holster Heavy Duty Rugged Shockproof Full Body Protection Kickstand Cover for iPhone 15 Pro Max 6.7 inch Phone(Black+Grey)"/>
        <s v="TENCO Compatible with Samsung Galaxy A52 5G Case,with Screen Protectors,Heavy Duty Rugged Shockproof Full Body Protection Kickstand Case with Belt Clip Holster for Samsung Galaxy A52 5G (Blue)"/>
        <s v="Compatible with iPhone 13 Pro Max 6.7 inch Case,with Screen Protectors,Heavy Duty Rugged Shockproof Full Body Protection Kickstand Case with Belt Clip Holster for iPhone 13 Pro Max (Black)"/>
        <s v="Compatible with Motorola One 5G Ace Case, Heavy Duty Rugged Shockproof Full Body Protection Kickstand Case with Belt Clip Holster for Motorola One 5G Ace 6.7 inch Phone (Blue)"/>
        <s v="TMIDVFV Rugged Phone Case for Samsung Galaxy S23+ Plus 5G, with Belt Clip Holster &amp; Kickstand Heavy Duty Shockproof Protective Full Body Case Cover for Samsung S23 Plus 6.6 inch Phone (Black)"/>
        <s v="TMIDVFV Rugged Phone Case for Samsung Galaxy S23 Ultra 5G, with Belt Clip Holster &amp; Kickstand Heavy Duty Shockproof Protective Full Body Case Cover for Samsung Galaxy S23 Ultra 5G Phone (Black)"/>
        <s v="Compatible with iPhone 13 6.1 inch Case,with Screen Protectors,Heavy Duty Rugged Shockproof Full Body Protection Kickstand Case with Belt Clip Holster for iPhone 13 Phone (Orange)"/>
        <s v="TMIDVFV Compatible with Samsung Galaxy A14 5G Case, with Belt Clip Holster Heavy Duty Rugged Shockproof Full Body Protection Kickstand Phone case for Samsung Galaxy A14 5G (Black+Yellow)"/>
        <s v="TMIDVFV Rugged Phone Case for Moto G Play (2023) Case/Moto G Power (2022), with Belt Clip Holster &amp; Kickstand Heavy Duty Shockproof Protective Full Body Case Cover for Moto G Play (2023) (Orange)"/>
        <s v="TMIDVFV Compatible with Moto G Stylus 5G 2023 Case, with Belt Clip Holster Heavy Duty Rugged Shockproof Full Body Protection Kickstand Cover for Moto G Stylus 5G 2023 Phone (Orange)"/>
        <s v="Compatible with Motorola G Pure/Moto G Power 2022 Case, Heavy Duty Rugged Shockproof Full Body Protection Kickstand Case with Belt Clip Holster for Motorola G Pure 6.5 inch Phone (Orange)"/>
        <s v="Compatible with Google Pixel 6a Case, with Belt Clip Holster Heavy Duty Rugged Shockproof Full Body Protection Kickstand Phone case for Google Pixel 6a (Blue)"/>
        <s v="Compatible with Google Pixel 7 Case, with Belt Clip Holster Heavy Duty Rugged Shockproof Full Body Protection Kickstand Phone case for Google Pixel 7 6.3-inch 2022 (Black)"/>
        <s v="Rugged Phone Case for Samsung Galaxy A23 5G|4G, with Belt Clip Holster &amp; Kickstand Heavy Duty Shockproof Protective Full Body Case Cover for Samsung Galaxy A23 5G 6.6 inch Phone (Orange)"/>
        <s v="TMIDVFV Compatible with Google Pixel 7A Case, with Belt Clip Holster Heavy Duty Rugged Shockproof Full Body Protection Kickstand Phone case for Google Pixel 7A 5G (Blue)"/>
        <s v="TMIDVFV Compatible with Moto G Stylus 5G 2023 Case, with Belt Clip Holster Heavy Duty Rugged Shockproof Full Body Protection Kickstand Cover for Moto G Stylus 5G 2023 Phone (Black)"/>
        <s v="TENCO Compatible with Samsung Galaxy A52 5G Case,with Screen Protectors,Heavy Duty Rugged Shockproof Full Body Protection Kickstand Case with Belt Clip Holster for Samsung Galaxy A52 5G (Orange)"/>
        <s v="Compatible with Motorola G Pure/Moto G Power 2022 Case, Heavy Duty Rugged Shockproof Full Body Protection Kickstand Case with Belt Clip Holster for Motorola G Pure 6.5 inch Phone(Green+Black)"/>
        <s v="Niubity Rugged Phone Case for Apple iPhone 14, with Belt Clip Holster &amp; Kickstand Heavy Duty Shockproof Protective Full Body Case Cover for iPhone 14 6.1 inch Phone (Blue)"/>
        <s v="Compatible with iPhone 14 Pro Case, with Belt Clip Holster Heavy Duty Rugged Shockproof Full Body Protection Kickstand Cover for iPhone 14 Pro 6.1 inch Phone (Black)"/>
        <s v="TMIDVFV Rugged Phone Case for Moto G Play (2023) Case/Moto G Power (2022), with Belt Clip Holster &amp; Kickstand Heavy Duty Shockproof Protective Full Body Case Cover for Moto G Play (2023) (Blue)"/>
        <s v="TMIDVFV Compatible with Moto G Stylus 5G 2023 Case, with Belt Clip Holster Heavy Duty Rugged Shockproof Full Body Protection Kickstand Cover for Moto G Stylus 5G 2023 Phone (Blue)"/>
        <s v="Compatible with Moto G Stylus 5G 2021 Case,with Screen Protectors,Heavy Duty Rugged Shockproof Full Body Protection Kickstand Case with Belt Clip Holster for Moto G Stylus 5G 2021 (Orange)"/>
        <s v="Rugged Phone Case for Samsung Galaxy A23 5G|4G, with Belt Clip Holster &amp; Kickstand Heavy Duty Shockproof Protective Full Body Case Cover for Samsung Galaxy A23 5G 6.6 inch Phone (Blue)"/>
        <s v="TMIDVFV Rugged Phone Case for Moto G Play (2023) Case/Moto G Power (2022), with Belt Clip Holster &amp; Kickstand Heavy Duty Shockproof Protective Full Body Case Cover for Moto G Play (2023) (Light Blue)"/>
        <s v="TMIDVFV Compatible with iPhone 15 Pro Max Case, with Belt Clip Holster Heavy Duty Rugged Shockproof Full Body Protection Kickstand Cover for iPhone 15 Pro Max 6.7 inch Phone (Blue)"/>
        <s v="TENCO Compatible with Moto G Play 2021 Case,with Screen Protectors,Heavy Duty Rugged Shockproof Full Body Protection Kickstand Case with Belt Clip Holster for Moto G Play 2021, Blue"/>
        <s v="TENCO Compatible with Moto G Stylus (2021) Case,NOT Fit Moto G Stylus 5G,with Screen Protector,Heavy Duty Rugged Shockproof Kickstand Case with Belt Clip Holster for Moto G Stylus (2021)"/>
        <s v="Compatible with Moto G Power (2021) Case,with Screen Protectors,Heavy Duty Rugged Shockproof Full Body Protection Kickstand Case with Belt Clip Holster for Moto G Power (2021) (Blue)"/>
        <s v="Compatible with Samsung Galaxy A02s Case,with Screen Protectors,Heavy Duty Rugged Shockproof Full Body Protection Kickstand Case with Belt Clip Holster for Samsung Galaxy A02s (Dark Grey+Green)"/>
        <s v="Compatible with iPhone 13 Pro Max 6.7 inch Case,with Screen Protectors,Heavy Duty Rugged Shockproof Full Body Protection Kickstand Case with Belt Clip Holster for iPhone 13 Pro Max (Blue)"/>
        <s v="Compatible with Samsung Galaxy A13 5G Case(NOT for A13 4G), with Belt Clip Holster Heavy Duty Rugged Shockproof Full Body Protection Kickstand Phone case for Samsung Galaxy A13 5G (Orange)"/>
        <s v="TMIDVFV Compatible with Samsung Galaxy A14 5G Case, with Belt Clip Holster Heavy Duty Rugged Shockproof Full Body Protection Kickstand Phone case for Samsung Galaxy A14 5G (Green+Black)"/>
        <s v="TMIDVFV Compatible with Samsung Galaxy S23+ Plus 5G Case, with Belt Clip Holster Heavy Duty Rugged Shockproof Full Body Protection Kickstand Cover for Samsung Galaxy S23+ Plus Phone (Blue)"/>
        <s v="TENCO Compatible with Samsung Galaxy A12 5G Case,with Screen Protectors,Heavy Duty Rugged Shockproof Full Body Protection Kickstand Case with Belt Clip Holster for Samsung Galaxy A12 5G, Orange"/>
        <s v="TENCO Compatible with Moto G Stylus (2021) Case,NOT Fit 5G,with Screen Protector,Heavy Duty Rugged Shockproof Kickstand Case Belt Clip Holster for (2021), Orange, XT2115"/>
        <s v="Compatible with Samsung Galaxy A02s Case,with Screen Protectors,Heavy Duty Rugged Shockproof Full Body Protection Kickstand Case with Belt Clip Holster for Samsung Galaxy A02s (Teal+Light Blue)"/>
        <s v="Compatible with Moto G Stylus (2022) 4G Case(NOT for 5G), Heavy Duty Rugged Shockproof Full Body Protection Kickstand Case with Belt Clip Holster for Moto G Stylus (2022) 4G Phone (Blue)"/>
        <s v="Compatible with Motorola Edge 2021 Case,Heavy Duty Rugged Shockproof Full Body Protection Kickstand Case with Belt Clip Holster for Motorola Edge 2021 6.8 inch Phone (Green+Black)"/>
        <s v="Compatible with Motorola Edge 2021 Case,Heavy Duty Rugged Shockproof Full Body Protection Kickstand Case with Belt Clip Holster for Motorola Edge 2021 6.8 inch Phone (Black+Yellow)"/>
        <s v="TMIDVFV Compatible with iPhone 15 Plus Case, with Belt Clip Holster Heavy Duty Rugged Shockproof Full Body Protection Kickstand Cover for iPhone 15 Plus 6.7 inch Phone (Black)"/>
        <s v="Compatible with Moto G Stylus (2022) 4G Case(NOT for 5G), Heavy Duty Rugged Shockproof Full Body Protection Kickstand Case with Belt Clip Holster for Moto G Stylus (2022) 4G Phone (Orange)"/>
        <s v="Compatible with Samsung Galaxy A13 5G Case(NOT for A13 4G), with Belt Clip Holster Heavy Duty Rugged Shockproof Full Body Protection Kickstand Phone case for Samsung Galaxy A13 5G (Dark Grey+Green)"/>
        <s v="TMIDVFV Compatible with Samsung Galaxy A54 5G Case, with Belt Clip Holster Heavy Duty Rugged Shockproof Full Body Protection Kickstand Phone case for Samsung Galaxy A54 5G (Black+Grey)"/>
        <s v="TMIDVFV Rugged Phone Case for Moto G Power 5G 2023, with Belt Clip Holster &amp; Kickstand Heavy Duty Shockproof Protective Full Body Case Cover for Moto G Power 2023 5G Phone (Black)"/>
        <s v="TMIDVFV Compatible with iPhone 15 Pro Max Case, with Belt Clip Holster Heavy Duty Rugged Shockproof Full Body Protection Kickstand Cover for iPhone 15 Pro Max 6.7 inch Phone(Black+Green)"/>
        <s v="TENCO Compatible with Moto G Play 2021 Case with Screen Protectors Heavy Duty Rugged Shockproof Full Body Protection Kickstand Case with Belt Clip Holster Motorola Moto G Play 2021 6 5"/>
        <s v="Compatible with Moto G Power (2021) Case,with Screen Protectors,Heavy Duty Rugged Shockproof Full Body Protection Kickstand Case with Belt Clip Holster for Moto G Power (2021) (Black)"/>
        <s v="Compatible with Motorola Edge 2021/Edge 5G UW 2021 Case, Heavy Duty Rugged Shockproof Full Body Protection Kickstand Case with Belt Clip Holster for Motorola Edge 2021 Phone (Orange)"/>
        <s v="Compatible with Google Pixel 6a Case, with Belt Clip Holster Heavy Duty Rugged Shockproof Full Body Protection Kickstand Phone case for Google Pixel 6a (Green+Black)"/>
        <s v="Niubity Rugged Phone Case for Apple iPhone 14 Pro Max, with Belt Clip Holster &amp; Kickstand Heavy Duty Shockproof Protective Full Body Case Cover for iPhone 14 Pro Max 6.7 inch Phone (Black)"/>
        <s v="TMIDVFV Rugged Phone Case for Samsung Galaxy S23 Ultra 5G, with Belt Clip Holster &amp; Kickstand Heavy Duty Shockproof Protective Full Body Case Cover for Samsung Galaxy S23 Ultra 5G Phone (Black+Grey)"/>
        <s v="TMIDVFV Rugged Phone Case for Samsung Galaxy S23 Ultra 5G, with Belt Clip Holster &amp; Kickstand Heavy Duty Shockproof Protective Full Body Case Cover for Samsung Galaxy S23 Ultra 5G Phone (Blue)"/>
        <s v="TMIDVFV Compatible with Google Pixel 7A Case, with Belt Clip Holster Heavy Duty Rugged Shockproof Full Body Protection Kickstand Phone case for Google Pixel 7A 5G (Grey+Blue)"/>
        <s v="TMIDVFV Compatible with Samsung Galaxy A54 5G Case, with Belt Clip Holster Heavy Duty Rugged Shockproof Full Body Protection Kickstand Phone case for Samsung Galaxy A54 5G (Blue)"/>
        <s v="Compatible with Samsung Galaxy A02s Case,with Screen Protectors,Heavy Duty Rugged Shockproof Full Body Protection Kickstand Case with Belt Clip Holster for Samsung Galaxy A02s (Orange)"/>
        <s v="Compatible with Moto G Power (2021) Case,with Screen Protectors,Heavy Duty Rugged Shockproof Full Body Protection Kickstand Case with Belt Clip Holster for Moto G Power (2021) (Orange)"/>
        <s v="NIUBITY Compatible with iPhone 13 Pro Max 6.7 inch Case,with Screen Protectors,Heavy Duty Rugged Shockproof Full Body Protection Kickstand Case with Belt Clip Holster for iPhone 13 Pro Max (Orange)"/>
        <s v="Compatible with iPhone 13 Pro Max 6.7 inch Case,with Screen Protectors,Heavy Duty Rugged Shockproof Full Body Protection Kickstand Case with Belt Clip Holster for iPhone 13 Pro Max (Dark Grey+Green)"/>
        <s v="Compatible with Samsung Galaxy A53 5G Case, with Belt Clip Holster Heavy Duty Rugged Shockproof Full Body Protection Kickstand Phone case for Samsung Galaxy A53 5G (Dark Grey+Light Blue)"/>
        <s v="Compatible with Samsung Galaxy A13 5G Case(NOT for A13 4G), with Belt Clip Holster Heavy Duty Rugged Shockproof Full Body Protection Kickstand Phone case for Samsung Galaxy A13 5G (Teal+Light Blue)"/>
        <s v="Compatible with Moto G Stylus (2022) 4G Case(NOT for 5G), Heavy Duty Rugged Shockproof Full Body Protection Kickstand Case with Belt Clip Holster for Moto G Stylus (2022) 4G Phone (Black+Yellow)"/>
        <s v="Compatible with Google Pixel 6a Case, with Belt Clip Holster Heavy Duty Rugged Shockproof Full Body Protection Kickstand Phone case for Google Pixel 6a (Orange)"/>
        <s v="Niubity Rugged Phone Case for Apple iPhone 14, with Belt Clip Holster &amp; Kickstand Heavy Duty Shockproof Protective Full Body Case Cover for iPhone 14 6.1 inch Phone (Orange)"/>
        <s v="TMIDVFV Rugged Phone Case for Samsung Galaxy S23 5G, with Belt Clip Holster &amp; Kickstand Heavy Duty Shockproof Protective Full Body Case Cover for Samsung S23 6.1 inch Phone (Black)"/>
        <s v="TMIDVFV Rugged Phone Case for Samsung Galaxy S23 Ultra 5G, with Belt Clip Holster &amp; Kickstand Heavy Duty Shockproof Protective Full Body Case Cover for Samsung Galaxy S23 Ultra 5G Phone (Purple)"/>
        <s v="TMIDVFV Compatible with iPhone 15 Case, with Belt Clip Holster Heavy Duty Rugged Shockproof Full Body Protection Kickstand Cover for iPhone 15 6.1 inch Phone (Blue)"/>
        <s v="Compatible with Samsung Galaxy S22+ Plus 5G Case, Heavy Duty Rugged Shockproof Full Body Protection Kickstand Case with Belt Clip Holster for Samsung Galaxy S22+ Plus 5G Phone (Orange)"/>
        <s v="Compatible with Moto G Stylus (2022) 4G Case(NOT for 5G), Heavy Duty Rugged Shockproof Full Body Protection Kickstand Case with Belt Clip Holster for Moto G Stylus (2022) 4G Phone (Green+Black)"/>
        <s v="Niubity Rugged Phone Case for Apple iPhone 14, with Belt Clip Holster &amp; Kickstand Heavy Duty Shockproof Protective Full Body Case Cover for iPhone 14 6.1 inch Phone (Dark Grey+Green)"/>
        <s v="Niubity Rugged Phone Case for Apple iPhone 14 Plus, with Belt Clip Holster &amp; Kickstand Heavy Duty Shockproof Protective Full Body Case Cover for iPhone 14 Plus 6.7 inch Phone (Blue)"/>
        <s v="Rugged Phone Case for Samsung Galaxy A23 5G|4G, with Belt Clip Holster &amp; Kickstand Heavy Duty Shockproof Protective Full Body Case Cover for Samsung Galaxy A23 5G 6.6 inch Phone (Black+Yellow)"/>
        <s v="Rugged Phone Case for Samsung Galaxy A23 5G|4G, with Belt Clip Holster &amp; Kickstand Heavy Duty Shockproof Protective Full Body Case Cover for Samsung Galaxy A23 5G 6.6 inch Phone (Green+Black)"/>
        <s v="TMIDVFV Rugged Phone Case for Samsung Galaxy S23 5G, with Belt Clip Holster &amp; Kickstand Heavy Duty Shockproof Protective Full Body Case Cover for Samsung S23 6.1 inch Phone (Black+Grey)"/>
        <s v="TMIDVFV Rugged Phone Case for Samsung Galaxy S23 Ultra 5G, with Belt Clip Holster &amp; Kickstand Heavy Duty Shockproof Protective Full Body Case Cover for Samsung Galaxy S23 Ultra 5G Phone (Grey+Blue)"/>
        <s v="TMIDVFV Rugged Phone Case for Samsung Galaxy S23 5G, with Belt Clip Holster &amp; Kickstand Heavy Duty Shockproof Protective Full Body Case Cover for Samsung S23 6.1 inch Phone (Blue)"/>
        <s v="Compatible with Google Pixel 8 Pro Case, with Belt Clip Holster Heavy Duty Rugged Shockproof Full Body Protection Kickstand Phone case for Google Pixel 8 Pro 6.7-inch 2023 (Google Pixel 8 Pro, Black)"/>
        <s v="Compatible with Moto G Stylus 5G 2021 Case,with Screen Protectors,Heavy Duty Rugged Shockproof Full Body Protection Kickstand Case with Belt Clip Holster for Moto G Stylus 5G 2021 (Grey+Light Blue)"/>
        <s v="Compatible with iPhone 13 Pro Max 6.7 inch Case ,with Screen Protectors,Heavy Duty Rugged Shockproof Full Body Protection Kickstand Case with Belt Clip Holster for iPhone 13 Pro Max (Teal+Light Blue)"/>
        <s v="Compatible with iPhone 13 Pro 6.1 inch Case,with Screen Protectors,Heavy Duty Rugged Shockproof Full Body Protection Kickstand Case with Belt Clip Holster for iPhone 13 Pro Phone (Orange)"/>
        <s v="Compatible with iPhone 13 Pro 6.1 inch Case,with Screen Protectors,Heavy Duty Rugged Shockproof Full Body Protection Kickstand Case with Belt Clip Holster for iPhone 13 Pro Phone (Blue)"/>
        <s v="Compatible with Motorola One 5G Ace Case,with Screen Protectors,Heavy Duty Rugged Shockproof Full Body Protection Kickstand Case with Belt Clip Holster for Motorola One 5G Ace 6.7 inch Phone (Orange)"/>
        <s v="Compatible with Samsung Galaxy A53 5G Case, with Belt Clip Holster Heavy Duty Rugged Shockproof Full Body Protection Kickstand Phone case for Samsung Galaxy A53 5G (Blue)"/>
        <s v="Compatible with Samsung Galaxy A53 5G Case, with Belt Clip Holster Heavy Duty Rugged Shockproof Full Body Protection Kickstand Phone case for Samsung Galaxy A53 5G (Teal+Light Blue)"/>
        <s v="Compatible with Samsung Galaxy A53 5G Case, with Belt Clip Holster Heavy Duty Rugged Shockproof Full Body Protection Kickstand Phone case for Samsung Galaxy A53 5G (Orange)"/>
        <s v="Compatible with Moto G Stylus 5G 2021 Case,with Screen Protectors,Heavy Duty Rugged Shockproof Full Body Protection Kickstand Case with Belt Clip Holster for Moto G Stylus 5G 2021 (Green+Light Blue)"/>
        <s v="Compatible with Moto G Stylus 5G (2022) Case(NOT for 4G), with Belt Clip Holster Heavy Duty Rugged Shockproof Full Body Protection Kickstand Phone case for Moto G Stylus 5G (2022) (Green+Black)"/>
        <s v="Compatible with Google Pixel 6a Case, with Belt Clip Holster Heavy Duty Rugged Shockproof Full Body Protection Kickstand Phone case for Google Pixel 6a (Black+Yellow)"/>
        <s v="Compatible with Google Pixel 7 Case, with Belt Clip Holster Heavy Duty Rugged Shockproof Full Body Protection Kickstand Phone case for Google Pixel 7 6.3-inch 2022 (Orange)"/>
        <s v="Compatible with Google Pixel 7 Pro Case, with Belt Clip Holster Heavy Duty Rugged Shockproof Full Body Protection Kickstand Phone case for Google Pixel 7 Pro 6.7-inch 2022 (Green+Black)"/>
        <s v="TMIDVFV Rugged Phone Case for Samsung Galaxy S23 Ultra 5G, with Belt Clip Holster &amp; Kickstand Heavy Duty Shockproof Protective Full Body Case Cover for Samsung Galaxy S23 Ultra 5G Phone (Teal+Black)"/>
        <s v="TMIDVFV Compatible with Samsung Galaxy A54 5G Case, with Belt Clip Holster Heavy Duty Rugged Shockproof Full Body Protection Kickstand Phone case for Samsung Galaxy A54 5G (Grey+Blue)"/>
        <s v="TMIDVFV Compatible with iPhone 15 Pro Case, with Belt Clip Holster Heavy Duty Rugged Shockproof Full Body Protection Kickstand Cover for iPhone 15 Pro 6.1 inch Phone (Black)"/>
        <s v="TMIDVFV Compatible with iPhone 15 Pro Max Case, with Belt Clip Holster Heavy Duty Rugged Shockproof Full Body Protection Kickstand Cover for iPhone 15 Pro Max 6.7 inch Phone(Grey+Blue)"/>
        <s v="Niubity Rugged Phone Case for Apple iPhone 14, with Belt Clip Holster &amp; Kickstand Heavy Duty Shockproof Protective Full Body Case Cover for iPhone 14 6.1 inch Phone (Teal+Light Blue)"/>
        <s v="Niubity Rugged Phone Case for Apple iPhone 14 Plus, with Belt Clip Holster &amp; Kickstand Heavy Duty Shockproof Protective Full Body Case Cover for iPhone 14 Plus 6.7 inch Phone (Dark Grey+Green)"/>
        <s v="Niubity Rugged Phone Case for Apple iPhone 14 Plus, with Belt Clip Holster &amp; Kickstand Heavy Duty Shockproof Protective Full Body Case Cover for iPhone 14 Plus 6.7 inch Phone (Orange)"/>
        <s v="Compatible with Google Pixel 7 Pro Case, with Belt Clip Holster Heavy Duty Rugged Shockproof Full Body Protection Kickstand Phone case for Google Pixel 7 Pro 6.7-inch 2022 (Black+Yellow)"/>
        <s v="Compatible with Google Pixel 7 Case, with Belt Clip Holster Heavy Duty Rugged Shockproof Full Body Protection Kickstand Phone case for Google Pixel 7 6.3-inch 2022 (Green+Black)"/>
        <s v="Compatible with Motorola Edge (2022) Case, with Belt Clip Holster Heavy Duty Rugged Shockproof Full Body Protection Kickstand Phone case for Motorola Edge (2022) (Green+Black)"/>
        <s v="Compatible with Motorola Edge (2022) Case, with Belt Clip Holster Heavy Duty Rugged Shockproof Full Body Protection Kickstand Phone case for Motorola Edge (2022) (Orange)"/>
        <s v="Niubity Rugged Phone Case for Apple iPhone 14 Pro Max, with Belt Clip Holster &amp; Kickstand Heavy Duty Shockproof Protective Full Body Case Cover for iPhone 14 Pro Max 6.7 inch Phone (Purple+Black)"/>
        <s v="TMIDVFV Rugged Phone Case for Samsung Galaxy S23 5G, with Belt Clip Holster &amp; Kickstand Heavy Duty Shockproof Protective Full Body Case Cover for Samsung S23 6.1 inch Phone (Teal+Black)"/>
        <s v="TMIDVFV Rugged Phone Case for Samsung Galaxy S23+ Plus 5G, with Belt Clip Holster &amp; Kickstand Heavy Duty Shockproof Protective Full Body Case Cover for Samsung S23 Plus 6.6 inch Phone (Black+Grey)"/>
        <s v="TMIDVFV Rugged Phone Case for Samsung Galaxy S23 5G, with Belt Clip Holster &amp; Kickstand Heavy Duty Shockproof Protective Full Body Case Cover for Samsung S23 6.1 inch Phone (Grey+Blue)"/>
        <s v="TMIDVFV Rugged Phone Case for Samsung Galaxy S23+ Plus 5G, with Belt Clip Holster &amp; Kickstand Heavy Duty Shockproof Protective Full Body Case Cover for Samsung S23 Plus 6.6 inch Phone (Grey+Blue)"/>
        <s v="TMIDVFV Rugged Phone Case for Moto G Power 5G 2023, with Belt Clip Holster &amp; Kickstand Heavy Duty Shockproof Protective Full Body Case Cover for Moto G Power 2023 5G Phone (Blue)"/>
        <s v="TMIDVFV Compatible with Moto G Stylus 5G 2023 Case, with Belt Clip Holster Heavy Duty Rugged Shockproof Full Body Protection Kickstand Cover for Moto G Stylus 5G 2023 Phone (Black+Yellow)"/>
        <s v="TMIDVFV Compatible with Moto G Stylus 5G 2023 Case, with Belt Clip Holster Heavy Duty Rugged Shockproof Full Body Protection Kickstand Cover for Moto G Stylus 5G 2023 Phone (Green+Black)"/>
        <s v="TMIDVFV Compatible with iPhone 15 Pro Case, with Belt Clip Holster Heavy Duty Rugged Shockproof Full Body Protection Kickstand Cover for iPhone 15 Pro 6.1 inch Phone (Grey+Blue)"/>
        <s v="TMIDVFV Compatible with iPhone 15 Plus Case, with Belt Clip Holster Heavy Duty Rugged Shockproof Full Body Protection Kickstand Cover for iPhone 15 Plus 6.7 inch Phone (Black+Grey)"/>
        <s v="Niubity Rugged Phone Case for Apple iPhone 14 Plus, with Belt Clip Holster &amp; Kickstand Heavy Duty Shockproof Protective Full Body Case Cover for iPhone 14 Plus 6.7 inch Phone (Teal+Light Blue)"/>
        <s v="Niubity for Samsung Galaxy Z Fold 4 Case, with Slide Camera Cover &amp; Magnetic Kickstand, Rugged Shockproof Protective Cover, Built-in 360° Rotating Ring Holder for Samsung Galaxy Z Fold 4 2022 (Green)"/>
        <s v="Compatible with Motorola Edge (2022) Case, with Belt Clip Holster Heavy Duty Rugged Shockproof Full Body Protection Kickstand Phone case for Motorola Edge (2022) (Black+Yellow)"/>
        <s v="TMIDVFV Rugged Phone Case for Samsung Galaxy S23+ Plus 5G, with Belt Clip Holster &amp; Kickstand Heavy Duty Shockproof Protective Full Body Case Cover for Samsung S23 Plus 6.6 inch Phone (Purple)"/>
        <s v="TMIDVFV Compatible with Google Pixel 7A Case, with Belt Clip Holster Heavy Duty Rugged Shockproof Full Body Protection Kickstand Phone case for Google Pixel 7A 5G (Teal+Black)"/>
        <s v="TMIDVFV Compatible with Samsung Galaxy A54 5G Case, with Belt Clip Holster Heavy Duty Rugged Shockproof Full Body Protection Kickstand Phone case for Samsung Galaxy A54 5G (Teal+Black)"/>
        <s v="TMIDVFV Rugged Phone Case for Samsung Galaxy A24 4G, with Belt Clip Holster &amp; Kickstand Heavy Duty Shockproof Protective Full Body Case Cover for Samsung Galaxy A24 4G Phone (Black)"/>
        <s v="TMIDVFV Rugged Phone Case for Moto G Power 5G 2023, with Belt Clip Holster &amp; Kickstand Heavy Duty Shockproof Protective Full Body Case Cover for Moto G Power 2023 5G Phone (Green+Black)"/>
        <s v="TMIDVFV Compatible with iPhone 15 Case, with Belt Clip Holster Heavy Duty Rugged Shockproof Full Body Protection Kickstand Cover for iPhone 15 6.1 inch Phone (Black+Grey)"/>
        <s v="TMIDVFV Compatible with iPhone 15 Pro Case, with Belt Clip Holster Heavy Duty Rugged Shockproof Full Body Protection Kickstand Cover for iPhone 15 Pro 6.1 inch Phone (Black+Grey)"/>
        <s v="TMIDVFV Compatible with iPhone 15 Pro Case, with Belt Clip Holster Heavy Duty Rugged Shockproof Full Body Protection Kickstand Cover for iPhone 15 Pro 6.1 inch Phone (Blue)"/>
        <s v="Compatible with Google Pixel 8 Pro Case, with Belt Clip Holster Heavy Duty Rugged Shockproof Full Body Protection Kickstand Phone case for Google Pixel 8 Pro 6.7-inch 2023 (Google Pixel 8 Pro, Blue)"/>
        <s v="Compatible with Google Pixel 8 Case, with Belt Clip Holster Heavy Duty Rugged Shockproof Full Body Protection Kickstand Phone case for Google Pixel 8 (Google Pixel 8, Black)"/>
        <s v="Niubity Compatible with iPhone 12 &amp; iPhone 12 Pro,with Screen Protectors,Heavy Duty Rugged Shockproof Full Body Protection Kickstand Case with Belt Clip Holster for iPhone 12 &amp; iPhone 12 Pro (Black)"/>
        <s v="Compatible with Samsung Galaxy S22+ Plus 5G Case, Heavy Duty Rugged Shockproof Full Body Protection Kickstand Case with Belt Clip Holster for Samsung Galaxy S22+ Plus 5G Phone (Teal+Light Blue)"/>
        <s v="Niubity for Samsung Galaxy Z Fold 4 Case, Ultra Thin Slim Shockproof Protective Anti-Scratch Cover with Built-in Screen Protector Matte Hard PC Phone Case for Samsung Z Fold 4 5G 2022 (Gold)"/>
        <s v="NIUBITY for Samsung Galaxy Z Flip 4 Case, with Slide Camera Cover &amp; Magnetic Kickstand, Rugged Shockproof Protective Cover, Built-in 360° Rotating Ring Holder for Samsung Galaxy Z Flip 4 2022 (Black)"/>
        <s v="Niubity for Samsung Galaxy Z Fold 4 Case, with Slide Camera Cover &amp; Magnetic Kickstand, Rugged Shockproof Protective Cover, Built-in 360° Rotating Ring Holder for Samsung Galaxy Z Fold 4 2022 (Red)"/>
        <s v="Niubity for Samsung Galaxy Z Flip 4 Phone Case with Ring Holder, Ultra Thin Slim Lightweight for Women Girls Matte PC Protector Anti-Scratch Shockproof Cover for Galaxy Z Flip 4 5G 2022 (Pink)"/>
        <s v="Niubity for Samsung Galaxy Z Flip 4 Phone Case with Ring Holder, Ultra Thin Slim Lightweight Matte Hard PC Protective Anti-Scratch Shockproof Cover for Galaxy Z Flip 4 5G 2022 (Green)"/>
        <s v="Compatible with Google Pixel 7 Case, with Belt Clip Holster Heavy Duty Rugged Shockproof Full Body Protection Kickstand Phone case for Google Pixel 7 6.3-inch 2022 (Black+Yellow)"/>
        <s v="Compatible with Google Pixel 7 Pro Case, with Belt Clip Holster Heavy Duty Rugged Shockproof Full Body Protection Kickstand Phone case for Google Pixel 7 Pro 6.7-inch 2022(Blue)"/>
        <s v="Compatible with Google Pixel 7 Case, with Belt Clip Holster Heavy Duty Rugged Shockproof Full Body Protection Kickstand Phone case for Google Pixel 7 6.3-inch 2022(Blue)"/>
        <s v="TMIDVFV Compatible with Google Pixel 7A Case, with Belt Clip Holster Heavy Duty Rugged Shockproof Full Body Protection Kickstand Phone case for Google Pixel 7A 5G (Dark Green)"/>
        <s v="TMIDVFV Rugged Phone Case for Samsung Galaxy A34, with Belt Clip Holster &amp; Kickstand Heavy Duty Shockproof Protective Full Body Case Cover for Samsung Galaxy A34 6.6 inch Phone (Blue)"/>
        <s v="TMIDVFV Rugged Phone Case for Moto G Power 5G 2023, with Belt Clip Holster &amp; Kickstand Heavy Duty Shockproof Protective Full Body Case Cover for Moto G Power 2023 5G Phone (Black+Yellow)"/>
        <s v="TMIDVFV Rugged Phone Case for Samsung Galaxy A24 4G, with Belt Clip Holster &amp; Kickstand Heavy Duty Shockproof Protective Full Body Case Cover for Samsung Galaxy A24 4G Phone (Black+Yellow)"/>
        <s v="TMIDVFV Rugged Phone Case for Moto G Power 5G 2023, with Belt Clip Holster &amp; Kickstand Heavy Duty Shockproof Protective Full Body Case Cover for Moto G Power 2023 5G Phone (Orange)"/>
        <s v="TMIDVFV Compatible with iPhone 15 Plus Case, with Belt Clip Holster Heavy Duty Rugged Shockproof Full Body Protection Kickstand Cover for iPhone 15 Plus 6.7 inch Phone (Blue)"/>
        <s v="TMIDVFV Compatible with iPhone 15 Case, with Belt Clip Holster Heavy Duty Rugged Shockproof Full Body Protection Kickstand Cover for iPhone 15 6.1 inch Phone (Black+Green)"/>
        <s v="TMIDVFV Compatible with iPhone 15 Case, with Belt Clip Holster Heavy Duty Rugged Shockproof Full Body Protection Kickstand Cover for iPhone 15 6.1 inch Phone (Grey+Blue)"/>
        <s v="TMIDVFV Compatible with iPhone 15 Plus Case, with Belt Clip Holster Heavy Duty Rugged Shockproof Full Body Protection Kickstand Cover for iPhone 15 Plus 6.7 inch Phone (Black+Green)"/>
        <s v="Compatible with Google Pixel 8 Case, with Belt Clip Holster Heavy Duty Rugged Shockproof Full Body Protection Kickstand Phone case for Google Pixel 8 (Google Pixel 8, Grey+Blue)"/>
        <s v="Compatible with Google Pixel 8 Pro Case, with Belt Clip Holster Heavy Duty Rugged Shockproof Full Body Protection Kickstand Phone case for Google Pixel 8 Pro 6.7-inch (Google Pixel 8 Pro, Dark Green)"/>
        <s v="TMIDVFV Rugged Phone Case for Samsung Galaxy A54 5G, with Belt Clip Holster &amp; Kickstand Heavy Duty Shockproof Protective Full Body Case Cover for Samsung Galaxy A54 5G 6.4 inch Phone (Black)"/>
        <s v="Niubity for Samsung Galaxy Z Flip 4 Phone Case, with [Sliding Hinge Protection] [Built-in Camera Protector] [Magnetic Ring Kickstand] Shockproof Protective Cover for Samsung Galaxy Z Flip 4 (Black)"/>
        <s v="Compatible with Moto G Stylus 5G (2022) Case(NOT for 4G), with Belt Clip Holster Heavy Duty Rugged Shockproof Full Body Protection Kickstand Phone case for Moto G Stylus 5G (2022) (Black)"/>
        <s v="Compatible with Samsung Galaxy A23 5G|4G Case, with Belt Clip Holster Heavy Duty Rugged Shockproof Full Body Protection Kickstand Phone case for Samsung Galaxy A23 5G (Black)"/>
        <s v="TMIDVFV Rugged Phone Case for Samsung Galaxy A54 5G, with Belt Clip Holster &amp; Kickstand Heavy Duty Shockproof Protective Full Body Case Cover for Samsung Galaxy A54 5G 6.4 inch Phone (Black+Grey)"/>
        <s v="TMIDVFV Rugged Phone Case for Samsung Galaxy A54 5G, with Belt Clip Holster &amp; Kickstand Heavy Duty Shockproof Protective Full Body Case Cover for Samsung Galaxy A54 5G 6.4 inch Phone (Grey+Blue)"/>
        <m/>
      </sharedItems>
    </cacheField>
    <cacheField name="SKU" numFmtId="0">
      <sharedItems containsBlank="1" count="208">
        <s v="Y3013-BL+Y3014"/>
        <s v="Y03449-BL+Y03476"/>
        <s v="E03375-BL+E03380+E03397"/>
        <s v="Y03652-BL+Y03653+Y03654"/>
        <s v="Y3060-BL+Y3061+Y3062"/>
        <s v="Y03507-BL+Y03508+Y03509"/>
        <s v="E03390-BL+E03240"/>
        <s v="Y3079-BL+Y3079"/>
        <s v="Y3025-BL+Y3026"/>
        <s v="Y03742-BL+Y03743"/>
        <s v="Y03466-BL+E03063"/>
        <s v="Y3108-BL+Y3109"/>
        <s v="E03375-NB+E03380+E03397"/>
        <s v="E03391-BL+E03271"/>
        <s v="Y3074-BL"/>
        <s v="Y3013-NB+Y3014"/>
        <s v="Y3033-BL+Y3034+Y3035"/>
        <s v="Y03652-DB+Y03653+Y03654"/>
        <s v="Y03449-NB+Y03476"/>
        <s v="E03390-NB+E03240"/>
        <s v="Y3018-BL+Y3019"/>
        <s v="Y3013-TG+Y3014"/>
        <s v="E03135-bl"/>
        <s v="Y3015-BL+Y3016+Y3017"/>
        <s v="Y3046-BL+Y3047+Y3048"/>
        <s v="Y3013-DG+Y3014"/>
        <s v="Y3029-BL+Y3030"/>
        <s v="E03375-OR+E03380+E03397"/>
        <s v="E03375-DG+E03380+E03397"/>
        <s v="Y3060-DB+Y3061+Y3062"/>
        <s v="Y3013-OR+Y3014"/>
        <s v="Y3060-OR+Y3061+Y3062"/>
        <s v="Y03564-BL+Y03565+Y03566"/>
        <s v="Y03507-NB+Y03508+Y03509"/>
        <s v="Y03449-DG+Y03476"/>
        <s v="Y03561-BL+Y03562+Y03565"/>
        <s v="Y3075-BL"/>
        <s v="Y3049-BL+Y3050+Y3051"/>
        <s v="Y03466-NB+E03063"/>
        <s v="Y03742-NB+Y03743"/>
        <s v="E03375-BL+E03380+E03397-001"/>
        <s v="Y03652-BY+Y03653+Y03654"/>
        <s v="Y3045-BL"/>
        <s v="E03388-BL+E03267"/>
        <s v="E03390-OR+E03240"/>
        <s v="E03375-TG+E03380+E03397"/>
        <s v="Y3102-BL+Y3103"/>
        <s v="Y03449-TG+Y03476"/>
        <s v="Y3046-DB+Y3047+Y3048"/>
        <s v="Y03564-NB+Y03565+Y03566"/>
        <s v="Y3079-GB+Y3079"/>
        <s v="Y3108-GY+Y3109"/>
        <s v="E03391-NB+E03271"/>
        <s v="Y03451-BL+Y03478"/>
        <s v="Y03561-NB+Y03562+Y03565"/>
        <s v="Y3056-BL+Y3057"/>
        <s v="Y3058-BL"/>
        <s v="Y03449-OR+Y03476"/>
        <s v="Y3060-BY+Y3061+Y3062"/>
        <s v="Y3079-OR+Y3079"/>
        <s v="Y3096-OR+Y3097+Y3098"/>
        <s v="Y03652-OR+Y03653+Y03654"/>
        <s v="Y3033-DB+Y3034+Y3035"/>
        <s v="Y3036-BL"/>
        <s v="Y3049-OR+Y3050+Y3051"/>
        <s v="Y3075-NB"/>
        <s v="Y3096-BL+Y3097+Y3098"/>
        <s v="E03391-OR+E03271"/>
        <s v="Y03652-GK+Y03653+Y03654"/>
        <s v="Y3025-NB+Y3026"/>
        <s v="Y3027-BL+Y3028"/>
        <s v="Y3079-NB+Y3079"/>
        <s v="Y3096-DB+Y3097+Y3098"/>
        <s v="Y03507-OR+Y03508+Y03509"/>
        <s v="Y3049-DB+Y3050+Y3051"/>
        <s v="Y3079-TG+Y3079"/>
        <s v="Y3108-NB+Y3109"/>
        <s v="E03135-db"/>
        <s v="E03388-NB+E03267"/>
        <s v="E03386-NB+E03268-02"/>
        <s v="Y03466-DG+E03063"/>
        <s v="Y03451-NB+Y03478"/>
        <s v="Y03742-OR+Y03743"/>
        <s v="Y3060-GK+Y3061+Y3062"/>
        <s v="Y3056-NB+Y3057"/>
        <s v="E03106-OR+E03109+E03129"/>
        <s v="E03388-OR+E03267"/>
        <s v="Y03466-TG+E03063"/>
        <s v="Y3015-NB+Y3016+Y3017"/>
        <s v="Y03564-GK+Y03565+Y03566"/>
        <s v="Y03564-BY+Y03565+Y03566"/>
        <s v="Y3106-BL+Y3107"/>
        <s v="Y3015-OR+Y3016+Y3017"/>
        <s v="Y03742-DG+Y03743"/>
        <s v="Y3074-GY"/>
        <s v="Y3085-BL+Y3086+Y3087"/>
        <s v="Y3108-BG+Y3109"/>
        <s v="E03135-or"/>
        <s v="E03386-BL+E03268-02"/>
        <s v="Y03564-OR+Y03565+Y03566"/>
        <s v="Y3033-GK+Y3034+Y3035"/>
        <s v="Y3031-BL+Y3032"/>
        <s v="Y3058-GY"/>
        <s v="Y3058-NB"/>
        <s v="Y3075-GN"/>
        <s v="Y3074-NB"/>
        <s v="Y03466-OR+E03063"/>
        <s v="E03386-OR+E03268-02"/>
        <s v="Y03451-OR+Y03478"/>
        <s v="Y03451-DG+Y03478"/>
        <s v="Y3018-DG+Y3019"/>
        <s v="Y03742-TG+Y03743"/>
        <s v="Y3015-BY+Y3016+Y3017"/>
        <s v="Y3033-OR+Y3034+Y3035"/>
        <s v="Y3025-OR+Y3026"/>
        <s v="Y3054-BL+Y3055"/>
        <s v="Y3058-LP"/>
        <s v="Y3102-NB+Y3103"/>
        <s v="Y3007-OR+Y3009"/>
        <s v="Y3015-GK+Y3016+Y3017"/>
        <s v="Y3025-DG+Y3026"/>
        <s v="Y3029-NB+Y3030"/>
        <s v="Y3049-BY+Y3050+Y3051"/>
        <s v="Y3049-GK+Y3050+Y3051"/>
        <s v="Y3054-GY+Y3055"/>
        <s v="Y3058-GN"/>
        <s v="Y3054-NB+Y3055"/>
        <s v="Y3111-BL"/>
        <s v="Y03507-GR+Y03508+Y03509"/>
        <s v="Y03451-TG+Y03478"/>
        <s v="Y03450-OR+Y03477"/>
        <s v="Y03450-NB+Y03477"/>
        <s v="Y03561-OR+Y03562+Y03565"/>
        <s v="Y3018-NB+Y3019"/>
        <s v="Y3018-TG+Y3019"/>
        <s v="Y3018-OR+Y3019"/>
        <s v="Y03507-DN+Y03508+Y03509"/>
        <s v="Y3022-GK+Y3023+Y3024"/>
        <s v="Y3033-BY+Y3034+Y3035"/>
        <s v="Y3036-OR"/>
        <s v="Y3039-GK"/>
        <s v="Y3058-TG"/>
        <s v="Y3074-GN"/>
        <s v="Y3104-BL+Y3105"/>
        <s v="Y3108-GN+Y3109"/>
        <s v="Y3025-TG+Y3026"/>
        <s v="Y3029-DG+Y3030"/>
        <s v="Y3029-OR+Y3030"/>
        <s v="Y3039-BY"/>
        <s v="Y3036-GK"/>
        <s v="Y3046-GK+Y3047+Y3048"/>
        <s v="Y3046-OR+Y3047+Y3048"/>
        <s v="Y3031-LP+Y3032"/>
        <s v="Y3054-TG+Y3055"/>
        <s v="Y3056-GY+Y3057"/>
        <s v="Y3054-GN+Y3055"/>
        <s v="Y3056-GN+Y3057"/>
        <s v="Y3085-DB+Y3086+Y3087"/>
        <s v="Y3096-BY+Y3097+Y3098"/>
        <s v="Y3096-GK+Y3097+Y3098"/>
        <s v="Y3104-GN+Y3105"/>
        <s v="Y3106-GY+Y3107"/>
        <s v="Y3029-TG+Y3030"/>
        <s v="Y3044-DK"/>
        <s v="Y3046-BY+Y3047+Y3048"/>
        <s v="Y3056-LP+Y3057"/>
        <s v="Y3075-TG"/>
        <s v="Y3074-TG"/>
        <s v="Y3082-BL+Y3083+Y3084"/>
        <s v="Y3085-GK+Y3086+Y3087"/>
        <s v="Y3102-GY+Y3103"/>
        <s v="Y3104-GY+Y3105"/>
        <s v="Y3104-NB+Y3105"/>
        <s v="Y3111-NB"/>
        <s v="Y3110-BL"/>
        <s v="Y03479-BL+E02804-01"/>
        <s v="Y3007-TG+Y3009"/>
        <s v="Y3045-GL"/>
        <s v="Y3042-BL"/>
        <s v="Y3044-RE"/>
        <s v="Y3041-PI"/>
        <s v="Y3041-GR"/>
        <s v="Y3036-BY"/>
        <s v="Y3039-DB"/>
        <s v="Y3036-DB"/>
        <s v="Y3075-GR"/>
        <s v="Y3080-NB+Y3081"/>
        <s v="Y3085-BY+Y3086+Y3087"/>
        <s v="Y3082-BY+Y3083+Y3084"/>
        <s v="Y3085-OR+Y3086+Y3087"/>
        <s v="Y3106-NB+Y3107"/>
        <s v="Y3102-BG+Y3103"/>
        <s v="Y3102-GN+Y3103"/>
        <s v="Y3106-BG+Y3107"/>
        <s v="Y3110-GN"/>
        <s v="Y3111-GR"/>
        <s v="Y3092-BL+Y3093+Y3094"/>
        <s v="Y3095-BL"/>
        <s v="Y3088-BL"/>
        <s v="Y3043-BL"/>
        <s v="Y3092-DB+Y3093+Y3094"/>
        <s v="Y3022-BL+Y3023+Y3024"/>
        <s v="Y3088-GY"/>
        <s v="Y3088-GN"/>
        <s v="Y3092-OR+Y3093+Y3094"/>
        <s v="Y3092-BY+Y3093+Y3094"/>
        <s v="Y3095-GR"/>
        <m/>
      </sharedItems>
    </cacheField>
    <cacheField name="会话次数 – 总计" numFmtId="0">
      <sharedItems containsString="0" containsBlank="1" containsNumber="1" containsInteger="1" minValue="0" maxValue="2322" count="154">
        <n v="2322"/>
        <n v="2089"/>
        <n v="984"/>
        <n v="1204"/>
        <n v="824"/>
        <n v="1246"/>
        <n v="1004"/>
        <n v="463"/>
        <n v="734"/>
        <n v="830"/>
        <n v="555"/>
        <n v="868"/>
        <n v="307"/>
        <n v="441"/>
        <n v="605"/>
        <n v="295"/>
        <n v="352"/>
        <n v="238"/>
        <n v="296"/>
        <n v="170"/>
        <n v="364"/>
        <n v="194"/>
        <n v="392"/>
        <n v="495"/>
        <n v="257"/>
        <n v="361"/>
        <n v="141"/>
        <n v="120"/>
        <n v="187"/>
        <n v="213"/>
        <n v="492"/>
        <n v="511"/>
        <n v="171"/>
        <n v="186"/>
        <n v="203"/>
        <n v="499"/>
        <n v="123"/>
        <n v="139"/>
        <n v="136"/>
        <n v="143"/>
        <n v="180"/>
        <n v="294"/>
        <n v="118"/>
        <n v="122"/>
        <n v="108"/>
        <n v="173"/>
        <n v="86"/>
        <n v="105"/>
        <n v="90"/>
        <n v="274"/>
        <n v="81"/>
        <n v="251"/>
        <n v="73"/>
        <n v="214"/>
        <n v="217"/>
        <n v="181"/>
        <n v="167"/>
        <n v="132"/>
        <n v="394"/>
        <n v="151"/>
        <n v="188"/>
        <n v="145"/>
        <n v="109"/>
        <n v="72"/>
        <n v="100"/>
        <n v="92"/>
        <n v="162"/>
        <n v="190"/>
        <n v="107"/>
        <n v="78"/>
        <n v="74"/>
        <n v="222"/>
        <n v="67"/>
        <n v="53"/>
        <n v="96"/>
        <n v="87"/>
        <n v="131"/>
        <n v="98"/>
        <n v="101"/>
        <n v="63"/>
        <n v="80"/>
        <n v="65"/>
        <n v="70"/>
        <n v="47"/>
        <n v="57"/>
        <n v="114"/>
        <n v="208"/>
        <n v="44"/>
        <n v="62"/>
        <n v="99"/>
        <n v="229"/>
        <n v="32"/>
        <n v="82"/>
        <n v="34"/>
        <n v="45"/>
        <n v="43"/>
        <n v="66"/>
        <n v="52"/>
        <n v="61"/>
        <n v="68"/>
        <n v="134"/>
        <n v="42"/>
        <n v="76"/>
        <n v="59"/>
        <n v="35"/>
        <n v="94"/>
        <n v="88"/>
        <n v="28"/>
        <n v="18"/>
        <n v="41"/>
        <n v="113"/>
        <n v="46"/>
        <n v="37"/>
        <n v="38"/>
        <n v="125"/>
        <n v="21"/>
        <n v="84"/>
        <n v="50"/>
        <n v="126"/>
        <n v="60"/>
        <n v="48"/>
        <n v="36"/>
        <n v="16"/>
        <n v="30"/>
        <n v="14"/>
        <n v="33"/>
        <n v="29"/>
        <n v="20"/>
        <n v="40"/>
        <n v="15"/>
        <n v="77"/>
        <n v="39"/>
        <n v="22"/>
        <n v="5"/>
        <n v="13"/>
        <n v="9"/>
        <n v="23"/>
        <n v="6"/>
        <n v="24"/>
        <n v="26"/>
        <n v="10"/>
        <n v="56"/>
        <n v="102"/>
        <n v="31"/>
        <n v="12"/>
        <n v="8"/>
        <n v="7"/>
        <n v="2"/>
        <n v="1"/>
        <n v="3"/>
        <n v="11"/>
        <n v="4"/>
        <n v="25"/>
        <m/>
      </sharedItems>
    </cacheField>
    <cacheField name="会话次数 – 总计 – B2B" numFmtId="0">
      <sharedItems containsString="0" containsBlank="1" containsNumber="1" containsInteger="1" minValue="0" maxValue="84" count="24">
        <n v="60"/>
        <n v="84"/>
        <n v="59"/>
        <n v="35"/>
        <n v="34"/>
        <n v="24"/>
        <n v="10"/>
        <n v="16"/>
        <n v="18"/>
        <n v="15"/>
        <n v="28"/>
        <n v="4"/>
        <n v="7"/>
        <n v="5"/>
        <n v="12"/>
        <n v="1"/>
        <n v="2"/>
        <n v="11"/>
        <n v="3"/>
        <n v="8"/>
        <n v="9"/>
        <n v="0"/>
        <n v="6"/>
        <m/>
      </sharedItems>
    </cacheField>
    <cacheField name="会话百分比 – 总计" numFmtId="0">
      <sharedItems containsString="0" containsBlank="1" containsNumber="1" minValue="0" maxValue="0.2998" count="102">
        <n v="0.0686"/>
        <n v="0.0618"/>
        <n v="0.0291"/>
        <n v="0.0356"/>
        <n v="0.0244"/>
        <n v="0.0368"/>
        <n v="0.0297"/>
        <n v="0.0137"/>
        <n v="0.0217"/>
        <n v="0.0245"/>
        <n v="0.0164"/>
        <n v="0.0257"/>
        <n v="0.0091"/>
        <n v="0.013"/>
        <n v="0.0179"/>
        <n v="0.0087"/>
        <n v="0.0104"/>
        <n v="0.007"/>
        <n v="0.0088"/>
        <n v="0.005"/>
        <n v="0.0108"/>
        <n v="0.0057"/>
        <n v="0.0116"/>
        <n v="0.0146"/>
        <n v="0.0076"/>
        <n v="0.0107"/>
        <n v="0.0042"/>
        <n v="0.0035"/>
        <n v="0.0055"/>
        <n v="0.0063"/>
        <n v="0.0145"/>
        <n v="0.0151"/>
        <n v="0.0051"/>
        <n v="0.006"/>
        <n v="0.0148"/>
        <n v="0.0036"/>
        <n v="0.0041"/>
        <n v="0.004"/>
        <n v="0.0053"/>
        <n v="0.0032"/>
        <n v="0.0025"/>
        <n v="0.0031"/>
        <n v="0.0027"/>
        <n v="0.0081"/>
        <n v="0.0024"/>
        <n v="0.0074"/>
        <n v="0.0022"/>
        <n v="0.0064"/>
        <n v="0.0054"/>
        <n v="0.0049"/>
        <n v="0.0039"/>
        <n v="0.0045"/>
        <n v="0.0056"/>
        <n v="0.0043"/>
        <n v="0.0021"/>
        <n v="0.003"/>
        <n v="0.0048"/>
        <n v="0.0023"/>
        <n v="0.0066"/>
        <n v="0.002"/>
        <n v="0.0016"/>
        <n v="0.0028"/>
        <n v="0.0026"/>
        <n v="0.0029"/>
        <n v="0.0019"/>
        <n v="0.0014"/>
        <n v="0.0017"/>
        <n v="0.0034"/>
        <n v="0.0061"/>
        <n v="0.0013"/>
        <n v="0.0018"/>
        <n v="0.0068"/>
        <n v="0.0009"/>
        <n v="0.001"/>
        <n v="0.0015"/>
        <n v="0.0012"/>
        <n v="0.0008"/>
        <n v="0.0005"/>
        <n v="0.0033"/>
        <n v="0.0011"/>
        <n v="0.0037"/>
        <n v="0.0006"/>
        <n v="0.0004"/>
        <n v="0.0007"/>
        <n v="0.0001"/>
        <n v="0.0003"/>
        <n v="0.0002"/>
        <n v="0.2998"/>
        <n v="0.0762"/>
        <n v="0.1867"/>
        <n v="0.0295"/>
        <n v="0.0197"/>
        <n v="0.0442"/>
        <n v="0.0221"/>
        <n v="0.0172"/>
        <n v="0.0123"/>
        <n v="0.0246"/>
        <n v="0.0319"/>
        <n v="0.027"/>
        <n v="0.0098"/>
        <n v="0.0614"/>
        <m/>
      </sharedItems>
    </cacheField>
    <cacheField name="会话百分比 – 总计 – B2B" numFmtId="0">
      <sharedItems containsString="0" containsBlank="1" containsNumber="1" minValue="0" maxValue="0.3571" count="27">
        <n v="0.0731"/>
        <n v="0.1023"/>
        <n v="0.0719"/>
        <n v="0.0426"/>
        <n v="0.0414"/>
        <n v="0.0292"/>
        <n v="0.0122"/>
        <n v="0.0195"/>
        <n v="0.0219"/>
        <n v="0.0183"/>
        <n v="0.0341"/>
        <n v="0.0049"/>
        <n v="0.0085"/>
        <n v="0.0061"/>
        <n v="0.0146"/>
        <n v="0.0012"/>
        <n v="0.0024"/>
        <n v="0.0134"/>
        <n v="0.0037"/>
        <n v="0.0097"/>
        <n v="0.011"/>
        <n v="0"/>
        <n v="0.0073"/>
        <n v="0.3571"/>
        <n v="0.2143"/>
        <n v="0.0714"/>
        <m/>
      </sharedItems>
    </cacheField>
    <cacheField name="页面浏览量 – 总计" numFmtId="0">
      <sharedItems containsString="0" containsBlank="1" containsNumber="1" containsInteger="1" minValue="0" maxValue="3308" count="155">
        <n v="3308"/>
        <n v="3025"/>
        <n v="1510"/>
        <n v="1668"/>
        <n v="1172"/>
        <n v="1795"/>
        <n v="1453"/>
        <n v="683"/>
        <n v="1045"/>
        <n v="1114"/>
        <n v="800"/>
        <n v="1193"/>
        <n v="422"/>
        <n v="634"/>
        <n v="867"/>
        <n v="368"/>
        <n v="515"/>
        <n v="307"/>
        <n v="225"/>
        <n v="505"/>
        <n v="231"/>
        <n v="534"/>
        <n v="708"/>
        <n v="685"/>
        <n v="327"/>
        <n v="506"/>
        <n v="177"/>
        <n v="157"/>
        <n v="250"/>
        <n v="265"/>
        <n v="648"/>
        <n v="701"/>
        <n v="219"/>
        <n v="227"/>
        <n v="362"/>
        <n v="295"/>
        <n v="700"/>
        <n v="170"/>
        <n v="201"/>
        <n v="168"/>
        <n v="176"/>
        <n v="247"/>
        <n v="395"/>
        <n v="147"/>
        <n v="153"/>
        <n v="141"/>
        <n v="207"/>
        <n v="116"/>
        <n v="114"/>
        <n v="330"/>
        <n v="97"/>
        <n v="320"/>
        <n v="101"/>
        <n v="297"/>
        <n v="288"/>
        <n v="223"/>
        <n v="220"/>
        <n v="191"/>
        <n v="531"/>
        <n v="195"/>
        <n v="246"/>
        <n v="183"/>
        <n v="109"/>
        <n v="120"/>
        <n v="100"/>
        <n v="215"/>
        <n v="278"/>
        <n v="146"/>
        <n v="209"/>
        <n v="99"/>
        <n v="273"/>
        <n v="73"/>
        <n v="151"/>
        <n v="87"/>
        <n v="129"/>
        <n v="108"/>
        <n v="173"/>
        <n v="140"/>
        <n v="161"/>
        <n v="96"/>
        <n v="93"/>
        <n v="98"/>
        <n v="77"/>
        <n v="126"/>
        <n v="57"/>
        <n v="92"/>
        <n v="67"/>
        <n v="266"/>
        <n v="54"/>
        <n v="119"/>
        <n v="91"/>
        <n v="122"/>
        <n v="329"/>
        <n v="55"/>
        <n v="79"/>
        <n v="39"/>
        <n v="53"/>
        <n v="83"/>
        <n v="102"/>
        <n v="75"/>
        <n v="84"/>
        <n v="59"/>
        <n v="47"/>
        <n v="48"/>
        <n v="90"/>
        <n v="130"/>
        <n v="103"/>
        <n v="35"/>
        <n v="19"/>
        <n v="159"/>
        <n v="58"/>
        <n v="42"/>
        <n v="166"/>
        <n v="142"/>
        <n v="128"/>
        <n v="27"/>
        <n v="63"/>
        <n v="134"/>
        <n v="138"/>
        <n v="62"/>
        <n v="31"/>
        <n v="25"/>
        <n v="40"/>
        <n v="26"/>
        <n v="18"/>
        <n v="14"/>
        <n v="51"/>
        <n v="37"/>
        <n v="24"/>
        <n v="32"/>
        <n v="49"/>
        <n v="22"/>
        <n v="20"/>
        <n v="29"/>
        <n v="76"/>
        <n v="6"/>
        <n v="13"/>
        <n v="5"/>
        <n v="16"/>
        <n v="10"/>
        <n v="7"/>
        <n v="38"/>
        <n v="30"/>
        <n v="45"/>
        <n v="70"/>
        <n v="46"/>
        <n v="182"/>
        <n v="95"/>
        <n v="9"/>
        <n v="11"/>
        <n v="3"/>
        <n v="12"/>
        <n v="1"/>
        <n v="34"/>
        <m/>
      </sharedItems>
    </cacheField>
    <cacheField name="页面浏览量 – 总计 – B2B" numFmtId="0">
      <sharedItems containsString="0" containsBlank="1" containsNumber="1" containsInteger="1" minValue="0" maxValue="158" count="32">
        <n v="83"/>
        <n v="158"/>
        <n v="92"/>
        <n v="45"/>
        <n v="51"/>
        <n v="39"/>
        <n v="28"/>
        <n v="16"/>
        <n v="24"/>
        <n v="21"/>
        <n v="20"/>
        <n v="37"/>
        <n v="25"/>
        <n v="9"/>
        <n v="23"/>
        <n v="12"/>
        <n v="15"/>
        <n v="6"/>
        <n v="17"/>
        <n v="1"/>
        <n v="5"/>
        <n v="2"/>
        <n v="8"/>
        <n v="4"/>
        <n v="13"/>
        <n v="7"/>
        <n v="3"/>
        <n v="14"/>
        <n v="10"/>
        <n v="0"/>
        <n v="11"/>
        <m/>
      </sharedItems>
    </cacheField>
    <cacheField name="页面浏览量百分比 – 总计" numFmtId="0">
      <sharedItems containsString="0" containsBlank="1" containsNumber="1" minValue="0" maxValue="0.3165" count="97">
        <n v="0.0715"/>
        <n v="0.0654"/>
        <n v="0.0326"/>
        <n v="0.036"/>
        <n v="0.0253"/>
        <n v="0.0388"/>
        <n v="0.0314"/>
        <n v="0.0148"/>
        <n v="0.0226"/>
        <n v="0.0241"/>
        <n v="0.0173"/>
        <n v="0.0258"/>
        <n v="0.0091"/>
        <n v="0.0137"/>
        <n v="0.0187"/>
        <n v="0.008"/>
        <n v="0.0111"/>
        <n v="0.0066"/>
        <n v="0.0049"/>
        <n v="0.0109"/>
        <n v="0.005"/>
        <n v="0.0115"/>
        <n v="0.0153"/>
        <n v="0.0071"/>
        <n v="0.0038"/>
        <n v="0.0034"/>
        <n v="0.0054"/>
        <n v="0.0057"/>
        <n v="0.014"/>
        <n v="0.0151"/>
        <n v="0.0047"/>
        <n v="0.0078"/>
        <n v="0.0064"/>
        <n v="0.0037"/>
        <n v="0.0043"/>
        <n v="0.0036"/>
        <n v="0.0053"/>
        <n v="0.0085"/>
        <n v="0.0032"/>
        <n v="0.0033"/>
        <n v="0.003"/>
        <n v="0.0045"/>
        <n v="0.0025"/>
        <n v="0.0021"/>
        <n v="0.0069"/>
        <n v="0.0022"/>
        <n v="0.0062"/>
        <n v="0.0048"/>
        <n v="0.0041"/>
        <n v="0.0042"/>
        <n v="0.004"/>
        <n v="0.0024"/>
        <n v="0.0026"/>
        <n v="0.0046"/>
        <n v="0.006"/>
        <n v="0.0059"/>
        <n v="0.0016"/>
        <n v="0.0019"/>
        <n v="0.0028"/>
        <n v="0.0023"/>
        <n v="0.0035"/>
        <n v="0.002"/>
        <n v="0.0017"/>
        <n v="0.0027"/>
        <n v="0.0012"/>
        <n v="0.0014"/>
        <n v="0.0008"/>
        <n v="0.0011"/>
        <n v="0.0018"/>
        <n v="0.0013"/>
        <n v="0.001"/>
        <n v="0.0004"/>
        <n v="0.0009"/>
        <n v="0.0031"/>
        <n v="0.0006"/>
        <n v="0.0029"/>
        <n v="0.0007"/>
        <n v="0.0005"/>
        <n v="0.0003"/>
        <n v="0.0001"/>
        <n v="0.0002"/>
        <n v="0.0015"/>
        <n v="0.3165"/>
        <n v="0.0696"/>
        <n v="0.1652"/>
        <n v="0.0522"/>
        <n v="0.0157"/>
        <n v="0.0383"/>
        <n v="0.0278"/>
        <n v="0.0191"/>
        <n v="0.0243"/>
        <n v="0.0052"/>
        <n v="0.0209"/>
        <n v="0.033"/>
        <n v="0.0122"/>
        <n v="0.0591"/>
        <m/>
      </sharedItems>
    </cacheField>
    <cacheField name="页面浏览量百分比 – 总计 – B2B" numFmtId="0">
      <sharedItems containsString="0" containsBlank="1" containsNumber="1" minValue="0" maxValue="0.5" count="35">
        <n v="0.0708"/>
        <n v="0.1347"/>
        <n v="0.0784"/>
        <n v="0.0384"/>
        <n v="0.0435"/>
        <n v="0.0332"/>
        <n v="0.0239"/>
        <n v="0.0136"/>
        <n v="0.0205"/>
        <n v="0.0179"/>
        <n v="0.0171"/>
        <n v="0.0315"/>
        <n v="0.0213"/>
        <n v="0.0077"/>
        <n v="0.0196"/>
        <n v="0.0102"/>
        <n v="0.0128"/>
        <n v="0.0051"/>
        <n v="0.0145"/>
        <n v="0.0009"/>
        <n v="0.0043"/>
        <n v="0.0017"/>
        <n v="0.0068"/>
        <n v="0.0034"/>
        <n v="0.0111"/>
        <n v="0.006"/>
        <n v="0.0026"/>
        <n v="0.0119"/>
        <n v="0.0085"/>
        <n v="0"/>
        <n v="0.0094"/>
        <n v="0.5"/>
        <n v="0.2"/>
        <n v="0.05"/>
        <m/>
      </sharedItems>
    </cacheField>
    <cacheField name="推荐报价（购买按钮）百分比" numFmtId="0">
      <sharedItems containsString="0" containsBlank="1" containsNumber="1" minValue="0" maxValue="1" count="133">
        <n v="0.9941"/>
        <n v="0.9967"/>
        <n v="0.9814"/>
        <n v="0.9939"/>
        <n v="0.9867"/>
        <n v="0.9954"/>
        <n v="0.9942"/>
        <n v="0.9739"/>
        <n v="0.999"/>
        <n v="0.9972"/>
        <n v="0.9987"/>
        <n v="0.9819"/>
        <n v="1"/>
        <n v="0.9984"/>
        <n v="0.9881"/>
        <n v="0.997"/>
        <n v="0.9966"/>
        <n v="0.9907"/>
        <n v="0.9776"/>
        <n v="0.9718"/>
        <n v="0.9971"/>
        <n v="0.9417"/>
        <n v="0.998"/>
        <n v="0.9868"/>
        <n v="0.9877"/>
        <n v="0.9969"/>
        <n v="0.9848"/>
        <n v="0.9789"/>
        <n v="0.972"/>
        <n v="0.9937"/>
        <n v="0.9149"/>
        <n v="0.9857"/>
        <n v="0.9759"/>
        <n v="0.9974"/>
        <n v="0.9638"/>
        <n v="0.9695"/>
        <n v="0.9885"/>
        <n v="0.9851"/>
        <n v="0.9813"/>
        <n v="0.9771"/>
        <n v="0.9222"/>
        <n v="0.9674"/>
        <n v="0.9861"/>
        <n v="0.9669"/>
        <n v="0.9905"/>
        <n v="0.9947"/>
        <n v="0.9924"/>
        <n v="0.9624"/>
        <n v="0.9592"/>
        <n v="0.9783"/>
        <n v="0.96"/>
        <n v="0.9634"/>
        <n v="0.9816"/>
        <n v="0.9784"/>
        <n v="0.9775"/>
        <n v="0.9959"/>
        <n v="0.9787"/>
        <n v="0.986"/>
        <n v="0.9595"/>
        <n v="0.9495"/>
        <n v="0.9817"/>
        <n v="0.9894"/>
        <n v="0.9506"/>
        <n v="0.9859"/>
        <n v="0.9767"/>
        <n v="0.95"/>
        <n v="0.9804"/>
        <n v="0.981"/>
        <n v="0.9735"/>
        <n v="0.9565"/>
        <n v="0.989"/>
        <n v="0.9727"/>
        <n v="0.9938"/>
        <n v="0.9348"/>
        <n v="0.8732"/>
        <n v="0.9722"/>
        <n v="0.9231"/>
        <n v="0.9615"/>
        <n v="0.97"/>
        <n v="0.9844"/>
        <n v="0.9692"/>
        <n v="0.9875"/>
        <n v="0.9375"/>
        <n v="0.9756"/>
        <n v="0.9744"/>
        <n v="0.9385"/>
        <n v="0.9302"/>
        <n v="0.9765"/>
        <n v="0.9922"/>
        <n v="0.9677"/>
        <n v="0.9815"/>
        <n v="0.9778"/>
        <n v="0.9648"/>
        <n v="0.9832"/>
        <n v="0.9459"/>
        <n v="0.8793"/>
        <n v="0.9919"/>
        <n v="0.9664"/>
        <n v="0.9118"/>
        <n v="0.8929"/>
        <n v="0.8947"/>
        <n v="0.9688"/>
        <n v="0.88"/>
        <n v="0.9737"/>
        <n v="0.92"/>
        <n v="0.9828"/>
        <n v="0.9333"/>
        <n v="0.8636"/>
        <n v="0.9643"/>
        <n v="0.9574"/>
        <n v="0.9286"/>
        <n v="0.9091"/>
        <n v="0.8333"/>
        <n v="0.7609"/>
        <n v="0.9158"/>
        <n v="0.9762"/>
        <n v="0.7692"/>
        <n v="0.6667"/>
        <n v="0.8"/>
        <n v="0.8182"/>
        <n v="0.9697"/>
        <n v="0.9655"/>
        <n v="0.975"/>
        <n v="0.9538"/>
        <n v="0.9719"/>
        <n v="0.9891"/>
        <n v="0.9259"/>
        <n v="0.8571"/>
        <n v="0.9"/>
        <n v="0"/>
        <n v="0.9167"/>
        <n v="0.5"/>
        <m/>
      </sharedItems>
    </cacheField>
    <cacheField name="推荐报价（购买按钮）百分比 – B2B" numFmtId="0">
      <sharedItems containsString="0" containsBlank="1" containsNumber="1" minValue="0" maxValue="1" count="14">
        <n v="0.975"/>
        <n v="0.9935"/>
        <n v="1"/>
        <n v="0.9592"/>
        <n v="0.9487"/>
        <n v="0.875"/>
        <n v="0.9565"/>
        <n v="0.6667"/>
        <n v="0"/>
        <n v="0.7333"/>
        <n v="0.75"/>
        <n v="0.8889"/>
        <n v="0.5"/>
        <m/>
      </sharedItems>
    </cacheField>
    <cacheField name="已订购商品数量" numFmtId="0">
      <sharedItems containsString="0" containsBlank="1" containsNumber="1" containsInteger="1" minValue="0" maxValue="563" count="55">
        <n v="323"/>
        <n v="563"/>
        <n v="251"/>
        <n v="150"/>
        <n v="121"/>
        <n v="107"/>
        <n v="101"/>
        <n v="87"/>
        <n v="85"/>
        <n v="86"/>
        <n v="70"/>
        <n v="65"/>
        <n v="67"/>
        <n v="60"/>
        <n v="59"/>
        <n v="53"/>
        <n v="49"/>
        <n v="43"/>
        <n v="57"/>
        <n v="37"/>
        <n v="41"/>
        <n v="36"/>
        <n v="39"/>
        <n v="35"/>
        <n v="30"/>
        <n v="31"/>
        <n v="28"/>
        <n v="29"/>
        <n v="26"/>
        <n v="27"/>
        <n v="25"/>
        <n v="23"/>
        <n v="24"/>
        <n v="21"/>
        <n v="20"/>
        <n v="18"/>
        <n v="19"/>
        <n v="17"/>
        <n v="16"/>
        <n v="15"/>
        <n v="14"/>
        <n v="13"/>
        <n v="12"/>
        <n v="11"/>
        <n v="10"/>
        <n v="9"/>
        <n v="8"/>
        <n v="7"/>
        <n v="6"/>
        <n v="5"/>
        <n v="4"/>
        <n v="3"/>
        <n v="2"/>
        <n v="1"/>
        <m/>
      </sharedItems>
    </cacheField>
  </cacheFields>
</pivotCacheDefinition>
</file>

<file path=xl/pivotCache/pivotCacheDefinition19.xml><?xml version="1.0" encoding="utf-8"?>
<pivotCacheDefinition xmlns="http://schemas.openxmlformats.org/spreadsheetml/2006/main" xmlns:r="http://schemas.openxmlformats.org/officeDocument/2006/relationships" r:id="rId1" createdVersion="5" refreshedVersion="5" minRefreshableVersion="3" refreshedDate="45219.5880092593" refreshedBy="Administrator" recordCount="114">
  <cacheSource type="worksheet">
    <worksheetSource ref="G1:W1048576" sheet="商品广告1012-1018" r:id="rId2"/>
  </cacheSource>
  <cacheFields count="19">
    <cacheField name="广告SKU" numFmtId="0">
      <sharedItems containsBlank="1" count="74">
        <s v="Y03652-BL+Y03653+Y03654"/>
        <s v="Y3013-BL+Y3014"/>
        <s v="Y03742-BL+Y03743"/>
        <s v="Y3015-BL+Y3016+Y3017"/>
        <s v="Y3018-BL+Y3019"/>
        <s v="E03391-BL+E03271"/>
        <s v="E03390-BL+E03240"/>
        <s v="E03388-BL+E03267"/>
        <s v="E03135-bl"/>
        <s v="E03375-BL+E03380+E03397"/>
        <s v="E03375-NB+E03380+E03397"/>
        <s v="Y03466-BL+E03063"/>
        <s v="Y3033-BL+Y3034+Y3035"/>
        <s v="Y03507-BL+Y03508+Y03509"/>
        <s v="Y3043-BL"/>
        <s v="E03386-NB+E03268-02"/>
        <s v="Y3025-BL+Y3026"/>
        <s v="Y3031-NB+Y3032"/>
        <s v="Y3029-BL+Y3030"/>
        <s v="Y3027-BL+Y3028"/>
        <s v="E03386-BL+E03268-02"/>
        <s v="E03386-OR+E03268-02"/>
        <s v="Y03450-NB+Y03477"/>
        <s v="Y03449-BL+Y03476"/>
        <s v="Y03451-NB+Y03478"/>
        <s v="Y03451-BL+Y03478"/>
        <s v="Y03561-BL+Y03562+Y03565"/>
        <s v="Y03561-OR+Y03562+Y03565"/>
        <s v="Y3036-BL"/>
        <s v="Y3049-BL+Y3050+Y3051"/>
        <s v="Y3046-BL+Y3047+Y3048"/>
        <s v="Y03564-BL+Y03565+Y03566"/>
        <s v="Y3033-DB+Y3034+Y3035"/>
        <s v="Y3060-BL+Y3061+Y3062"/>
        <s v="Y3079-NB+Y3079"/>
        <s v="Y3056-BL+Y3057"/>
        <s v="Y3052-NB+Y3053"/>
        <s v="Y3054-NB+Y3055"/>
        <s v="Y3058-NB"/>
        <s v="Y3060-OR+Y3061+Y3062"/>
        <s v="Y3074-BL"/>
        <s v="Y3080-BL+Y3081"/>
        <s v="Y3085-DB+Y3086+Y3087"/>
        <s v="Y3085-BL+Y3086+Y3087"/>
        <s v="Y3075-BL"/>
        <s v="Y3082-BL+Y3083+Y3084"/>
        <s v="Y3082-OR+Y3083+Y3084"/>
        <s v="Y3022-GK+Y3023+Y3024"/>
        <s v="Y3096-OR+Y3097+Y3098"/>
        <s v="Y3079-OR+Y3079"/>
        <s v="Y3075-NB"/>
        <s v="Y3039-GK"/>
        <s v="Y3096-DB+Y3097+Y3098"/>
        <s v="Y3106-BL+Y3107"/>
        <s v="Y3106-NB+Y3107"/>
        <s v="Y3106-BG+Y3107"/>
        <s v="Y3108-NB+Y3109"/>
        <s v="Y3108-BL+Y3109"/>
        <s v="Y3104-BL+Y3105"/>
        <s v="Y3104-NB+Y3105"/>
        <s v="Y3102-BL+Y3103"/>
        <s v="Y3102-NB+Y3103"/>
        <s v="Y3102-GN+Y3103"/>
        <s v="Y3110-GR"/>
        <s v="Y3110-BL"/>
        <s v="Y3111-GR"/>
        <s v="Y3111-BL"/>
        <s v="Y3110-NB"/>
        <s v="Y3111-NB"/>
        <s v="Y3089-BL+Y3090+Y3091"/>
        <s v="Y3092-BL+Y3093+Y3094"/>
        <s v="Y3095-BL"/>
        <s v="Y3088-BL"/>
        <m/>
      </sharedItems>
    </cacheField>
    <cacheField name="广告ASIN" numFmtId="0">
      <sharedItems containsBlank="1" count="72">
        <s v="B09MHS412L"/>
        <s v="B09V278J16"/>
        <s v="B09Y19ZRB9"/>
        <s v="B09V2H6GTC"/>
        <s v="B09WZYBG5Y"/>
        <s v="B094HRCLXF"/>
        <s v="B094FTXFCS"/>
        <s v="B093W782KT"/>
        <s v="B093KZ59LY"/>
        <s v="B096TKYS6R"/>
        <s v="B096TMB4ZM"/>
        <s v="B098T1675V"/>
        <s v="B0B7MS7DMW"/>
        <s v="B09B1M73FL"/>
        <s v="B0B9M8LQ18"/>
        <s v="B09CPQ77F1"/>
        <s v="B0B8N6JY13"/>
        <s v="B0B8NG2TXD"/>
        <s v="B0B8NBWGMM"/>
        <s v="B0B8N8W6KW"/>
        <s v="B09CPPMYNK"/>
        <s v="B09CPPSVMQ"/>
        <s v="B09FPDDPNN"/>
        <s v="B09FP627KW"/>
        <s v="B09FKWZKZQ"/>
        <s v="B09FKY9NB2"/>
        <s v="B09H2FVVKR"/>
        <s v="B09H29QXK4"/>
        <s v="B0B9XK7L5X"/>
        <s v="B0BFQY2HCW"/>
        <s v="B0BFVNJNYV"/>
        <s v="B09HGDHZQ1"/>
        <s v="B0B7NK6JNL"/>
        <s v="B0BMFRH2YG"/>
        <s v="B0BRMXH62X"/>
        <s v="B0BP6PXXBQ"/>
        <s v="B0BJ6GLSG2"/>
        <s v="B0BP6MC99V"/>
        <s v="B0BP6MGMJS"/>
        <s v="B0BMFPDY3X"/>
        <s v="B0BWYDK4SR"/>
        <s v="B0BYYZWVLM"/>
        <s v="B0C3CJHH5Z"/>
        <s v="B0C3CMYH84"/>
        <s v="B0BWYBZ4DM"/>
        <s v="B0C3CKPXV1"/>
        <s v="B0C3CLT91T"/>
        <s v="B0B6V94936"/>
        <s v="B0C84VL5PH"/>
        <s v="B0BRMWFB9L"/>
        <s v="B0BWY9YYSH"/>
        <s v="B0B9XJNDBZ"/>
        <s v="B0C84VPJMX"/>
        <s v="B0CF1RXKWZ"/>
        <s v="B0CF1MGFCV"/>
        <s v="B0CF1TRFC4"/>
        <s v="B0CF1PHY2H"/>
        <s v="B0CF1TJQ3P"/>
        <s v="B0CF1Q7BQF"/>
        <s v="B0CF1TR544"/>
        <s v="B0CF1RC4FF"/>
        <s v="B0CF1RH614"/>
        <s v="B0CF1Q1BCQ"/>
        <s v="B0CH9TXMJ8"/>
        <s v="B0CH9X3J1D"/>
        <s v="B0CH9VTT4D"/>
        <s v="B0CH9V5XYG"/>
        <s v="B0CH9XH5Z3"/>
        <s v="B0CH9VBDY9"/>
        <s v="B0C5CPJ62G"/>
        <s v="B0C4NFGQYS"/>
        <m/>
      </sharedItems>
    </cacheField>
    <cacheField name="展示量" numFmtId="0">
      <sharedItems containsString="0" containsBlank="1" containsNumber="1" containsInteger="1" minValue="0" maxValue="24610" count="110">
        <n v="2966"/>
        <n v="7525"/>
        <n v="8947"/>
        <n v="3033"/>
        <n v="6264"/>
        <n v="13314"/>
        <n v="2068"/>
        <n v="542"/>
        <n v="1968"/>
        <n v="3545"/>
        <n v="2759"/>
        <n v="4454"/>
        <n v="8127"/>
        <n v="1685"/>
        <n v="3340"/>
        <n v="3719"/>
        <n v="2918"/>
        <n v="3253"/>
        <n v="2928"/>
        <n v="0"/>
        <n v="5246"/>
        <n v="2059"/>
        <n v="1249"/>
        <n v="3832"/>
        <n v="3987"/>
        <n v="8534"/>
        <n v="408"/>
        <n v="4351"/>
        <n v="6270"/>
        <n v="1517"/>
        <n v="1044"/>
        <n v="2440"/>
        <n v="2209"/>
        <n v="462"/>
        <n v="1954"/>
        <n v="3501"/>
        <n v="1441"/>
        <n v="1979"/>
        <n v="6370"/>
        <n v="11281"/>
        <n v="1822"/>
        <n v="165"/>
        <n v="3512"/>
        <n v="3776"/>
        <n v="513"/>
        <n v="2988"/>
        <n v="2884"/>
        <n v="6312"/>
        <n v="4503"/>
        <n v="709"/>
        <n v="2480"/>
        <n v="4391"/>
        <n v="2485"/>
        <n v="3510"/>
        <n v="4136"/>
        <n v="789"/>
        <n v="396"/>
        <n v="3934"/>
        <n v="1131"/>
        <n v="8423"/>
        <n v="353"/>
        <n v="16801"/>
        <n v="1061"/>
        <n v="5322"/>
        <n v="741"/>
        <n v="824"/>
        <n v="3921"/>
        <n v="1564"/>
        <n v="1780"/>
        <n v="2213"/>
        <n v="68"/>
        <n v="113"/>
        <n v="3014"/>
        <n v="1902"/>
        <n v="2114"/>
        <n v="1411"/>
        <n v="1287"/>
        <n v="1860"/>
        <n v="1379"/>
        <n v="5650"/>
        <n v="2095"/>
        <n v="7066"/>
        <n v="960"/>
        <n v="2404"/>
        <n v="1276"/>
        <n v="2107"/>
        <n v="1368"/>
        <n v="1657"/>
        <n v="551"/>
        <n v="2311"/>
        <n v="4218"/>
        <n v="1679"/>
        <n v="1340"/>
        <n v="2316"/>
        <n v="5569"/>
        <n v="4702"/>
        <n v="24610"/>
        <n v="12125"/>
        <n v="3144"/>
        <n v="2796"/>
        <n v="2212"/>
        <n v="1321"/>
        <n v="13"/>
        <n v="1506"/>
        <n v="725"/>
        <n v="652"/>
        <n v="325"/>
        <n v="1239"/>
        <n v="757"/>
        <m/>
      </sharedItems>
    </cacheField>
    <cacheField name="点击量" numFmtId="0">
      <sharedItems containsString="0" containsBlank="1" containsNumber="1" containsInteger="1" minValue="0" maxValue="106" count="48">
        <n v="11"/>
        <n v="47"/>
        <n v="56"/>
        <n v="35"/>
        <n v="44"/>
        <n v="80"/>
        <n v="26"/>
        <n v="24"/>
        <n v="29"/>
        <n v="85"/>
        <n v="22"/>
        <n v="18"/>
        <n v="19"/>
        <n v="23"/>
        <n v="28"/>
        <n v="0"/>
        <n v="58"/>
        <n v="13"/>
        <n v="25"/>
        <n v="41"/>
        <n v="106"/>
        <n v="2"/>
        <n v="71"/>
        <n v="9"/>
        <n v="27"/>
        <n v="14"/>
        <n v="20"/>
        <n v="36"/>
        <n v="4"/>
        <n v="6"/>
        <n v="46"/>
        <n v="98"/>
        <n v="12"/>
        <n v="3"/>
        <n v="21"/>
        <n v="45"/>
        <n v="16"/>
        <n v="42"/>
        <n v="30"/>
        <n v="8"/>
        <n v="62"/>
        <n v="93"/>
        <n v="7"/>
        <n v="15"/>
        <n v="39"/>
        <n v="5"/>
        <n v="1"/>
        <m/>
      </sharedItems>
    </cacheField>
    <cacheField name="点击率(CTR)" numFmtId="0">
      <sharedItems containsString="0" containsBlank="1" containsNumber="1" minValue="0" maxValue="0.0265486725663717" count="106">
        <n v="0.00370869858395145"/>
        <n v="0.00624584717607973"/>
        <n v="0.00625908125628702"/>
        <n v="0.0115397296406198"/>
        <n v="0.0070242656449553"/>
        <n v="0.00600871263331831"/>
        <n v="0.0125725338491296"/>
        <n v="0.0202952029520295"/>
        <n v="0.0121951219512195"/>
        <n v="0.00818053596614951"/>
        <n v="0.00869880391446176"/>
        <n v="0.00651100134710373"/>
        <n v="0.010458963947336"/>
        <n v="0.0130563798219585"/>
        <n v="0.00538922155688623"/>
        <n v="0.00510890024200054"/>
        <n v="0.00788211103495545"/>
        <n v="0.00860743928681217"/>
        <n v="0.00819672131147541"/>
        <m/>
        <n v="0.0110560426991994"/>
        <n v="0.00631374453618261"/>
        <n v="0.0144115292233787"/>
        <n v="0.00652400835073069"/>
        <n v="0.0102834211186356"/>
        <n v="0.0124209046168268"/>
        <n v="0.00490196078431373"/>
        <n v="0.00551597333946219"/>
        <n v="0.0113237639553429"/>
        <n v="0.001318391562294"/>
        <n v="0.00862068965517241"/>
        <n v="0.0110655737704918"/>
        <n v="0.006337709370756"/>
        <n v="0.0194805194805195"/>
        <n v="0.0102354145342886"/>
        <n v="0.0102827763496144"/>
        <n v="0.00277585010409438"/>
        <n v="0.00303183425972713"/>
        <n v="0.00722135007849294"/>
        <n v="0.00868717312295009"/>
        <n v="0.00658616904500549"/>
        <n v="0.0181818181818182"/>
        <n v="0.00597949886104784"/>
        <n v="0.0119173728813559"/>
        <n v="0.0116959064327485"/>
        <n v="0.00870147255689424"/>
        <n v="0.00208044382801664"/>
        <n v="0.0112484157160963"/>
        <n v="0.00644015101043749"/>
        <n v="0.0126939351198872"/>
        <n v="0.00645161290322581"/>
        <n v="0.00364381689820087"/>
        <n v="0.0169014084507042"/>
        <n v="0.010655737704918"/>
        <n v="0.00854700854700855"/>
        <n v="0.00507736943907157"/>
        <n v="0.0101394169835234"/>
        <n v="0"/>
        <n v="0.00610066090493137"/>
        <n v="0.0026525198938992"/>
        <n v="0.00736079781550516"/>
        <n v="0.0055353847985239"/>
        <n v="0.0131950989632422"/>
        <n v="0.00864336715520481"/>
        <n v="0.00539811066126856"/>
        <n v="0.0169902912621359"/>
        <n v="0.00178525886253507"/>
        <n v="0.00767263427109974"/>
        <n v="0.00393258426966292"/>
        <n v="0.00316312697695436"/>
        <n v="0.0265486725663717"/>
        <n v="0.0072992700729927"/>
        <n v="0.00315457413249211"/>
        <n v="0.0033112582781457"/>
        <n v="0.00425230333097094"/>
        <n v="0.00233100233100233"/>
        <n v="0.0010752688172043"/>
        <n v="0.00145032632342277"/>
        <n v="0.00123893805309735"/>
        <n v="0.00381861575178998"/>
        <n v="0.000849136711010473"/>
        <n v="0.0045757071547421"/>
        <n v="0.0117554858934169"/>
        <n v="0.00142382534409112"/>
        <n v="0.00219298245614035"/>
        <n v="0.00181050090525045"/>
        <n v="0.00346170488965816"/>
        <n v="0.00213371266002845"/>
        <n v="0.00178677784395473"/>
        <n v="0.00447761194029851"/>
        <n v="0.00863557858376511"/>
        <n v="0.000538696354821332"/>
        <n v="0.00148872820076563"/>
        <n v="0.00178789110117838"/>
        <n v="0.00321649484536082"/>
        <n v="0.00254452926208651"/>
        <n v="0.00107296137339056"/>
        <n v="0.00226039783001808"/>
        <n v="0.00908402725208176"/>
        <n v="0.00597609561752988"/>
        <n v="0.00275862068965517"/>
        <n v="0.00613496932515337"/>
        <n v="0.0153846153846154"/>
        <n v="0.000807102502017756"/>
        <n v="0.00660501981505945"/>
        <n v="0.00378501135503407"/>
      </sharedItems>
    </cacheField>
    <cacheField name="每次点击成本(CPC)" numFmtId="0">
      <sharedItems containsString="0" containsBlank="1" containsNumber="1" minValue="0" maxValue="0.79125" count="103">
        <n v="0.413636363636364"/>
        <n v="0.389787234042553"/>
        <n v="0.321607142857143"/>
        <n v="0.348285714285714"/>
        <n v="0.43"/>
        <n v="0.40025"/>
        <n v="0.363076923076923"/>
        <n v="0.360909090909091"/>
        <n v="0.400833333333333"/>
        <n v="0.423448275862069"/>
        <n v="0.2875"/>
        <n v="0.340689655172414"/>
        <n v="0.386117647058824"/>
        <n v="0.373636363636364"/>
        <n v="0.230555555555556"/>
        <n v="0.335789473684211"/>
        <n v="0.265652173913043"/>
        <n v="0.389642857142857"/>
        <n v="0.35625"/>
        <m/>
        <n v="0.398793103448276"/>
        <n v="0.293076923076923"/>
        <n v="0.335555555555556"/>
        <n v="0.412"/>
        <n v="0.250487804878049"/>
        <n v="0.283867924528302"/>
        <n v="0.46"/>
        <n v="0.32375"/>
        <n v="0.383380281690141"/>
        <n v="0.34"/>
        <n v="0.292222222222222"/>
        <n v="0.307037037037037"/>
        <n v="0.32"/>
        <n v="0.307777777777778"/>
        <n v="0.4365"/>
        <n v="0.381111111111111"/>
        <n v="0.4325"/>
        <n v="0.281666666666667"/>
        <n v="0.369782608695652"/>
        <n v="0.343979591836735"/>
        <n v="0.355833333333333"/>
        <n v="0.283333333333333"/>
        <n v="0.251428571428571"/>
        <n v="0.297777777777778"/>
        <n v="0.345"/>
        <n v="0.342307692307692"/>
        <n v="0.278333333333333"/>
        <n v="0.405070422535211"/>
        <n v="0.409655172413793"/>
        <n v="0.374444444444444"/>
        <n v="0.423125"/>
        <n v="0.395238095238095"/>
        <n v="0.355769230769231"/>
        <n v="0.369666666666667"/>
        <n v="0.497619047619048"/>
        <n v="0.36875"/>
        <n v="0.552916666666667"/>
        <n v="0.37"/>
        <n v="0.48241935483871"/>
        <n v="0.473978494623656"/>
        <n v="0.415714285714286"/>
        <n v="0.557173913043478"/>
        <n v="0.3975"/>
        <n v="0.44"/>
        <n v="0.347142857142857"/>
        <n v="0.6425"/>
        <n v="0.528571428571429"/>
        <n v="0.375714285714286"/>
        <n v="0.553333333333333"/>
        <n v="0.419090909090909"/>
        <n v="0.445"/>
        <n v="0.297142857142857"/>
        <n v="0.328333333333333"/>
        <n v="0.653333333333333"/>
        <n v="0.715"/>
        <n v="0.74"/>
        <n v="0.358571428571429"/>
        <n v="0.5175"/>
        <n v="0.581666666666667"/>
        <n v="0.718181818181818"/>
        <n v="0.683333333333334"/>
        <n v="0.753333333333333"/>
        <n v="0.663333333333333"/>
        <n v="0.536666666666667"/>
        <n v="0.615"/>
        <n v="0.725555555555556"/>
        <n v="0.716666666666667"/>
        <n v="0.723333333333333"/>
        <n v="0.485"/>
        <n v="0.736666666666667"/>
        <n v="0.657142857142857"/>
        <n v="0.706363636363636"/>
        <n v="0.674102564102564"/>
        <n v="0.79125"/>
        <n v="0.526666666666667"/>
        <n v="0.475"/>
        <n v="0.7"/>
        <n v="0.565"/>
        <n v="0.61"/>
        <n v="0.602"/>
        <n v="0.4"/>
        <n v="0.674"/>
        <n v="0.724"/>
      </sharedItems>
    </cacheField>
    <cacheField name="花费" numFmtId="0">
      <sharedItems containsString="0" containsBlank="1" containsNumber="1" minValue="0" maxValue="44.08" count="104">
        <n v="4.55"/>
        <n v="18.32"/>
        <n v="18.01"/>
        <n v="12.19"/>
        <n v="18.92"/>
        <n v="32.02"/>
        <n v="9.44"/>
        <n v="3.97"/>
        <n v="9.62"/>
        <n v="12.28"/>
        <n v="6.9"/>
        <n v="9.88"/>
        <n v="32.82"/>
        <n v="8.22"/>
        <n v="4.15"/>
        <n v="6.38"/>
        <n v="6.11"/>
        <n v="10.91"/>
        <n v="8.55"/>
        <n v="0"/>
        <n v="23.13"/>
        <n v="3.81"/>
        <n v="6.04"/>
        <n v="10.3"/>
        <n v="10.27"/>
        <n v="30.09"/>
        <n v="0.92"/>
        <n v="7.77"/>
        <n v="27.22"/>
        <n v="0.68"/>
        <n v="2.63"/>
        <n v="8.29"/>
        <n v="4.48"/>
        <n v="2.77"/>
        <n v="8.73"/>
        <n v="13.72"/>
        <n v="1.73"/>
        <n v="1.69"/>
        <n v="17.01"/>
        <n v="33.71"/>
        <n v="4.27"/>
        <n v="0.85"/>
        <n v="5.28"/>
        <n v="13.4"/>
        <n v="2.07"/>
        <n v="8.9"/>
        <n v="1.67"/>
        <n v="28.76"/>
        <n v="11.88"/>
        <n v="3.37"/>
        <n v="6.77"/>
        <n v="5.44"/>
        <n v="16.6"/>
        <n v="9.25"/>
        <n v="11.09"/>
        <n v="10.45"/>
        <n v="2.95"/>
        <n v="13.27"/>
        <n v="1.11"/>
        <n v="29.91"/>
        <n v="44.08"/>
        <n v="5.82"/>
        <n v="25.63"/>
        <n v="1.59"/>
        <n v="6.16"/>
        <n v="2.43"/>
        <n v="7.71"/>
        <n v="3.7"/>
        <n v="1.66"/>
        <n v="9.22"/>
        <n v="2.67"/>
        <n v="2.08"/>
        <n v="1.97"/>
        <n v="1.96"/>
        <n v="1.43"/>
        <n v="1.48"/>
        <n v="2.51"/>
        <n v="4.14"/>
        <n v="3.49"/>
        <n v="7.9"/>
        <n v="10.25"/>
        <n v="2.26"/>
        <n v="1.99"/>
        <n v="1.61"/>
        <n v="4.92"/>
        <n v="6.53"/>
        <n v="2.15"/>
        <n v="4.34"/>
        <n v="9.7"/>
        <n v="2.21"/>
        <n v="4.6"/>
        <n v="31.08"/>
        <n v="26.29"/>
        <n v="6.33"/>
        <n v="1.58"/>
        <n v="2.3"/>
        <n v="5.7"/>
        <n v="6.3"/>
        <n v="1.13"/>
        <n v="2.44"/>
        <n v="3.01"/>
        <n v="0.4"/>
        <n v="3.62"/>
        <m/>
      </sharedItems>
    </cacheField>
    <cacheField name="7天总销售额" numFmtId="0">
      <sharedItems containsString="0" containsBlank="1" containsNumber="1" minValue="0" maxValue="284.67" count="20">
        <n v="38.97"/>
        <n v="77.94"/>
        <n v="181.86"/>
        <n v="12.99"/>
        <n v="102.81"/>
        <n v="233.82"/>
        <n v="25.98"/>
        <n v="64.95"/>
        <n v="180.75"/>
        <n v="0"/>
        <n v="116.91"/>
        <n v="51.96"/>
        <n v="90.93"/>
        <n v="168.87"/>
        <n v="284.67"/>
        <n v="32.97"/>
        <n v="27.99"/>
        <n v="29.63"/>
        <n v="15.99"/>
        <m/>
      </sharedItems>
    </cacheField>
    <cacheField name="广告成本销售比(ACOS)" numFmtId="0">
      <sharedItems containsString="0" containsBlank="1" containsNumber="1" minValue="0" maxValue="2.39260969976905" count="71">
        <n v="0.116756479343084"/>
        <n v="0.235052604567616"/>
        <n v="0.0990322225888046"/>
        <n v="0.938414164742109"/>
        <n v="0.184028790973641"/>
        <n v="0.136942947566504"/>
        <n v="0.242237618681037"/>
        <n v="0.305619707467283"/>
        <n v="0.370284834488068"/>
        <n v="0.315114190402874"/>
        <n v="0.106235565819861"/>
        <n v="0.15211701308699"/>
        <n v="0.181576763485477"/>
        <n v="0.210931485758276"/>
        <m/>
        <n v="0.0982294072363356"/>
        <n v="0.279958942776495"/>
        <n v="0.0731331793687452"/>
        <n v="0.127185747278126"/>
        <n v="0.0733256351039261"/>
        <n v="0.0664247223138678"/>
        <n v="0.198229407236336"/>
        <n v="0.263536053374391"/>
        <n v="0.178184402202878"/>
        <n v="0.598152424942263"/>
        <n v="0.349243007441622"/>
        <n v="0.202463433410316"/>
        <n v="0.638183217859892"/>
        <n v="0.086220169361047"/>
        <n v="0.168013856812933"/>
        <n v="0.150885296381832"/>
        <n v="0.130100076982294"/>
        <n v="0.21824480369515"/>
        <n v="0.118417817121579"/>
        <n v="0.328714395688991"/>
        <n v="0.10161662817552"/>
        <n v="0.257890685142417"/>
        <n v="0.228380805748011"/>
        <n v="0.246001197502352"/>
        <n v="0.10423402617398"/>
        <n v="0.319476520400308"/>
        <n v="0.712086220169361"/>
        <n v="0.142288940210418"/>
        <n v="0.402232486528099"/>
        <n v="0.227097767513472"/>
        <n v="0.402487109493479"/>
        <n v="0.460508083140877"/>
        <n v="0.565563253784963"/>
        <n v="0.448036951501155"/>
        <n v="0.493264049268668"/>
        <n v="0.187066974595843"/>
        <n v="0.593533487297921"/>
        <n v="0.284834488067744"/>
        <n v="0.118296125224532"/>
        <n v="0.0685142417244034"/>
        <n v="0.193225558121632"/>
        <n v="0.159353348729792"/>
        <n v="0.0765973826020016"/>
        <n v="0.123941493456505"/>
        <n v="0.189376443418014"/>
        <n v="0.373364126250962"/>
        <n v="0.354118552732871"/>
        <n v="2.39260969976905"/>
        <n v="0.674621503720811"/>
        <n v="0.48729792147806"/>
        <n v="0.0885296381832179"/>
        <n v="0.22508038585209"/>
        <n v="0.0403715612718828"/>
        <n v="0.082348970637867"/>
        <n v="0.107538406573776"/>
        <n v="0.226391494684178"/>
      </sharedItems>
    </cacheField>
    <cacheField name="投入产出比(ROAS)" numFmtId="0">
      <sharedItems containsString="0" containsBlank="1" containsNumber="1" minValue="0" maxValue="24.7699115044248" count="72">
        <n v="8.56483516483516"/>
        <n v="4.25436681222707"/>
        <n v="10.0977234869517"/>
        <n v="1.0656275635767"/>
        <n v="5.43393234672304"/>
        <n v="7.30231105559026"/>
        <n v="4.12817796610169"/>
        <n v="3.272040302267"/>
        <n v="2.7006237006237"/>
        <n v="3.17345276872964"/>
        <n v="9.41304347826087"/>
        <n v="6.57388663967611"/>
        <n v="5.5073126142596"/>
        <n v="4.74087591240876"/>
        <n v="0"/>
        <n v="10.1802507836991"/>
        <n v="3.57195233730522"/>
        <n v="13.6736842105263"/>
        <m/>
        <n v="7.86251621271076"/>
        <n v="13.6377952755906"/>
        <n v="15.0546357615894"/>
        <n v="5.04466019417476"/>
        <n v="3.79454722492697"/>
        <n v="5.61216350947159"/>
        <n v="1.67181467181467"/>
        <n v="2.86333578251286"/>
        <n v="4.93916349809886"/>
        <n v="1.56694813027744"/>
        <n v="11.5982142857143"/>
        <n v="5.95189003436426"/>
        <n v="6.62755102040816"/>
        <n v="7.68639053254438"/>
        <n v="4.58201058201058"/>
        <n v="8.44467517057254"/>
        <n v="3.04215456674473"/>
        <n v="9.84090909090909"/>
        <n v="3.87761194029851"/>
        <n v="4.37865168539326"/>
        <n v="4.06502086230876"/>
        <n v="9.59379615952733"/>
        <n v="3.13012048192771"/>
        <n v="1.40432432432432"/>
        <n v="7.02795311091073"/>
        <n v="2.48612440191387"/>
        <n v="4.40338983050848"/>
        <n v="2.48455162019593"/>
        <n v="2.17151454363089"/>
        <n v="1.76814882032668"/>
        <n v="2.2319587628866"/>
        <n v="2.02731174404994"/>
        <n v="5.34567901234568"/>
        <n v="1.68482490272374"/>
        <n v="3.51081081081081"/>
        <n v="8.45336225596529"/>
        <n v="14.5955056179775"/>
        <n v="5.17529880478088"/>
        <n v="6.27536231884058"/>
        <n v="13.0552763819095"/>
        <n v="8.06832298136646"/>
        <n v="5.28048780487805"/>
        <n v="2.67835051546392"/>
        <n v="2.82391304347826"/>
        <n v="0.417953667953668"/>
        <n v="1.48231266641308"/>
        <n v="2.0521327014218"/>
        <n v="11.295652173913"/>
        <n v="4.44285714285714"/>
        <n v="24.7699115044248"/>
        <n v="12.1434426229508"/>
        <n v="9.29900332225914"/>
        <n v="4.4171270718232"/>
      </sharedItems>
    </cacheField>
    <cacheField name="7天总订单数(#)" numFmtId="0">
      <sharedItems containsString="0" containsBlank="1" containsNumber="1" containsInteger="1" minValue="0" maxValue="21" count="13">
        <n v="3"/>
        <n v="6"/>
        <n v="14"/>
        <n v="1"/>
        <n v="8"/>
        <n v="16"/>
        <n v="5"/>
        <n v="13"/>
        <n v="0"/>
        <n v="4"/>
        <n v="21"/>
        <n v="2"/>
        <m/>
      </sharedItems>
    </cacheField>
    <cacheField name="7天总销售量(#)" numFmtId="0">
      <sharedItems containsString="0" containsBlank="1" containsNumber="1" containsInteger="1" minValue="0" maxValue="22" count="15">
        <n v="3"/>
        <n v="6"/>
        <n v="14"/>
        <n v="1"/>
        <n v="8"/>
        <n v="18"/>
        <n v="2"/>
        <n v="5"/>
        <n v="0"/>
        <n v="9"/>
        <n v="4"/>
        <n v="7"/>
        <n v="13"/>
        <n v="22"/>
        <m/>
      </sharedItems>
    </cacheField>
    <cacheField name="7天的转化率" numFmtId="0">
      <sharedItems containsString="0" containsBlank="1" containsNumber="1" minValue="0" maxValue="0.5" count="48">
        <n v="0.272727272727273"/>
        <n v="0.127659574468085"/>
        <n v="0.25"/>
        <n v="0.0285714285714286"/>
        <n v="0.181818181818182"/>
        <n v="0.2"/>
        <n v="0.115384615384615"/>
        <n v="0.0909090909090909"/>
        <n v="0.0416666666666667"/>
        <n v="0.103448275862069"/>
        <n v="0.208333333333333"/>
        <n v="0.172413793103448"/>
        <n v="0.152941176470588"/>
        <n v="0.136363636363636"/>
        <n v="0"/>
        <n v="0.263157894736842"/>
        <n v="0.107142857142857"/>
        <n v="0.333333333333333"/>
        <m/>
        <n v="0.241379310344828"/>
        <n v="0.307692307692308"/>
        <n v="0.16"/>
        <n v="0.0731707317073171"/>
        <n v="0.122641509433962"/>
        <n v="0.0845070422535211"/>
        <n v="0.111111111111111"/>
        <n v="0.037037037037037"/>
        <n v="0.285714285714286"/>
        <n v="0.166666666666667"/>
        <n v="0.108695652173913"/>
        <n v="0.214285714285714"/>
        <n v="0.0833333333333333"/>
        <n v="0.19047619047619"/>
        <n v="0.0888888888888889"/>
        <n v="0.112676056338028"/>
        <n v="0.0952380952380952"/>
        <n v="0.0384615384615385"/>
        <n v="0.125"/>
        <n v="0.0806451612903226"/>
        <n v="0.0645161290322581"/>
        <n v="0.0714285714285714"/>
        <n v="0.0869565217391304"/>
        <n v="0.142857142857143"/>
        <n v="0.5"/>
        <n v="0.1"/>
        <n v="0.0227272727272727"/>
        <n v="0.0769230769230769"/>
        <n v="0.4"/>
      </sharedItems>
    </cacheField>
    <cacheField name="7天内广告SKU销售量(#)" numFmtId="0">
      <sharedItems containsString="0" containsBlank="1" containsNumber="1" containsInteger="1" minValue="0" maxValue="17" count="12">
        <n v="1"/>
        <n v="4"/>
        <n v="11"/>
        <n v="13"/>
        <n v="0"/>
        <n v="2"/>
        <n v="10"/>
        <n v="3"/>
        <n v="9"/>
        <n v="7"/>
        <n v="17"/>
        <m/>
      </sharedItems>
    </cacheField>
    <cacheField name="7天内其他SKU销售量(#)" numFmtId="0">
      <sharedItems containsString="0" containsBlank="1" containsNumber="1" containsInteger="1" minValue="0" maxValue="7" count="9">
        <n v="2"/>
        <n v="3"/>
        <n v="0"/>
        <n v="4"/>
        <n v="5"/>
        <n v="1"/>
        <n v="6"/>
        <n v="7"/>
        <m/>
      </sharedItems>
    </cacheField>
    <cacheField name="7天内广告SKU销售额" numFmtId="0">
      <sharedItems containsString="0" containsBlank="1" containsNumber="1" minValue="0" maxValue="220.83" count="15">
        <n v="12.99"/>
        <n v="51.96"/>
        <n v="142.89"/>
        <n v="50.85"/>
        <n v="168.87"/>
        <n v="0"/>
        <n v="25.98"/>
        <n v="128.79"/>
        <n v="38.97"/>
        <n v="116.91"/>
        <n v="90.93"/>
        <n v="220.83"/>
        <n v="27.99"/>
        <n v="15.99"/>
        <m/>
      </sharedItems>
    </cacheField>
    <cacheField name="7天内其他SKU销售额" numFmtId="0">
      <sharedItems containsString="0" containsBlank="1" containsNumber="1" minValue="0" maxValue="90.93" count="13">
        <n v="25.98"/>
        <n v="38.97"/>
        <n v="0"/>
        <n v="51.96"/>
        <n v="64.95"/>
        <n v="12.99"/>
        <n v="77.94"/>
        <n v="63.84"/>
        <n v="90.93"/>
        <n v="32.97"/>
        <n v="27.99"/>
        <n v="29.63"/>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20.xml><?xml version="1.0" encoding="utf-8"?>
<pivotCacheDefinition xmlns="http://schemas.openxmlformats.org/spreadsheetml/2006/main" xmlns:r="http://schemas.openxmlformats.org/officeDocument/2006/relationships" r:id="rId1" createdVersion="5" refreshedVersion="5" minRefreshableVersion="3" refreshedDate="45219.5881828704" refreshedBy="Administrator" recordCount="122">
  <cacheSource type="worksheet">
    <worksheetSource ref="G1:W1048576" sheet="商品广告1004-1018" r:id="rId2"/>
  </cacheSource>
  <cacheFields count="19">
    <cacheField name="广告SKU" numFmtId="0">
      <sharedItems containsBlank="1" count="79">
        <s v="Y03652-BL+Y03653+Y03654"/>
        <s v="Y3013-BL+Y3014"/>
        <s v="Y03742-BL+Y03743"/>
        <s v="Y3015-BL+Y3016+Y3017"/>
        <s v="Y3018-BL+Y3019"/>
        <s v="E03391-BL+E03271"/>
        <s v="E03390-BL+E03240"/>
        <s v="E03106-OR+E03109+E03129"/>
        <s v="E03388-BL+E03267"/>
        <s v="E03135-bl"/>
        <s v="E03375-BL+E03380+E03397"/>
        <s v="E03375-NB+E03380+E03397"/>
        <s v="Y03466-BL+E03063"/>
        <s v="Y3033-BL+Y3034+Y3035"/>
        <s v="Y03507-BL+Y03508+Y03509"/>
        <s v="Y3042-BL"/>
        <s v="Y3044-DK"/>
        <s v="Y3043-BL"/>
        <s v="E03386-NB+E03268-02"/>
        <s v="Y3025-BL+Y3026"/>
        <s v="Y3031-NB+Y3032"/>
        <s v="Y3029-BL+Y3030"/>
        <s v="Y3027-BL+Y3028"/>
        <s v="E03386-BL+E03268-02"/>
        <s v="E03386-OR+E03268-02"/>
        <s v="Y03450-NB+Y03477"/>
        <s v="Y03449-BL+Y03476"/>
        <s v="Y03451-NB+Y03478"/>
        <s v="Y03451-BL+Y03478"/>
        <s v="Y03561-BL+Y03562+Y03565"/>
        <s v="Y03561-OR+Y03562+Y03565"/>
        <s v="Y3036-BL"/>
        <s v="Y3049-BL+Y3050+Y3051"/>
        <s v="Y3046-BL+Y3047+Y3048"/>
        <s v="Y03564-BL+Y03565+Y03566"/>
        <s v="Y3033-DB+Y3034+Y3035"/>
        <s v="Y3060-BL+Y3061+Y3062"/>
        <s v="Y3079-NB+Y3079"/>
        <s v="Y3056-BL+Y3057"/>
        <s v="Y3052-NB+Y3053"/>
        <s v="Y3054-NB+Y3055"/>
        <s v="Y3056-NB+Y3057"/>
        <s v="Y3058-NB"/>
        <s v="Y3060-OR+Y3061+Y3062"/>
        <s v="Y3074-BL"/>
        <s v="Y3080-BL+Y3081"/>
        <s v="Y3085-DB+Y3086+Y3087"/>
        <s v="Y3085-BL+Y3086+Y3087"/>
        <s v="Y3075-BL"/>
        <s v="Y3082-BL+Y3083+Y3084"/>
        <s v="Y3082-OR+Y3083+Y3084"/>
        <s v="Y3022-GK+Y3023+Y3024"/>
        <s v="Y3096-OR+Y3097+Y3098"/>
        <s v="Y3079-OR+Y3079"/>
        <s v="Y3075-NB"/>
        <s v="Y3039-GK"/>
        <s v="Y3096-DB+Y3097+Y3098"/>
        <s v="Y3106-BL+Y3107"/>
        <s v="Y3106-NB+Y3107"/>
        <s v="Y3106-BG+Y3107"/>
        <s v="Y3108-NB+Y3109"/>
        <s v="Y3108-BL+Y3109"/>
        <s v="Y3108-BG+Y3109"/>
        <s v="Y3104-BL+Y3105"/>
        <s v="Y3104-NB+Y3105"/>
        <s v="Y3102-BL+Y3103"/>
        <s v="Y3102-NB+Y3103"/>
        <s v="Y3102-GN+Y3103"/>
        <s v="Y3110-GR"/>
        <s v="Y3110-BL"/>
        <s v="Y3111-GR"/>
        <s v="Y3111-BL"/>
        <s v="Y3110-NB"/>
        <s v="Y3111-NB"/>
        <s v="Y3089-BL+Y3090+Y3091"/>
        <s v="Y3092-BL+Y3093+Y3094"/>
        <s v="Y3095-BL"/>
        <s v="Y3088-BL"/>
        <m/>
      </sharedItems>
    </cacheField>
    <cacheField name="广告ASIN" numFmtId="0">
      <sharedItems containsBlank="1" count="77">
        <s v="B09MHS412L"/>
        <s v="B09V278J16"/>
        <s v="B09Y19ZRB9"/>
        <s v="B09V2H6GTC"/>
        <s v="B09WZYBG5Y"/>
        <s v="B094HRCLXF"/>
        <s v="B094FTXFCS"/>
        <s v="B09331SXMC"/>
        <s v="B093W782KT"/>
        <s v="B093KZ59LY"/>
        <s v="B096TKYS6R"/>
        <s v="B096TMB4ZM"/>
        <s v="B098T1675V"/>
        <s v="B0B7MS7DMW"/>
        <s v="B09B1M73FL"/>
        <s v="B0B8YVKG4S"/>
        <s v="B0B92K7KPG"/>
        <s v="B0B9M8LQ18"/>
        <s v="B09CPQ77F1"/>
        <s v="B0B8N6JY13"/>
        <s v="B0B8NG2TXD"/>
        <s v="B0B8NBWGMM"/>
        <s v="B0B8N8W6KW"/>
        <s v="B09CPPMYNK"/>
        <s v="B09CPPSVMQ"/>
        <s v="B09FPDDPNN"/>
        <s v="B09FP627KW"/>
        <s v="B09FKWZKZQ"/>
        <s v="B09FKY9NB2"/>
        <s v="B09H2FVVKR"/>
        <s v="B09H29QXK4"/>
        <s v="B0B9XK7L5X"/>
        <s v="B0BFQY2HCW"/>
        <s v="B0BFVNJNYV"/>
        <s v="B09HGDHZQ1"/>
        <s v="B0B7NK6JNL"/>
        <s v="B0BMFRH2YG"/>
        <s v="B0BRMXH62X"/>
        <s v="B0BP6PXXBQ"/>
        <s v="B0BJ6GLSG2"/>
        <s v="B0BP6MC99V"/>
        <s v="B0BP6B6XFB"/>
        <s v="B0BP6MGMJS"/>
        <s v="B0BMFPDY3X"/>
        <s v="B0BWYDK4SR"/>
        <s v="B0BYYZWVLM"/>
        <s v="B0C3CJHH5Z"/>
        <s v="B0C3CMYH84"/>
        <s v="B0BWYBZ4DM"/>
        <s v="B0C3CKPXV1"/>
        <s v="B0C3CLT91T"/>
        <s v="B0B6V94936"/>
        <s v="B0C84VL5PH"/>
        <s v="B0BRMWFB9L"/>
        <s v="B0BWY9YYSH"/>
        <s v="B0B9XJNDBZ"/>
        <s v="B0C84VPJMX"/>
        <s v="B0CF1RXKWZ"/>
        <s v="B0CF1MGFCV"/>
        <s v="B0CF1TRFC4"/>
        <s v="B0CF1PHY2H"/>
        <s v="B0CF1TJQ3P"/>
        <s v="B0CF1QV5PP"/>
        <s v="B0CF1Q7BQF"/>
        <s v="B0CF1TR544"/>
        <s v="B0CF1RC4FF"/>
        <s v="B0CF1RH614"/>
        <s v="B0CF1Q1BCQ"/>
        <s v="B0CH9TXMJ8"/>
        <s v="B0CH9X3J1D"/>
        <s v="B0CH9VTT4D"/>
        <s v="B0CH9V5XYG"/>
        <s v="B0CH9XH5Z3"/>
        <s v="B0CH9VBDY9"/>
        <s v="B0C5CPJ62G"/>
        <s v="B0C4NFGQYS"/>
        <m/>
      </sharedItems>
    </cacheField>
    <cacheField name="展示量" numFmtId="0">
      <sharedItems containsString="0" containsBlank="1" containsNumber="1" containsInteger="1" minValue="0" maxValue="31177" count="121">
        <n v="6468"/>
        <n v="17426"/>
        <n v="21359"/>
        <n v="7525"/>
        <n v="12439"/>
        <n v="27121"/>
        <n v="4924"/>
        <n v="1048"/>
        <n v="3930"/>
        <n v="7235"/>
        <n v="5705"/>
        <n v="9440"/>
        <n v="2070"/>
        <n v="19094"/>
        <n v="3805"/>
        <n v="8236"/>
        <n v="6931"/>
        <n v="6168"/>
        <n v="7708"/>
        <n v="7809"/>
        <n v="0"/>
        <n v="12602"/>
        <n v="4100"/>
        <n v="2956"/>
        <n v="8231"/>
        <n v="9860"/>
        <n v="18248"/>
        <n v="9"/>
        <n v="324"/>
        <n v="884"/>
        <n v="9007"/>
        <n v="15745"/>
        <n v="2433"/>
        <n v="2553"/>
        <n v="5064"/>
        <n v="6280"/>
        <n v="1039"/>
        <n v="5120"/>
        <n v="4204"/>
        <n v="4463"/>
        <n v="4203"/>
        <n v="20362"/>
        <n v="28785"/>
        <n v="4800"/>
        <n v="165"/>
        <n v="7713"/>
        <n v="5080"/>
        <n v="1180"/>
        <n v="6248"/>
        <n v="6659"/>
        <n v="11104"/>
        <n v="11352"/>
        <n v="1688"/>
        <n v="4954"/>
        <n v="12018"/>
        <n v="6577"/>
        <n v="5774"/>
        <n v="9778"/>
        <n v="9186"/>
        <n v="793"/>
        <n v="952"/>
        <n v="10783"/>
        <n v="1251"/>
        <n v="4137"/>
        <n v="20521"/>
        <n v="2465"/>
        <n v="653"/>
        <n v="31177"/>
        <n v="4446"/>
        <n v="17717"/>
        <n v="2160"/>
        <n v="2302"/>
        <n v="8464"/>
        <n v="3192"/>
        <n v="5681"/>
        <n v="5180"/>
        <n v="222"/>
        <n v="308"/>
        <n v="1572"/>
        <n v="8060"/>
        <n v="6025"/>
        <n v="5168"/>
        <n v="4902"/>
        <n v="5433"/>
        <n v="1433"/>
        <n v="3229"/>
        <n v="4413"/>
        <n v="2972"/>
        <n v="14635"/>
        <n v="2675"/>
        <n v="2458"/>
        <n v="16105"/>
        <n v="2126"/>
        <n v="6473"/>
        <n v="4640"/>
        <n v="3998"/>
        <n v="2797"/>
        <n v="2971"/>
        <n v="1355"/>
        <n v="5876"/>
        <n v="15400"/>
        <n v="4125"/>
        <n v="2623"/>
        <n v="2348"/>
        <n v="5569"/>
        <n v="4695"/>
        <n v="24609"/>
        <n v="12117"/>
        <n v="3143"/>
        <n v="2796"/>
        <n v="2212"/>
        <n v="1320"/>
        <n v="16"/>
        <n v="3141"/>
        <n v="1505"/>
        <n v="1266"/>
        <n v="693"/>
        <n v="4731"/>
        <n v="2872"/>
        <n v="2759"/>
        <m/>
      </sharedItems>
    </cacheField>
    <cacheField name="点击量" numFmtId="0">
      <sharedItems containsString="0" containsBlank="1" containsNumber="1" containsInteger="1" minValue="0" maxValue="219" count="69">
        <n v="29"/>
        <n v="103"/>
        <n v="111"/>
        <n v="79"/>
        <n v="109"/>
        <n v="168"/>
        <n v="70"/>
        <n v="27"/>
        <n v="42"/>
        <n v="59"/>
        <n v="55"/>
        <n v="19"/>
        <n v="202"/>
        <n v="58"/>
        <n v="40"/>
        <n v="37"/>
        <n v="47"/>
        <n v="65"/>
        <n v="0"/>
        <n v="126"/>
        <n v="26"/>
        <n v="34"/>
        <n v="75"/>
        <n v="84"/>
        <n v="219"/>
        <n v="1"/>
        <n v="4"/>
        <n v="6"/>
        <n v="45"/>
        <n v="166"/>
        <n v="12"/>
        <n v="56"/>
        <n v="44"/>
        <n v="15"/>
        <n v="106"/>
        <n v="211"/>
        <n v="20"/>
        <n v="3"/>
        <n v="43"/>
        <n v="14"/>
        <n v="62"/>
        <n v="68"/>
        <n v="28"/>
        <n v="53"/>
        <n v="60"/>
        <n v="61"/>
        <n v="8"/>
        <n v="17"/>
        <n v="121"/>
        <n v="11"/>
        <n v="188"/>
        <n v="100"/>
        <n v="9"/>
        <n v="38"/>
        <n v="24"/>
        <n v="25"/>
        <n v="13"/>
        <n v="22"/>
        <n v="35"/>
        <n v="18"/>
        <n v="7"/>
        <n v="5"/>
        <n v="2"/>
        <n v="16"/>
        <n v="23"/>
        <n v="32"/>
        <n v="39"/>
        <n v="10"/>
        <m/>
      </sharedItems>
    </cacheField>
    <cacheField name="点击率(CTR)" numFmtId="0">
      <sharedItems containsString="0" containsBlank="1" containsNumber="1" minValue="0" maxValue="0.111111111111111" count="117">
        <n v="0.00448361162646877"/>
        <n v="0.00591070813726615"/>
        <n v="0.00519687251275809"/>
        <n v="0.0104983388704319"/>
        <n v="0.00876276227992604"/>
        <n v="0.00619446185612625"/>
        <n v="0.0142160844841592"/>
        <n v="0.025763358778626"/>
        <n v="0.0106870229007634"/>
        <n v="0.00815480304077401"/>
        <n v="0.00736196319018405"/>
        <n v="0.00582627118644068"/>
        <n v="0.00917874396135266"/>
        <n v="0.0105792395516916"/>
        <n v="0.0152431011826544"/>
        <n v="0.00485672656629432"/>
        <n v="0.00533833501659212"/>
        <n v="0.00761997405966278"/>
        <n v="0.00843279709392839"/>
        <n v="0.00896401587911384"/>
        <m/>
        <n v="0.00999841295032534"/>
        <n v="0.00634146341463415"/>
        <n v="0.0115020297699594"/>
        <n v="0.00911189405904507"/>
        <n v="0.00851926977687627"/>
        <n v="0.012001315212626"/>
        <n v="0.111111111111111"/>
        <n v="0.0123456790123457"/>
        <n v="0.00678733031674208"/>
        <n v="0.00499611413345176"/>
        <n v="0.0105430295331851"/>
        <n v="0.00164406083025072"/>
        <n v="0.00744222483352918"/>
        <n v="0.00928120063191153"/>
        <n v="0.00668789808917198"/>
        <n v="0.0115495668912416"/>
        <n v="0.0109375"/>
        <n v="0.0104662226450999"/>
        <n v="0.00336096795877213"/>
        <n v="0.00285510349750178"/>
        <n v="0.00520577546409979"/>
        <n v="0.00733020670488102"/>
        <n v="0.00416666666666667"/>
        <n v="0.0181818181818182"/>
        <n v="0.00557500324128095"/>
        <n v="0.0114173228346457"/>
        <n v="0.011864406779661"/>
        <n v="0.00992317541613316"/>
        <n v="0.00225259047905091"/>
        <n v="0.00981628242074928"/>
        <n v="0.00599013389711064"/>
        <n v="0.0118483412322275"/>
        <n v="0.00565199838514332"/>
        <n v="0.00441005158928274"/>
        <n v="0.0114033753991181"/>
        <n v="0.0103914097679252"/>
        <n v="0.00623849457966864"/>
        <n v="0.00478989767036795"/>
        <n v="0.0100882723833544"/>
        <n v="0"/>
        <n v="0.00408049707873505"/>
        <n v="0.00239808153477218"/>
        <n v="0.00410925791636452"/>
        <n v="0.00589639881097412"/>
        <n v="0.00446247464503043"/>
        <n v="0.00153139356814701"/>
        <n v="0.00603008628155371"/>
        <n v="0.00832208726945569"/>
        <n v="0.00564429643844895"/>
        <n v="0.0165073848827107"/>
        <n v="0.00318998109640832"/>
        <n v="0.0075187969924812"/>
        <n v="0.00440063369125154"/>
        <n v="0.00250965250965251"/>
        <n v="0.0194805194805195"/>
        <n v="0.0139949109414758"/>
        <n v="0.00682382133995037"/>
        <n v="0.0112863070539419"/>
        <n v="0.00677244582043344"/>
        <n v="0.00367197062423501"/>
        <n v="0.00331308669243512"/>
        <n v="0.00488485694347523"/>
        <n v="0.00123877361412202"/>
        <n v="0.00113301608882846"/>
        <n v="0.000672947510094213"/>
        <n v="0.00075162282200205"/>
        <n v="0.00598130841121495"/>
        <n v="0.00366151342554923"/>
        <n v="0.000807202732070785"/>
        <n v="0.000940733772342427"/>
        <n v="0.00355322107214584"/>
        <n v="0.00689655172413793"/>
        <n v="0.00150075037518759"/>
        <n v="0.00250268144440472"/>
        <n v="0.00235610905419051"/>
        <n v="0.000738007380073801"/>
        <n v="0.00255275697753574"/>
        <n v="0.00116883116883117"/>
        <n v="0.00145454545454545"/>
        <n v="0.00533739992375143"/>
        <n v="0.00851788756388416"/>
        <n v="0.000538696354821332"/>
        <n v="0.00149094781682641"/>
        <n v="0.00178796375309846"/>
        <n v="0.0032186184699183"/>
        <n v="0.00254533884823417"/>
        <n v="0.00107296137339056"/>
        <n v="0.00226039783001808"/>
        <n v="0.00909090909090909"/>
        <n v="0.00573065902578797"/>
        <n v="0.00664451827242525"/>
        <n v="0.00394944707740916"/>
        <n v="0.0115440115440115"/>
        <n v="0.000845487212005918"/>
        <n v="0.00348189415041783"/>
        <n v="0.0054367524465386"/>
      </sharedItems>
    </cacheField>
    <cacheField name="每次点击成本(CPC)" numFmtId="0">
      <sharedItems containsString="0" containsBlank="1" containsNumber="1" minValue="0" maxValue="0.79125" count="116">
        <n v="0.416551724137931"/>
        <n v="0.382621359223301"/>
        <n v="0.324144144144144"/>
        <n v="0.346329113924051"/>
        <n v="0.417614678899083"/>
        <n v="0.40172619047619"/>
        <n v="0.355428571428571"/>
        <n v="0.349259259259259"/>
        <n v="0.376904761904762"/>
        <n v="0.438305084745763"/>
        <n v="0.292857142857143"/>
        <n v="0.329272727272727"/>
        <n v="0.343684210526316"/>
        <n v="0.392277227722772"/>
        <n v="0.371896551724138"/>
        <n v="0.25475"/>
        <n v="0.338648648648649"/>
        <n v="0.268510638297872"/>
        <n v="0.389538461538462"/>
        <n v="0.351857142857143"/>
        <m/>
        <n v="0.405714285714285"/>
        <n v="0.286538461538461"/>
        <n v="0.335588235294118"/>
        <n v="0.4228"/>
        <n v="0.285238095238095"/>
        <n v="0.291643835616438"/>
        <n v="0.45"/>
        <n v="0.3925"/>
        <n v="0.506666666666667"/>
        <n v="0.332666666666667"/>
        <n v="0.389518072289157"/>
        <n v="0.26"/>
        <n v="0.311052631578947"/>
        <n v="0.315957446808511"/>
        <n v="0.352619047619048"/>
        <n v="0.351666666666667"/>
        <n v="0.4475"/>
        <n v="0.380909090909091"/>
        <n v="0.405333333333333"/>
        <n v="0.2725"/>
        <n v="0.360754716981132"/>
        <n v="0.330331753554502"/>
        <n v="0.3605"/>
        <n v="0.283333333333333"/>
        <n v="0.264651162790698"/>
        <n v="0.299655172413793"/>
        <n v="0.352857142857143"/>
        <n v="0.338709677419355"/>
        <n v="0.266"/>
        <n v="0.415137614678899"/>
        <n v="0.411764705882353"/>
        <n v="0.3815"/>
        <n v="0.420714285714286"/>
        <n v="0.326792452830189"/>
        <n v="0.3872"/>
        <n v="0.366333333333333"/>
        <n v="0.374918032786885"/>
        <n v="0.498181818181818"/>
        <n v="0.36875"/>
        <n v="0.556818181818182"/>
        <n v="0.37"/>
        <n v="0.510588235294118"/>
        <n v="0.487603305785124"/>
        <n v="0.393636363636364"/>
        <n v="0.22"/>
        <n v="0.470904255319149"/>
        <n v="0.432702702702703"/>
        <n v="0.5643"/>
        <n v="0.425555555555556"/>
        <n v="0.450263157894737"/>
        <n v="0.392962962962963"/>
        <n v="0.64625"/>
        <n v="0.6344"/>
        <n v="0.477692307692308"/>
        <n v="0.603333333333333"/>
        <n v="0.233181818181818"/>
        <n v="0.426363636363636"/>
        <n v="0.549705882352941"/>
        <n v="0.419428571428572"/>
        <n v="0.483888888888889"/>
        <n v="0.317777777777778"/>
        <n v="0.345714285714286"/>
        <n v="0.6725"/>
        <n v="0.69"/>
        <n v="0.74"/>
        <n v="0.427272727272727"/>
        <n v="0.54875"/>
        <n v="0.6"/>
        <n v="0.555384615384615"/>
        <n v="0.75"/>
        <n v="0.72"/>
        <n v="0.700625"/>
        <n v="0.658571428571429"/>
        <n v="0.58"/>
        <n v="0.65"/>
        <n v="0.674"/>
        <n v="0.687777777777778"/>
        <n v="0.708333333333333"/>
        <n v="0.702142857142857"/>
        <n v="0.485"/>
        <n v="0.736666666666667"/>
        <n v="0.657142857142857"/>
        <n v="0.706363636363636"/>
        <n v="0.674102564102564"/>
        <n v="0.79125"/>
        <n v="0.526666666666667"/>
        <n v="0.46"/>
        <n v="0.475"/>
        <n v="0.614444444444444"/>
        <n v="0.601"/>
        <n v="0.628"/>
        <n v="0.6925"/>
        <n v="0.4125"/>
        <n v="0.668"/>
        <n v="0.747333333333333"/>
      </sharedItems>
    </cacheField>
    <cacheField name="花费" numFmtId="0">
      <sharedItems containsString="0" containsBlank="1" containsNumber="1" minValue="0" maxValue="88.5300000000001" count="118">
        <n v="12.08"/>
        <n v="39.41"/>
        <n v="35.98"/>
        <n v="27.36"/>
        <n v="45.52"/>
        <n v="67.49"/>
        <n v="24.88"/>
        <n v="9.43"/>
        <n v="15.83"/>
        <n v="25.86"/>
        <n v="12.3"/>
        <n v="18.11"/>
        <n v="6.53"/>
        <n v="79.24"/>
        <n v="21.57"/>
        <n v="10.19"/>
        <n v="12.53"/>
        <n v="12.62"/>
        <n v="25.32"/>
        <n v="24.63"/>
        <n v="0"/>
        <n v="51.12"/>
        <n v="7.45"/>
        <n v="11.41"/>
        <n v="31.71"/>
        <n v="23.96"/>
        <n v="63.87"/>
        <n v="0.45"/>
        <n v="1.57"/>
        <n v="3.04"/>
        <n v="14.97"/>
        <n v="64.66"/>
        <n v="1.04"/>
        <n v="5.91"/>
        <n v="14.85"/>
        <n v="14.81"/>
        <n v="4.22"/>
        <n v="25.06"/>
        <n v="16.76"/>
        <n v="6.08"/>
        <n v="3.27"/>
        <n v="38.24"/>
        <n v="69.7"/>
        <n v="7.21"/>
        <n v="0.85"/>
        <n v="11.38"/>
        <n v="17.38"/>
        <n v="4.94"/>
        <n v="21"/>
        <n v="3.99"/>
        <n v="45.25"/>
        <n v="28"/>
        <n v="7.63"/>
        <n v="11.78"/>
        <n v="17.32"/>
        <n v="29.04"/>
        <n v="21.98"/>
        <n v="22.87"/>
        <n v="21.92"/>
        <n v="2.95"/>
        <n v="24.5"/>
        <n v="1.11"/>
        <n v="8.68"/>
        <n v="59"/>
        <n v="4.33"/>
        <n v="0.22"/>
        <n v="88.5300000000001"/>
        <n v="16.01"/>
        <n v="56.43"/>
        <n v="3.83"/>
        <n v="17.11"/>
        <n v="10.61"/>
        <n v="15.51"/>
        <n v="15.86"/>
        <n v="6.21"/>
        <n v="3.62"/>
        <n v="5.13"/>
        <n v="23.45"/>
        <n v="37.38"/>
        <n v="14.68"/>
        <n v="8.71"/>
        <n v="5.72"/>
        <n v="2.42"/>
        <n v="2.69"/>
        <n v="3.45"/>
        <n v="1.48"/>
        <n v="4.7"/>
        <n v="8.78"/>
        <n v="5.4"/>
        <n v="7.22"/>
        <n v="1.5"/>
        <n v="16.56"/>
        <n v="22.42"/>
        <n v="4.44"/>
        <n v="4.61"/>
        <n v="4.06"/>
        <n v="0.65"/>
        <n v="10.11"/>
        <n v="12.38"/>
        <n v="4.25"/>
        <n v="9.83"/>
        <n v="9.7"/>
        <n v="2.21"/>
        <n v="4.6"/>
        <n v="31.08"/>
        <n v="26.29"/>
        <n v="6.33"/>
        <n v="1.58"/>
        <n v="2.3"/>
        <n v="5.7"/>
        <n v="11.06"/>
        <n v="6.01"/>
        <n v="3.14"/>
        <n v="5.54"/>
        <n v="1.65"/>
        <n v="6.68"/>
        <n v="11.21"/>
        <m/>
      </sharedItems>
    </cacheField>
    <cacheField name="7天总销售额" numFmtId="0">
      <sharedItems containsString="0" containsBlank="1" containsNumber="1" minValue="0" maxValue="545.46" count="55">
        <n v="75.94"/>
        <n v="463.64"/>
        <n v="315.64"/>
        <n v="51.96"/>
        <n v="220.71"/>
        <n v="367.6"/>
        <n v="114.91"/>
        <n v="25.98"/>
        <n v="89.82"/>
        <n v="88.93"/>
        <n v="102.81"/>
        <n v="138.89"/>
        <n v="23.98"/>
        <n v="368.49"/>
        <n v="42.97"/>
        <n v="92.93"/>
        <n v="112.91"/>
        <n v="303.76"/>
        <n v="0"/>
        <n v="446.65"/>
        <n v="90.93"/>
        <n v="192.85"/>
        <n v="312.75"/>
        <n v="36.97"/>
        <n v="234.81"/>
        <n v="49.96"/>
        <n v="12.99"/>
        <n v="100.92"/>
        <n v="11.99"/>
        <n v="165.76"/>
        <n v="545.46"/>
        <n v="10.99"/>
        <n v="72.83"/>
        <n v="187.75"/>
        <n v="34.97"/>
        <n v="71.94"/>
        <n v="64.95"/>
        <n v="83.83"/>
        <n v="53.95"/>
        <n v="19.98"/>
        <n v="114.82"/>
        <n v="214.83"/>
        <n v="147.88"/>
        <n v="33.87"/>
        <n v="82.93"/>
        <n v="21.98"/>
        <n v="142.88"/>
        <n v="62.95"/>
        <n v="38.97"/>
        <n v="55.98"/>
        <n v="58.91"/>
        <n v="29.63"/>
        <n v="27.99"/>
        <n v="43.98"/>
        <m/>
      </sharedItems>
    </cacheField>
    <cacheField name="广告成本销售比(ACOS)" numFmtId="0">
      <sharedItems containsString="0" containsBlank="1" containsNumber="1" minValue="0" maxValue="2.39260969976905" count="90">
        <n v="0.159072952330787"/>
        <n v="0.0850012941074972"/>
        <n v="0.113990622227854"/>
        <n v="0.526558891454965"/>
        <n v="0.206243486928549"/>
        <n v="0.183596300326442"/>
        <n v="0.216517274388652"/>
        <n v="0.362971516551193"/>
        <n v="0.176241371632153"/>
        <n v="0.290790509389407"/>
        <n v="0.119638167493434"/>
        <n v="0.130390956872345"/>
        <n v="0.272310258548791"/>
        <n v="0.215039756845504"/>
        <n v="0.155302757577939"/>
        <n v="0.237142192227135"/>
        <n v="0.134832669751426"/>
        <n v="0.485758275596613"/>
        <n v="0.224249402178726"/>
        <n v="0.0810837503292073"/>
        <m/>
        <n v="0.114452031792231"/>
        <n v="0.0981037661311562"/>
        <n v="0.125481139337952"/>
        <n v="0.16442831215971"/>
        <n v="0.263499395139118"/>
        <n v="0.204220623501199"/>
        <n v="0.404922910467947"/>
        <n v="0.275371577019718"/>
        <n v="0.118294635708567"/>
        <n v="1.1431870669746"/>
        <n v="0.162872539315957"/>
        <n v="0.329997366341849"/>
        <n v="0.16607213634562"/>
        <n v="0.507089241034195"/>
        <n v="0.251732101616628"/>
        <n v="0.230694980694981"/>
        <n v="0.127782055512778"/>
        <n v="0.55504234026174"/>
        <n v="0.149855148801686"/>
        <n v="0.334488067744419"/>
        <n v="0.449499545040946"/>
        <n v="0.288342715913772"/>
        <n v="0.241011984021305"/>
        <n v="0.800686302545039"/>
        <n v="0.293687451886066"/>
        <n v="0.132463735522321"/>
        <n v="0.240756185710314"/>
        <n v="0.447113163972287"/>
        <n v="0.236522113418702"/>
        <n v="0.164662682698538"/>
        <n v="0.261481569843731"/>
        <n v="0.227097767513472"/>
        <n v="0.454124189063948"/>
        <n v="0.434434434434434"/>
        <n v="0.513847761713987"/>
        <n v="0.412093283061025"/>
        <n v="0.320456365092074"/>
        <n v="0.381593183662429"/>
        <n v="0.147421093148576"/>
        <n v="0.313256569235312"/>
        <n v="0.596997690531178"/>
        <n v="0.191245628843603"/>
        <n v="0.329390354868062"/>
        <n v="0.233393994540491"/>
        <n v="1.9557964970809"/>
        <n v="0.261618141097424"/>
        <n v="0.193310508296023"/>
        <n v="0.138363780778396"/>
        <n v="0.156960873521383"/>
        <n v="0.361816782140108"/>
        <n v="0.337952270977675"/>
        <n v="0.207852193995381"/>
        <n v="1.50682438580528"/>
        <n v="0.177444187836798"/>
        <n v="0.312548113933795"/>
        <n v="0.389145496535797"/>
        <n v="0.563239308462238"/>
        <n v="0.756735950731332"/>
        <n v="0.373364126250962"/>
        <n v="0.354118552732871"/>
        <n v="2.39260969976905"/>
        <n v="0.674621503720811"/>
        <n v="0.48729792147806"/>
        <n v="0.0885296381832179"/>
        <n v="0.197570560914612"/>
        <n v="0.102020030555084"/>
        <n v="0.105973675329058"/>
        <n v="0.197927831368346"/>
        <n v="0.254888585720782"/>
      </sharedItems>
    </cacheField>
    <cacheField name="投入产出比(ROAS)" numFmtId="0">
      <sharedItems containsString="0" containsBlank="1" containsNumber="1" minValue="0" maxValue="12.3329273244011" count="91">
        <n v="6.2864238410596"/>
        <n v="11.7645267698554"/>
        <n v="8.77265147304058"/>
        <n v="1.89912280701754"/>
        <n v="4.84863796133568"/>
        <n v="5.44673284931101"/>
        <n v="4.6185691318328"/>
        <n v="2.75503711558855"/>
        <n v="5.67403663929248"/>
        <n v="3.43890177880897"/>
        <n v="8.35853658536585"/>
        <n v="7.66924351187189"/>
        <n v="3.67228177641654"/>
        <n v="4.65030287733468"/>
        <n v="6.43903569772832"/>
        <n v="4.21687929342493"/>
        <n v="7.41660015961692"/>
        <n v="2.05863708399366"/>
        <n v="4.45932069510268"/>
        <n v="12.3329273244011"/>
        <m/>
        <n v="8.73728482003131"/>
        <n v="10.193288590604"/>
        <n v="7.96932515337423"/>
        <n v="6.08167770419426"/>
        <n v="3.79507512520868"/>
        <n v="4.89666510098638"/>
        <n v="0"/>
        <n v="2.46960587842351"/>
        <n v="3.63145685122178"/>
        <n v="8.45346869712352"/>
        <n v="0.874747474747475"/>
        <n v="6.13977042538825"/>
        <n v="3.03032721468476"/>
        <n v="6.02147971360382"/>
        <n v="1.97203947368421"/>
        <n v="3.97247706422018"/>
        <n v="4.3347280334728"/>
        <n v="7.82582496413199"/>
        <n v="1.80166435506241"/>
        <n v="6.67311072056239"/>
        <n v="2.98964326812428"/>
        <n v="2.2246963562753"/>
        <n v="3.46809523809524"/>
        <n v="4.14917127071823"/>
        <n v="1.24892857142857"/>
        <n v="3.40498034076016"/>
        <n v="7.54923599320883"/>
        <n v="4.15357967667436"/>
        <n v="2.23657024793388"/>
        <n v="4.22793448589627"/>
        <n v="6.07302142544818"/>
        <n v="3.82436131386861"/>
        <n v="4.40338983050848"/>
        <n v="2.20204081632653"/>
        <n v="2.30184331797235"/>
        <n v="1.94610169491525"/>
        <n v="2.42663503896984"/>
        <n v="3.12054965646471"/>
        <n v="2.62059188374978"/>
        <n v="6.78328981723238"/>
        <n v="3.19227144203581"/>
        <n v="1.67504835589942"/>
        <n v="5.22887767969735"/>
        <n v="3.03591160220994"/>
        <n v="4.28460038986355"/>
        <n v="0.511300639658849"/>
        <n v="3.82236490101659"/>
        <n v="5.17302452316076"/>
        <n v="7.22732491389208"/>
        <n v="6.37101449275362"/>
        <n v="2.76382978723404"/>
        <n v="2.95899772209567"/>
        <n v="4.81111111111111"/>
        <n v="0.663647342995169"/>
        <n v="5.63557483731019"/>
        <n v="3.19950738916256"/>
        <n v="2.56973293768546"/>
        <n v="1.77544426494346"/>
        <n v="1.32146490335707"/>
        <n v="2.67835051546392"/>
        <n v="2.82391304347826"/>
        <n v="0.417953667953668"/>
        <n v="1.48231266641308"/>
        <n v="2.0521327014218"/>
        <n v="11.295652173913"/>
        <n v="5.06148282097649"/>
        <n v="9.80199667221298"/>
        <n v="9.43630573248408"/>
        <n v="5.05234657039711"/>
        <n v="3.92328278322926"/>
      </sharedItems>
    </cacheField>
    <cacheField name="7天总订单数(#)" numFmtId="0">
      <sharedItems containsString="0" containsBlank="1" containsNumber="1" containsInteger="1" minValue="0" maxValue="40" count="25">
        <n v="6"/>
        <n v="17"/>
        <n v="24"/>
        <n v="4"/>
        <n v="27"/>
        <n v="9"/>
        <n v="2"/>
        <n v="7"/>
        <n v="8"/>
        <n v="10"/>
        <n v="28"/>
        <n v="11"/>
        <n v="3"/>
        <n v="21"/>
        <n v="0"/>
        <n v="35"/>
        <n v="15"/>
        <n v="19"/>
        <n v="1"/>
        <n v="40"/>
        <n v="13"/>
        <n v="5"/>
        <n v="18"/>
        <n v="12"/>
        <m/>
      </sharedItems>
    </cacheField>
    <cacheField name="7天总销售量(#)" numFmtId="0">
      <sharedItems containsString="0" containsBlank="1" containsNumber="1" containsInteger="1" minValue="0" maxValue="43" count="26">
        <n v="6"/>
        <n v="36"/>
        <n v="25"/>
        <n v="4"/>
        <n v="18"/>
        <n v="29"/>
        <n v="9"/>
        <n v="2"/>
        <n v="7"/>
        <n v="8"/>
        <n v="11"/>
        <n v="3"/>
        <n v="24"/>
        <n v="0"/>
        <n v="35"/>
        <n v="15"/>
        <n v="26"/>
        <n v="19"/>
        <n v="1"/>
        <n v="13"/>
        <n v="43"/>
        <n v="14"/>
        <n v="5"/>
        <n v="10"/>
        <n v="12"/>
        <m/>
      </sharedItems>
    </cacheField>
    <cacheField name="7天的转化率" numFmtId="0">
      <sharedItems containsString="0" containsBlank="1" containsNumber="1" minValue="0" maxValue="0.4" count="68">
        <n v="0.206896551724138"/>
        <n v="0.16504854368932"/>
        <n v="0.216216216216216"/>
        <n v="0.0506329113924051"/>
        <n v="0.155963302752294"/>
        <n v="0.160714285714286"/>
        <n v="0.128571428571429"/>
        <n v="0.0740740740740741"/>
        <n v="0.142857142857143"/>
        <n v="0.11864406779661"/>
        <n v="0.19047619047619"/>
        <n v="0.181818181818182"/>
        <n v="0.105263157894737"/>
        <n v="0.138613861386139"/>
        <n v="0.189655172413793"/>
        <n v="0.075"/>
        <n v="0.189189189189189"/>
        <n v="0.0425531914893617"/>
        <n v="0.138461538461538"/>
        <n v="0.3"/>
        <m/>
        <n v="0.277777777777778"/>
        <n v="0.230769230769231"/>
        <n v="0.176470588235294"/>
        <n v="0.2"/>
        <n v="0.0714285714285714"/>
        <n v="0.10958904109589"/>
        <n v="0"/>
        <n v="0.0666666666666667"/>
        <n v="0.114457831325301"/>
        <n v="0.210526315789474"/>
        <n v="0.0212765957446809"/>
        <n v="0.166666666666667"/>
        <n v="0.107142857142857"/>
        <n v="0.159090909090909"/>
        <n v="0.0833333333333333"/>
        <n v="0.10377358490566"/>
        <n v="0.18957345971564"/>
        <n v="0.05"/>
        <n v="0.13953488372093"/>
        <n v="0.0689655172413793"/>
        <n v="0.0967741935483871"/>
        <n v="0.119266055045872"/>
        <n v="0.0441176470588235"/>
        <n v="0.1"/>
        <n v="0.214285714285714"/>
        <n v="0.113207547169811"/>
        <n v="0.116666666666667"/>
        <n v="0.180327868852459"/>
        <n v="0.136363636363636"/>
        <n v="0.125"/>
        <n v="0.113636363636364"/>
        <n v="0.117647058823529"/>
        <n v="0.0826446280991736"/>
        <n v="0.0957446808510638"/>
        <n v="0.0810810810810811"/>
        <n v="0.12"/>
        <n v="0.111111111111111"/>
        <n v="0.28"/>
        <n v="0.0909090909090909"/>
        <n v="0.0181818181818182"/>
        <n v="0.171428571428571"/>
        <n v="0.4"/>
        <n v="0.222222222222222"/>
        <n v="0.0434782608695652"/>
        <n v="0.133333333333333"/>
        <n v="0.0227272727272727"/>
        <n v="0.0769230769230769"/>
      </sharedItems>
    </cacheField>
    <cacheField name="7天内广告SKU销售量(#)" numFmtId="0">
      <sharedItems containsString="0" containsBlank="1" containsNumber="1" containsInteger="1" minValue="0" maxValue="33" count="21">
        <n v="4"/>
        <n v="28"/>
        <n v="16"/>
        <n v="3"/>
        <n v="9"/>
        <n v="21"/>
        <n v="1"/>
        <n v="6"/>
        <n v="2"/>
        <n v="7"/>
        <n v="5"/>
        <n v="12"/>
        <n v="0"/>
        <n v="22"/>
        <n v="11"/>
        <n v="17"/>
        <n v="15"/>
        <n v="8"/>
        <n v="33"/>
        <n v="10"/>
        <m/>
      </sharedItems>
    </cacheField>
    <cacheField name="7天内其他SKU销售量(#)" numFmtId="0">
      <sharedItems containsString="0" containsBlank="1" containsNumber="1" containsInteger="1" minValue="0" maxValue="14" count="15">
        <n v="2"/>
        <n v="8"/>
        <n v="9"/>
        <n v="1"/>
        <n v="6"/>
        <n v="4"/>
        <n v="5"/>
        <n v="0"/>
        <n v="12"/>
        <n v="13"/>
        <n v="3"/>
        <n v="10"/>
        <n v="14"/>
        <n v="7"/>
        <m/>
      </sharedItems>
    </cacheField>
    <cacheField name="7天内广告SKU销售额" numFmtId="0">
      <sharedItems containsString="0" containsBlank="1" containsNumber="1" minValue="0" maxValue="424.67" count="43">
        <n v="49.96"/>
        <n v="363.72"/>
        <n v="206.73"/>
        <n v="38.97"/>
        <n v="111.8"/>
        <n v="267.68"/>
        <n v="12.99"/>
        <n v="76.83"/>
        <n v="77.94"/>
        <n v="75.94"/>
        <n v="23.98"/>
        <n v="264.57"/>
        <n v="88.93"/>
        <n v="14.99"/>
        <n v="66.95"/>
        <n v="10.99"/>
        <n v="149.88"/>
        <n v="0"/>
        <n v="279.78"/>
        <n v="90.93"/>
        <n v="142.89"/>
        <n v="64.95"/>
        <n v="197.84"/>
        <n v="36.97"/>
        <n v="184.85"/>
        <n v="48.96"/>
        <n v="11.99"/>
        <n v="102.81"/>
        <n v="424.67"/>
        <n v="37.86"/>
        <n v="51.96"/>
        <n v="21.98"/>
        <n v="101.92"/>
        <n v="9.99"/>
        <n v="19.98"/>
        <n v="47.96"/>
        <n v="121.9"/>
        <n v="59.95"/>
        <n v="25.98"/>
        <n v="55.98"/>
        <n v="27.99"/>
        <n v="15.99"/>
        <m/>
      </sharedItems>
    </cacheField>
    <cacheField name="7天内其他SKU销售额" numFmtId="0">
      <sharedItems containsString="0" containsBlank="1" containsNumber="1" minValue="0" maxValue="166.87" count="36">
        <n v="25.98"/>
        <n v="99.92"/>
        <n v="108.91"/>
        <n v="12.99"/>
        <n v="75.94"/>
        <n v="49.96"/>
        <n v="24.87"/>
        <n v="62.95"/>
        <n v="0"/>
        <n v="103.92"/>
        <n v="27.98"/>
        <n v="101.92"/>
        <n v="153.88"/>
        <n v="166.87"/>
        <n v="36.97"/>
        <n v="114.91"/>
        <n v="38.97"/>
        <n v="51.96"/>
        <n v="120.79"/>
        <n v="34.97"/>
        <n v="135.79"/>
        <n v="47.96"/>
        <n v="79.94"/>
        <n v="83.83"/>
        <n v="43.96"/>
        <n v="9.99"/>
        <n v="94.84"/>
        <n v="33.87"/>
        <n v="45.96"/>
        <n v="11.99"/>
        <n v="82.93"/>
        <n v="10.99"/>
        <n v="58.91"/>
        <n v="29.63"/>
        <n v="27.99"/>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21.xml><?xml version="1.0" encoding="utf-8"?>
<pivotCacheDefinition xmlns="http://schemas.openxmlformats.org/spreadsheetml/2006/main" xmlns:r="http://schemas.openxmlformats.org/officeDocument/2006/relationships" r:id="rId1" createdVersion="5" refreshedVersion="5" minRefreshableVersion="3" refreshedDate="45219.5883912037" refreshedBy="Administrator" recordCount="134">
  <cacheSource type="worksheet">
    <worksheetSource ref="G1:W1048576" sheet="商品广告0919-1018" r:id="rId2"/>
  </cacheSource>
  <cacheFields count="19">
    <cacheField name="广告SKU" numFmtId="0">
      <sharedItems containsBlank="1" count="84">
        <s v="Y03652-BL+Y03653+Y03654"/>
        <s v="Y3006-TG+Y3008"/>
        <s v="Y3013-BL+Y3014"/>
        <s v="Y03742-BL+Y03743"/>
        <s v="Y3015-BL+Y3016+Y3017"/>
        <s v="Y3018-BL+Y3019"/>
        <s v="E03391-BL+E03271"/>
        <s v="E03390-BL+E03240"/>
        <s v="E03106-OR+E03109+E03129"/>
        <s v="E03388-BL+E03267"/>
        <s v="E03135-bl"/>
        <s v="E03375-BL+E03380+E03397"/>
        <s v="E03375-NB+E03380+E03397"/>
        <s v="Y03466-BL+E03063"/>
        <s v="Y3033-BL+Y3034+Y3035"/>
        <s v="Y03507-BL+Y03508+Y03509"/>
        <s v="Y3042-BL"/>
        <s v="Y3044-DK"/>
        <s v="Y3043-BL"/>
        <s v="Y3041-PI"/>
        <s v="E03386-NB+E03268-02"/>
        <s v="Y3025-BL+Y3026"/>
        <s v="Y3031-NB+Y3032"/>
        <s v="Y3031-BL+Y3032"/>
        <s v="Y3029-BL+Y3030"/>
        <s v="Y3027-BL+Y3028"/>
        <s v="E03386-BL+E03268-02"/>
        <s v="E03386-OR+E03268-02"/>
        <s v="Y03450-NB+Y03477"/>
        <s v="Y03449-BL+Y03476"/>
        <s v="Y03451-NB+Y03478"/>
        <s v="Y03451-BL+Y03478"/>
        <s v="Y03561-BL+Y03562+Y03565"/>
        <s v="Y03561-OR+Y03562+Y03565"/>
        <s v="Y3036-BL"/>
        <s v="Y3049-BL+Y3050+Y3051"/>
        <s v="Y3046-BL+Y3047+Y3048"/>
        <s v="Y03564-BL+Y03565+Y03566"/>
        <s v="Y3033-DB+Y3034+Y3035"/>
        <s v="Y3060-BL+Y3061+Y3062"/>
        <s v="Y3079-NB+Y3079"/>
        <s v="Y3056-BL+Y3057"/>
        <s v="Y3054-BL+Y3055"/>
        <s v="Y3052-NB+Y3053"/>
        <s v="Y3054-NB+Y3055"/>
        <s v="Y3056-NB+Y3057"/>
        <s v="Y3058-NB"/>
        <s v="Y3060-OR+Y3061+Y3062"/>
        <s v="Y3074-BL"/>
        <s v="Y3080-BL+Y3081"/>
        <s v="Y3085-DB+Y3086+Y3087"/>
        <s v="Y3085-BL+Y3086+Y3087"/>
        <s v="Y3075-BL"/>
        <s v="Y3082-BL+Y3083+Y3084"/>
        <s v="Y3082-OR+Y3083+Y3084"/>
        <s v="Y3022-GK+Y3023+Y3024"/>
        <s v="Y3096-OR+Y3097+Y3098"/>
        <s v="Y3079-OR+Y3079"/>
        <s v="Y3075-NB"/>
        <s v="Y3039-GK"/>
        <s v="Y3096-DB+Y3097+Y3098"/>
        <s v="Y3106-BL+Y3107"/>
        <s v="Y3106-NB+Y3107"/>
        <s v="Y3106-BG+Y3107"/>
        <s v="Y3108-NB+Y3109"/>
        <s v="Y3108-BL+Y3109"/>
        <s v="Y3108-BG+Y3109"/>
        <s v="Y3104-BL+Y3105"/>
        <s v="Y3104-NB+Y3105"/>
        <s v="Y3104-BG+Y3105"/>
        <s v="Y3102-NB+Y3103"/>
        <s v="Y3102-BL+Y3103"/>
        <s v="Y3102-GN+Y3103"/>
        <s v="Y3110-GR"/>
        <s v="Y3110-BL"/>
        <s v="Y3111-GR"/>
        <s v="Y3111-BL"/>
        <s v="Y3110-NB"/>
        <s v="Y3111-NB"/>
        <s v="Y3089-BL+Y3090+Y3091"/>
        <s v="Y3092-BL+Y3093+Y3094"/>
        <s v="Y3095-BL"/>
        <s v="Y3088-BL"/>
        <m/>
      </sharedItems>
    </cacheField>
    <cacheField name="广告ASIN" numFmtId="0">
      <sharedItems containsBlank="1" count="82">
        <s v="B09MHS412L"/>
        <s v="B09T3152G1"/>
        <s v="B09V278J16"/>
        <s v="B09Y19ZRB9"/>
        <s v="B09V2H6GTC"/>
        <s v="B09WZYBG5Y"/>
        <s v="B094HRCLXF"/>
        <s v="B094FTXFCS"/>
        <s v="B09331SXMC"/>
        <s v="B093W782KT"/>
        <s v="B093KZ59LY"/>
        <s v="B096TKYS6R"/>
        <s v="B096TMB4ZM"/>
        <s v="B098T1675V"/>
        <s v="B0B7MS7DMW"/>
        <s v="B09B1M73FL"/>
        <s v="B0B8YVKG4S"/>
        <s v="B0B92K7KPG"/>
        <s v="B0B9M8LQ18"/>
        <s v="B0B9MQ1DGF"/>
        <s v="B09CPQ77F1"/>
        <s v="B0B8N6JY13"/>
        <s v="B0B8NG2TXD"/>
        <s v="B0B8NDYW95"/>
        <s v="B0B8NBWGMM"/>
        <s v="B0B8N8W6KW"/>
        <s v="B09CPPMYNK"/>
        <s v="B09CPPSVMQ"/>
        <s v="B09FPDDPNN"/>
        <s v="B09FP627KW"/>
        <s v="B09FKWZKZQ"/>
        <s v="B09FKY9NB2"/>
        <s v="B09H2FVVKR"/>
        <s v="B09H29QXK4"/>
        <s v="B0B9XK7L5X"/>
        <s v="B0BFQY2HCW"/>
        <s v="B0BFVNJNYV"/>
        <s v="B09HGDHZQ1"/>
        <s v="B0B7NK6JNL"/>
        <s v="B0BMFRH2YG"/>
        <s v="B0BRMXH62X"/>
        <s v="B0BP6PXXBQ"/>
        <s v="B0BP68VBJP"/>
        <s v="B0BJ6GLSG2"/>
        <s v="B0BP6MC99V"/>
        <s v="B0BP6B6XFB"/>
        <s v="B0BP6MGMJS"/>
        <s v="B0BMFPDY3X"/>
        <s v="B0BWYDK4SR"/>
        <s v="B0BYYZWVLM"/>
        <s v="B0C3CJHH5Z"/>
        <s v="B0C3CMYH84"/>
        <s v="B0BWYBZ4DM"/>
        <s v="B0C3CKPXV1"/>
        <s v="B0C3CLT91T"/>
        <s v="B0B6V94936"/>
        <s v="B0C84VL5PH"/>
        <s v="B0BRMWFB9L"/>
        <s v="B0BWY9YYSH"/>
        <s v="B0B9XJNDBZ"/>
        <s v="B0C84VPJMX"/>
        <s v="B0CF1RXKWZ"/>
        <s v="B0CF1MGFCV"/>
        <s v="B0CF1TRFC4"/>
        <s v="B0CF1PHY2H"/>
        <s v="B0CF1TJQ3P"/>
        <s v="B0CF1QV5PP"/>
        <s v="B0CF1Q7BQF"/>
        <s v="B0CF1TR544"/>
        <s v="B0CF1RRYNR"/>
        <s v="B0CF1RH614"/>
        <s v="B0CF1RC4FF"/>
        <s v="B0CF1Q1BCQ"/>
        <s v="B0CH9TXMJ8"/>
        <s v="B0CH9X3J1D"/>
        <s v="B0CH9VTT4D"/>
        <s v="B0CH9V5XYG"/>
        <s v="B0CH9XH5Z3"/>
        <s v="B0CH9VBDY9"/>
        <s v="B0C5CPJ62G"/>
        <s v="B0C4NFGQYS"/>
        <m/>
      </sharedItems>
    </cacheField>
    <cacheField name="展示量" numFmtId="0">
      <sharedItems containsString="0" containsBlank="1" containsNumber="1" containsInteger="1" minValue="0" maxValue="62309" count="133">
        <n v="11286"/>
        <n v="37239"/>
        <n v="357"/>
        <n v="37767"/>
        <n v="14979"/>
        <n v="22944"/>
        <n v="54665"/>
        <n v="12205"/>
        <n v="1696"/>
        <n v="7060"/>
        <n v="13050"/>
        <n v="9362"/>
        <n v="17200"/>
        <n v="7869"/>
        <n v="36456"/>
        <n v="7158"/>
        <n v="14959"/>
        <n v="12110"/>
        <n v="11748"/>
        <n v="15066"/>
        <n v="12533"/>
        <n v="1601"/>
        <n v="21925"/>
        <n v="3638"/>
        <n v="7621"/>
        <n v="6392"/>
        <n v="15544"/>
        <n v="19997"/>
        <n v="36359"/>
        <n v="32"/>
        <n v="1071"/>
        <n v="1356"/>
        <n v="3986"/>
        <n v="15546"/>
        <n v="27475"/>
        <n v="2433"/>
        <n v="966"/>
        <n v="5373"/>
        <n v="11140"/>
        <n v="12647"/>
        <n v="1039"/>
        <n v="2259"/>
        <n v="10231"/>
        <n v="10243"/>
        <n v="8617"/>
        <n v="7292"/>
        <n v="30513"/>
        <n v="52450"/>
        <n v="9163"/>
        <n v="165"/>
        <n v="15453"/>
        <n v="8738"/>
        <n v="2536"/>
        <n v="11740"/>
        <n v="13330"/>
        <n v="19879"/>
        <n v="26392"/>
        <n v="4099"/>
        <n v="8042"/>
        <n v="20666"/>
        <n v="14603"/>
        <n v="10409"/>
        <n v="19963"/>
        <n v="18905"/>
        <n v="793"/>
        <n v="369"/>
        <n v="2350"/>
        <n v="5442"/>
        <n v="15765"/>
        <n v="1251"/>
        <n v="9205"/>
        <n v="31426"/>
        <n v="5975"/>
        <n v="1268"/>
        <n v="62309"/>
        <n v="8932"/>
        <n v="33309"/>
        <n v="3708"/>
        <n v="4050"/>
        <n v="13434"/>
        <n v="6594"/>
        <n v="9851"/>
        <n v="11856"/>
        <n v="491"/>
        <n v="569"/>
        <n v="5530"/>
        <n v="28559"/>
        <n v="14600"/>
        <n v="9257"/>
        <n v="7929"/>
        <n v="9524"/>
        <n v="1433"/>
        <n v="7409"/>
        <n v="10710"/>
        <n v="8313"/>
        <n v="21014"/>
        <n v="9529"/>
        <n v="12632"/>
        <n v="18116"/>
        <n v="3922"/>
        <n v="105"/>
        <n v="28478"/>
        <n v="3882"/>
        <n v="29609"/>
        <n v="20002"/>
        <n v="26822"/>
        <n v="3120"/>
        <n v="6823"/>
        <n v="4667"/>
        <n v="1947"/>
        <n v="7144"/>
        <n v="19852"/>
        <n v="9000"/>
        <n v="26179"/>
        <n v="6105"/>
        <n v="2348"/>
        <n v="5569"/>
        <n v="4695"/>
        <n v="24609"/>
        <n v="12117"/>
        <n v="3143"/>
        <n v="2796"/>
        <n v="2212"/>
        <n v="1320"/>
        <n v="40"/>
        <n v="5479"/>
        <n v="6104"/>
        <n v="2980"/>
        <n v="1219"/>
        <n v="5725"/>
        <n v="4387"/>
        <n v="6231"/>
        <m/>
      </sharedItems>
    </cacheField>
    <cacheField name="点击量" numFmtId="0">
      <sharedItems containsString="0" containsBlank="1" containsNumber="1" containsInteger="1" minValue="0" maxValue="417" count="87">
        <n v="74"/>
        <n v="190"/>
        <n v="0"/>
        <n v="215"/>
        <n v="154"/>
        <n v="232"/>
        <n v="336"/>
        <n v="175"/>
        <n v="41"/>
        <n v="78"/>
        <n v="90"/>
        <n v="73"/>
        <n v="128"/>
        <n v="66"/>
        <n v="396"/>
        <n v="118"/>
        <n v="75"/>
        <n v="64"/>
        <n v="81"/>
        <n v="125"/>
        <n v="131"/>
        <n v="17"/>
        <n v="222"/>
        <n v="22"/>
        <n v="51"/>
        <n v="142"/>
        <n v="417"/>
        <n v="1"/>
        <n v="23"/>
        <n v="11"/>
        <n v="27"/>
        <n v="298"/>
        <n v="4"/>
        <n v="7"/>
        <n v="47"/>
        <n v="103"/>
        <n v="76"/>
        <n v="12"/>
        <n v="26"/>
        <n v="121"/>
        <n v="86"/>
        <n v="38"/>
        <n v="21"/>
        <n v="168"/>
        <n v="380"/>
        <n v="35"/>
        <n v="3"/>
        <n v="104"/>
        <n v="107"/>
        <n v="177"/>
        <n v="172"/>
        <n v="49"/>
        <n v="32"/>
        <n v="173"/>
        <n v="111"/>
        <n v="141"/>
        <n v="8"/>
        <n v="34"/>
        <n v="58"/>
        <n v="44"/>
        <n v="191"/>
        <n v="6"/>
        <n v="385"/>
        <n v="233"/>
        <n v="48"/>
        <n v="46"/>
        <n v="45"/>
        <n v="31"/>
        <n v="71"/>
        <n v="171"/>
        <n v="164"/>
        <n v="70"/>
        <n v="36"/>
        <n v="14"/>
        <n v="15"/>
        <n v="16"/>
        <n v="79"/>
        <n v="33"/>
        <n v="18"/>
        <n v="13"/>
        <n v="84"/>
        <n v="29"/>
        <n v="20"/>
        <n v="39"/>
        <n v="5"/>
        <n v="25"/>
        <m/>
      </sharedItems>
    </cacheField>
    <cacheField name="点击率(CTR)" numFmtId="0">
      <sharedItems containsString="0" containsBlank="1" containsNumber="1" minValue="0" maxValue="0.03125" count="132">
        <n v="0.00655679603048024"/>
        <n v="0.00510217782432396"/>
        <n v="0"/>
        <n v="0.00569280059311039"/>
        <n v="0.0102810601508779"/>
        <n v="0.0101115760111576"/>
        <n v="0.00614652885758712"/>
        <n v="0.014338385907415"/>
        <n v="0.0241745283018868"/>
        <n v="0.0110481586402266"/>
        <n v="0.00689655172413793"/>
        <n v="0.00779747917111728"/>
        <n v="0.00744186046511628"/>
        <n v="0.00838734273732368"/>
        <n v="0.010862409479921"/>
        <n v="0.0164850516904163"/>
        <n v="0.00501370412460726"/>
        <n v="0.00528488852188274"/>
        <n v="0.00689479060265577"/>
        <n v="0.00829682729324306"/>
        <n v="0.0104524056490864"/>
        <n v="0.0106183635227983"/>
        <n v="0.0101254275940707"/>
        <n v="0.00604727872457394"/>
        <n v="0.00669203516598872"/>
        <n v="0.0115769712140175"/>
        <n v="0.00823468862583634"/>
        <n v="0.00710106515977397"/>
        <n v="0.0114689622926923"/>
        <n v="0.03125"/>
        <n v="0.0214752567693744"/>
        <n v="0.00811209439528024"/>
        <n v="0.00677370797792273"/>
        <n v="0.00411681461469188"/>
        <n v="0.0108462238398544"/>
        <n v="0.00164406083025072"/>
        <n v="0.0072463768115942"/>
        <n v="0.00874744090824493"/>
        <n v="0.009245960502693"/>
        <n v="0.00600933027595477"/>
        <n v="0.0115495668912416"/>
        <n v="0.0115095174856131"/>
        <n v="0.0118268008992278"/>
        <n v="0.00839597774089622"/>
        <n v="0.00440988743182082"/>
        <n v="0.00287986834887548"/>
        <n v="0.00550584996558844"/>
        <n v="0.00724499523355577"/>
        <n v="0.00381970970206264"/>
        <n v="0.0181818181818182"/>
        <n v="0.0067300847731832"/>
        <n v="0.00984206912336919"/>
        <n v="0.0102523659305994"/>
        <n v="0.00911413969335605"/>
        <n v="0.00382595648912228"/>
        <n v="0.00890386840384325"/>
        <n v="0.00651712640193998"/>
        <n v="0.0119541351549158"/>
        <n v="0.0039791096742104"/>
        <n v="0.00570986160843898"/>
        <n v="0.0118468807779223"/>
        <n v="0.0106638485925641"/>
        <n v="0.00706306667334569"/>
        <n v="0.0054482941020894"/>
        <n v="0.0100882723833544"/>
        <n v="0.021680216802168"/>
        <n v="0.00297872340425532"/>
        <n v="0.00624770305034914"/>
        <n v="0.0036790358388836"/>
        <n v="0.00239808153477218"/>
        <n v="0.00478001086366105"/>
        <n v="0.00607776999936359"/>
        <n v="0.00451882845188285"/>
        <n v="0.00473186119873817"/>
        <n v="0.00617888266542554"/>
        <n v="0.0100761307657859"/>
        <n v="0.00699510642769222"/>
        <n v="0.00323624595469256"/>
        <n v="0.0118518518518519"/>
        <n v="0.00342414768497841"/>
        <n v="0.00682438580527752"/>
        <n v="0.00517713937671302"/>
        <n v="0.00261470985155196"/>
        <n v="0.00203665987780041"/>
        <n v="0.0140597539543058"/>
        <n v="0.0128390596745027"/>
        <n v="0.00598760460800448"/>
        <n v="0.0112328767123288"/>
        <n v="0.00756184509020201"/>
        <n v="0.00454029511918275"/>
        <n v="0.00377992440151197"/>
        <n v="0.00488485694347523"/>
        <n v="0.00188959373734647"/>
        <n v="0.00140056022408964"/>
        <n v="0.00168410922651269"/>
        <n v="0.000999333777481679"/>
        <n v="0.00272851296043656"/>
        <n v="0.00506649778340722"/>
        <n v="0.000938396997129609"/>
        <n v="0.00101988781234064"/>
        <n v="0.00952380952380952"/>
        <n v="0.00172062644848655"/>
        <n v="0.00412158681092221"/>
        <n v="0.00266810766996521"/>
        <n v="0.00164983501649835"/>
        <n v="0.000969353515770636"/>
        <n v="0.00576923076923077"/>
        <n v="0.00205188333577605"/>
        <n v="0.00128562245553889"/>
        <n v="0.00410888546481767"/>
        <n v="0.00363941769316909"/>
        <n v="0.00115857344348176"/>
        <n v="0.00144444444444444"/>
        <n v="0.00320867871194469"/>
        <n v="0.00475020475020475"/>
        <n v="0.00851788756388416"/>
        <n v="0.000538696354821332"/>
        <n v="0.00149094781682641"/>
        <n v="0.00178796375309846"/>
        <n v="0.0032186184699183"/>
        <n v="0.00254533884823417"/>
        <n v="0.00107296137339056"/>
        <n v="0.00226039783001808"/>
        <n v="0.00909090909090909"/>
        <n v="0.00456287643730608"/>
        <n v="0.00360419397116645"/>
        <n v="0.00268456375838926"/>
        <n v="0.00902378999179656"/>
        <n v="0.00104803493449782"/>
        <n v="0.00387508547982676"/>
        <n v="0.00433317284545017"/>
        <m/>
      </sharedItems>
    </cacheField>
    <cacheField name="每次点击成本(CPC)" numFmtId="0">
      <sharedItems containsString="0" containsBlank="1" containsNumber="1" minValue="0" maxValue="0.79125" count="132">
        <n v="0.417972972972973"/>
        <n v="0.379263157894737"/>
        <m/>
        <n v="0.333023255813954"/>
        <n v="0.362077922077922"/>
        <n v="0.414827586206896"/>
        <n v="0.411577380952381"/>
        <n v="0.371085714285714"/>
        <n v="0.349756097560975"/>
        <n v="0.364102564102564"/>
        <n v="0.432555555555555"/>
        <n v="0.293972602739726"/>
        <n v="0.329609375"/>
        <n v="0.349090909090909"/>
        <n v="0.386136363636363"/>
        <n v="0.363474576271187"/>
        <n v="0.2696"/>
        <n v="0.31609375"/>
        <n v="0.275679012345679"/>
        <n v="0.3892"/>
        <n v="0.349007633587786"/>
        <n v="0.354117647058823"/>
        <n v="0.401531531531531"/>
        <n v="0.401363636363636"/>
        <n v="0.277450980392157"/>
        <n v="0.351891891891892"/>
        <n v="0.424375"/>
        <n v="0.275704225352113"/>
        <n v="0.298513189448441"/>
        <n v="0.45"/>
        <n v="0.397826086956522"/>
        <n v="0.54"/>
        <n v="0.388518518518519"/>
        <n v="0.331875"/>
        <n v="0.391845637583893"/>
        <n v="0.26"/>
        <n v="0.257142857142857"/>
        <n v="0.312553191489362"/>
        <n v="0.310679611650485"/>
        <n v="0.351973684210526"/>
        <n v="0.351666666666667"/>
        <n v="0.448846153846154"/>
        <n v="0.452066115702479"/>
        <n v="0.385813953488372"/>
        <n v="0.395"/>
        <n v="0.273809523809524"/>
        <n v="0.357916666666667"/>
        <n v="0.323868421052632"/>
        <n v="0.357428571428571"/>
        <n v="0.283333333333333"/>
        <n v="0.261442307692308"/>
        <n v="0.303837209302326"/>
        <n v="0.326538461538462"/>
        <n v="0.344859813084112"/>
        <n v="0.302156862745098"/>
        <n v="0.41180790960452"/>
        <n v="0.406337209302326"/>
        <n v="0.388571428571429"/>
        <n v="0.421875"/>
        <n v="0.331694915254237"/>
        <n v="0.385260115606936"/>
        <n v="0.372072072072072"/>
        <n v="0.379858156028369"/>
        <n v="0.512427184466019"/>
        <n v="0.36875"/>
        <n v="0.3775"/>
        <n v="0.3"/>
        <n v="0.559705882352941"/>
        <n v="0.553103448275862"/>
        <n v="0.37"/>
        <n v="0.502045454545455"/>
        <n v="0.498638743455497"/>
        <n v="0.365185185185185"/>
        <n v="0.36"/>
        <n v="0.466935064935065"/>
        <n v="0.431777777777778"/>
        <n v="0.579484978540773"/>
        <n v="0.408333333333333"/>
        <n v="0.464791666666667"/>
        <n v="0.425"/>
        <n v="0.644888888888889"/>
        <n v="0.647843137254902"/>
        <n v="0.454516129032258"/>
        <n v="0.66"/>
        <n v="0.59375"/>
        <n v="0.253661971830986"/>
        <n v="0.456081871345029"/>
        <n v="0.555853658536585"/>
        <n v="0.428857142857143"/>
        <n v="0.485833333333334"/>
        <n v="0.329444444444444"/>
        <n v="0.345714285714286"/>
        <n v="0.605714285714286"/>
        <n v="0.634666666666667"/>
        <n v="0.68"/>
        <n v="0.550476190476191"/>
        <n v="0.596153846153846"/>
        <n v="0.621875"/>
        <n v="0.586470588235294"/>
        <n v="0.73"/>
        <n v="0.52"/>
        <n v="0.55"/>
        <n v="0.717551020408163"/>
        <n v="0.73125"/>
        <n v="0.704177215189873"/>
        <n v="0.690909090909091"/>
        <n v="0.665384615384615"/>
        <n v="0.701666666666667"/>
        <n v="0.623571428571429"/>
        <n v="0.675"/>
        <n v="0.75"/>
        <n v="0.706153846153846"/>
        <n v="0.663478260869565"/>
        <n v="0.681538461538462"/>
        <n v="0.71547619047619"/>
        <n v="0.691379310344827"/>
        <n v="0.485"/>
        <n v="0.736666666666667"/>
        <n v="0.657142857142857"/>
        <n v="0.706363636363636"/>
        <n v="0.674102564102564"/>
        <n v="0.79125"/>
        <n v="0.526666666666667"/>
        <n v="0.46"/>
        <n v="0.475"/>
        <n v="0.6064"/>
        <n v="0.647727272727273"/>
        <n v="0.60125"/>
        <n v="0.653636363636364"/>
        <n v="0.423333333333333"/>
        <n v="0.668235294117647"/>
        <n v="0.717037037037037"/>
      </sharedItems>
    </cacheField>
    <cacheField name="花费" numFmtId="0">
      <sharedItems containsString="0" containsBlank="1" containsNumber="1" minValue="0" maxValue="179.77" count="132">
        <n v="30.93"/>
        <n v="72.06"/>
        <n v="0"/>
        <n v="71.6"/>
        <n v="55.76"/>
        <n v="96.2399999999999"/>
        <n v="138.29"/>
        <n v="64.94"/>
        <n v="14.34"/>
        <n v="28.4"/>
        <n v="38.93"/>
        <n v="21.46"/>
        <n v="42.19"/>
        <n v="23.04"/>
        <n v="152.91"/>
        <n v="42.89"/>
        <n v="20.22"/>
        <n v="20.23"/>
        <n v="22.33"/>
        <n v="48.65"/>
        <n v="45.72"/>
        <n v="6.02"/>
        <n v="89.14"/>
        <n v="8.83"/>
        <n v="14.15"/>
        <n v="26.04"/>
        <n v="54.32"/>
        <n v="39.15"/>
        <n v="124.48"/>
        <n v="0.45"/>
        <n v="9.15"/>
        <n v="5.94"/>
        <n v="10.49"/>
        <n v="21.24"/>
        <n v="116.77"/>
        <n v="1.04"/>
        <n v="1.8"/>
        <n v="14.69"/>
        <n v="32"/>
        <n v="26.75"/>
        <n v="4.22"/>
        <n v="11.67"/>
        <n v="54.7"/>
        <n v="33.18"/>
        <n v="15.01"/>
        <n v="5.75"/>
        <n v="60.13"/>
        <n v="123.07"/>
        <n v="12.51"/>
        <n v="0.85"/>
        <n v="27.19"/>
        <n v="26.13"/>
        <n v="8.49"/>
        <n v="36.9"/>
        <n v="15.41"/>
        <n v="72.89"/>
        <n v="69.89"/>
        <n v="19.04"/>
        <n v="13.5"/>
        <n v="39.14"/>
        <n v="66.65"/>
        <n v="41.3"/>
        <n v="53.56"/>
        <n v="52.78"/>
        <n v="2.95"/>
        <n v="3.02"/>
        <n v="2.1"/>
        <n v="19.03"/>
        <n v="32.08"/>
        <n v="1.11"/>
        <n v="22.09"/>
        <n v="95.24"/>
        <n v="9.86"/>
        <n v="2.16"/>
        <n v="179.77"/>
        <n v="38.86"/>
        <n v="135.02"/>
        <n v="4.9"/>
        <n v="22.31"/>
        <n v="19.55"/>
        <n v="29.02"/>
        <n v="33.04"/>
        <n v="14.09"/>
        <n v="0.66"/>
        <n v="4.75"/>
        <n v="18.01"/>
        <n v="77.99"/>
        <n v="91.16"/>
        <n v="30.02"/>
        <n v="17.49"/>
        <n v="11.86"/>
        <n v="2.42"/>
        <n v="8.48"/>
        <n v="9.52"/>
        <n v="11.56"/>
        <n v="15.5"/>
        <n v="39.8"/>
        <n v="9.97"/>
        <n v="2.92"/>
        <n v="0.52"/>
        <n v="0.55"/>
        <n v="35.16"/>
        <n v="11.7"/>
        <n v="55.63"/>
        <n v="22.8"/>
        <n v="17.3"/>
        <n v="12.63"/>
        <n v="8.73"/>
        <n v="4.05"/>
        <n v="6"/>
        <n v="18.36"/>
        <n v="15.26"/>
        <n v="8.86"/>
        <n v="60.1"/>
        <n v="20.05"/>
        <n v="9.7"/>
        <n v="2.21"/>
        <n v="4.6"/>
        <n v="31.08"/>
        <n v="26.29"/>
        <n v="6.33"/>
        <n v="1.58"/>
        <n v="2.3"/>
        <n v="5.7"/>
        <n v="15.16"/>
        <n v="14.25"/>
        <n v="4.81"/>
        <n v="7.19"/>
        <n v="2.54"/>
        <n v="11.36"/>
        <n v="19.36"/>
        <m/>
      </sharedItems>
    </cacheField>
    <cacheField name="7天总销售额" numFmtId="0">
      <sharedItems containsString="0" containsBlank="1" containsNumber="1" minValue="0" maxValue="909.18" count="78">
        <n v="205.84"/>
        <n v="606.53"/>
        <n v="0"/>
        <n v="575.44"/>
        <n v="181.86"/>
        <n v="389.58"/>
        <n v="730.21"/>
        <n v="296.77"/>
        <n v="90.93"/>
        <n v="128.79"/>
        <n v="166.87"/>
        <n v="167.76"/>
        <n v="179.86"/>
        <n v="88.93"/>
        <n v="718.11"/>
        <n v="268.79"/>
        <n v="68.95"/>
        <n v="177.65"/>
        <n v="64.95"/>
        <n v="570.9"/>
        <n v="154.77"/>
        <n v="833.02"/>
        <n v="40.97"/>
        <n v="114.91"/>
        <n v="155.88"/>
        <n v="335.74"/>
        <n v="207.84"/>
        <n v="546.57"/>
        <n v="17.98"/>
        <n v="73.94"/>
        <n v="429.66"/>
        <n v="12.99"/>
        <n v="24.98"/>
        <n v="168.87"/>
        <n v="51.96"/>
        <n v="153.88"/>
        <n v="136.89"/>
        <n v="23.98"/>
        <n v="61.95"/>
        <n v="303.55"/>
        <n v="909.18"/>
        <n v="204.73"/>
        <n v="77.94"/>
        <n v="124.79"/>
        <n v="50.85"/>
        <n v="265.69"/>
        <n v="190.85"/>
        <n v="101.92"/>
        <n v="188.85"/>
        <n v="232.71"/>
        <n v="196.85"/>
        <n v="216.83"/>
        <n v="122.8"/>
        <n v="9.99"/>
        <n v="79.92"/>
        <n v="53.95"/>
        <n v="49.95"/>
        <n v="224.71"/>
        <n v="487.62"/>
        <n v="109.81"/>
        <n v="342.73"/>
        <n v="25.98"/>
        <n v="59.85"/>
        <n v="38.97"/>
        <n v="134.89"/>
        <n v="10.99"/>
        <n v="34.97"/>
        <n v="107.91"/>
        <n v="202.83"/>
        <n v="21.98"/>
        <n v="37.97"/>
        <n v="116.91"/>
        <n v="62.95"/>
        <n v="55.98"/>
        <n v="134.06"/>
        <n v="29.63"/>
        <n v="71.97"/>
        <m/>
      </sharedItems>
    </cacheField>
    <cacheField name="广告成本销售比(ACOS)" numFmtId="0">
      <sharedItems containsString="0" containsBlank="1" containsNumber="1" minValue="0" maxValue="2.39260969976905" count="107">
        <n v="0.150262339681306"/>
        <n v="0.118806983990899"/>
        <m/>
        <n v="0.124426525788961"/>
        <n v="0.306609479819641"/>
        <n v="0.247035268750962"/>
        <n v="0.189383875871325"/>
        <n v="0.218822657276679"/>
        <n v="0.157703728142527"/>
        <n v="0.220514015063281"/>
        <n v="0.233295379636843"/>
        <n v="0.12792083929423"/>
        <n v="0.234571333259202"/>
        <n v="0.259080175418869"/>
        <n v="0.21293395162301"/>
        <n v="0.159566948175155"/>
        <n v="0.293255982596084"/>
        <n v="0.113875598086124"/>
        <n v="0.343802925327175"/>
        <n v="0.236348620287602"/>
        <n v="0.080084077771939"/>
        <n v="0.0388964269561284"/>
        <n v="0.107008235096396"/>
        <n v="0.215523553819868"/>
        <n v="0.123139848577147"/>
        <n v="0.167051578137028"/>
        <n v="0.161791862750938"/>
        <n v="0.188366050808314"/>
        <n v="0.22774758951278"/>
        <n v="0.508898776418243"/>
        <n v="0.583426028921023"/>
        <n v="0.287259940492291"/>
        <n v="0.271773029837546"/>
        <n v="0.138568129330254"/>
        <n v="0.165186101428089"/>
        <n v="1.28102481985588"/>
        <n v="0.158405874341209"/>
        <n v="0.22459584295612"/>
        <n v="0.355471796204835"/>
        <n v="0.24238439623055"/>
        <n v="0.625938281901585"/>
        <n v="0.092816787732042"/>
        <n v="0.198089276890134"/>
        <n v="0.135363734354033"/>
        <n v="0.240762124711316"/>
        <n v="0.132809065598593"/>
        <n v="0.335257890685143"/>
        <n v="0.354045037531276"/>
        <n v="0.295696770574565"/>
        <n v="0.303048180924287"/>
        <n v="0.274342278595355"/>
        <n v="0.36620382499345"/>
        <n v="0.29314857582756"/>
        <n v="0.1324568288854"/>
        <n v="0.207254434736563"/>
        <n v="0.286407975591938"/>
        <n v="0.209804419608839"/>
        <n v="0.247013789604759"/>
        <n v="0.429804560260586"/>
        <n v="0.227097767513472"/>
        <n v="0.302302302302302"/>
        <n v="0.238113113113113"/>
        <n v="0.594624652455978"/>
        <n v="0.442242242242242"/>
        <n v="0.423835165324195"/>
        <n v="0.368668225257373"/>
        <n v="0.353883981422457"/>
        <n v="0.393954424765851"/>
        <n v="0.18860662047729"/>
        <n v="0.326649958228906"/>
        <n v="0.744675391326662"/>
        <n v="0.244940321743643"/>
        <n v="0.5423402617398"/>
        <n v="0.43221110100091"/>
        <n v="0.51501286817272"/>
        <n v="0.722731906218145"/>
        <n v="0.44944041808411"/>
        <n v="0.179900521363936"/>
        <n v="0.196671539413022"/>
        <n v="0.494578815679733"/>
        <n v="0.43312101910828"/>
        <n v="0.250724255991572"/>
        <n v="0.296638439825507"/>
        <n v="0.397741852707211"/>
        <n v="0.340432811564451"/>
        <n v="0.558538522637014"/>
        <n v="0.713754169874262"/>
        <n v="0.877598152424942"/>
        <n v="0.266358737490377"/>
        <n v="0.672055427251732"/>
        <n v="0.311778290993072"/>
        <n v="0.471131639722864"/>
        <n v="0.694267515923567"/>
        <n v="0.682063125481139"/>
        <n v="0.355895067211464"/>
        <n v="0.308698999230177"/>
        <n v="0.373364126250962"/>
        <n v="0.354118552732871"/>
        <n v="2.39260969976905"/>
        <n v="0.674621503720811"/>
        <n v="0.48729792147806"/>
        <n v="0.0885296381832179"/>
        <n v="0.270811003929975"/>
        <n v="0.106295688497688"/>
        <n v="0.162335470806615"/>
        <n v="0.128438728117185"/>
        <n v="0.269000972627484"/>
      </sharedItems>
    </cacheField>
    <cacheField name="投入产出比(ROAS)" numFmtId="0">
      <sharedItems containsString="0" containsBlank="1" containsNumber="1" minValue="0" maxValue="25.7093023255814" count="108">
        <n v="6.65502748140964"/>
        <n v="8.41701359977797"/>
        <m/>
        <n v="8.03687150837989"/>
        <n v="3.26147776183644"/>
        <n v="4.04800498753118"/>
        <n v="5.28028056981705"/>
        <n v="4.5699106867878"/>
        <n v="6.34100418410042"/>
        <n v="4.53485915492957"/>
        <n v="4.28641150783458"/>
        <n v="7.81733457595526"/>
        <n v="4.26309552026547"/>
        <n v="3.85980902777778"/>
        <n v="4.6962919364332"/>
        <n v="6.26696199580322"/>
        <n v="3.40999010880316"/>
        <n v="8.78151260504202"/>
        <n v="2.90864308105687"/>
        <n v="4.23103802672148"/>
        <n v="12.48687664042"/>
        <n v="25.7093023255814"/>
        <n v="9.34507516266548"/>
        <n v="4.63986409966025"/>
        <n v="8.1208480565371"/>
        <n v="5.98617511520738"/>
        <n v="6.18078055964654"/>
        <n v="5.3088122605364"/>
        <n v="4.39082583547558"/>
        <n v="0"/>
        <n v="1.96502732240437"/>
        <n v="1.71401334604385"/>
        <n v="3.48116760828625"/>
        <n v="3.67954097799092"/>
        <n v="7.21666666666667"/>
        <n v="6.05377808032675"/>
        <n v="0.780625"/>
        <n v="6.31289719626169"/>
        <n v="4.45244215938303"/>
        <n v="2.81316270566728"/>
        <n v="4.12567811934901"/>
        <n v="1.59760159893404"/>
        <n v="10.7739130434783"/>
        <n v="5.04822883751871"/>
        <n v="7.3875030470464"/>
        <n v="4.15347721822542"/>
        <n v="7.52960647296801"/>
        <n v="2.98277841561423"/>
        <n v="2.82449941107185"/>
        <n v="3.38184281842818"/>
        <n v="3.29980532121999"/>
        <n v="3.6450816298532"/>
        <n v="2.73071970238947"/>
        <n v="3.41123949579832"/>
        <n v="7.54962962962963"/>
        <n v="4.82498722534492"/>
        <n v="3.49152288072018"/>
        <n v="4.76634382566586"/>
        <n v="4.048356982823"/>
        <n v="2.32663887836302"/>
        <n v="4.40338983050848"/>
        <n v="3.30794701986755"/>
        <n v="4.19968470835523"/>
        <n v="1.68173316708229"/>
        <n v="2.26120416478044"/>
        <n v="2.35940781184376"/>
        <n v="2.71246592868665"/>
        <n v="2.82578486875965"/>
        <n v="2.53836468671308"/>
        <n v="5.30204081632653"/>
        <n v="3.0613810741688"/>
        <n v="1.34286698828394"/>
        <n v="4.08262711864407"/>
        <n v="1.84386089425124"/>
        <n v="2.31368421052632"/>
        <n v="1.94169905607995"/>
        <n v="1.3836389280677"/>
        <n v="2.22498903027644"/>
        <n v="5.55862758161226"/>
        <n v="5.08461978273299"/>
        <n v="2.02192242833052"/>
        <n v="2.30882352941176"/>
        <n v="3.98844537815126"/>
        <n v="3.37110726643598"/>
        <n v="2.5141935483871"/>
        <n v="2.93743718592965"/>
        <n v="1.79038680318544"/>
        <n v="1.4010426029121"/>
        <n v="1.13947368421053"/>
        <n v="3.75433526011561"/>
        <n v="1.48797250859107"/>
        <n v="3.20740740740741"/>
        <n v="2.12254901960784"/>
        <n v="1.44036697247706"/>
        <n v="1.46613995485327"/>
        <n v="2.80981697171381"/>
        <n v="3.23940149625935"/>
        <n v="2.67835051546392"/>
        <n v="2.82391304347826"/>
        <n v="0.417953667953668"/>
        <n v="1.48231266641308"/>
        <n v="2.0521327014218"/>
        <n v="11.295652173913"/>
        <n v="3.69261213720317"/>
        <n v="9.40771929824562"/>
        <n v="6.16008316008316"/>
        <n v="7.78581363004172"/>
        <n v="3.71745867768595"/>
      </sharedItems>
    </cacheField>
    <cacheField name="7天总订单数(#)" numFmtId="0">
      <sharedItems containsString="0" containsBlank="1" containsNumber="1" containsInteger="1" minValue="0" maxValue="68" count="35">
        <n v="16"/>
        <n v="27"/>
        <n v="0"/>
        <n v="44"/>
        <n v="14"/>
        <n v="30"/>
        <n v="53"/>
        <n v="23"/>
        <n v="7"/>
        <n v="9"/>
        <n v="13"/>
        <n v="12"/>
        <n v="6"/>
        <n v="54"/>
        <n v="21"/>
        <n v="5"/>
        <n v="35"/>
        <n v="8"/>
        <n v="63"/>
        <n v="3"/>
        <n v="11"/>
        <n v="42"/>
        <n v="2"/>
        <n v="33"/>
        <n v="1"/>
        <n v="10"/>
        <n v="20"/>
        <n v="68"/>
        <n v="4"/>
        <n v="15"/>
        <n v="19"/>
        <n v="17"/>
        <n v="40"/>
        <n v="26"/>
        <m/>
      </sharedItems>
    </cacheField>
    <cacheField name="7天总销售量(#)" numFmtId="0">
      <sharedItems containsString="0" containsBlank="1" containsNumber="1" containsInteger="1" minValue="0" maxValue="71" count="35">
        <n v="16"/>
        <n v="47"/>
        <n v="0"/>
        <n v="45"/>
        <n v="14"/>
        <n v="31"/>
        <n v="57"/>
        <n v="23"/>
        <n v="7"/>
        <n v="10"/>
        <n v="15"/>
        <n v="13"/>
        <n v="56"/>
        <n v="21"/>
        <n v="5"/>
        <n v="46"/>
        <n v="12"/>
        <n v="65"/>
        <n v="3"/>
        <n v="9"/>
        <n v="27"/>
        <n v="2"/>
        <n v="6"/>
        <n v="34"/>
        <n v="1"/>
        <n v="4"/>
        <n v="11"/>
        <n v="24"/>
        <n v="71"/>
        <n v="20"/>
        <n v="8"/>
        <n v="18"/>
        <n v="17"/>
        <n v="40"/>
        <m/>
      </sharedItems>
    </cacheField>
    <cacheField name="7天的转化率" numFmtId="0">
      <sharedItems containsString="0" containsBlank="1" containsNumber="1" minValue="0" maxValue="0.470588235294118" count="89">
        <n v="0.216216216216216"/>
        <n v="0.142105263157895"/>
        <m/>
        <n v="0.204651162790698"/>
        <n v="0.0909090909090909"/>
        <n v="0.129310344827586"/>
        <n v="0.157738095238095"/>
        <n v="0.131428571428571"/>
        <n v="0.170731707317073"/>
        <n v="0.115384615384615"/>
        <n v="0.144444444444444"/>
        <n v="0.164383561643836"/>
        <n v="0.1015625"/>
        <n v="0.136363636363636"/>
        <n v="0.177966101694915"/>
        <n v="0.0666666666666667"/>
        <n v="0.1875"/>
        <n v="0.0617283950617284"/>
        <n v="0.128"/>
        <n v="0.267175572519084"/>
        <n v="0.470588235294118"/>
        <n v="0.283783783783784"/>
        <n v="0.176470588235294"/>
        <n v="0.148648648648649"/>
        <n v="0.2109375"/>
        <n v="0.0985915492957746"/>
        <n v="0.100719424460432"/>
        <n v="0"/>
        <n v="0.0869565217391304"/>
        <n v="0.0740740740740741"/>
        <n v="0.09375"/>
        <n v="0.110738255033557"/>
        <n v="0.142857142857143"/>
        <n v="0.148936170212766"/>
        <n v="0.029126213592233"/>
        <n v="0.171052631578947"/>
        <n v="0.0769230769230769"/>
        <n v="0.0991735537190083"/>
        <n v="0.116279069767442"/>
        <n v="0.0526315789473684"/>
        <n v="0.238095238095238"/>
        <n v="0.119047619047619"/>
        <n v="0.178947368421053"/>
        <n v="0.114285714285714"/>
        <n v="0.144230769230769"/>
        <n v="0.0697674418604651"/>
        <n v="0.0934579439252336"/>
        <n v="0.0784313725490196"/>
        <n v="0.107344632768362"/>
        <n v="0.0872093023255814"/>
        <n v="0.102040816326531"/>
        <n v="0.21875"/>
        <n v="0.127118644067797"/>
        <n v="0.0982658959537572"/>
        <n v="0.135135135135135"/>
        <n v="0.120567375886525"/>
        <n v="0.087378640776699"/>
        <n v="0.125"/>
        <n v="0.235294117647059"/>
        <n v="0.0862068965517241"/>
        <n v="0.113636363636364"/>
        <n v="0.109947643979058"/>
        <n v="0.103896103896104"/>
        <n v="0.111587982832618"/>
        <n v="0.0833333333333333"/>
        <n v="0.215686274509804"/>
        <n v="0.0645161290322581"/>
        <n v="0.0422535211267606"/>
        <n v="0.0584795321637427"/>
        <n v="0.103658536585366"/>
        <n v="0.185714285714286"/>
        <n v="0.194444444444444"/>
        <n v="0.133333333333333"/>
        <n v="0.214285714285714"/>
        <n v="0.0952380952380952"/>
        <n v="0.15625"/>
        <n v="0.0632911392405063"/>
        <n v="0.0606060606060606"/>
        <n v="0.153846153846154"/>
        <n v="0.0714285714285714"/>
        <n v="0.166666666666667"/>
        <n v="0.154761904761905"/>
        <n v="0.137931034482759"/>
        <n v="0.1"/>
        <n v="0.0227272727272727"/>
        <n v="0.4"/>
        <n v="0.08"/>
        <n v="0.181818181818182"/>
        <n v="0.111111111111111"/>
      </sharedItems>
    </cacheField>
    <cacheField name="7天内广告SKU销售量(#)" numFmtId="0">
      <sharedItems containsString="0" containsBlank="1" containsNumber="1" containsInteger="1" minValue="0" maxValue="54" count="26">
        <n v="11"/>
        <n v="34"/>
        <n v="0"/>
        <n v="31"/>
        <n v="10"/>
        <n v="16"/>
        <n v="41"/>
        <n v="6"/>
        <n v="8"/>
        <n v="9"/>
        <n v="7"/>
        <n v="40"/>
        <n v="14"/>
        <n v="1"/>
        <n v="12"/>
        <n v="3"/>
        <n v="28"/>
        <n v="19"/>
        <n v="29"/>
        <n v="23"/>
        <n v="5"/>
        <n v="4"/>
        <n v="17"/>
        <n v="54"/>
        <n v="2"/>
        <m/>
      </sharedItems>
    </cacheField>
    <cacheField name="7天内其他SKU销售量(#)" numFmtId="0">
      <sharedItems containsString="0" containsBlank="1" containsNumber="1" containsInteger="1" minValue="0" maxValue="34" count="22">
        <n v="5"/>
        <n v="13"/>
        <n v="0"/>
        <n v="14"/>
        <n v="4"/>
        <n v="15"/>
        <n v="16"/>
        <n v="1"/>
        <n v="2"/>
        <n v="6"/>
        <n v="7"/>
        <n v="18"/>
        <n v="11"/>
        <n v="34"/>
        <n v="8"/>
        <n v="3"/>
        <n v="17"/>
        <n v="9"/>
        <n v="12"/>
        <n v="30"/>
        <n v="10"/>
        <m/>
      </sharedItems>
    </cacheField>
    <cacheField name="7天内广告SKU销售额" numFmtId="0">
      <sharedItems containsString="0" containsBlank="1" containsNumber="1" minValue="0" maxValue="697.46" count="58">
        <n v="140.89"/>
        <n v="441.66"/>
        <n v="0"/>
        <n v="401.58"/>
        <n v="129.9"/>
        <n v="202.73"/>
        <n v="526.37"/>
        <n v="77.94"/>
        <n v="102.81"/>
        <n v="90.93"/>
        <n v="116.91"/>
        <n v="101.92"/>
        <n v="88.93"/>
        <n v="511.38"/>
        <n v="179.86"/>
        <n v="14.99"/>
        <n v="151.67"/>
        <n v="38.97"/>
        <n v="36.97"/>
        <n v="341.3"/>
        <n v="12.99"/>
        <n v="394.47"/>
        <n v="155.88"/>
        <n v="233.82"/>
        <n v="340.73"/>
        <n v="8.99"/>
        <n v="288.77"/>
        <n v="62.95"/>
        <n v="142.89"/>
        <n v="51.96"/>
        <n v="48.96"/>
        <n v="11.99"/>
        <n v="214.62"/>
        <n v="697.46"/>
        <n v="128.79"/>
        <n v="23.98"/>
        <n v="63.84"/>
        <n v="50.85"/>
        <n v="73.94"/>
        <n v="49.96"/>
        <n v="115.8"/>
        <n v="153.88"/>
        <n v="9.99"/>
        <n v="39.96"/>
        <n v="19.98"/>
        <n v="49.95"/>
        <n v="112.91"/>
        <n v="96.82"/>
        <n v="199.84"/>
        <n v="10.99"/>
        <n v="21.98"/>
        <n v="47.96"/>
        <n v="83.93"/>
        <n v="25.98"/>
        <n v="55.98"/>
        <n v="75.15"/>
        <n v="15.99"/>
        <m/>
      </sharedItems>
    </cacheField>
    <cacheField name="7天内其他SKU销售额" numFmtId="0">
      <sharedItems containsString="0" containsBlank="1" containsNumber="1" minValue="0" maxValue="438.55" count="54">
        <n v="64.95"/>
        <n v="164.87"/>
        <n v="0"/>
        <n v="173.86"/>
        <n v="51.96"/>
        <n v="186.85"/>
        <n v="203.84"/>
        <n v="166.87"/>
        <n v="12.99"/>
        <n v="25.98"/>
        <n v="75.94"/>
        <n v="50.85"/>
        <n v="77.94"/>
        <n v="206.73"/>
        <n v="88.93"/>
        <n v="53.96"/>
        <n v="168.87"/>
        <n v="229.6"/>
        <n v="141.78"/>
        <n v="438.55"/>
        <n v="27.98"/>
        <n v="101.92"/>
        <n v="205.84"/>
        <n v="8.99"/>
        <n v="36.97"/>
        <n v="140.89"/>
        <n v="11.99"/>
        <n v="87.93"/>
        <n v="211.72"/>
        <n v="38.97"/>
        <n v="60.95"/>
        <n v="174.76"/>
        <n v="116.91"/>
        <n v="49.96"/>
        <n v="138.89"/>
        <n v="157.88"/>
        <n v="62.95"/>
        <n v="109.81"/>
        <n v="39.96"/>
        <n v="43.96"/>
        <n v="29.97"/>
        <n v="374.71"/>
        <n v="142.89"/>
        <n v="59.85"/>
        <n v="71.94"/>
        <n v="59.95"/>
        <n v="118.9"/>
        <n v="10.99"/>
        <n v="103.92"/>
        <n v="23.98"/>
        <n v="58.91"/>
        <n v="29.63"/>
        <n v="55.98"/>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22.xml><?xml version="1.0" encoding="utf-8"?>
<pivotCacheDefinition xmlns="http://schemas.openxmlformats.org/spreadsheetml/2006/main" xmlns:r="http://schemas.openxmlformats.org/officeDocument/2006/relationships" r:id="rId1" createdVersion="5" refreshedVersion="5" minRefreshableVersion="3" refreshedDate="45219.5910763889" refreshedBy="Administrator" recordCount="91">
  <cacheSource type="worksheet">
    <worksheetSource ref="B1:O1048576" sheet="销售10.12-10.18" r:id="rId2"/>
  </cacheSource>
  <cacheFields count="14">
    <cacheField name="（子）ASIN" numFmtId="0">
      <sharedItems containsBlank="1" count="91">
        <s v="B0B6R7RFJ9"/>
        <s v="B09Z2LRTBX"/>
        <s v="B0BFF6MDVZ"/>
        <s v="B0C3B7GM6N"/>
        <s v="B09Z2D8WZH"/>
        <s v="B0B6R8X9QQ"/>
        <s v="B0BLGHSPN7"/>
        <s v="B09Z2L5JZG"/>
        <s v="B09Z2LPGJ6"/>
        <s v="B0B6R6J4RR"/>
        <s v="B0B6R7PB9B"/>
        <s v="B0B6R9FJJ1"/>
        <s v="B0BR5JQD7X"/>
        <s v="B0CC5QYDDY"/>
        <s v="B09Z2L1VX8"/>
        <s v="B0B6R8HY5B"/>
        <s v="B0B6RDV9LL"/>
        <s v="B0BFW4V3TW"/>
        <s v="B0C3QDLGGH"/>
        <s v="B0CC5RG4WJ"/>
        <s v="B0CC5VY1DQ"/>
        <s v="B0CC5WH63Q"/>
        <s v="B09Z2LXWHV"/>
        <s v="B09Z2MPF53"/>
        <s v="B09Z2NG737"/>
        <s v="B0B6R6H5TH"/>
        <s v="B0B6R9YLJS"/>
        <s v="B0B6RD2YH5"/>
        <s v="B0B9MXFZKN"/>
        <s v="B0BFF91P8K"/>
        <s v="B0BFF95ZDP"/>
        <s v="B0BFFB9WX3"/>
        <s v="B0BFFD67C9"/>
        <s v="B0BFVSRCY5"/>
        <s v="B0CC5X79ZC"/>
        <s v="B0CC5ZY6M2"/>
        <s v="B0B6R8BYZF"/>
        <s v="B0B6R9KFC2"/>
        <s v="B0B8GGVJ33"/>
        <s v="B0B9MY7586"/>
        <s v="B0BFF5ZPKD"/>
        <s v="B0BFVDDTBX"/>
        <s v="B0BFVK91DN"/>
        <s v="B0BR5JJSRT"/>
        <s v="B0BR5KX742"/>
        <s v="B0C3B993XV"/>
        <s v="B0CC5S63XS"/>
        <s v="B0CC96Y9PQ"/>
        <s v="B09Z2HZKFL"/>
        <s v="B0B6R7CJFJ"/>
        <s v="B0B6R86DZG"/>
        <s v="B0B6RC5KKN"/>
        <s v="B0BFF794MN"/>
        <s v="B0BFVS3BF6"/>
        <s v="B0BFWD368P"/>
        <s v="B0BR5K255P"/>
        <s v="B0BRX7TLDB"/>
        <s v="B0CCDF5CL8"/>
        <s v="B0CCDH39HX"/>
        <s v="B0CCDJNY94"/>
        <s v="B09Z2KZ6GT"/>
        <s v="B09Z2PY3PX"/>
        <s v="B0B6R81F8S"/>
        <s v="B0B99DJ5HD"/>
        <s v="B0B9J72ZT4"/>
        <s v="B0BFF7BN4T"/>
        <s v="B0BFF86QTS"/>
        <s v="B0BFF9KBX4"/>
        <s v="B0BFFC3T74"/>
        <s v="B0BFVK75L4"/>
        <s v="B0BFVSX9KS"/>
        <s v="B0BKSTRC1H"/>
        <s v="B0BR5H1H36"/>
        <s v="B0BR5JYNWN"/>
        <s v="B0BR5K4D94"/>
        <s v="B0BR5KSG5G"/>
        <s v="B0BRX8H8BT"/>
        <s v="B0BRX8SS1F"/>
        <s v="B0C3B7W6WP"/>
        <s v="B0C3B9BYRT"/>
        <s v="B0C3B9J4XR"/>
        <s v="B0C3QCDQ55"/>
        <s v="B0C3QD6SF2"/>
        <s v="B0CC5XWD9S"/>
        <s v="B0CC5YS9SL"/>
        <s v="B0CC95N9XK"/>
        <s v="B0CC971G1J"/>
        <s v="B0CC978F87"/>
        <s v="B0CCDGLZNL"/>
        <s v="B0CGR93NS4"/>
        <m/>
      </sharedItems>
    </cacheField>
    <cacheField name="商品名称" numFmtId="0">
      <sharedItems containsBlank="1" count="91">
        <s v="NIFFPD for iPhone 14 Plus Case with Belt Clip/Holster/Kickstand, Heavy Duty Rugged Full Body Protective Case with 2 Pcs Screen Protectors for Apple iPhone 14 Plus for Men 6.7 inch (Black)"/>
        <s v="NIFFPD Designed for Samsung Galaxy A03s Case with Belt Clip &amp; Kickstand, Full-Body Triple Layers Rugged Case with Screen Protector for Samsung Galaxy A03s US Version 6.5 inch Phone (Black+Orange)"/>
        <s v="NIFFPD Designed for Google Pixel 7 Case with Belt Clip &amp; Kickstand, Full-Body Triple Layers Rugged Case for Pixel 7 5G 6.3 inch Phone (Black+Orange)"/>
        <s v="NIFFPD Phone Case for Motorola Moto G Power 5G 2023 Case with Belt Clip &amp; Kickstand, Heavy Duty Rugged Full Body Protective Case Cover for Motorola G Power 5G 2023 (Black)"/>
        <s v="NIFFPD Designed for Samsung Galaxy A13 5G Case with Belt Clip &amp; Kickstand for Men, Full-Body Triple Layers Rugged Case with Screen Protector for Samsung Galaxy A13 5G 6.5 inch Phone (Black)"/>
        <s v="NIFFPD for iPhone 14 Plus Case with Belt Clip/Holster/Kickstand, Heavy Duty Rugged Full Body Protective Case with 2 Pcs Screen Protectors for Apple iPhone 14 Plus for Men Women 6.7 inch (Green+White)"/>
        <s v="NIFFPD for Apple iPhone 14 Pro Max Case with Belt Clip &amp; Kickstand, Full-Body Protection Multi Layers Rugged Case for iPhone Apple 14 Pro Max 6.7-inch Phone (Black)"/>
        <s v="NIFFPD Designed for Samsung Galaxy A03s Case with Belt Clip &amp; Kickstand, Full-Body Triple Layers Rugged Case with Screen Protector for Samsung Galaxy A03s US Version 6.5 inch Phone (Navy Blue)"/>
        <s v="NIFFPD Designed for Samsung Galaxy A13 5G Case with Belt Clip &amp; Kickstand, Full-Body Triple Layers Rugged Case with Screen Protector for Samsung Galaxy A13 5G 6.5 inch Phone (Black+Orange)"/>
        <s v="NIFFPD for iPhone 14 Plus Case with Belt Clip/Holster/Kickstand, Heavy Duty Rugged Full Body Protective Case with 2 Pcs Screen Protectors for Apple iPhone 14 Plus for Men 6.7 inch (Navy Blue)"/>
        <s v="NIFFPD for iPhone 14 Plus Case with Belt Clip/Holster/Kickstand, Heavy Duty Rugged Full Body Protective Case with 2 Pcs Screen Protectors for Apple iPhone 14 Plus for Men Women 6.7 inch (Purple+Black)"/>
        <s v="NIFFPD Designed for Apple iPhone 14 Pro Max Case with Belt Clip &amp; Kickstand, Full-Body Multi Layers Rugged Case with 2 Pcs Screen Protectors for Apple iPhone 14 Pro Max 6.7 inch 2022 (Navy Blue)"/>
        <s v="NIFFPD for Samsung Galaxy S23 Ultra 5G Case with Belt Clip &amp; Kickstand for Men Women, Full-Body Protection Rugged Holster Phone Case for Samsung S23 Ultra 5G (Purple+Pink)"/>
        <s v="NIFFPD for Apple iPhone 15 Pro Max Case with Belt Clip &amp; Kickstand, Full-Body Protection Multi Layers Rugged Case with Belt Holster for Apple iPhone 15 Pro Max 6.7 inch 2023 (Black+Orange)"/>
        <s v="NIFFPD Designed for Samsung Galaxy A03s Case with Belt Clip &amp; Kickstand, Full-Body Triple Layers Rugged Case with Screen Protector for Samsung Galaxy A03s US Version 6.5 inch Phone (Green+White)"/>
        <s v="NIFFPD for iPhone 14 Plus Case with Belt Clip/Holster/Kickstand, Heavy Duty Rugged Full Body Protective Case with 2 Pcs Screen Protectors for Apple iPhone 14 Plus for Men Women 6.7 inch (Black+Orange)"/>
        <s v="NIFFPD iPhone 14 Pro Max Rugged Case with Belt Clip &amp; Kickstand, 6.7-inch 2022, Full-Body, 2 Screen Protectors (Purple+Black)"/>
        <s v="NIFFPD Designed for Motorola Edge 2022 Case with Belt Clip &amp; Kickstand, Full-Body Triple Layers Rugged Case with Screen Protector for Motorola Moto Edge 2022 6.6 inch Phone (Black+Orange)"/>
        <s v="NIFFPD Phone Case for Samsung Galaxy A24 4G 2023 Case with Belt Clip &amp; Kickstand, Heavy Duty Rugged Full Body Protective Case Cover for Samsung A24 4G Phone (Black)"/>
        <s v="NIFFPD for Apple iPhone 15 Pro Max Case with Belt Clip &amp; Kickstand, Full-Body Protection Multi Layers Rugged Case with Belt Holster for Apple iPhone 15 Pro Max 6.7 inch 2023 (Dark Blue+Blue)"/>
        <s v="NIFFPD for Apple iPhone 15 Pro Max Case with Belt Clip &amp; Kickstand, Full-Body Protection Multi Layers Rugged Case with Belt Holster for Apple iPhone 15 Pro Max 6.7 inch 2023(Black)"/>
        <s v="NIFFPD for Apple iPhone 15 Plus Case with Belt Clip &amp; Kickstand, Full-Body Protection Multi Layers Rugged Case with Belt Holster for Apple iPhone 15 Plus 6.7 inch 2023(Black)"/>
        <s v="NIFFPD Designed for Samsung Galaxy A53 5G Case with Belt Clip &amp; Kickstand, Full-Body Triple Layers Rugged Case with Screen Protector for Samsung Galaxy A53 5G 6.5 inch Phone (Navy+Blue)"/>
        <s v="NIFFPD Designed for Samsung Galaxy A13 5G Case with Belt Clip &amp; Kickstand, Full-Body Triple Layers Rugged Case with Screen Protector for Samsung Galaxy A13 5G 6.5 inch Phone (Navy Blue)"/>
        <s v="NIFFPD Designed for Samsung Galaxy A03s Case with Belt Clip &amp; Kickstand, Full-Body Triple Layers Rugged Case with Screen Protector for Samsung Galaxy A03s US Version 6.5 inch Phone (Black)"/>
        <s v="NIFFPD Designed for iPhone 14 Case with Belt Clip &amp; Kickstand, Full-Body Protection Multi Layers Rugged Case for Apple iPhone 14 6.1 inch 2022 (Black)"/>
        <s v="NIFFPD for Apple iPhone 14 Pro Case with Belt Clip &amp; Kickstand, Full-Body Protection Multi Layers Rugged Case with Belt Holster for Apple iPhone 14 Pro 6.1 inch 2022 (Black)"/>
        <s v="NIFFPD Designed for iPhone 14 Case with Belt Clip &amp; Kickstand, Full-Body Protection Multi Layers Rugged Case for Apple iPhone 14 6.1 inch 2022 (Black+Orange)"/>
        <s v="NIFFPD Designed for Apple iPhone 14 Pro Max Case with Belt Clip &amp; Kickstand, Full-Body Multi Layers Rugged Case with 2 Pcs Screen Protectors for Apple iPhone 14 Pro Max 6.7-inch 2022 (Purple+Pink)"/>
        <s v="NIFFPD Designed for Google Pixel 7 Pro Case with Belt Clip &amp; Kickstand, Full-Body Triple Layers Rugged Case for Pixel 7 pro 5G 6.7 inch Phone (Black)"/>
        <s v="NIFFPD Designed for Google Pixel 7 Case with Belt Clip &amp; Kickstand, Full-Body Triple Layers Rugged Case for Pixel 7 5G 6.3 inch Phone (Black)"/>
        <s v="NIFFPD Designed for Google Pixel 7 Case with Belt Clip &amp; Kickstand, Full-Body Triple Layers Rugged Case for Pixel 7 5G 6.3 inch Phone (Green+White)"/>
        <s v="NIFFPD Designed for Google Pixel 7 Case with Belt Clip &amp; Kickstand, Full-Body Triple Layers Rugged Case for Pixel 7 5G 6.3 inch Phone (Purple+Black)"/>
        <s v="NIFFPD Designed for Samsung Galaxy A23 5G/4G Case with Belt Clip &amp; Kickstand, Full-Body Triple Layers Rugged Case with Screen Protector for Samsung Galaxy A23 5G/4G 6.6 inch Phone (Black+Orange)"/>
        <s v="NIFFPD for Apple iPhone 15 Plus Case with Belt Clip &amp; Kickstand, Full-Body Protection Multi Layers Rugged Case with Belt Holster for Apple iPhone 15 Plus 6.7 inch 2023(Dark Blue+Blue)"/>
        <s v="NIFFPD for Apple iPhone 15 Plus Case with Belt Clip &amp; Kickstand, Full-Body Protection Multi Layers Rugged Case with Belt Holster for Apple iPhone 15 Plus 6.7 inch 2023(Black+Orange)"/>
        <s v="NIFFPD Designed for Apple iPhone 14 Pro Max Case with Belt Clip &amp; Kickstand, Full-Body Multi Layers Rugged Case with 2 Pcs Screen Protectors for Apple iPhone 14 Pro Max 6.7 inch 2022 (Green+White)"/>
        <s v="NIFFPD Designed for Apple iPhone 14 Pro Max Case with Belt Clip &amp; Kickstand, Full-Body Multi Layers Rugged Case with 2 Pcs Screen Protectors for Apple iPhone 14 Pro Max 6.7 inch 2022 (Black+Orange)"/>
        <s v="NIFFPD Designed for Google Pixel 6a Case with Belt Clip &amp; Kickstand, Full-Body Triple Layers Rugged Case for Pixel 6a 5G 6.1 inch Phone (Black)"/>
        <s v="NIFFPD for iPhone 14 Plus Case with Belt Clip/Holster/Kickstand, Heavy Duty Rugged Full Body Protective Case with 2 Pcs Screen Protector for Apple iPhone 14 Plus for Women 6.7 inch (Purple+Pink)"/>
        <s v="NIFFPD Designed for Google Pixel 7 Case with Belt Clip &amp; Kickstand, Full-Body Triple Layers Rugged Case for Pixel 7 5G 6.3 inch Phone (Navy Blue)"/>
        <s v="NIFFPD Designed for Samsung Galaxy A23 5G/4G Case with Belt Clip &amp; Kickstand, Full-Body Triple Layers Rugged Case with Screen Protector for Samsung Galaxy A23 5G/4G 6.6 inch Phone (Navy Blue)"/>
        <s v="NIFFPD Designed for Samsung Galaxy A23 5G/4G Case with Belt Clip &amp; Kickstand, Full-Body Triple Layers Rugged Case with Screen Protector for Samsung Galaxy A23 5G/4G 6.6 inch Phone (Black)"/>
        <s v="NIFFPD for Samsung Galaxy S23 Ultra 5G Case with Belt Clip &amp; Kickstand for Men Women, Full-Body Protection Rugged Holster Phone Case for Samsung S23 Ultra 5G (Navy Blue)"/>
        <s v="NIFFPD for Samsung Galaxy S23 Plus 5G Case with Belt Clip &amp; Kickstand for Men Women, Full-Body Protection Rugged Holster Phone Case for Samsung S23+ 5G (Black)"/>
        <s v="NIFFPD Phone Case for Motorola Moto G Power 5G 2023 Case with Belt Clip &amp; Kickstand, Heavy Duty Rugged Full Body Protective Case Cover for Motorola G Power 5G 2023 (Purple+Pink)"/>
        <s v="NIFFPD for Apple iPhone 15 Pro Max Case with Belt Clip &amp; Kickstand, Full-Body Protection Multi Layers Rugged Case with Belt Holster for Apple iPhone 15 Pro Max 6.7 inch 2023(Green+White)"/>
        <s v="NIFFPD for Apple iPhone 15 Pro Case with Belt Clip &amp; Kickstand, Full-Body Protection Multi Layers Rugged Case with Belt Holster for Apple iPhone 15 Pro 6.1 inch 2023 (Black)"/>
        <s v="NIFFPD Designed for Samsung Galaxy A53 5G Case with Belt Clip &amp; Kickstand, Full-Body Triple Layers Rugged Case with Screen Protector for Samsung Galaxy A53 5G 6.5 inch Phone (Black+Orange)"/>
        <s v="NIFFPD Designed for iPhone 14 Case with Belt Clip &amp; Kickstand, Full-Body Protection Multi Layers Rugged Case for Apple iPhone 14 6.1 inch 2022 (Navy Blue)"/>
        <s v="NIFFPD Designed for iPhone 14 Case with Belt Clip &amp; Kickstand, Full-Body Protection Multi Layers Rugged Case for Apple iPhone 14 6.1 inch 2022 (Purple+Black)"/>
        <s v="NIFFPD for Apple iPhone 14 Pro Case with Belt Clip &amp; Kickstand, Full-Body Protection Multi Layers Rugged Case with Belt Holster for Apple iPhone 14 Pro 6.1 inch 2022 (Black+Orange)"/>
        <s v="NIFFPD Designed for Google Pixel 7 Pro Case with Belt Clip &amp; Kickstand, Full-Body Triple Layers Rugged Case for Pixel 7 Pro 5G 6.7 inch Phone (Purple+Black)"/>
        <s v="NIFFPD Designed for Motorola Edge 2022 Case with Belt Clip &amp; Kickstand, Full-Body Triple Layers Rugged Case with Screen Protector for Motorola Moto Edge 2022 6.6 inch Phone (Purple+Pink)"/>
        <s v="NIFFPD Designed for Samsung Galaxy A23 5G/4G Case with Belt Clip &amp; Kickstand, Full-Body Triple Layers Rugged Case with Screen Protector for Samsung Galaxy A23 5G/4G 6.6 inch Phone (Purple+Pink)"/>
        <s v="NIFFPD for Samsung Galaxy S23 5G Case with Belt Clip &amp; Kickstand for Men Women, Full-Body Protection Rugged Holster Phone Case for Samsung S23 5G (Black)"/>
        <s v="NIFFPD for Samsung Galaxy A54 5G Case with Belt Clip &amp; Kickstand for Men, Full-Body Protection Rugged Case for Samsung A54 5G Phone (Black)"/>
        <s v="NIFFPD for Apple iPhone 15 Case with Belt Clip &amp; Kickstand, Full-Body Protection Multi Layers Rugged Case with Belt Holster for Apple iPhone 15 6.1 inch 2023(Black)"/>
        <s v="NIFFPD for Apple iPhone 15 Case with Belt Clip &amp; Kickstand, Full-Body Protection Multi Layers Rugged Case with Belt Holster for Apple iPhone 15 6.1 inch 2023(Green+White)"/>
        <s v="NIFFPD for Apple iPhone 15 Case with Belt Clip &amp; Kickstand, Full-Body Protection Multi Layers Rugged Case with Belt Holster for Apple iPhone 15 6.2 inch (Dark Blue+Blue)"/>
        <s v="NIFFPD Designed for Samsung Galaxy A03s Case with Belt Clip &amp; Kickstand, Full-Body Triple Layers Rugged Case with Screen Protector for Samsung Galaxy A03s US Version 6.5 inch Phone (Purple+Black)"/>
        <s v="NIFFPD Designed for Samsung Galaxy A13 5G Case with Belt Clip &amp; Kickstand, Full-Body Triple Layers Rugged Case with Screen Protector for Samsung Galaxy A13 5G 6.5 inch Phone (Purple+Black)"/>
        <s v="NIFFPD for Apple iPhone 14 Pro Case with Belt Clip &amp; Kickstand, Full-Body Protection Multi Layers Rugged Case with Belt Holster for Apple iPhone 14 Pro 6.1 inch 2022 (Navy Blue)"/>
        <s v="NIFFPD for Samsung Galaxy Z Flip 4 Case with Hinge Protection &amp; Built-in Camera Cover Protector, Anti-Scratch Shockproof Leather Phone Cover for Samsung Z Flip 4 5G 6.7-inch"/>
        <s v="NIFFPD for Samsung Galaxy Z Flip 4 Phone Case, Flip 4 Dual Layers Case Hard PC &amp; Soft TPU Anti-Scratch Shockproof Protective Phone Cover for Samsung Z Flip 4 5G 6.7-inch (Black+Orange)"/>
        <s v="NIFFPD Designed for Google Pixel 7 Pro Case with Belt Clip &amp; Kickstand, Full-Body Triple Layers Rugged Case for Pixel 7 Pro 5G 6.7 inch Phone (Black+Orange)"/>
        <s v="NIFFPD Designed for Google Pixel 7 Pro Case with Belt Clip &amp; Kickstand, Full-Body Triple Layers Rugged Case for Pixel 7 pro 5G 6.7 inch Phone (Green+White)"/>
        <s v="NIFFPD Designed for Google Pixel 7 Case with Belt Clip &amp; Kickstand, Full-Body Triple Layers Rugged Case for Pixel 7 5G 6.3 inch Phone (Purple+Pink)"/>
        <s v="NIFFPD Designed for Google Pixel 7 Pro Case with Belt Clip &amp; Kickstand, Full-Body Triple Layers Rugged Case for Pixel 7 Pro 5G 6.7 inch Phone (Navy Blue)"/>
        <s v="NIFFPD Designed for Motorola Edge 2022 Case with Belt Clip &amp; Kickstand, Full-Body Triple Layers Rugged Case with Screen Protector for Motorola Moto Edge 2022 6.6 inch Phone (Navy Blue)"/>
        <s v="NIFFPD Designed for Motorola Edge 2022 Case with Belt Clip &amp; Kickstand, Full-Body Triple Layers Rugged Case with Screen Protector for Motorola Moto Edge 2022 6.6 inch Phone (Black)"/>
        <s v="NIFFPD for Samsung Galaxy A14 5G Case with Belt Clip &amp; Kickstand for Men, Full-Body Protection Rugged Case for Samsung A14 5G Phone (Black+Orange)"/>
        <s v="NIFFPD for Samsung Galaxy S23 5G Case with Belt Clip &amp; Kickstand for Men Women, Full-Body Protection Rugged Holster Phone Case for Samsung S23 5G (Black+Orange)"/>
        <s v="NIFFPD for Samsung Galaxy S23 Plus 5G Case with Belt Clip &amp; Kickstand for Men Women, Full-Body Protection Rugged Holster Phone Case for Samsung S23+ 5G (Green+White)"/>
        <s v="NIFFPD for Samsung Galaxy S23 Ultra 5G Case with Belt Clip &amp; Kickstand for Men Women, Full-Body Protection Rugged Holster Phone Case for Samsung S23 Ultra 5G (Black+Orange)"/>
        <s v="NIFFPD for Samsung Galaxy S23 Ultra 5G Case with Belt Clip &amp; Kickstand for Men Women, Full-Body Protection Rugged Holster Phone Case for Samsung S23 Ultra 5G (Green+White)"/>
        <s v="NIFFPD for Samsung Galaxy A54 5G Case with Belt Clip &amp; Kickstand for Men, Full-Body Protection Rugged Case for Samsung A54 5G Phone (Black+Orange)"/>
        <s v="NIFFPD for Samsung Galaxy A54 5G Case with Belt Clip &amp; Kickstand for Men, Full-Body Protection Rugged Case for Samsung A54 5G Phone (Navy Blue)"/>
        <s v="NIFFPD Phone Case for Motorola Moto G Power 5G 2023 Case with Belt Clip &amp; Kickstand, Heavy Duty Rugged Full Body Protective Case Cover for Motorola G Power 5G 2023 (Navy Blue)"/>
        <s v="NIFFPD Phone Case for Motorola Moto G Power 5G 2023 Case with Belt Clip &amp; Kickstand, Heavy Duty Rugged Full Body Protective Case Cover for Motorola G Power 5G 2023 (Green+White)"/>
        <s v="NIFFPD Phone Case for Motorola Moto G Power 5G 2023 Case with Belt Clip &amp; Kickstand, Heavy Duty Rugged Full Body Protective Case Cover for Motorola G Power 5G 2023 (Black+Orange)"/>
        <s v="NIFFPD Phone Case for Samsung Galaxy A24 4G 2023 Case with Belt Clip &amp; Kickstand, Heavy Duty Rugged Full Body Protective Case Cover for Samsung A24 4G Phone (Purple+Pink)"/>
        <s v="NIFFPD Phone Case for Samsung Galaxy A24 4G 2023 Case with Belt Clip &amp; Kickstand, Heavy Duty Rugged Full Body Protective Case Cover for Samsung A24 4G Phone (Black+Orange)"/>
        <s v="NIFFPD for Apple iPhone 15 Plus Case with Belt Clip &amp; Kickstand, Full-Body Protection Multi Layers Rugged Case with Belt Holster for Apple iPhone 15 Plus 6.7 inch 2023(Green+White)"/>
        <s v="NIFFPD for Apple iPhone 15 Plus Case with Belt Clip &amp; Kickstand, Full-Body Protection Multi Layers Rugged Case with Belt Holster for Apple iPhone 15 Plus 6.7 inch 2023(Wine Red+Pink)"/>
        <s v="NIFFPD for Apple iPhone 15 Pro Case with Belt Clip &amp; Kickstand, Full-Body Protection Multi Layers Rugged Case with Belt Holster for Apple iPhone 15 Pro 6.1 inch 2023(Dark Blue+Blue)"/>
        <s v="NIFFPD for Apple iPhone 15 Pro Case with Belt Clip &amp; Kickstand, Full-Body Protection Multi Layers Rugged Case with Belt Holster for Apple iPhone 15 Pro 6.1 inch 2023 (Black+Orange)"/>
        <s v="NIFFPD for Apple iPhone 15 Pro Case with Belt Clip &amp; Kickstand, Full-Body Protection Multi Layers Rugged Case with Belt Holster for Apple iPhone 15 Pro 6.1 inch 2023(Green+White)"/>
        <s v="NIFFPD for Apple iPhone 15 Case with Belt Clip &amp; Kickstand, Full-Body Protection Multi Layers Rugged Case with Belt Holster for Apple iPhone 15 6.2 inch (Wine Red+Pink)"/>
        <s v="NIFFPD Designed for Google Pixel 8 Pro Case with Belt Clip &amp; Kickstand, Full-Body Triple Layers Rugged Case for Pixel 8 pro 5G 6.7 inch Phone (Black)"/>
        <m/>
      </sharedItems>
    </cacheField>
    <cacheField name="SKU" numFmtId="0">
      <sharedItems containsBlank="1" count="91">
        <s v="Y4022-BL+Y4026+Y4030"/>
        <s v="Y4013-OR+Y4016+Y4019"/>
        <s v="Y4040-OR+Y4043"/>
        <s v="Y4069-BL+Y4070+Y4071"/>
        <s v="Y4011-BL+Y4014+Y4017"/>
        <s v="Y4022-GW+Y4026+Y4030"/>
        <s v="Y4023-BL+Y4027+Y4031*1"/>
        <s v="Y4013-DB+Y4016+Y4019"/>
        <s v="Y4011-OR+Y4014+Y4017"/>
        <s v="Y4022-DB+Y4026+Y4030"/>
        <s v="Y4022-WB+Y4026+Y4030"/>
        <s v="Y4023-DB+Y4027+Y4031"/>
        <s v="Y4061-WI+Y4062"/>
        <s v="Y4084-OR+Y4085+Y4086"/>
        <s v="Y4013-GW+Y4016+Y4019"/>
        <s v="Y4022-OR+Y4026+Y4030"/>
        <s v="Y4023-WB+Y4027+Y4031"/>
        <s v="Y4053-OR+Y4054+Y4049"/>
        <s v="Y4072-BL+Y4073+Y4074"/>
        <s v="Y4084-DB+Y4085+Y4086"/>
        <s v="Y4084-BL+Y4085+Y4086"/>
        <s v="Y4081-BL+Y4082+Y4083"/>
        <s v="Y4012-DB+Y4015+Y4018"/>
        <s v="Y4011-DB+Y4014+Y4017"/>
        <s v="Y4013-BL+Y4016+Y4019"/>
        <s v="Y4020-BL+Y4024+Y4028"/>
        <s v="Y4021-BL+Y4025+Y4029"/>
        <s v="Y4020-OR+Y4024+Y4028"/>
        <s v="Y4023-WI+Y4027+Y4031"/>
        <s v="Y4041-BL+Y4044"/>
        <s v="Y4040-BL+Y4043"/>
        <s v="Y4040-GW+Y4043"/>
        <s v="Y4040-WB+Y4043"/>
        <s v="Y4050-OR+Y4051+Y4052"/>
        <s v="Y4081-DB+Y4082+Y4083"/>
        <s v="Y4081-OR+Y4082+Y4083"/>
        <s v="Y4023-GW+Y4027+Y4031"/>
        <s v="Y4023-OR+Y4027+Y4031"/>
        <s v="Y4039-BL+Y4042+Y4045"/>
        <s v="Y4022-WI+Y4026+Y4030"/>
        <s v="Y4040-DB+Y4043"/>
        <s v="Y4050-DB+Y4051+Y4052"/>
        <s v="Y4050-BL+Y4051+Y4052"/>
        <s v="Y4061-DB+Y4062"/>
        <s v="Y4058-BL+Y4059+Y4060"/>
        <s v="Y4069-WI+Y4070+Y4071"/>
        <s v="Y4084-GW+Y4085+Y4086"/>
        <s v="Y4078-BL+Y4079+Y4080"/>
        <s v="Y4012-OR+Y4015+Y4018"/>
        <s v="Y4020-DB+Y4024+Y4028"/>
        <s v="Y4020-WB+Y4024+Y4028"/>
        <s v="Y4021-OR+Y4025+Y4029"/>
        <s v="Y4041-WB+Y4044"/>
        <s v="Y4053-WI+Y4054+Y4049"/>
        <s v="Y4050-WI+Y4051+Y4052"/>
        <s v="Y4055-BL+Y4056+Y4057"/>
        <s v="Y4066-BL+Y4068"/>
        <s v="Y4075-BL+Y4076+Y4077"/>
        <s v="Y4075-GW+Y4076+Y4077"/>
        <s v="Y4075-DB+Y4076+Y4077"/>
        <s v="Y4013-PB+Y4016+Y4019"/>
        <s v="Y4011-PB+Y4014+Y4017"/>
        <s v="Y4021-DB+Y4025+Y4029"/>
        <s v="Y4035-GR"/>
        <s v="Y4036-OR"/>
        <s v="Y4041-OR+Y4044"/>
        <s v="Y4041-GW+Y4044"/>
        <s v="Y4040-WI+Y4043"/>
        <s v="Y4041-DB+Y4044"/>
        <s v="Y4053-DB+Y4054+Y4049"/>
        <s v="Y4053-BL+Y4054+Y4049"/>
        <s v="Y4063-OR+Y4064+Y4065"/>
        <s v="Y4055-OR+Y4056+Y4057"/>
        <s v="Y4058-GW+Y4059+Y4060"/>
        <s v="Y4061-OR+Y4062"/>
        <s v="Y4061-GW+Y4062"/>
        <s v="Y4066-OR+Y4068"/>
        <s v="Y4066-DB+Y4068"/>
        <s v="Y4069-DB+Y4070+Y4071"/>
        <s v="Y4069-GW+Y4070+Y4071"/>
        <s v="Y4069-OR+Y4070+Y4071"/>
        <s v="Y4072-WI+Y4073+Y4074"/>
        <s v="Y4072-OR+Y4073+Y4074"/>
        <s v="Y4081-GW+Y4082+Y4083"/>
        <s v="Y4081-WI+Y4082+Y4083"/>
        <s v="Y4078-DB+Y4079+Y4080"/>
        <s v="Y4078-OR+Y4079+Y4080"/>
        <s v="Y4078-GW+Y4079+Y4080"/>
        <s v="Y4075-WI+Y4076+Y4077"/>
        <s v="Y4089-BL+Y4090"/>
        <m/>
      </sharedItems>
    </cacheField>
    <cacheField name="会话次数 – 总计" numFmtId="0">
      <sharedItems containsString="0" containsBlank="1" containsNumber="1" containsInteger="1" minValue="0" maxValue="223" count="64">
        <n v="192"/>
        <n v="223"/>
        <n v="142"/>
        <n v="66"/>
        <n v="54"/>
        <n v="45"/>
        <n v="81"/>
        <n v="63"/>
        <n v="114"/>
        <n v="83"/>
        <n v="128"/>
        <n v="43"/>
        <n v="146"/>
        <n v="37"/>
        <n v="178"/>
        <n v="97"/>
        <n v="62"/>
        <n v="41"/>
        <n v="69"/>
        <n v="65"/>
        <n v="53"/>
        <n v="15"/>
        <n v="42"/>
        <n v="60"/>
        <n v="23"/>
        <n v="100"/>
        <n v="58"/>
        <n v="36"/>
        <n v="55"/>
        <n v="27"/>
        <n v="35"/>
        <n v="118"/>
        <n v="40"/>
        <n v="52"/>
        <n v="121"/>
        <n v="49"/>
        <n v="71"/>
        <n v="50"/>
        <n v="33"/>
        <n v="28"/>
        <n v="13"/>
        <n v="19"/>
        <n v="57"/>
        <n v="70"/>
        <n v="34"/>
        <n v="12"/>
        <n v="6"/>
        <n v="20"/>
        <n v="18"/>
        <n v="16"/>
        <n v="11"/>
        <n v="14"/>
        <n v="22"/>
        <n v="8"/>
        <n v="31"/>
        <n v="9"/>
        <n v="21"/>
        <n v="26"/>
        <n v="25"/>
        <n v="3"/>
        <n v="24"/>
        <n v="29"/>
        <n v="10"/>
        <m/>
      </sharedItems>
    </cacheField>
    <cacheField name="会话次数 – 总计 – B2B" numFmtId="0">
      <sharedItems containsString="0" containsBlank="1" containsNumber="1" containsInteger="1" minValue="0" maxValue="5" count="7">
        <n v="2"/>
        <n v="3"/>
        <n v="0"/>
        <n v="1"/>
        <n v="4"/>
        <n v="5"/>
        <m/>
      </sharedItems>
    </cacheField>
    <cacheField name="会话百分比 – 总计" numFmtId="0">
      <sharedItems containsString="0" containsBlank="1" containsNumber="1" minValue="0" maxValue="0.0511" count="64">
        <n v="0.044"/>
        <n v="0.0511"/>
        <n v="0.0326"/>
        <n v="0.0151"/>
        <n v="0.0124"/>
        <n v="0.0103"/>
        <n v="0.0186"/>
        <n v="0.0144"/>
        <n v="0.0261"/>
        <n v="0.019"/>
        <n v="0.0293"/>
        <n v="0.0099"/>
        <n v="0.0335"/>
        <n v="0.0085"/>
        <n v="0.0408"/>
        <n v="0.0222"/>
        <n v="0.0142"/>
        <n v="0.0094"/>
        <n v="0.0158"/>
        <n v="0.0149"/>
        <n v="0.0122"/>
        <n v="0.0034"/>
        <n v="0.0096"/>
        <n v="0.0138"/>
        <n v="0.0053"/>
        <n v="0.0229"/>
        <n v="0.0133"/>
        <n v="0.0083"/>
        <n v="0.0126"/>
        <n v="0.0062"/>
        <n v="0.008"/>
        <n v="0.0271"/>
        <n v="0.0092"/>
        <n v="0.0119"/>
        <n v="0.0277"/>
        <n v="0.0112"/>
        <n v="0.0163"/>
        <n v="0.0115"/>
        <n v="0.0076"/>
        <n v="0.0064"/>
        <n v="0.003"/>
        <n v="0.0044"/>
        <n v="0.0131"/>
        <n v="0.016"/>
        <n v="0.0078"/>
        <n v="0.0028"/>
        <n v="0.0014"/>
        <n v="0.0046"/>
        <n v="0.0041"/>
        <n v="0.0037"/>
        <n v="0.0025"/>
        <n v="0.0032"/>
        <n v="0.005"/>
        <n v="0.0018"/>
        <n v="0.0071"/>
        <n v="0.0021"/>
        <n v="0.0048"/>
        <n v="0.006"/>
        <n v="0.0057"/>
        <n v="0.0007"/>
        <n v="0.0055"/>
        <n v="0.0066"/>
        <n v="0.0023"/>
        <m/>
      </sharedItems>
    </cacheField>
    <cacheField name="会话百分比 – 总计 – B2B" numFmtId="0">
      <sharedItems containsString="0" containsBlank="1" containsNumber="1" minValue="0" maxValue="0.0667" count="7">
        <n v="0.0267"/>
        <n v="0.04"/>
        <n v="0"/>
        <n v="0.0133"/>
        <n v="0.0533"/>
        <n v="0.0667"/>
        <m/>
      </sharedItems>
    </cacheField>
    <cacheField name="页面浏览量 – 总计" numFmtId="0">
      <sharedItems containsString="0" containsBlank="1" containsNumber="1" containsInteger="1" minValue="0" maxValue="318" count="68">
        <n v="258"/>
        <n v="318"/>
        <n v="180"/>
        <n v="104"/>
        <n v="77"/>
        <n v="49"/>
        <n v="123"/>
        <n v="74"/>
        <n v="150"/>
        <n v="106"/>
        <n v="97"/>
        <n v="173"/>
        <n v="70"/>
        <n v="191"/>
        <n v="228"/>
        <n v="155"/>
        <n v="80"/>
        <n v="52"/>
        <n v="99"/>
        <n v="110"/>
        <n v="81"/>
        <n v="20"/>
        <n v="29"/>
        <n v="87"/>
        <n v="136"/>
        <n v="75"/>
        <n v="51"/>
        <n v="64"/>
        <n v="30"/>
        <n v="45"/>
        <n v="165"/>
        <n v="47"/>
        <n v="66"/>
        <n v="57"/>
        <n v="148"/>
        <n v="94"/>
        <n v="60"/>
        <n v="41"/>
        <n v="40"/>
        <n v="18"/>
        <n v="24"/>
        <n v="53"/>
        <n v="96"/>
        <n v="17"/>
        <n v="63"/>
        <n v="7"/>
        <n v="27"/>
        <n v="25"/>
        <n v="21"/>
        <n v="35"/>
        <n v="23"/>
        <n v="32"/>
        <n v="10"/>
        <n v="39"/>
        <n v="9"/>
        <n v="36"/>
        <n v="37"/>
        <n v="4"/>
        <n v="33"/>
        <n v="72"/>
        <n v="19"/>
        <n v="48"/>
        <n v="56"/>
        <n v="84"/>
        <n v="85"/>
        <n v="31"/>
        <n v="15"/>
        <m/>
      </sharedItems>
    </cacheField>
    <cacheField name="页面浏览量 – 总计 – B2B" numFmtId="0">
      <sharedItems containsString="0" containsBlank="1" containsNumber="1" containsInteger="1" minValue="0" maxValue="8" count="9">
        <n v="3"/>
        <n v="2"/>
        <n v="0"/>
        <n v="1"/>
        <n v="4"/>
        <n v="7"/>
        <n v="8"/>
        <n v="6"/>
        <m/>
      </sharedItems>
    </cacheField>
    <cacheField name="页面浏览量百分比 – 总计" numFmtId="0">
      <sharedItems containsString="0" containsBlank="1" containsNumber="1" minValue="0" maxValue="0.0542" count="68">
        <n v="0.044"/>
        <n v="0.0542"/>
        <n v="0.0307"/>
        <n v="0.0177"/>
        <n v="0.0131"/>
        <n v="0.0084"/>
        <n v="0.021"/>
        <n v="0.0126"/>
        <n v="0.0256"/>
        <n v="0.0181"/>
        <n v="0.0165"/>
        <n v="0.0295"/>
        <n v="0.0119"/>
        <n v="0.0326"/>
        <n v="0.0389"/>
        <n v="0.0264"/>
        <n v="0.0136"/>
        <n v="0.0089"/>
        <n v="0.0169"/>
        <n v="0.0188"/>
        <n v="0.0138"/>
        <n v="0.0034"/>
        <n v="0.0049"/>
        <n v="0.0148"/>
        <n v="0.0232"/>
        <n v="0.0128"/>
        <n v="0.0087"/>
        <n v="0.0109"/>
        <n v="0.0051"/>
        <n v="0.0077"/>
        <n v="0.0281"/>
        <n v="0.008"/>
        <n v="0.0113"/>
        <n v="0.0097"/>
        <n v="0.0252"/>
        <n v="0.016"/>
        <n v="0.0102"/>
        <n v="0.007"/>
        <n v="0.0068"/>
        <n v="0.0031"/>
        <n v="0.0041"/>
        <n v="0.009"/>
        <n v="0.0164"/>
        <n v="0.0029"/>
        <n v="0.0107"/>
        <n v="0.0012"/>
        <n v="0.0046"/>
        <n v="0.0043"/>
        <n v="0.0036"/>
        <n v="0.006"/>
        <n v="0.0039"/>
        <n v="0.0055"/>
        <n v="0.0017"/>
        <n v="0.0067"/>
        <n v="0.0015"/>
        <n v="0.0061"/>
        <n v="0.0063"/>
        <n v="0.0007"/>
        <n v="0.0056"/>
        <n v="0.0123"/>
        <n v="0.0032"/>
        <n v="0.0082"/>
        <n v="0.0096"/>
        <n v="0.0143"/>
        <n v="0.0145"/>
        <n v="0.0053"/>
        <n v="0.0026"/>
        <m/>
      </sharedItems>
    </cacheField>
    <cacheField name="页面浏览量百分比 – 总计 – B2B" numFmtId="0">
      <sharedItems containsString="0" containsBlank="1" containsNumber="1" minValue="0" maxValue="0.0816" count="9">
        <n v="0.0306"/>
        <n v="0.0204"/>
        <n v="0"/>
        <n v="0.0102"/>
        <n v="0.0408"/>
        <n v="0.0714"/>
        <n v="0.0816"/>
        <n v="0.0612"/>
        <m/>
      </sharedItems>
    </cacheField>
    <cacheField name="推荐报价（购买按钮）百分比" numFmtId="0">
      <sharedItems containsString="0" containsBlank="1" containsNumber="1" minValue="0" maxValue="1" count="27">
        <n v="0.996"/>
        <n v="0.9937"/>
        <n v="1"/>
        <n v="0.9904"/>
        <n v="0.9916"/>
        <n v="0.9867"/>
        <n v="0.9888"/>
        <n v="0.9853"/>
        <n v="0.9615"/>
        <n v="0.9362"/>
        <n v="0.9487"/>
        <n v="0.9818"/>
        <n v="0.9862"/>
        <n v="0.9778"/>
        <n v="0.973"/>
        <n v="0.9583"/>
        <n v="0.9894"/>
        <n v="0.8611"/>
        <n v="0.8333"/>
        <n v="0.88"/>
        <n v="0.8889"/>
        <n v="0.9412"/>
        <n v="0.8788"/>
        <n v="0.9167"/>
        <n v="0.9545"/>
        <n v="0.9804"/>
        <m/>
      </sharedItems>
    </cacheField>
    <cacheField name="推荐报价（购买按钮）百分比 – B2B" numFmtId="0">
      <sharedItems containsString="0" containsBlank="1" containsNumber="1" minValue="0" maxValue="1" count="6">
        <n v="1"/>
        <n v="0"/>
        <n v="0.5"/>
        <n v="0.7143"/>
        <n v="0.3333"/>
        <m/>
      </sharedItems>
    </cacheField>
    <cacheField name="已订购商品数量" numFmtId="0">
      <sharedItems containsString="0" containsBlank="1" containsNumber="1" containsInteger="1" minValue="0" maxValue="26" count="14">
        <n v="20"/>
        <n v="16"/>
        <n v="10"/>
        <n v="26"/>
        <n v="8"/>
        <n v="6"/>
        <n v="5"/>
        <n v="9"/>
        <n v="4"/>
        <n v="13"/>
        <n v="3"/>
        <n v="2"/>
        <n v="1"/>
        <m/>
      </sharedItems>
    </cacheField>
  </cacheFields>
</pivotCacheDefinition>
</file>

<file path=xl/pivotCache/pivotCacheDefinition23.xml><?xml version="1.0" encoding="utf-8"?>
<pivotCacheDefinition xmlns="http://schemas.openxmlformats.org/spreadsheetml/2006/main" xmlns:r="http://schemas.openxmlformats.org/officeDocument/2006/relationships" r:id="rId1" createdVersion="5" refreshedVersion="5" minRefreshableVersion="3" refreshedDate="45219.5911226852" refreshedBy="Administrator" recordCount="115">
  <cacheSource type="worksheet">
    <worksheetSource ref="B1:O1048576" sheet="销售10.04-10.18" r:id="rId2"/>
  </cacheSource>
  <cacheFields count="14">
    <cacheField name="（子）ASIN" numFmtId="0">
      <sharedItems containsBlank="1" count="115">
        <s v="B0B6R7RFJ9"/>
        <s v="B09Z2LRTBX"/>
        <s v="B09Z2NG737"/>
        <s v="B0BFF6MDVZ"/>
        <s v="B0BLGHSPN7"/>
        <s v="B0CC5WH63Q"/>
        <s v="B09Z2LPGJ6"/>
        <s v="B09Z2D8WZH"/>
        <s v="B0B6R6J4RR"/>
        <s v="B09Z2HZKFL"/>
        <s v="B09Z2L5JZG"/>
        <s v="B0B6RDV9LL"/>
        <s v="B0B8GGVJ33"/>
        <s v="B0C3B7GM6N"/>
        <s v="B0B6RD2YH5"/>
        <s v="B0CC5VY1DQ"/>
        <s v="B0B6R8HY5B"/>
        <s v="B09Z2L1VX8"/>
        <s v="B0B6R6H5TH"/>
        <s v="B0B6R9FJJ1"/>
        <s v="B0BFF95ZDP"/>
        <s v="B0BFVK91DN"/>
        <s v="B0CC5QYDDY"/>
        <s v="B0CC971G1J"/>
        <s v="B09Z2MPF53"/>
        <s v="B0B6R8X9QQ"/>
        <s v="B0BFF5ZPKD"/>
        <s v="B0BFVSRCY5"/>
        <s v="B0BR5JQD7X"/>
        <s v="B0C3QDLGGH"/>
        <s v="B0CC5RG4WJ"/>
        <s v="B0CC5ZY6M2"/>
        <s v="B0B6R7PB9B"/>
        <s v="B0B9MXFZKN"/>
        <s v="B0BFF91P8K"/>
        <s v="B0BFW4V3TW"/>
        <s v="B0CC5X79ZC"/>
        <s v="B09Z2L3S7V"/>
        <s v="B09Z2LXWHV"/>
        <s v="B0B6R7CJFJ"/>
        <s v="B0B6R9YLJS"/>
        <s v="B0BR5KX742"/>
        <s v="B0CC96Y9PQ"/>
        <s v="B0B9MY7586"/>
        <s v="B0BFFD67C9"/>
        <s v="B0BFVDDTBX"/>
        <s v="B09Z2KZ6GT"/>
        <s v="B0B6R9KFC2"/>
        <s v="B0BFFB9WX3"/>
        <s v="B0BFVK75L4"/>
        <s v="B0C3QCDN39"/>
        <s v="B0CC5S63XS"/>
        <s v="B0CC5YS9SL"/>
        <s v="B0CC95N9XK"/>
        <s v="B0CCDF5CL8"/>
        <s v="B09Z2PY3PX"/>
        <s v="B0B6R8BYZF"/>
        <s v="B0BFVS3BF6"/>
        <s v="B0BRX7TLDB"/>
        <s v="B0C3B993XV"/>
        <s v="B0C3QD6SF2"/>
        <s v="B0CC5XWD9S"/>
        <s v="B09Z2LQ3PL"/>
        <s v="B0B6R6Y3YS"/>
        <s v="B0B6RC5KKN"/>
        <s v="B0B8G94B8Y"/>
        <s v="B0BFF9KBX4"/>
        <s v="B0BFVSX9KS"/>
        <s v="B0BFVW3J36"/>
        <s v="B0BR5JJSRT"/>
        <s v="B0BR5K255P"/>
        <s v="B0C3B9J4XR"/>
        <s v="B0C3QCDQ55"/>
        <s v="B0CC5RY9QL"/>
        <s v="B0CCDGLZNL"/>
        <s v="B0CCDJNY94"/>
        <s v="B0B6R86DZG"/>
        <s v="B0B8G6TLSP"/>
        <s v="B0B91ZFNTG"/>
        <s v="B0BFF794MN"/>
        <s v="B0BFVHXKJ2"/>
        <s v="B0BFWD368P"/>
        <s v="B0BKSTRC1H"/>
        <s v="B0BR5JYNWN"/>
        <s v="B0BR5K4D94"/>
        <s v="B0BRX8H8BT"/>
        <s v="B0C3QCX19G"/>
        <s v="B0CC978F87"/>
        <s v="B0CCDGR1V2"/>
        <s v="B0CCDH39HX"/>
        <s v="B09Z2LPGRC"/>
        <s v="B0B6R81F8S"/>
        <s v="B0B6R9LYG2"/>
        <s v="B0B98WSY9Z"/>
        <s v="B0B99DJ5HD"/>
        <s v="B0B9J5R1DB"/>
        <s v="B0B9J72ZT4"/>
        <s v="B0B9MZRDVL"/>
        <s v="B0BFF7BN4T"/>
        <s v="B0BFF86QTS"/>
        <s v="B0BFFC3T74"/>
        <s v="B0BKSV82S6"/>
        <s v="B0BR5GYQ9M"/>
        <s v="B0BR5GZTZB"/>
        <s v="B0BR5H1H36"/>
        <s v="B0BR5JFYJ5"/>
        <s v="B0BR5JH463"/>
        <s v="B0BR5K5N5D"/>
        <s v="B0BR5KSG5G"/>
        <s v="B0BRX8SS1F"/>
        <s v="B0C3B7W6WP"/>
        <s v="B0C3B9BYRT"/>
        <s v="B0CC98YM1W"/>
        <s v="B0CGR93NS4"/>
        <m/>
      </sharedItems>
    </cacheField>
    <cacheField name="商品名称" numFmtId="0">
      <sharedItems containsBlank="1" count="115">
        <s v="NIFFPD for iPhone 14 Plus Case with Belt Clip/Holster/Kickstand, Heavy Duty Rugged Full Body Protective Case with 2 Pcs Screen Protectors for Apple iPhone 14 Plus for Men 6.7 inch (Black)"/>
        <s v="NIFFPD Designed for Samsung Galaxy A03s Case with Belt Clip &amp; Kickstand, Full-Body Triple Layers Rugged Case with Screen Protector for Samsung Galaxy A03s US Version 6.5 inch Phone (Black+Orange)"/>
        <s v="NIFFPD Designed for Samsung Galaxy A03s Case with Belt Clip &amp; Kickstand, Full-Body Triple Layers Rugged Case with Screen Protector for Samsung Galaxy A03s US Version 6.5 inch Phone (Black)"/>
        <s v="NIFFPD Designed for Google Pixel 7 Case with Belt Clip &amp; Kickstand, Full-Body Triple Layers Rugged Case for Pixel 7 5G 6.3 inch Phone (Black+Orange)"/>
        <s v="NIFFPD for Apple iPhone 14 Pro Max Case with Belt Clip &amp; Kickstand, Full-Body Protection Multi Layers Rugged Case for iPhone Apple 14 Pro Max 6.7-inch Phone (Black)"/>
        <s v="NIFFPD for Apple iPhone 15 Plus Case with Belt Clip &amp; Kickstand, Full-Body Protection Multi Layers Rugged Case with Belt Holster for Apple iPhone 15 Plus 6.7 inch 2023(Black)"/>
        <s v="NIFFPD Designed for Samsung Galaxy A13 5G Case with Belt Clip &amp; Kickstand, Full-Body Triple Layers Rugged Case with Screen Protector for Samsung Galaxy A13 5G 6.5 inch Phone (Black+Orange)"/>
        <s v="NIFFPD Designed for Samsung Galaxy A13 5G Case with Belt Clip &amp; Kickstand for Men, Full-Body Triple Layers Rugged Case with Screen Protector for Samsung Galaxy A13 5G 6.5 inch Phone (Black)"/>
        <s v="NIFFPD for iPhone 14 Plus Case with Belt Clip/Holster/Kickstand, Heavy Duty Rugged Full Body Protective Case with 2 Pcs Screen Protectors for Apple iPhone 14 Plus for Men 6.7 inch (Navy Blue)"/>
        <s v="NIFFPD Designed for Samsung Galaxy A53 5G Case with Belt Clip &amp; Kickstand, Full-Body Triple Layers Rugged Case with Screen Protector for Samsung Galaxy A53 5G 6.5 inch Phone (Black+Orange)"/>
        <s v="NIFFPD Designed for Samsung Galaxy A03s Case with Belt Clip &amp; Kickstand, Full-Body Triple Layers Rugged Case with Screen Protector for Samsung Galaxy A03s US Version 6.5 inch Phone (Navy Blue)"/>
        <s v="NIFFPD iPhone 14 Pro Max Rugged Case with Belt Clip &amp; Kickstand, 6.7-inch 2022, Full-Body, 2 Screen Protectors (Purple+Black)"/>
        <s v="NIFFPD Designed for Google Pixel 6a Case with Belt Clip &amp; Kickstand, Full-Body Triple Layers Rugged Case for Pixel 6a 5G 6.1 inch Phone (Black)"/>
        <s v="NIFFPD Phone Case for Motorola Moto G Power 5G 2023 Case with Belt Clip &amp; Kickstand, Heavy Duty Rugged Full Body Protective Case Cover for Motorola G Power 5G 2023 (Black)"/>
        <s v="NIFFPD Designed for iPhone 14 Case with Belt Clip &amp; Kickstand, Full-Body Protection Multi Layers Rugged Case for Apple iPhone 14 6.1 inch 2022 (Black+Orange)"/>
        <s v="NIFFPD for Apple iPhone 15 Pro Max Case with Belt Clip &amp; Kickstand, Full-Body Protection Multi Layers Rugged Case with Belt Holster for Apple iPhone 15 Pro Max 6.7 inch 2023(Black)"/>
        <s v="NIFFPD for iPhone 14 Plus Case with Belt Clip/Holster/Kickstand, Heavy Duty Rugged Full Body Protective Case with 2 Pcs Screen Protectors for Apple iPhone 14 Plus for Men Women 6.7 inch (Black+Orange)"/>
        <s v="NIFFPD Designed for Samsung Galaxy A03s Case with Belt Clip &amp; Kickstand, Full-Body Triple Layers Rugged Case with Screen Protector for Samsung Galaxy A03s US Version 6.5 inch Phone (Green+White)"/>
        <s v="NIFFPD Designed for iPhone 14 Case with Belt Clip &amp; Kickstand, Full-Body Protection Multi Layers Rugged Case for Apple iPhone 14 6.1 inch 2022 (Black)"/>
        <s v="NIFFPD Designed for Apple iPhone 14 Pro Max Case with Belt Clip &amp; Kickstand, Full-Body Multi Layers Rugged Case with 2 Pcs Screen Protectors for Apple iPhone 14 Pro Max 6.7 inch 2022 (Navy Blue)"/>
        <s v="NIFFPD Designed for Google Pixel 7 Case with Belt Clip &amp; Kickstand, Full-Body Triple Layers Rugged Case for Pixel 7 5G 6.3 inch Phone (Black)"/>
        <s v="NIFFPD Designed for Samsung Galaxy A23 5G/4G Case with Belt Clip &amp; Kickstand, Full-Body Triple Layers Rugged Case with Screen Protector for Samsung Galaxy A23 5G/4G 6.6 inch Phone (Black)"/>
        <s v="NIFFPD for Apple iPhone 15 Pro Max Case with Belt Clip &amp; Kickstand, Full-Body Protection Multi Layers Rugged Case with Belt Holster for Apple iPhone 15 Pro Max 6.7 inch 2023 (Black+Orange)"/>
        <s v="NIFFPD for Apple iPhone 15 Pro Case with Belt Clip &amp; Kickstand, Full-Body Protection Multi Layers Rugged Case with Belt Holster for Apple iPhone 15 Pro 6.1 inch 2023 (Black+Orange)"/>
        <s v="NIFFPD Designed for Samsung Galaxy A13 5G Case with Belt Clip &amp; Kickstand, Full-Body Triple Layers Rugged Case with Screen Protector for Samsung Galaxy A13 5G 6.5 inch Phone (Navy Blue)"/>
        <s v="NIFFPD for iPhone 14 Plus Case with Belt Clip/Holster/Kickstand, Heavy Duty Rugged Full Body Protective Case with 2 Pcs Screen Protectors for Apple iPhone 14 Plus for Men Women 6.7 inch (Green+White)"/>
        <s v="NIFFPD Designed for Google Pixel 7 Case with Belt Clip &amp; Kickstand, Full-Body Triple Layers Rugged Case for Pixel 7 5G 6.3 inch Phone (Navy Blue)"/>
        <s v="NIFFPD Designed for Samsung Galaxy A23 5G/4G Case with Belt Clip &amp; Kickstand, Full-Body Triple Layers Rugged Case with Screen Protector for Samsung Galaxy A23 5G/4G 6.6 inch Phone (Black+Orange)"/>
        <s v="NIFFPD for Samsung Galaxy S23 Ultra 5G Case with Belt Clip &amp; Kickstand for Men Women, Full-Body Protection Rugged Holster Phone Case for Samsung S23 Ultra 5G (Purple+Pink)"/>
        <s v="NIFFPD Phone Case for Samsung Galaxy A24 4G 2023 Case with Belt Clip &amp; Kickstand, Heavy Duty Rugged Full Body Protective Case Cover for Samsung A24 4G Phone (Black)"/>
        <s v="NIFFPD for Apple iPhone 15 Pro Max Case with Belt Clip &amp; Kickstand, Full-Body Protection Multi Layers Rugged Case with Belt Holster for Apple iPhone 15 Pro Max 6.7 inch 2023 (Dark Blue+Blue)"/>
        <s v="NIFFPD for Apple iPhone 15 Plus Case with Belt Clip &amp; Kickstand, Full-Body Protection Multi Layers Rugged Case with Belt Holster for Apple iPhone 15 Plus 6.7 inch 2023(Black+Orange)"/>
        <s v="NIFFPD for iPhone 14 Plus Case with Belt Clip/Holster/Kickstand, Heavy Duty Rugged Full Body Protective Case with 2 Pcs Screen Protectors for Apple iPhone 14 Plus for Men Women 6.7 inch (Purple+Black)"/>
        <s v="NIFFPD Designed for Apple iPhone 14 Pro Max Case with Belt Clip &amp; Kickstand, Full-Body Multi Layers Rugged Case with 2 Pcs Screen Protectors for Apple iPhone 14 Pro Max 6.7-inch 2022 (Purple+Pink)"/>
        <s v="NIFFPD Designed for Google Pixel 7 Pro Case with Belt Clip &amp; Kickstand, Full-Body Triple Layers Rugged Case for Pixel 7 pro 5G 6.7 inch Phone (Black)"/>
        <s v="NIFFPD Designed for Motorola Edge 2022 Case with Belt Clip &amp; Kickstand, Full-Body Triple Layers Rugged Case with Screen Protector for Motorola Moto Edge 2022 6.6 inch Phone (Black+Orange)"/>
        <s v="NIFFPD for Apple iPhone 15 Plus Case with Belt Clip &amp; Kickstand, Full-Body Protection Multi Layers Rugged Case with Belt Holster for Apple iPhone 15 Plus 6.7 inch 2023(Dark Blue+Blue)"/>
        <s v="NIFFPD Designed for Samsung Galaxy A53 5G Case with Belt Clip &amp; Kickstand, Full-Body Triple Layers Rugged Case with Screen Protector for Samsung Galaxy A53 5G 6.5 inch Phone (Black)"/>
        <s v="NIFFPD Designed for Samsung Galaxy A53 5G Case with Belt Clip &amp; Kickstand, Full-Body Triple Layers Rugged Case with Screen Protector for Samsung Galaxy A53 5G 6.5 inch Phone (Navy+Blue)"/>
        <s v="NIFFPD Designed for iPhone 14 Case with Belt Clip &amp; Kickstand, Full-Body Protection Multi Layers Rugged Case for Apple iPhone 14 6.1 inch 2022 (Navy Blue)"/>
        <s v="NIFFPD for Apple iPhone 14 Pro Case with Belt Clip &amp; Kickstand, Full-Body Protection Multi Layers Rugged Case with Belt Holster for Apple iPhone 14 Pro 6.1 inch 2022 (Black)"/>
        <s v="NIFFPD for Samsung Galaxy S23 Plus 5G Case with Belt Clip &amp; Kickstand for Men Women, Full-Body Protection Rugged Holster Phone Case for Samsung S23+ 5G (Black)"/>
        <s v="NIFFPD for Apple iPhone 15 Pro Case with Belt Clip &amp; Kickstand, Full-Body Protection Multi Layers Rugged Case with Belt Holster for Apple iPhone 15 Pro 6.1 inch 2023 (Black)"/>
        <s v="NIFFPD for iPhone 14 Plus Case with Belt Clip/Holster/Kickstand, Heavy Duty Rugged Full Body Protective Case with 2 Pcs Screen Protector for Apple iPhone 14 Plus for Women 6.7 inch (Purple+Pink)"/>
        <s v="NIFFPD Designed for Google Pixel 7 Case with Belt Clip &amp; Kickstand, Full-Body Triple Layers Rugged Case for Pixel 7 5G 6.3 inch Phone (Purple+Black)"/>
        <s v="NIFFPD Designed for Samsung Galaxy A23 5G/4G Case with Belt Clip &amp; Kickstand, Full-Body Triple Layers Rugged Case with Screen Protector for Samsung Galaxy A23 5G/4G 6.6 inch Phone (Navy Blue)"/>
        <s v="NIFFPD Designed for Samsung Galaxy A03s Case with Belt Clip &amp; Kickstand, Full-Body Triple Layers Rugged Case with Screen Protector for Samsung Galaxy A03s US Version 6.5 inch Phone (Purple+Black)"/>
        <s v="NIFFPD Designed for Apple iPhone 14 Pro Max Case with Belt Clip &amp; Kickstand, Full-Body Multi Layers Rugged Case with 2 Pcs Screen Protectors for Apple iPhone 14 Pro Max 6.7 inch 2022 (Black+Orange)"/>
        <s v="NIFFPD Designed for Google Pixel 7 Case with Belt Clip &amp; Kickstand, Full-Body Triple Layers Rugged Case for Pixel 7 5G 6.3 inch Phone (Green+White)"/>
        <s v="NIFFPD Designed for Motorola Edge 2022 Case with Belt Clip &amp; Kickstand, Full-Body Triple Layers Rugged Case with Screen Protector for Motorola Moto Edge 2022 6.6 inch Phone (Navy Blue)"/>
        <s v="NIFFPD Phone Case for Samsung Galaxy A24 4G 2023 Case with Belt Clip &amp; Kickstand, Heavy Duty Rugged Full Body Protective Case Cover for Samsung A24 4G Phone (Navy Blue)"/>
        <s v="NIFFPD for Apple iPhone 15 Pro Max Case with Belt Clip &amp; Kickstand, Full-Body Protection Multi Layers Rugged Case with Belt Holster for Apple iPhone 15 Pro Max 6.7 inch 2023(Green+White)"/>
        <s v="NIFFPD for Apple iPhone 15 Plus Case with Belt Clip &amp; Kickstand, Full-Body Protection Multi Layers Rugged Case with Belt Holster for Apple iPhone 15 Plus 6.7 inch 2023(Wine Red+Pink)"/>
        <s v="NIFFPD for Apple iPhone 15 Pro Case with Belt Clip &amp; Kickstand, Full-Body Protection Multi Layers Rugged Case with Belt Holster for Apple iPhone 15 Pro 6.1 inch 2023(Dark Blue+Blue)"/>
        <s v="NIFFPD for Apple iPhone 15 Case with Belt Clip &amp; Kickstand, Full-Body Protection Multi Layers Rugged Case with Belt Holster for Apple iPhone 15 6.1 inch 2023(Black)"/>
        <s v="NIFFPD Designed for Samsung Galaxy A13 5G Case with Belt Clip &amp; Kickstand, Full-Body Triple Layers Rugged Case with Screen Protector for Samsung Galaxy A13 5G 6.5 inch Phone (Purple+Black)"/>
        <s v="NIFFPD Designed for Apple iPhone 14 Pro Max Case with Belt Clip &amp; Kickstand, Full-Body Multi Layers Rugged Case with 2 Pcs Screen Protectors for Apple iPhone 14 Pro Max 6.7 inch 2022 (Green+White)"/>
        <s v="NIFFPD Designed for Motorola Edge 2022 Case with Belt Clip &amp; Kickstand, Full-Body Triple Layers Rugged Case with Screen Protector for Motorola Moto Edge 2022 6.6 inch Phone (Purple+Pink)"/>
        <s v="NIFFPD for Samsung Galaxy A54 5G Case with Belt Clip &amp; Kickstand for Men, Full-Body Protection Rugged Case for Samsung A54 5G Phone (Black)"/>
        <s v="NIFFPD Phone Case for Motorola Moto G Power 5G 2023 Case with Belt Clip &amp; Kickstand, Heavy Duty Rugged Full Body Protective Case Cover for Motorola G Power 5G 2023 (Purple+Pink)"/>
        <s v="NIFFPD Phone Case for Samsung Galaxy A24 4G 2023 Case with Belt Clip &amp; Kickstand, Heavy Duty Rugged Full Body Protective Case Cover for Samsung A24 4G Phone (Black+Orange)"/>
        <s v="NIFFPD for Apple iPhone 15 Plus Case with Belt Clip &amp; Kickstand, Full-Body Protection Multi Layers Rugged Case with Belt Holster for Apple iPhone 15 Plus 6.7 inch 2023(Green+White)"/>
        <s v="NIFFPD Designed for Samsung Galaxy A53 5G Case with Belt Clip &amp; Kickstand, Full-Body Triple Layers Rugged Case with Screen Protector for Samsung Galaxy A53 5G 6.5 inch Phone (Purple+Black)"/>
        <s v="NIFFPD Designed for iPhone 14 Case with Belt Clip &amp; Kickstand, Full-Body Protection Multi Layers Rugged Case for Apple iPhone 14 6.1 inch 2022 (Green+White)…"/>
        <s v="NIFFPD for Apple iPhone 14 Pro Case with Belt Clip &amp; Kickstand, Full-Body Protection Multi Layers Rugged Case with Belt Holster for Apple iPhone 14 Pro 6.1 inch 2022 (Black+Orange)"/>
        <s v="NIFFPD Designed for Google Pixel 6a Case with Belt Clip &amp; Kickstand, Full-Body Triple Layers Rugged Case with Screen Protector for Pixel 6a 5G 6.1 inch Phone (Black+Orange)"/>
        <s v="NIFFPD Designed for Google Pixel 7 Case with Belt Clip &amp; Kickstand, Full-Body Triple Layers Rugged Case for Pixel 7 5G 6.3 inch Phone (Purple+Pink)"/>
        <s v="NIFFPD Designed for Motorola Edge 2022 Case with Belt Clip &amp; Kickstand, Full-Body Triple Layers Rugged Case with Screen Protector for Motorola Moto Edge 2022 6.6 inch Phone (Black)"/>
        <s v="NIFFPD Designed for Samsung Galaxy A23 5G/4G Case with Belt Clip &amp; Kickstand, Full-Body Triple Layers Rugged Case with Screen Protector for Samsung Galaxy A23 5G/4G 6.6 inch Phone (Green+White)"/>
        <s v="NIFFPD for Samsung Galaxy S23 Ultra 5G Case with Belt Clip &amp; Kickstand for Men Women, Full-Body Protection Rugged Holster Phone Case for Samsung S23 Ultra 5G (Navy Blue)"/>
        <s v="NIFFPD for Samsung Galaxy S23 5G Case with Belt Clip &amp; Kickstand for Men Women, Full-Body Protection Rugged Holster Phone Case for Samsung S23 5G (Black)"/>
        <s v="NIFFPD Phone Case for Motorola Moto G Power 5G 2023 Case with Belt Clip &amp; Kickstand, Heavy Duty Rugged Full Body Protective Case Cover for Motorola G Power 5G 2023 (Black+Orange)"/>
        <s v="NIFFPD Phone Case for Samsung Galaxy A24 4G 2023 Case with Belt Clip &amp; Kickstand, Heavy Duty Rugged Full Body Protective Case Cover for Samsung A24 4G Phone (Purple+Pink)"/>
        <s v="NIFFPD for Apple iPhone 15 Pro Max Case with Belt Clip &amp; Kickstand, Full-Body Protection Multi Layers Rugged Case with Belt Holster for Apple iPhone 15 Pro Max 6.7 inch 2023(Wine Red+Pink)"/>
        <s v="NIFFPD for Apple iPhone 15 Case with Belt Clip &amp; Kickstand, Full-Body Protection Multi Layers Rugged Case with Belt Holster for Apple iPhone 15 6.2 inch (Wine Red+Pink)"/>
        <s v="NIFFPD for Apple iPhone 15 Case with Belt Clip &amp; Kickstand, Full-Body Protection Multi Layers Rugged Case with Belt Holster for Apple iPhone 15 6.2 inch (Dark Blue+Blue)"/>
        <s v="NIFFPD Designed for iPhone 14 Case with Belt Clip &amp; Kickstand, Full-Body Protection Multi Layers Rugged Case for Apple iPhone 14 6.1 inch 2022 (Purple+Black)"/>
        <s v="NIFFPD Designed for Google Pixel 6a Case with Belt Clip &amp; Kickstand, Full-Body Triple Layers Rugged Case with Screen Protector for Pixel 6a 5G 6.1 inch Phone (Navy Blue)"/>
        <s v="NIFFPD for Samsung Galaxy Z Flip 4 Case with Nylon Strap, Metal Ring, Secure Handheld, Comfortable Touch Phone Cover for Samsung Z Flip 4 5G 6.7-inch (Navy Blue)"/>
        <s v="NIFFPD Designed for Google Pixel 7 Pro Case with Belt Clip &amp; Kickstand, Full-Body Triple Layers Rugged Case for Pixel 7 Pro 5G 6.7 inch Phone (Purple+Black)"/>
        <s v="NIFFPD Designed for Motorola Edge 2022 Case with Belt Clip &amp; Kickstand, Full-Body Triple Layers Rugged Case with Screen Protector for Motorola Moto Edge 2022 6.6 inch Phone (Green+White)"/>
        <s v="NIFFPD Designed for Samsung Galaxy A23 5G/4G Case with Belt Clip &amp; Kickstand, Full-Body Triple Layers Rugged Case with Screen Protector for Samsung Galaxy A23 5G/4G 6.6 inch Phone (Purple+Pink)"/>
        <s v="NIFFPD for Samsung Galaxy A14 5G Case with Belt Clip &amp; Kickstand for Men, Full-Body Protection Rugged Case for Samsung A14 5G Phone (Black+Orange)"/>
        <s v="NIFFPD for Samsung Galaxy S23 Plus 5G Case with Belt Clip &amp; Kickstand for Men Women, Full-Body Protection Rugged Holster Phone Case for Samsung S23+ 5G (Green+White)"/>
        <s v="NIFFPD for Samsung Galaxy S23 Ultra 5G Case with Belt Clip &amp; Kickstand for Men Women, Full-Body Protection Rugged Holster Phone Case for Samsung S23 Ultra 5G (Black+Orange)"/>
        <s v="NIFFPD for Samsung Galaxy A54 5G Case with Belt Clip &amp; Kickstand for Men, Full-Body Protection Rugged Case for Samsung A54 5G Phone (Black+Orange)"/>
        <s v="NIFFPD Phone Case for Samsung Galaxy A24 4G 2023 Case with Belt Clip &amp; Kickstand, Heavy Duty Rugged Full Body Protective Case Cover for Samsung A24 4G Phone (Green+White)"/>
        <s v="NIFFPD for Apple iPhone 15 Pro Case with Belt Clip &amp; Kickstand, Full-Body Protection Multi Layers Rugged Case with Belt Holster for Apple iPhone 15 Pro 6.1 inch 2023(Green+White)"/>
        <s v="NIFFPD for Apple iPhone 15 Case with Belt Clip &amp; Kickstand, Full-Body Protection Multi Layers Rugged Case with Belt Holster for Apple iPhone 15 6.2 inch (Black+Orange)"/>
        <s v="NIFFPD for Apple iPhone 15 Case with Belt Clip &amp; Kickstand, Full-Body Protection Multi Layers Rugged Case with Belt Holster for Apple iPhone 15 6.1 inch 2023(Green+White)"/>
        <s v="NIFFPD Designed for Samsung Galaxy A53 5G Case with Belt Clip &amp; Kickstand, Full-Body Triple Layers Rugged Case with Screen Protector for Samsung Galaxy A53 5G 6.5 inch Phone (Green+White)"/>
        <s v="NIFFPD for Apple iPhone 14 Pro Case with Belt Clip &amp; Kickstand, Full-Body Protection Multi Layers Rugged Case with Belt Holster for Apple iPhone 14 Pro 6.1 inch 2022 (Navy Blue)"/>
        <s v="NIFFPD for Apple iPhone 14 Pro Case with Belt Clip &amp; Kickstand, Full-Body Protection Multi Layers Rugged Case with Belt Holster for Apple iPhone 14 Pro 6.1 inch 2022 (Purple+Black)"/>
        <s v="NIFFPD for Samsung Galaxy Z Flod 4 Case with Kickstand, Pen Holder &amp; Built-in Front Screen Protector, Anti-Scratch Shockproof Leather Phone Cover for Samsung Z Flod 4 5G 2022 7.6-inch (Rose Gold)"/>
        <s v="NIFFPD for Samsung Galaxy Z Flip 4 Case with Hinge Protection &amp; Built-in Camera Cover Protector, Anti-Scratch Shockproof Leather Phone Cover for Samsung Z Flip 4 5G 6.7-inch"/>
        <s v="NIFFPD for Samsung Galaxy Z Flip 4 Phone Case, Flip 4 Dual Layers Case Hard PC &amp; Soft TPU Anti-Scratch Shockproof Protective Phone Cover for Samsung Z Flip 4 5G 6.7-inch (Black)"/>
        <s v="NIFFPD for Samsung Galaxy Z Flip 4 Phone Case, Flip 4 Dual Layers Case Hard PC &amp; Soft TPU Anti-Scratch Shockproof Protective Phone Cover for Samsung Z Flip 4 5G 6.7-inch (Black+Orange)"/>
        <s v="NIFFPD for Apple iPhone 14 Pro Case with Belt Clip &amp; Kickstand, Full-Body Protection Multi Layers Rugged Case with Belt Holster for Apple iPhone 14 Pro 6.1 inch 2022 (Purple+Pink)"/>
        <s v="NIFFPD Designed for Google Pixel 7 Pro Case with Belt Clip &amp; Kickstand, Full-Body Triple Layers Rugged Case for Pixel 7 Pro 5G 6.7 inch Phone (Black+Orange)"/>
        <s v="NIFFPD Designed for Google Pixel 7 Pro Case with Belt Clip &amp; Kickstand, Full-Body Triple Layers Rugged Case for Pixel 7 pro 5G 6.7 inch Phone (Green+White)"/>
        <s v="NIFFPD Designed for Google Pixel 7 Pro Case with Belt Clip &amp; Kickstand, Full-Body Triple Layers Rugged Case for Pixel 7 Pro 5G 6.7 inch Phone (Navy Blue)"/>
        <s v="NIFFPD for Samsung Galaxy A14 5G Case with Belt Clip &amp; Kickstand for Men, Full-Body Protection Rugged Case for Samsung A14 5G Phone (Purple+Pink)"/>
        <s v="NIFFPD for Samsung Galaxy S23 5G Case with Belt Clip &amp; Kickstand for Men Women, Full-Body Protection Rugged Holster Phone Case for Samsung S23 5G (Navy Blue)"/>
        <s v="NIFFPD for Samsung Galaxy S23 5G Case with Belt Clip &amp; Kickstand for Men Women, Full-Body Protection Rugged Holster Phone Case for Samsung S23 5G (Green+White)"/>
        <s v="NIFFPD for Samsung Galaxy S23 5G Case with Belt Clip &amp; Kickstand for Men Women, Full-Body Protection Rugged Holster Phone Case for Samsung S23 5G (Black+Orange)"/>
        <s v="NIFFPD for Samsung Galaxy S23 Plus 5G Case with Belt Clip &amp; Kickstand for Men Women, Full-Body Protection Rugged Holster Phone Case for Samsung S23+ 5G (Black+Orange)"/>
        <s v="NIFFPD for Samsung Galaxy S23 Plus 5G Case with Belt Clip &amp; Kickstand for Men Women, Full-Body Protection Rugged Holster Phone Case for Samsung S23+ 5G (Purple+Pink)"/>
        <s v="NIFFPD for Samsung Galaxy S23 Ultra 5G Case with Belt Clip &amp; Kickstand for Men Women, Full-Body Protection Rugged Holster Phone Case for Samsung S23 Ultra 5G (Black)"/>
        <s v="NIFFPD for Samsung Galaxy S23 Ultra 5G Case with Belt Clip &amp; Kickstand for Men Women, Full-Body Protection Rugged Holster Phone Case for Samsung S23 Ultra 5G (Green+White)"/>
        <s v="NIFFPD for Samsung Galaxy A54 5G Case with Belt Clip &amp; Kickstand for Men, Full-Body Protection Rugged Case for Samsung A54 5G Phone (Navy Blue)"/>
        <s v="NIFFPD Phone Case for Motorola Moto G Power 5G 2023 Case with Belt Clip &amp; Kickstand, Heavy Duty Rugged Full Body Protective Case Cover for Motorola G Power 5G 2023 (Navy Blue)"/>
        <s v="NIFFPD Phone Case for Motorola Moto G Power 5G 2023 Case with Belt Clip &amp; Kickstand, Heavy Duty Rugged Full Body Protective Case Cover for Motorola G Power 5G 2023 (Green+White)"/>
        <s v="NIFFPD for Apple iPhone 15 Pro Case with Belt Clip &amp; Kickstand, Full-Body Protection Multi Layers Rugged Case with Belt Holster for Apple iPhone 15 Pro 6.1 inch 2023 (Wine Red+Pink)"/>
        <s v="NIFFPD Designed for Google Pixel 8 Pro Case with Belt Clip &amp; Kickstand, Full-Body Triple Layers Rugged Case for Pixel 8 pro 5G 6.7 inch Phone (Black)"/>
        <m/>
      </sharedItems>
    </cacheField>
    <cacheField name="SKU" numFmtId="0">
      <sharedItems containsBlank="1" count="115">
        <s v="Y4022-BL+Y4026+Y4030"/>
        <s v="Y4013-OR+Y4016+Y4019"/>
        <s v="Y4013-BL+Y4016+Y4019"/>
        <s v="Y4040-OR+Y4043"/>
        <s v="Y4023-BL+Y4027+Y4031*1"/>
        <s v="Y4081-BL+Y4082+Y4083"/>
        <s v="Y4011-OR+Y4014+Y4017"/>
        <s v="Y4011-BL+Y4014+Y4017"/>
        <s v="Y4022-DB+Y4026+Y4030"/>
        <s v="Y4012-OR+Y4015+Y4018"/>
        <s v="Y4013-DB+Y4016+Y4019"/>
        <s v="Y4023-WB+Y4027+Y4031"/>
        <s v="Y4039-BL+Y4042+Y4045"/>
        <s v="Y4069-BL+Y4070+Y4071"/>
        <s v="Y4020-OR+Y4024+Y4028"/>
        <s v="Y4084-BL+Y4085+Y4086"/>
        <s v="Y4022-OR+Y4026+Y4030"/>
        <s v="Y4013-GW+Y4016+Y4019"/>
        <s v="Y4020-BL+Y4024+Y4028"/>
        <s v="Y4023-DB+Y4027+Y4031"/>
        <s v="Y4040-BL+Y4043"/>
        <s v="Y4050-BL+Y4051+Y4052"/>
        <s v="Y4084-OR+Y4085+Y4086"/>
        <s v="Y4078-OR+Y4079+Y4080"/>
        <s v="Y4011-DB+Y4014+Y4017"/>
        <s v="Y4022-GW+Y4026+Y4030"/>
        <s v="Y4040-DB+Y4043"/>
        <s v="Y4050-OR+Y4051+Y4052"/>
        <s v="Y4061-WI+Y4062"/>
        <s v="Y4072-BL+Y4073+Y4074"/>
        <s v="Y4084-DB+Y4085+Y4086"/>
        <s v="Y4081-OR+Y4082+Y4083"/>
        <s v="Y4022-WB+Y4026+Y4030"/>
        <s v="Y4023-WI+Y4027+Y4031"/>
        <s v="Y4041-BL+Y4044"/>
        <s v="Y4053-OR+Y4054+Y4049"/>
        <s v="Y4081-DB+Y4082+Y4083"/>
        <s v="Y4012-BL+Y4015+Y4018"/>
        <s v="Y4012-DB+Y4015+Y4018"/>
        <s v="Y4020-DB+Y4024+Y4028"/>
        <s v="Y4021-BL+Y4025+Y4029"/>
        <s v="Y4058-BL+Y4059+Y4060"/>
        <s v="Y4078-BL+Y4079+Y4080"/>
        <s v="Y4022-WI+Y4026+Y4030"/>
        <s v="Y4040-WB+Y4043"/>
        <s v="Y4050-DB+Y4051+Y4052"/>
        <s v="Y4013-PB+Y4016+Y4019"/>
        <s v="Y4023-OR+Y4027+Y4031"/>
        <s v="Y4040-GW+Y4043"/>
        <s v="Y4053-DB+Y4054+Y4049"/>
        <s v="Y4072-DB+Y4073+Y4074"/>
        <s v="Y4084-GW+Y4085+Y4086"/>
        <s v="Y4081-WI+Y4082+Y4083"/>
        <s v="Y4078-DB+Y4079+Y4080"/>
        <s v="Y4075-BL+Y4076+Y4077"/>
        <s v="Y4011-PB+Y4014+Y4017"/>
        <s v="Y4023-GW+Y4027+Y4031"/>
        <s v="Y4053-WI+Y4054+Y4049"/>
        <s v="Y4066-BL+Y4068"/>
        <s v="Y4069-WI+Y4070+Y4071"/>
        <s v="Y4072-OR+Y4073+Y4074"/>
        <s v="Y4081-GW+Y4082+Y4083"/>
        <s v="Y4012-PB+Y4015+Y4018"/>
        <s v="Y4020-GW+Y4024+Y4028"/>
        <s v="Y4021-OR+Y4025+Y4029"/>
        <s v="Y4039-OR+Y4042+Y4045"/>
        <s v="Y4040-WI+Y4043"/>
        <s v="Y4053-BL+Y4054+Y4049"/>
        <s v="Y4050-GW+Y4051+Y4052"/>
        <s v="Y4061-DB+Y4062"/>
        <s v="Y4055-BL+Y4056+Y4057"/>
        <s v="Y4069-OR+Y4070+Y4071"/>
        <s v="Y4072-WI+Y4073+Y4074"/>
        <s v="Y4084-WI+Y4085+Y4086"/>
        <s v="Y4075-WI+Y4076+Y4077"/>
        <s v="Y4075-DB+Y4076+Y4077"/>
        <s v="Y4020-WB+Y4024+Y4028"/>
        <s v="Y4039-DB+Y4042+Y4045"/>
        <s v="Y4032-DB"/>
        <s v="Y4041-WB+Y4044"/>
        <s v="Y4053-GW+Y4054+Y4049"/>
        <s v="Y4050-WI+Y4051+Y4052"/>
        <s v="Y4063-OR+Y4064+Y4065"/>
        <s v="Y4058-GW+Y4059+Y4060"/>
        <s v="Y4061-OR+Y4062"/>
        <s v="Y4066-OR+Y4068"/>
        <s v="Y4072-GW+Y4073+Y4074"/>
        <s v="Y4078-GW+Y4079+Y4080"/>
        <s v="Y4075-OR+Y4076+Y4077"/>
        <s v="Y4075-GW+Y4076+Y4077"/>
        <s v="Y4012-GW+Y4015+Y4018"/>
        <s v="Y4021-DB+Y4025+Y4029"/>
        <s v="Y4021-WB+Y4025+Y4029"/>
        <s v="Y4037-GO"/>
        <s v="Y4035-GR"/>
        <s v="Y4036-BL"/>
        <s v="Y4036-OR"/>
        <s v="Y4021-WI+Y4025+Y4029"/>
        <s v="Y4041-OR+Y4044"/>
        <s v="Y4041-GW+Y4044"/>
        <s v="Y4041-DB+Y4044"/>
        <s v="Y4063-WI+Y4064+Y4065"/>
        <s v="Y4055-DB+Y4056+Y4057"/>
        <s v="Y4055-GW+Y4056+Y4057"/>
        <s v="Y4055-OR+Y4056+Y4057"/>
        <s v="Y4058-OR+Y4059+Y4060"/>
        <s v="Y4058-WI+Y4059+Y4060"/>
        <s v="Y4061-BL+Y4062"/>
        <s v="Y4061-GW+Y4062"/>
        <s v="Y4066-DB+Y4068"/>
        <s v="Y4069-DB+Y4070+Y4071"/>
        <s v="Y4069-GW+Y4070+Y4071"/>
        <s v="Y4078-WI+Y4079+Y4080"/>
        <s v="Y4089-BL+Y4090"/>
        <m/>
      </sharedItems>
    </cacheField>
    <cacheField name="会话次数 – 总计" numFmtId="0">
      <sharedItems containsString="0" containsBlank="1" containsNumber="1" containsInteger="1" minValue="0" maxValue="439" count="89">
        <n v="383"/>
        <n v="439"/>
        <n v="130"/>
        <n v="299"/>
        <n v="155"/>
        <n v="162"/>
        <n v="244"/>
        <n v="121"/>
        <n v="173"/>
        <n v="192"/>
        <n v="125"/>
        <n v="212"/>
        <n v="106"/>
        <n v="131"/>
        <n v="208"/>
        <n v="167"/>
        <n v="364"/>
        <n v="71"/>
        <n v="54"/>
        <n v="230"/>
        <n v="104"/>
        <n v="87"/>
        <n v="279"/>
        <n v="175"/>
        <n v="82"/>
        <n v="100"/>
        <n v="114"/>
        <n v="238"/>
        <n v="76"/>
        <n v="79"/>
        <n v="136"/>
        <n v="92"/>
        <n v="150"/>
        <n v="115"/>
        <n v="98"/>
        <n v="135"/>
        <n v="78"/>
        <n v="47"/>
        <n v="41"/>
        <n v="75"/>
        <n v="110"/>
        <n v="29"/>
        <n v="94"/>
        <n v="127"/>
        <n v="62"/>
        <n v="77"/>
        <n v="50"/>
        <n v="227"/>
        <n v="67"/>
        <n v="44"/>
        <n v="39"/>
        <n v="69"/>
        <n v="113"/>
        <n v="45"/>
        <n v="88"/>
        <n v="31"/>
        <n v="38"/>
        <n v="42"/>
        <n v="27"/>
        <n v="64"/>
        <n v="65"/>
        <n v="55"/>
        <n v="51"/>
        <n v="30"/>
        <n v="21"/>
        <n v="35"/>
        <n v="63"/>
        <n v="60"/>
        <n v="17"/>
        <n v="57"/>
        <n v="46"/>
        <n v="33"/>
        <n v="24"/>
        <n v="22"/>
        <n v="25"/>
        <n v="26"/>
        <n v="16"/>
        <n v="4"/>
        <n v="34"/>
        <n v="19"/>
        <n v="12"/>
        <n v="59"/>
        <n v="23"/>
        <n v="14"/>
        <n v="20"/>
        <n v="32"/>
        <n v="6"/>
        <n v="43"/>
        <m/>
      </sharedItems>
    </cacheField>
    <cacheField name="会话次数 – 总计 – B2B" numFmtId="0">
      <sharedItems containsString="0" containsBlank="1" containsNumber="1" containsInteger="1" minValue="0" maxValue="8" count="10">
        <n v="5"/>
        <n v="6"/>
        <n v="3"/>
        <n v="8"/>
        <n v="7"/>
        <n v="4"/>
        <n v="1"/>
        <n v="2"/>
        <n v="0"/>
        <m/>
      </sharedItems>
    </cacheField>
    <cacheField name="会话百分比 – 总计" numFmtId="0">
      <sharedItems containsString="0" containsBlank="1" containsNumber="1" minValue="0" maxValue="0.0443" count="89">
        <n v="0.0386"/>
        <n v="0.0443"/>
        <n v="0.0131"/>
        <n v="0.0302"/>
        <n v="0.0156"/>
        <n v="0.0163"/>
        <n v="0.0246"/>
        <n v="0.0122"/>
        <n v="0.0175"/>
        <n v="0.0194"/>
        <n v="0.0126"/>
        <n v="0.0214"/>
        <n v="0.0107"/>
        <n v="0.0132"/>
        <n v="0.021"/>
        <n v="0.0169"/>
        <n v="0.0367"/>
        <n v="0.0072"/>
        <n v="0.0054"/>
        <n v="0.0232"/>
        <n v="0.0105"/>
        <n v="0.0088"/>
        <n v="0.0282"/>
        <n v="0.0177"/>
        <n v="0.0083"/>
        <n v="0.0101"/>
        <n v="0.0115"/>
        <n v="0.024"/>
        <n v="0.0077"/>
        <n v="0.008"/>
        <n v="0.0137"/>
        <n v="0.0093"/>
        <n v="0.0151"/>
        <n v="0.0116"/>
        <n v="0.0099"/>
        <n v="0.0136"/>
        <n v="0.0079"/>
        <n v="0.0047"/>
        <n v="0.0041"/>
        <n v="0.0076"/>
        <n v="0.0111"/>
        <n v="0.0029"/>
        <n v="0.0095"/>
        <n v="0.0128"/>
        <n v="0.0063"/>
        <n v="0.0078"/>
        <n v="0.005"/>
        <n v="0.0229"/>
        <n v="0.0068"/>
        <n v="0.0044"/>
        <n v="0.0039"/>
        <n v="0.007"/>
        <n v="0.0114"/>
        <n v="0.0045"/>
        <n v="0.0089"/>
        <n v="0.0031"/>
        <n v="0.0038"/>
        <n v="0.0042"/>
        <n v="0.0027"/>
        <n v="0.0065"/>
        <n v="0.0066"/>
        <n v="0.0055"/>
        <n v="0.0051"/>
        <n v="0.003"/>
        <n v="0.0021"/>
        <n v="0.0035"/>
        <n v="0.0064"/>
        <n v="0.0061"/>
        <n v="0.0017"/>
        <n v="0.0058"/>
        <n v="0.0046"/>
        <n v="0.0033"/>
        <n v="0.0024"/>
        <n v="0.0022"/>
        <n v="0.0025"/>
        <n v="0.0026"/>
        <n v="0.0016"/>
        <n v="0.0004"/>
        <n v="0.0034"/>
        <n v="0.0019"/>
        <n v="0.0012"/>
        <n v="0.006"/>
        <n v="0.0023"/>
        <n v="0.0014"/>
        <n v="0.002"/>
        <n v="0.0032"/>
        <n v="0.0006"/>
        <n v="0.0043"/>
        <m/>
      </sharedItems>
    </cacheField>
    <cacheField name="会话百分比 – 总计 – B2B" numFmtId="0">
      <sharedItems containsString="0" containsBlank="1" containsNumber="1" minValue="0" maxValue="0.0452" count="10">
        <n v="0.0282"/>
        <n v="0.0339"/>
        <n v="0.0169"/>
        <n v="0.0452"/>
        <n v="0.0395"/>
        <n v="0.0226"/>
        <n v="0.0056"/>
        <n v="0.0113"/>
        <n v="0"/>
        <m/>
      </sharedItems>
    </cacheField>
    <cacheField name="页面浏览量 – 总计" numFmtId="0">
      <sharedItems containsString="0" containsBlank="1" containsNumber="1" containsInteger="1" minValue="0" maxValue="590" count="93">
        <n v="508"/>
        <n v="590"/>
        <n v="165"/>
        <n v="397"/>
        <n v="234"/>
        <n v="254"/>
        <n v="327"/>
        <n v="179"/>
        <n v="237"/>
        <n v="258"/>
        <n v="168"/>
        <n v="312"/>
        <n v="147"/>
        <n v="188"/>
        <n v="295"/>
        <n v="274"/>
        <n v="461"/>
        <n v="88"/>
        <n v="87"/>
        <n v="307"/>
        <n v="127"/>
        <n v="118"/>
        <n v="365"/>
        <n v="232"/>
        <n v="109"/>
        <n v="116"/>
        <n v="149"/>
        <n v="335"/>
        <n v="120"/>
        <n v="115"/>
        <n v="201"/>
        <n v="143"/>
        <n v="135"/>
        <n v="181"/>
        <n v="90"/>
        <n v="62"/>
        <n v="55"/>
        <n v="95"/>
        <n v="176"/>
        <n v="42"/>
        <n v="159"/>
        <n v="79"/>
        <n v="92"/>
        <n v="64"/>
        <n v="297"/>
        <n v="93"/>
        <n v="54"/>
        <n v="50"/>
        <n v="140"/>
        <n v="107"/>
        <n v="58"/>
        <n v="70"/>
        <n v="117"/>
        <n v="59"/>
        <n v="61"/>
        <n v="49"/>
        <n v="41"/>
        <n v="39"/>
        <n v="105"/>
        <n v="85"/>
        <n v="68"/>
        <n v="77"/>
        <n v="44"/>
        <n v="74"/>
        <n v="141"/>
        <n v="32"/>
        <n v="43"/>
        <n v="45"/>
        <n v="91"/>
        <n v="19"/>
        <n v="31"/>
        <n v="52"/>
        <n v="75"/>
        <n v="66"/>
        <n v="48"/>
        <n v="26"/>
        <n v="25"/>
        <n v="30"/>
        <n v="34"/>
        <n v="20"/>
        <n v="4"/>
        <n v="47"/>
        <n v="24"/>
        <n v="13"/>
        <n v="98"/>
        <n v="28"/>
        <n v="15"/>
        <n v="23"/>
        <n v="82"/>
        <n v="11"/>
        <n v="37"/>
        <n v="36"/>
        <m/>
      </sharedItems>
    </cacheField>
    <cacheField name="页面浏览量 – 总计 – B2B" numFmtId="0">
      <sharedItems containsString="0" containsBlank="1" containsNumber="1" containsInteger="1" minValue="0" maxValue="13" count="13">
        <n v="9"/>
        <n v="6"/>
        <n v="4"/>
        <n v="13"/>
        <n v="5"/>
        <n v="11"/>
        <n v="7"/>
        <n v="1"/>
        <n v="3"/>
        <n v="0"/>
        <n v="8"/>
        <n v="2"/>
        <m/>
      </sharedItems>
    </cacheField>
    <cacheField name="页面浏览量百分比 – 总计" numFmtId="0">
      <sharedItems containsString="0" containsBlank="1" containsNumber="1" minValue="0" maxValue="0.0439" count="87">
        <n v="0.0378"/>
        <n v="0.0439"/>
        <n v="0.0123"/>
        <n v="0.0295"/>
        <n v="0.0174"/>
        <n v="0.0189"/>
        <n v="0.0243"/>
        <n v="0.0133"/>
        <n v="0.0176"/>
        <n v="0.0192"/>
        <n v="0.0125"/>
        <n v="0.0232"/>
        <n v="0.0109"/>
        <n v="0.014"/>
        <n v="0.0219"/>
        <n v="0.0204"/>
        <n v="0.0343"/>
        <n v="0.0065"/>
        <n v="0.0228"/>
        <n v="0.0094"/>
        <n v="0.0088"/>
        <n v="0.0271"/>
        <n v="0.0172"/>
        <n v="0.0081"/>
        <n v="0.0086"/>
        <n v="0.0111"/>
        <n v="0.0249"/>
        <n v="0.0089"/>
        <n v="0.0149"/>
        <n v="0.0106"/>
        <n v="0.01"/>
        <n v="0.0135"/>
        <n v="0.0067"/>
        <n v="0.0046"/>
        <n v="0.0041"/>
        <n v="0.0071"/>
        <n v="0.0131"/>
        <n v="0.0031"/>
        <n v="0.0118"/>
        <n v="0.0059"/>
        <n v="0.0068"/>
        <n v="0.0048"/>
        <n v="0.0221"/>
        <n v="0.0069"/>
        <n v="0.004"/>
        <n v="0.0037"/>
        <n v="0.0104"/>
        <n v="0.008"/>
        <n v="0.0043"/>
        <n v="0.0052"/>
        <n v="0.0087"/>
        <n v="0.0044"/>
        <n v="0.0045"/>
        <n v="0.0036"/>
        <n v="0.003"/>
        <n v="0.0029"/>
        <n v="0.0078"/>
        <n v="0.0063"/>
        <n v="0.0051"/>
        <n v="0.0057"/>
        <n v="0.0033"/>
        <n v="0.0055"/>
        <n v="0.0105"/>
        <n v="0.0024"/>
        <n v="0.0032"/>
        <n v="0.0014"/>
        <n v="0.0023"/>
        <n v="0.0039"/>
        <n v="0.0056"/>
        <n v="0.0049"/>
        <n v="0.0019"/>
        <n v="0.0022"/>
        <n v="0.0025"/>
        <n v="0.0015"/>
        <n v="0.0003"/>
        <n v="0.0035"/>
        <n v="0.0018"/>
        <n v="0.001"/>
        <n v="0.0073"/>
        <n v="0.0021"/>
        <n v="0.0011"/>
        <n v="0.0017"/>
        <n v="0.0061"/>
        <n v="0.0008"/>
        <n v="0.0028"/>
        <n v="0.0027"/>
        <m/>
      </sharedItems>
    </cacheField>
    <cacheField name="页面浏览量百分比 – 总计 – B2B" numFmtId="0">
      <sharedItems containsString="0" containsBlank="1" containsNumber="1" minValue="0" maxValue="0.056" count="13">
        <n v="0.0388"/>
        <n v="0.0259"/>
        <n v="0.0172"/>
        <n v="0.056"/>
        <n v="0.0216"/>
        <n v="0.0474"/>
        <n v="0.0302"/>
        <n v="0.0043"/>
        <n v="0.0129"/>
        <n v="0"/>
        <n v="0.0345"/>
        <n v="0.0086"/>
        <m/>
      </sharedItems>
    </cacheField>
    <cacheField name="推荐报价（购买按钮）百分比" numFmtId="0">
      <sharedItems containsString="0" containsBlank="1" containsNumber="1" minValue="0" maxValue="1" count="55">
        <n v="0.9979"/>
        <n v="0.9319"/>
        <n v="1"/>
        <n v="0.9898"/>
        <n v="0.9404"/>
        <n v="0.9938"/>
        <n v="0.9178"/>
        <n v="0.9961"/>
        <n v="0.9936"/>
        <n v="0.9947"/>
        <n v="0.9965"/>
        <n v="0.9978"/>
        <n v="0.9759"/>
        <n v="0.9897"/>
        <n v="0.9972"/>
        <n v="0.9815"/>
        <n v="0.9667"/>
        <n v="0.9913"/>
        <n v="0.91"/>
        <n v="0.9842"/>
        <n v="0.983"/>
        <n v="0.9762"/>
        <n v="0.939"/>
        <n v="0.9933"/>
        <n v="0.9701"/>
        <n v="0.931"/>
        <n v="0.9896"/>
        <n v="0.9767"/>
        <n v="0.99"/>
        <n v="0.9636"/>
        <n v="0.9911"/>
        <n v="0.9792"/>
        <n v="0.975"/>
        <n v="0.9706"/>
        <n v="0.987"/>
        <n v="0.9859"/>
        <n v="0.9836"/>
        <n v="0.9118"/>
        <n v="0.9926"/>
        <n v="0.963"/>
        <n v="0.9444"/>
        <n v="0.7778"/>
        <n v="0.9481"/>
        <n v="0.9831"/>
        <n v="0.913"/>
        <n v="0.9643"/>
        <n v="0.95"/>
        <n v="0.9535"/>
        <n v="0.875"/>
        <n v="0.8519"/>
        <n v="0.9167"/>
        <n v="0.9286"/>
        <n v="0.9737"/>
        <n v="0.9873"/>
        <m/>
      </sharedItems>
    </cacheField>
    <cacheField name="推荐报价（购买按钮）百分比 – B2B" numFmtId="0">
      <sharedItems containsString="0" containsBlank="1" containsNumber="1" minValue="0" maxValue="1" count="7">
        <n v="1"/>
        <n v="0.8333"/>
        <n v="0"/>
        <n v="0.7778"/>
        <n v="0.5"/>
        <n v="0.6667"/>
        <m/>
      </sharedItems>
    </cacheField>
    <cacheField name="已订购商品数量" numFmtId="0">
      <sharedItems containsString="0" containsBlank="1" containsNumber="1" containsInteger="1" minValue="0" maxValue="39" count="24">
        <n v="39"/>
        <n v="32"/>
        <n v="25"/>
        <n v="21"/>
        <n v="37"/>
        <n v="36"/>
        <n v="16"/>
        <n v="14"/>
        <n v="15"/>
        <n v="13"/>
        <n v="12"/>
        <n v="11"/>
        <n v="19"/>
        <n v="10"/>
        <n v="9"/>
        <n v="8"/>
        <n v="7"/>
        <n v="6"/>
        <n v="5"/>
        <n v="4"/>
        <n v="3"/>
        <n v="2"/>
        <n v="1"/>
        <m/>
      </sharedItems>
    </cacheField>
  </cacheFields>
</pivotCacheDefinition>
</file>

<file path=xl/pivotCache/pivotCacheDefinition24.xml><?xml version="1.0" encoding="utf-8"?>
<pivotCacheDefinition xmlns="http://schemas.openxmlformats.org/spreadsheetml/2006/main" xmlns:r="http://schemas.openxmlformats.org/officeDocument/2006/relationships" r:id="rId1" createdVersion="5" refreshedVersion="5" minRefreshableVersion="3" refreshedDate="45219.5911805556" refreshedBy="Administrator" recordCount="128">
  <cacheSource type="worksheet">
    <worksheetSource ref="B1:O1048576" sheet="销售9.19-10.18" r:id="rId2"/>
  </cacheSource>
  <cacheFields count="14">
    <cacheField name="（子）ASIN" numFmtId="0">
      <sharedItems containsBlank="1" count="128">
        <s v="B0B6R7RFJ9"/>
        <s v="B09Z2LRTBX"/>
        <s v="B09Z2NG737"/>
        <s v="B0BFF6MDVZ"/>
        <s v="B0BLGHSPN7"/>
        <s v="B0B6R6J4RR"/>
        <s v="B0B6R9FJJ1"/>
        <s v="B0B6R8HY5B"/>
        <s v="B0BFF95ZDP"/>
        <s v="B09Z2D8WZH"/>
        <s v="B09Z2HZKFL"/>
        <s v="B09Z2L5JZG"/>
        <s v="B09Z2LPGJ6"/>
        <s v="B0CC5VY1DQ"/>
        <s v="B0CC5WH63Q"/>
        <s v="B0B6R9KFC2"/>
        <s v="B0B6RD2YH5"/>
        <s v="B0B6R8X9QQ"/>
        <s v="B0B6RDV9LL"/>
        <s v="B0CC5RG4WJ"/>
        <s v="B0B8GGVJ33"/>
        <s v="B0B6R6H5TH"/>
        <s v="B0B6R7CJFJ"/>
        <s v="B0BFVK91DN"/>
        <s v="B0B9MY7586"/>
        <s v="B0BFF5ZPKD"/>
        <s v="B0BFF91P8K"/>
        <s v="B0BFVSRCY5"/>
        <s v="B09Z2L1VX8"/>
        <s v="B09Z2MPF53"/>
        <s v="B0B6R7PB9B"/>
        <s v="B0B9MXFZKN"/>
        <s v="B0C3B7GM6N"/>
        <s v="B0CC5QYDDY"/>
        <s v="B0B6R9YLJS"/>
        <s v="B0CC96Y9PQ"/>
        <s v="B0BFVK75L4"/>
        <s v="B0BFW4V3TW"/>
        <s v="B09Z2L3S7V"/>
        <s v="B09Z2LXWHV"/>
        <s v="B0B6R8BYZF"/>
        <s v="B0BFVSX9KS"/>
        <s v="B0CC971G1J"/>
        <s v="B0BFFD67C9"/>
        <s v="B0BR5JQD7X"/>
        <s v="B0C3QDLGGH"/>
        <s v="B0CC5ZY6M2"/>
        <s v="B0CC5RY9QL"/>
        <s v="B09Z2KZ6GT"/>
        <s v="B0B6RC5KKN"/>
        <s v="B0BFVS3BF6"/>
        <s v="B0CC5X79ZC"/>
        <s v="B0CC95N9XK"/>
        <s v="B0B8G94B8Y"/>
        <s v="B0BFFB9WX3"/>
        <s v="B0BFVDDTBX"/>
        <s v="B0BR5KX742"/>
        <s v="B0CC5YS9SL"/>
        <s v="B0B6R81F8S"/>
        <s v="B0BFF9KBX4"/>
        <s v="B0B8G6TLSP"/>
        <s v="B0BFF7BN4T"/>
        <s v="B0BR5K4D94"/>
        <s v="B0BR5K5N5D"/>
        <s v="B0C3QCDN39"/>
        <s v="B0C3QD6SF2"/>
        <s v="B0CC5S63XS"/>
        <s v="B0CCDF5CL8"/>
        <s v="B0B6R86DZG"/>
        <s v="B0BKSRQVM2"/>
        <s v="B0BRX7TLDB"/>
        <s v="B0C3B7W6WP"/>
        <s v="B0C3B9J4XR"/>
        <s v="B0C3QCDQ55"/>
        <s v="B0CC5XWD9S"/>
        <s v="B0CC98YM1W"/>
        <s v="B09Z2LQ3PL"/>
        <s v="B09Z2PY3PX"/>
        <s v="B0B6R6Y3YS"/>
        <s v="B0B91ZFNTG"/>
        <s v="B0BKSV82S6"/>
        <s v="B0BR5K255P"/>
        <s v="B0C3B993XV"/>
        <s v="B09Z2LPGRC"/>
        <s v="B0B922FH6G"/>
        <s v="B0BFF794MN"/>
        <s v="B0BFFC3T74"/>
        <s v="B0BFVHXKJ2"/>
        <s v="B0BFVW3J36"/>
        <s v="B0BFWD368P"/>
        <s v="B0BKSTRC1H"/>
        <s v="B0BKSVKV5D"/>
        <s v="B0BR5GYQ9M"/>
        <s v="B0BR5JH463"/>
        <s v="B0BR5JJSRT"/>
        <s v="B0CCDGLZNL"/>
        <s v="B0CCDJNY94"/>
        <s v="B0B6R9LYG2"/>
        <s v="B0B9J5R1DB"/>
        <s v="B0BFF86QTS"/>
        <s v="B0BKSSZ1RL"/>
        <s v="B0BR5GZTZB"/>
        <s v="B0BR5JYNWN"/>
        <s v="B0BR5KSG5G"/>
        <s v="B0BRX8H8BT"/>
        <s v="B0C3QCX19G"/>
        <s v="B0CC978F87"/>
        <s v="B0CCDGR1V2"/>
        <s v="B0CCDH39HX"/>
        <s v="B0B6R4S3B9"/>
        <s v="B0B8GS9R8G"/>
        <s v="B0B98WSMJL"/>
        <s v="B0B98WSY9Z"/>
        <s v="B0B993ZVJ8"/>
        <s v="B0B99DJ5HD"/>
        <s v="B0B99KZD25"/>
        <s v="B0B9J72ZT4"/>
        <s v="B0B9J8724K"/>
        <s v="B0B9MZRDVL"/>
        <s v="B0B9MZT1CV"/>
        <s v="B0BFF9LX79"/>
        <s v="B0BR5H1H36"/>
        <s v="B0BR5JFYJ5"/>
        <s v="B0BR5JLT3B"/>
        <s v="B0BRX8SS1F"/>
        <s v="B0C3B9BYRT"/>
        <s v="B0CGR93NS4"/>
        <m/>
      </sharedItems>
    </cacheField>
    <cacheField name="商品名称" numFmtId="0">
      <sharedItems containsBlank="1" count="127">
        <s v="NIFFPD for iPhone 14 Plus Case with Belt Clip/Holster/Kickstand, Heavy Duty Rugged Full Body Protective Case with 2 Pcs Screen Protectors for Apple iPhone 14 Plus for Men 6.7 inch (Black)"/>
        <s v="NIFFPD Designed for Samsung Galaxy A03s Case with Belt Clip &amp; Kickstand, Full-Body Triple Layers Rugged Case with Screen Protector for Samsung Galaxy A03s US Version 6.5 inch Phone (Black+Orange)"/>
        <s v="NIFFPD Designed for Samsung Galaxy A03s Case with Belt Clip &amp; Kickstand, Full-Body Triple Layers Rugged Case with Screen Protector for Samsung Galaxy A03s US Version 6.5 inch Phone (Black)"/>
        <s v="NIFFPD Designed for Google Pixel 7 Case with Belt Clip &amp; Kickstand, Full-Body Triple Layers Rugged Case for Pixel 7 5G 6.3 inch Phone (Black+Orange)"/>
        <s v="NIFFPD for Apple iPhone 14 Pro Max Case with Belt Clip &amp; Kickstand, Full-Body Protection Multi Layers Rugged Case for iPhone Apple 14 Pro Max 6.7-inch Phone (Black)"/>
        <s v="NIFFPD for iPhone 14 Plus Case with Belt Clip/Holster/Kickstand, Heavy Duty Rugged Full Body Protective Case with 2 Pcs Screen Protectors for Apple iPhone 14 Plus for Men 6.7 inch (Navy Blue)"/>
        <s v="NIFFPD Designed for Apple iPhone 14 Pro Max Case with Belt Clip &amp; Kickstand, Full-Body Multi Layers Rugged Case with 2 Pcs Screen Protectors for Apple iPhone 14 Pro Max 6.7 inch 2022 (Navy Blue)"/>
        <s v="NIFFPD for iPhone 14 Plus Case with Belt Clip/Holster/Kickstand, Heavy Duty Rugged Full Body Protective Case with 2 Pcs Screen Protectors for Apple iPhone 14 Plus for Men Women 6.7 inch (Black+Orange)"/>
        <s v="NIFFPD Designed for Google Pixel 7 Case with Belt Clip &amp; Kickstand, Full-Body Triple Layers Rugged Case for Pixel 7 5G 6.3 inch Phone (Black)"/>
        <s v="NIFFPD Designed for Samsung Galaxy A13 5G Case with Belt Clip &amp; Kickstand for Men, Full-Body Triple Layers Rugged Case with Screen Protector for Samsung Galaxy A13 5G 6.5 inch Phone (Black)"/>
        <s v="NIFFPD Designed for Samsung Galaxy A53 5G Case with Belt Clip &amp; Kickstand, Full-Body Triple Layers Rugged Case with Screen Protector for Samsung Galaxy A53 5G 6.5 inch Phone (Black+Orange)"/>
        <s v="NIFFPD Designed for Samsung Galaxy A03s Case with Belt Clip &amp; Kickstand, Full-Body Triple Layers Rugged Case with Screen Protector for Samsung Galaxy A03s US Version 6.5 inch Phone (Navy Blue)"/>
        <s v="NIFFPD Designed for Samsung Galaxy A13 5G Case with Belt Clip &amp; Kickstand, Full-Body Triple Layers Rugged Case with Screen Protector for Samsung Galaxy A13 5G 6.5 inch Phone (Black+Orange)"/>
        <s v="NIFFPD for Apple iPhone 15 Pro Max Case with Belt Clip &amp; Kickstand, Full-Body Protection Multi Layers Rugged Case with Belt Holster for Apple iPhone 15 Pro Max 6.7 inch 2023(Black)"/>
        <s v="NIFFPD for Apple iPhone 15 Plus Case with Belt Clip &amp; Kickstand, Full-Body Protection Multi Layers Rugged Case with Belt Holster for Apple iPhone 15 Plus 6.7 inch 2023(Black)"/>
        <s v="NIFFPD Designed for Apple iPhone 14 Pro Max Case with Belt Clip &amp; Kickstand, Full-Body Multi Layers Rugged Case with 2 Pcs Screen Protectors for Apple iPhone 14 Pro Max 6.7 inch 2022 (Black+Orange)"/>
        <s v="NIFFPD Designed for iPhone 14 Case with Belt Clip &amp; Kickstand, Full-Body Protection Multi Layers Rugged Case for Apple iPhone 14 6.1 inch 2022 (Black+Orange)"/>
        <s v="NIFFPD for iPhone 14 Plus Case with Belt Clip/Holster/Kickstand, Heavy Duty Rugged Full Body Protective Case with 2 Pcs Screen Protectors for Apple iPhone 14 Plus for Men Women 6.7 inch (Green+White)"/>
        <s v="NIFFPD iPhone 14 Pro Max Rugged Case with Belt Clip &amp; Kickstand, 6.7-inch 2022, Full-Body, 2 Screen Protectors (Purple+Black)"/>
        <s v="NIFFPD for Apple iPhone 15 Pro Max Case with Belt Clip &amp; Kickstand, Full-Body Protection Multi Layers Rugged Case with Belt Holster for Apple iPhone 15 Pro Max 6.7 inch 2023 (Dark Blue+Blue)"/>
        <s v="NIFFPD Designed for Google Pixel 6a Case with Belt Clip &amp; Kickstand, Full-Body Triple Layers Rugged Case for Pixel 6a 5G 6.1 inch Phone (Black)"/>
        <s v="NIFFPD Designed for iPhone 14 Case with Belt Clip &amp; Kickstand, Full-Body Protection Multi Layers Rugged Case for Apple iPhone 14 6.1 inch 2022 (Black)"/>
        <s v="NIFFPD Designed for iPhone 14 Case with Belt Clip &amp; Kickstand, Full-Body Protection Multi Layers Rugged Case for Apple iPhone 14 6.1 inch 2022 (Navy Blue)"/>
        <s v="NIFFPD Designed for Samsung Galaxy A23 5G/4G Case with Belt Clip &amp; Kickstand, Full-Body Triple Layers Rugged Case with Screen Protector for Samsung Galaxy A23 5G/4G 6.6 inch Phone (Black)"/>
        <s v="NIFFPD for iPhone 14 Plus Case with Belt Clip/Holster/Kickstand, Heavy Duty Rugged Full Body Protective Case with 2 Pcs Screen Protector for Apple iPhone 14 Plus for Women 6.7 inch (Purple+Pink)"/>
        <s v="NIFFPD Designed for Google Pixel 7 Case with Belt Clip &amp; Kickstand, Full-Body Triple Layers Rugged Case for Pixel 7 5G 6.3 inch Phone (Navy Blue)"/>
        <s v="NIFFPD Designed for Google Pixel 7 Pro Case with Belt Clip &amp; Kickstand, Full-Body Triple Layers Rugged Case for Pixel 7 pro 5G 6.7 inch Phone (Black)"/>
        <s v="NIFFPD Designed for Samsung Galaxy A23 5G/4G Case with Belt Clip &amp; Kickstand, Full-Body Triple Layers Rugged Case with Screen Protector for Samsung Galaxy A23 5G/4G 6.6 inch Phone (Black+Orange)"/>
        <s v="NIFFPD Designed for Samsung Galaxy A03s Case with Belt Clip &amp; Kickstand, Full-Body Triple Layers Rugged Case with Screen Protector for Samsung Galaxy A03s US Version 6.5 inch Phone (Green+White)"/>
        <s v="NIFFPD Designed for Samsung Galaxy A13 5G Case with Belt Clip &amp; Kickstand, Full-Body Triple Layers Rugged Case with Screen Protector for Samsung Galaxy A13 5G 6.5 inch Phone (Navy Blue)"/>
        <s v="NIFFPD for iPhone 14 Plus Case with Belt Clip/Holster/Kickstand, Heavy Duty Rugged Full Body Protective Case with 2 Pcs Screen Protectors for Apple iPhone 14 Plus for Men Women 6.7 inch (Purple+Black)"/>
        <s v="NIFFPD Designed for Apple iPhone 14 Pro Max Case with Belt Clip &amp; Kickstand, Full-Body Multi Layers Rugged Case with 2 Pcs Screen Protectors for Apple iPhone 14 Pro Max 6.7-inch 2022 (Purple+Pink)"/>
        <s v="NIFFPD Phone Case for Motorola Moto G Power 5G 2023 Case with Belt Clip &amp; Kickstand, Heavy Duty Rugged Full Body Protective Case Cover for Motorola G Power 5G 2023 (Black)"/>
        <s v="NIFFPD for Apple iPhone 15 Pro Max Case with Belt Clip &amp; Kickstand, Full-Body Protection Multi Layers Rugged Case with Belt Holster for Apple iPhone 15 Pro Max 6.7 inch 2023 (Black+Orange)"/>
        <s v="NIFFPD for Apple iPhone 14 Pro Case with Belt Clip &amp; Kickstand, Full-Body Protection Multi Layers Rugged Case with Belt Holster for Apple iPhone 14 Pro 6.1 inch 2022 (Black)"/>
        <s v="NIFFPD for Apple iPhone 15 Pro Case with Belt Clip &amp; Kickstand, Full-Body Protection Multi Layers Rugged Case with Belt Holster for Apple iPhone 15 Pro 6.1 inch 2023 (Black)"/>
        <s v="NIFFPD Designed for Motorola Edge 2022 Case with Belt Clip &amp; Kickstand, Full-Body Triple Layers Rugged Case with Screen Protector for Motorola Moto Edge 2022 6.6 inch Phone (Navy Blue)"/>
        <s v="NIFFPD Designed for Motorola Edge 2022 Case with Belt Clip &amp; Kickstand, Full-Body Triple Layers Rugged Case with Screen Protector for Motorola Moto Edge 2022 6.6 inch Phone (Black+Orange)"/>
        <s v="NIFFPD Designed for Samsung Galaxy A53 5G Case with Belt Clip &amp; Kickstand, Full-Body Triple Layers Rugged Case with Screen Protector for Samsung Galaxy A53 5G 6.5 inch Phone (Black)"/>
        <s v="NIFFPD Designed for Samsung Galaxy A53 5G Case with Belt Clip &amp; Kickstand, Full-Body Triple Layers Rugged Case with Screen Protector for Samsung Galaxy A53 5G 6.5 inch Phone (Navy+Blue)"/>
        <s v="NIFFPD Designed for Apple iPhone 14 Pro Max Case with Belt Clip &amp; Kickstand, Full-Body Multi Layers Rugged Case with 2 Pcs Screen Protectors for Apple iPhone 14 Pro Max 6.7 inch 2022 (Green+White)"/>
        <s v="NIFFPD Designed for Motorola Edge 2022 Case with Belt Clip &amp; Kickstand, Full-Body Triple Layers Rugged Case with Screen Protector for Motorola Moto Edge 2022 6.6 inch Phone (Black)"/>
        <s v="NIFFPD for Apple iPhone 15 Pro Case with Belt Clip &amp; Kickstand, Full-Body Protection Multi Layers Rugged Case with Belt Holster for Apple iPhone 15 Pro 6.1 inch 2023 (Black+Orange)"/>
        <s v="NIFFPD Designed for Google Pixel 7 Case with Belt Clip &amp; Kickstand, Full-Body Triple Layers Rugged Case for Pixel 7 5G 6.3 inch Phone (Purple+Black)"/>
        <s v="NIFFPD for Samsung Galaxy S23 Ultra 5G Case with Belt Clip &amp; Kickstand for Men Women, Full-Body Protection Rugged Holster Phone Case for Samsung S23 Ultra 5G (Purple+Pink)"/>
        <s v="NIFFPD Phone Case for Samsung Galaxy A24 4G 2023 Case with Belt Clip &amp; Kickstand, Heavy Duty Rugged Full Body Protective Case Cover for Samsung A24 4G Phone (Black)"/>
        <s v="NIFFPD for Apple iPhone 15 Plus Case with Belt Clip &amp; Kickstand, Full-Body Protection Multi Layers Rugged Case with Belt Holster for Apple iPhone 15 Plus 6.7 inch 2023(Black+Orange)"/>
        <s v="NIFFPD for Apple iPhone 15 Pro Max Case with Belt Clip &amp; Kickstand, Full-Body Protection Multi Layers Rugged Case with Belt Holster for Apple iPhone 15 Pro Max 6.7 inch 2023(Wine Red+Pink)"/>
        <s v="NIFFPD Designed for Samsung Galaxy A03s Case with Belt Clip &amp; Kickstand, Full-Body Triple Layers Rugged Case with Screen Protector for Samsung Galaxy A03s US Version 6.5 inch Phone (Purple+Black)"/>
        <s v="NIFFPD for Apple iPhone 14 Pro Case with Belt Clip &amp; Kickstand, Full-Body Protection Multi Layers Rugged Case with Belt Holster for Apple iPhone 14 Pro 6.1 inch 2022 (Black+Orange)"/>
        <s v="NIFFPD Designed for Motorola Edge 2022 Case with Belt Clip &amp; Kickstand, Full-Body Triple Layers Rugged Case with Screen Protector for Motorola Moto Edge 2022 6.6 inch Phone (Purple+Pink)"/>
        <s v="NIFFPD for Apple iPhone 15 Plus Case with Belt Clip &amp; Kickstand, Full-Body Protection Multi Layers Rugged Case with Belt Holster for Apple iPhone 15 Plus 6.7 inch 2023(Dark Blue+Blue)"/>
        <s v="NIFFPD for Apple iPhone 15 Pro Case with Belt Clip &amp; Kickstand, Full-Body Protection Multi Layers Rugged Case with Belt Holster for Apple iPhone 15 Pro 6.1 inch 2023(Dark Blue+Blue)"/>
        <s v="NIFFPD Designed for Google Pixel 6a Case with Belt Clip &amp; Kickstand, Full-Body Triple Layers Rugged Case with Screen Protector for Pixel 6a 5G 6.1 inch Phone (Black+Orange)"/>
        <s v="NIFFPD Designed for Google Pixel 7 Case with Belt Clip &amp; Kickstand, Full-Body Triple Layers Rugged Case for Pixel 7 5G 6.3 inch Phone (Green+White)"/>
        <s v="NIFFPD Designed for Samsung Galaxy A23 5G/4G Case with Belt Clip &amp; Kickstand, Full-Body Triple Layers Rugged Case with Screen Protector for Samsung Galaxy A23 5G/4G 6.6 inch Phone (Navy Blue)"/>
        <s v="NIFFPD for Samsung Galaxy S23 Plus 5G Case with Belt Clip &amp; Kickstand for Men Women, Full-Body Protection Rugged Holster Phone Case for Samsung S23+ 5G (Black)"/>
        <s v="NIFFPD for Apple iPhone 15 Plus Case with Belt Clip &amp; Kickstand, Full-Body Protection Multi Layers Rugged Case with Belt Holster for Apple iPhone 15 Plus 6.7 inch 2023(Wine Red+Pink)"/>
        <s v="NIFFPD for Apple iPhone 14 Pro Case with Belt Clip &amp; Kickstand, Full-Body Protection Multi Layers Rugged Case with Belt Holster for Apple iPhone 14 Pro 6.1 inch 2022 (Navy Blue)"/>
        <s v="NIFFPD Designed for Google Pixel 7 Case with Belt Clip &amp; Kickstand, Full-Body Triple Layers Rugged Case for Pixel 7 5G 6.3 inch Phone (Purple+Pink)"/>
        <s v="NIFFPD Designed for Google Pixel 6a Case with Belt Clip &amp; Kickstand, Full-Body Triple Layers Rugged Case with Screen Protector for Pixel 6a 5G 6.1 inch Phone (Navy Blue)"/>
        <s v="NIFFPD Designed for Google Pixel 7 Pro Case with Belt Clip &amp; Kickstand, Full-Body Triple Layers Rugged Case for Pixel 7 Pro 5G 6.7 inch Phone (Black+Orange)"/>
        <s v="NIFFPD for Samsung Galaxy S23 Ultra 5G Case with Belt Clip &amp; Kickstand for Men Women, Full-Body Protection Rugged Holster Phone Case for Samsung S23 Ultra 5G (Black+Orange)"/>
        <s v="NIFFPD for Samsung Galaxy S23 Ultra 5G Case with Belt Clip &amp; Kickstand for Men Women, Full-Body Protection Rugged Holster Phone Case for Samsung S23 Ultra 5G (Black)"/>
        <s v="NIFFPD Phone Case for Samsung Galaxy A24 4G 2023 Case with Belt Clip &amp; Kickstand, Heavy Duty Rugged Full Body Protective Case Cover for Samsung A24 4G Phone (Navy Blue)"/>
        <s v="NIFFPD Phone Case for Samsung Galaxy A24 4G 2023 Case with Belt Clip &amp; Kickstand, Heavy Duty Rugged Full Body Protective Case Cover for Samsung A24 4G Phone (Black+Orange)"/>
        <s v="NIFFPD for Apple iPhone 15 Pro Max Case with Belt Clip &amp; Kickstand, Full-Body Protection Multi Layers Rugged Case with Belt Holster for Apple iPhone 15 Pro Max 6.7 inch 2023(Green+White)"/>
        <s v="NIFFPD for Apple iPhone 15 Case with Belt Clip &amp; Kickstand, Full-Body Protection Multi Layers Rugged Case with Belt Holster for Apple iPhone 15 6.1 inch 2023(Black)"/>
        <s v="NIFFPD Designed for iPhone 14 Case with Belt Clip &amp; Kickstand, Full-Body Protection Multi Layers Rugged Case for Apple iPhone 14 6.1 inch 2022 (Purple+Black)"/>
        <s v="NIFFPD for Samsung Galaxy A14 5G Case with Belt Clip &amp; Kickstand for Men, Full-Body Protection Rugged Case for Samsung A14 5G Phone (Black)"/>
        <s v="NIFFPD for Samsung Galaxy A54 5G Case with Belt Clip &amp; Kickstand for Men, Full-Body Protection Rugged Case for Samsung A54 5G Phone (Black)"/>
        <s v="NIFFPD Phone Case for Motorola Moto G Power 5G 2023 Case with Belt Clip &amp; Kickstand, Heavy Duty Rugged Full Body Protective Case Cover for Motorola G Power 5G 2023 (Navy Blue)"/>
        <s v="NIFFPD Phone Case for Motorola Moto G Power 5G 2023 Case with Belt Clip &amp; Kickstand, Heavy Duty Rugged Full Body Protective Case Cover for Motorola G Power 5G 2023 (Black+Orange)"/>
        <s v="NIFFPD Phone Case for Samsung Galaxy A24 4G 2023 Case with Belt Clip &amp; Kickstand, Heavy Duty Rugged Full Body Protective Case Cover for Samsung A24 4G Phone (Purple+Pink)"/>
        <s v="NIFFPD for Apple iPhone 15 Plus Case with Belt Clip &amp; Kickstand, Full-Body Protection Multi Layers Rugged Case with Belt Holster for Apple iPhone 15 Plus 6.7 inch 2023(Green+White)"/>
        <s v="NIFFPD for Apple iPhone 15 Pro Case with Belt Clip &amp; Kickstand, Full-Body Protection Multi Layers Rugged Case with Belt Holster for Apple iPhone 15 Pro 6.1 inch 2023 (Wine Red+Pink)"/>
        <s v="NIFFPD Designed for Samsung Galaxy A53 5G Case with Belt Clip &amp; Kickstand, Full-Body Triple Layers Rugged Case with Screen Protector for Samsung Galaxy A53 5G 6.5 inch Phone (Purple+Black)"/>
        <s v="NIFFPD Designed for Samsung Galaxy A13 5G Case with Belt Clip &amp; Kickstand, Full-Body Triple Layers Rugged Case with Screen Protector for Samsung Galaxy A13 5G 6.5 inch Phone (Purple+Black)"/>
        <s v="NIFFPD Designed for iPhone 14 Case with Belt Clip &amp; Kickstand, Full-Body Protection Multi Layers Rugged Case for Apple iPhone 14 6.1 inch 2022 (Green+White)…"/>
        <s v="NIFFPD for Samsung Galaxy Z Flip 4 Case with Nylon Strap, Metal Ring, Secure Handheld, Comfortable Touch Phone Cover for Samsung Z Flip 4 5G 6.7-inch (Navy Blue)"/>
        <s v="NIFFPD for Samsung Galaxy A14 5G Case with Belt Clip &amp; Kickstand for Men, Full-Body Protection Rugged Case for Samsung A14 5G Phone (Purple+Pink)"/>
        <s v="NIFFPD for Samsung Galaxy S23 5G Case with Belt Clip &amp; Kickstand for Men Women, Full-Body Protection Rugged Holster Phone Case for Samsung S23 5G (Black)"/>
        <s v="NIFFPD Phone Case for Motorola Moto G Power 5G 2023 Case with Belt Clip &amp; Kickstand, Heavy Duty Rugged Full Body Protective Case Cover for Motorola G Power 5G 2023 (Purple+Pink)"/>
        <s v="NIFFPD Designed for Samsung Galaxy A53 5G Case with Belt Clip &amp; Kickstand, Full-Body Triple Layers Rugged Case with Screen Protector for Samsung Galaxy A53 5G 6.5 inch Phone (Green+White)"/>
        <s v="NIFFPD for Samsung Galaxy Z Flip 4 Phone Case with Ring, Silicone Flip Cover, Metal Ring, Anti-Fingerprint Shockproof Protective Phone Cover for Samsung Z Flip 4 5G 6.7-inch (Orange)"/>
        <s v="NIFFPD Designed for Google Pixel 7 Pro Case with Belt Clip &amp; Kickstand, Full-Body Triple Layers Rugged Case for Pixel 7 Pro 5G 6.7 inch Phone (Purple+Black)"/>
        <s v="NIFFPD Designed for Google Pixel 7 Pro Case with Belt Clip &amp; Kickstand, Full-Body Triple Layers Rugged Case for Pixel 7 Pro 5G 6.7 inch Phone (Navy Blue)"/>
        <s v="NIFFPD Designed for Motorola Edge 2022 Case with Belt Clip &amp; Kickstand, Full-Body Triple Layers Rugged Case with Screen Protector for Motorola Moto Edge 2022 6.6 inch Phone (Green+White)"/>
        <s v="NIFFPD Designed for Samsung Galaxy A23 5G/4G Case with Belt Clip &amp; Kickstand, Full-Body Triple Layers Rugged Case with Screen Protector for Samsung Galaxy A23 5G/4G 6.6 inch Phone (Green+White)"/>
        <s v="NIFFPD Designed for Samsung Galaxy A23 5G/4G Case with Belt Clip &amp; Kickstand, Full-Body Triple Layers Rugged Case with Screen Protector for Samsung Galaxy A23 5G/4G 6.6 inch Phone (Purple+Pink)"/>
        <s v="NIFFPD for Samsung Galaxy A14 5G Case with Belt Clip &amp; Kickstand for Men, Full-Body Protection Rugged Case for Samsung A14 5G Phone (Black+Orange)"/>
        <s v="NIFFPD for Samsung Galaxy A14 5G Case with Belt Clip &amp; Kickstand for Men, Full-Body Protection Rugged Case for Samsung A14 5G Phone (Navy Blue)"/>
        <s v="NIFFPD for Samsung Galaxy S23 5G Case with Belt Clip &amp; Kickstand for Men Women, Full-Body Protection Rugged Holster Phone Case for Samsung S23 5G (Navy Blue)"/>
        <s v="NIFFPD for Samsung Galaxy S23 Plus 5G Case with Belt Clip &amp; Kickstand for Men Women, Full-Body Protection Rugged Holster Phone Case for Samsung S23+ 5G (Purple+Pink)"/>
        <s v="NIFFPD for Samsung Galaxy S23 Ultra 5G Case with Belt Clip &amp; Kickstand for Men Women, Full-Body Protection Rugged Holster Phone Case for Samsung S23 Ultra 5G (Navy Blue)"/>
        <s v="NIFFPD for Apple iPhone 15 Case with Belt Clip &amp; Kickstand, Full-Body Protection Multi Layers Rugged Case with Belt Holster for Apple iPhone 15 6.2 inch (Wine Red+Pink)"/>
        <s v="NIFFPD for Apple iPhone 15 Case with Belt Clip &amp; Kickstand, Full-Body Protection Multi Layers Rugged Case with Belt Holster for Apple iPhone 15 6.2 inch (Dark Blue+Blue)"/>
        <s v="NIFFPD for Apple iPhone 14 Pro Case with Belt Clip &amp; Kickstand, Full-Body Protection Multi Layers Rugged Case with Belt Holster for Apple iPhone 14 Pro 6.1 inch 2022 (Purple+Black)"/>
        <s v="NIFFPD for Samsung Galaxy Z Flip 4 Phone Case, Flip 4 Dual Layers Case Hard PC &amp; Soft TPU Anti-Scratch Shockproof Protective Phone Cover for Samsung Z Flip 4 5G 6.7-inch (Black)"/>
        <s v="NIFFPD Designed for Google Pixel 7 Pro Case with Belt Clip &amp; Kickstand, Full-Body Triple Layers Rugged Case for Pixel 7 pro 5G 6.7 inch Phone (Green+White)"/>
        <s v="NIFFPD for Samsung Galaxy A14 5G Case with Belt Clip &amp; Kickstand for Men, Full-Body Protection Rugged Case for Samsung A14 5G Phone (Green+White)"/>
        <s v="NIFFPD for Samsung Galaxy S23 5G Case with Belt Clip &amp; Kickstand for Men Women, Full-Body Protection Rugged Holster Phone Case for Samsung S23 5G (Green+White)"/>
        <s v="NIFFPD for Samsung Galaxy S23 Plus 5G Case with Belt Clip &amp; Kickstand for Men Women, Full-Body Protection Rugged Holster Phone Case for Samsung S23+ 5G (Green+White)"/>
        <s v="NIFFPD for Samsung Galaxy S23 Ultra 5G Case with Belt Clip &amp; Kickstand for Men Women, Full-Body Protection Rugged Holster Phone Case for Samsung S23 Ultra 5G (Green+White)"/>
        <s v="NIFFPD for Samsung Galaxy A54 5G Case with Belt Clip &amp; Kickstand for Men, Full-Body Protection Rugged Case for Samsung A54 5G Phone (Black+Orange)"/>
        <s v="NIFFPD Phone Case for Samsung Galaxy A24 4G 2023 Case with Belt Clip &amp; Kickstand, Heavy Duty Rugged Full Body Protective Case Cover for Samsung A24 4G Phone (Green+White)"/>
        <s v="NIFFPD for Apple iPhone 15 Pro Case with Belt Clip &amp; Kickstand, Full-Body Protection Multi Layers Rugged Case with Belt Holster for Apple iPhone 15 Pro 6.1 inch 2023(Green+White)"/>
        <s v="NIFFPD for Apple iPhone 15 Case with Belt Clip &amp; Kickstand, Full-Body Protection Multi Layers Rugged Case with Belt Holster for Apple iPhone 15 6.2 inch (Black+Orange)"/>
        <s v="NIFFPD for Apple iPhone 15 Case with Belt Clip &amp; Kickstand, Full-Body Protection Multi Layers Rugged Case with Belt Holster for Apple iPhone 15 6.1 inch 2023(Green+White)"/>
        <s v="NIFFPD for Apple iPhone 14 Pro Case with Belt Clip &amp; Kickstand, Full-Body Protection Multi Layers Rugged Case with Belt Holster for Apple iPhone 14 Pro 6.1 inch 2022 (Green+White)"/>
        <s v="NIFFPD Designed for Google Pixel 6a Case with Belt Clip &amp; Kickstand, Full-Body Triple Layers Rugged Case for Pixel 6a 5G 6.1 inch Phone (Purple+Black)"/>
        <s v="NIFFPD for Samsung Galaxy Z Flod 4 Case with Kickstand, Pen Holder &amp; Built-in Front Screen Protector, Anti-Scratch Shockproof Leather Phone Cover for Samsung Z Flod 4 5G 2022 7.6-inch (Black)"/>
        <s v="NIFFPD for Samsung Galaxy Z Flod 4 Case with Kickstand, Pen Holder &amp; Built-in Front Screen Protector, Anti-Scratch Shockproof Leather Phone Cover for Samsung Z Flod 4 5G 2022 7.6-inch (Rose Gold)"/>
        <s v="NIFFPD for Samsung Galaxy Z Flod 4 Case with Kickstand, Pen Holder &amp; Built-in Front Screen Protector, Anti-Scratch Shockproof Leather Phone Cover for Samsung Z Flod 4 5G 2022 7.6-inch (Green)"/>
        <s v="NIFFPD for Samsung Galaxy Z Flip 4 Case with Hinge Protection &amp; Built-in Camera Cover Protector, Anti-Scratch Shockproof Leather Phone Cover for Samsung Z Flip 4 5G 6.7-inch"/>
        <s v="NIFFPD for Samsung Galaxy Z Flip 4 Phone Case, Flip 4 Dual Layers Case Hard PC &amp; Soft TPU Anti-Scratch Shockproof Protective Phone Cover for Samsung Z Flip 4 5G 6.7-inch (Black+Orange)"/>
        <s v="NIFFPD for Samsung Galaxy Z Flip 4 Phone Case, Flip 4 Dual Layers Case Hard PC &amp; Soft TPU Anti-Scratch Shockproof Protective Phone Cover for Samsung Z Flip 4 5G 6.7-inch (Navy Blue)"/>
        <s v="NIFFPD for Apple iPhone 14 Pro Case with Belt Clip &amp; Kickstand, Full-Body Protection Multi Layers Rugged Case with Belt Holster for Apple iPhone 14 Pro 6.1 inch 2022 (Purple+Pink)"/>
        <s v="NIFFPD Designed for iPhone 14 Case with Belt Clip &amp; Kickstand, Full-Body Protection Multi Layers Rugged Case for Apple iPhone 14 6.1 inch 2022 (Purple+Pink)"/>
        <s v="NIFFPD Designed for Google Pixel 7 Pro Case with Belt Clip &amp; Kickstand, Full-Body Triple Layers Rugged Case for Pixel 7 pro 5G 6.7 inch Phone (Purple+Pink)"/>
        <s v="NIFFPD for Samsung Galaxy S23 5G Case with Belt Clip &amp; Kickstand for Men Women, Full-Body Protection Rugged Holster Phone Case for Samsung S23 5G (Black+Orange)"/>
        <s v="NIFFPD for Samsung Galaxy S23 Plus 5G Case with Belt Clip &amp; Kickstand for Men Women, Full-Body Protection Rugged Holster Phone Case for Samsung S23+ 5G (Black+Orange)"/>
        <s v="NIFFPD for Samsung Galaxy S23 5G Case with Belt Clip &amp; Kickstand for Men Women, Full-Body Protection Rugged Holster Phone Case for Samsung S23 5G (Purple+Pink)"/>
        <s v="NIFFPD for Samsung Galaxy A54 5G Case with Belt Clip &amp; Kickstand for Men, Full-Body Protection Rugged Case for Samsung A54 5G Phone (Navy Blue)"/>
        <s v="NIFFPD Phone Case for Motorola Moto G Power 5G 2023 Case with Belt Clip &amp; Kickstand, Heavy Duty Rugged Full Body Protective Case Cover for Motorola G Power 5G 2023 (Green+White)"/>
        <s v="NIFFPD Designed for Google Pixel 8 Pro Case with Belt Clip &amp; Kickstand, Full-Body Triple Layers Rugged Case for Pixel 8 pro 5G 6.7 inch Phone (Black)"/>
        <m/>
      </sharedItems>
    </cacheField>
    <cacheField name="SKU" numFmtId="0">
      <sharedItems containsBlank="1" count="128">
        <s v="Y4022-BL+Y4026+Y4030"/>
        <s v="Y4013-OR+Y4016+Y4019"/>
        <s v="Y4013-BL+Y4016+Y4019"/>
        <s v="Y4040-OR+Y4043"/>
        <s v="Y4023-BL+Y4027+Y4031*1"/>
        <s v="Y4022-DB+Y4026+Y4030"/>
        <s v="Y4023-DB+Y4027+Y4031"/>
        <s v="Y4022-OR+Y4026+Y4030"/>
        <s v="Y4040-BL+Y4043"/>
        <s v="Y4011-BL+Y4014+Y4017"/>
        <s v="Y4012-OR+Y4015+Y4018"/>
        <s v="Y4013-DB+Y4016+Y4019"/>
        <s v="Y4011-OR+Y4014+Y4017"/>
        <s v="Y4084-BL+Y4085+Y4086"/>
        <s v="Y4081-BL+Y4082+Y4083"/>
        <s v="Y4023-OR+Y4027+Y4031"/>
        <s v="Y4020-OR+Y4024+Y4028"/>
        <s v="Y4022-GW+Y4026+Y4030"/>
        <s v="Y4023-WB+Y4027+Y4031"/>
        <s v="Y4084-DB+Y4085+Y4086"/>
        <s v="Y4039-BL+Y4042+Y4045"/>
        <s v="Y4020-BL+Y4024+Y4028"/>
        <s v="Y4020-DB+Y4024+Y4028"/>
        <s v="Y4050-BL+Y4051+Y4052"/>
        <s v="Y4022-WI+Y4026+Y4030"/>
        <s v="Y4040-DB+Y4043"/>
        <s v="Y4041-BL+Y4044"/>
        <s v="Y4050-OR+Y4051+Y4052"/>
        <s v="Y4013-GW+Y4016+Y4019"/>
        <s v="Y4011-DB+Y4014+Y4017"/>
        <s v="Y4022-WB+Y4026+Y4030"/>
        <s v="Y4023-WI+Y4027+Y4031"/>
        <s v="Y4069-BL+Y4070+Y4071"/>
        <s v="Y4084-OR+Y4085+Y4086"/>
        <s v="Y4021-BL+Y4025+Y4029"/>
        <s v="Y4078-BL+Y4079+Y4080"/>
        <s v="Y4053-DB+Y4054+Y4049"/>
        <s v="Y4053-OR+Y4054+Y4049"/>
        <s v="Y4012-BL+Y4015+Y4018"/>
        <s v="Y4012-DB+Y4015+Y4018"/>
        <s v="Y4023-GW+Y4027+Y4031"/>
        <s v="Y4053-BL+Y4054+Y4049"/>
        <s v="Y4078-OR+Y4079+Y4080"/>
        <s v="Y4040-WB+Y4043"/>
        <s v="Y4061-WI+Y4062"/>
        <s v="Y4072-BL+Y4073+Y4074"/>
        <s v="Y4081-OR+Y4082+Y4083"/>
        <s v="Y4084-WI+Y4085+Y4086"/>
        <s v="Y4013-PB+Y4016+Y4019"/>
        <s v="Y4021-OR+Y4025+Y4029"/>
        <s v="Y4053-WI+Y4054+Y4049"/>
        <s v="Y4081-DB+Y4082+Y4083"/>
        <s v="Y4078-DB+Y4079+Y4080"/>
        <s v="Y4039-OR+Y4042+Y4045"/>
        <s v="Y4040-GW+Y4043"/>
        <s v="Y4050-DB+Y4051+Y4052"/>
        <s v="Y4058-BL+Y4059+Y4060"/>
        <s v="Y4081-WI+Y4082+Y4083"/>
        <s v="Y4021-DB+Y4025+Y4029"/>
        <s v="Y4040-WI+Y4043"/>
        <s v="Y4039-DB+Y4042+Y4045"/>
        <s v="Y4041-OR+Y4044"/>
        <s v="Y4061-OR+Y4062"/>
        <s v="Y4061-BL+Y4062"/>
        <s v="Y4072-DB+Y4073+Y4074"/>
        <s v="Y4072-OR+Y4073+Y4074"/>
        <s v="Y4084-GW+Y4085+Y4086"/>
        <s v="Y4075-BL+Y4076+Y4077"/>
        <s v="Y4020-WB+Y4024+Y4028"/>
        <s v="Y4063-BL+Y4064+Y4065"/>
        <s v="Y4066-BL+Y4068"/>
        <s v="Y4069-DB+Y4070+Y4071"/>
        <s v="Y4069-OR+Y4070+Y4071"/>
        <s v="Y4072-WI+Y4073+Y4074"/>
        <s v="Y4081-GW+Y4082+Y4083"/>
        <s v="Y4078-WI+Y4079+Y4080"/>
        <s v="Y4012-PB+Y4015+Y4018"/>
        <s v="Y4011-PB+Y4014+Y4017"/>
        <s v="Y4020-GW+Y4024+Y4028"/>
        <s v="Y4032-DB"/>
        <s v="Y4063-WI+Y4064+Y4065"/>
        <s v="Y4055-BL+Y4056+Y4057"/>
        <s v="Y4069-WI+Y4070+Y4071"/>
        <s v="Y4012-GW+Y4015+Y4018"/>
        <s v="Y4033-OR"/>
        <s v="Y4041-WB+Y4044"/>
        <s v="Y4041-DB+Y4044"/>
        <s v="Y4053-GW+Y4054+Y4049"/>
        <s v="Y4050-GW+Y4051+Y4052"/>
        <s v="Y4050-WI+Y4051+Y4052"/>
        <s v="Y4063-OR+Y4064+Y4065"/>
        <s v="Y4063-DB+Y4064+Y4065"/>
        <s v="Y4055-DB+Y4056+Y4057"/>
        <s v="Y4058-WI+Y4059+Y4060"/>
        <s v="Y4061-DB+Y4062"/>
        <s v="Y4075-WI+Y4076+Y4077"/>
        <s v="Y4075-DB+Y4076+Y4077"/>
        <s v="Y4021-WB+Y4025+Y4029"/>
        <s v="Y4036-BL"/>
        <s v="Y4041-GW+Y4044"/>
        <s v="Y4063-GW+Y4064+Y4065"/>
        <s v="Y4055-GW+Y4056+Y4057"/>
        <s v="Y4058-GW+Y4059+Y4060"/>
        <s v="Y4061-GW+Y4062"/>
        <s v="Y4066-OR+Y4068"/>
        <s v="Y4072-GW+Y4073+Y4074"/>
        <s v="Y4078-GW+Y4079+Y4080"/>
        <s v="Y4075-OR+Y4076+Y4077"/>
        <s v="Y4075-GW+Y4076+Y4077"/>
        <s v="Y4021-GW+Y4025+Y4029"/>
        <s v="Y4039-WB+Y4042+Y4045"/>
        <s v="Y4037-BL"/>
        <s v="Y4037-GO"/>
        <s v="Y4037-GR"/>
        <s v="Y4035-GR"/>
        <s v="Y4035-PU"/>
        <s v="Y4036-OR"/>
        <s v="Y4036-DB"/>
        <s v="Y4021-WI+Y4025+Y4029"/>
        <s v="Y4020-WI+Y4024+Y4028"/>
        <s v="Y4041-WI+Y4044"/>
        <s v="Y4055-OR+Y4056+Y4057"/>
        <s v="Y4058-OR+Y4059+Y4060"/>
        <s v="Y4055-WI+Y4056+Y4057"/>
        <s v="Y4066-DB+Y4068"/>
        <s v="Y4069-GW+Y4070+Y4071"/>
        <s v="Y4089-BL+Y4090"/>
        <m/>
      </sharedItems>
    </cacheField>
    <cacheField name="会话次数 – 总计" numFmtId="0">
      <sharedItems containsString="0" containsBlank="1" containsNumber="1" containsInteger="1" minValue="0" maxValue="941" count="105">
        <n v="743"/>
        <n v="941"/>
        <n v="298"/>
        <n v="697"/>
        <n v="350"/>
        <n v="381"/>
        <n v="636"/>
        <n v="826"/>
        <n v="256"/>
        <n v="249"/>
        <n v="402"/>
        <n v="242"/>
        <n v="484"/>
        <n v="351"/>
        <n v="211"/>
        <n v="526"/>
        <n v="412"/>
        <n v="241"/>
        <n v="473"/>
        <n v="358"/>
        <n v="184"/>
        <n v="124"/>
        <n v="158"/>
        <n v="156"/>
        <n v="218"/>
        <n v="221"/>
        <n v="201"/>
        <n v="399"/>
        <n v="155"/>
        <n v="181"/>
        <n v="299"/>
        <n v="279"/>
        <n v="541"/>
        <n v="186"/>
        <n v="141"/>
        <n v="114"/>
        <n v="291"/>
        <n v="115"/>
        <n v="84"/>
        <n v="224"/>
        <n v="183"/>
        <n v="133"/>
        <n v="164"/>
        <n v="118"/>
        <n v="147"/>
        <n v="228"/>
        <n v="106"/>
        <n v="174"/>
        <n v="108"/>
        <n v="109"/>
        <n v="185"/>
        <n v="129"/>
        <n v="128"/>
        <n v="121"/>
        <n v="50"/>
        <n v="62"/>
        <n v="122"/>
        <n v="127"/>
        <n v="104"/>
        <n v="94"/>
        <n v="64"/>
        <n v="225"/>
        <n v="63"/>
        <n v="69"/>
        <n v="86"/>
        <n v="58"/>
        <n v="111"/>
        <n v="176"/>
        <n v="103"/>
        <n v="99"/>
        <n v="72"/>
        <n v="57"/>
        <n v="125"/>
        <n v="26"/>
        <n v="51"/>
        <n v="68"/>
        <n v="55"/>
        <n v="42"/>
        <n v="46"/>
        <n v="75"/>
        <n v="89"/>
        <n v="71"/>
        <n v="116"/>
        <n v="82"/>
        <n v="33"/>
        <n v="45"/>
        <n v="30"/>
        <n v="56"/>
        <n v="32"/>
        <n v="52"/>
        <n v="61"/>
        <n v="60"/>
        <n v="43"/>
        <n v="29"/>
        <n v="31"/>
        <n v="36"/>
        <n v="12"/>
        <n v="6"/>
        <n v="11"/>
        <n v="17"/>
        <n v="59"/>
        <n v="79"/>
        <n v="40"/>
        <n v="83"/>
        <m/>
      </sharedItems>
    </cacheField>
    <cacheField name="会话次数 – 总计 – B2B" numFmtId="0">
      <sharedItems containsString="0" containsBlank="1" containsNumber="1" containsInteger="1" minValue="0" maxValue="15" count="16">
        <n v="10"/>
        <n v="14"/>
        <n v="5"/>
        <n v="12"/>
        <n v="7"/>
        <n v="1"/>
        <n v="9"/>
        <n v="4"/>
        <n v="3"/>
        <n v="11"/>
        <n v="8"/>
        <n v="2"/>
        <n v="6"/>
        <n v="15"/>
        <n v="0"/>
        <m/>
      </sharedItems>
    </cacheField>
    <cacheField name="会话百分比 – 总计" numFmtId="0">
      <sharedItems containsString="0" containsBlank="1" containsNumber="1" minValue="0" maxValue="0.0458" count="88">
        <n v="0.0362"/>
        <n v="0.0458"/>
        <n v="0.0145"/>
        <n v="0.0339"/>
        <n v="0.017"/>
        <n v="0.0185"/>
        <n v="0.031"/>
        <n v="0.0402"/>
        <n v="0.0125"/>
        <n v="0.0121"/>
        <n v="0.0196"/>
        <n v="0.0118"/>
        <n v="0.0236"/>
        <n v="0.0171"/>
        <n v="0.0103"/>
        <n v="0.0256"/>
        <n v="0.0201"/>
        <n v="0.0117"/>
        <n v="0.023"/>
        <n v="0.0174"/>
        <n v="0.009"/>
        <n v="0.006"/>
        <n v="0.0077"/>
        <n v="0.0076"/>
        <n v="0.0106"/>
        <n v="0.0108"/>
        <n v="0.0098"/>
        <n v="0.0194"/>
        <n v="0.0075"/>
        <n v="0.0088"/>
        <n v="0.0146"/>
        <n v="0.0136"/>
        <n v="0.0263"/>
        <n v="0.0091"/>
        <n v="0.0069"/>
        <n v="0.0056"/>
        <n v="0.0142"/>
        <n v="0.0041"/>
        <n v="0.0109"/>
        <n v="0.0089"/>
        <n v="0.0065"/>
        <n v="0.008"/>
        <n v="0.0057"/>
        <n v="0.0072"/>
        <n v="0.0111"/>
        <n v="0.0052"/>
        <n v="0.0085"/>
        <n v="0.0053"/>
        <n v="0.0063"/>
        <n v="0.0062"/>
        <n v="0.0059"/>
        <n v="0.0024"/>
        <n v="0.003"/>
        <n v="0.0051"/>
        <n v="0.0046"/>
        <n v="0.0031"/>
        <n v="0.011"/>
        <n v="0.0034"/>
        <n v="0.0042"/>
        <n v="0.0028"/>
        <n v="0.0054"/>
        <n v="0.0086"/>
        <n v="0.005"/>
        <n v="0.0048"/>
        <n v="0.0035"/>
        <n v="0.0061"/>
        <n v="0.0013"/>
        <n v="0.0025"/>
        <n v="0.0033"/>
        <n v="0.0027"/>
        <n v="0.002"/>
        <n v="0.0022"/>
        <n v="0.0037"/>
        <n v="0.0043"/>
        <n v="0.004"/>
        <n v="0.0016"/>
        <n v="0.0015"/>
        <n v="0.0029"/>
        <n v="0.0021"/>
        <n v="0.0014"/>
        <n v="0.0018"/>
        <n v="0.0006"/>
        <n v="0.0003"/>
        <n v="0.0005"/>
        <n v="0.0008"/>
        <n v="0.0038"/>
        <n v="0.0019"/>
        <m/>
      </sharedItems>
    </cacheField>
    <cacheField name="会话百分比 – 总计 – B2B" numFmtId="0">
      <sharedItems containsString="0" containsBlank="1" containsNumber="1" minValue="0" maxValue="0.0449" count="16">
        <n v="0.0299"/>
        <n v="0.0419"/>
        <n v="0.015"/>
        <n v="0.0359"/>
        <n v="0.021"/>
        <n v="0.003"/>
        <n v="0.0269"/>
        <n v="0.012"/>
        <n v="0.009"/>
        <n v="0.0329"/>
        <n v="0.024"/>
        <n v="0.006"/>
        <n v="0.018"/>
        <n v="0.0449"/>
        <n v="0"/>
        <m/>
      </sharedItems>
    </cacheField>
    <cacheField name="页面浏览量 – 总计" numFmtId="0">
      <sharedItems containsString="0" containsBlank="1" containsNumber="1" containsInteger="1" minValue="0" maxValue="1295" count="113">
        <n v="969"/>
        <n v="1295"/>
        <n v="385"/>
        <n v="902"/>
        <n v="515"/>
        <n v="506"/>
        <n v="843"/>
        <n v="1077"/>
        <n v="321"/>
        <n v="358"/>
        <n v="554"/>
        <n v="325"/>
        <n v="661"/>
        <n v="520"/>
        <n v="316"/>
        <n v="723"/>
        <n v="565"/>
        <n v="286"/>
        <n v="669"/>
        <n v="481"/>
        <n v="245"/>
        <n v="187"/>
        <n v="191"/>
        <n v="220"/>
        <n v="264"/>
        <n v="281"/>
        <n v="564"/>
        <n v="196"/>
        <n v="247"/>
        <n v="396"/>
        <n v="356"/>
        <n v="307"/>
        <n v="726"/>
        <n v="199"/>
        <n v="170"/>
        <n v="159"/>
        <n v="115"/>
        <n v="297"/>
        <n v="251"/>
        <n v="331"/>
        <n v="168"/>
        <n v="246"/>
        <n v="179"/>
        <n v="200"/>
        <n v="302"/>
        <n v="129"/>
        <n v="215"/>
        <n v="152"/>
        <n v="123"/>
        <n v="265"/>
        <n v="192"/>
        <n v="163"/>
        <n v="146"/>
        <n v="74"/>
        <n v="180"/>
        <n v="71"/>
        <n v="158"/>
        <n v="172"/>
        <n v="169"/>
        <n v="149"/>
        <n v="138"/>
        <n v="86"/>
        <n v="119"/>
        <n v="266"/>
        <n v="94"/>
        <n v="112"/>
        <n v="109"/>
        <n v="87"/>
        <n v="140"/>
        <n v="248"/>
        <n v="134"/>
        <n v="125"/>
        <n v="82"/>
        <n v="103"/>
        <n v="73"/>
        <n v="178"/>
        <n v="42"/>
        <n v="66"/>
        <n v="92"/>
        <n v="62"/>
        <n v="61"/>
        <n v="54"/>
        <n v="65"/>
        <n v="85"/>
        <n v="108"/>
        <n v="95"/>
        <n v="167"/>
        <n v="110"/>
        <n v="37"/>
        <n v="126"/>
        <n v="41"/>
        <n v="67"/>
        <n v="39"/>
        <n v="45"/>
        <n v="68"/>
        <n v="78"/>
        <n v="107"/>
        <n v="91"/>
        <n v="53"/>
        <n v="88"/>
        <n v="32"/>
        <n v="38"/>
        <n v="47"/>
        <n v="16"/>
        <n v="6"/>
        <n v="81"/>
        <n v="63"/>
        <n v="18"/>
        <n v="46"/>
        <n v="100"/>
        <n v="17"/>
        <n v="36"/>
        <m/>
      </sharedItems>
    </cacheField>
    <cacheField name="页面浏览量 – 总计 – B2B" numFmtId="0">
      <sharedItems containsString="0" containsBlank="1" containsNumber="1" containsInteger="1" minValue="0" maxValue="31" count="21">
        <n v="16"/>
        <n v="20"/>
        <n v="9"/>
        <n v="17"/>
        <n v="8"/>
        <n v="1"/>
        <n v="4"/>
        <n v="6"/>
        <n v="10"/>
        <n v="12"/>
        <n v="13"/>
        <n v="11"/>
        <n v="3"/>
        <n v="7"/>
        <n v="5"/>
        <n v="14"/>
        <n v="2"/>
        <n v="24"/>
        <n v="31"/>
        <n v="0"/>
        <m/>
      </sharedItems>
    </cacheField>
    <cacheField name="页面浏览量百分比 – 总计" numFmtId="0">
      <sharedItems containsString="0" containsBlank="1" containsNumber="1" minValue="0" maxValue="0.0469" count="87">
        <n v="0.0351"/>
        <n v="0.0469"/>
        <n v="0.014"/>
        <n v="0.0327"/>
        <n v="0.0187"/>
        <n v="0.0183"/>
        <n v="0.0305"/>
        <n v="0.039"/>
        <n v="0.0116"/>
        <n v="0.013"/>
        <n v="0.0201"/>
        <n v="0.0118"/>
        <n v="0.024"/>
        <n v="0.0188"/>
        <n v="0.0115"/>
        <n v="0.0262"/>
        <n v="0.0205"/>
        <n v="0.0104"/>
        <n v="0.0242"/>
        <n v="0.0174"/>
        <n v="0.0089"/>
        <n v="0.0068"/>
        <n v="0.0069"/>
        <n v="0.008"/>
        <n v="0.0096"/>
        <n v="0.0102"/>
        <n v="0.0204"/>
        <n v="0.0071"/>
        <n v="0.009"/>
        <n v="0.0144"/>
        <n v="0.0129"/>
        <n v="0.0111"/>
        <n v="0.0263"/>
        <n v="0.0072"/>
        <n v="0.0062"/>
        <n v="0.0058"/>
        <n v="0.0042"/>
        <n v="0.0108"/>
        <n v="0.0091"/>
        <n v="0.012"/>
        <n v="0.0061"/>
        <n v="0.0065"/>
        <n v="0.0109"/>
        <n v="0.0047"/>
        <n v="0.0078"/>
        <n v="0.0055"/>
        <n v="0.0045"/>
        <n v="0.007"/>
        <n v="0.0059"/>
        <n v="0.0053"/>
        <n v="0.0027"/>
        <n v="0.0026"/>
        <n v="0.0057"/>
        <n v="0.0054"/>
        <n v="0.005"/>
        <n v="0.0031"/>
        <n v="0.0043"/>
        <n v="0.0034"/>
        <n v="0.0041"/>
        <n v="0.0039"/>
        <n v="0.0032"/>
        <n v="0.0051"/>
        <n v="0.0049"/>
        <n v="0.003"/>
        <n v="0.0037"/>
        <n v="0.0015"/>
        <n v="0.0024"/>
        <n v="0.0033"/>
        <n v="0.0022"/>
        <n v="0.002"/>
        <n v="0.004"/>
        <n v="0.0013"/>
        <n v="0.0046"/>
        <n v="0.0014"/>
        <n v="0.0016"/>
        <n v="0.0025"/>
        <n v="0.0028"/>
        <n v="0.0019"/>
        <n v="0.0012"/>
        <n v="0.0017"/>
        <n v="0.0006"/>
        <n v="0.0002"/>
        <n v="0.0029"/>
        <n v="0.0023"/>
        <n v="0.0007"/>
        <n v="0.0036"/>
        <m/>
      </sharedItems>
    </cacheField>
    <cacheField name="页面浏览量百分比 – 总计 – B2B" numFmtId="0">
      <sharedItems containsString="0" containsBlank="1" containsNumber="1" minValue="0" maxValue="0.065" count="21">
        <n v="0.0335"/>
        <n v="0.0419"/>
        <n v="0.0189"/>
        <n v="0.0356"/>
        <n v="0.0168"/>
        <n v="0.0021"/>
        <n v="0.0084"/>
        <n v="0.0126"/>
        <n v="0.021"/>
        <n v="0.0252"/>
        <n v="0.0273"/>
        <n v="0.0231"/>
        <n v="0.0063"/>
        <n v="0.0147"/>
        <n v="0.0105"/>
        <n v="0.0294"/>
        <n v="0.0042"/>
        <n v="0.0503"/>
        <n v="0.065"/>
        <n v="0"/>
        <m/>
      </sharedItems>
    </cacheField>
    <cacheField name="推荐报价（购买按钮）百分比" numFmtId="0">
      <sharedItems containsString="0" containsBlank="1" containsNumber="1" minValue="0" maxValue="1" count="80">
        <n v="0.9968"/>
        <n v="0.9649"/>
        <n v="0.9939"/>
        <n v="0.9955"/>
        <n v="0.9647"/>
        <n v="0.9543"/>
        <n v="0.9976"/>
        <n v="0.9962"/>
        <n v="0.989"/>
        <n v="0.9982"/>
        <n v="0.9834"/>
        <n v="0.9938"/>
        <n v="0.9892"/>
        <n v="0.9967"/>
        <n v="0.9929"/>
        <n v="0.9888"/>
        <n v="1"/>
        <n v="0.9956"/>
        <n v="0.9713"/>
        <n v="0.9785"/>
        <n v="0.992"/>
        <n v="0.9731"/>
        <n v="0.9722"/>
        <n v="0.9895"/>
        <n v="0.9986"/>
        <n v="0.9964"/>
        <n v="0.9945"/>
        <n v="0.9922"/>
        <n v="0.9954"/>
        <n v="0.973"/>
        <n v="0.9958"/>
        <n v="0.9308"/>
        <n v="0.9856"/>
        <n v="0.9565"/>
        <n v="0.9952"/>
        <n v="0.9912"/>
        <n v="0.9882"/>
        <n v="0.9839"/>
        <n v="0.9935"/>
        <n v="0.9925"/>
        <n v="0.873"/>
        <n v="0.994"/>
        <n v="0.9219"/>
        <n v="0.9859"/>
        <n v="0.9854"/>
        <n v="0.9752"/>
        <n v="0.96"/>
        <n v="0.9537"/>
        <n v="0.9663"/>
        <n v="0.9639"/>
        <n v="0.9043"/>
        <n v="0.9811"/>
        <n v="0.9707"/>
        <n v="0.9746"/>
        <n v="0.9915"/>
        <n v="0.9868"/>
        <n v="0.9857"/>
        <n v="0.925"/>
        <n v="0.9778"/>
        <n v="0.9434"/>
        <n v="0.9818"/>
        <n v="0.98"/>
        <n v="0.9863"/>
        <n v="0.9796"/>
        <n v="0.8537"/>
        <n v="0.9756"/>
        <n v="0.9904"/>
        <n v="0.9286"/>
        <n v="0.9024"/>
        <n v="0.8507"/>
        <n v="0.9753"/>
        <n v="0.9884"/>
        <n v="0.9149"/>
        <n v="0.9706"/>
        <n v="0.9375"/>
        <n v="0.9608"/>
        <n v="0.9231"/>
        <n v="0.9531"/>
        <n v="0.8837"/>
        <m/>
      </sharedItems>
    </cacheField>
    <cacheField name="推荐报价（购买按钮）百分比 – B2B" numFmtId="0">
      <sharedItems containsString="0" containsBlank="1" containsNumber="1" minValue="0" maxValue="1" count="12">
        <n v="0.9333"/>
        <n v="0.95"/>
        <n v="1"/>
        <n v="0"/>
        <n v="0.6364"/>
        <n v="0.7143"/>
        <n v="0.3333"/>
        <n v="0.875"/>
        <n v="0.9091"/>
        <n v="0.6667"/>
        <n v="0.5"/>
        <m/>
      </sharedItems>
    </cacheField>
    <cacheField name="已订购商品数量" numFmtId="0">
      <sharedItems containsString="0" containsBlank="1" containsNumber="1" containsInteger="1" minValue="0" maxValue="95" count="40">
        <n v="95"/>
        <n v="68"/>
        <n v="60"/>
        <n v="49"/>
        <n v="44"/>
        <n v="43"/>
        <n v="39"/>
        <n v="37"/>
        <n v="36"/>
        <n v="53"/>
        <n v="33"/>
        <n v="32"/>
        <n v="50"/>
        <n v="30"/>
        <n v="24"/>
        <n v="23"/>
        <n v="22"/>
        <n v="21"/>
        <n v="19"/>
        <n v="20"/>
        <n v="18"/>
        <n v="27"/>
        <n v="17"/>
        <n v="16"/>
        <n v="15"/>
        <n v="13"/>
        <n v="14"/>
        <n v="12"/>
        <n v="11"/>
        <n v="10"/>
        <n v="9"/>
        <n v="8"/>
        <n v="7"/>
        <n v="6"/>
        <n v="5"/>
        <n v="4"/>
        <n v="3"/>
        <n v="2"/>
        <n v="1"/>
        <m/>
      </sharedItems>
    </cacheField>
  </cacheFields>
</pivotCacheDefinition>
</file>

<file path=xl/pivotCache/pivotCacheDefinition25.xml><?xml version="1.0" encoding="utf-8"?>
<pivotCacheDefinition xmlns="http://schemas.openxmlformats.org/spreadsheetml/2006/main" xmlns:r="http://schemas.openxmlformats.org/officeDocument/2006/relationships" r:id="rId1" createdVersion="5" refreshedVersion="5" minRefreshableVersion="3" refreshedDate="45219.591400463" refreshedBy="Administrator" recordCount="300">
  <cacheSource type="worksheet">
    <worksheetSource ref="G1:W1048576" sheet="广告10.12-10.18" r:id="rId2"/>
  </cacheSource>
  <cacheFields count="19">
    <cacheField name="广告SKU" numFmtId="0">
      <sharedItems containsBlank="1" count="115">
        <s v="Y4013-OR+Y4016+Y4019"/>
        <s v="Y4011-OR+Y4014+Y4017"/>
        <s v="Y4012-OR+Y4015+Y4018"/>
        <s v="Y4012-DB+Y4015+Y4018"/>
        <s v="Y4011-BL+Y4014+Y4017"/>
        <s v="Y4011-DB+Y4014+Y4017"/>
        <s v="Y4039-BL+Y4042+Y4045"/>
        <s v="Y4039-DB+Y4042+Y4045"/>
        <s v="Y4033-OR"/>
        <s v="Y4033-DG"/>
        <s v="Y4032-DB"/>
        <s v="Y4033-LP"/>
        <s v="Y4035-WHB"/>
        <s v="Y4035-GR"/>
        <s v="Y4035-PU"/>
        <s v="Y4036-BL"/>
        <s v="Y4036-OR"/>
        <s v="Y4036-DB"/>
        <s v="Y4037-GR"/>
        <s v="Y4037-BL"/>
        <s v="Y4037-GO"/>
        <s v="Y4039-OR+Y4042+Y4045"/>
        <s v="Y4023-OR+Y4027+Y4031"/>
        <s v="Y4023-DB+Y4027+Y4031"/>
        <s v="Y4023-WB+Y4027+Y4031"/>
        <s v="Y4020-BL+Y4024+Y4028"/>
        <s v="Y4020-OR+Y4024+Y4028"/>
        <s v="Y4022-BL+Y4026+Y4030"/>
        <s v="Y4022-WB+Y4026+Y4030"/>
        <s v="Y4021-OR+Y4025+Y4029"/>
        <s v="Y4021-DB+Y4025+Y4029"/>
        <s v="Y4021-BL+Y4025+Y4029"/>
        <s v="Y4022-OR+Y4026+Y4030"/>
        <s v="Y4023-WI+Y4027+Y4031"/>
        <s v="Y4038-BL"/>
        <s v="Y4038-OR"/>
        <s v="Y4038-DB"/>
        <s v="Y4022-DB+Y4026+Y4030"/>
        <s v="Y4020-DB+Y4024+Y4028"/>
        <s v="Y4040-OR+Y4043"/>
        <s v="Y4040-DB+Y4043"/>
        <s v="Y4040-WI+Y4043"/>
        <s v="Y4041-BL+Y4044"/>
        <s v="Y4041-OR+Y4044"/>
        <s v="Y4053-BL+Y4054+Y4049"/>
        <s v="Y4053-OR+Y4054+Y4049"/>
        <s v="Y4053-DB+Y4054+Y4049"/>
        <s v="Y4050-OR+Y4051+Y4052"/>
        <s v="Y4050-DB+Y4051+Y4052"/>
        <s v="Y4050-BL+Y4051+Y4052"/>
        <s v="Y4053-WI+Y4054+Y4049"/>
        <s v="Y4013-BL+Y4016+Y4019"/>
        <s v="Y4020-GW+Y4024+Y4028"/>
        <s v="Y4041-WB+Y4044"/>
        <s v="Y4050-WI+Y4051+Y4052"/>
        <s v="Y4013-DB+Y4016+Y4019"/>
        <s v="Y4012-BL+Y4015+Y4018"/>
        <s v="Y4012-PB+Y4015+Y4018"/>
        <s v="Y4020-WB+Y4024+Y4028"/>
        <s v="Y4041-WI+Y4044"/>
        <s v="Y4020-WI+Y4024+Y4028"/>
        <s v="Y4063-BL+Y4064+Y4065"/>
        <s v="Y4063-OR+Y4064+Y4065"/>
        <s v="Y4061-BL+Y4062"/>
        <s v="Y4061-GW+Y4062"/>
        <s v="Y4061-WI+Y4062"/>
        <s v="Y4061-DB+Y4062"/>
        <s v="Y4061-OR+Y4062"/>
        <s v="Y4058-DB+Y4059+Y4060"/>
        <s v="Y4058-GW+Y4059+Y4060"/>
        <s v="Y4058-OR+Y4059+Y4060"/>
        <s v="Y4058-WI+Y4059+Y4060"/>
        <s v="Y4058-BL+Y4059+Y4060"/>
        <s v="Y4055-WI+Y4056+Y4057"/>
        <s v="Y4055-OR+Y4056+Y4057"/>
        <s v="Y4055-BL+Y4056+Y4057"/>
        <s v="Y4055-GW+Y4056+Y4057"/>
        <s v="Y4055-DB+Y4056+Y4057"/>
        <s v="Y4066-WI+Y4068"/>
        <s v="Y4066-DB+Y4068"/>
        <s v="Y4066-OR+Y4068"/>
        <s v="Y4066-GW+Y4068"/>
        <s v="Y4066-BL+Y4068"/>
        <s v="Y4040-BL+Y4043"/>
        <s v="Y4072-DB+Y4073+Y4074"/>
        <s v="Y4072-GW+Y4073+Y4074"/>
        <s v="Y4072-OR+Y4073+Y4074"/>
        <s v="Y4072-WI+Y4073+Y4074"/>
        <s v="Y4072-BL+Y4073+Y4074"/>
        <s v="Y4069-OR+Y4070+Y4071"/>
        <s v="Y4069-DB+Y4070+Y4071"/>
        <s v="Y4069-GW+Y4070+Y4071"/>
        <s v="Y4069-WI+Y4070+Y4071"/>
        <s v="Y4069-BL+Y4070+Y4071"/>
        <s v="Y4081-DB+Y4082+Y4083"/>
        <s v="Y4081-BL+Y4082+Y4083"/>
        <s v="Y4081-OR+Y4082+Y4083"/>
        <s v="Y4081-GW+Y4082+Y4083"/>
        <s v="Y4081-WI+Y4082+Y4083"/>
        <s v="Y4075-BL+Y4076+Y4077"/>
        <s v="Y4075-OR+Y4076+Y4077"/>
        <s v="Y4075-DB+Y4076+Y4077"/>
        <s v="Y4075-WI+Y4076+Y4077"/>
        <s v="Y4075-GW+Y4076+Y4077"/>
        <s v="Y4078-BL+Y4079+Y4080"/>
        <s v="Y4078-OR+Y4079+Y4080"/>
        <s v="Y4078-DB+Y4079+Y4080"/>
        <s v="Y4078-WI+Y4079+Y4080"/>
        <s v="Y4078-GW+Y4079+Y4080"/>
        <s v="Y4084-GW+Y4085+Y4086"/>
        <s v="Y4084-BL+Y4085+Y4086"/>
        <s v="Y4084-DB+Y4085+Y4086"/>
        <s v="Y4084-OR+Y4085+Y4086"/>
        <s v="Y4084-WI+Y4085+Y4086"/>
        <m/>
      </sharedItems>
    </cacheField>
    <cacheField name="广告ASIN" numFmtId="0">
      <sharedItems containsBlank="1" count="115">
        <s v="B09Z2LRTBX"/>
        <s v="B09Z2LPGJ6"/>
        <s v="B09Z2HZKFL"/>
        <s v="B09Z2LXWHV"/>
        <s v="B09Z2D8WZH"/>
        <s v="B09Z2MPF53"/>
        <s v="B0B8GGVJ33"/>
        <s v="B0B8G6TLSP"/>
        <s v="B0B922FH6G"/>
        <s v="B0B92WBXRV"/>
        <s v="B0B91ZFNTG"/>
        <s v="B0B92R227C"/>
        <s v="B0B992KXS5"/>
        <s v="B0B99DJ5HD"/>
        <s v="B0B99KZD25"/>
        <s v="B0B9J5R1DB"/>
        <s v="B0B9J72ZT4"/>
        <s v="B0B9J8724K"/>
        <s v="B0B993ZVJ8"/>
        <s v="B0B98WSMJL"/>
        <s v="B0B98WSY9Z"/>
        <s v="B0B8G94B8Y"/>
        <s v="B0B6R9KFC2"/>
        <s v="B0B6R9FJJ1"/>
        <s v="B0B6RDV9LL"/>
        <s v="B0B6R6H5TH"/>
        <s v="B0B6RD2YH5"/>
        <s v="B0B6R7RFJ9"/>
        <s v="B0B6R7PB9B"/>
        <s v="B0B6RC5KKN"/>
        <s v="B0B6R81F8S"/>
        <s v="B0B6R9YLJS"/>
        <s v="B0B6R8HY5B"/>
        <s v="B0B9MXFZKN"/>
        <s v="B0BB1TWPZZ"/>
        <s v="B0BB1PYZG3"/>
        <s v="B0BB1QB7MF"/>
        <s v="B0B6R6J4RR"/>
        <s v="B0B6R7CJFJ"/>
        <s v="B0BFF6MDVZ"/>
        <s v="B0BFF5ZPKD"/>
        <s v="B0BFF9KBX4"/>
        <s v="B0BFF91P8K"/>
        <s v="B0BFF7BN4T"/>
        <s v="B0BFVSX9KS"/>
        <s v="B0BFW4V3TW"/>
        <s v="B0BFVK75L4"/>
        <s v="B0BFVSRCY5"/>
        <s v="B0BFVDDTBX"/>
        <s v="B0BFVK91DN"/>
        <s v="B0BFVS3BF6"/>
        <s v="B09Z2NG737"/>
        <s v="B0B6R6Y3YS"/>
        <s v="B0BFF794MN"/>
        <s v="B0BFWD368P"/>
        <s v="B09Z2L5JZG"/>
        <s v="B09Z2L3S7V"/>
        <s v="B09Z2LQ3PL"/>
        <s v="B0B6R86DZG"/>
        <s v="B0BFF9LX79"/>
        <s v="B0B9MZT1CV"/>
        <s v="B0BKSRQVM2"/>
        <s v="B0BKSTRC1H"/>
        <s v="B0BR5K5N5D"/>
        <s v="B0BR5KSG5G"/>
        <s v="B0BR5JQD7X"/>
        <s v="B0BR5JJSRT"/>
        <s v="B0BR5K4D94"/>
        <s v="B0BR5JYZF1"/>
        <s v="B0BR5JYNWN"/>
        <s v="B0BR5JFYJ5"/>
        <s v="B0BR5JH463"/>
        <s v="B0BR5KX742"/>
        <s v="B0BR5JLT3B"/>
        <s v="B0BR5H1H36"/>
        <s v="B0BR5K255P"/>
        <s v="B0BR5GZTZB"/>
        <s v="B0BR5GYQ9M"/>
        <s v="B0BRX8HDRX"/>
        <s v="B0BRX8SS1F"/>
        <s v="B0BRX8H8BT"/>
        <s v="B0BRX92691"/>
        <s v="B0BRX7TLDB"/>
        <s v="B0BFF95ZDP"/>
        <s v="B0C3QCDN39"/>
        <s v="B0C3QCX19G"/>
        <s v="B0C3QD6SF2"/>
        <s v="B0C3QCDQ55"/>
        <s v="B0C3QDLGGH"/>
        <s v="B0C3B9J4XR"/>
        <s v="B0C3B7W6WP"/>
        <s v="B0C3B9BYRT"/>
        <s v="B0C3B993XV"/>
        <s v="B0C3B7GM6N"/>
        <s v="B0CC5X79ZC"/>
        <s v="B0CC5WH63Q"/>
        <s v="B0CC5ZY6M2"/>
        <s v="B0CC5XWD9S"/>
        <s v="B0CC5YS9SL"/>
        <s v="B0CCDF5CL8"/>
        <s v="B0CCDGR1V2"/>
        <s v="B0CCDJNY94"/>
        <s v="B0CCDGLZNL"/>
        <s v="B0CCDH39HX"/>
        <s v="B0CC96Y9PQ"/>
        <s v="B0CC971G1J"/>
        <s v="B0CC95N9XK"/>
        <s v="B0CC98YM1W"/>
        <s v="B0CC978F87"/>
        <s v="B0CC5S63XS"/>
        <s v="B0CC5VY1DQ"/>
        <s v="B0CC5RG4WJ"/>
        <s v="B0CC5QYDDY"/>
        <s v="B0CC5RY9QL"/>
        <m/>
      </sharedItems>
    </cacheField>
    <cacheField name="展示量" numFmtId="0">
      <sharedItems containsString="0" containsBlank="1" containsNumber="1" containsInteger="1" minValue="0" maxValue="7077" count="229">
        <n v="1023"/>
        <n v="160"/>
        <n v="281"/>
        <n v="287"/>
        <n v="131"/>
        <n v="617"/>
        <n v="667"/>
        <n v="5433"/>
        <n v="959"/>
        <n v="2413"/>
        <n v="898"/>
        <n v="1100"/>
        <n v="474"/>
        <n v="1814"/>
        <n v="172"/>
        <n v="163"/>
        <n v="465"/>
        <n v="199"/>
        <n v="181"/>
        <n v="450"/>
        <n v="5"/>
        <n v="27"/>
        <n v="19"/>
        <n v="18"/>
        <n v="129"/>
        <n v="1708"/>
        <n v="74"/>
        <n v="105"/>
        <n v="463"/>
        <n v="1200"/>
        <n v="14"/>
        <n v="2"/>
        <n v="16"/>
        <n v="922"/>
        <n v="303"/>
        <n v="0"/>
        <n v="1669"/>
        <n v="506"/>
        <n v="1748"/>
        <n v="414"/>
        <n v="1077"/>
        <n v="1014"/>
        <n v="1876"/>
        <n v="870"/>
        <n v="274"/>
        <n v="624"/>
        <n v="7077"/>
        <n v="4274"/>
        <n v="537"/>
        <n v="2158"/>
        <n v="2563"/>
        <n v="2138"/>
        <n v="686"/>
        <n v="4849"/>
        <n v="2205"/>
        <n v="7"/>
        <n v="80"/>
        <n v="1"/>
        <n v="6"/>
        <n v="30"/>
        <n v="522"/>
        <n v="164"/>
        <n v="797"/>
        <n v="183"/>
        <n v="441"/>
        <n v="38"/>
        <n v="349"/>
        <n v="669"/>
        <n v="94"/>
        <n v="565"/>
        <n v="296"/>
        <n v="536"/>
        <n v="4590"/>
        <n v="1330"/>
        <n v="99"/>
        <n v="501"/>
        <n v="708"/>
        <n v="252"/>
        <n v="1266"/>
        <n v="1337"/>
        <n v="513"/>
        <n v="266"/>
        <n v="744"/>
        <n v="2727"/>
        <n v="1759"/>
        <n v="966"/>
        <n v="615"/>
        <n v="88"/>
        <n v="110"/>
        <n v="1037"/>
        <n v="818"/>
        <n v="132"/>
        <n v="1249"/>
        <n v="1163"/>
        <n v="1137"/>
        <n v="768"/>
        <n v="326"/>
        <n v="387"/>
        <n v="39"/>
        <n v="42"/>
        <n v="454"/>
        <n v="339"/>
        <n v="190"/>
        <n v="232"/>
        <n v="340"/>
        <n v="1393"/>
        <n v="703"/>
        <n v="44"/>
        <n v="641"/>
        <n v="35"/>
        <n v="9"/>
        <n v="21"/>
        <n v="327"/>
        <n v="140"/>
        <n v="59"/>
        <n v="705"/>
        <n v="403"/>
        <n v="98"/>
        <n v="13"/>
        <n v="84"/>
        <n v="23"/>
        <n v="115"/>
        <n v="124"/>
        <n v="34"/>
        <n v="49"/>
        <n v="92"/>
        <n v="176"/>
        <n v="379"/>
        <n v="123"/>
        <n v="137"/>
        <n v="43"/>
        <n v="22"/>
        <n v="1183"/>
        <n v="960"/>
        <n v="113"/>
        <n v="219"/>
        <n v="2615"/>
        <n v="613"/>
        <n v="360"/>
        <n v="863"/>
        <n v="134"/>
        <n v="357"/>
        <n v="167"/>
        <n v="50"/>
        <n v="532"/>
        <n v="145"/>
        <n v="1263"/>
        <n v="348"/>
        <n v="355"/>
        <n v="66"/>
        <n v="117"/>
        <n v="853"/>
        <n v="336"/>
        <n v="305"/>
        <n v="79"/>
        <n v="635"/>
        <n v="118"/>
        <n v="32"/>
        <n v="45"/>
        <n v="65"/>
        <n v="731"/>
        <n v="201"/>
        <n v="125"/>
        <n v="1570"/>
        <n v="601"/>
        <n v="356"/>
        <n v="29"/>
        <n v="11"/>
        <n v="289"/>
        <n v="443"/>
        <n v="1901"/>
        <n v="533"/>
        <n v="3"/>
        <n v="112"/>
        <n v="95"/>
        <n v="81"/>
        <n v="63"/>
        <n v="157"/>
        <n v="70"/>
        <n v="178"/>
        <n v="52"/>
        <n v="972"/>
        <n v="560"/>
        <n v="365"/>
        <n v="243"/>
        <n v="460"/>
        <n v="230"/>
        <n v="204"/>
        <n v="418"/>
        <n v="1434"/>
        <n v="397"/>
        <n v="908"/>
        <n v="20"/>
        <n v="40"/>
        <n v="55"/>
        <n v="4"/>
        <n v="36"/>
        <n v="206"/>
        <n v="338"/>
        <n v="174"/>
        <n v="147"/>
        <n v="545"/>
        <n v="2858"/>
        <n v="2626"/>
        <n v="258"/>
        <n v="320"/>
        <n v="57"/>
        <n v="503"/>
        <n v="196"/>
        <n v="31"/>
        <n v="53"/>
        <n v="929"/>
        <n v="180"/>
        <n v="61"/>
        <n v="407"/>
        <n v="1671"/>
        <n v="1800"/>
        <n v="753"/>
        <n v="90"/>
        <n v="424"/>
        <n v="182"/>
        <n v="120"/>
        <n v="69"/>
        <n v="385"/>
        <n v="185"/>
        <n v="154"/>
        <n v="24"/>
        <n v="26"/>
        <m/>
      </sharedItems>
    </cacheField>
    <cacheField name="点击量" numFmtId="0">
      <sharedItems containsString="0" containsBlank="1" containsNumber="1" containsInteger="1" minValue="0" maxValue="80" count="30">
        <n v="12"/>
        <n v="4"/>
        <n v="7"/>
        <n v="1"/>
        <n v="0"/>
        <n v="2"/>
        <n v="80"/>
        <n v="14"/>
        <n v="47"/>
        <n v="8"/>
        <n v="15"/>
        <n v="3"/>
        <n v="13"/>
        <n v="6"/>
        <n v="5"/>
        <n v="10"/>
        <n v="17"/>
        <n v="25"/>
        <n v="19"/>
        <n v="32"/>
        <n v="22"/>
        <n v="11"/>
        <n v="24"/>
        <n v="16"/>
        <n v="36"/>
        <n v="9"/>
        <n v="21"/>
        <n v="18"/>
        <n v="28"/>
        <m/>
      </sharedItems>
    </cacheField>
    <cacheField name="点击率(CTR)" numFmtId="0">
      <sharedItems containsString="0" containsBlank="1" containsNumber="1" minValue="0" maxValue="0.272727272727273" count="201">
        <n v="0.0117302052785924"/>
        <n v="0.025"/>
        <n v="0.0249110320284698"/>
        <n v="0.00348432055749129"/>
        <n v="0"/>
        <n v="0.00648298217179903"/>
        <n v="0.00299850074962519"/>
        <n v="0.0147248297441561"/>
        <n v="0.0145985401459854"/>
        <n v="0.0194778284293411"/>
        <n v="0.0089086859688196"/>
        <n v="0.0136363636363636"/>
        <n v="0.00632911392405063"/>
        <n v="0.0071664829106946"/>
        <n v="0.0348837209302326"/>
        <n v="0.0306748466257669"/>
        <n v="0.00645161290322581"/>
        <n v="0.0150753768844221"/>
        <n v="0.0177777777777778"/>
        <n v="0.00175644028103044"/>
        <n v="0.027027027027027"/>
        <n v="0.00952380952380952"/>
        <n v="0.0259179265658747"/>
        <n v="0.0162074554294976"/>
        <n v="0.0229007633587786"/>
        <n v="0.00666666666666667"/>
        <n v="0.0714285714285714"/>
        <n v="0.1875"/>
        <n v="0.00867678958785249"/>
        <n v="0.0198019801980198"/>
        <m/>
        <n v="0.0101857399640503"/>
        <n v="0.0237154150197628"/>
        <n v="0.0143020594965675"/>
        <n v="0.0169082125603865"/>
        <n v="0.0176415970287837"/>
        <n v="0.00591715976331361"/>
        <n v="0.00426439232409382"/>
        <n v="0.00574712643678161"/>
        <n v="0.00480769230769231"/>
        <n v="0.00452168998163063"/>
        <n v="0.00514740290126345"/>
        <n v="0.00558659217877095"/>
        <n v="0.00509731232622799"/>
        <n v="0.00585251658213032"/>
        <n v="0.0112254443405051"/>
        <n v="0.0233236151603499"/>
        <n v="0.00742421117756238"/>
        <n v="0.00997732426303855"/>
        <n v="0.0232558139534884"/>
        <n v="0.0153256704980843"/>
        <n v="0.0182926829268293"/>
        <n v="0.0112923462986198"/>
        <n v="0.00546448087431694"/>
        <n v="0.00680272108843537"/>
        <n v="0.0263157894736842"/>
        <n v="0.00859598853868195"/>
        <n v="0.00149476831091181"/>
        <n v="0.0106382978723404"/>
        <n v="0.0375"/>
        <n v="0.00530973451327434"/>
        <n v="0.0167910447761194"/>
        <n v="0.0174291938997821"/>
        <n v="0.0157894736842105"/>
        <n v="0.0101010101010101"/>
        <n v="0.0179640718562874"/>
        <n v="0.0155367231638418"/>
        <n v="0.0158730158730159"/>
        <n v="0.00789889415481832"/>
        <n v="0.00299177262528048"/>
        <n v="0.0116959064327485"/>
        <n v="0.018796992481203"/>
        <n v="0.00672043010752688"/>
        <n v="0.0172350568390172"/>
        <n v="0.0102330869812393"/>
        <n v="0.0062111801242236"/>
        <n v="0.0048780487804878"/>
        <n v="0.0227272727272727"/>
        <n v="0.0272727272727273"/>
        <n v="0.00578592092574735"/>
        <n v="0.00733496332518337"/>
        <n v="0.0151515151515152"/>
        <n v="0.0144115292233787"/>
        <n v="0.00515907136715391"/>
        <n v="0.00527704485488127"/>
        <n v="0.0078125"/>
        <n v="0.0383275261324042"/>
        <n v="0.0214723926380368"/>
        <n v="0.00516795865633075"/>
        <n v="0.0512820512820513"/>
        <n v="0.0238095238095238"/>
        <n v="0.0105263157894737"/>
        <n v="0.00431034482758621"/>
        <n v="0.0176470588235294"/>
        <n v="0.00933237616654702"/>
        <n v="0.0128022759601707"/>
        <n v="0.0046801872074883"/>
        <n v="0.0285714285714286"/>
        <n v="0.111111111111111"/>
        <n v="0.0104947526236882"/>
        <n v="0.018348623853211"/>
        <n v="0.0142857142857143"/>
        <n v="0.0338983050847458"/>
        <n v="0.0141843971631206"/>
        <n v="0.00992555831265509"/>
        <n v="0.0408163265306122"/>
        <n v="0.0357142857142857"/>
        <n v="0.00869565217391304"/>
        <n v="0.00806451612903226"/>
        <n v="0.0294117647058823"/>
        <n v="0.0204081632653061"/>
        <n v="0.00263852242744063"/>
        <n v="0.00813008130081301"/>
        <n v="0.00389863547758285"/>
        <n v="0.0101437024513948"/>
        <n v="0.0104166666666667"/>
        <n v="0.00884955752212389"/>
        <n v="0.0091324200913242"/>
        <n v="0.00229445506692161"/>
        <n v="0.00489396411092985"/>
        <n v="0.00555555555555556"/>
        <n v="0.0104287369640788"/>
        <n v="0.0149253731343284"/>
        <n v="0.0331384015594542"/>
        <n v="0.030812324929972"/>
        <n v="0.029940119760479"/>
        <n v="0.02"/>
        <n v="0.0112781954887218"/>
        <n v="0.00689655172413793"/>
        <n v="0.0316091954022989"/>
        <n v="0.0110497237569061"/>
        <n v="0.0225352112676056"/>
        <n v="0.0454545454545455"/>
        <n v="0.0256410256410256"/>
        <n v="0.00937866354044549"/>
        <n v="0.00892857142857143"/>
        <n v="0.0161290322580645"/>
        <n v="0.00983606557377049"/>
        <n v="0.0126582278481013"/>
        <n v="0.0047244094488189"/>
        <n v="0.00547195622435021"/>
        <n v="0.024"/>
        <n v="0.00127388535031847"/>
        <n v="0.0249584026622296"/>
        <n v="0.00842696629213483"/>
        <n v="0.0069204152249135"/>
        <n v="0.0112866817155756"/>
        <n v="0.00894266175697002"/>
        <n v="0.00375234521575985"/>
        <n v="0.0178571428571429"/>
        <n v="0.0108695652173913"/>
        <n v="0.037037037037037"/>
        <n v="0.0254777070063694"/>
        <n v="0.0224719101123596"/>
        <n v="0.0192307692307692"/>
        <n v="0.00205761316872428"/>
        <n v="0.00357142857142857"/>
        <n v="0.00821917808219178"/>
        <n v="0.00411522633744856"/>
        <n v="0.0195652173913043"/>
        <n v="0.0130434782608696"/>
        <n v="0.00396825396825397"/>
        <n v="0.00490196078431373"/>
        <n v="0.0167464114832536"/>
        <n v="0.00563380281690141"/>
        <n v="0.0097629009762901"/>
        <n v="0.017632241813602"/>
        <n v="0.0121145374449339"/>
        <n v="0.05"/>
        <n v="0.142857142857143"/>
        <n v="0.0181818181818182"/>
        <n v="0.1"/>
        <n v="0.0145631067961165"/>
        <n v="0.0163934426229508"/>
        <n v="0.0207100591715976"/>
        <n v="0.0272108843537415"/>
        <n v="0.0036697247706422"/>
        <n v="0.00979706088173548"/>
        <n v="0.00952018278750952"/>
        <n v="0.0116279069767442"/>
        <n v="0.01875"/>
        <n v="0.00198807157057654"/>
        <n v="0.0102040816326531"/>
        <n v="0.0188679245283019"/>
        <n v="0.00322927879440258"/>
        <n v="0.0172413793103448"/>
        <n v="0.0388888888888889"/>
        <n v="0.0769230769230769"/>
        <n v="0.0245700245700246"/>
        <n v="0.0082815734989648"/>
        <n v="0.00837821663674446"/>
        <n v="0.0138888888888889"/>
        <n v="0.0159362549800797"/>
        <n v="0.0199004975124378"/>
        <n v="0.0165094339622642"/>
        <n v="0.0274725274725275"/>
        <n v="0.0218978102189781"/>
        <n v="0.0289855072463768"/>
        <n v="0.0103896103896104"/>
        <n v="0.025974025974026"/>
        <n v="0.272727272727273"/>
      </sharedItems>
    </cacheField>
    <cacheField name="每次点击成本(CPC)" numFmtId="0">
      <sharedItems containsString="0" containsBlank="1" containsNumber="1" minValue="0" maxValue="0.56" count="154">
        <n v="0.456666666666667"/>
        <n v="0.44"/>
        <n v="0.397142857142857"/>
        <n v="0.46"/>
        <m/>
        <n v="0.3525"/>
        <n v="0.385"/>
        <n v="0.4945"/>
        <n v="0.445"/>
        <n v="0.434042553191489"/>
        <n v="0.3925"/>
        <n v="0.237333333333333"/>
        <n v="0.283333333333333"/>
        <n v="0.250769230769231"/>
        <n v="0.268333333333333"/>
        <n v="0.308"/>
        <n v="0.446666666666667"/>
        <n v="0.18"/>
        <n v="0.30375"/>
        <n v="0.226666666666667"/>
        <n v="0.12"/>
        <n v="0.36"/>
        <n v="0.338333333333333"/>
        <n v="0.348"/>
        <n v="0.41"/>
        <n v="0.4175"/>
        <n v="0.53"/>
        <n v="0.34"/>
        <n v="0.31"/>
        <n v="0.347058823529412"/>
        <n v="0.363333333333333"/>
        <n v="0.3824"/>
        <n v="0.385714285714286"/>
        <n v="0.339473684210526"/>
        <n v="0.39"/>
        <n v="0.3025"/>
        <n v="0.24"/>
        <n v="0.3275"/>
        <n v="0.303333333333333"/>
        <n v="0.469375"/>
        <n v="0.435909090909091"/>
        <n v="0.436666666666667"/>
        <n v="0.431818181818182"/>
        <n v="0.353333333333333"/>
        <n v="0.377083333333333"/>
        <n v="0.3825"/>
        <n v="0.398888888888889"/>
        <n v="0.397272727272727"/>
        <n v="0.0625"/>
        <n v="0.4325"/>
        <n v="0.423333333333333"/>
        <n v="0.48"/>
        <n v="0.38"/>
        <n v="0.51"/>
        <n v="0.403333333333333"/>
        <n v="0.345555555555556"/>
        <n v="0.535625"/>
        <n v="0.545714285714286"/>
        <n v="0.42"/>
        <n v="0.327777777777778"/>
        <n v="0.332727272727273"/>
        <n v="0.355"/>
        <n v="0.296"/>
        <n v="0.3325"/>
        <n v="0.343333333333333"/>
        <n v="0.472"/>
        <n v="0.476595744680851"/>
        <n v="0.402777777777778"/>
        <n v="0.256666666666667"/>
        <n v="0.33"/>
        <n v="0.25"/>
        <n v="0.415"/>
        <n v="0.375"/>
        <n v="0.465"/>
        <n v="0.478333333333333"/>
        <n v="0.501666666666667"/>
        <n v="0.293333333333333"/>
        <n v="0.333636363636364"/>
        <n v="0.332857142857143"/>
        <n v="0.405"/>
        <n v="0.26"/>
        <n v="0.28"/>
        <n v="0.45"/>
        <n v="0.371666666666667"/>
        <n v="0.444615384615385"/>
        <n v="0.413333333333333"/>
        <n v="0.4"/>
        <n v="0.213333333333333"/>
        <n v="0.13"/>
        <n v="0.384285714285714"/>
        <n v="0.323333333333333"/>
        <n v="0.29"/>
        <n v="0.439"/>
        <n v="0.395"/>
        <n v="0.386666666666667"/>
        <n v="0.11"/>
        <n v="0.2"/>
        <n v="0.35"/>
        <n v="0.4575"/>
        <n v="0.16"/>
        <n v="0.466666666666667"/>
        <n v="0.316666666666667"/>
        <n v="0.315555555555556"/>
        <n v="0.085"/>
        <n v="0.318181818181818"/>
        <n v="0.316"/>
        <n v="0.356666666666667"/>
        <n v="0.396666666666667"/>
        <n v="0.350909090909091"/>
        <n v="0.3075"/>
        <n v="0.44375"/>
        <n v="0.5"/>
        <n v="0.416666666666667"/>
        <n v="0.2075"/>
        <n v="0.3775"/>
        <n v="0.364666666666667"/>
        <n v="0.32"/>
        <n v="0.462"/>
        <n v="0.405882352941176"/>
        <n v="0.37"/>
        <n v="0.346666666666667"/>
        <n v="0.3575"/>
        <n v="0.383333333333333"/>
        <n v="0.406666666666667"/>
        <n v="0.27"/>
        <n v="0.506666666666667"/>
        <n v="0.523333333333333"/>
        <n v="0.56"/>
        <n v="0.355714285714286"/>
        <n v="0.438571428571429"/>
        <n v="0.382857142857143"/>
        <n v="0.441818181818182"/>
        <n v="0.3425"/>
        <n v="0.526666666666667"/>
        <n v="0.49"/>
        <n v="0.497142857142857"/>
        <n v="0.4825"/>
        <n v="0.381785714285714"/>
        <n v="0.3768"/>
        <n v="0.483333333333333"/>
        <n v="0.285"/>
        <n v="0.47"/>
        <n v="0.443333333333333"/>
        <n v="0.345714285714286"/>
        <n v="0.3975"/>
        <n v="0.447"/>
        <n v="0.33375"/>
        <n v="0.3132"/>
        <n v="0.4075"/>
        <n v="0.3375"/>
        <n v="0.292857142857143"/>
        <n v="0.392"/>
        <n v="0.275"/>
        <n v="0.315"/>
      </sharedItems>
    </cacheField>
    <cacheField name="花费" numFmtId="0">
      <sharedItems containsString="0" containsBlank="1" containsNumber="1" minValue="0" maxValue="42.85" count="171">
        <n v="5.48"/>
        <n v="1.76"/>
        <n v="2.78"/>
        <n v="0.46"/>
        <n v="0"/>
        <n v="1.41"/>
        <n v="0.77"/>
        <n v="39.56"/>
        <n v="6.23"/>
        <n v="20.4"/>
        <n v="3.14"/>
        <n v="3.56"/>
        <n v="0.85"/>
        <n v="3.26"/>
        <n v="1.61"/>
        <n v="1.54"/>
        <n v="1.34"/>
        <n v="0.54"/>
        <n v="2.43"/>
        <n v="0.68"/>
        <n v="0.24"/>
        <n v="0.36"/>
        <n v="4.06"/>
        <n v="3.48"/>
        <n v="1.23"/>
        <n v="3.34"/>
        <n v="0.53"/>
        <n v="2.72"/>
        <n v="1.86"/>
        <n v="5.9"/>
        <n v="4.36"/>
        <n v="9.56"/>
        <n v="2.7"/>
        <n v="6.45"/>
        <n v="2.34"/>
        <n v="2.42"/>
        <n v="1.2"/>
        <n v="1.31"/>
        <n v="0.91"/>
        <n v="15.02"/>
        <n v="9.59"/>
        <n v="4.75"/>
        <n v="5.3"/>
        <n v="9.05"/>
        <n v="6.12"/>
        <n v="14.36"/>
        <n v="8.74"/>
        <n v="0.25"/>
        <n v="3.46"/>
        <n v="3.81"/>
        <n v="0.48"/>
        <n v="0.38"/>
        <n v="1.44"/>
        <n v="0.34"/>
        <n v="0.51"/>
        <n v="1.21"/>
        <n v="1.06"/>
        <n v="3.11"/>
        <n v="42.85"/>
        <n v="11.46"/>
        <n v="0.42"/>
        <n v="2.95"/>
        <n v="3.66"/>
        <n v="1.42"/>
        <n v="2.96"/>
        <n v="1.33"/>
        <n v="2.06"/>
        <n v="1.74"/>
        <n v="2.36"/>
        <n v="22.4"/>
        <n v="7.25"/>
        <n v="2.52"/>
        <n v="0.66"/>
        <n v="0.75"/>
        <n v="2.49"/>
        <n v="2.25"/>
        <n v="0.93"/>
        <n v="7.92"/>
        <n v="2.87"/>
        <n v="3.01"/>
        <n v="3.67"/>
        <n v="2.33"/>
        <n v="0.81"/>
        <n v="0.52"/>
        <n v="0.28"/>
        <n v="0.82"/>
        <n v="0.45"/>
        <n v="2.23"/>
        <n v="5.78"/>
        <n v="3.72"/>
        <n v="0.4"/>
        <n v="0.64"/>
        <n v="0.13"/>
        <n v="2.69"/>
        <n v="1.94"/>
        <n v="0.58"/>
        <n v="0.8"/>
        <n v="4.39"/>
        <n v="1.57"/>
        <n v="1.58"/>
        <n v="1.16"/>
        <n v="0.33"/>
        <n v="0.11"/>
        <n v="0.2"/>
        <n v="0.35"/>
        <n v="0.9"/>
        <n v="5.49"/>
        <n v="0.16"/>
        <n v="2.8"/>
        <n v="0.95"/>
        <n v="2.84"/>
        <n v="0.17"/>
        <n v="4.93"/>
        <n v="3.5"/>
        <n v="0.39"/>
        <n v="2.14"/>
        <n v="1.19"/>
        <n v="3.86"/>
        <n v="2.46"/>
        <n v="1.08"/>
        <n v="1.24"/>
        <n v="3.55"/>
        <n v="1.26"/>
        <n v="0.5"/>
        <n v="1.25"/>
        <n v="0.83"/>
        <n v="1.14"/>
        <n v="1.51"/>
        <n v="0.71"/>
        <n v="5.47"/>
        <n v="1.09"/>
        <n v="2.31"/>
        <n v="6.9"/>
        <n v="0.37"/>
        <n v="1.04"/>
        <n v="1.43"/>
        <n v="1.5"/>
        <n v="1.15"/>
        <n v="1.22"/>
        <n v="0.27"/>
        <n v="4.56"/>
        <n v="0.56"/>
        <n v="1"/>
        <n v="6.14"/>
        <n v="2.68"/>
        <n v="4.86"/>
        <n v="1.53"/>
        <n v="1.37"/>
        <n v="1.47"/>
        <n v="1.93"/>
        <n v="10.69"/>
        <n v="9.42"/>
        <n v="1.45"/>
        <n v="1.71"/>
        <n v="0.47"/>
        <n v="0.44"/>
        <n v="0.49"/>
        <n v="1.59"/>
        <n v="4.47"/>
        <n v="2.67"/>
        <n v="5.39"/>
        <n v="7.83"/>
        <n v="4.89"/>
        <n v="1.35"/>
        <n v="2.05"/>
        <n v="1.96"/>
        <n v="2.66"/>
        <n v="0.55"/>
        <n v="0.63"/>
        <n v="0.97"/>
        <m/>
      </sharedItems>
    </cacheField>
    <cacheField name="7天总销售额" numFmtId="0">
      <sharedItems containsString="0" containsBlank="1" containsNumber="1" minValue="0" maxValue="402.69" count="13">
        <n v="12.99"/>
        <n v="0"/>
        <n v="142.78"/>
        <n v="77.94"/>
        <n v="402.69"/>
        <n v="25.98"/>
        <n v="51.96"/>
        <n v="155.88"/>
        <n v="38.97"/>
        <n v="12.88"/>
        <n v="64.95"/>
        <n v="12.66"/>
        <m/>
      </sharedItems>
    </cacheField>
    <cacheField name="广告成本销售比(ACOS)" numFmtId="0">
      <sharedItems containsString="0" containsBlank="1" containsNumber="1" minValue="0" maxValue="0.882217090069284" count="66">
        <n v="0.421862971516551"/>
        <m/>
        <n v="0.21401077752117"/>
        <n v="0.277069617593501"/>
        <n v="0.479599692070824"/>
        <n v="0.261739799846035"/>
        <n v="0.00884054731927786"/>
        <n v="0.0619707467282525"/>
        <n v="0.312548113933795"/>
        <n v="0.257120862201694"/>
        <n v="0.227097767513472"/>
        <n v="0.367975365665897"/>
        <n v="0.103926096997691"/>
        <n v="0.248267898383372"/>
        <n v="0.18013856812933"/>
        <n v="0.100846805234796"/>
        <n v="0.578137028483449"/>
        <n v="0.184565050038491"/>
        <n v="0.365665896843726"/>
        <n v="0.204003079291763"/>
        <n v="0.696689761354889"/>
        <n v="0.552732871439569"/>
        <n v="0.336412625096228"/>
        <n v="0.266358737490377"/>
        <n v="0.146651270207852"/>
        <n v="0.274890941750064"/>
        <n v="0.882217090069284"/>
        <n v="0.075699255837824"/>
        <n v="0.140877598152425"/>
        <n v="0.102386451116243"/>
        <n v="0.158583525789069"/>
        <n v="0.181678214010778"/>
        <n v="0.574801129073646"/>
        <n v="0.279060816012317"/>
        <n v="0.0577367205542725"/>
        <n v="0.609699769053118"/>
        <n v="0.220939183987683"/>
        <n v="0.231716705157814"/>
        <n v="0.179368745188607"/>
        <n v="0.286374133949192"/>
        <n v="0.0492686682063126"/>
        <n v="0.207082371054657"/>
        <n v="0.0134719014626636"/>
        <n v="0.0698757763975155"/>
        <n v="0.211316397228637"/>
        <n v="0.215550423402617"/>
        <n v="0.189761354888376"/>
        <n v="0.269438029253272"/>
        <n v="0.0916089299461124"/>
        <n v="0.297151655119323"/>
        <n v="0.189376443418014"/>
        <n v="0.0831408775981524"/>
        <n v="0.0638953040800616"/>
        <n v="0.0877598152424942"/>
        <n v="0.210546574287914"/>
        <n v="0.115473441108545"/>
        <n v="0.191685912240185"/>
        <n v="0.206312548113934"/>
        <n v="0.0153964588144727"/>
        <n v="0.121632024634334"/>
        <n v="0.0535796766743649"/>
        <n v="0.744075829383886"/>
        <n v="0.414934565050038"/>
        <n v="0.602771362586605"/>
        <n v="0.157813702848345"/>
        <n v="0.150885296381832"/>
      </sharedItems>
    </cacheField>
    <cacheField name="投入产出比(ROAS)" numFmtId="0">
      <sharedItems containsString="0" containsBlank="1" containsNumber="1" minValue="0" maxValue="113.115168539326" count="67">
        <n v="2.37043795620438"/>
        <n v="0"/>
        <n v="4.6726618705036"/>
        <m/>
        <n v="3.60920121334681"/>
        <n v="2.08507223113965"/>
        <n v="3.82058823529412"/>
        <n v="113.115168539326"/>
        <n v="16.1366459627329"/>
        <n v="3.19950738916256"/>
        <n v="3.88922155688623"/>
        <n v="4.40338983050847"/>
        <n v="2.71757322175732"/>
        <n v="9.62222222222222"/>
        <n v="4.02790697674419"/>
        <n v="5.55128205128205"/>
        <n v="9.91603053435115"/>
        <n v="1.72969374167776"/>
        <n v="5.41814389989572"/>
        <n v="2.73473684210526"/>
        <n v="4.90188679245283"/>
        <n v="1.4353591160221"/>
        <n v="1.8091922005571"/>
        <n v="2.97254004576659"/>
        <n v="3.75433526011561"/>
        <n v="6.81889763779528"/>
        <n v="3.63780630105017"/>
        <n v="1.13350785340314"/>
        <n v="13.2101694915254"/>
        <n v="7.0983606557377"/>
        <n v="9.76691729323308"/>
        <n v="6.30582524271845"/>
        <n v="5.50423728813559"/>
        <n v="1.73973214285714"/>
        <n v="3.58344827586207"/>
        <n v="17.32"/>
        <n v="1.64015151515151"/>
        <n v="4.52613240418119"/>
        <n v="4.3156146179402"/>
        <n v="5.57510729613734"/>
        <n v="3.49193548387097"/>
        <n v="20.296875"/>
        <n v="4.82899628252788"/>
        <n v="74.2285714285714"/>
        <n v="14.3111111111111"/>
        <n v="4.73224043715847"/>
        <n v="4.63928571428571"/>
        <n v="5.26977687626775"/>
        <n v="3.71142857142857"/>
        <n v="10.9159663865546"/>
        <n v="3.36528497409326"/>
        <n v="5.28048780487805"/>
        <n v="12.0277777777778"/>
        <n v="15.6506024096386"/>
        <n v="11.3947368421053"/>
        <n v="4.74954296160878"/>
        <n v="8.66"/>
        <n v="5.21686746987952"/>
        <n v="4.84701492537314"/>
        <n v="64.95"/>
        <n v="8.22151898734177"/>
        <n v="18.6637931034483"/>
        <n v="1.34394904458599"/>
        <n v="2.4100185528757"/>
        <n v="1.65900383141762"/>
        <n v="6.33658536585366"/>
        <n v="6.62755102040816"/>
      </sharedItems>
    </cacheField>
    <cacheField name="7天总订单数(#)" numFmtId="0">
      <sharedItems containsString="0" containsBlank="1" containsNumber="1" containsInteger="1" minValue="0" maxValue="12" count="10">
        <n v="1"/>
        <n v="0"/>
        <n v="10"/>
        <n v="6"/>
        <n v="4"/>
        <n v="2"/>
        <n v="12"/>
        <n v="3"/>
        <n v="5"/>
        <m/>
      </sharedItems>
    </cacheField>
    <cacheField name="7天总销售量(#)" numFmtId="0">
      <sharedItems containsString="0" containsBlank="1" containsNumber="1" containsInteger="1" minValue="0" maxValue="31" count="11">
        <n v="1"/>
        <n v="0"/>
        <n v="11"/>
        <n v="6"/>
        <n v="31"/>
        <n v="2"/>
        <n v="4"/>
        <n v="12"/>
        <n v="3"/>
        <n v="5"/>
        <m/>
      </sharedItems>
    </cacheField>
    <cacheField name="7天的转化率" numFmtId="0">
      <sharedItems containsString="0" containsBlank="1" containsNumber="1" minValue="0" maxValue="2" count="31">
        <n v="0.0833333333333333"/>
        <n v="0"/>
        <n v="0.142857142857143"/>
        <m/>
        <n v="0.125"/>
        <n v="0.0714285714285714"/>
        <n v="0.127659574468085"/>
        <n v="0.266666666666667"/>
        <n v="0.166666666666667"/>
        <n v="0.117647058823529"/>
        <n v="0.08"/>
        <n v="0.285714285714286"/>
        <n v="0.105263157894737"/>
        <n v="0.25"/>
        <n v="0.0625"/>
        <n v="0.181818181818182"/>
        <n v="0.333333333333333"/>
        <n v="0.0909090909090909"/>
        <n v="0.133333333333333"/>
        <n v="0.0416666666666667"/>
        <n v="0.0555555555555556"/>
        <n v="0.222222222222222"/>
        <n v="0.15"/>
        <n v="0.0476190476190476"/>
        <n v="0.2"/>
        <n v="0.0638297872340425"/>
        <n v="0.111111111111111"/>
        <n v="2"/>
        <n v="0.5"/>
        <n v="0.714285714285714"/>
        <n v="0.04"/>
      </sharedItems>
    </cacheField>
    <cacheField name="7天内广告SKU销售量(#)" numFmtId="0">
      <sharedItems containsString="0" containsBlank="1" containsNumber="1" containsInteger="1" minValue="0" maxValue="8" count="6">
        <n v="1"/>
        <n v="0"/>
        <n v="3"/>
        <n v="2"/>
        <n v="8"/>
        <m/>
      </sharedItems>
    </cacheField>
    <cacheField name="7天内其他SKU销售量(#)" numFmtId="0">
      <sharedItems containsString="0" containsBlank="1" containsNumber="1" containsInteger="1" minValue="0" maxValue="30" count="8">
        <n v="0"/>
        <n v="1"/>
        <n v="8"/>
        <n v="4"/>
        <n v="30"/>
        <n v="2"/>
        <n v="3"/>
        <m/>
      </sharedItems>
    </cacheField>
    <cacheField name="7天内广告SKU销售额" numFmtId="0">
      <sharedItems containsString="0" containsBlank="1" containsNumber="1" minValue="0" maxValue="103.92" count="7">
        <n v="12.99"/>
        <n v="0"/>
        <n v="38.97"/>
        <n v="25.98"/>
        <n v="103.92"/>
        <n v="12.88"/>
        <m/>
      </sharedItems>
    </cacheField>
    <cacheField name="7天内其他SKU销售额" numFmtId="0">
      <sharedItems containsString="0" containsBlank="1" containsNumber="1" minValue="0" maxValue="389.7" count="9">
        <n v="0"/>
        <n v="12.99"/>
        <n v="103.81"/>
        <n v="51.96"/>
        <n v="389.7"/>
        <n v="25.98"/>
        <n v="38.97"/>
        <n v="12.66"/>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26.xml><?xml version="1.0" encoding="utf-8"?>
<pivotCacheDefinition xmlns="http://schemas.openxmlformats.org/spreadsheetml/2006/main" xmlns:r="http://schemas.openxmlformats.org/officeDocument/2006/relationships" r:id="rId1" createdVersion="5" refreshedVersion="5" minRefreshableVersion="3" refreshedDate="45219.5915625" refreshedBy="Administrator" recordCount="310">
  <cacheSource type="worksheet">
    <worksheetSource ref="G1:W1048576" sheet="广告10.04-10.18" r:id="rId2"/>
  </cacheSource>
  <cacheFields count="19">
    <cacheField name="广告SKU" numFmtId="0">
      <sharedItems containsBlank="1" count="115">
        <s v="Y4013-OR+Y4016+Y4019"/>
        <s v="Y4011-OR+Y4014+Y4017"/>
        <s v="Y4012-OR+Y4015+Y4018"/>
        <s v="Y4012-DB+Y4015+Y4018"/>
        <s v="Y4011-BL+Y4014+Y4017"/>
        <s v="Y4011-DB+Y4014+Y4017"/>
        <s v="Y4039-BL+Y4042+Y4045"/>
        <s v="Y4039-DB+Y4042+Y4045"/>
        <s v="Y4033-OR"/>
        <s v="Y4033-DG"/>
        <s v="Y4032-DB"/>
        <s v="Y4033-LP"/>
        <s v="Y4035-WHB"/>
        <s v="Y4035-GR"/>
        <s v="Y4035-PU"/>
        <s v="Y4036-BL"/>
        <s v="Y4036-OR"/>
        <s v="Y4036-DB"/>
        <s v="Y4037-GR"/>
        <s v="Y4037-BL"/>
        <s v="Y4037-GO"/>
        <s v="Y4039-OR+Y4042+Y4045"/>
        <s v="Y4023-OR+Y4027+Y4031"/>
        <s v="Y4023-DB+Y4027+Y4031"/>
        <s v="Y4023-WB+Y4027+Y4031"/>
        <s v="Y4020-BL+Y4024+Y4028"/>
        <s v="Y4020-OR+Y4024+Y4028"/>
        <s v="Y4022-BL+Y4026+Y4030"/>
        <s v="Y4022-WB+Y4026+Y4030"/>
        <s v="Y4021-OR+Y4025+Y4029"/>
        <s v="Y4021-DB+Y4025+Y4029"/>
        <s v="Y4021-BL+Y4025+Y4029"/>
        <s v="Y4022-OR+Y4026+Y4030"/>
        <s v="Y4023-WI+Y4027+Y4031"/>
        <s v="Y4038-BL"/>
        <s v="Y4038-OR"/>
        <s v="Y4038-DB"/>
        <s v="Y4022-DB+Y4026+Y4030"/>
        <s v="Y4020-DB+Y4024+Y4028"/>
        <s v="Y4040-OR+Y4043"/>
        <s v="Y4040-DB+Y4043"/>
        <s v="Y4040-WI+Y4043"/>
        <s v="Y4041-BL+Y4044"/>
        <s v="Y4041-OR+Y4044"/>
        <s v="Y4053-BL+Y4054+Y4049"/>
        <s v="Y4053-OR+Y4054+Y4049"/>
        <s v="Y4053-DB+Y4054+Y4049"/>
        <s v="Y4050-OR+Y4051+Y4052"/>
        <s v="Y4050-DB+Y4051+Y4052"/>
        <s v="Y4050-BL+Y4051+Y4052"/>
        <s v="Y4053-WI+Y4054+Y4049"/>
        <s v="Y4013-BL+Y4016+Y4019"/>
        <s v="Y4020-GW+Y4024+Y4028"/>
        <s v="Y4041-WB+Y4044"/>
        <s v="Y4050-WI+Y4051+Y4052"/>
        <s v="Y4013-DB+Y4016+Y4019"/>
        <s v="Y4012-BL+Y4015+Y4018"/>
        <s v="Y4012-PB+Y4015+Y4018"/>
        <s v="Y4020-WB+Y4024+Y4028"/>
        <s v="Y4041-WI+Y4044"/>
        <s v="Y4020-WI+Y4024+Y4028"/>
        <s v="Y4063-BL+Y4064+Y4065"/>
        <s v="Y4063-OR+Y4064+Y4065"/>
        <s v="Y4061-BL+Y4062"/>
        <s v="Y4061-GW+Y4062"/>
        <s v="Y4061-WI+Y4062"/>
        <s v="Y4061-DB+Y4062"/>
        <s v="Y4061-OR+Y4062"/>
        <s v="Y4058-DB+Y4059+Y4060"/>
        <s v="Y4058-GW+Y4059+Y4060"/>
        <s v="Y4058-OR+Y4059+Y4060"/>
        <s v="Y4058-WI+Y4059+Y4060"/>
        <s v="Y4058-BL+Y4059+Y4060"/>
        <s v="Y4055-WI+Y4056+Y4057"/>
        <s v="Y4055-OR+Y4056+Y4057"/>
        <s v="Y4055-BL+Y4056+Y4057"/>
        <s v="Y4055-GW+Y4056+Y4057"/>
        <s v="Y4055-DB+Y4056+Y4057"/>
        <s v="Y4066-WI+Y4068"/>
        <s v="Y4066-DB+Y4068"/>
        <s v="Y4066-OR+Y4068"/>
        <s v="Y4066-GW+Y4068"/>
        <s v="Y4066-BL+Y4068"/>
        <s v="Y4040-BL+Y4043"/>
        <s v="Y4072-DB+Y4073+Y4074"/>
        <s v="Y4072-GW+Y4073+Y4074"/>
        <s v="Y4072-OR+Y4073+Y4074"/>
        <s v="Y4072-WI+Y4073+Y4074"/>
        <s v="Y4072-BL+Y4073+Y4074"/>
        <s v="Y4069-OR+Y4070+Y4071"/>
        <s v="Y4069-DB+Y4070+Y4071"/>
        <s v="Y4069-GW+Y4070+Y4071"/>
        <s v="Y4069-WI+Y4070+Y4071"/>
        <s v="Y4069-BL+Y4070+Y4071"/>
        <s v="Y4081-DB+Y4082+Y4083"/>
        <s v="Y4081-BL+Y4082+Y4083"/>
        <s v="Y4081-OR+Y4082+Y4083"/>
        <s v="Y4081-GW+Y4082+Y4083"/>
        <s v="Y4081-WI+Y4082+Y4083"/>
        <s v="Y4075-BL+Y4076+Y4077"/>
        <s v="Y4075-OR+Y4076+Y4077"/>
        <s v="Y4075-DB+Y4076+Y4077"/>
        <s v="Y4075-WI+Y4076+Y4077"/>
        <s v="Y4075-GW+Y4076+Y4077"/>
        <s v="Y4078-BL+Y4079+Y4080"/>
        <s v="Y4078-OR+Y4079+Y4080"/>
        <s v="Y4078-DB+Y4079+Y4080"/>
        <s v="Y4078-WI+Y4079+Y4080"/>
        <s v="Y4078-GW+Y4079+Y4080"/>
        <s v="Y4084-GW+Y4085+Y4086"/>
        <s v="Y4084-BL+Y4085+Y4086"/>
        <s v="Y4084-DB+Y4085+Y4086"/>
        <s v="Y4084-OR+Y4085+Y4086"/>
        <s v="Y4084-WI+Y4085+Y4086"/>
        <m/>
      </sharedItems>
    </cacheField>
    <cacheField name="广告ASIN" numFmtId="0">
      <sharedItems containsBlank="1" count="115">
        <s v="B09Z2LRTBX"/>
        <s v="B09Z2LPGJ6"/>
        <s v="B09Z2HZKFL"/>
        <s v="B09Z2LXWHV"/>
        <s v="B09Z2D8WZH"/>
        <s v="B09Z2MPF53"/>
        <s v="B0B8GGVJ33"/>
        <s v="B0B8G6TLSP"/>
        <s v="B0B922FH6G"/>
        <s v="B0B92WBXRV"/>
        <s v="B0B91ZFNTG"/>
        <s v="B0B92R227C"/>
        <s v="B0B992KXS5"/>
        <s v="B0B99DJ5HD"/>
        <s v="B0B99KZD25"/>
        <s v="B0B9J5R1DB"/>
        <s v="B0B9J72ZT4"/>
        <s v="B0B9J8724K"/>
        <s v="B0B993ZVJ8"/>
        <s v="B0B98WSMJL"/>
        <s v="B0B98WSY9Z"/>
        <s v="B0B8G94B8Y"/>
        <s v="B0B6R9KFC2"/>
        <s v="B0B6R9FJJ1"/>
        <s v="B0B6RDV9LL"/>
        <s v="B0B6R6H5TH"/>
        <s v="B0B6RD2YH5"/>
        <s v="B0B6R7RFJ9"/>
        <s v="B0B6R7PB9B"/>
        <s v="B0B6RC5KKN"/>
        <s v="B0B6R81F8S"/>
        <s v="B0B6R9YLJS"/>
        <s v="B0B6R8HY5B"/>
        <s v="B0B9MXFZKN"/>
        <s v="B0BB1TWPZZ"/>
        <s v="B0BB1PYZG3"/>
        <s v="B0BB1QB7MF"/>
        <s v="B0B6R6J4RR"/>
        <s v="B0B6R7CJFJ"/>
        <s v="B0BFF6MDVZ"/>
        <s v="B0BFF5ZPKD"/>
        <s v="B0BFF9KBX4"/>
        <s v="B0BFF91P8K"/>
        <s v="B0BFF7BN4T"/>
        <s v="B0BFVSX9KS"/>
        <s v="B0BFW4V3TW"/>
        <s v="B0BFVK75L4"/>
        <s v="B0BFVSRCY5"/>
        <s v="B0BFVDDTBX"/>
        <s v="B0BFVK91DN"/>
        <s v="B0BFVS3BF6"/>
        <s v="B09Z2NG737"/>
        <s v="B0B6R6Y3YS"/>
        <s v="B0BFF794MN"/>
        <s v="B0BFWD368P"/>
        <s v="B09Z2L5JZG"/>
        <s v="B09Z2L3S7V"/>
        <s v="B09Z2LQ3PL"/>
        <s v="B0B6R86DZG"/>
        <s v="B0BFF9LX79"/>
        <s v="B0B9MZT1CV"/>
        <s v="B0BKSRQVM2"/>
        <s v="B0BKSTRC1H"/>
        <s v="B0BR5K5N5D"/>
        <s v="B0BR5KSG5G"/>
        <s v="B0BR5JQD7X"/>
        <s v="B0BR5JJSRT"/>
        <s v="B0BR5K4D94"/>
        <s v="B0BR5JYZF1"/>
        <s v="B0BR5JYNWN"/>
        <s v="B0BR5JFYJ5"/>
        <s v="B0BR5JH463"/>
        <s v="B0BR5KX742"/>
        <s v="B0BR5JLT3B"/>
        <s v="B0BR5H1H36"/>
        <s v="B0BR5K255P"/>
        <s v="B0BR5GZTZB"/>
        <s v="B0BR5GYQ9M"/>
        <s v="B0BRX8HDRX"/>
        <s v="B0BRX8SS1F"/>
        <s v="B0BRX8H8BT"/>
        <s v="B0BRX92691"/>
        <s v="B0BRX7TLDB"/>
        <s v="B0BFF95ZDP"/>
        <s v="B0C3QCDN39"/>
        <s v="B0C3QCX19G"/>
        <s v="B0C3QD6SF2"/>
        <s v="B0C3QCDQ55"/>
        <s v="B0C3QDLGGH"/>
        <s v="B0C3B9J4XR"/>
        <s v="B0C3B7W6WP"/>
        <s v="B0C3B9BYRT"/>
        <s v="B0C3B993XV"/>
        <s v="B0C3B7GM6N"/>
        <s v="B0CC5X79ZC"/>
        <s v="B0CC5WH63Q"/>
        <s v="B0CC5ZY6M2"/>
        <s v="B0CC5XWD9S"/>
        <s v="B0CC5YS9SL"/>
        <s v="B0CCDF5CL8"/>
        <s v="B0CCDGR1V2"/>
        <s v="B0CCDJNY94"/>
        <s v="B0CCDGLZNL"/>
        <s v="B0CCDH39HX"/>
        <s v="B0CC96Y9PQ"/>
        <s v="B0CC971G1J"/>
        <s v="B0CC95N9XK"/>
        <s v="B0CC98YM1W"/>
        <s v="B0CC978F87"/>
        <s v="B0CC5S63XS"/>
        <s v="B0CC5VY1DQ"/>
        <s v="B0CC5RG4WJ"/>
        <s v="B0CC5QYDDY"/>
        <s v="B0CC5RY9QL"/>
        <m/>
      </sharedItems>
    </cacheField>
    <cacheField name="展示量" numFmtId="0">
      <sharedItems containsString="0" containsBlank="1" containsNumber="1" containsInteger="1" minValue="0" maxValue="15292" count="261">
        <n v="1629"/>
        <n v="310"/>
        <n v="698"/>
        <n v="847"/>
        <n v="266"/>
        <n v="1268"/>
        <n v="1198"/>
        <n v="9993"/>
        <n v="1673"/>
        <n v="5029"/>
        <n v="2058"/>
        <n v="2304"/>
        <n v="836"/>
        <n v="3474"/>
        <n v="368"/>
        <n v="430"/>
        <n v="1151"/>
        <n v="336"/>
        <n v="338"/>
        <n v="1206"/>
        <n v="10"/>
        <n v="28"/>
        <n v="27"/>
        <n v="40"/>
        <n v="218"/>
        <n v="3768"/>
        <n v="207"/>
        <n v="181"/>
        <n v="813"/>
        <n v="839"/>
        <n v="289"/>
        <n v="2089"/>
        <n v="15"/>
        <n v="37"/>
        <n v="7"/>
        <n v="2"/>
        <n v="25"/>
        <n v="1668"/>
        <n v="673"/>
        <n v="0"/>
        <n v="3"/>
        <n v="3201"/>
        <n v="1091"/>
        <n v="4029"/>
        <n v="1053"/>
        <n v="2043"/>
        <n v="2020"/>
        <n v="2992"/>
        <n v="1357"/>
        <n v="472"/>
        <n v="887"/>
        <n v="15292"/>
        <n v="7128"/>
        <n v="1132"/>
        <n v="3544"/>
        <n v="3897"/>
        <n v="6274"/>
        <n v="1052"/>
        <n v="6553"/>
        <n v="3334"/>
        <n v="14"/>
        <n v="9"/>
        <n v="19"/>
        <n v="118"/>
        <n v="1"/>
        <n v="8"/>
        <n v="467"/>
        <n v="1065"/>
        <n v="588"/>
        <n v="2167"/>
        <n v="309"/>
        <n v="1047"/>
        <n v="81"/>
        <n v="80"/>
        <n v="1088"/>
        <n v="862"/>
        <n v="157"/>
        <n v="121"/>
        <n v="1379"/>
        <n v="674"/>
        <n v="1181"/>
        <n v="8746"/>
        <n v="2592"/>
        <n v="282"/>
        <n v="1287"/>
        <n v="1973"/>
        <n v="766"/>
        <n v="3846"/>
        <n v="1724"/>
        <n v="1093"/>
        <n v="513"/>
        <n v="1559"/>
        <n v="5348"/>
        <n v="5374"/>
        <n v="2343"/>
        <n v="433"/>
        <n v="194"/>
        <n v="1596"/>
        <n v="2595"/>
        <n v="178"/>
        <n v="1806"/>
        <n v="2373"/>
        <n v="1883"/>
        <n v="1441"/>
        <n v="353"/>
        <n v="686"/>
        <n v="731"/>
        <n v="13"/>
        <n v="174"/>
        <n v="94"/>
        <n v="1218"/>
        <n v="506"/>
        <n v="401"/>
        <n v="924"/>
        <n v="764"/>
        <n v="2505"/>
        <n v="1235"/>
        <n v="112"/>
        <n v="180"/>
        <n v="1363"/>
        <n v="61"/>
        <n v="23"/>
        <n v="1125"/>
        <n v="31"/>
        <n v="5"/>
        <n v="42"/>
        <n v="546"/>
        <n v="237"/>
        <n v="135"/>
        <n v="47"/>
        <n v="1102"/>
        <n v="610"/>
        <n v="204"/>
        <n v="131"/>
        <n v="64"/>
        <n v="264"/>
        <n v="323"/>
        <n v="87"/>
        <n v="88"/>
        <n v="212"/>
        <n v="395"/>
        <n v="756"/>
        <n v="256"/>
        <n v="296"/>
        <n v="30"/>
        <n v="111"/>
        <n v="49"/>
        <n v="1035"/>
        <n v="45"/>
        <n v="3471"/>
        <n v="249"/>
        <n v="398"/>
        <n v="6516"/>
        <n v="946"/>
        <n v="580"/>
        <n v="1185"/>
        <n v="662"/>
        <n v="566"/>
        <n v="235"/>
        <n v="164"/>
        <n v="1020"/>
        <n v="346"/>
        <n v="297"/>
        <n v="3410"/>
        <n v="1033"/>
        <n v="685"/>
        <n v="138"/>
        <n v="213"/>
        <n v="1635"/>
        <n v="880"/>
        <n v="202"/>
        <n v="600"/>
        <n v="148"/>
        <n v="179"/>
        <n v="1346"/>
        <n v="486"/>
        <n v="189"/>
        <n v="85"/>
        <n v="119"/>
        <n v="116"/>
        <n v="1077"/>
        <n v="414"/>
        <n v="299"/>
        <n v="522"/>
        <n v="3407"/>
        <n v="1583"/>
        <n v="780"/>
        <n v="70"/>
        <n v="65"/>
        <n v="4"/>
        <n v="823"/>
        <n v="107"/>
        <n v="98"/>
        <n v="846"/>
        <n v="3362"/>
        <n v="1055"/>
        <n v="185"/>
        <n v="129"/>
        <n v="115"/>
        <n v="322"/>
        <n v="198"/>
        <n v="370"/>
        <n v="247"/>
        <n v="142"/>
        <n v="1648"/>
        <n v="1307"/>
        <n v="741"/>
        <n v="406"/>
        <n v="1201"/>
        <n v="612"/>
        <n v="821"/>
        <n v="481"/>
        <n v="18"/>
        <n v="521"/>
        <n v="551"/>
        <n v="1600"/>
        <n v="499"/>
        <n v="1134"/>
        <n v="32"/>
        <n v="108"/>
        <n v="100"/>
        <n v="91"/>
        <n v="58"/>
        <n v="77"/>
        <n v="55"/>
        <n v="638"/>
        <n v="320"/>
        <n v="552"/>
        <n v="246"/>
        <n v="214"/>
        <n v="955"/>
        <n v="9175"/>
        <n v="3539"/>
        <n v="605"/>
        <n v="492"/>
        <n v="62"/>
        <n v="525"/>
        <n v="35"/>
        <n v="82"/>
        <n v="324"/>
        <n v="1034"/>
        <n v="76"/>
        <n v="227"/>
        <n v="125"/>
        <n v="245"/>
        <n v="74"/>
        <n v="33"/>
        <n v="6"/>
        <n v="864"/>
        <n v="2432"/>
        <n v="3930"/>
        <n v="1732"/>
        <n v="167"/>
        <n v="603"/>
        <n v="257"/>
        <n v="203"/>
        <n v="104"/>
        <n v="549"/>
        <n v="16"/>
        <n v="46"/>
        <m/>
      </sharedItems>
    </cacheField>
    <cacheField name="点击量" numFmtId="0">
      <sharedItems containsString="0" containsBlank="1" containsNumber="1" containsInteger="1" minValue="0" maxValue="163" count="50">
        <n v="22"/>
        <n v="4"/>
        <n v="13"/>
        <n v="6"/>
        <n v="2"/>
        <n v="10"/>
        <n v="148"/>
        <n v="23"/>
        <n v="103"/>
        <n v="15"/>
        <n v="30"/>
        <n v="7"/>
        <n v="36"/>
        <n v="12"/>
        <n v="1"/>
        <n v="18"/>
        <n v="0"/>
        <n v="3"/>
        <n v="5"/>
        <n v="29"/>
        <n v="16"/>
        <n v="17"/>
        <n v="41"/>
        <n v="25"/>
        <n v="62"/>
        <n v="31"/>
        <n v="14"/>
        <n v="11"/>
        <n v="56"/>
        <n v="38"/>
        <n v="8"/>
        <n v="21"/>
        <n v="28"/>
        <n v="37"/>
        <n v="26"/>
        <n v="27"/>
        <n v="9"/>
        <n v="19"/>
        <n v="163"/>
        <n v="46"/>
        <n v="84"/>
        <n v="40"/>
        <n v="20"/>
        <n v="24"/>
        <n v="34"/>
        <n v="33"/>
        <n v="88"/>
        <n v="44"/>
        <n v="42"/>
        <m/>
      </sharedItems>
    </cacheField>
    <cacheField name="点击率(CTR)" numFmtId="0">
      <sharedItems containsString="0" containsBlank="1" containsNumber="1" minValue="0" maxValue="0.25" count="239">
        <n v="0.0135052179251074"/>
        <n v="0.0129032258064516"/>
        <n v="0.0186246418338109"/>
        <n v="0.00708382526564345"/>
        <n v="0.0075187969924812"/>
        <n v="0.00788643533123028"/>
        <n v="0.00500834724540901"/>
        <n v="0.01481036725708"/>
        <n v="0.013747758517633"/>
        <n v="0.0204812089878704"/>
        <n v="0.00728862973760933"/>
        <n v="0.0130208333333333"/>
        <n v="0.00837320574162679"/>
        <n v="0.0103626943005181"/>
        <n v="0.0326086956521739"/>
        <n v="0.027906976744186"/>
        <n v="0.0052128583840139"/>
        <n v="0.0178571428571429"/>
        <n v="0.0029585798816568"/>
        <n v="0.0149253731343284"/>
        <n v="0"/>
        <n v="0.000796178343949045"/>
        <n v="0.0241545893719807"/>
        <n v="0.0276243093922652"/>
        <n v="0.035670356703567"/>
        <n v="0.0274135876042908"/>
        <n v="0.0103806228373702"/>
        <n v="0.00765916706558162"/>
        <n v="0.027027027027027"/>
        <n v="0.16"/>
        <n v="0.0101918465227818"/>
        <n v="0.0148588410104012"/>
        <m/>
        <n v="0.0128084973445798"/>
        <n v="0.0229147571035747"/>
        <n v="0.0153884338545545"/>
        <n v="0.0151946818613485"/>
        <n v="0.0151737640724425"/>
        <n v="0.00693069306930693"/>
        <n v="0.00568181818181818"/>
        <n v="0.00810611643330877"/>
        <n v="0.0148305084745763"/>
        <n v="0.00789177001127396"/>
        <n v="0.00366204551399425"/>
        <n v="0.005331088664422"/>
        <n v="0.00706713780918728"/>
        <n v="0.0059255079006772"/>
        <n v="0.00718501411342058"/>
        <n v="0.0058973541600255"/>
        <n v="0.0247148288973384"/>
        <n v="0.00854570425759194"/>
        <n v="0.00899820035992801"/>
        <n v="0.00847457627118644"/>
        <n v="0.0278372591006424"/>
        <n v="0.0169014084507042"/>
        <n v="0.00850340136054422"/>
        <n v="0.0124596215966774"/>
        <n v="0.00323624595469256"/>
        <n v="0.00477554918815664"/>
        <n v="0.0125"/>
        <n v="0.00735294117647059"/>
        <n v="0.00232018561484919"/>
        <n v="0.0254777070063694"/>
        <n v="0.0413223140495868"/>
        <n v="0.00652646845540247"/>
        <n v="0.00148367952522255"/>
        <n v="0.0160880609652837"/>
        <n v="0.0186370912417105"/>
        <n v="0.0177469135802469"/>
        <n v="0.0106382978723404"/>
        <n v="0.0124320124320124"/>
        <n v="0.0106436898124683"/>
        <n v="0.00783289817232376"/>
        <n v="0.00390015600624025"/>
        <n v="0.00406032482598608"/>
        <n v="0.0137236962488564"/>
        <n v="0.0175438596491228"/>
        <n v="0.0064143681847338"/>
        <n v="0.0157068062827225"/>
        <n v="0.00744324525493115"/>
        <n v="0.00640204865556978"/>
        <n v="0.00592718035563082"/>
        <n v="0.0115473441108545"/>
        <n v="0.0206185567010309"/>
        <n v="0.0100250626566416"/>
        <n v="0.00770712909441233"/>
        <n v="0.0112359550561798"/>
        <n v="0.0127353266888151"/>
        <n v="0.00463548251158871"/>
        <n v="0.00690387679235263"/>
        <n v="0.00763358778625954"/>
        <n v="0.0396600566572238"/>
        <n v="0.021865889212828"/>
        <n v="0.00957592339261286"/>
        <n v="0.0459770114942529"/>
        <n v="0.0319148936170213"/>
        <n v="0.00410509031198686"/>
        <n v="0.00197628458498024"/>
        <n v="0.0199501246882793"/>
        <n v="0.00649350649350649"/>
        <n v="0.0130890052356021"/>
        <n v="0.00798403193612774"/>
        <n v="0.0121457489878542"/>
        <n v="0.00555555555555556"/>
        <n v="0.00440205429200293"/>
        <n v="0.0163934426229508"/>
        <n v="0.0434782608695652"/>
        <n v="0.008"/>
        <n v="0.0238095238095238"/>
        <n v="0.0201465201465201"/>
        <n v="0.0210970464135021"/>
        <n v="0.0148148148148148"/>
        <n v="0.0127041742286751"/>
        <n v="0.0131147540983607"/>
        <n v="0.0294117647058823"/>
        <n v="0.0305343511450382"/>
        <n v="0.00757575757575758"/>
        <n v="0.00309597523219814"/>
        <n v="0.0229885057471264"/>
        <n v="0.0454545454545455"/>
        <n v="0.00471698113207547"/>
        <n v="0.00253164556962025"/>
        <n v="0.00264550264550265"/>
        <n v="0.01171875"/>
        <n v="0.036036036036036"/>
        <n v="0.00483091787439614"/>
        <n v="0.0222222222222222"/>
        <n v="0.00777873811581677"/>
        <n v="0.0126710593005575"/>
        <n v="0.00803212851405622"/>
        <n v="0.0226130653266332"/>
        <n v="0.00337630448127686"/>
        <n v="0.00951374207188161"/>
        <n v="0.0103448275862069"/>
        <n v="0.0118143459915612"/>
        <n v="0.0141843971631206"/>
        <n v="0.0317220543806647"/>
        <n v="0.0247349823321555"/>
        <n v="0.0382978723404255"/>
        <n v="0.00609756097560976"/>
        <n v="0.0156862745098039"/>
        <n v="0.0260115606936416"/>
        <n v="0.0235690235690236"/>
        <n v="0.0164569215876089"/>
        <n v="0.0306569343065693"/>
        <n v="0.036231884057971"/>
        <n v="0.0234741784037559"/>
        <n v="0.00856269113149847"/>
        <n v="0.00681818181818182"/>
        <n v="0.0099009900990099"/>
        <n v="0.00833333333333333"/>
        <n v="0.0223463687150838"/>
        <n v="0.00594353640416048"/>
        <n v="0.00205761316872428"/>
        <n v="0.037037037037037"/>
        <n v="0.0117647058823529"/>
        <n v="0.00840336134453781"/>
        <n v="0.00862068965517241"/>
        <n v="0.0074280408542247"/>
        <n v="0.00241545893719807"/>
        <n v="0.0133779264214047"/>
        <n v="0.0191570881226054"/>
        <n v="0.00205459348400352"/>
        <n v="0.0151610865445357"/>
        <n v="0.0115384615384615"/>
        <n v="0.00607533414337789"/>
        <n v="0.0186915887850467"/>
        <n v="0.0102040816326531"/>
        <n v="0.00945626477541371"/>
        <n v="0.0101130279595479"/>
        <n v="0.004739336492891"/>
        <n v="0.111111111111111"/>
        <n v="0.0170212765957447"/>
        <n v="0.00490196078431373"/>
        <n v="0.0310077519379845"/>
        <n v="0.0217391304347826"/>
        <n v="0.0216216216216216"/>
        <n v="0.0202429149797571"/>
        <n v="0.00704225352112676"/>
        <n v="0.00303398058252427"/>
        <n v="0.00459066564651875"/>
        <n v="0.00809716599190283"/>
        <n v="0.00492610837438424"/>
        <n v="0.0274771024146545"/>
        <n v="0.00970873786407767"/>
        <n v="0.0147058823529412"/>
        <n v="0.0109622411693057"/>
        <n v="0.00415800415800416"/>
        <n v="0.0230326295585413"/>
        <n v="0.0163339382940109"/>
        <n v="0.01375"/>
        <n v="0.0220440881763527"/>
        <n v="0.0167548500881834"/>
        <n v="0.03125"/>
        <n v="0.0185185185185185"/>
        <n v="0.01"/>
        <n v="0.129032258064516"/>
        <n v="0.0659340659340659"/>
        <n v="0.0519480519480519"/>
        <n v="0.0666666666666667"/>
        <n v="0.0909090909090909"/>
        <n v="0.00940438871473354"/>
        <n v="0.021875"/>
        <n v="0.0121951219512195"/>
        <n v="0.0280373831775701"/>
        <n v="0.0031413612565445"/>
        <n v="0.00959128065395095"/>
        <n v="0.0124328906470754"/>
        <n v="0.0132231404958678"/>
        <n v="0.0264227642276423"/>
        <n v="0.00571428571428571"/>
        <n v="0.0144927536231884"/>
        <n v="0.0365853658536585"/>
        <n v="0.0154320987654321"/>
        <n v="0.00580270793036751"/>
        <n v="0.0263157894736842"/>
        <n v="0.026431718061674"/>
        <n v="0.064"/>
        <n v="0.04"/>
        <n v="0.0489795918367347"/>
        <n v="0.0540540540540541"/>
        <n v="0.0114942528735632"/>
        <n v="0.0303030303030303"/>
        <n v="0.0625"/>
        <n v="0.0243055555555556"/>
        <n v="0.0127467105263158"/>
        <n v="0.00788804071246819"/>
        <n v="0.0125974805038992"/>
        <n v="0.0219399538106236"/>
        <n v="0.043343653250774"/>
        <n v="0.0119760479041916"/>
        <n v="0.0199004975124378"/>
        <n v="0.0272373540856031"/>
        <n v="0.0246305418719212"/>
        <n v="0.0444444444444444"/>
        <n v="0.0288461538461538"/>
        <n v="0.05"/>
        <n v="0.25"/>
        <n v="0.230769230769231"/>
      </sharedItems>
    </cacheField>
    <cacheField name="每次点击成本(CPC)" numFmtId="0">
      <sharedItems containsString="0" containsBlank="1" containsNumber="1" minValue="0" maxValue="0.552222222222222" count="180">
        <n v="0.438181818181818"/>
        <n v="0.44"/>
        <n v="0.385384615384615"/>
        <n v="0.438333333333333"/>
        <n v="0.46"/>
        <n v="0.405"/>
        <n v="0.398333333333333"/>
        <n v="0.480540540540541"/>
        <n v="0.428695652173913"/>
        <n v="0.432621359223301"/>
        <n v="0.409333333333333"/>
        <n v="0.264666666666667"/>
        <n v="0.271428571428571"/>
        <n v="0.246944444444444"/>
        <n v="0.268333333333333"/>
        <n v="0.2875"/>
        <n v="0.428333333333333"/>
        <n v="0.181666666666667"/>
        <n v="0.25"/>
        <n v="0.300555555555556"/>
        <m/>
        <n v="0.226666666666667"/>
        <n v="0.162"/>
        <n v="0.354"/>
        <n v="0.349310344827586"/>
        <n v="0.354782608695652"/>
        <n v="0.41"/>
        <n v="0.53"/>
        <n v="0.331176470588235"/>
        <n v="0.302"/>
        <n v="0.35609756097561"/>
        <n v="0.3668"/>
        <n v="0.376935483870968"/>
        <n v="0.37875"/>
        <n v="0.342903225806452"/>
        <n v="0.346428571428571"/>
        <n v="0.325294117647059"/>
        <n v="0.287272727272727"/>
        <n v="0.275714285714286"/>
        <n v="0.347142857142857"/>
        <n v="0.456071428571429"/>
        <n v="0.42921052631579"/>
        <n v="0.4375"/>
        <n v="0.441428571428571"/>
        <n v="0.37"/>
        <n v="0.385945945945946"/>
        <n v="0.384615384615385"/>
        <n v="0.401607142857143"/>
        <n v="0.42"/>
        <n v="0.0592307692307692"/>
        <n v="0.420555555555555"/>
        <n v="0.356"/>
        <n v="0.398148148148148"/>
        <n v="0.48"/>
        <n v="0.278"/>
        <n v="0.38"/>
        <n v="0.45875"/>
        <n v="0.4475"/>
        <n v="0.386"/>
        <n v="0.346666666666667"/>
        <n v="0.351578947368421"/>
        <n v="0.537239263803681"/>
        <n v="0.535652173913044"/>
        <n v="0.393333333333333"/>
        <n v="0.328125"/>
        <n v="0.318571428571429"/>
        <n v="0.336666666666667"/>
        <n v="0.307142857142857"/>
        <n v="0.358"/>
        <n v="0.362222222222222"/>
        <n v="0.484"/>
        <n v="0.481666666666667"/>
        <n v="0.4195"/>
        <n v="0.423333333333333"/>
        <n v="0.284285714285714"/>
        <n v="0.314"/>
        <n v="0.44625"/>
        <n v="0.415"/>
        <n v="0.465"/>
        <n v="0.431739130434783"/>
        <n v="0.497272727272727"/>
        <n v="0.486923076923077"/>
        <n v="0.296363636363636"/>
        <n v="0.322142857142857"/>
        <n v="0.331333333333333"/>
        <n v="0.374285714285714"/>
        <n v="0.245"/>
        <n v="0.28"/>
        <n v="0.426"/>
        <n v="0.34"/>
        <n v="0.4075"/>
        <n v="0.391666666666667"/>
        <n v="0.383"/>
        <n v="0.4315"/>
        <n v="0.403333333333333"/>
        <n v="0.4"/>
        <n v="0.208333333333333"/>
        <n v="0.13"/>
        <n v="0.24"/>
        <n v="0.388888888888889"/>
        <n v="0.3"/>
        <n v="0.309090909090909"/>
        <n v="0.296"/>
        <n v="0.446428571428571"/>
        <n v="0.4225"/>
        <n v="0.355"/>
        <n v="0.155"/>
        <n v="0.1975"/>
        <n v="0.47"/>
        <n v="0.35"/>
        <n v="0.39"/>
        <n v="0.383333333333333"/>
        <n v="0.2"/>
        <n v="0.472962962962963"/>
        <n v="0.4436"/>
        <n v="0.33"/>
        <n v="0.475909090909091"/>
        <n v="0.367777777777778"/>
        <n v="0.401666666666667"/>
        <n v="0.312857142857143"/>
        <n v="0.1575"/>
        <n v="0.290952380952381"/>
        <n v="0.308888888888889"/>
        <n v="0.382222222222222"/>
        <n v="0.341428571428571"/>
        <n v="0.340588235294118"/>
        <n v="0.341666666666667"/>
        <n v="0.307619047619048"/>
        <n v="0.346"/>
        <n v="0.431428571428571"/>
        <n v="0.43"/>
        <n v="0.424"/>
        <n v="0.485"/>
        <n v="0.41625"/>
        <n v="0.384285714285714"/>
        <n v="0.18"/>
        <n v="0.22"/>
        <n v="0.36"/>
        <n v="0.361428571428571"/>
        <n v="0.375416666666667"/>
        <n v="0.46125"/>
        <n v="0.410294117647059"/>
        <n v="0.432"/>
        <n v="0.3475"/>
        <n v="0.355714285714286"/>
        <n v="0.505454545454546"/>
        <n v="0.49"/>
        <n v="0.514444444444444"/>
        <n v="0.552222222222222"/>
        <n v="0.477777777777778"/>
        <n v="0.457272727272727"/>
        <n v="0.418181818181818"/>
        <n v="0.29"/>
        <n v="0.3825"/>
        <n v="0.528333333333333"/>
        <n v="0.494285714285714"/>
        <n v="0.492777777777778"/>
        <n v="0.495"/>
        <n v="0.394886363636364"/>
        <n v="0.402045454545454"/>
        <n v="0.4575"/>
        <n v="0.370769230769231"/>
        <n v="0.406666666666667"/>
        <n v="0.436"/>
        <n v="0.448333333333333"/>
        <n v="0.3425"/>
        <n v="0.365"/>
        <n v="0.348333333333333"/>
        <n v="0.3975"/>
        <n v="0.45952380952381"/>
        <n v="0.427741935483871"/>
        <n v="0.404516129032258"/>
        <n v="0.391578947368421"/>
        <n v="0.356428571428571"/>
        <n v="0.3275"/>
        <n v="0.362857142857143"/>
        <n v="0.338"/>
        <n v="0.371666666666667"/>
        <n v="0.315"/>
        <n v="0.323333333333333"/>
      </sharedItems>
    </cacheField>
    <cacheField name="花费" numFmtId="0">
      <sharedItems containsString="0" containsBlank="1" containsNumber="1" minValue="0" maxValue="87.57" count="202">
        <n v="9.64"/>
        <n v="1.76"/>
        <n v="5.01"/>
        <n v="2.63"/>
        <n v="0.92"/>
        <n v="4.05"/>
        <n v="2.39"/>
        <n v="71.12"/>
        <n v="9.86"/>
        <n v="44.56"/>
        <n v="6.14"/>
        <n v="7.94"/>
        <n v="1.9"/>
        <n v="8.89"/>
        <n v="3.22"/>
        <n v="3.45"/>
        <n v="2.57"/>
        <n v="1.09"/>
        <n v="0.25"/>
        <n v="5.41"/>
        <n v="0"/>
        <n v="0.68"/>
        <n v="0.81"/>
        <n v="1.77"/>
        <n v="10.13"/>
        <n v="8.16"/>
        <n v="1.23"/>
        <n v="6.48"/>
        <n v="0.53"/>
        <n v="1.64"/>
        <n v="5.63"/>
        <n v="3.02"/>
        <n v="14.6"/>
        <n v="9.17"/>
        <n v="23.37"/>
        <n v="6.06"/>
        <n v="10.63"/>
        <n v="4.85"/>
        <n v="5.53"/>
        <n v="3.16"/>
        <n v="1.93"/>
        <n v="2.43"/>
        <n v="25.54"/>
        <n v="16.31"/>
        <n v="3.5"/>
        <n v="9.27"/>
        <n v="10.36"/>
        <n v="14.28"/>
        <n v="10"/>
        <n v="22.49"/>
        <n v="11.95"/>
        <n v="0.42"/>
        <n v="0.77"/>
        <n v="7.57"/>
        <n v="1.78"/>
        <n v="10.75"/>
        <n v="0.48"/>
        <n v="1.39"/>
        <n v="0.38"/>
        <n v="3.67"/>
        <n v="0.82"/>
        <n v="1.79"/>
        <n v="3.12"/>
        <n v="0.44"/>
        <n v="6.68"/>
        <n v="87.57"/>
        <n v="24.64"/>
        <n v="1.18"/>
        <n v="5.25"/>
        <n v="6.69"/>
        <n v="2.02"/>
        <n v="4.53"/>
        <n v="2.15"/>
        <n v="5.37"/>
        <n v="3.26"/>
        <n v="4.84"/>
        <n v="40.46"/>
        <n v="16.78"/>
        <n v="6.35"/>
        <n v="1.99"/>
        <n v="1.57"/>
        <n v="1"/>
        <n v="7.14"/>
        <n v="8.3"/>
        <n v="0.93"/>
        <n v="9.93"/>
        <n v="5.47"/>
        <n v="6.33"/>
        <n v="4.51"/>
        <n v="4.97"/>
        <n v="2.62"/>
        <n v="1.96"/>
        <n v="0.84"/>
        <n v="2.13"/>
        <n v="0.34"/>
        <n v="2.35"/>
        <n v="3.83"/>
        <n v="8.63"/>
        <n v="6.05"/>
        <n v="0.4"/>
        <n v="1.25"/>
        <n v="0.13"/>
        <n v="0.24"/>
        <n v="0.3"/>
        <n v="3.4"/>
        <n v="1.48"/>
        <n v="0.8"/>
        <n v="6.25"/>
        <n v="3.38"/>
        <n v="2.28"/>
        <n v="1.6"/>
        <n v="0.71"/>
        <n v="0.31"/>
        <n v="0.79"/>
        <n v="0.47"/>
        <n v="0.35"/>
        <n v="0.78"/>
        <n v="1.15"/>
        <n v="0.2"/>
        <n v="12.77"/>
        <n v="11.09"/>
        <n v="0.49"/>
        <n v="2.97"/>
        <n v="10.47"/>
        <n v="3.31"/>
        <n v="2.41"/>
        <n v="4.38"/>
        <n v="0.63"/>
        <n v="6.11"/>
        <n v="4.46"/>
        <n v="2.78"/>
        <n v="0.39"/>
        <n v="5.92"/>
        <n v="3.44"/>
        <n v="5.79"/>
        <n v="2.05"/>
        <n v="6.46"/>
        <n v="1.5"/>
        <n v="1.73"/>
        <n v="6.04"/>
        <n v="2.58"/>
        <n v="2.12"/>
        <n v="1.94"/>
        <n v="3.33"/>
        <n v="2.69"/>
        <n v="0.18"/>
        <n v="0.43"/>
        <n v="3.6"/>
        <n v="2.53"/>
        <n v="9.01"/>
        <n v="1.7"/>
        <n v="3.69"/>
        <n v="13.95"/>
        <n v="2.16"/>
        <n v="1.4"/>
        <n v="0.37"/>
        <n v="2.49"/>
        <n v="2.88"/>
        <n v="2.4"/>
        <n v="0.66"/>
        <n v="16.68"/>
        <n v="1.47"/>
        <n v="4.63"/>
        <n v="0.88"/>
        <n v="4.3"/>
        <n v="10.06"/>
        <n v="4.6"/>
        <n v="8.74"/>
        <n v="0.58"/>
        <n v="1.44"/>
        <n v="1.53"/>
        <n v="3.17"/>
        <n v="3.46"/>
        <n v="8.87"/>
        <n v="34.75"/>
        <n v="17.69"/>
        <n v="3.66"/>
        <n v="4.82"/>
        <n v="1.22"/>
        <n v="1.27"/>
        <n v="2.18"/>
        <n v="2.82"/>
        <n v="2.74"/>
        <n v="1.46"/>
        <n v="4.18"/>
        <n v="1.59"/>
        <n v="9.65"/>
        <n v="13.26"/>
        <n v="12.54"/>
        <n v="14.91"/>
        <n v="14.88"/>
        <n v="4.99"/>
        <n v="0.76"/>
        <n v="3.93"/>
        <n v="2.54"/>
        <n v="1.69"/>
        <n v="3.57"/>
        <n v="0.99"/>
        <n v="3.54"/>
        <n v="2.23"/>
        <n v="0.97"/>
        <m/>
      </sharedItems>
    </cacheField>
    <cacheField name="7天总销售额" numFmtId="0">
      <sharedItems containsString="0" containsBlank="1" containsNumber="1" minValue="0" maxValue="454.65" count="27">
        <n v="36.97"/>
        <n v="0"/>
        <n v="38.97"/>
        <n v="10.99"/>
        <n v="12.99"/>
        <n v="309.65"/>
        <n v="23.98"/>
        <n v="201.73"/>
        <n v="25.98"/>
        <n v="454.65"/>
        <n v="51.96"/>
        <n v="77.94"/>
        <n v="81.94"/>
        <n v="60.95"/>
        <n v="257.8"/>
        <n v="62.95"/>
        <n v="75.94"/>
        <n v="129.9"/>
        <n v="29.98"/>
        <n v="12.88"/>
        <n v="34.97"/>
        <n v="43.96"/>
        <n v="90.93"/>
        <n v="131.9"/>
        <n v="25.65"/>
        <n v="64.29"/>
        <m/>
      </sharedItems>
    </cacheField>
    <cacheField name="广告成本销售比(ACOS)" numFmtId="0">
      <sharedItems containsString="0" containsBlank="1" containsNumber="1" minValue="0" maxValue="1.02078521939954" count="115">
        <n v="0.2607519610495"/>
        <m/>
        <n v="0.128560431100847"/>
        <n v="0.239308462238398"/>
        <n v="0.183987682832948"/>
        <n v="0.229678669465526"/>
        <n v="0.411175979983319"/>
        <n v="0.22088930749021"/>
        <n v="0.236335642802156"/>
        <n v="0.0174639832838447"/>
        <n v="0.14626635873749"/>
        <n v="0.171093148575828"/>
        <n v="0.0826276623043367"/>
        <n v="0.416474210931486"/>
        <n v="0.779830638953041"/>
        <n v="0.628175519630485"/>
        <n v="0.498845265588915"/>
        <n v="0.216705157813703"/>
        <n v="0.187323582242751"/>
        <n v="0.285208689284843"/>
        <n v="0.0994257588187039"/>
        <n v="0.272773928663074"/>
        <n v="0.131187449283203"/>
        <n v="0.121632024634334"/>
        <n v="0.148575827559661"/>
        <n v="0.49153194765204"/>
        <n v="0.209263536053374"/>
        <n v="0.269438029253272"/>
        <n v="0.250743846361915"/>
        <n v="0.265845522196561"/>
        <n v="0.36643571978445"/>
        <n v="0.769822940723634"/>
        <n v="0.577110597895817"/>
        <n v="0.323235055450365"/>
        <n v="0.0592763664357198"/>
        <n v="0.58275596612779"/>
        <n v="0.290776305112253"/>
        <n v="0.282525019245573"/>
        <n v="0.240184757505774"/>
        <n v="0.0338722093918399"/>
        <n v="0.339681923972071"/>
        <n v="0.39142176330421"/>
        <n v="0.134719014626636"/>
        <n v="0.257505773672055"/>
        <n v="0.165511932255581"/>
        <n v="0.13779830638953"/>
        <n v="0.0637345272583619"/>
        <n v="0.311470361816782"/>
        <n v="0.453881525561266"/>
        <n v="0.488837567359507"/>
        <n v="0.0769822940723634"/>
        <n v="0.183217859892225"/>
        <n v="0.276851234156104"/>
        <n v="0.764434180138568"/>
        <n v="0.421093148575828"/>
        <n v="0.171219908033541"/>
        <n v="0.191301000769823"/>
        <n v="0.193812556869882"/>
        <n v="0.0261739799846035"/>
        <n v="0.250962278675905"/>
        <n v="0.180908391070054"/>
        <n v="0.332178598922248"/>
        <n v="0.232871439568899"/>
        <n v="0.0521267723102585"/>
        <n v="0.309372156505914"/>
        <n v="0.56869881710646"/>
        <n v="0.260200153964588"/>
        <n v="0.0442648190916089"/>
        <n v="0.165372670807453"/>
        <n v="0.317128967686588"/>
        <n v="0.228637413394919"/>
        <n v="0.201501154734411"/>
        <n v="0.185527328714396"/>
        <n v="0.23518090839107"/>
        <n v="0.343341031562741"/>
        <n v="0.21401077752117"/>
        <n v="0.143452877397832"/>
        <n v="0.445727482678984"/>
        <n v="0.174736272653503"/>
        <n v="0.115473441108545"/>
        <n v="0.0373364126250962"/>
        <n v="0.25635103926097"/>
        <n v="0.135488837567359"/>
        <n v="0.113933795227098"/>
        <n v="0.327570518653321"/>
        <n v="0.346805234795997"/>
        <n v="0.0600461893764434"/>
        <n v="0.126478616924477"/>
        <n v="0.221709006928406"/>
        <n v="0.175614194722475"/>
        <n v="0.218380345768881"/>
        <n v="0.642032332563511"/>
        <n v="0.113163972286374"/>
        <n v="0.186297151655119"/>
        <n v="0.179316096747289"/>
        <n v="0.22884440400364"/>
        <n v="0.354118552732871"/>
        <n v="0.364470391993328"/>
        <n v="0.0153964588144727"/>
        <n v="0.122016936104696"/>
        <n v="0.0975475640602661"/>
        <n v="0.263457164518575"/>
        <n v="0.689668615984405"/>
        <n v="0.0939183987682833"/>
        <n v="0.217090069284065"/>
        <n v="0.249317561419472"/>
        <n v="0.132848043676069"/>
        <n v="0.0307929176289453"/>
        <n v="0.742879137798306"/>
        <n v="1.02078521939954"/>
        <n v="0.195053663089127"/>
        <n v="0.573903002309469"/>
        <n v="0.100846805234796"/>
        <n v="0.195535026943803"/>
        <n v="0.272517321016166"/>
      </sharedItems>
    </cacheField>
    <cacheField name="投入产出比(ROAS)" numFmtId="0">
      <sharedItems containsString="0" containsBlank="1" containsNumber="1" minValue="0" maxValue="64.95" count="116">
        <n v="3.8350622406639"/>
        <n v="0"/>
        <n v="7.77844311377245"/>
        <n v="4.1787072243346"/>
        <n v="5.43514644351464"/>
        <n v="4.3539088863892"/>
        <n v="2.43204868154158"/>
        <n v="4.52715439856373"/>
        <n v="4.23127035830619"/>
        <n v="57.2607052896725"/>
        <n v="6.83684210526316"/>
        <n v="5.84476940382452"/>
        <n v="12.1024844720497"/>
        <n v="2.40110905730129"/>
        <m/>
        <n v="1.28232971372162"/>
        <n v="1.59191176470588"/>
        <n v="2.00462962962963"/>
        <n v="4.6145648312611"/>
        <n v="5.33835616438356"/>
        <n v="3.50620453572957"/>
        <n v="10.0577557755776"/>
        <n v="3.66603951081844"/>
        <n v="7.62268041237113"/>
        <n v="8.22151898734177"/>
        <n v="6.73056994818653"/>
        <n v="2.03445575567737"/>
        <n v="4.77866339668915"/>
        <n v="3.71142857142857"/>
        <n v="3.98813376483279"/>
        <n v="3.76158301158301"/>
        <n v="2.72899159663865"/>
        <n v="1.299"/>
        <n v="1.73277012005336"/>
        <n v="3.09372384937238"/>
        <n v="16.8701298701299"/>
        <n v="1.71598414795244"/>
        <n v="3.43906976744186"/>
        <n v="3.53950953678474"/>
        <n v="4.16346153846154"/>
        <n v="29.5227272727273"/>
        <n v="2.94393056982985"/>
        <n v="2.55478896103896"/>
        <n v="7.42285714285714"/>
        <n v="3.88340807174888"/>
        <n v="6.04186046511628"/>
        <n v="7.25698324022346"/>
        <n v="15.6900826446281"/>
        <n v="3.21057834898665"/>
        <n v="2.20321811680572"/>
        <n v="2.04566929133858"/>
        <n v="12.99"/>
        <n v="5.45798319327731"/>
        <n v="3.61204819277108"/>
        <n v="1.30815709969789"/>
        <n v="2.37477148080439"/>
        <n v="5.84044233807267"/>
        <n v="5.22736418511066"/>
        <n v="5.15962441314554"/>
        <n v="38.2058823529412"/>
        <n v="3.98466257668712"/>
        <n v="5.52765957446809"/>
        <n v="3.01042873696408"/>
        <n v="4.29421487603306"/>
        <n v="19.184"/>
        <n v="3.23235294117647"/>
        <n v="1.7584"/>
        <n v="3.84319526627219"/>
        <n v="22.5913043478261"/>
        <n v="6.04694835680751"/>
        <n v="3.15329125338142"/>
        <n v="4.37373737373737"/>
        <n v="4.96275071633238"/>
        <n v="5.39004149377593"/>
        <n v="4.25204582651391"/>
        <n v="2.91255605381166"/>
        <n v="4.6726618705036"/>
        <n v="6.97093023255814"/>
        <n v="2.24352331606218"/>
        <n v="5.72291021671827"/>
        <n v="8.66"/>
        <n v="26.7835051546392"/>
        <n v="3.9009009009009"/>
        <n v="7.38068181818182"/>
        <n v="8.77702702702703"/>
        <n v="3.05277777777778"/>
        <n v="2.8834628190899"/>
        <n v="16.6538461538462"/>
        <n v="7.90647482014388"/>
        <n v="4.51041666666667"/>
        <n v="5.69430051813471"/>
        <n v="4.57916666666667"/>
        <n v="1.55755395683453"/>
        <n v="8.83673469387755"/>
        <n v="5.36776859504132"/>
        <n v="5.57674418604651"/>
        <n v="4.36978131212724"/>
        <n v="2.82391304347826"/>
        <n v="2.74370709382151"/>
        <n v="64.95"/>
        <n v="8.19558359621451"/>
        <n v="10.2514092446449"/>
        <n v="3.79568345323741"/>
        <n v="1.44997173544375"/>
        <n v="10.6475409836066"/>
        <n v="4.6063829787234"/>
        <n v="4.01094890510949"/>
        <n v="7.52739726027397"/>
        <n v="32.475"/>
        <n v="1.34611398963731"/>
        <n v="0.979638009049774"/>
        <n v="5.12679425837321"/>
        <n v="1.74245472837022"/>
        <n v="9.91603053435114"/>
        <n v="5.11417322834646"/>
        <n v="3.66949152542373"/>
      </sharedItems>
    </cacheField>
    <cacheField name="7天总订单数(#)" numFmtId="0">
      <sharedItems containsString="0" containsBlank="1" containsNumber="1" containsInteger="1" minValue="0" maxValue="20" count="14">
        <n v="3"/>
        <n v="0"/>
        <n v="1"/>
        <n v="19"/>
        <n v="2"/>
        <n v="17"/>
        <n v="8"/>
        <n v="4"/>
        <n v="6"/>
        <n v="5"/>
        <n v="20"/>
        <n v="10"/>
        <n v="7"/>
        <m/>
      </sharedItems>
    </cacheField>
    <cacheField name="7天总销售量(#)" numFmtId="0">
      <sharedItems containsString="0" containsBlank="1" containsNumber="1" containsInteger="1" minValue="0" maxValue="35" count="14">
        <n v="3"/>
        <n v="0"/>
        <n v="1"/>
        <n v="24"/>
        <n v="2"/>
        <n v="17"/>
        <n v="35"/>
        <n v="4"/>
        <n v="6"/>
        <n v="5"/>
        <n v="20"/>
        <n v="10"/>
        <n v="7"/>
        <m/>
      </sharedItems>
    </cacheField>
    <cacheField name="7天的转化率" numFmtId="0">
      <sharedItems containsString="0" containsBlank="1" containsNumber="1" minValue="0" maxValue="2" count="60">
        <n v="0.136363636363636"/>
        <n v="0"/>
        <n v="0.230769230769231"/>
        <n v="0.166666666666667"/>
        <n v="0.128378378378378"/>
        <n v="0.0869565217391304"/>
        <n v="0.16504854368932"/>
        <n v="0.133333333333333"/>
        <n v="0.266666666666667"/>
        <n v="0.142857142857143"/>
        <n v="0.111111111111111"/>
        <n v="0.0555555555555556"/>
        <m/>
        <n v="0.0344827586206897"/>
        <n v="0.0434782608695652"/>
        <n v="0.0625"/>
        <n v="0.117647058823529"/>
        <n v="0.146341463414634"/>
        <n v="0.0967741935483871"/>
        <n v="0.3125"/>
        <n v="0.214285714285714"/>
        <n v="0.0909090909090909"/>
        <n v="0.0714285714285714"/>
        <n v="0.157894736842105"/>
        <n v="0.125"/>
        <n v="0.107142857142857"/>
        <n v="0.0810810810810811"/>
        <n v="0.0384615384615385"/>
        <n v="0.0535714285714286"/>
        <n v="0.1"/>
        <n v="0.0769230769230769"/>
        <n v="1"/>
        <n v="0.122699386503067"/>
        <n v="0.108695652173913"/>
        <n v="0.1875"/>
        <n v="0.0952380952380952"/>
        <n v="0.2"/>
        <n v="0.3"/>
        <n v="0.119047619047619"/>
        <n v="0.075"/>
        <n v="0.0666666666666667"/>
        <n v="0.25"/>
        <n v="0.333333333333333"/>
        <n v="0.666666666666667"/>
        <n v="0.0740740740740741"/>
        <n v="0.08"/>
        <n v="0.181818181818182"/>
        <n v="0.222222222222222"/>
        <n v="0.0588235294117647"/>
        <n v="0.5"/>
        <n v="0.0833333333333333"/>
        <n v="0.0606060606060606"/>
        <n v="0.105263157894737"/>
        <n v="2"/>
        <n v="0.388888888888889"/>
        <n v="0.113636363636364"/>
        <n v="0.0454545454545455"/>
        <n v="0.0476190476190476"/>
        <n v="0.032258064516129"/>
        <n v="0.129032258064516"/>
      </sharedItems>
    </cacheField>
    <cacheField name="7天内广告SKU销售量(#)" numFmtId="0">
      <sharedItems containsString="0" containsBlank="1" containsNumber="1" containsInteger="1" minValue="0" maxValue="13" count="10">
        <n v="1"/>
        <n v="0"/>
        <n v="2"/>
        <n v="6"/>
        <n v="9"/>
        <n v="3"/>
        <n v="5"/>
        <n v="4"/>
        <n v="13"/>
        <m/>
      </sharedItems>
    </cacheField>
    <cacheField name="7天内其他SKU销售量(#)" numFmtId="0">
      <sharedItems containsString="0" containsBlank="1" containsNumber="1" containsInteger="1" minValue="0" maxValue="32" count="11">
        <n v="2"/>
        <n v="0"/>
        <n v="1"/>
        <n v="18"/>
        <n v="8"/>
        <n v="32"/>
        <n v="3"/>
        <n v="4"/>
        <n v="7"/>
        <n v="5"/>
        <m/>
      </sharedItems>
    </cacheField>
    <cacheField name="7天内广告SKU销售额" numFmtId="0">
      <sharedItems containsString="0" containsBlank="1" containsNumber="1" minValue="0" maxValue="166.87" count="18">
        <n v="12.99"/>
        <n v="0"/>
        <n v="25.98"/>
        <n v="10.99"/>
        <n v="77.94"/>
        <n v="110.91"/>
        <n v="38.97"/>
        <n v="44.97"/>
        <n v="60.95"/>
        <n v="23.98"/>
        <n v="51.96"/>
        <n v="166.87"/>
        <n v="62.95"/>
        <n v="36.97"/>
        <n v="29.98"/>
        <n v="12.88"/>
        <n v="81.94"/>
        <m/>
      </sharedItems>
    </cacheField>
    <cacheField name="7天内其他SKU销售额" numFmtId="0">
      <sharedItems containsString="0" containsBlank="1" containsNumber="1" minValue="0" maxValue="415.68" count="20">
        <n v="23.98"/>
        <n v="0"/>
        <n v="12.99"/>
        <n v="231.71"/>
        <n v="10.99"/>
        <n v="90.82"/>
        <n v="415.68"/>
        <n v="38.97"/>
        <n v="51.96"/>
        <n v="36.97"/>
        <n v="25.98"/>
        <n v="90.93"/>
        <n v="62.95"/>
        <n v="34.97"/>
        <n v="32.97"/>
        <n v="64.95"/>
        <n v="49.96"/>
        <n v="25.65"/>
        <n v="51.3"/>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27.xml><?xml version="1.0" encoding="utf-8"?>
<pivotCacheDefinition xmlns="http://schemas.openxmlformats.org/spreadsheetml/2006/main" xmlns:r="http://schemas.openxmlformats.org/officeDocument/2006/relationships" r:id="rId1" createdVersion="5" refreshedVersion="5" minRefreshableVersion="3" refreshedDate="45219.5917592593" refreshedBy="Administrator" recordCount="312">
  <cacheSource type="worksheet">
    <worksheetSource ref="G1:W1048576" sheet="广告9.19-10.18" r:id="rId2"/>
  </cacheSource>
  <cacheFields count="19">
    <cacheField name="广告SKU" numFmtId="0">
      <sharedItems containsBlank="1" count="115">
        <s v="Y4013-OR+Y4016+Y4019"/>
        <s v="Y4011-OR+Y4014+Y4017"/>
        <s v="Y4012-OR+Y4015+Y4018"/>
        <s v="Y4012-DB+Y4015+Y4018"/>
        <s v="Y4011-BL+Y4014+Y4017"/>
        <s v="Y4011-DB+Y4014+Y4017"/>
        <s v="Y4039-BL+Y4042+Y4045"/>
        <s v="Y4039-DB+Y4042+Y4045"/>
        <s v="Y4033-OR"/>
        <s v="Y4033-DG"/>
        <s v="Y4032-DB"/>
        <s v="Y4033-LP"/>
        <s v="Y4035-WHB"/>
        <s v="Y4035-GR"/>
        <s v="Y4035-PU"/>
        <s v="Y4036-BL"/>
        <s v="Y4036-OR"/>
        <s v="Y4036-DB"/>
        <s v="Y4037-GR"/>
        <s v="Y4037-BL"/>
        <s v="Y4037-GO"/>
        <s v="Y4039-OR+Y4042+Y4045"/>
        <s v="Y4023-OR+Y4027+Y4031"/>
        <s v="Y4023-DB+Y4027+Y4031"/>
        <s v="Y4023-WB+Y4027+Y4031"/>
        <s v="Y4020-BL+Y4024+Y4028"/>
        <s v="Y4020-OR+Y4024+Y4028"/>
        <s v="Y4022-BL+Y4026+Y4030"/>
        <s v="Y4022-WB+Y4026+Y4030"/>
        <s v="Y4021-OR+Y4025+Y4029"/>
        <s v="Y4021-DB+Y4025+Y4029"/>
        <s v="Y4021-BL+Y4025+Y4029"/>
        <s v="Y4022-OR+Y4026+Y4030"/>
        <s v="Y4023-WI+Y4027+Y4031"/>
        <s v="Y4038-BL"/>
        <s v="Y4038-OR"/>
        <s v="Y4038-DB"/>
        <s v="Y4022-DB+Y4026+Y4030"/>
        <s v="Y4020-DB+Y4024+Y4028"/>
        <s v="Y4040-OR+Y4043"/>
        <s v="Y4040-DB+Y4043"/>
        <s v="Y4040-WI+Y4043"/>
        <s v="Y4041-BL+Y4044"/>
        <s v="Y4041-OR+Y4044"/>
        <s v="Y4053-BL+Y4054+Y4049"/>
        <s v="Y4053-OR+Y4054+Y4049"/>
        <s v="Y4053-DB+Y4054+Y4049"/>
        <s v="Y4050-OR+Y4051+Y4052"/>
        <s v="Y4050-DB+Y4051+Y4052"/>
        <s v="Y4050-BL+Y4051+Y4052"/>
        <s v="Y4053-WI+Y4054+Y4049"/>
        <s v="Y4013-BL+Y4016+Y4019"/>
        <s v="Y4020-GW+Y4024+Y4028"/>
        <s v="Y4041-WB+Y4044"/>
        <s v="Y4050-WI+Y4051+Y4052"/>
        <s v="Y4013-DB+Y4016+Y4019"/>
        <s v="Y4012-BL+Y4015+Y4018"/>
        <s v="Y4012-PB+Y4015+Y4018"/>
        <s v="Y4020-WB+Y4024+Y4028"/>
        <s v="Y4041-WI+Y4044"/>
        <s v="Y4020-WI+Y4024+Y4028"/>
        <s v="Y4063-BL+Y4064+Y4065"/>
        <s v="Y4063-OR+Y4064+Y4065"/>
        <s v="Y4061-BL+Y4062"/>
        <s v="Y4061-GW+Y4062"/>
        <s v="Y4061-WI+Y4062"/>
        <s v="Y4061-DB+Y4062"/>
        <s v="Y4061-OR+Y4062"/>
        <s v="Y4058-DB+Y4059+Y4060"/>
        <s v="Y4058-GW+Y4059+Y4060"/>
        <s v="Y4058-OR+Y4059+Y4060"/>
        <s v="Y4058-WI+Y4059+Y4060"/>
        <s v="Y4058-BL+Y4059+Y4060"/>
        <s v="Y4055-WI+Y4056+Y4057"/>
        <s v="Y4055-OR+Y4056+Y4057"/>
        <s v="Y4055-BL+Y4056+Y4057"/>
        <s v="Y4055-GW+Y4056+Y4057"/>
        <s v="Y4055-DB+Y4056+Y4057"/>
        <s v="Y4066-WI+Y4068"/>
        <s v="Y4066-DB+Y4068"/>
        <s v="Y4066-OR+Y4068"/>
        <s v="Y4066-GW+Y4068"/>
        <s v="Y4066-BL+Y4068"/>
        <s v="Y4040-BL+Y4043"/>
        <s v="Y4072-DB+Y4073+Y4074"/>
        <s v="Y4072-GW+Y4073+Y4074"/>
        <s v="Y4072-OR+Y4073+Y4074"/>
        <s v="Y4072-WI+Y4073+Y4074"/>
        <s v="Y4072-BL+Y4073+Y4074"/>
        <s v="Y4069-OR+Y4070+Y4071"/>
        <s v="Y4069-DB+Y4070+Y4071"/>
        <s v="Y4069-GW+Y4070+Y4071"/>
        <s v="Y4069-WI+Y4070+Y4071"/>
        <s v="Y4069-BL+Y4070+Y4071"/>
        <s v="Y4081-DB+Y4082+Y4083"/>
        <s v="Y4081-BL+Y4082+Y4083"/>
        <s v="Y4081-OR+Y4082+Y4083"/>
        <s v="Y4081-GW+Y4082+Y4083"/>
        <s v="Y4081-WI+Y4082+Y4083"/>
        <s v="Y4075-BL+Y4076+Y4077"/>
        <s v="Y4075-OR+Y4076+Y4077"/>
        <s v="Y4075-DB+Y4076+Y4077"/>
        <s v="Y4075-WI+Y4076+Y4077"/>
        <s v="Y4075-GW+Y4076+Y4077"/>
        <s v="Y4078-BL+Y4079+Y4080"/>
        <s v="Y4078-OR+Y4079+Y4080"/>
        <s v="Y4078-DB+Y4079+Y4080"/>
        <s v="Y4078-WI+Y4079+Y4080"/>
        <s v="Y4078-GW+Y4079+Y4080"/>
        <s v="Y4084-GW+Y4085+Y4086"/>
        <s v="Y4084-BL+Y4085+Y4086"/>
        <s v="Y4084-DB+Y4085+Y4086"/>
        <s v="Y4084-OR+Y4085+Y4086"/>
        <s v="Y4084-WI+Y4085+Y4086"/>
        <m/>
      </sharedItems>
    </cacheField>
    <cacheField name="广告ASIN" numFmtId="0">
      <sharedItems containsBlank="1" count="115">
        <s v="B09Z2LRTBX"/>
        <s v="B09Z2LPGJ6"/>
        <s v="B09Z2HZKFL"/>
        <s v="B09Z2LXWHV"/>
        <s v="B09Z2D8WZH"/>
        <s v="B09Z2MPF53"/>
        <s v="B0B8GGVJ33"/>
        <s v="B0B8G6TLSP"/>
        <s v="B0B922FH6G"/>
        <s v="B0B92WBXRV"/>
        <s v="B0B91ZFNTG"/>
        <s v="B0B92R227C"/>
        <s v="B0B992KXS5"/>
        <s v="B0B99DJ5HD"/>
        <s v="B0B99KZD25"/>
        <s v="B0B9J5R1DB"/>
        <s v="B0B9J72ZT4"/>
        <s v="B0B9J8724K"/>
        <s v="B0B993ZVJ8"/>
        <s v="B0B98WSMJL"/>
        <s v="B0B98WSY9Z"/>
        <s v="B0B8G94B8Y"/>
        <s v="B0B6R9KFC2"/>
        <s v="B0B6R9FJJ1"/>
        <s v="B0B6RDV9LL"/>
        <s v="B0B6R6H5TH"/>
        <s v="B0B6RD2YH5"/>
        <s v="B0B6R7RFJ9"/>
        <s v="B0B6R7PB9B"/>
        <s v="B0B6RC5KKN"/>
        <s v="B0B6R81F8S"/>
        <s v="B0B6R9YLJS"/>
        <s v="B0B6R8HY5B"/>
        <s v="B0B9MXFZKN"/>
        <s v="B0BB1TWPZZ"/>
        <s v="B0BB1PYZG3"/>
        <s v="B0BB1QB7MF"/>
        <s v="B0B6R6J4RR"/>
        <s v="B0B6R7CJFJ"/>
        <s v="B0BFF6MDVZ"/>
        <s v="B0BFF5ZPKD"/>
        <s v="B0BFF9KBX4"/>
        <s v="B0BFF91P8K"/>
        <s v="B0BFF7BN4T"/>
        <s v="B0BFVSX9KS"/>
        <s v="B0BFW4V3TW"/>
        <s v="B0BFVK75L4"/>
        <s v="B0BFVSRCY5"/>
        <s v="B0BFVDDTBX"/>
        <s v="B0BFVK91DN"/>
        <s v="B0BFVS3BF6"/>
        <s v="B09Z2NG737"/>
        <s v="B0B6R6Y3YS"/>
        <s v="B0BFF794MN"/>
        <s v="B0BFWD368P"/>
        <s v="B09Z2L5JZG"/>
        <s v="B09Z2L3S7V"/>
        <s v="B09Z2LQ3PL"/>
        <s v="B0B6R86DZG"/>
        <s v="B0BFF9LX79"/>
        <s v="B0B9MZT1CV"/>
        <s v="B0BKSRQVM2"/>
        <s v="B0BKSTRC1H"/>
        <s v="B0BR5K5N5D"/>
        <s v="B0BR5KSG5G"/>
        <s v="B0BR5JQD7X"/>
        <s v="B0BR5JJSRT"/>
        <s v="B0BR5K4D94"/>
        <s v="B0BR5JYZF1"/>
        <s v="B0BR5JYNWN"/>
        <s v="B0BR5JFYJ5"/>
        <s v="B0BR5JH463"/>
        <s v="B0BR5KX742"/>
        <s v="B0BR5JLT3B"/>
        <s v="B0BR5H1H36"/>
        <s v="B0BR5K255P"/>
        <s v="B0BR5GZTZB"/>
        <s v="B0BR5GYQ9M"/>
        <s v="B0BRX8HDRX"/>
        <s v="B0BRX8SS1F"/>
        <s v="B0BRX8H8BT"/>
        <s v="B0BRX92691"/>
        <s v="B0BRX7TLDB"/>
        <s v="B0BFF95ZDP"/>
        <s v="B0C3QCDN39"/>
        <s v="B0C3QCX19G"/>
        <s v="B0C3QD6SF2"/>
        <s v="B0C3QCDQ55"/>
        <s v="B0C3QDLGGH"/>
        <s v="B0C3B9J4XR"/>
        <s v="B0C3B7W6WP"/>
        <s v="B0C3B9BYRT"/>
        <s v="B0C3B993XV"/>
        <s v="B0C3B7GM6N"/>
        <s v="B0CC5X79ZC"/>
        <s v="B0CC5WH63Q"/>
        <s v="B0CC5ZY6M2"/>
        <s v="B0CC5XWD9S"/>
        <s v="B0CC5YS9SL"/>
        <s v="B0CCDF5CL8"/>
        <s v="B0CCDGR1V2"/>
        <s v="B0CCDJNY94"/>
        <s v="B0CCDGLZNL"/>
        <s v="B0CCDH39HX"/>
        <s v="B0CC96Y9PQ"/>
        <s v="B0CC971G1J"/>
        <s v="B0CC95N9XK"/>
        <s v="B0CC98YM1W"/>
        <s v="B0CC978F87"/>
        <s v="B0CC5S63XS"/>
        <s v="B0CC5VY1DQ"/>
        <s v="B0CC5RG4WJ"/>
        <s v="B0CC5QYDDY"/>
        <s v="B0CC5RY9QL"/>
        <m/>
      </sharedItems>
    </cacheField>
    <cacheField name="展示量" numFmtId="0">
      <sharedItems containsString="0" containsBlank="1" containsNumber="1" containsInteger="1" minValue="0" maxValue="31171" count="283">
        <n v="4299"/>
        <n v="766"/>
        <n v="1381"/>
        <n v="1811"/>
        <n v="641"/>
        <n v="2305"/>
        <n v="3056"/>
        <n v="19158"/>
        <n v="3352"/>
        <n v="9355"/>
        <n v="3822"/>
        <n v="4966"/>
        <n v="1592"/>
        <n v="6199"/>
        <n v="522"/>
        <n v="673"/>
        <n v="2171"/>
        <n v="774"/>
        <n v="658"/>
        <n v="2797"/>
        <n v="125"/>
        <n v="282"/>
        <n v="118"/>
        <n v="75"/>
        <n v="353"/>
        <n v="4608"/>
        <n v="360"/>
        <n v="359"/>
        <n v="1531"/>
        <n v="1162"/>
        <n v="468"/>
        <n v="2922"/>
        <n v="29"/>
        <n v="73"/>
        <n v="16"/>
        <n v="4"/>
        <n v="92"/>
        <n v="2750"/>
        <n v="1264"/>
        <n v="0"/>
        <n v="5834"/>
        <n v="2538"/>
        <n v="8013"/>
        <n v="7353"/>
        <n v="5772"/>
        <n v="4692"/>
        <n v="5079"/>
        <n v="1957"/>
        <n v="900"/>
        <n v="1669"/>
        <n v="31171"/>
        <n v="13343"/>
        <n v="5733"/>
        <n v="7914"/>
        <n v="5038"/>
        <n v="7424"/>
        <n v="1851"/>
        <n v="9370"/>
        <n v="8030"/>
        <n v="20"/>
        <n v="42"/>
        <n v="182"/>
        <n v="5"/>
        <n v="13"/>
        <n v="1155"/>
        <n v="158"/>
        <n v="62"/>
        <n v="2887"/>
        <n v="1448"/>
        <n v="4229"/>
        <n v="91"/>
        <n v="28"/>
        <n v="910"/>
        <n v="2547"/>
        <n v="131"/>
        <n v="123"/>
        <n v="2761"/>
        <n v="1425"/>
        <n v="412"/>
        <n v="459"/>
        <n v="3140"/>
        <n v="1762"/>
        <n v="2700"/>
        <n v="18225"/>
        <n v="6661"/>
        <n v="700"/>
        <n v="2383"/>
        <n v="3538"/>
        <n v="2766"/>
        <n v="6272"/>
        <n v="3339"/>
        <n v="1979"/>
        <n v="954"/>
        <n v="2805"/>
        <n v="8669"/>
        <n v="9677"/>
        <n v="4632"/>
        <n v="2915"/>
        <n v="851"/>
        <n v="317"/>
        <n v="2979"/>
        <n v="4729"/>
        <n v="403"/>
        <n v="4414"/>
        <n v="3199"/>
        <n v="3788"/>
        <n v="1250"/>
        <n v="1759"/>
        <n v="1365"/>
        <n v="34"/>
        <n v="352"/>
        <n v="177"/>
        <n v="2228"/>
        <n v="956"/>
        <n v="873"/>
        <n v="1194"/>
        <n v="1325"/>
        <n v="4872"/>
        <n v="2514"/>
        <n v="210"/>
        <n v="275"/>
        <n v="2819"/>
        <n v="110"/>
        <n v="74"/>
        <n v="1753"/>
        <n v="61"/>
        <n v="12"/>
        <n v="236"/>
        <n v="1572"/>
        <n v="1030"/>
        <n v="246"/>
        <n v="105"/>
        <n v="1940"/>
        <n v="1500"/>
        <n v="361"/>
        <n v="48"/>
        <n v="142"/>
        <n v="505"/>
        <n v="615"/>
        <n v="140"/>
        <n v="117"/>
        <n v="409"/>
        <n v="691"/>
        <n v="1241"/>
        <n v="589"/>
        <n v="1125"/>
        <n v="83"/>
        <n v="242"/>
        <n v="2021"/>
        <n v="89"/>
        <n v="5108"/>
        <n v="4074"/>
        <n v="471"/>
        <n v="881"/>
        <n v="8708"/>
        <n v="2941"/>
        <n v="1136"/>
        <n v="3821"/>
        <n v="499"/>
        <n v="1195"/>
        <n v="952"/>
        <n v="407"/>
        <n v="322"/>
        <n v="1833"/>
        <n v="678"/>
        <n v="546"/>
        <n v="5877"/>
        <n v="2743"/>
        <n v="1819"/>
        <n v="285"/>
        <n v="369"/>
        <n v="3430"/>
        <n v="2430"/>
        <n v="495"/>
        <n v="1231"/>
        <n v="394"/>
        <n v="465"/>
        <n v="2135"/>
        <n v="1076"/>
        <n v="343"/>
        <n v="147"/>
        <n v="163"/>
        <n v="196"/>
        <n v="1276"/>
        <n v="880"/>
        <n v="783"/>
        <n v="1050"/>
        <n v="6408"/>
        <n v="2170"/>
        <n v="1773"/>
        <n v="114"/>
        <n v="79"/>
        <n v="31"/>
        <n v="24"/>
        <n v="1421"/>
        <n v="543"/>
        <n v="324"/>
        <n v="189"/>
        <n v="1705"/>
        <n v="7620"/>
        <n v="2080"/>
        <n v="3"/>
        <n v="11"/>
        <n v="517"/>
        <n v="370"/>
        <n v="419"/>
        <n v="205"/>
        <n v="258"/>
        <n v="828"/>
        <n v="516"/>
        <n v="1106"/>
        <n v="613"/>
        <n v="323"/>
        <n v="3208"/>
        <n v="2381"/>
        <n v="1527"/>
        <n v="695"/>
        <n v="2019"/>
        <n v="733"/>
        <n v="1153"/>
        <n v="1507"/>
        <n v="960"/>
        <n v="7"/>
        <n v="8"/>
        <n v="2"/>
        <n v="1"/>
        <n v="36"/>
        <n v="663"/>
        <n v="720"/>
        <n v="1840"/>
        <n v="605"/>
        <n v="1412"/>
        <n v="78"/>
        <n v="170"/>
        <n v="232"/>
        <n v="69"/>
        <n v="206"/>
        <n v="80"/>
        <n v="22"/>
        <n v="10"/>
        <n v="70"/>
        <n v="1510"/>
        <n v="411"/>
        <n v="696"/>
        <n v="291"/>
        <n v="327"/>
        <n v="1472"/>
        <n v="10654"/>
        <n v="5958"/>
        <n v="1761"/>
        <n v="770"/>
        <n v="555"/>
        <n v="237"/>
        <n v="49"/>
        <n v="25"/>
        <n v="179"/>
        <n v="443"/>
        <n v="1349"/>
        <n v="230"/>
        <n v="536"/>
        <n v="176"/>
        <n v="533"/>
        <n v="155"/>
        <n v="56"/>
        <n v="18"/>
        <n v="55"/>
        <n v="3380"/>
        <n v="5825"/>
        <n v="9316"/>
        <n v="7328"/>
        <n v="2632"/>
        <n v="714"/>
        <n v="308"/>
        <n v="1526"/>
        <n v="571"/>
        <n v="229"/>
        <n v="713"/>
        <n v="248"/>
        <n v="402"/>
        <n v="21"/>
        <n v="9"/>
        <n v="6"/>
        <m/>
      </sharedItems>
    </cacheField>
    <cacheField name="点击量" numFmtId="0">
      <sharedItems containsString="0" containsBlank="1" containsNumber="1" containsInteger="1" minValue="0" maxValue="388" count="71">
        <n v="57"/>
        <n v="6"/>
        <n v="27"/>
        <n v="10"/>
        <n v="4"/>
        <n v="17"/>
        <n v="11"/>
        <n v="292"/>
        <n v="50"/>
        <n v="189"/>
        <n v="32"/>
        <n v="49"/>
        <n v="15"/>
        <n v="64"/>
        <n v="20"/>
        <n v="23"/>
        <n v="13"/>
        <n v="12"/>
        <n v="2"/>
        <n v="42"/>
        <n v="1"/>
        <n v="0"/>
        <n v="7"/>
        <n v="9"/>
        <n v="54"/>
        <n v="38"/>
        <n v="3"/>
        <n v="21"/>
        <n v="5"/>
        <n v="26"/>
        <n v="76"/>
        <n v="63"/>
        <n v="152"/>
        <n v="36"/>
        <n v="79"/>
        <n v="34"/>
        <n v="126"/>
        <n v="74"/>
        <n v="19"/>
        <n v="44"/>
        <n v="40"/>
        <n v="45"/>
        <n v="51"/>
        <n v="87"/>
        <n v="99"/>
        <n v="28"/>
        <n v="71"/>
        <n v="30"/>
        <n v="388"/>
        <n v="89"/>
        <n v="24"/>
        <n v="37"/>
        <n v="29"/>
        <n v="22"/>
        <n v="14"/>
        <n v="133"/>
        <n v="78"/>
        <n v="43"/>
        <n v="41"/>
        <n v="16"/>
        <n v="8"/>
        <n v="31"/>
        <n v="47"/>
        <n v="18"/>
        <n v="70"/>
        <n v="25"/>
        <n v="113"/>
        <n v="106"/>
        <n v="91"/>
        <n v="39"/>
        <m/>
      </sharedItems>
    </cacheField>
    <cacheField name="点击率(CTR)" numFmtId="0">
      <sharedItems containsString="0" containsBlank="1" containsNumber="1" minValue="0" maxValue="0.25" count="264">
        <n v="0.0132588974180042"/>
        <n v="0.00783289817232376"/>
        <n v="0.0195510499637944"/>
        <n v="0.00552181115405853"/>
        <n v="0.0062402496099844"/>
        <n v="0.00737527114967462"/>
        <n v="0.00359947643979058"/>
        <n v="0.015241674496294"/>
        <n v="0.0149164677804296"/>
        <n v="0.0202030999465526"/>
        <n v="0.00837257980115123"/>
        <n v="0.00986709625453081"/>
        <n v="0.00942211055276382"/>
        <n v="0.0103242458461042"/>
        <n v="0.0383141762452107"/>
        <n v="0.0341753343239227"/>
        <n v="0.00598802395209581"/>
        <n v="0.0155038759689922"/>
        <n v="0.00303951367781155"/>
        <n v="0.0150160886664283"/>
        <n v="0.008"/>
        <n v="0"/>
        <n v="0.0133333333333333"/>
        <n v="0.0056657223796034"/>
        <n v="0.00130208333333333"/>
        <n v="0.0194444444444444"/>
        <n v="0.0250696378830084"/>
        <n v="0.0352710646636185"/>
        <n v="0.0327022375215146"/>
        <n v="0.00641025641025641"/>
        <n v="0.00718685831622177"/>
        <n v="0.0547945205479452"/>
        <n v="0.0625"/>
        <n v="0.0543478260869565"/>
        <n v="0.0152727272727273"/>
        <n v="0.0205696202531646"/>
        <m/>
        <n v="0.0130270826191292"/>
        <n v="0.024822695035461"/>
        <n v="0.018969175090478"/>
        <n v="0.00489596083231334"/>
        <n v="0.0136867636867637"/>
        <n v="0.00426257459505541"/>
        <n v="0.00669423114786375"/>
        <n v="0.0137966274910577"/>
        <n v="0.0122222222222222"/>
        <n v="0.00718993409227082"/>
        <n v="0.00404221872894678"/>
        <n v="0.0055459791651053"/>
        <n v="0.00331414617128903"/>
        <n v="0.00555976750063179"/>
        <n v="0.00793965859468043"/>
        <n v="0.0060614224137931"/>
        <n v="0.0275526742301459"/>
        <n v="0.00928495197438634"/>
        <n v="0.0123287671232877"/>
        <n v="0.00549450549450549"/>
        <n v="0.0242424242424242"/>
        <n v="0.0126582278481013"/>
        <n v="0.0161290322580645"/>
        <n v="0.0110841704191202"/>
        <n v="0.00897790055248619"/>
        <n v="0.0167888389690234"/>
        <n v="0.010989010989011"/>
        <n v="0.0043956043956044"/>
        <n v="0.00471142520612485"/>
        <n v="0.024390243902439"/>
        <n v="0.00833031510322347"/>
        <n v="0.00491228070175439"/>
        <n v="0.0218446601941748"/>
        <n v="0.0457516339869281"/>
        <n v="0.00955414012738853"/>
        <n v="0.0039727582292849"/>
        <n v="0.0140740740740741"/>
        <n v="0.0212894375857339"/>
        <n v="0.0133613571535805"/>
        <n v="0.00857142857142857"/>
        <n v="0.0100713386487621"/>
        <n v="0.0104578858111928"/>
        <n v="0.0046999276934201"/>
        <n v="0.00462372448979592"/>
        <n v="0.00658879904162923"/>
        <n v="0.0151591712986357"/>
        <n v="0.0146750524109015"/>
        <n v="0.00677361853832442"/>
        <n v="0.0153420233014188"/>
        <n v="0.00806034928180221"/>
        <n v="0.0077720207253886"/>
        <n v="0.00480274442538594"/>
        <n v="0.0105757931844888"/>
        <n v="0.028391167192429"/>
        <n v="0.0114132259147365"/>
        <n v="0.00909283146542609"/>
        <n v="0.0148883374689826"/>
        <n v="0.012059588555214"/>
        <n v="0.00521069324875397"/>
        <n v="0.00937793060331354"/>
        <n v="0.0108236536430834"/>
        <n v="0.024"/>
        <n v="0.0216031836270608"/>
        <n v="0.0117216117216117"/>
        <n v="0.0588235294117647"/>
        <n v="0.0340909090909091"/>
        <n v="0.0225988700564972"/>
        <n v="0.00718132854578097"/>
        <n v="0.00104602510460251"/>
        <n v="0.0171821305841924"/>
        <n v="0.0050251256281407"/>
        <n v="0.0128301886792453"/>
        <n v="0.00862068965517241"/>
        <n v="0.00875099443118536"/>
        <n v="0.00476190476190476"/>
        <n v="0.00363636363636364"/>
        <n v="0.00709471443774388"/>
        <n v="0.0181818181818182"/>
        <n v="0.0135135135135135"/>
        <n v="0.00741585852823731"/>
        <n v="0.0833333333333333"/>
        <n v="0.0211864406779661"/>
        <n v="0.0241730279898219"/>
        <n v="0.0155339805825243"/>
        <n v="0.0121951219512195"/>
        <n v="0.0164948453608247"/>
        <n v="0.00866666666666667"/>
        <n v="0.0415512465373961"/>
        <n v="0.0212765957446809"/>
        <n v="0.0118811881188119"/>
        <n v="0.0178861788617886"/>
        <n v="0.0285714285714286"/>
        <n v="0.0427350427350427"/>
        <n v="0.0097799511002445"/>
        <n v="0.00578871201157742"/>
        <n v="0.0016116035455278"/>
        <n v="0.0118845500848896"/>
        <n v="0.00711111111111111"/>
        <n v="0.0140845070422535"/>
        <n v="0.0240963855421687"/>
        <n v="0.0289256198347107"/>
        <n v="0.0108695652173913"/>
        <n v="0.00791687283523008"/>
        <n v="0.0224719101123596"/>
        <n v="0.00861393891934221"/>
        <n v="0.0105547373588611"/>
        <n v="0.00849256900212314"/>
        <n v="0.0227014755959137"/>
        <n v="0.00333027101515847"/>
        <n v="0.0125807548452907"/>
        <n v="0.0167253521126761"/>
        <n v="0.00628107825176655"/>
        <n v="0.0100200400801603"/>
        <n v="0.0317991631799163"/>
        <n v="0.0273109243697479"/>
        <n v="0.0417690417690418"/>
        <n v="0.0093167701863354"/>
        <n v="0.0169121658483361"/>
        <n v="0.028023598820059"/>
        <n v="0.0183150183150183"/>
        <n v="0.000170154840905224"/>
        <n v="0.013124316441852"/>
        <n v="0.00989010989010989"/>
        <n v="0.0258383727322705"/>
        <n v="0.0385964912280702"/>
        <n v="0.018970189701897"/>
        <n v="0.00845481049562682"/>
        <n v="0.00740740740740741"/>
        <n v="0.00606060606060606"/>
        <n v="0.0121852152721365"/>
        <n v="0.0150537634408602"/>
        <n v="0.00655737704918033"/>
        <n v="0.00371747211895911"/>
        <n v="0.032069970845481"/>
        <n v="0.021978021978022"/>
        <n v="0.0136054421768707"/>
        <n v="0.0122699386503067"/>
        <n v="0.00510204081632653"/>
        <n v="0.00940438871473354"/>
        <n v="0.00227272727272727"/>
        <n v="0.0140485312899106"/>
        <n v="0.0180952380952381"/>
        <n v="0.00234082397003745"/>
        <n v="0.0165898617511521"/>
        <n v="0.0157924421883813"/>
        <n v="0.00633356790992259"/>
        <n v="0.00552486187845304"/>
        <n v="0.00308641975308642"/>
        <n v="0.0105820105820106"/>
        <n v="0.00997067448680352"/>
        <n v="0.00918635170603675"/>
        <n v="0.00384615384615385"/>
        <n v="0.0909090909090909"/>
        <n v="0.0135396518375242"/>
        <n v="0.0027027027027027"/>
        <n v="0.00238663484486874"/>
        <n v="0.0195121951219512"/>
        <n v="0.00387596899224806"/>
        <n v="0.0253623188405797"/>
        <n v="0.00775193798449612"/>
        <n v="0.0144665461121157"/>
        <n v="0.0146818923327896"/>
        <n v="0.00309597523219814"/>
        <n v="0.00249376558603491"/>
        <n v="0.00587988240235195"/>
        <n v="0.0104780615586117"/>
        <n v="0.00575539568345324"/>
        <n v="0.0242694403169886"/>
        <n v="0.0136425648021828"/>
        <n v="0.013009540329575"/>
        <n v="0.0106171201061712"/>
        <n v="0.009375"/>
        <n v="0.024132730015083"/>
        <n v="0.0166666666666667"/>
        <n v="0.0135869565217391"/>
        <n v="0.0214876033057851"/>
        <n v="0.0177053824362606"/>
        <n v="0.0256410256410256"/>
        <n v="0.0294117647058823"/>
        <n v="0.0869565217391304"/>
        <n v="0.0533980582524272"/>
        <n v="0.05"/>
        <n v="0.0454545454545455"/>
        <n v="0.0857142857142857"/>
        <n v="0.0119205298013245"/>
        <n v="0.0194647201946472"/>
        <n v="0.0387931034482759"/>
        <n v="0.013745704467354"/>
        <n v="0.0214067278287462"/>
        <n v="0.0047554347826087"/>
        <n v="0.0106063450347287"/>
        <n v="0.0117489090298758"/>
        <n v="0.0107893242475866"/>
        <n v="0.0246753246753247"/>
        <n v="0.00900900900900901"/>
        <n v="0.0253164556962025"/>
        <n v="0.0204081632653061"/>
        <n v="0.08"/>
        <n v="0.0391061452513966"/>
        <n v="0.0270880361173815"/>
        <n v="0.00741289844329133"/>
        <n v="0.0347826086956522"/>
        <n v="0.0261194029850746"/>
        <n v="0.0568181818181818"/>
        <n v="0.0391304347826087"/>
        <n v="0.0469043151969981"/>
        <n v="0.0258064516129032"/>
        <n v="0.0357142857142857"/>
        <n v="0.0363636363636364"/>
        <n v="0.014792899408284"/>
        <n v="0.0109871244635193"/>
        <n v="0.0113782739373122"/>
        <n v="0.0124181222707424"/>
        <n v="0.020516717325228"/>
        <n v="0.0364145658263305"/>
        <n v="0.0194805194805195"/>
        <n v="0.0255570117955439"/>
        <n v="0.021015761821366"/>
        <n v="0.0388888888888889"/>
        <n v="0.0436681222707424"/>
        <n v="0.0210378681626928"/>
        <n v="0.00806451612903226"/>
        <n v="0.0373134328358209"/>
        <n v="0.032258064516129"/>
        <n v="0.25"/>
        <n v="0.166666666666667"/>
        <n v="0.1875"/>
      </sharedItems>
    </cacheField>
    <cacheField name="每次点击成本(CPC)" numFmtId="0">
      <sharedItems containsString="0" containsBlank="1" containsNumber="1" minValue="0" maxValue="0.54" count="220">
        <n v="0.445789473684211"/>
        <n v="0.42"/>
        <n v="0.373333333333333"/>
        <n v="0.437"/>
        <n v="0.45"/>
        <n v="0.391818181818182"/>
        <n v="0.465719178082192"/>
        <n v="0.4172"/>
        <n v="0.423597883597884"/>
        <n v="0.4140625"/>
        <n v="0.257551020408163"/>
        <n v="0.272"/>
        <n v="0.24390625"/>
        <n v="0.282"/>
        <n v="0.28"/>
        <n v="0.449230769230769"/>
        <n v="0.174166666666667"/>
        <n v="0.25"/>
        <n v="0.30452380952381"/>
        <n v="0.13"/>
        <m/>
        <n v="0.37"/>
        <n v="0.24"/>
        <n v="0.226666666666667"/>
        <n v="0.142857142857143"/>
        <n v="0.356666666666667"/>
        <n v="0.354259259259259"/>
        <n v="0.348684210526316"/>
        <n v="0.41"/>
        <n v="0.402380952380952"/>
        <n v="0.495"/>
        <n v="0.368"/>
        <n v="0.307857142857143"/>
        <n v="0.329615384615385"/>
        <n v="0.352236842105263"/>
        <n v="0.356031746031746"/>
        <n v="0.368618421052632"/>
        <n v="0.39"/>
        <n v="0.34379746835443"/>
        <n v="0.323"/>
        <n v="0.320294117647059"/>
        <n v="0.32"/>
        <n v="0.313636363636364"/>
        <n v="0.3175"/>
        <n v="0.443174603174603"/>
        <n v="0.428648648648649"/>
        <n v="0.435789473684211"/>
        <n v="0.444090909090909"/>
        <n v="0.3895"/>
        <n v="0.388888888888889"/>
        <n v="0.380196078431373"/>
        <n v="0.396091954022988"/>
        <n v="0.397575757575758"/>
        <n v="0.0803571428571429"/>
        <n v="0.31"/>
        <n v="0.4203125"/>
        <n v="0.373846153846154"/>
        <n v="0.380704225352113"/>
        <n v="0.3275"/>
        <n v="0.2725"/>
        <n v="0.363333333333333"/>
        <n v="0.463478260869565"/>
        <n v="0.468571428571429"/>
        <n v="0.375555555555556"/>
        <n v="0.300476190476191"/>
        <n v="0.378571428571429"/>
        <n v="0.362368421052632"/>
        <n v="0.52409793814433"/>
        <n v="0.512022471910112"/>
        <n v="0.4"/>
        <n v="0.3225"/>
        <n v="0.314054054054054"/>
        <n v="0.336923076923077"/>
        <n v="0.323181818181818"/>
        <n v="0.373666666666667"/>
        <n v="0.355714285714286"/>
        <n v="0.428421052631579"/>
        <n v="0.46984962406015"/>
        <n v="0.423589743589744"/>
        <n v="0.414444444444445"/>
        <n v="0.303333333333333"/>
        <n v="0.197777777777778"/>
        <n v="0.447058823529412"/>
        <n v="0.426279069767442"/>
        <n v="0.458333333333333"/>
        <n v="0.424117647058824"/>
        <n v="0.505217391304348"/>
        <n v="0.486"/>
        <n v="0.310975609756098"/>
        <n v="0.320666666666667"/>
        <n v="0.335263157894737"/>
        <n v="0.33125"/>
        <n v="0.205"/>
        <n v="0.238333333333333"/>
        <n v="0.275"/>
        <n v="0.414375"/>
        <n v="0.34"/>
        <n v="0.404666666666667"/>
        <n v="0.391666666666667"/>
        <n v="0.357058823529412"/>
        <n v="0.41952380952381"/>
        <n v="0.402272727272727"/>
        <n v="0.2285"/>
        <n v="0.185"/>
        <n v="0.375384615384615"/>
        <n v="0.296"/>
        <n v="0.303157894736842"/>
        <n v="0.3075"/>
        <n v="0.4378125"/>
        <n v="0.416153846153846"/>
        <n v="0.406666666666667"/>
        <n v="0.366666666666667"/>
        <n v="0.323333333333333"/>
        <n v="0.426363636363636"/>
        <n v="0.1275"/>
        <n v="0.198"/>
        <n v="0.38"/>
        <n v="0.358571428571429"/>
        <n v="0.33375"/>
        <n v="0.335"/>
        <n v="0.345"/>
        <n v="0.420625"/>
        <n v="0.2"/>
        <n v="0.469545454545455"/>
        <n v="0.455116279069767"/>
        <n v="0.475172413793104"/>
        <n v="0.407894736842105"/>
        <n v="0.308333333333333"/>
        <n v="0.164"/>
        <n v="0.297894736842105"/>
        <n v="0.322307692307692"/>
        <n v="0.292352941176471"/>
        <n v="0.369677419354839"/>
        <n v="0.390526315789474"/>
        <n v="0.357"/>
        <n v="0.327222222222222"/>
        <n v="0.361111111111111"/>
        <n v="0.29063829787234"/>
        <n v="0.287272727272727"/>
        <n v="0.411379310344828"/>
        <n v="0.418888888888889"/>
        <n v="0.426666666666667"/>
        <n v="0.380666666666667"/>
        <n v="0.437142857142857"/>
        <n v="0.405714285714286"/>
        <n v="0.44"/>
        <n v="0.404545454545454"/>
        <n v="0.18"/>
        <n v="0.206666666666667"/>
        <n v="0.305"/>
        <n v="0.389090909090909"/>
        <n v="0.375263157894737"/>
        <n v="0.374"/>
        <n v="0.381944444444444"/>
        <n v="0.384642857142857"/>
        <n v="0.334444444444444"/>
        <n v="0.383333333333333"/>
        <n v="0.175"/>
        <n v="0.454705882352941"/>
        <n v="0.420142857142857"/>
        <n v="0.4375"/>
        <n v="0.35"/>
        <n v="0.314285714285714"/>
        <n v="0.3"/>
        <n v="0.3475"/>
        <n v="0.362380952380952"/>
        <n v="0.3825"/>
        <n v="0.37125"/>
        <n v="0.385555555555556"/>
        <n v="0.385"/>
        <n v="0.389285714285714"/>
        <n v="0.37875"/>
        <n v="0.501020408163265"/>
        <n v="0.438"/>
        <n v="0.507333333333333"/>
        <n v="0.54"/>
        <n v="0.473333333333333"/>
        <n v="0.4472"/>
        <n v="0.404615384615385"/>
        <n v="0.446"/>
        <n v="0.356"/>
        <n v="0.325"/>
        <n v="0.395454545454546"/>
        <n v="0.355"/>
        <n v="0.513888888888889"/>
        <n v="0.50125"/>
        <n v="0.511851851851852"/>
        <n v="0.505"/>
        <n v="0.502857142857143"/>
        <n v="0.375714285714286"/>
        <n v="0.413716814159292"/>
        <n v="0.421571428571429"/>
        <n v="0.482105263157895"/>
        <n v="0.395789473684211"/>
        <n v="0.396"/>
        <n v="0.393333333333333"/>
        <n v="0.444166666666667"/>
        <n v="0.461"/>
        <n v="0.4625"/>
        <n v="0.449285714285714"/>
        <n v="0.339"/>
        <n v="0.355555555555556"/>
        <n v="0.3448"/>
        <n v="0.3975"/>
        <n v="0.375"/>
        <n v="0.46"/>
        <n v="0.4732"/>
        <n v="0.44734375"/>
        <n v="0.462075471698113"/>
        <n v="0.403076923076923"/>
        <n v="0.350384615384615"/>
        <n v="0.301666666666667"/>
        <n v="0.355128205128205"/>
        <n v="0.345833333333333"/>
        <n v="0.339285714285714"/>
        <n v="0.444"/>
        <n v="0.392"/>
        <n v="0.425"/>
        <n v="0.315"/>
        <n v="0.33"/>
      </sharedItems>
    </cacheField>
    <cacheField name="花费" numFmtId="0">
      <sharedItems containsString="0" containsBlank="1" containsNumber="1" minValue="0" maxValue="203.35" count="231">
        <n v="25.41"/>
        <n v="2.52"/>
        <n v="10.08"/>
        <n v="4.37"/>
        <n v="1.8"/>
        <n v="7.14"/>
        <n v="4.31"/>
        <n v="135.99"/>
        <n v="20.86"/>
        <n v="80.06"/>
        <n v="13.25"/>
        <n v="12.62"/>
        <n v="4.08"/>
        <n v="15.61"/>
        <n v="5.64"/>
        <n v="6.44"/>
        <n v="5.84"/>
        <n v="2.09"/>
        <n v="0.5"/>
        <n v="12.79"/>
        <n v="0.13"/>
        <n v="0"/>
        <n v="0.37"/>
        <n v="0.48"/>
        <n v="1.36"/>
        <n v="1"/>
        <n v="3.21"/>
        <n v="19.13"/>
        <n v="1.23"/>
        <n v="8.45"/>
        <n v="1.98"/>
        <n v="0.41"/>
        <n v="1.84"/>
        <n v="12.93"/>
        <n v="8.57"/>
        <n v="26.77"/>
        <n v="22.43"/>
        <n v="56.03"/>
        <n v="14.04"/>
        <n v="27.16"/>
        <n v="6.46"/>
        <n v="10.89"/>
        <n v="8.64"/>
        <n v="3.45"/>
        <n v="3.81"/>
        <n v="55.84"/>
        <n v="31.72"/>
        <n v="8.28"/>
        <n v="19.54"/>
        <n v="15.58"/>
        <n v="17.5"/>
        <n v="19.39"/>
        <n v="34.46"/>
        <n v="39.36"/>
        <n v="0.42"/>
        <n v="2.25"/>
        <n v="0.62"/>
        <n v="0.31"/>
        <n v="13.45"/>
        <n v="4.86"/>
        <n v="27.03"/>
        <n v="1.31"/>
        <n v="3.27"/>
        <n v="1.09"/>
        <n v="10.66"/>
        <n v="3.28"/>
        <n v="3.38"/>
        <n v="6.31"/>
        <n v="11.04"/>
        <n v="2.65"/>
        <n v="13.77"/>
        <n v="203.35"/>
        <n v="45.57"/>
        <n v="2.4"/>
        <n v="7.74"/>
        <n v="11.62"/>
        <n v="4.38"/>
        <n v="8.99"/>
        <n v="7.11"/>
        <n v="11.21"/>
        <n v="4.98"/>
        <n v="8.14"/>
        <n v="62.49"/>
        <n v="33.04"/>
        <n v="14.92"/>
        <n v="2.73"/>
        <n v="1.78"/>
        <n v="15.2"/>
        <n v="18.33"/>
        <n v="2.75"/>
        <n v="21.63"/>
        <n v="14.58"/>
        <n v="12.75"/>
        <n v="9.62"/>
        <n v="12.74"/>
        <n v="5.3"/>
        <n v="2.86"/>
        <n v="1.1"/>
        <n v="6.63"/>
        <n v="0.34"/>
        <n v="6.07"/>
        <n v="2.35"/>
        <n v="17.62"/>
        <n v="8.85"/>
        <n v="0.39"/>
        <n v="0.4"/>
        <n v="4.57"/>
        <n v="0.24"/>
        <n v="4.88"/>
        <n v="1.48"/>
        <n v="11.52"/>
        <n v="4.92"/>
        <n v="1.17"/>
        <n v="14.01"/>
        <n v="5.41"/>
        <n v="6.1"/>
        <n v="2.2"/>
        <n v="1.94"/>
        <n v="4.69"/>
        <n v="0.51"/>
        <n v="0.99"/>
        <n v="1.52"/>
        <n v="0.78"/>
        <n v="2.51"/>
        <n v="2.67"/>
        <n v="0.67"/>
        <n v="0.69"/>
        <n v="2.8"/>
        <n v="6.73"/>
        <n v="20.66"/>
        <n v="19.57"/>
        <n v="6.2"/>
        <n v="13.78"/>
        <n v="15.17"/>
        <n v="7.75"/>
        <n v="7.4"/>
        <n v="0.82"/>
        <n v="11.32"/>
        <n v="8.38"/>
        <n v="4.97"/>
        <n v="11.46"/>
        <n v="7.42"/>
        <n v="3.57"/>
        <n v="0.38"/>
        <n v="11.78"/>
        <n v="3.25"/>
        <n v="13.66"/>
        <n v="3.16"/>
        <n v="2.38"/>
        <n v="11.93"/>
        <n v="7.54"/>
        <n v="1.28"/>
        <n v="5.71"/>
        <n v="3.06"/>
        <n v="5.68"/>
        <n v="1.76"/>
        <n v="4.45"/>
        <n v="0.36"/>
        <n v="0.18"/>
        <n v="2.48"/>
        <n v="0.61"/>
        <n v="4.28"/>
        <n v="7.13"/>
        <n v="5.61"/>
        <n v="13.75"/>
        <n v="10.77"/>
        <n v="3.01"/>
        <n v="1.15"/>
        <n v="0.35"/>
        <n v="7.73"/>
        <n v="29.41"/>
        <n v="3.5"/>
        <n v="0.3"/>
        <n v="1.39"/>
        <n v="7.61"/>
        <n v="1.53"/>
        <n v="5.94"/>
        <n v="3.47"/>
        <n v="3.08"/>
        <n v="5.45"/>
        <n v="6.06"/>
        <n v="24.55"/>
        <n v="3.84"/>
        <n v="6.56"/>
        <n v="11.18"/>
        <n v="5.26"/>
        <n v="11.15"/>
        <n v="0.55"/>
        <n v="0.8"/>
        <n v="1.95"/>
        <n v="4.35"/>
        <n v="2.13"/>
        <n v="9.25"/>
        <n v="4.01"/>
        <n v="13.82"/>
        <n v="2.02"/>
        <n v="3.52"/>
        <n v="2.63"/>
        <n v="46.75"/>
        <n v="29.51"/>
        <n v="9.16"/>
        <n v="7.52"/>
        <n v="2.36"/>
        <n v="3.15"/>
        <n v="5.33"/>
        <n v="4.61"/>
        <n v="3.7"/>
        <n v="6.29"/>
        <n v="3.39"/>
        <n v="3.2"/>
        <n v="8.62"/>
        <n v="1.59"/>
        <n v="0.75"/>
        <n v="0.92"/>
        <n v="23.66"/>
        <n v="28.63"/>
        <n v="48.98"/>
        <n v="36.68"/>
        <n v="22.68"/>
        <n v="9.11"/>
        <n v="1.81"/>
        <n v="13.85"/>
        <n v="4.15"/>
        <n v="4.75"/>
        <n v="4.44"/>
        <n v="5.88"/>
        <n v="0.85"/>
        <n v="0.63"/>
        <n v="0.33"/>
        <n v="0.97"/>
        <m/>
      </sharedItems>
    </cacheField>
    <cacheField name="7天总销售额" numFmtId="0">
      <sharedItems containsString="0" containsBlank="1" containsNumber="1" minValue="0" maxValue="762.08" count="40">
        <n v="62.95"/>
        <n v="0"/>
        <n v="38.97"/>
        <n v="10.99"/>
        <n v="12.99"/>
        <n v="762.08"/>
        <n v="49.96"/>
        <n v="383.59"/>
        <n v="51.96"/>
        <n v="454.65"/>
        <n v="116.91"/>
        <n v="15.99"/>
        <n v="90.93"/>
        <n v="77.94"/>
        <n v="211.84"/>
        <n v="99.92"/>
        <n v="103.92"/>
        <n v="36.97"/>
        <n v="25.98"/>
        <n v="181.75"/>
        <n v="220.61"/>
        <n v="75.94"/>
        <n v="129.9"/>
        <n v="179.86"/>
        <n v="88.82"/>
        <n v="699.46"/>
        <n v="140.89"/>
        <n v="88.93"/>
        <n v="220.72"/>
        <n v="101.92"/>
        <n v="64.95"/>
        <n v="42.97"/>
        <n v="23.98"/>
        <n v="12.88"/>
        <n v="73.94"/>
        <n v="56.95"/>
        <n v="144.89"/>
        <n v="64.62"/>
        <n v="116.25"/>
        <m/>
      </sharedItems>
    </cacheField>
    <cacheField name="广告成本销售比(ACOS)" numFmtId="0">
      <sharedItems containsString="0" containsBlank="1" containsNumber="1" minValue="0" maxValue="1.03541185527329" count="155">
        <n v="0.403653693407466"/>
        <m/>
        <n v="0.258660508083141"/>
        <n v="0.397634212920837"/>
        <n v="0.549653579676674"/>
        <n v="0.331793687451886"/>
        <n v="0.178445832458534"/>
        <n v="0.417534027221777"/>
        <n v="0.208712427331265"/>
        <n v="0.255003849114704"/>
        <n v="0.0277576157483779"/>
        <n v="0.314087759815243"/>
        <n v="0.133521512274399"/>
        <n v="0.144726712856043"/>
        <n v="0.49576597382602"/>
        <n v="0.160892994611239"/>
        <n v="0.984603541185528"/>
        <n v="0.104695919938414"/>
        <n v="0.49089042853477"/>
        <n v="1.02001539645881"/>
        <n v="0.65050038491147"/>
        <n v="0.115071919949969"/>
        <n v="0.248845265588915"/>
        <n v="0.659738260200154"/>
        <n v="0.294402287473881"/>
        <n v="0.287785476007185"/>
        <n v="0.264492069486405"/>
        <n v="0.140512409927942"/>
        <n v="0.261354888375673"/>
        <n v="0.174736272653503"/>
        <n v="0.419168591224019"/>
        <n v="0.110854503464203"/>
        <n v="0.132794457274827"/>
        <n v="0.307235213204952"/>
        <n v="0.143783146729523"/>
        <n v="0.318706697459584"/>
        <n v="0.257308401369502"/>
        <n v="0.299846035411855"/>
        <n v="0.449063382088786"/>
        <n v="0.746343341031563"/>
        <n v="0.265280985373364"/>
        <n v="0.218836873123541"/>
        <n v="0.0577367205542725"/>
        <n v="1.03541185527329"/>
        <n v="0.304323350596713"/>
        <n v="0.410315627405697"/>
        <n v="0.130100076982294"/>
        <n v="0.161919425198871"/>
        <n v="0.424942263279446"/>
        <n v="0.204003079291763"/>
        <n v="0.290724273010608"/>
        <n v="0.323443821420967"/>
        <n v="0.184757505773672"/>
        <n v="0.148960739030023"/>
        <n v="0.223633564280216"/>
        <n v="0.346035411855273"/>
        <n v="0.136836027713626"/>
        <n v="0.287657172183731"/>
        <n v="0.0915326661419094"/>
        <n v="0.283118883653498"/>
        <n v="0.324175824175824"/>
        <n v="0.287143956889915"/>
        <n v="0.137028483448807"/>
        <n v="0.234026173979985"/>
        <n v="0.426576681405632"/>
        <n v="0.211701308698999"/>
        <n v="0.83256351039261"/>
        <n v="0.298178085706954"/>
        <n v="0.191993679220437"/>
        <n v="0.196304849884527"/>
        <n v="0.148113933795227"/>
        <n v="0.490377213240955"/>
        <n v="0.276480400333611"/>
        <n v="0.0261739799846035"/>
        <n v="0.116820631254811"/>
        <n v="0.180908391070054"/>
        <n v="0.467282525019245"/>
        <n v="0.135642802155504"/>
        <n v="0.227097767513472"/>
        <n v="0.123613740870976"/>
        <n v="0.0284834488067744"/>
        <n v="0.375673595073133"/>
        <n v="0.230584467574059"/>
        <n v="0.189376443418014"/>
        <n v="0.137460753532182"/>
        <n v="0.208237105465743"/>
        <n v="0.469591993841417"/>
        <n v="0.117013086989992"/>
        <n v="0.096612779060816"/>
        <n v="0.20554272517321"/>
        <n v="0.522515527950311"/>
        <n v="0.397613548883757"/>
        <n v="0.264674060048688"/>
        <n v="0.238645111624326"/>
        <n v="0.151545144616738"/>
        <n v="0.389273800359251"/>
        <n v="0.149153194765204"/>
        <n v="0.18988965871183"/>
        <n v="0.290479856299718"/>
        <n v="0.215037208108802"/>
        <n v="0.382602001539646"/>
        <n v="0.309424520433695"/>
        <n v="0.30228380805748"/>
        <n v="0.216997617156473"/>
        <n v="0.243264049268668"/>
        <n v="0.58044649730562"/>
        <n v="0.058891454965358"/>
        <n v="0.437259430331024"/>
        <n v="0.0954580446497306"/>
        <n v="0.329484218629715"/>
        <n v="0.192859074925615"/>
        <n v="0.352835514498332"/>
        <n v="0.0885296381832179"/>
        <n v="0.269438029253272"/>
        <n v="0.126478616924477"/>
        <n v="0.585835257890685"/>
        <n v="0.228637413394919"/>
        <n v="0.280254777070064"/>
        <n v="0.147416824452259"/>
        <n v="0.466512702078522"/>
        <n v="0.62997177315884"/>
        <n v="0.337182448036952"/>
        <n v="0.147806004618938"/>
        <n v="0.252501924557352"/>
        <n v="0.236864053377815"/>
        <n v="0.196312554872695"/>
        <n v="0.404926866820631"/>
        <n v="0.464970809007506"/>
        <n v="0.395814376706096"/>
        <n v="0.0153964588144727"/>
        <n v="0.356043110084681"/>
        <n v="0.151985043440009"/>
        <n v="0.155504234026174"/>
        <n v="0.101231716705158"/>
        <n v="0.322658568569259"/>
        <n v="0.456669761683689"/>
        <n v="0.705157813702848"/>
        <n v="0.578906851424172"/>
        <n v="0.152424942263279"/>
        <n v="0.0908391070053888"/>
        <n v="0.205157813702848"/>
        <n v="0.177444187836798"/>
        <n v="0.484218629715165"/>
        <n v="0.141367806505421"/>
        <n v="0.291173794358508"/>
        <n v="0.0307929176289453"/>
        <n v="0.910700538876059"/>
        <n v="0.551000769822941"/>
        <n v="0.421333333333333"/>
        <n v="0.470618424429048"/>
        <n v="0.350654349499615"/>
        <n v="0.355401590967411"/>
        <n v="0.319476520400308"/>
        <n v="0.141647421093149"/>
        <n v="0.226327944572748"/>
      </sharedItems>
    </cacheField>
    <cacheField name="投入产出比(ROAS)" numFmtId="0">
      <sharedItems containsString="0" containsBlank="1" containsNumber="1" minValue="0" maxValue="64.95" count="156">
        <n v="2.47737111373475"/>
        <n v="0"/>
        <n v="3.86607142857143"/>
        <n v="2.51487414187643"/>
        <n v="1.81932773109244"/>
        <n v="3.01392111368909"/>
        <n v="5.60394146628429"/>
        <n v="2.39501438159156"/>
        <n v="4.79128153884587"/>
        <n v="3.92150943396226"/>
        <n v="36.0261489698891"/>
        <n v="3.18382352941176"/>
        <n v="7.48942985265855"/>
        <n v="6.90957446808511"/>
        <n v="2.01708074534161"/>
        <n v="6.21531100478469"/>
        <n v="1.01563721657545"/>
        <m/>
        <n v="9.5514705882353"/>
        <n v="2.03711447987454"/>
        <n v="0.980377358490566"/>
        <n v="1.53727810650888"/>
        <n v="8.69021739130435"/>
        <n v="4.01856148491879"/>
        <n v="1.51575262543757"/>
        <n v="3.39671273813971"/>
        <n v="3.47481052162283"/>
        <n v="3.78083169730502"/>
        <n v="7.11680911680912"/>
        <n v="3.82621502209131"/>
        <n v="5.72291021671827"/>
        <n v="2.38567493112948"/>
        <n v="9.02083333333333"/>
        <n v="7.5304347826087"/>
        <n v="3.25483524355301"/>
        <n v="6.95491803278688"/>
        <n v="3.13768115942029"/>
        <n v="3.8863868986694"/>
        <n v="3.33504492939666"/>
        <n v="2.22685714285714"/>
        <n v="1.33986591026302"/>
        <n v="3.7695879280325"/>
        <n v="4.56961382113821"/>
        <n v="17.32"/>
        <n v="0.965799256505576"/>
        <n v="3.28597854236034"/>
        <n v="2.43714821763602"/>
        <n v="7.68639053254438"/>
        <n v="6.17591125198098"/>
        <n v="2.35326086956522"/>
        <n v="4.90188679245283"/>
        <n v="3.43968527169904"/>
        <n v="3.091727013386"/>
        <n v="5.4125"/>
        <n v="6.71317829457364"/>
        <n v="4.47160068846816"/>
        <n v="2.88987764182425"/>
        <n v="7.30801687763713"/>
        <n v="3.47636039250669"/>
        <n v="10.9250614250614"/>
        <n v="3.53208513362138"/>
        <n v="3.08474576271186"/>
        <n v="3.48257372654155"/>
        <n v="7.29775280898876"/>
        <n v="4.27302631578947"/>
        <n v="2.34424440807419"/>
        <n v="4.72363636363636"/>
        <n v="1.20110957004161"/>
        <n v="3.35370051635112"/>
        <n v="5.20850480109739"/>
        <n v="5.09411764705882"/>
        <n v="6.75155925155925"/>
        <n v="2.0392464678179"/>
        <n v="3.61689291101056"/>
        <n v="38.2058823529412"/>
        <n v="8.56013179571664"/>
        <n v="5.52765957446809"/>
        <n v="2.14003294892916"/>
        <n v="7.37230419977298"/>
        <n v="4.40338983050847"/>
        <n v="8.08971553610503"/>
        <n v="35.1081081081081"/>
        <n v="2.66188524590164"/>
        <n v="4.33680555555555"/>
        <n v="5.28048780487805"/>
        <n v="7.27480371163455"/>
        <n v="4.80221811460259"/>
        <n v="2.12950819672131"/>
        <n v="8.54605263157895"/>
        <n v="10.3505976095618"/>
        <n v="4.86516853932584"/>
        <n v="1.91381872213967"/>
        <n v="2.51500484027105"/>
        <n v="3.77823198773633"/>
        <n v="4.19032258064516"/>
        <n v="6.59869375907112"/>
        <n v="2.56888595912986"/>
        <n v="6.70451612903226"/>
        <n v="5.26621621621622"/>
        <n v="3.44257950530035"/>
        <n v="4.65035799522673"/>
        <n v="2.61368209255533"/>
        <n v="3.23180592991914"/>
        <n v="3.30814940577249"/>
        <n v="4.60834553440703"/>
        <n v="4.11075949367089"/>
        <n v="1.72281167108753"/>
        <n v="16.9803921568627"/>
        <n v="2.28697183098592"/>
        <n v="10.4758064516129"/>
        <n v="3.03504672897196"/>
        <n v="5.1851332398317"/>
        <n v="2.83418181818182"/>
        <n v="11.295652173913"/>
        <n v="3.71142857142857"/>
        <n v="7.90647482014388"/>
        <n v="1.70696452036794"/>
        <n v="4.37373737373737"/>
        <n v="3.56818181818182"/>
        <n v="6.78348623853211"/>
        <n v="2.14356435643564"/>
        <n v="1.58737270875764"/>
        <n v="2.96575342465753"/>
        <n v="6.765625"/>
        <n v="3.96036585365854"/>
        <n v="4.22183098591549"/>
        <n v="5.09391771019678"/>
        <n v="2.46958174904943"/>
        <n v="2.15067264573991"/>
        <n v="2.52643678160919"/>
        <n v="64.95"/>
        <n v="2.80864864864865"/>
        <n v="6.57959479015919"/>
        <n v="6.43069306930693"/>
        <n v="9.87832699619772"/>
        <n v="3.0992513368984"/>
        <n v="2.18976618095561"/>
        <n v="1.41812227074236"/>
        <n v="1.72739361702128"/>
        <n v="6.56060606060606"/>
        <n v="11.0084745762712"/>
        <n v="4.87429643527205"/>
        <n v="5.6355748373102"/>
        <n v="2.06518282988871"/>
        <n v="7.07374631268437"/>
        <n v="3.434375"/>
        <n v="32.475"/>
        <n v="1.09805579036348"/>
        <n v="1.81487949703109"/>
        <n v="2.37341772151899"/>
        <n v="2.12486368593239"/>
        <n v="2.85181119648738"/>
        <n v="2.81371841155235"/>
        <n v="3.13012048192771"/>
        <n v="7.05978260869565"/>
        <n v="4.41836734693878"/>
      </sharedItems>
    </cacheField>
    <cacheField name="7天总订单数(#)" numFmtId="0">
      <sharedItems containsString="0" containsBlank="1" containsNumber="1" containsInteger="1" minValue="0" maxValue="54" count="19">
        <n v="5"/>
        <n v="0"/>
        <n v="3"/>
        <n v="1"/>
        <n v="50"/>
        <n v="4"/>
        <n v="31"/>
        <n v="8"/>
        <n v="9"/>
        <n v="2"/>
        <n v="7"/>
        <n v="6"/>
        <n v="16"/>
        <n v="14"/>
        <n v="17"/>
        <n v="10"/>
        <n v="54"/>
        <n v="11"/>
        <m/>
      </sharedItems>
    </cacheField>
    <cacheField name="7天总销售量(#)" numFmtId="0">
      <sharedItems containsString="0" containsBlank="1" containsNumber="1" containsInteger="1" minValue="0" maxValue="59" count="20">
        <n v="5"/>
        <n v="0"/>
        <n v="3"/>
        <n v="1"/>
        <n v="59"/>
        <n v="4"/>
        <n v="31"/>
        <n v="35"/>
        <n v="9"/>
        <n v="7"/>
        <n v="6"/>
        <n v="16"/>
        <n v="8"/>
        <n v="2"/>
        <n v="14"/>
        <n v="17"/>
        <n v="10"/>
        <n v="54"/>
        <n v="11"/>
        <m/>
      </sharedItems>
    </cacheField>
    <cacheField name="7天的转化率" numFmtId="0">
      <sharedItems containsString="0" containsBlank="1" containsNumber="1" minValue="0" maxValue="2" count="76">
        <n v="0.087719298245614"/>
        <n v="0"/>
        <n v="0.111111111111111"/>
        <n v="0.1"/>
        <n v="0.0588235294117647"/>
        <n v="0.0909090909090909"/>
        <n v="0.171232876712329"/>
        <n v="0.08"/>
        <n v="0.164021164021164"/>
        <n v="0.125"/>
        <n v="0.163265306122449"/>
        <n v="0.0666666666666667"/>
        <n v="0.140625"/>
        <n v="0.0434782608695652"/>
        <n v="0.0833333333333333"/>
        <n v="0.0238095238095238"/>
        <m/>
        <n v="0.166666666666667"/>
        <n v="0.0555555555555556"/>
        <n v="0.0263157894736842"/>
        <n v="0.0476190476190476"/>
        <n v="0.2"/>
        <n v="0.0952380952380952"/>
        <n v="0.0384615384615385"/>
        <n v="0.0921052631578947"/>
        <n v="0.105263157894737"/>
        <n v="0.194444444444444"/>
        <n v="0.10126582278481"/>
        <n v="0.15"/>
        <n v="0.185185185185185"/>
        <n v="0.181818181818182"/>
        <n v="0.22972972972973"/>
        <n v="0.136363636363636"/>
        <n v="0.0392156862745098"/>
        <n v="0.114942528735632"/>
        <n v="0.141414141414141"/>
        <n v="0.0714285714285714"/>
        <n v="0.03125"/>
        <n v="0.0985915492957746"/>
        <n v="0.0869565217391304"/>
        <n v="0.222222222222222"/>
        <n v="0.142857142857143"/>
        <n v="0.139175257731959"/>
        <n v="0.123595505617978"/>
        <n v="0.108108108108108"/>
        <n v="0.0689655172413793"/>
        <n v="0.210526315789474"/>
        <n v="0.12781954887218"/>
        <n v="0.102564102564103"/>
        <n v="0.147058823529412"/>
        <n v="0.0697674418604651"/>
        <n v="0.130434782608696"/>
        <n v="0.121951219512195"/>
        <n v="0.0526315789473684"/>
        <n v="1"/>
        <n v="0.5"/>
        <n v="0.0769230769230769"/>
        <n v="0.25"/>
        <n v="0.153846153846154"/>
        <n v="0.285714285714286"/>
        <n v="0.0625"/>
        <n v="0.241379310344828"/>
        <n v="0.0810810810810811"/>
        <n v="0.0789473684210526"/>
        <n v="0.106382978723404"/>
        <n v="0.157894736842105"/>
        <n v="0.333333333333333"/>
        <n v="0.214285714285714"/>
        <n v="0.0612244897959184"/>
        <n v="2"/>
        <n v="0.259259259259259"/>
        <n v="0.0973451327433628"/>
        <n v="0.04"/>
        <n v="0.0754716981132075"/>
        <n v="0.0659340659340659"/>
        <n v="0.133333333333333"/>
      </sharedItems>
    </cacheField>
    <cacheField name="7天内广告SKU销售量(#)" numFmtId="0">
      <sharedItems containsString="0" containsBlank="1" containsNumber="1" containsInteger="1" minValue="0" maxValue="24" count="13">
        <n v="2"/>
        <n v="0"/>
        <n v="1"/>
        <n v="17"/>
        <n v="15"/>
        <n v="3"/>
        <n v="7"/>
        <n v="4"/>
        <n v="8"/>
        <n v="6"/>
        <n v="24"/>
        <n v="9"/>
        <m/>
      </sharedItems>
    </cacheField>
    <cacheField name="7天内其他SKU销售量(#)" numFmtId="0">
      <sharedItems containsString="0" containsBlank="1" containsNumber="1" containsInteger="1" minValue="0" maxValue="42" count="16">
        <n v="3"/>
        <n v="0"/>
        <n v="1"/>
        <n v="42"/>
        <n v="2"/>
        <n v="16"/>
        <n v="32"/>
        <n v="7"/>
        <n v="4"/>
        <n v="9"/>
        <n v="10"/>
        <n v="8"/>
        <n v="6"/>
        <n v="30"/>
        <n v="5"/>
        <m/>
      </sharedItems>
    </cacheField>
    <cacheField name="7天内广告SKU销售额" numFmtId="0">
      <sharedItems containsString="0" containsBlank="1" containsNumber="1" minValue="0" maxValue="309.76" count="21">
        <n v="25.98"/>
        <n v="0"/>
        <n v="10.99"/>
        <n v="12.99"/>
        <n v="220.72"/>
        <n v="188.85"/>
        <n v="38.97"/>
        <n v="96.93"/>
        <n v="86.93"/>
        <n v="23.98"/>
        <n v="51.96"/>
        <n v="103.81"/>
        <n v="77.94"/>
        <n v="309.76"/>
        <n v="75.94"/>
        <n v="116.8"/>
        <n v="42.97"/>
        <n v="36.97"/>
        <n v="12.88"/>
        <n v="94.93"/>
        <m/>
      </sharedItems>
    </cacheField>
    <cacheField name="7天内其他SKU销售额" numFmtId="0">
      <sharedItems containsString="0" containsBlank="1" containsNumber="1" minValue="0" maxValue="541.36" count="29">
        <n v="36.97"/>
        <n v="0"/>
        <n v="12.99"/>
        <n v="541.36"/>
        <n v="23.98"/>
        <n v="194.74"/>
        <n v="415.68"/>
        <n v="90.93"/>
        <n v="25.98"/>
        <n v="15.99"/>
        <n v="51.96"/>
        <n v="114.91"/>
        <n v="129.79"/>
        <n v="116.8"/>
        <n v="38.97"/>
        <n v="103.92"/>
        <n v="101.92"/>
        <n v="75.83"/>
        <n v="389.7"/>
        <n v="127.9"/>
        <n v="75.94"/>
        <n v="73.94"/>
        <n v="10.99"/>
        <n v="45.96"/>
        <n v="64.95"/>
        <n v="49.96"/>
        <n v="51.63"/>
        <n v="77.28"/>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28.xml><?xml version="1.0" encoding="utf-8"?>
<pivotCacheDefinition xmlns="http://schemas.openxmlformats.org/spreadsheetml/2006/main" xmlns:r="http://schemas.openxmlformats.org/officeDocument/2006/relationships" r:id="rId1" createdVersion="5" refreshedVersion="5" minRefreshableVersion="3" refreshedDate="45219.5934259259" refreshedBy="Administrator" recordCount="11">
  <cacheSource type="worksheet">
    <worksheetSource ref="B1:O1048576" sheet="10.12-10.18" r:id="rId2"/>
  </cacheSource>
  <cacheFields count="14">
    <cacheField name="（子）ASIN" numFmtId="0">
      <sharedItems containsBlank="1" count="11">
        <s v="B0C9JFKG5T"/>
        <s v="B0C9CPLLVZ"/>
        <s v="B0CFHBXMR8"/>
        <s v="B0CD7RMVW9"/>
        <s v="B0CDBZVK51"/>
        <s v="B0B1LLHT2Z"/>
        <s v="B0B84S87WN"/>
        <s v="B0B8CNJS54"/>
        <s v="B0C9CZZ7RD"/>
        <s v="B0CH85JSBY"/>
        <m/>
      </sharedItems>
    </cacheField>
    <cacheField name="商品名称" numFmtId="0">
      <sharedItems containsBlank="1" count="11">
        <s v="TAEDNOMZN 2 Pcs Aluminum Rear Cover Slide Back Plates Compatible with Glock 17 19 21 22 23 24 26 27 29 30 31 32 33 34 35 36 37 38 39 40 41 Models Gen 1-4 (No Pattern Black)"/>
        <s v="TAEDNOMZN 2 Pcs Aluminum Rear Cover Slide Back Plates Compatible with Glock 17 19 21 22 23 24 26 27 29 30 31 32 33 34 35 36 37 38 39 40 41 Models Gen 1-4 (American Flag)"/>
        <s v="Tourniquet Holder,Tatical Tourniquet Pouch Kit for Gen7 CAT or Older Molle Tourniquet Holder Included Rescue Medical Tourniquet for Emergency First Aid (Black 1)"/>
        <s v="TAEDNOMZN Fiber Optic Red Green Sights No-Tritium for Taurus G2C, PT111,G2S, G3, G2, PT140, 709, 740, TX22 Accessories Sights Set (Front Red + Rear Green)"/>
        <s v="TAEDNOMZN Gun Belt Clip for Glock Holster Clip Low Profile Slim Concealed Carry Gun Clip for Glock Gen 5 Models 17, 19, 22, 23, 24, 25, 26, 27, 28,31, 32, 33, 34, 35, 36 (Gen 5)"/>
        <s v="TAEDNOMZN for Samsung Galaxy A03S Case, Samsung A03S Case with [Belt Clip Holster] [Screen Protector] Military Grade Heavy Duty Rugged Shockproof Full Body Protective Phone Cover with Stand for A03S"/>
        <s v="TAEDNOMZN for Samsung Galaxy Z Flip 4 Case, Z Flip 4 Case with Kickstand Hinge Protection All-Inclusive Camera Lens Protector Ultra Thin Military Shockproof Protective Case for Z Flip 4 5G（Black"/>
        <s v="TAEDNOMZN for Galaxy Z Flip 4 Case, Z Flip 4 Case with 2 Card Holder/PU Leather Card Slots+Hard PC Edge Ultra-Thin Durable Shockproof Full Body Protective Wallet Case for Samsung Galaxy Z Flip 4 5G"/>
        <s v="TAEDNOMZN 2 Pcs Aluminum Rear Cover Slide Back Plates Compatible with Glock 17 19 21 22 23 24 26 27 29 30 31 32 33 34 35 36 37 38 39 40 41 Models Gen 1-4(Skull Design)"/>
        <s v="TAEDNOMZN Magnetic Gun Wall Mount with Safety Trigger Guard Protection,Gun Mount Rack Max up to 60 LBS,Mount Gun Holder for Vehicle, Car, Truck, Safe, Desk, Pistol, Shotgun, Rifle"/>
        <m/>
      </sharedItems>
    </cacheField>
    <cacheField name="SKU" numFmtId="0">
      <sharedItems containsBlank="1" count="11">
        <s v="Y5071-BL"/>
        <s v="Y5071"/>
        <s v="Y5079"/>
        <s v="Y5077-GN"/>
        <s v="Y5078-5"/>
        <s v="Y5024-BL"/>
        <s v="Y5060-BL"/>
        <s v="Y5058-DB"/>
        <s v="Y5071-PU"/>
        <s v="Y5075"/>
        <m/>
      </sharedItems>
    </cacheField>
    <cacheField name="会话次数 – 总计" numFmtId="0">
      <sharedItems containsString="0" containsBlank="1" containsNumber="1" containsInteger="1" minValue="0" maxValue="134" count="9">
        <n v="134"/>
        <n v="86"/>
        <n v="77"/>
        <n v="22"/>
        <n v="4"/>
        <n v="7"/>
        <n v="18"/>
        <n v="37"/>
        <m/>
      </sharedItems>
    </cacheField>
    <cacheField name="会话次数 – 总计 – B2B" numFmtId="0">
      <sharedItems containsString="0" containsBlank="1" containsNumber="1" containsInteger="1" minValue="0" maxValue="5" count="6">
        <n v="5"/>
        <n v="4"/>
        <n v="1"/>
        <n v="0"/>
        <n v="2"/>
        <m/>
      </sharedItems>
    </cacheField>
    <cacheField name="会话百分比 – 总计" numFmtId="0">
      <sharedItems containsString="0" containsBlank="1" containsNumber="1" minValue="0" maxValue="0.2562" count="9">
        <n v="0.2562"/>
        <n v="0.1644"/>
        <n v="0.1472"/>
        <n v="0.0421"/>
        <n v="0.0076"/>
        <n v="0.0134"/>
        <n v="0.0344"/>
        <n v="0.0707"/>
        <m/>
      </sharedItems>
    </cacheField>
    <cacheField name="会话百分比 – 总计 – B2B" numFmtId="0">
      <sharedItems containsString="0" containsBlank="1" containsNumber="1" minValue="0" maxValue="0.3333" count="6">
        <n v="0.3333"/>
        <n v="0.2667"/>
        <n v="0.0667"/>
        <n v="0"/>
        <n v="0.1333"/>
        <m/>
      </sharedItems>
    </cacheField>
    <cacheField name="页面浏览量 – 总计" numFmtId="0">
      <sharedItems containsString="0" containsBlank="1" containsNumber="1" containsInteger="1" minValue="0" maxValue="186" count="11">
        <n v="186"/>
        <n v="183"/>
        <n v="110"/>
        <n v="96"/>
        <n v="30"/>
        <n v="6"/>
        <n v="5"/>
        <n v="13"/>
        <n v="27"/>
        <n v="47"/>
        <m/>
      </sharedItems>
    </cacheField>
    <cacheField name="页面浏览量 – 总计 – B2B" numFmtId="0">
      <sharedItems containsString="0" containsBlank="1" containsNumber="1" containsInteger="1" minValue="0" maxValue="11" count="7">
        <n v="11"/>
        <n v="6"/>
        <n v="1"/>
        <n v="2"/>
        <n v="0"/>
        <n v="4"/>
        <m/>
      </sharedItems>
    </cacheField>
    <cacheField name="页面浏览量百分比 – 总计" numFmtId="0">
      <sharedItems containsString="0" containsBlank="1" containsNumber="1" minValue="0" maxValue="0.2646" count="11">
        <n v="0.2646"/>
        <n v="0.2603"/>
        <n v="0.1565"/>
        <n v="0.1366"/>
        <n v="0.0427"/>
        <n v="0.0085"/>
        <n v="0.0071"/>
        <n v="0.0185"/>
        <n v="0.0384"/>
        <n v="0.0669"/>
        <m/>
      </sharedItems>
    </cacheField>
    <cacheField name="页面浏览量百分比 – 总计 – B2B" numFmtId="0">
      <sharedItems containsString="0" containsBlank="1" containsNumber="1" minValue="0" maxValue="0.4231" count="7">
        <n v="0.4231"/>
        <n v="0.2308"/>
        <n v="0.0385"/>
        <n v="0.0769"/>
        <n v="0"/>
        <n v="0.1538"/>
        <m/>
      </sharedItems>
    </cacheField>
    <cacheField name="推荐报价（购买按钮）百分比" numFmtId="0">
      <sharedItems containsString="0" containsBlank="1" containsNumber="1" minValue="0" maxValue="1" count="5">
        <n v="1"/>
        <n v="0.9907"/>
        <n v="0.9333"/>
        <n v="0.3077"/>
        <m/>
      </sharedItems>
    </cacheField>
    <cacheField name="推荐报价（购买按钮）百分比 – B2B" numFmtId="0">
      <sharedItems containsString="0" containsBlank="1" containsNumber="1" containsInteger="1" minValue="0" maxValue="1" count="3">
        <n v="1"/>
        <n v="0"/>
        <m/>
      </sharedItems>
    </cacheField>
    <cacheField name="已订购商品数量" numFmtId="0">
      <sharedItems containsString="0" containsBlank="1" containsNumber="1" containsInteger="1" minValue="0" maxValue="18" count="6">
        <n v="18"/>
        <n v="8"/>
        <n v="6"/>
        <n v="2"/>
        <n v="1"/>
        <m/>
      </sharedItems>
    </cacheField>
  </cacheFields>
</pivotCacheDefinition>
</file>

<file path=xl/pivotCache/pivotCacheDefinition29.xml><?xml version="1.0" encoding="utf-8"?>
<pivotCacheDefinition xmlns="http://schemas.openxmlformats.org/spreadsheetml/2006/main" xmlns:r="http://schemas.openxmlformats.org/officeDocument/2006/relationships" r:id="rId1" createdVersion="5" refreshedVersion="5" minRefreshableVersion="3" refreshedDate="45219.5934837963" refreshedBy="Administrator" recordCount="13">
  <cacheSource type="worksheet">
    <worksheetSource ref="B1:O1048576" sheet="10.04-10.18" r:id="rId2"/>
  </cacheSource>
  <cacheFields count="14">
    <cacheField name="（子）ASIN" numFmtId="0">
      <sharedItems containsBlank="1" count="11">
        <s v="B0C9JFKG5T"/>
        <s v="B0CFHBXMR8"/>
        <s v="B0C9CPLLVZ"/>
        <s v="B0CDBZVK51"/>
        <s v="B0CD7RMVW9"/>
        <s v="B0C9CZZ7RD"/>
        <s v="B0B1LLHT2Z"/>
        <s v="B0B84S87WN"/>
        <s v="B0B8CNJS54"/>
        <s v="B0CH85JSBY"/>
        <m/>
      </sharedItems>
    </cacheField>
    <cacheField name="商品名称" numFmtId="0">
      <sharedItems containsBlank="1" count="11">
        <s v="TAEDNOMZN 2 Pcs Aluminum Rear Cover Slide Back Plates Compatible with Glock 17 19 21 22 23 24 26 27 29 30 31 32 33 34 35 36 37 38 39 40 41 Models Gen 1-4 (No Pattern Black)"/>
        <s v="Tourniquet Holder,Tatical Tourniquet Pouch Kit for Gen7 CAT or Older Molle Tourniquet Holder Included Rescue Medical Tourniquet for Emergency First Aid (Black 1)"/>
        <s v="TAEDNOMZN 2 Pcs Aluminum Rear Cover Slide Back Plates Compatible with Glock 17 19 21 22 23 24 26 27 29 30 31 32 33 34 35 36 37 38 39 40 41 Models Gen 1-4 (American Flag)"/>
        <s v="TAEDNOMZN Gun Belt Clip for Glock Holster Clip Low Profile Slim Concealed Carry Gun Clip for Glock Gen 5 Models 17, 19, 22, 23, 24, 25, 26, 27, 28,31, 32, 33, 34, 35, 36 (Gen 5)"/>
        <s v="TAEDNOMZN Fiber Optic Red Green Sights No-Tritium for Taurus G2C, PT111,G2S, G3, G2, PT140, 709, 740, TX22 Accessories Sights Set (Front Red + Rear Green)"/>
        <s v="TAEDNOMZN 2 Pcs Aluminum Rear Cover Slide Back Plates Compatible with Glock 17 19 21 22 23 24 26 27 29 30 31 32 33 34 35 36 37 38 39 40 41 Models Gen 1-4(Skull Design)"/>
        <s v="TAEDNOMZN for Samsung Galaxy A03S Case, Samsung A03S Case with [Belt Clip Holster] [Screen Protector] Military Grade Heavy Duty Rugged Shockproof Full Body Protective Phone Cover with Stand for A03S"/>
        <s v="TAEDNOMZN for Samsung Galaxy Z Flip 4 Case, Z Flip 4 Case with Kickstand Hinge Protection All-Inclusive Camera Lens Protector Ultra Thin Military Shockproof Protective Case for Z Flip 4 5G（Black"/>
        <s v="TAEDNOMZN for Galaxy Z Flip 4 Case, Z Flip 4 Case with 2 Card Holder/PU Leather Card Slots+Hard PC Edge Ultra-Thin Durable Shockproof Full Body Protective Wallet Case for Samsung Galaxy Z Flip 4 5G"/>
        <s v="TAEDNOMZN Magnetic Gun Wall Mount with Safety Trigger Guard Protection,Gun Mount Rack Max up to 60 LBS,Mount Gun Holder for Vehicle, Car, Truck, Safe, Desk, Pistol, Shotgun, Rifle"/>
        <m/>
      </sharedItems>
    </cacheField>
    <cacheField name="SKU" numFmtId="0">
      <sharedItems containsBlank="1" count="11">
        <s v="Y5071-BL"/>
        <s v="Y5079"/>
        <s v="Y5071"/>
        <s v="Y5078-5"/>
        <s v="Y5077-GN"/>
        <s v="Y5071-PU"/>
        <s v="Y5024-BL"/>
        <s v="Y5060-BL"/>
        <s v="Y5058-DB"/>
        <s v="Y5075"/>
        <m/>
      </sharedItems>
    </cacheField>
    <cacheField name="会话次数 – 总计" numFmtId="0">
      <sharedItems containsString="0" containsBlank="1" containsNumber="1" containsInteger="1" minValue="0" maxValue="171" count="11">
        <n v="134"/>
        <n v="168"/>
        <n v="115"/>
        <n v="153"/>
        <n v="144"/>
        <n v="171"/>
        <n v="56"/>
        <n v="6"/>
        <n v="4"/>
        <n v="15"/>
        <m/>
      </sharedItems>
    </cacheField>
    <cacheField name="会话次数 – 总计 – B2B" numFmtId="0">
      <sharedItems containsString="0" containsBlank="1" containsNumber="1" containsInteger="1" minValue="0" maxValue="5" count="7">
        <n v="5"/>
        <n v="1"/>
        <n v="3"/>
        <n v="4"/>
        <n v="2"/>
        <n v="0"/>
        <m/>
      </sharedItems>
    </cacheField>
    <cacheField name="会话百分比 – 总计" numFmtId="0">
      <sharedItems containsString="0" containsBlank="1" containsNumber="1" minValue="0" maxValue="0.1479" count="11">
        <n v="0.1159"/>
        <n v="0.1453"/>
        <n v="0.0995"/>
        <n v="0.1324"/>
        <n v="0.1246"/>
        <n v="0.1479"/>
        <n v="0.0484"/>
        <n v="0.0052"/>
        <n v="0.0035"/>
        <n v="0.013"/>
        <m/>
      </sharedItems>
    </cacheField>
    <cacheField name="会话百分比 – 总计 – B2B" numFmtId="0">
      <sharedItems containsString="0" containsBlank="1" containsNumber="1" minValue="0" maxValue="0.2" count="7">
        <n v="0.2"/>
        <n v="0.04"/>
        <n v="0.12"/>
        <n v="0.16"/>
        <n v="0.08"/>
        <n v="0"/>
        <m/>
      </sharedItems>
    </cacheField>
    <cacheField name="页面浏览量 – 总计" numFmtId="0">
      <sharedItems containsString="0" containsBlank="1" containsNumber="1" containsInteger="1" minValue="0" maxValue="225" count="13">
        <n v="186"/>
        <n v="224"/>
        <n v="144"/>
        <n v="192"/>
        <n v="188"/>
        <n v="183"/>
        <n v="225"/>
        <n v="75"/>
        <n v="8"/>
        <n v="5"/>
        <n v="24"/>
        <n v="76"/>
        <m/>
      </sharedItems>
    </cacheField>
    <cacheField name="页面浏览量 – 总计 – B2B" numFmtId="0">
      <sharedItems containsString="0" containsBlank="1" containsNumber="1" containsInteger="1" minValue="0" maxValue="11" count="9">
        <n v="11"/>
        <n v="1"/>
        <n v="4"/>
        <n v="5"/>
        <n v="6"/>
        <n v="3"/>
        <n v="0"/>
        <n v="2"/>
        <m/>
      </sharedItems>
    </cacheField>
    <cacheField name="页面浏览量百分比 – 总计" numFmtId="0">
      <sharedItems containsString="0" containsBlank="1" containsNumber="1" minValue="0" maxValue="0.1471" count="13">
        <n v="0.1216"/>
        <n v="0.1464"/>
        <n v="0.0941"/>
        <n v="0.1255"/>
        <n v="0.1229"/>
        <n v="0.1196"/>
        <n v="0.1471"/>
        <n v="0.049"/>
        <n v="0.0052"/>
        <n v="0.0033"/>
        <n v="0.0157"/>
        <n v="0.0497"/>
        <m/>
      </sharedItems>
    </cacheField>
    <cacheField name="页面浏览量百分比 – 总计 – B2B" numFmtId="0">
      <sharedItems containsString="0" containsBlank="1" containsNumber="1" minValue="0" maxValue="0.2683" count="9">
        <n v="0.2683"/>
        <n v="0.0244"/>
        <n v="0.0976"/>
        <n v="0.122"/>
        <n v="0.1463"/>
        <n v="0.0732"/>
        <n v="0"/>
        <n v="0.0488"/>
        <m/>
      </sharedItems>
    </cacheField>
    <cacheField name="推荐报价（购买按钮）百分比" numFmtId="0">
      <sharedItems containsString="0" containsBlank="1" containsNumber="1" minValue="0" maxValue="1" count="5">
        <n v="1"/>
        <n v="0.9955"/>
        <n v="0.9787"/>
        <n v="0.5833"/>
        <m/>
      </sharedItems>
    </cacheField>
    <cacheField name="推荐报价（购买按钮）百分比 – B2B" numFmtId="0">
      <sharedItems containsString="0" containsBlank="1" containsNumber="1" minValue="0" maxValue="1" count="5">
        <n v="1"/>
        <n v="0.5"/>
        <n v="0"/>
        <n v="0.8"/>
        <m/>
      </sharedItems>
    </cacheField>
    <cacheField name="已订购商品数量" numFmtId="0">
      <sharedItems containsString="0" containsBlank="1" containsNumber="1" containsInteger="1" minValue="0" maxValue="18" count="10">
        <n v="18"/>
        <n v="12"/>
        <n v="13"/>
        <n v="10"/>
        <n v="9"/>
        <n v="8"/>
        <n v="6"/>
        <n v="2"/>
        <n v="1"/>
        <m/>
      </sharedItems>
    </cacheField>
  </cacheFields>
</pivotCacheDefinition>
</file>

<file path=xl/pivotCache/pivotCacheDefinition30.xml><?xml version="1.0" encoding="utf-8"?>
<pivotCacheDefinition xmlns="http://schemas.openxmlformats.org/spreadsheetml/2006/main" xmlns:r="http://schemas.openxmlformats.org/officeDocument/2006/relationships" r:id="rId1" createdVersion="5" refreshedVersion="5" minRefreshableVersion="3" refreshedDate="45219.5935532407" refreshedBy="Administrator" recordCount="24">
  <cacheSource type="worksheet">
    <worksheetSource ref="B1:O1048576" sheet="9.19-10.18" r:id="rId2"/>
  </cacheSource>
  <cacheFields count="14">
    <cacheField name="（子）ASIN" numFmtId="0">
      <sharedItems containsBlank="1" count="21">
        <s v="B0C9CPLLVZ"/>
        <s v="B0C9JFKG5T"/>
        <s v="B0CD7RMVW9"/>
        <s v="B0CDBZVK51"/>
        <s v="B0CFHBXMR8"/>
        <s v="B0CDC2HPT5"/>
        <s v="B0C9CZZ7RD"/>
        <s v="B0B24M8L3G"/>
        <s v="B0C9GRLXK4"/>
        <s v="B0B1LLHT2Z"/>
        <s v="B0B8CNJS54"/>
        <s v="B0CH85JSBY"/>
        <s v="B0B1JBN16K"/>
        <s v="B0B1LHMT7H"/>
        <s v="B0B24YP3K1"/>
        <s v="B0B6NRK62Y"/>
        <s v="B0B6P34QF9"/>
        <s v="B0B6VTV6KB"/>
        <s v="B0B84S87WN"/>
        <s v="B0CD7PTHJL"/>
        <m/>
      </sharedItems>
    </cacheField>
    <cacheField name="商品名称" numFmtId="0">
      <sharedItems containsBlank="1" count="20">
        <s v="TAEDNOMZN 2 Pcs Aluminum Rear Cover Slide Back Plates Compatible with Glock 17 19 21 22 23 24 26 27 29 30 31 32 33 34 35 36 37 38 39 40 41 Models Gen 1-4 (American Flag)"/>
        <s v="TAEDNOMZN 2 Pcs Aluminum Rear Cover Slide Back Plates Compatible with Glock 17 19 21 22 23 24 26 27 29 30 31 32 33 34 35 36 37 38 39 40 41 Models Gen 1-4 (No Pattern Black)"/>
        <s v="TAEDNOMZN Fiber Optic Red Green Sights No-Tritium for Taurus G2C, PT111,G2S, G3, G2, PT140, 709, 740, TX22 Accessories Sights Set (Front Red + Rear Green)"/>
        <s v="TAEDNOMZN Gun Belt Clip for Glock Holster Clip Low Profile Slim Concealed Carry Gun Clip for Glock Gen 5 Models 17, 19, 22, 23, 24, 25, 26, 27, 28,31, 32, 33, 34, 35, 36 (Gen 5)"/>
        <s v="Tourniquet Holder,Tatical Tourniquet Pouch Kit for Gen7 CAT or Older Molle Tourniquet Holder Included Rescue Medical Tourniquet for Emergency First Aid (Black 1)"/>
        <s v="TAEDNOMZN Gun Belt Clip for Glock Holster Clip Low Profile Slim Concealed Carry Gun Clip for Glock Gen1-5 Models 17, 19, 22, 23, 24, 25, 26, 27, 28,31, 32, 33, 34, 35, 36 (Gen 1-4)"/>
        <s v="TAEDNOMZN 2 Pcs Aluminum Rear Cover Slide Back Plates Compatible with Glock 17 19 21 22 23 24 26 27 29 30 31 32 33 34 35 36 37 38 39 40 41 Models Gen 1-4(Skull Design)"/>
        <s v="TAEDNOMZN for Google Pixel 6A Case, Pixel 6A Case with [Belt Clip Holster] [Screen Protector] 4 Layer Military Grade Heavy Duty Shockproof Full Body Protective Phone Cover with Kickstand for Google 6A"/>
        <s v="TAEDNOMZN Red Laser Flashlight Combo 200 Lumens Tactical LED Light with Singe Picatinny Rail Mount Laser Sight Flashlight for Pistol Handgun Rifle, Batteries CR123A Included"/>
        <s v="TAEDNOMZN for Samsung Galaxy A03S Case, Samsung A03S Case with [Belt Clip Holster] [Screen Protector] Military Grade Heavy Duty Rugged Shockproof Full Body Protective Phone Cover with Stand for A03S"/>
        <s v="TAEDNOMZN for Galaxy Z Flip 4 Case, Z Flip 4 Case with 2 Card Holder/PU Leather Card Slots+Hard PC Edge Ultra-Thin Durable Shockproof Full Body Protective Wallet Case for Samsung Galaxy Z Flip 4 5G"/>
        <s v="TAEDNOMZN Magnetic Gun Wall Mount with Safety Trigger Guard Protection,Gun Mount Rack Max up to 60 LBS,Mount Gun Holder for Vehicle, Car, Truck, Safe, Desk, Pistol, Shotgun, Rifle"/>
        <s v="TAEDNOMZN Case for Samsung Galaxy A13 5G, 4 Layer Military Grade Heavy Duty Case with [Belt Clip Holster][Screen Protector] Full Body Shockproof Protective Durable Phone Case with Kickstand for A13 5G"/>
        <s v="TAEDNOMZN for Google Pixel 6A Case, Pixel 6A Case with [Screen Protector] Dual Layer Military Grade Heavy Duty Full Body Rugged Shockproof Protective Tough Durable Phone Cover for Google 6A Blue"/>
        <s v="TAEDNOMZN for iPhone 14 Pro Case with Screen Protector, Dual Layer Military Grade Full Body Drop Protection Shockproof Heavy Duty Rugged Tough Durable Phone Cover for iPhone 14 Pro 6.1inch (Green)"/>
        <s v="TAEDNOMZN for iPhone 14 Pro Case with Screen Protector, Dual Layer Military Grade Full Body Drop Protection Shockproof Heavy Duty Rugged Tough Durable Phone Cover for iPhone 14 Pro 6.1inch (Pink)"/>
        <s v="TAEDNOMZN for iPhone 14 Pro Max Case with Screen Protector + Camera Lens Protector, Heavy Duty Military Grade Drop Protection Full Body Shockproof Protective Phone Case for iPhone 14 Pro Max (Purple)"/>
        <s v="TAEDNOMZN for Samsung Galaxy Z Flip 4 Case, Z Flip 4 Case with Kickstand Hinge Protection All-Inclusive Camera Lens Protector Ultra Thin Military Shockproof Protective Case for Z Flip 4 5G（Black"/>
        <s v="TAEDNOMZN Fiber Optic Red Green Sights No-Tritium for Taurus G2C, PT111,G2S, G3, G2, PT140, 709, 740, TX22 Accessories Sights Set (Front Green + Rear Red)"/>
        <m/>
      </sharedItems>
    </cacheField>
    <cacheField name="SKU" numFmtId="0">
      <sharedItems containsBlank="1" count="22">
        <s v="Y5071"/>
        <s v="Y5071-BL"/>
        <s v="Y5077-GN"/>
        <s v="Y5078-5"/>
        <s v="Y5079"/>
        <s v="Y5078-1-4"/>
        <s v="Y5071-PU"/>
        <s v="Y5030-WI"/>
        <s v="Y5073"/>
        <s v="Y5024-BL"/>
        <s v="Y5058-BL"/>
        <s v="Y5075"/>
        <s v="Y5022-DB"/>
        <s v="Y5024-GW"/>
        <s v="Y5033-BU"/>
        <s v="Y5043-GR"/>
        <s v="Y5043-PI"/>
        <s v="Y5044-PU"/>
        <s v="Y5060-BL"/>
        <s v="Y5058-DB"/>
        <s v="Y5077-RE"/>
        <m/>
      </sharedItems>
    </cacheField>
    <cacheField name="会话次数 – 总计" numFmtId="0">
      <sharedItems containsString="0" containsBlank="1" containsNumber="1" containsInteger="1" minValue="0" maxValue="320" count="21">
        <n v="320"/>
        <n v="319"/>
        <n v="286"/>
        <n v="134"/>
        <n v="254"/>
        <n v="231"/>
        <n v="166"/>
        <n v="111"/>
        <n v="73"/>
        <n v="58"/>
        <n v="12"/>
        <n v="29"/>
        <n v="108"/>
        <n v="1"/>
        <n v="14"/>
        <n v="43"/>
        <n v="17"/>
        <n v="11"/>
        <n v="13"/>
        <n v="98"/>
        <m/>
      </sharedItems>
    </cacheField>
    <cacheField name="会话次数 – 总计 – B2B" numFmtId="0">
      <sharedItems containsString="0" containsBlank="1" containsNumber="1" containsInteger="1" minValue="0" maxValue="10" count="10">
        <n v="7"/>
        <n v="10"/>
        <n v="6"/>
        <n v="5"/>
        <n v="4"/>
        <n v="3"/>
        <n v="1"/>
        <n v="0"/>
        <n v="2"/>
        <m/>
      </sharedItems>
    </cacheField>
    <cacheField name="会话百分比 – 总计" numFmtId="0">
      <sharedItems containsString="0" containsBlank="1" containsNumber="1" minValue="0" maxValue="0.13" count="21">
        <n v="0.13"/>
        <n v="0.1296"/>
        <n v="0.1162"/>
        <n v="0.0544"/>
        <n v="0.1032"/>
        <n v="0.0938"/>
        <n v="0.0674"/>
        <n v="0.0451"/>
        <n v="0.0297"/>
        <n v="0.0236"/>
        <n v="0.0049"/>
        <n v="0.0118"/>
        <n v="0.0439"/>
        <n v="0.0004"/>
        <n v="0.0057"/>
        <n v="0.0175"/>
        <n v="0.0069"/>
        <n v="0.0045"/>
        <n v="0.0053"/>
        <n v="0.0398"/>
        <m/>
      </sharedItems>
    </cacheField>
    <cacheField name="会话百分比 – 总计 – B2B" numFmtId="0">
      <sharedItems containsString="0" containsBlank="1" containsNumber="1" minValue="0" maxValue="0.1587" count="10">
        <n v="0.1111"/>
        <n v="0.1587"/>
        <n v="0.0952"/>
        <n v="0.0794"/>
        <n v="0.0635"/>
        <n v="0.0476"/>
        <n v="0.0159"/>
        <n v="0"/>
        <n v="0.0317"/>
        <m/>
      </sharedItems>
    </cacheField>
    <cacheField name="页面浏览量 – 总计" numFmtId="0">
      <sharedItems containsString="0" containsBlank="1" containsNumber="1" containsInteger="1" minValue="0" maxValue="416" count="21">
        <n v="393"/>
        <n v="416"/>
        <n v="376"/>
        <n v="186"/>
        <n v="342"/>
        <n v="295"/>
        <n v="183"/>
        <n v="231"/>
        <n v="143"/>
        <n v="96"/>
        <n v="66"/>
        <n v="14"/>
        <n v="42"/>
        <n v="148"/>
        <n v="1"/>
        <n v="18"/>
        <n v="51"/>
        <n v="26"/>
        <n v="12"/>
        <n v="117"/>
        <m/>
      </sharedItems>
    </cacheField>
    <cacheField name="页面浏览量 – 总计 – B2B" numFmtId="0">
      <sharedItems containsString="0" containsBlank="1" containsNumber="1" containsInteger="1" minValue="0" maxValue="12" count="12">
        <n v="10"/>
        <n v="12"/>
        <n v="7"/>
        <n v="11"/>
        <n v="6"/>
        <n v="4"/>
        <n v="3"/>
        <n v="1"/>
        <n v="0"/>
        <n v="2"/>
        <n v="5"/>
        <m/>
      </sharedItems>
    </cacheField>
    <cacheField name="页面浏览量百分比 – 总计" numFmtId="0">
      <sharedItems containsString="0" containsBlank="1" containsNumber="1" minValue="0" maxValue="0.1293" count="21">
        <n v="0.1222"/>
        <n v="0.1293"/>
        <n v="0.1169"/>
        <n v="0.0578"/>
        <n v="0.1063"/>
        <n v="0.0917"/>
        <n v="0.0569"/>
        <n v="0.0718"/>
        <n v="0.0445"/>
        <n v="0.0298"/>
        <n v="0.0205"/>
        <n v="0.0044"/>
        <n v="0.0131"/>
        <n v="0.046"/>
        <n v="0.0003"/>
        <n v="0.0056"/>
        <n v="0.0159"/>
        <n v="0.0081"/>
        <n v="0.0037"/>
        <n v="0.0364"/>
        <m/>
      </sharedItems>
    </cacheField>
    <cacheField name="页面浏览量百分比 – 总计 – B2B" numFmtId="0">
      <sharedItems containsString="0" containsBlank="1" containsNumber="1" minValue="0" maxValue="0.1429" count="12">
        <n v="0.119"/>
        <n v="0.1429"/>
        <n v="0.0833"/>
        <n v="0.131"/>
        <n v="0.0714"/>
        <n v="0.0476"/>
        <n v="0.0357"/>
        <n v="0.0119"/>
        <n v="0"/>
        <n v="0.0238"/>
        <n v="0.0595"/>
        <m/>
      </sharedItems>
    </cacheField>
    <cacheField name="推荐报价（购买按钮）百分比" numFmtId="0">
      <sharedItems containsString="0" containsBlank="1" containsNumber="1" minValue="0" maxValue="1" count="14">
        <n v="0.9975"/>
        <n v="0.9976"/>
        <n v="0.9919"/>
        <n v="1"/>
        <n v="0.9853"/>
        <n v="0.9932"/>
        <n v="0.9912"/>
        <n v="0.993"/>
        <n v="0.9688"/>
        <n v="0.9231"/>
        <n v="0.7619"/>
        <n v="0.9804"/>
        <n v="0.9717"/>
        <m/>
      </sharedItems>
    </cacheField>
    <cacheField name="推荐报价（购买按钮）百分比 – B2B" numFmtId="0">
      <sharedItems containsString="0" containsBlank="1" containsNumber="1" minValue="0" maxValue="1" count="5">
        <n v="1"/>
        <n v="0.6667"/>
        <n v="0"/>
        <n v="0.8571"/>
        <m/>
      </sharedItems>
    </cacheField>
    <cacheField name="已订购商品数量" numFmtId="0">
      <sharedItems containsString="0" containsBlank="1" containsNumber="1" containsInteger="1" minValue="0" maxValue="26" count="12">
        <n v="26"/>
        <n v="24"/>
        <n v="15"/>
        <n v="18"/>
        <n v="14"/>
        <n v="8"/>
        <n v="6"/>
        <n v="3"/>
        <n v="2"/>
        <n v="5"/>
        <n v="1"/>
        <m/>
      </sharedItems>
    </cacheField>
  </cacheFields>
</pivotCacheDefinition>
</file>

<file path=xl/pivotCache/pivotCacheDefinition31.xml><?xml version="1.0" encoding="utf-8"?>
<pivotCacheDefinition xmlns="http://schemas.openxmlformats.org/spreadsheetml/2006/main" xmlns:r="http://schemas.openxmlformats.org/officeDocument/2006/relationships" r:id="rId1" createdVersion="5" refreshedVersion="5" minRefreshableVersion="3" refreshedDate="45219.5937152778" refreshedBy="Administrator" recordCount="58">
  <cacheSource type="worksheet">
    <worksheetSource ref="G1:W1048576" sheet="商品推广10.12-10.18" r:id="rId2"/>
  </cacheSource>
  <cacheFields count="19">
    <cacheField name="广告SKU" numFmtId="0">
      <sharedItems containsBlank="1" count="30">
        <s v="Y5014-BU"/>
        <s v="Y5015-PI"/>
        <s v="Y5016-BU"/>
        <s v="Y5021-BL"/>
        <s v="Y5033-BU"/>
        <s v="Y5030-WI"/>
        <s v="Y5019-BL"/>
        <s v="Y5044-PU"/>
        <s v="Y5060-BL"/>
        <s v="Y5042-GR5"/>
        <s v="Y5058-BL"/>
        <s v="Y5071"/>
        <s v="Y5072-GR"/>
        <s v="Y5071-BL"/>
        <s v="Y5077-GN"/>
        <s v="Y5077-RE"/>
        <s v="Y5079"/>
        <s v="Y5075"/>
        <s v="Y5078-1-4"/>
        <s v="Y5078-5"/>
        <s v="Y5073"/>
        <s v="Y5072-RE"/>
        <s v="Y5082"/>
        <s v="Y5083-BL-ZH"/>
        <s v="Y5087-BL-Zh"/>
        <s v="Y5088"/>
        <s v="Y5089"/>
        <s v="Y5091-ZH"/>
        <s v="Y5092-1"/>
        <m/>
      </sharedItems>
    </cacheField>
    <cacheField name="广告ASIN" numFmtId="0">
      <sharedItems containsBlank="1" count="30">
        <s v="B09WYG362T"/>
        <s v="B09X32YFHD"/>
        <s v="B09XDLW83G"/>
        <s v="B09ZL64DHD"/>
        <s v="B0B24YP3K1"/>
        <s v="B0B24M8L3G"/>
        <s v="B09XMJ247T"/>
        <s v="B0B6VTV6KB"/>
        <s v="B0B84S87WN"/>
        <s v="B0B6ZG8MZ9"/>
        <s v="B0B8CNJS54"/>
        <s v="B0C9CPLLVZ"/>
        <s v="B0C9D4XZVR"/>
        <s v="B0C9JFKG5T"/>
        <s v="B0CD7RMVW9"/>
        <s v="B0CD7PTHJL"/>
        <s v="B0CFHBXMR8"/>
        <s v="B0CH85JSBY"/>
        <s v="B0CDC2HPT5"/>
        <s v="B0CDBZVK51"/>
        <s v="B0C9GRLXK4"/>
        <s v="B0C9DCP8H6"/>
        <s v="B0CFTM6RS6"/>
        <s v="B0CGD4GT7P"/>
        <s v="B0CGLL9WNN"/>
        <s v="B0CGJ3G1PY"/>
        <s v="B0CGJ4CLMX"/>
        <s v="B0CJQYFPM1"/>
        <s v="B0CJX8JT95"/>
        <m/>
      </sharedItems>
    </cacheField>
    <cacheField name="展示量" numFmtId="0">
      <sharedItems containsString="0" containsBlank="1" containsNumber="1" containsInteger="1" minValue="0" maxValue="32243" count="55">
        <n v="2"/>
        <n v="210"/>
        <n v="10"/>
        <n v="253"/>
        <n v="101"/>
        <n v="72"/>
        <n v="42"/>
        <n v="95"/>
        <n v="235"/>
        <n v="21"/>
        <n v="30"/>
        <n v="312"/>
        <n v="1"/>
        <n v="205"/>
        <n v="50"/>
        <n v="7"/>
        <n v="28"/>
        <n v="186"/>
        <n v="0"/>
        <n v="545"/>
        <n v="632"/>
        <n v="1095"/>
        <n v="13711"/>
        <n v="108"/>
        <n v="20"/>
        <n v="287"/>
        <n v="318"/>
        <n v="1734"/>
        <n v="1727"/>
        <n v="32243"/>
        <n v="405"/>
        <n v="2100"/>
        <n v="460"/>
        <n v="443"/>
        <n v="89"/>
        <n v="227"/>
        <n v="35"/>
        <n v="531"/>
        <n v="488"/>
        <n v="159"/>
        <n v="218"/>
        <n v="73"/>
        <n v="33"/>
        <n v="829"/>
        <n v="6"/>
        <n v="265"/>
        <n v="584"/>
        <n v="270"/>
        <n v="17"/>
        <n v="5514"/>
        <n v="5"/>
        <n v="4"/>
        <n v="8"/>
        <n v="59"/>
        <m/>
      </sharedItems>
    </cacheField>
    <cacheField name="点击量" numFmtId="0">
      <sharedItems containsString="0" containsBlank="1" containsNumber="1" containsInteger="1" minValue="0" maxValue="39" count="17">
        <n v="0"/>
        <n v="4"/>
        <n v="1"/>
        <n v="2"/>
        <n v="6"/>
        <n v="3"/>
        <n v="39"/>
        <n v="11"/>
        <n v="12"/>
        <n v="29"/>
        <n v="16"/>
        <n v="10"/>
        <n v="18"/>
        <n v="5"/>
        <n v="7"/>
        <n v="21"/>
        <m/>
      </sharedItems>
    </cacheField>
    <cacheField name="点击率(CTR)" numFmtId="0">
      <sharedItems containsString="0" containsBlank="1" containsNumber="1" minValue="0" maxValue="0.0714285714285714" count="32">
        <n v="0"/>
        <n v="0.019047619047619"/>
        <n v="0.00395256916996047"/>
        <n v="0.0476190476190476"/>
        <n v="0.025531914893617"/>
        <n v="0.00641025641025641"/>
        <n v="0.0048780487804878"/>
        <n v="0.0714285714285714"/>
        <n v="0.0161290322580645"/>
        <m/>
        <n v="0.0018348623853211"/>
        <n v="0.00547945205479452"/>
        <n v="0.00284443147837503"/>
        <n v="0.00348432055749129"/>
        <n v="0.0125786163522013"/>
        <n v="0.0063437139561707"/>
        <n v="0.00694846554719166"/>
        <n v="0.000899420029153615"/>
        <n v="0.00493827160493827"/>
        <n v="0.00761904761904762"/>
        <n v="0.0217391304347826"/>
        <n v="0.0406320541760722"/>
        <n v="0.00440528634361234"/>
        <n v="0.0571428571428571"/>
        <n v="0.00753295668549906"/>
        <n v="0.0102459016393443"/>
        <n v="0.00458715596330275"/>
        <n v="0.00844390832328106"/>
        <n v="0.00377358490566038"/>
        <n v="0.0111111111111111"/>
        <n v="0.0588235294117647"/>
        <n v="0.00380848748639826"/>
      </sharedItems>
    </cacheField>
    <cacheField name="每次点击成本(CPC)" numFmtId="0">
      <sharedItems containsString="0" containsBlank="1" containsNumber="1" minValue="0" maxValue="1.10833333333333" count="28">
        <m/>
        <n v="0.185"/>
        <n v="0.2"/>
        <n v="0.266666666666667"/>
        <n v="0.4"/>
        <n v="0.1"/>
        <n v="0.18"/>
        <n v="0.5"/>
        <n v="1.10833333333333"/>
        <n v="0.343076923076923"/>
        <n v="0.62"/>
        <n v="0.3025"/>
        <n v="0.309090909090909"/>
        <n v="0.361666666666667"/>
        <n v="0.621379310344828"/>
        <n v="0.435"/>
        <n v="0.354375"/>
        <n v="0.836"/>
        <n v="0.644444444444444"/>
        <n v="0.27"/>
        <n v="0.4025"/>
        <n v="0.468"/>
        <n v="0.98"/>
        <n v="0.564285714285714"/>
        <n v="0.17"/>
        <n v="0.39"/>
        <n v="0.3"/>
        <n v="0.386666666666667"/>
      </sharedItems>
    </cacheField>
    <cacheField name="花费" numFmtId="0">
      <sharedItems containsString="0" containsBlank="1" containsNumber="1" minValue="0" maxValue="18.02" count="29">
        <n v="0"/>
        <n v="0.74"/>
        <n v="0.2"/>
        <n v="0.4"/>
        <n v="1.6"/>
        <n v="0.8"/>
        <n v="0.54"/>
        <n v="0.5"/>
        <n v="6.65"/>
        <n v="13.38"/>
        <n v="0.62"/>
        <n v="1.21"/>
        <n v="3.4"/>
        <n v="4.34"/>
        <n v="18.02"/>
        <n v="0.87"/>
        <n v="5.67"/>
        <n v="8.36"/>
        <n v="11.6"/>
        <n v="0.18"/>
        <n v="1.61"/>
        <n v="2.34"/>
        <n v="0.98"/>
        <n v="3.95"/>
        <n v="0.17"/>
        <n v="1.17"/>
        <n v="0.3"/>
        <n v="8.12"/>
        <m/>
      </sharedItems>
    </cacheField>
    <cacheField name="7天总销售额" numFmtId="0">
      <sharedItems containsString="0" containsBlank="1" containsNumber="1" minValue="0" maxValue="52.65" count="8">
        <n v="0"/>
        <n v="22.98"/>
        <n v="16.99"/>
        <n v="52.65"/>
        <n v="35.25"/>
        <n v="17.69"/>
        <n v="11.99"/>
        <m/>
      </sharedItems>
    </cacheField>
    <cacheField name="广告成本销售比(ACOS)" numFmtId="0">
      <sharedItems containsString="0" containsBlank="1" containsNumber="1" minValue="0" maxValue="0.655737704918033" count="7">
        <m/>
        <n v="0.582245430809399"/>
        <n v="0.255444379046498"/>
        <n v="0.342260208926876"/>
        <n v="0.160851063829787"/>
        <n v="0.655737704918033"/>
        <n v="0.0141784820683903"/>
      </sharedItems>
    </cacheField>
    <cacheField name="投入产出比(ROAS)" numFmtId="0">
      <sharedItems containsString="0" containsBlank="1" containsNumber="1" minValue="0" maxValue="70.5294117647059" count="8">
        <m/>
        <n v="0"/>
        <n v="1.71748878923767"/>
        <n v="3.9147465437788"/>
        <n v="2.92175360710322"/>
        <n v="6.21693121693122"/>
        <n v="1.525"/>
        <n v="70.5294117647059"/>
      </sharedItems>
    </cacheField>
    <cacheField name="7天总订单数(#)" numFmtId="0">
      <sharedItems containsString="0" containsBlank="1" containsNumber="1" containsInteger="1" minValue="0" maxValue="3" count="5">
        <n v="0"/>
        <n v="2"/>
        <n v="1"/>
        <n v="3"/>
        <m/>
      </sharedItems>
    </cacheField>
    <cacheField name="7天总销售量(#)" numFmtId="0">
      <sharedItems containsString="0" containsBlank="1" containsNumber="1" containsInteger="1" minValue="0" maxValue="3" count="5">
        <n v="0"/>
        <n v="2"/>
        <n v="1"/>
        <n v="3"/>
        <m/>
      </sharedItems>
    </cacheField>
    <cacheField name="7天的转化率" numFmtId="0">
      <sharedItems containsString="0" containsBlank="1" containsNumber="1" minValue="0" maxValue="1" count="8">
        <m/>
        <n v="0"/>
        <n v="0.0512820512820513"/>
        <n v="0.0833333333333333"/>
        <n v="0.103448275862069"/>
        <n v="0.125"/>
        <n v="0.0555555555555556"/>
        <n v="1"/>
      </sharedItems>
    </cacheField>
    <cacheField name="7天内广告SKU销售量(#)" numFmtId="0">
      <sharedItems containsString="0" containsBlank="1" containsNumber="1" containsInteger="1" minValue="0" maxValue="3" count="4">
        <n v="0"/>
        <n v="1"/>
        <n v="3"/>
        <m/>
      </sharedItems>
    </cacheField>
    <cacheField name="7天内其他SKU销售量(#)" numFmtId="0">
      <sharedItems containsString="0" containsBlank="1" containsNumber="1" containsInteger="1" minValue="0" maxValue="1" count="3">
        <n v="0"/>
        <n v="1"/>
        <m/>
      </sharedItems>
    </cacheField>
    <cacheField name="7天内广告SKU销售额" numFmtId="0">
      <sharedItems containsString="0" containsBlank="1" containsNumber="1" minValue="0" maxValue="52.65" count="7">
        <n v="0"/>
        <n v="11.99"/>
        <n v="16.99"/>
        <n v="52.65"/>
        <n v="35.25"/>
        <n v="17.69"/>
        <m/>
      </sharedItems>
    </cacheField>
    <cacheField name="7天内其他SKU销售额" numFmtId="0">
      <sharedItems containsString="0" containsBlank="1" containsNumber="1" minValue="0" maxValue="10.99" count="3">
        <n v="0"/>
        <n v="10.99"/>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32.xml><?xml version="1.0" encoding="utf-8"?>
<pivotCacheDefinition xmlns="http://schemas.openxmlformats.org/spreadsheetml/2006/main" xmlns:r="http://schemas.openxmlformats.org/officeDocument/2006/relationships" r:id="rId1" createdVersion="5" refreshedVersion="5" minRefreshableVersion="3" refreshedDate="45219.593900463" refreshedBy="Administrator" recordCount="60">
  <cacheSource type="worksheet">
    <worksheetSource ref="G1:W1048576" sheet="商品推广10.04-10.18" r:id="rId2"/>
  </cacheSource>
  <cacheFields count="19">
    <cacheField name="广告SKU" numFmtId="0">
      <sharedItems containsBlank="1" count="30">
        <s v="Y5014-BU"/>
        <s v="Y5015-PI"/>
        <s v="Y5016-BU"/>
        <s v="Y5021-BL"/>
        <s v="Y5033-BU"/>
        <s v="Y5030-WI"/>
        <s v="Y5019-BL"/>
        <s v="Y5044-PU"/>
        <s v="Y5060-BL"/>
        <s v="Y5042-GR5"/>
        <s v="Y5058-BL"/>
        <s v="Y5071"/>
        <s v="Y5072-GR"/>
        <s v="Y5071-BL"/>
        <s v="Y5077-GN"/>
        <s v="Y5077-RE"/>
        <s v="Y5078-1-4"/>
        <s v="Y5079"/>
        <s v="Y5075"/>
        <s v="Y5078-5"/>
        <s v="Y5073"/>
        <s v="Y5072-RE"/>
        <s v="Y5082"/>
        <s v="Y5083-BL-ZH"/>
        <s v="Y5087-BL-Zh"/>
        <s v="Y5088"/>
        <s v="Y5089"/>
        <s v="Y5091-ZH"/>
        <s v="Y5092-1"/>
        <m/>
      </sharedItems>
    </cacheField>
    <cacheField name="广告ASIN" numFmtId="0">
      <sharedItems containsBlank="1" count="30">
        <s v="B09WYG362T"/>
        <s v="B09X32YFHD"/>
        <s v="B09XDLW83G"/>
        <s v="B09ZL64DHD"/>
        <s v="B0B24YP3K1"/>
        <s v="B0B24M8L3G"/>
        <s v="B09XMJ247T"/>
        <s v="B0B6VTV6KB"/>
        <s v="B0B84S87WN"/>
        <s v="B0B6ZG8MZ9"/>
        <s v="B0B8CNJS54"/>
        <s v="B0C9CPLLVZ"/>
        <s v="B0C9D4XZVR"/>
        <s v="B0C9JFKG5T"/>
        <s v="B0CD7RMVW9"/>
        <s v="B0CD7PTHJL"/>
        <s v="B0CDC2HPT5"/>
        <s v="B0CFHBXMR8"/>
        <s v="B0CH85JSBY"/>
        <s v="B0CDBZVK51"/>
        <s v="B0C9GRLXK4"/>
        <s v="B0C9DCP8H6"/>
        <s v="B0CFTM6RS6"/>
        <s v="B0CGD4GT7P"/>
        <s v="B0CGLL9WNN"/>
        <s v="B0CGJ3G1PY"/>
        <s v="B0CGJ4CLMX"/>
        <s v="B0CJQYFPM1"/>
        <s v="B0CJX8JT95"/>
        <m/>
      </sharedItems>
    </cacheField>
    <cacheField name="展示量" numFmtId="0">
      <sharedItems containsString="0" containsBlank="1" containsNumber="1" containsInteger="1" minValue="0" maxValue="56960" count="54">
        <n v="3"/>
        <n v="408"/>
        <n v="12"/>
        <n v="389"/>
        <n v="227"/>
        <n v="139"/>
        <n v="110"/>
        <n v="204"/>
        <n v="702"/>
        <n v="45"/>
        <n v="89"/>
        <n v="1013"/>
        <n v="205"/>
        <n v="84"/>
        <n v="37"/>
        <n v="2"/>
        <n v="237"/>
        <n v="1"/>
        <n v="1624"/>
        <n v="1784"/>
        <n v="2874"/>
        <n v="26095"/>
        <n v="347"/>
        <n v="49"/>
        <n v="472"/>
        <n v="580"/>
        <n v="2868"/>
        <n v="1909"/>
        <n v="0"/>
        <n v="56960"/>
        <n v="2058"/>
        <n v="9834"/>
        <n v="2929"/>
        <n v="443"/>
        <n v="1481"/>
        <n v="6356"/>
        <n v="2562"/>
        <n v="488"/>
        <n v="240"/>
        <n v="254"/>
        <n v="73"/>
        <n v="33"/>
        <n v="829"/>
        <n v="6"/>
        <n v="698"/>
        <n v="1077"/>
        <n v="270"/>
        <n v="17"/>
        <n v="10089"/>
        <n v="5"/>
        <n v="4"/>
        <n v="8"/>
        <n v="59"/>
        <m/>
      </sharedItems>
    </cacheField>
    <cacheField name="点击量" numFmtId="0">
      <sharedItems containsString="0" containsBlank="1" containsNumber="1" containsInteger="1" minValue="0" maxValue="100" count="22">
        <n v="0"/>
        <n v="9"/>
        <n v="6"/>
        <n v="2"/>
        <n v="16"/>
        <n v="1"/>
        <n v="4"/>
        <n v="5"/>
        <n v="11"/>
        <n v="58"/>
        <n v="20"/>
        <n v="13"/>
        <n v="70"/>
        <n v="30"/>
        <n v="15"/>
        <n v="18"/>
        <n v="100"/>
        <n v="17"/>
        <n v="7"/>
        <n v="3"/>
        <n v="45"/>
        <m/>
      </sharedItems>
    </cacheField>
    <cacheField name="点击率(CTR)" numFmtId="0">
      <sharedItems containsString="0" containsBlank="1" containsNumber="1" minValue="0" maxValue="0.0588235294117647" count="37">
        <n v="0"/>
        <n v="0.0220588235294118"/>
        <n v="0.0154241645244216"/>
        <n v="0.0143884892086331"/>
        <n v="0.0181818181818182"/>
        <n v="0.0227920227920228"/>
        <n v="0.0222222222222222"/>
        <n v="0.0112359550561798"/>
        <n v="0.00197433366238894"/>
        <n v="0.0048780487804878"/>
        <n v="0.0449438202247191"/>
        <n v="0.0210970464135021"/>
        <n v="0.00677339901477833"/>
        <n v="0.00112107623318386"/>
        <n v="0.00208768267223382"/>
        <n v="0.00222264801686147"/>
        <n v="0.00576368876080692"/>
        <n v="0.00211864406779661"/>
        <n v="0.00862068965517241"/>
        <n v="0.00697350069735007"/>
        <n v="0.00680984808800419"/>
        <m/>
        <n v="0.00122893258426966"/>
        <n v="0.0043731778425656"/>
        <n v="0.00305064063453325"/>
        <n v="0.00512120177534995"/>
        <n v="0.0406320541760722"/>
        <n v="0.00135043889264011"/>
        <n v="0.0157331655129012"/>
        <n v="0.00663544106167057"/>
        <n v="0.0102459016393443"/>
        <n v="0.00393700787401575"/>
        <n v="0.00844390832328106"/>
        <n v="0.00859598853868195"/>
        <n v="0.0111111111111111"/>
        <n v="0.0588235294117647"/>
        <n v="0.00446030330062444"/>
      </sharedItems>
    </cacheField>
    <cacheField name="每次点击成本(CPC)" numFmtId="0">
      <sharedItems containsString="0" containsBlank="1" containsNumber="1" minValue="0" maxValue="1.10833333333333" count="32">
        <m/>
        <n v="0.176666666666667"/>
        <n v="0.215"/>
        <n v="0.18"/>
        <n v="0.2"/>
        <n v="0.22125"/>
        <n v="0.4"/>
        <n v="0.1"/>
        <n v="0.477272727272727"/>
        <n v="0.225"/>
        <n v="1.10833333333333"/>
        <n v="0.345862068965517"/>
        <n v="0.31"/>
        <n v="0.62"/>
        <n v="0.302"/>
        <n v="0.301"/>
        <n v="0.350769230769231"/>
        <n v="0.716857142857143"/>
        <n v="0.654444444444444"/>
        <n v="0.36"/>
        <n v="0.810666666666667"/>
        <n v="0.644444444444444"/>
        <n v="0.19"/>
        <n v="0.3297"/>
        <n v="0.446470588235294"/>
        <n v="0.468"/>
        <n v="0.98"/>
        <n v="0.564285714285714"/>
        <n v="0.153333333333333"/>
        <n v="0.39"/>
        <n v="0.3"/>
        <n v="0.386444444444444"/>
      </sharedItems>
    </cacheField>
    <cacheField name="花费" numFmtId="0">
      <sharedItems containsString="0" containsBlank="1" containsNumber="1" minValue="0" maxValue="50.18" count="33">
        <n v="0"/>
        <n v="1.59"/>
        <n v="1.29"/>
        <n v="0.36"/>
        <n v="0.4"/>
        <n v="3.54"/>
        <n v="0.2"/>
        <n v="0.8"/>
        <n v="0.9"/>
        <n v="5.25"/>
        <n v="0.45"/>
        <n v="6.65"/>
        <n v="20.06"/>
        <n v="0.62"/>
        <n v="1.51"/>
        <n v="6.02"/>
        <n v="4.56"/>
        <n v="50.18"/>
        <n v="5.89"/>
        <n v="10.8"/>
        <n v="12.16"/>
        <n v="11.6"/>
        <n v="0.38"/>
        <n v="32.97"/>
        <n v="7.59"/>
        <n v="2.34"/>
        <n v="0.98"/>
        <n v="3.95"/>
        <n v="0.92"/>
        <n v="1.17"/>
        <n v="0.3"/>
        <n v="17.39"/>
        <m/>
      </sharedItems>
    </cacheField>
    <cacheField name="7天总销售额" numFmtId="0">
      <sharedItems containsString="0" containsBlank="1" containsNumber="1" minValue="0" maxValue="122.85" count="10">
        <n v="0"/>
        <n v="9.88"/>
        <n v="58.95"/>
        <n v="16.99"/>
        <n v="122.85"/>
        <n v="47.24"/>
        <n v="17.69"/>
        <n v="47.96"/>
        <n v="23.98"/>
        <m/>
      </sharedItems>
    </cacheField>
    <cacheField name="广告成本销售比(ACOS)" numFmtId="0">
      <sharedItems containsString="0" containsBlank="1" containsNumber="1" minValue="0" maxValue="1.02354326074161" count="11">
        <m/>
        <n v="0.0910931174089069"/>
        <n v="0.340288379983037"/>
        <n v="0.354326074161271"/>
        <n v="0.268393172454385"/>
        <n v="0.408465608465608"/>
        <n v="0.228619813717189"/>
        <n v="0.655737704918033"/>
        <n v="0.68744787322769"/>
        <n v="0.0383653044203503"/>
        <n v="1.02354326074161"/>
      </sharedItems>
    </cacheField>
    <cacheField name="投入产出比(ROAS)" numFmtId="0">
      <sharedItems containsString="0" containsBlank="1" containsNumber="1" minValue="0" maxValue="26.0652173913043" count="12">
        <m/>
        <n v="0"/>
        <n v="10.9777777777778"/>
        <n v="2.93868394815553"/>
        <n v="2.82225913621262"/>
        <n v="3.72587719298246"/>
        <n v="2.44818652849741"/>
        <n v="4.37407407407407"/>
        <n v="1.525"/>
        <n v="1.45465574764938"/>
        <n v="26.0652173913043"/>
        <n v="0.976998274870615"/>
      </sharedItems>
    </cacheField>
    <cacheField name="7天总订单数(#)" numFmtId="0">
      <sharedItems containsString="0" containsBlank="1" containsNumber="1" containsInteger="1" minValue="0" maxValue="7" count="7">
        <n v="0"/>
        <n v="1"/>
        <n v="4"/>
        <n v="7"/>
        <n v="3"/>
        <n v="2"/>
        <m/>
      </sharedItems>
    </cacheField>
    <cacheField name="7天总销售量(#)" numFmtId="0">
      <sharedItems containsString="0" containsBlank="1" containsNumber="1" containsInteger="1" minValue="0" maxValue="7" count="7">
        <n v="0"/>
        <n v="1"/>
        <n v="5"/>
        <n v="7"/>
        <n v="4"/>
        <n v="2"/>
        <m/>
      </sharedItems>
    </cacheField>
    <cacheField name="7天的转化率" numFmtId="0">
      <sharedItems containsString="0" containsBlank="1" containsNumber="1" minValue="0" maxValue="0.333333333333333" count="11">
        <m/>
        <n v="0"/>
        <n v="0.2"/>
        <n v="0.0689655172413793"/>
        <n v="0.05"/>
        <n v="0.0769230769230769"/>
        <n v="0.1"/>
        <n v="0.0555555555555556"/>
        <n v="0.04"/>
        <n v="0.333333333333333"/>
        <n v="0.0222222222222222"/>
      </sharedItems>
    </cacheField>
    <cacheField name="7天内广告SKU销售量(#)" numFmtId="0">
      <sharedItems containsString="0" containsBlank="1" containsNumber="1" containsInteger="1" minValue="0" maxValue="7" count="6">
        <n v="0"/>
        <n v="1"/>
        <n v="4"/>
        <n v="7"/>
        <n v="2"/>
        <m/>
      </sharedItems>
    </cacheField>
    <cacheField name="7天内其他SKU销售量(#)" numFmtId="0">
      <sharedItems containsString="0" containsBlank="1" containsNumber="1" containsInteger="1" minValue="0" maxValue="1" count="3">
        <n v="0"/>
        <n v="1"/>
        <m/>
      </sharedItems>
    </cacheField>
    <cacheField name="7天内广告SKU销售额" numFmtId="0">
      <sharedItems containsString="0" containsBlank="1" containsNumber="1" minValue="0" maxValue="122.85" count="9">
        <n v="0"/>
        <n v="9.88"/>
        <n v="47.96"/>
        <n v="16.99"/>
        <n v="122.85"/>
        <n v="47.24"/>
        <n v="17.69"/>
        <n v="23.98"/>
        <m/>
      </sharedItems>
    </cacheField>
    <cacheField name="7天内其他SKU销售额" numFmtId="0">
      <sharedItems containsString="0" containsBlank="1" containsNumber="1" minValue="0" maxValue="16.99" count="4">
        <n v="0"/>
        <n v="10.99"/>
        <n v="16.99"/>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33.xml><?xml version="1.0" encoding="utf-8"?>
<pivotCacheDefinition xmlns="http://schemas.openxmlformats.org/spreadsheetml/2006/main" xmlns:r="http://schemas.openxmlformats.org/officeDocument/2006/relationships" r:id="rId1" createdVersion="5" refreshedVersion="5" minRefreshableVersion="3" refreshedDate="45219.5940740741" refreshedBy="Administrator" recordCount="63">
  <cacheSource type="worksheet">
    <worksheetSource ref="G1:W1048576" sheet="商品推9.19-10.18" r:id="rId2"/>
  </cacheSource>
  <cacheFields count="19">
    <cacheField name="广告SKU" numFmtId="0">
      <sharedItems containsBlank="1" count="30">
        <s v="Y5014-BU"/>
        <s v="Y5015-PI"/>
        <s v="Y5016-BU"/>
        <s v="Y5021-BL"/>
        <s v="Y5033-BU"/>
        <s v="Y5030-WI"/>
        <s v="Y5019-BL"/>
        <s v="Y5044-PU"/>
        <s v="Y5060-BL"/>
        <s v="Y5042-GR5"/>
        <s v="Y5058-BL"/>
        <s v="Y5071"/>
        <s v="Y5072-GR"/>
        <s v="Y5071-BL"/>
        <s v="Y5077-GN"/>
        <s v="Y5077-RE"/>
        <s v="Y5078-1-4"/>
        <s v="Y5079"/>
        <s v="Y5075"/>
        <s v="Y5078-5"/>
        <s v="Y5073"/>
        <s v="Y5072-RE"/>
        <s v="Y5082"/>
        <s v="Y5083-BL-ZH"/>
        <s v="Y5087-BL-Zh"/>
        <s v="Y5088"/>
        <s v="Y5089"/>
        <s v="Y5091-ZH"/>
        <s v="Y5092-1"/>
        <m/>
      </sharedItems>
    </cacheField>
    <cacheField name="广告ASIN" numFmtId="0">
      <sharedItems containsBlank="1" count="30">
        <s v="B09WYG362T"/>
        <s v="B09X32YFHD"/>
        <s v="B09XDLW83G"/>
        <s v="B09ZL64DHD"/>
        <s v="B0B24YP3K1"/>
        <s v="B0B24M8L3G"/>
        <s v="B09XMJ247T"/>
        <s v="B0B6VTV6KB"/>
        <s v="B0B84S87WN"/>
        <s v="B0B6ZG8MZ9"/>
        <s v="B0B8CNJS54"/>
        <s v="B0C9CPLLVZ"/>
        <s v="B0C9D4XZVR"/>
        <s v="B0C9JFKG5T"/>
        <s v="B0CD7RMVW9"/>
        <s v="B0CD7PTHJL"/>
        <s v="B0CDC2HPT5"/>
        <s v="B0CFHBXMR8"/>
        <s v="B0CH85JSBY"/>
        <s v="B0CDBZVK51"/>
        <s v="B0C9GRLXK4"/>
        <s v="B0C9DCP8H6"/>
        <s v="B0CFTM6RS6"/>
        <s v="B0CGD4GT7P"/>
        <s v="B0CGLL9WNN"/>
        <s v="B0CGJ3G1PY"/>
        <s v="B0CGJ4CLMX"/>
        <s v="B0CJQYFPM1"/>
        <s v="B0CJX8JT95"/>
        <m/>
      </sharedItems>
    </cacheField>
    <cacheField name="展示量" numFmtId="0">
      <sharedItems containsString="0" containsBlank="1" containsNumber="1" containsInteger="1" minValue="0" maxValue="62216" count="61">
        <n v="31"/>
        <n v="723"/>
        <n v="17"/>
        <n v="674"/>
        <n v="405"/>
        <n v="264"/>
        <n v="178"/>
        <n v="271"/>
        <n v="1288"/>
        <n v="109"/>
        <n v="149"/>
        <n v="1558"/>
        <n v="3"/>
        <n v="351"/>
        <n v="147"/>
        <n v="46"/>
        <n v="160"/>
        <n v="297"/>
        <n v="5"/>
        <n v="3635"/>
        <n v="3073"/>
        <n v="4664"/>
        <n v="51028"/>
        <n v="1126"/>
        <n v="134"/>
        <n v="667"/>
        <n v="1222"/>
        <n v="4993"/>
        <n v="2612"/>
        <n v="11189"/>
        <n v="5781"/>
        <n v="62216"/>
        <n v="2169"/>
        <n v="20413"/>
        <n v="6114"/>
        <n v="551"/>
        <n v="159"/>
        <n v="519"/>
        <n v="2178"/>
        <n v="8724"/>
        <n v="4006"/>
        <n v="8110"/>
        <n v="521"/>
        <n v="790"/>
        <n v="177"/>
        <n v="77"/>
        <n v="971"/>
        <n v="12"/>
        <n v="1189"/>
        <n v="2093"/>
        <n v="498"/>
        <n v="50"/>
        <n v="16474"/>
        <n v="9"/>
        <n v="86"/>
        <n v="10"/>
        <n v="4"/>
        <n v="8"/>
        <n v="33"/>
        <n v="59"/>
        <m/>
      </sharedItems>
    </cacheField>
    <cacheField name="点击量" numFmtId="0">
      <sharedItems containsString="0" containsBlank="1" containsNumber="1" containsInteger="1" minValue="0" maxValue="172" count="27">
        <n v="0"/>
        <n v="13"/>
        <n v="15"/>
        <n v="3"/>
        <n v="1"/>
        <n v="37"/>
        <n v="4"/>
        <n v="2"/>
        <n v="5"/>
        <n v="8"/>
        <n v="21"/>
        <n v="88"/>
        <n v="6"/>
        <n v="32"/>
        <n v="19"/>
        <n v="49"/>
        <n v="74"/>
        <n v="86"/>
        <n v="10"/>
        <n v="50"/>
        <n v="172"/>
        <n v="30"/>
        <n v="24"/>
        <n v="7"/>
        <n v="9"/>
        <n v="64"/>
        <m/>
      </sharedItems>
    </cacheField>
    <cacheField name="点击率(CTR)" numFmtId="0">
      <sharedItems containsString="0" containsBlank="1" containsNumber="1" minValue="0" maxValue="0.333333333333333" count="47">
        <n v="0"/>
        <n v="0.0179806362378976"/>
        <n v="0.0222551928783383"/>
        <n v="0.0113636363636364"/>
        <n v="0.0168539325842697"/>
        <n v="0.003690036900369"/>
        <n v="0.0287267080745342"/>
        <n v="0.036697247706422"/>
        <n v="0.00671140939597316"/>
        <n v="0.00192554557124519"/>
        <n v="0.0113960113960114"/>
        <n v="0.0136054421768707"/>
        <n v="0.03125"/>
        <n v="0.333333333333333"/>
        <n v="0.0269360269360269"/>
        <n v="0.00577716643741403"/>
        <n v="0.00130165961601041"/>
        <n v="0.00171526586620926"/>
        <n v="0.00172454338794387"/>
        <n v="0.0044404973357016"/>
        <n v="0.00149925037481259"/>
        <n v="0.00490998363338789"/>
        <n v="0.00640897256158622"/>
        <n v="0.00727411944869832"/>
        <n v="0.00437930109929395"/>
        <n v="0.0128005535374503"/>
        <n v="0.00138228108525138"/>
        <n v="0.00461041954817888"/>
        <n v="0.00244941948758144"/>
        <n v="0.00343473994111874"/>
        <n v="0.0344827586206897"/>
        <n v="0.0125786163522013"/>
        <n v="0.00578034682080925"/>
        <n v="0.00183654729109275"/>
        <n v="0.0197157267308574"/>
        <n v="0.00748876684972541"/>
        <n v="0.00295930949445129"/>
        <n v="0.00191938579654511"/>
        <n v="0.00126582278481013"/>
        <n v="0.00720906282183316"/>
        <n v="0.00756938603868797"/>
        <n v="0.000955566172957477"/>
        <n v="0.00602409638554217"/>
        <n v="0.02"/>
        <n v="0.00388490955444944"/>
        <n v="0.0116279069767442"/>
        <m/>
      </sharedItems>
    </cacheField>
    <cacheField name="每次点击成本(CPC)" numFmtId="0">
      <sharedItems containsString="0" containsBlank="1" containsNumber="1" minValue="0" maxValue="1.0675" count="39">
        <m/>
        <n v="0.168461538461538"/>
        <n v="0.219333333333333"/>
        <n v="0.18"/>
        <n v="0.2"/>
        <n v="0.3"/>
        <n v="0.206486486486487"/>
        <n v="0.406666666666667"/>
        <n v="0.1"/>
        <n v="0.464285714285714"/>
        <n v="0.2125"/>
        <n v="1.0675"/>
        <n v="0.321477272727273"/>
        <n v="0.364"/>
        <n v="0.62"/>
        <n v="0.301666666666667"/>
        <n v="0.29625"/>
        <n v="0.316842105263158"/>
        <n v="0.24265306122449"/>
        <n v="0.224054054054054"/>
        <n v="0.676976744186046"/>
        <n v="0.614"/>
        <n v="0.3042"/>
        <n v="0.717619047619048"/>
        <n v="0.636315789473684"/>
        <n v="0.42"/>
        <n v="0.276666666666667"/>
        <n v="0.195"/>
        <n v="0.318372093023256"/>
        <n v="0.428666666666667"/>
        <n v="0.647916666666667"/>
        <n v="0.59"/>
        <n v="0.98"/>
        <n v="0.564285714285714"/>
        <n v="0.157777777777778"/>
        <n v="0.185"/>
        <n v="0.39"/>
        <n v="0.38546875"/>
        <n v="0.36"/>
      </sharedItems>
    </cacheField>
    <cacheField name="花费" numFmtId="0">
      <sharedItems containsString="0" containsBlank="1" containsNumber="1" minValue="0" maxValue="58.22" count="44">
        <n v="0"/>
        <n v="2.19"/>
        <n v="3.29"/>
        <n v="0.54"/>
        <n v="0.6"/>
        <n v="0.3"/>
        <n v="7.64"/>
        <n v="0.8"/>
        <n v="0.2"/>
        <n v="1.22"/>
        <n v="0.4"/>
        <n v="0.5"/>
        <n v="1.44"/>
        <n v="9.75"/>
        <n v="0.85"/>
        <n v="8.54"/>
        <n v="28.29"/>
        <n v="1.82"/>
        <n v="0.62"/>
        <n v="1.81"/>
        <n v="9.48"/>
        <n v="6.02"/>
        <n v="11.89"/>
        <n v="16.58"/>
        <n v="58.22"/>
        <n v="6.14"/>
        <n v="15.21"/>
        <n v="15.07"/>
        <n v="12.09"/>
        <n v="0.84"/>
        <n v="0.83"/>
        <n v="0.78"/>
        <n v="54.76"/>
        <n v="12.86"/>
        <n v="15.55"/>
        <n v="0.59"/>
        <n v="0.98"/>
        <n v="3.95"/>
        <n v="1.42"/>
        <n v="0.37"/>
        <n v="1.17"/>
        <n v="24.67"/>
        <n v="0.36"/>
        <m/>
      </sharedItems>
    </cacheField>
    <cacheField name="7天总销售额" numFmtId="0">
      <sharedItems containsString="0" containsBlank="1" containsNumber="1" minValue="0" maxValue="122.85" count="17">
        <n v="0"/>
        <n v="11.99"/>
        <n v="29.86"/>
        <n v="82.93"/>
        <n v="16.99"/>
        <n v="35.97"/>
        <n v="59.95"/>
        <n v="122.85"/>
        <n v="83.21"/>
        <n v="17.55"/>
        <n v="17.69"/>
        <n v="95.92"/>
        <n v="22.99"/>
        <n v="70.76"/>
        <n v="23.98"/>
        <n v="50.97"/>
        <m/>
      </sharedItems>
    </cacheField>
    <cacheField name="广告成本销售比(ACOS)" numFmtId="0">
      <sharedItems containsString="0" containsBlank="1" containsNumber="1" minValue="0" maxValue="0.858689458689459" count="18">
        <m/>
        <n v="0.637197664720601"/>
        <n v="0.0482250502344273"/>
        <n v="0.341131074400097"/>
        <n v="0.557975279576221"/>
        <n v="0.354326074161271"/>
        <n v="0.330553238810119"/>
        <n v="0.276563803169308"/>
        <n v="0.473911273911274"/>
        <n v="0.182790529984377"/>
        <n v="0.858689458689459"/>
        <n v="0.68343697003957"/>
        <n v="0.570892410341952"/>
        <n v="0.559373640713354"/>
        <n v="0.21975692481628"/>
        <n v="0.0592160133444537"/>
        <n v="0.0308590492076731"/>
        <n v="0.484010202079655"/>
      </sharedItems>
    </cacheField>
    <cacheField name="投入产出比(ROAS)" numFmtId="0">
      <sharedItems containsString="0" containsBlank="1" containsNumber="1" minValue="0" maxValue="32.4054054054054" count="19">
        <m/>
        <n v="0"/>
        <n v="1.56937172774869"/>
        <n v="20.7361111111111"/>
        <n v="2.93142453163662"/>
        <n v="1.792194092827"/>
        <n v="2.82225913621262"/>
        <n v="3.02523128679563"/>
        <n v="3.61580217129071"/>
        <n v="2.11009962212298"/>
        <n v="5.47074293228139"/>
        <n v="1.16456536164565"/>
        <n v="1.46319272125724"/>
        <n v="1.75164353542732"/>
        <n v="1.78771384136858"/>
        <n v="4.55048231511254"/>
        <n v="16.887323943662"/>
        <n v="32.4054054054054"/>
        <n v="2.06607215241184"/>
      </sharedItems>
    </cacheField>
    <cacheField name="7天总订单数(#)" numFmtId="0">
      <sharedItems containsString="0" containsBlank="1" containsNumber="1" containsInteger="1" minValue="0" maxValue="8" count="9">
        <n v="0"/>
        <n v="1"/>
        <n v="3"/>
        <n v="6"/>
        <n v="5"/>
        <n v="7"/>
        <n v="8"/>
        <n v="2"/>
        <m/>
      </sharedItems>
    </cacheField>
    <cacheField name="7天总销售量(#)" numFmtId="0">
      <sharedItems containsString="0" containsBlank="1" containsNumber="1" containsInteger="1" minValue="0" maxValue="8" count="9">
        <n v="0"/>
        <n v="1"/>
        <n v="3"/>
        <n v="7"/>
        <n v="5"/>
        <n v="8"/>
        <n v="2"/>
        <n v="4"/>
        <m/>
      </sharedItems>
    </cacheField>
    <cacheField name="7天的转化率" numFmtId="0">
      <sharedItems containsString="0" containsBlank="1" containsNumber="1" minValue="0" maxValue="0.5" count="18">
        <m/>
        <n v="0"/>
        <n v="0.027027027027027"/>
        <n v="0.375"/>
        <n v="0.0681818181818182"/>
        <n v="0.03125"/>
        <n v="0.0526315789473684"/>
        <n v="0.0612244897959184"/>
        <n v="0.0675675675675676"/>
        <n v="0.0813953488372093"/>
        <n v="0.1"/>
        <n v="0.0476190476190476"/>
        <n v="0.0465116279069767"/>
        <n v="0.0666666666666667"/>
        <n v="0.0416666666666667"/>
        <n v="0.222222222222222"/>
        <n v="0.5"/>
        <n v="0.046875"/>
      </sharedItems>
    </cacheField>
    <cacheField name="7天内广告SKU销售量(#)" numFmtId="0">
      <sharedItems containsString="0" containsBlank="1" containsNumber="1" containsInteger="1" minValue="0" maxValue="7" count="8">
        <n v="0"/>
        <n v="1"/>
        <n v="3"/>
        <n v="6"/>
        <n v="2"/>
        <n v="4"/>
        <n v="7"/>
        <m/>
      </sharedItems>
    </cacheField>
    <cacheField name="7天内其他SKU销售量(#)" numFmtId="0">
      <sharedItems containsString="0" containsBlank="1" containsNumber="1" containsInteger="1" minValue="0" maxValue="2" count="4">
        <n v="0"/>
        <n v="1"/>
        <n v="2"/>
        <m/>
      </sharedItems>
    </cacheField>
    <cacheField name="7天内广告SKU销售额" numFmtId="0">
      <sharedItems containsString="0" containsBlank="1" containsNumber="1" minValue="0" maxValue="122.85" count="15">
        <n v="0"/>
        <n v="11.99"/>
        <n v="29.86"/>
        <n v="71.94"/>
        <n v="16.99"/>
        <n v="23.98"/>
        <n v="47.96"/>
        <n v="122.85"/>
        <n v="83.21"/>
        <n v="17.55"/>
        <n v="17.69"/>
        <n v="22.99"/>
        <n v="70.76"/>
        <n v="50.97"/>
        <m/>
      </sharedItems>
    </cacheField>
    <cacheField name="7天内其他SKU销售额" numFmtId="0">
      <sharedItems containsString="0" containsBlank="1" containsNumber="1" minValue="0" maxValue="23.98" count="6">
        <n v="0"/>
        <n v="10.99"/>
        <n v="16.99"/>
        <n v="11.99"/>
        <n v="23.98"/>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34.xml><?xml version="1.0" encoding="utf-8"?>
<pivotCacheDefinition xmlns="http://schemas.openxmlformats.org/spreadsheetml/2006/main" xmlns:r="http://schemas.openxmlformats.org/officeDocument/2006/relationships" r:id="rId1" createdVersion="5" refreshedVersion="5" minRefreshableVersion="3" refreshedDate="45219.5952893519" refreshedBy="Administrator" recordCount="40">
  <cacheSource type="worksheet">
    <worksheetSource ref="B1:O1048576" sheet="6店1012-1018" r:id="rId2"/>
  </cacheSource>
  <cacheFields count="14">
    <cacheField name="（子）ASIN" numFmtId="0">
      <sharedItems containsBlank="1" count="40">
        <s v="B09YRRGB2M"/>
        <s v="B0B2RTKRW6"/>
        <s v="B0BYJ3JB97"/>
        <s v="B0B9JY21Q5"/>
        <s v="B0B5N916XS"/>
        <s v="B0CCP3PFQR"/>
        <s v="B0CDBS2XC3"/>
        <s v="B0B9JYM313"/>
        <s v="B09XB41FKG"/>
        <s v="B0CDBSTZVD"/>
        <s v="B0B97JJXC2"/>
        <s v="B0C2PZ3185"/>
        <s v="B0C3GZ28T8"/>
        <s v="B0CDBSKYCL"/>
        <s v="B0B2969RR8"/>
        <s v="B09X33TY2G"/>
        <s v="B0B2947PNH"/>
        <s v="B0C33B4ZXM"/>
        <s v="B0CC9DMDPF"/>
        <s v="B0C2BLQY4H"/>
        <s v="B0CDBR5NQJ"/>
        <s v="B0B1M84NS9"/>
        <s v="B0B8NQD6CN"/>
        <s v="B0BVZ2NG6F"/>
        <s v="B0CGC8GH7Q"/>
        <s v="B09XB4F6D1"/>
        <s v="B09ZXG8RFT"/>
        <s v="B0B3LG9QSV"/>
        <s v="B0BVZ6GMF9"/>
        <s v="B0C23NSBJJ"/>
        <s v="B0C538SY6P"/>
        <s v="B0C53B2KZ5"/>
        <s v="B0C53C8F24"/>
        <s v="B0CBPN6C3R"/>
        <s v="B0CC9C7RG3"/>
        <s v="B0CH39L5ZF"/>
        <s v="B0CH39V9RR"/>
        <s v="B0C7QMMR68"/>
        <s v="B0C53KLFLS"/>
        <m/>
      </sharedItems>
    </cacheField>
    <cacheField name="商品名称" numFmtId="0">
      <sharedItems containsBlank="1" count="39">
        <s v="RTMGOB Flip Up Sights - Fiber Optic Red Green Dot Sights Folding Polymer Sights for Picatinny Rail Adjustable Front and Backup Sights Set (Black)"/>
        <s v="RTMGOB Side Scope Mount - Quick Detach Scope Mount Side Picatinny Rail Mount for Red Dot Optic Scope"/>
        <s v="RTMGOB Gun Belt Clip, Low Profile Slim Concealed Carry Easy Install Holster Clip for Glock Gen 1-4 Models 17, 19, 22, 23, 24, 25, 26, 27, 28, 30S, 31, 32, 33, 34, 35, 36 and 41"/>
        <s v="RTMGOB No-Tritium Fiber Optic Green Sights for Pistol Taurus G2C, PT111, TX22, G2, 709, G2S, PT140, 740, Taurus G2C Accessories Sights Set (Green Sights)"/>
        <s v="RTMGOB Base Plates for G17, 17L, 22, 24, 31, 34, 35, 37 (Gen 3-4), G17 Gen 3 Gen 4 Accessories(Black)"/>
        <s v="RTMGOB Tactical Extension Holster Adapter，QLS Extension Adapter Holster for Can Carry Magazine/Hemostatic Box/Tactical Function Box Holster Extended"/>
        <s v="RTMGOB Gun Belt Clip Holster, Low Profile Slim Concealed Carry Easy Install Holster Clip for Glock Gen 5 Models 17, 19, 22, 23, 24, 25, 26, 27, 28, 31, 32, 33, 34, 35 and 36 (Gen 5 Model)"/>
        <s v="RTMGOB No-Tritium Fiber Optic Red Sights for Pistol Taurus G2C, PT111, TX22, G2, 709, G2S, PT140, 740, Taurus G2C Accessories Sights Set (Red Sights)"/>
        <s v="RTMGOB 45 Degree Offset Iron Sights - Canted Flip Up Sights for Picatinny Rail, Fiber Optic Red Dot Front Sight with Adjustment Tool Green Dot Rear Backup Sight Set Rapid Transition"/>
        <s v="RTMGOB No-Tritium Fiber Optic Green/Red Sights for Pistol Taurus G2C, PT111, G3, TX22, G2, 709, G2S, PT140, 740, Taurus G2C Accessories Sights Set (Green/Red Sights)"/>
        <s v="RTMGOB Fiber Optic Green Night Sights for Pistol Taurus G2C, PT111, G3, G2, 709, G2S, PT140, and Taurus 740, Taurus G2C Accessories Sights Set"/>
        <s v="RTMGOB Fiber Optic Sights Front &amp; Rear Sight for Glock 17, 17L, 19, 22, 23, 24, 26, 27, 33, 34, 35, 38 and 39 (Excluding M.O.S. Models)-Optic Front and Rear Handgun Sights for Glock Pistols"/>
        <s v="RTMGOB Mini Folding 3 MOA Red Dot Sight Flip Up Reflex Sight for Glock MOS, Pistol Handgun RMR, Picatinny Rail"/>
        <s v="RTMGOB No-Tritium Fiber Optic Red/Green Sights for Pistol Taurus G2C, PT111, G3, TX22, G2, 709, G2S, PT140, 740, Taurus G2C Accessories Sights Set (Red/Green Sights)"/>
        <s v="RTMGOB No-Tritium Fiber Optic Sights for Glock 17, 17L, 19, 22, 23, 24, 26, 27, 33, 34, 35, 38, 39 - Red/Green Dot Fiber Optic Sights for Glock (Green Dot Sights)"/>
        <s v="RTMGOB Night Sights Glow in Dark for Pistol Glock 17/17L, 19, 22, 23, 24, 25, 26, 27, 28, 31, 32, 33, 34, 35, 37, 38 and 39 (Green)"/>
        <s v="RTMGOB No-Tritium Fiber Optic Sights for Glock 17, 17L, 19, 22, 23, 24, 26, 27, 33, 34, 35, 38, 39 - Red Green Dot Fiber Optic Sights for Glock"/>
        <s v="RTMGOB Flip Up Sights - Fiber Optic Red Green Dot Sights Folding Polymer Sights for Picatinny Rail Adjustable Front and Backup Sights Set"/>
        <s v="RTMGOB Holster Claw Kit, Concealment Holster Wing Kits for IWB Kydex Holster Hardware Available in Right and Left Hand Holster Wing Kits (1 Pack)"/>
        <s v="RTMGOB 2 PCS Slide Plates Design for Glock Gen 1-4, Durable Aluminum Rear Cover Fit for Glock 17 19 21 22 23 24 26 27 29 30 31 32 33 34 35 36 37 38 39 40 41 Gen 1-4 (Skull)"/>
        <s v="RTMGOB Gun Belt Clip Holster, Low Profile Slim Concealed Carry Easy Install Holster Clip for Glock Gen 1-4 Models 17, 19, 22, 23, 24, 25, 26, 27, 28, 31, 32, 33, 34, 35 and 36 (Gen 1-4 Models)"/>
        <s v="RTMGOB 【Upgraded】 Night Sights Glow in Dark for Glock 17/17L, 19, 22, 23, 24, 25, 26, 27, 28, 31, 32, 33, 34, 35, 37, 38 and 39"/>
        <s v="RTMGOB Two-Point Rifle Sling with QD Sling Mount, Length-Adjustable Sling and QD Sling Swivel Mount Set"/>
        <s v="RTMGOB Gen 2nd Front and Rear Flip Up Sight Folding Back Up Sight for Picatinny or Weaver Rail Adjustable Backup Sights Set(Black)"/>
        <s v="RTMGOB Fiber Optic Iron Sights-Red Green Dots Flip Up Sights，Front and Rear Backup Sights Free Adjustment Backup Iron Sight"/>
        <s v="RTMGOB Flip Up Sights - Iron Sights Red &amp; Green Dot Sight - Fiber Optic Sights Front and Rear Sights Front Sight with Adjustment Tool Backup Sight with Dual Apertures Sight with Allen Wrench"/>
        <s v="RTMGOB Night Sights Glow in Dark for Pistol Glock 17/17L, 19, 22, 23, 24, 25, 26, 27, 28, 31, 32, 33, 34, 35, 37, 38 and 39 (Blue)"/>
        <s v="RTMGOB Duty Belt Keepers Belt Key Holders, 2.25&quot; Belt Keeper Loop Double Snaps Belt Key Clips, Tactical Duty Belt Accessories (5+1 Set-Black)"/>
        <s v="RTMGOB Gen 2nd Front and Rear Flip Up Sight Folding Back Up Sight for Picatinny or Weaver Rail Adjustable Backup Sights Set"/>
        <s v="RTMGOB Universal Belt Loop，Mid Ride Belt Loop 6075UBL Adapter 2&quot; Belt Slot，6070UBL Adapter 2.25&quot; Belt Slot，with Any Holster with The 3-Hole Pattern，Universal Belt Loop Plain (Black)"/>
        <s v="RTMGOB Univeral Rubber Grip Sleeve, Tactical Non-Slip Grip Glove Sleeve Compatible with Glock 2PCS"/>
        <s v="RTMGOB Rubber Grip Sleeve, Tactical Non-Slip Grip Glove Sleeve Compatible with Glock (Gray-1)"/>
        <s v="RTMGOB Rubber Grip Sleeve, Tactical Non-Slip Grip Glove Sleeve Compatible with Glock (Black-2)"/>
        <s v="Sight Mount 8 Slots Rail Mount Heavy Duty Base for 20mm Scope Optics with Quick Adjustable Lever, for Red Dot Sight, Scope Optics（Black）"/>
        <s v="RTMGOB Newest Gun Magnets, Gun Holder Magnetic-with Mount Rated Max up to 15 LBS-for Most Guns,Heavy Duty Handgun Magnetic Mount for Vehicle,Car,Truck,Desk Magnetic Gun Mount (1 Pack)"/>
        <s v="RTMGOB Universal Tactical EMT Medical Kit with Tourniquet, Scissors, One-Handed Operation MOLLE First Aid Kit Multifunctional Emergency Tool for Outdoor Adventures, Camping and Travel (Camouflage)"/>
        <s v="Universal Tactical EMT Medical Kit with Tourniquet, Scissors, One-Handed Operation MOLLE First Aid Kit Multifunctional Emergency Tool for Outdoor Adventures, Camping and Travel5434 (Black)"/>
        <s v="Flip Up Sights - Fiber Optic Red Green Dot Sights Folding Polymer Sights for Picatinny Rail Adjustable Front and Backup Sights Set (S)"/>
        <m/>
      </sharedItems>
    </cacheField>
    <cacheField name="SKU" numFmtId="0">
      <sharedItems containsBlank="1" count="40">
        <s v="Y6011-Black"/>
        <s v="Y6022"/>
        <s v="Y6051"/>
        <s v="Y6040-GR"/>
        <s v="Y6028-BL"/>
        <s v="Y6080"/>
        <s v="Y6082-5"/>
        <s v="Y6040-RE"/>
        <s v="Y6009"/>
        <s v="Y6081-RE"/>
        <s v="Y6041"/>
        <s v="Y6057"/>
        <s v="Y6058"/>
        <s v="Y6081-GN"/>
        <s v="Y6021-GR"/>
        <s v="Y6008-GR"/>
        <s v="Y6021-RE"/>
        <s v="Y6061"/>
        <s v="Y6079-1"/>
        <s v="Y6052-PU"/>
        <s v="Y6082-1-4"/>
        <s v="Y6016"/>
        <s v="Y6036-ZH"/>
        <s v="Y6049-BL"/>
        <s v="Y6083"/>
        <s v="Y6010"/>
        <s v="Y6008-BU"/>
        <s v="Y6018"/>
        <s v="Y6049-SC"/>
        <s v="Y6056-BL"/>
        <s v="Y6072-2"/>
        <s v="Y6074-GA-1"/>
        <s v="Y6074-BL-2"/>
        <s v="Y6075-1-1"/>
        <s v="Y6078-1"/>
        <s v="Y6088-CA"/>
        <s v="Y6088-BL"/>
        <s v="Y6607"/>
        <s v="Y6601-SC-1"/>
        <m/>
      </sharedItems>
    </cacheField>
    <cacheField name="会话次数 – 总计" numFmtId="0">
      <sharedItems containsString="0" containsBlank="1" containsNumber="1" containsInteger="1" minValue="0" maxValue="805" count="38">
        <n v="666"/>
        <n v="432"/>
        <n v="466"/>
        <n v="805"/>
        <n v="473"/>
        <n v="166"/>
        <n v="287"/>
        <n v="401"/>
        <n v="93"/>
        <n v="136"/>
        <n v="246"/>
        <n v="199"/>
        <n v="436"/>
        <n v="126"/>
        <n v="170"/>
        <n v="113"/>
        <n v="131"/>
        <n v="52"/>
        <n v="80"/>
        <n v="76"/>
        <n v="45"/>
        <n v="13"/>
        <n v="147"/>
        <n v="97"/>
        <n v="14"/>
        <n v="8"/>
        <n v="32"/>
        <n v="11"/>
        <n v="19"/>
        <n v="29"/>
        <n v="78"/>
        <n v="35"/>
        <n v="133"/>
        <n v="106"/>
        <n v="102"/>
        <n v="117"/>
        <n v="34"/>
        <m/>
      </sharedItems>
    </cacheField>
    <cacheField name="会话次数 – 总计 – B2B" numFmtId="0">
      <sharedItems containsString="0" containsBlank="1" containsNumber="1" containsInteger="1" minValue="0" maxValue="12" count="12">
        <n v="10"/>
        <n v="3"/>
        <n v="8"/>
        <n v="12"/>
        <n v="2"/>
        <n v="1"/>
        <n v="5"/>
        <n v="7"/>
        <n v="9"/>
        <n v="0"/>
        <n v="4"/>
        <m/>
      </sharedItems>
    </cacheField>
    <cacheField name="会话百分比 – 总计" numFmtId="0">
      <sharedItems containsString="0" containsBlank="1" containsNumber="1" minValue="0" maxValue="0.7748" count="38">
        <n v="0.1013"/>
        <n v="0.0657"/>
        <n v="0.0709"/>
        <n v="0.1225"/>
        <n v="0.072"/>
        <n v="0.0253"/>
        <n v="0.0437"/>
        <n v="0.061"/>
        <n v="0.0141"/>
        <n v="0.0207"/>
        <n v="0.0374"/>
        <n v="0.0303"/>
        <n v="0.0663"/>
        <n v="0.0192"/>
        <n v="0.0259"/>
        <n v="0.0172"/>
        <n v="0.0199"/>
        <n v="0.0079"/>
        <n v="0.0122"/>
        <n v="0.0116"/>
        <n v="0.0068"/>
        <n v="0.002"/>
        <n v="0.0224"/>
        <n v="0.0148"/>
        <n v="0.0021"/>
        <n v="0.0012"/>
        <n v="0.0049"/>
        <n v="0.0017"/>
        <n v="0.0029"/>
        <n v="0.0044"/>
        <n v="0.0119"/>
        <n v="0.0053"/>
        <n v="0.0202"/>
        <n v="0.0161"/>
        <n v="0.0155"/>
        <n v="0.7748"/>
        <n v="0.2252"/>
        <m/>
      </sharedItems>
    </cacheField>
    <cacheField name="会话百分比 – 总计 – B2B" numFmtId="0">
      <sharedItems containsString="0" containsBlank="1" containsNumber="1" minValue="0" maxValue="1" count="12">
        <n v="0.0943"/>
        <n v="0.0283"/>
        <n v="0.0755"/>
        <n v="0.1132"/>
        <n v="0.0189"/>
        <n v="0.0094"/>
        <n v="0.0472"/>
        <n v="0.066"/>
        <n v="0.0849"/>
        <n v="0"/>
        <n v="1"/>
        <m/>
      </sharedItems>
    </cacheField>
    <cacheField name="页面浏览量 – 总计" numFmtId="0">
      <sharedItems containsString="0" containsBlank="1" containsNumber="1" containsInteger="1" minValue="0" maxValue="1052" count="39">
        <n v="925"/>
        <n v="603"/>
        <n v="630"/>
        <n v="1052"/>
        <n v="658"/>
        <n v="233"/>
        <n v="376"/>
        <n v="554"/>
        <n v="114"/>
        <n v="152"/>
        <n v="343"/>
        <n v="262"/>
        <n v="583"/>
        <n v="149"/>
        <n v="213"/>
        <n v="206"/>
        <n v="151"/>
        <n v="177"/>
        <n v="83"/>
        <n v="109"/>
        <n v="100"/>
        <n v="52"/>
        <n v="18"/>
        <n v="173"/>
        <n v="129"/>
        <n v="25"/>
        <n v="10"/>
        <n v="17"/>
        <n v="37"/>
        <n v="16"/>
        <n v="29"/>
        <n v="34"/>
        <n v="47"/>
        <n v="162"/>
        <n v="131"/>
        <n v="126"/>
        <n v="159"/>
        <n v="40"/>
        <m/>
      </sharedItems>
    </cacheField>
    <cacheField name="页面浏览量 – 总计 – B2B" numFmtId="0">
      <sharedItems containsString="0" containsBlank="1" containsNumber="1" containsInteger="1" minValue="0" maxValue="18" count="14">
        <n v="18"/>
        <n v="3"/>
        <n v="9"/>
        <n v="13"/>
        <n v="2"/>
        <n v="1"/>
        <n v="6"/>
        <n v="8"/>
        <n v="12"/>
        <n v="0"/>
        <n v="7"/>
        <n v="4"/>
        <n v="5"/>
        <m/>
      </sharedItems>
    </cacheField>
    <cacheField name="页面浏览量百分比 – 总计" numFmtId="0">
      <sharedItems containsString="0" containsBlank="1" containsNumber="1" minValue="0" maxValue="0.799" count="39">
        <n v="0.1052"/>
        <n v="0.0686"/>
        <n v="0.0716"/>
        <n v="0.1196"/>
        <n v="0.0748"/>
        <n v="0.0265"/>
        <n v="0.0428"/>
        <n v="0.063"/>
        <n v="0.013"/>
        <n v="0.0173"/>
        <n v="0.039"/>
        <n v="0.0298"/>
        <n v="0.0663"/>
        <n v="0.0169"/>
        <n v="0.0242"/>
        <n v="0.0234"/>
        <n v="0.0172"/>
        <n v="0.0201"/>
        <n v="0.0094"/>
        <n v="0.0124"/>
        <n v="0.0114"/>
        <n v="0.0059"/>
        <n v="0.002"/>
        <n v="0.0197"/>
        <n v="0.0147"/>
        <n v="0.0028"/>
        <n v="0.0011"/>
        <n v="0.0019"/>
        <n v="0.0042"/>
        <n v="0.0018"/>
        <n v="0.0033"/>
        <n v="0.0039"/>
        <n v="0.0053"/>
        <n v="0.0184"/>
        <n v="0.0149"/>
        <n v="0.0143"/>
        <n v="0.799"/>
        <n v="0.201"/>
        <m/>
      </sharedItems>
    </cacheField>
    <cacheField name="页面浏览量百分比 – 总计 – B2B" numFmtId="0">
      <sharedItems containsString="0" containsBlank="1" containsNumber="1" minValue="0" maxValue="1" count="14">
        <n v="0.1343"/>
        <n v="0.0224"/>
        <n v="0.0672"/>
        <n v="0.097"/>
        <n v="0.0149"/>
        <n v="0.0075"/>
        <n v="0.0448"/>
        <n v="0.0597"/>
        <n v="0.0896"/>
        <n v="0"/>
        <n v="0.0522"/>
        <n v="0.0299"/>
        <n v="1"/>
        <m/>
      </sharedItems>
    </cacheField>
    <cacheField name="推荐报价（购买按钮）百分比" numFmtId="0">
      <sharedItems containsString="0" containsBlank="1" containsNumber="1" minValue="0" maxValue="1" count="24">
        <n v="0.9989"/>
        <n v="0.9967"/>
        <n v="0.9937"/>
        <n v="0.98"/>
        <n v="0.9985"/>
        <n v="0.9871"/>
        <n v="1"/>
        <n v="0.9982"/>
        <n v="0.9737"/>
        <n v="0.9928"/>
        <n v="0.9738"/>
        <n v="0.9771"/>
        <n v="0.9949"/>
        <n v="0.9699"/>
        <n v="0.9706"/>
        <n v="0.9951"/>
        <n v="0.9796"/>
        <n v="0.9908"/>
        <n v="0.9881"/>
        <n v="0.9444"/>
        <n v="0.56"/>
        <n v="0.9924"/>
        <n v="0.9835"/>
        <m/>
      </sharedItems>
    </cacheField>
    <cacheField name="推荐报价（购买按钮）百分比 – B2B" numFmtId="0">
      <sharedItems containsString="0" containsBlank="1" containsNumber="1" containsInteger="1" minValue="0" maxValue="1" count="3">
        <n v="1"/>
        <n v="0"/>
        <m/>
      </sharedItems>
    </cacheField>
    <cacheField name="已订购商品数量" numFmtId="0">
      <sharedItems containsString="0" containsBlank="1" containsNumber="1" containsInteger="1" minValue="0" maxValue="81" count="19">
        <n v="81"/>
        <n v="40"/>
        <n v="32"/>
        <n v="31"/>
        <n v="30"/>
        <n v="20"/>
        <n v="16"/>
        <n v="14"/>
        <n v="12"/>
        <n v="11"/>
        <n v="10"/>
        <n v="9"/>
        <n v="7"/>
        <n v="6"/>
        <n v="4"/>
        <n v="3"/>
        <n v="2"/>
        <n v="1"/>
        <m/>
      </sharedItems>
    </cacheField>
  </cacheFields>
</pivotCacheDefinition>
</file>

<file path=xl/pivotCache/pivotCacheDefinition35.xml><?xml version="1.0" encoding="utf-8"?>
<pivotCacheDefinition xmlns="http://schemas.openxmlformats.org/spreadsheetml/2006/main" xmlns:r="http://schemas.openxmlformats.org/officeDocument/2006/relationships" r:id="rId1" createdVersion="5" refreshedVersion="5" minRefreshableVersion="3" refreshedDate="45219.5953472222" refreshedBy="Administrator" recordCount="47">
  <cacheSource type="worksheet">
    <worksheetSource ref="B1:O1048576" sheet="1004-1018" r:id="rId2"/>
  </cacheSource>
  <cacheFields count="14">
    <cacheField name="（子）ASIN" numFmtId="0">
      <sharedItems containsBlank="1" count="47">
        <s v="B09YRRGB2M"/>
        <s v="B0B9JY21Q5"/>
        <s v="B0B5N916XS"/>
        <s v="B0B2RTKRW6"/>
        <s v="B0BYJ3JB97"/>
        <s v="B0CCP3PFQR"/>
        <s v="B0B9JYM313"/>
        <s v="B0CDBS2XC3"/>
        <s v="B0C3GZ28T8"/>
        <s v="B0CDBSTZVD"/>
        <s v="B0B97JJXC2"/>
        <s v="B0C2PZ3185"/>
        <s v="B0CDBSKYCL"/>
        <s v="B09XB41FKG"/>
        <s v="B0B2947PNH"/>
        <s v="B0B2969RR8"/>
        <s v="B0CC9DMDPF"/>
        <s v="B0C33B4ZXM"/>
        <s v="B09X33TY2G"/>
        <s v="B09ZXG8RFT"/>
        <s v="B0B1M84NS9"/>
        <s v="B0B8NQD6CN"/>
        <s v="B0BVZ2NG6F"/>
        <s v="B0C2BLQY4H"/>
        <s v="B0C53C8F24"/>
        <s v="B0CDBR5NQJ"/>
        <s v="B0CCD75PGF"/>
        <s v="B0C23NSBJJ"/>
        <s v="B0C538SY6P"/>
        <s v="B0CBPN6C3R"/>
        <s v="B0CC9C7RG3"/>
        <s v="B0CH39V9RR"/>
        <s v="B09XB4F6D1"/>
        <s v="B0C5395KJN"/>
        <s v="B0CGC8GH7Q"/>
        <s v="B0CH39L5ZF"/>
        <s v="B0B3LG9QSV"/>
        <s v="B0B63NSYD1"/>
        <s v="B0BVZ6GMF9"/>
        <s v="B0C2BL7HXZ"/>
        <s v="B0C53B2KZ5"/>
        <s v="B0CB4B49FV"/>
        <s v="B0C7QMMR68"/>
        <s v="B09V551CZ3"/>
        <s v="B0C53KLFLS"/>
        <s v="B0C53L92DN"/>
        <m/>
      </sharedItems>
    </cacheField>
    <cacheField name="商品名称" numFmtId="0">
      <sharedItems containsBlank="1" count="46">
        <s v="RTMGOB Flip Up Sights - Fiber Optic Red Green Dot Sights Folding Polymer Sights for Picatinny Rail Adjustable Front and Backup Sights Set (Black)"/>
        <s v="RTMGOB No-Tritium Fiber Optic Green Sights for Pistol Taurus G2C, PT111, TX22, G2, 709, G2S, PT140, 740, Taurus G2C Accessories Sights Set (Green Sights)"/>
        <s v="RTMGOB Base Plates for G17, 17L, 22, 24, 31, 34, 35, 37 (Gen 3-4), G17 Gen 3 Gen 4 Accessories(Black)"/>
        <s v="RTMGOB Side Scope Mount - Quick Detach Scope Mount Side Picatinny Rail Mount for Red Dot Optic Scope"/>
        <s v="RTMGOB Gun Belt Clip, Low Profile Slim Concealed Carry Easy Install Holster Clip for Glock Gen 1-4 Models 17, 19, 22, 23, 24, 25, 26, 27, 28, 30S, 31, 32, 33, 34, 35, 36 and 41"/>
        <s v="RTMGOB Tactical Extension Holster Adapter，QLS Extension Adapter Holster for Can Carry Magazine/Hemostatic Box/Tactical Function Box Holster Extended"/>
        <s v="RTMGOB No-Tritium Fiber Optic Red Sights for Pistol Taurus G2C, PT111, TX22, G2, 709, G2S, PT140, 740, Taurus G2C Accessories Sights Set (Red Sights)"/>
        <s v="RTMGOB Gun Belt Clip Holster, Low Profile Slim Concealed Carry Easy Install Holster Clip for Glock Gen 5 Models 17, 19, 22, 23, 24, 25, 26, 27, 28, 31, 32, 33, 34, 35 and 36 (Gen 5 Model)"/>
        <s v="RTMGOB Mini Folding 3 MOA Red Dot Sight Flip Up Reflex Sight for Glock MOS, Pistol Handgun RMR, Picatinny Rail"/>
        <s v="RTMGOB No-Tritium Fiber Optic Green/Red Sights for Pistol Taurus G2C, PT111, G3, TX22, G2, 709, G2S, PT140, 740, Taurus G2C Accessories Sights Set (Green/Red Sights)"/>
        <s v="RTMGOB Fiber Optic Green Night Sights for Pistol Taurus G2C, PT111, G3, G2, 709, G2S, PT140, and Taurus 740, Taurus G2C Accessories Sights Set"/>
        <s v="RTMGOB Fiber Optic Sights Front &amp; Rear Sight for Glock 17, 17L, 19, 22, 23, 24, 26, 27, 33, 34, 35, 38 and 39 (Excluding M.O.S. Models)-Optic Front and Rear Handgun Sights for Glock Pistols"/>
        <s v="RTMGOB No-Tritium Fiber Optic Red/Green Sights for Pistol Taurus G2C, PT111, G3, TX22, G2, 709, G2S, PT140, 740, Taurus G2C Accessories Sights Set (Red/Green Sights)"/>
        <s v="RTMGOB 45 Degree Offset Iron Sights - Canted Flip Up Sights for Picatinny Rail, Fiber Optic Red Dot Front Sight with Adjustment Tool Green Dot Rear Backup Sight Set Rapid Transition"/>
        <s v="RTMGOB No-Tritium Fiber Optic Sights for Glock 17, 17L, 19, 22, 23, 24, 26, 27, 33, 34, 35, 38, 39 - Red Green Dot Fiber Optic Sights for Glock"/>
        <s v="RTMGOB No-Tritium Fiber Optic Sights for Glock 17, 17L, 19, 22, 23, 24, 26, 27, 33, 34, 35, 38, 39 - Red/Green Dot Fiber Optic Sights for Glock (Green Dot Sights)"/>
        <s v="RTMGOB Holster Claw Kit, Concealment Holster Wing Kits for IWB Kydex Holster Hardware Available in Right and Left Hand Holster Wing Kits (1 Pack)"/>
        <s v="RTMGOB Flip Up Sights - Fiber Optic Red Green Dot Sights Folding Polymer Sights for Picatinny Rail Adjustable Front and Backup Sights Set"/>
        <s v="RTMGOB Night Sights Glow in Dark for Pistol Glock 17/17L, 19, 22, 23, 24, 25, 26, 27, 28, 31, 32, 33, 34, 35, 37, 38 and 39 (Green)"/>
        <s v="RTMGOB Night Sights Glow in Dark for Pistol Glock 17/17L, 19, 22, 23, 24, 25, 26, 27, 28, 31, 32, 33, 34, 35, 37, 38 and 39 (Blue)"/>
        <s v="RTMGOB 【Upgraded】 Night Sights Glow in Dark for Glock 17/17L, 19, 22, 23, 24, 25, 26, 27, 28, 31, 32, 33, 34, 35, 37, 38 and 39"/>
        <s v="RTMGOB Two-Point Rifle Sling with QD Sling Mount, Length-Adjustable Sling and QD Sling Swivel Mount Set"/>
        <s v="RTMGOB Gen 2nd Front and Rear Flip Up Sight Folding Back Up Sight for Picatinny or Weaver Rail Adjustable Backup Sights Set(Black)"/>
        <s v="RTMGOB 2 PCS Slide Plates Design for Glock Gen 1-4, Durable Aluminum Rear Cover Fit for Glock 17 19 21 22 23 24 26 27 29 30 31 32 33 34 35 36 37 38 39 40 41 Gen 1-4 (Skull)"/>
        <s v="RTMGOB Rubber Grip Sleeve, Tactical Non-Slip Grip Glove Sleeve Compatible with Glock (Black-2)"/>
        <s v="RTMGOB Gun Belt Clip Holster, Low Profile Slim Concealed Carry Easy Install Holster Clip for Glock Gen 1-4 Models 17, 19, 22, 23, 24, 25, 26, 27, 28, 31, 32, 33, 34, 35 and 36 (Gen 1-4 Models)"/>
        <s v="RTMGOB Holster Claw Kit, Concealment Holster Wing Kits for IWB Kydex Holster Hardware Available in Right and Left Hand Holster Wing Kits (2 Pack)"/>
        <s v="RTMGOB Universal Belt Loop，Mid Ride Belt Loop 6075UBL Adapter 2&quot; Belt Slot，6070UBL Adapter 2.25&quot; Belt Slot，with Any Holster with The 3-Hole Pattern，Universal Belt Loop Plain (Black)"/>
        <s v="RTMGOB Univeral Rubber Grip Sleeve, Tactical Non-Slip Grip Glove Sleeve Compatible with Glock 2PCS"/>
        <s v="Sight Mount 8 Slots Rail Mount Heavy Duty Base for 20mm Scope Optics with Quick Adjustable Lever, for Red Dot Sight, Scope Optics（Black）"/>
        <s v="RTMGOB Newest Gun Magnets, Gun Holder Magnetic-with Mount Rated Max up to 15 LBS-for Most Guns,Heavy Duty Handgun Magnetic Mount for Vehicle,Car,Truck,Desk Magnetic Gun Mount (1 Pack)"/>
        <s v="Universal Tactical EMT Medical Kit with Tourniquet, Scissors, One-Handed Operation MOLLE First Aid Kit Multifunctional Emergency Tool for Outdoor Adventures, Camping and Travel5434 (Black)"/>
        <s v="RTMGOB Flip Up Sights - Iron Sights Red &amp; Green Dot Sight - Fiber Optic Sights Front and Rear Sights Front Sight with Adjustment Tool Backup Sight with Dual Apertures Sight with Allen Wrench"/>
        <s v="RTMGOB Rubber Grip Sleeve, Tactical Non-Slip Grip Glove Sleeve Compatible with Glock (Black-1)"/>
        <s v="RTMGOB Fiber Optic Iron Sights-Red Green Dots Flip Up Sights，Front and Rear Backup Sights Free Adjustment Backup Iron Sight"/>
        <s v="RTMGOB Universal Tactical EMT Medical Kit with Tourniquet, Scissors, One-Handed Operation MOLLE First Aid Kit Multifunctional Emergency Tool for Outdoor Adventures, Camping and Travel (Camouflage)"/>
        <s v="RTMGOB Duty Belt Keepers Belt Key Holders, 2.25&quot; Belt Keeper Loop Double Snaps Belt Key Clips, Tactical Duty Belt Accessories (5+1 Set-Black)"/>
        <s v="RTMGOB 10 Pieces Gun Rack Wall Mount, Metal J Hook Gun Hanger Rifle Holder for Horizontal Gun Storage Display, Gun Wall Mount for Shotgun Bow Organizer Accessory (5 Pair)"/>
        <s v="RTMGOB Gen 2nd Front and Rear Flip Up Sight Folding Back Up Sight for Picatinny or Weaver Rail Adjustable Backup Sights Set"/>
        <s v="RTMGOB 2 PCS Slide Plates Design for Glock Gen 1-4, Durable Aluminum Rear Cover Fit for Glock 17 19 21 22 23 24 26 27 29 30 31 32 33 34 35 36 37 38 39 40 41 Gen 1-4 (Flag)"/>
        <s v="RTMGOB Rubber Grip Sleeve, Tactical Non-Slip Grip Glove Sleeve Compatible with Glock (Gray-1)"/>
        <s v="RTMGOB Front Sight Adjuster -Suitable for Iron Sights Red &amp; Green Dot Sight and 45 Degree Offset Iron Sights Sight Set Rapid Transition"/>
        <s v="RTMGOB 2022 Upgraded Digital Meat Thermometer for Cooking and Grilling, Instant Read Meat Thermometer with Waterproof Probe &amp; 30s Backlight Food Thermometer for Kitchen, Smoker, BBQ and Oven (White)"/>
        <s v="Flip Up Sights - Fiber Optic Red Green Dot Sights Folding Polymer Sights for Picatinny Rail Adjustable Front and Backup Sights Set (S)"/>
        <s v="Flip Up Sights - Fiber Optic Red Green Dot Sights Folding Polymer Sights for Picatinny Rail Adjustable Front and Backup Sights Set (B"/>
        <m/>
      </sharedItems>
    </cacheField>
    <cacheField name="SKU" numFmtId="0">
      <sharedItems containsBlank="1" count="47">
        <s v="Y6011-Black"/>
        <s v="Y6040-GR"/>
        <s v="Y6028-BL"/>
        <s v="Y6022"/>
        <s v="Y6051"/>
        <s v="Y6080"/>
        <s v="Y6040-RE"/>
        <s v="Y6082-5"/>
        <s v="Y6058"/>
        <s v="Y6081-RE"/>
        <s v="Y6041"/>
        <s v="Y6057"/>
        <s v="Y6081-GN"/>
        <s v="Y6009"/>
        <s v="Y6021-RE"/>
        <s v="Y6021-GR"/>
        <s v="Y6079-1"/>
        <s v="Y6061"/>
        <s v="Y6008-GR"/>
        <s v="Y6008-BU"/>
        <s v="Y6016"/>
        <s v="Y6036-ZH"/>
        <s v="Y6049-BL"/>
        <s v="Y6052-PU"/>
        <s v="Y6074-BL-2"/>
        <s v="Y6082-1-4"/>
        <s v="Y6079-2"/>
        <s v="Y6056-BL"/>
        <s v="Y6072-2"/>
        <s v="Y6075-1-1"/>
        <s v="Y6078-1"/>
        <s v="Y6088-BL"/>
        <s v="Y6010"/>
        <s v="Y6074-BL-1"/>
        <s v="Y6083"/>
        <s v="Y6088-CA"/>
        <s v="Y6018"/>
        <s v="Y6027"/>
        <s v="Y6049-SC"/>
        <s v="Y6052-NF"/>
        <s v="Y6074-GA-1"/>
        <s v="Y6042"/>
        <s v="Y6607"/>
        <s v="Y6006-WH"/>
        <s v="Y6601-SC-1"/>
        <s v="Y6601-BL-1"/>
        <m/>
      </sharedItems>
    </cacheField>
    <cacheField name="会话次数 – 总计" numFmtId="0">
      <sharedItems containsString="0" containsBlank="1" containsNumber="1" containsInteger="1" minValue="0" maxValue="1606" count="46">
        <n v="1229"/>
        <n v="1606"/>
        <n v="1036"/>
        <n v="856"/>
        <n v="940"/>
        <n v="430"/>
        <n v="755"/>
        <n v="516"/>
        <n v="903"/>
        <n v="280"/>
        <n v="497"/>
        <n v="435"/>
        <n v="215"/>
        <n v="142"/>
        <n v="267"/>
        <n v="341"/>
        <n v="89"/>
        <n v="256"/>
        <n v="240"/>
        <n v="42"/>
        <n v="100"/>
        <n v="40"/>
        <n v="276"/>
        <n v="141"/>
        <n v="155"/>
        <n v="115"/>
        <n v="26"/>
        <n v="31"/>
        <n v="46"/>
        <n v="80"/>
        <n v="205"/>
        <n v="163"/>
        <n v="34"/>
        <n v="55"/>
        <n v="125"/>
        <n v="147"/>
        <n v="29"/>
        <n v="7"/>
        <n v="68"/>
        <n v="30"/>
        <n v="54"/>
        <n v="44"/>
        <n v="237"/>
        <n v="10"/>
        <n v="33"/>
        <m/>
      </sharedItems>
    </cacheField>
    <cacheField name="会话次数 – 总计 – B2B" numFmtId="0">
      <sharedItems containsString="0" containsBlank="1" containsNumber="1" containsInteger="1" minValue="0" maxValue="22" count="14">
        <n v="13"/>
        <n v="20"/>
        <n v="21"/>
        <n v="11"/>
        <n v="22"/>
        <n v="5"/>
        <n v="6"/>
        <n v="8"/>
        <n v="15"/>
        <n v="1"/>
        <n v="0"/>
        <n v="3"/>
        <n v="9"/>
        <m/>
      </sharedItems>
    </cacheField>
    <cacheField name="会话百分比 – 总计" numFmtId="0">
      <sharedItems containsString="0" containsBlank="1" containsNumber="1" minValue="0" maxValue="0.7075" count="47">
        <n v="0.0942"/>
        <n v="0.1231"/>
        <n v="0.0794"/>
        <n v="0.0656"/>
        <n v="0.0721"/>
        <n v="0.033"/>
        <n v="0.0579"/>
        <n v="0.0396"/>
        <n v="0.0692"/>
        <n v="0.0215"/>
        <n v="0.0381"/>
        <n v="0.0333"/>
        <n v="0.0165"/>
        <n v="0.0109"/>
        <n v="0.0205"/>
        <n v="0.0261"/>
        <n v="0.0068"/>
        <n v="0.0196"/>
        <n v="0.0184"/>
        <n v="0.0032"/>
        <n v="0.0077"/>
        <n v="0.0031"/>
        <n v="0.0212"/>
        <n v="0.0108"/>
        <n v="0.0119"/>
        <n v="0.0088"/>
        <n v="0.002"/>
        <n v="0.0024"/>
        <n v="0.0035"/>
        <n v="0.0061"/>
        <n v="0.0157"/>
        <n v="0.0125"/>
        <n v="0.0026"/>
        <n v="0.0042"/>
        <n v="0.0096"/>
        <n v="0.0113"/>
        <n v="0.0022"/>
        <n v="0.0005"/>
        <n v="0.0052"/>
        <n v="0.0023"/>
        <n v="0.0041"/>
        <n v="0.0034"/>
        <n v="0.7075"/>
        <n v="0.0299"/>
        <n v="0.1642"/>
        <n v="0.0985"/>
        <m/>
      </sharedItems>
    </cacheField>
    <cacheField name="会话百分比 – 总计 – B2B" numFmtId="0">
      <sharedItems containsString="0" containsBlank="1" containsNumber="1" minValue="0" maxValue="0.7143" count="16">
        <n v="0.0619"/>
        <n v="0.0952"/>
        <n v="0.1"/>
        <n v="0.0524"/>
        <n v="0.1048"/>
        <n v="0.0238"/>
        <n v="0.0286"/>
        <n v="0.0381"/>
        <n v="0.0714"/>
        <n v="0.0048"/>
        <n v="0"/>
        <n v="0.0143"/>
        <n v="0.0429"/>
        <n v="0.7143"/>
        <n v="0.1429"/>
        <m/>
      </sharedItems>
    </cacheField>
    <cacheField name="页面浏览量 – 总计" numFmtId="0">
      <sharedItems containsString="0" containsBlank="1" containsNumber="1" containsInteger="1" minValue="0" maxValue="2141" count="45">
        <n v="1731"/>
        <n v="2141"/>
        <n v="1488"/>
        <n v="1217"/>
        <n v="1293"/>
        <n v="624"/>
        <n v="1020"/>
        <n v="668"/>
        <n v="1207"/>
        <n v="322"/>
        <n v="648"/>
        <n v="576"/>
        <n v="249"/>
        <n v="170"/>
        <n v="368"/>
        <n v="447"/>
        <n v="129"/>
        <n v="326"/>
        <n v="342"/>
        <n v="48"/>
        <n v="120"/>
        <n v="49"/>
        <n v="321"/>
        <n v="185"/>
        <n v="215"/>
        <n v="148"/>
        <n v="41"/>
        <n v="43"/>
        <n v="64"/>
        <n v="108"/>
        <n v="259"/>
        <n v="197"/>
        <n v="57"/>
        <n v="59"/>
        <n v="168"/>
        <n v="183"/>
        <n v="47"/>
        <n v="7"/>
        <n v="73"/>
        <n v="32"/>
        <n v="63"/>
        <n v="316"/>
        <n v="13"/>
        <n v="37"/>
        <m/>
      </sharedItems>
    </cacheField>
    <cacheField name="页面浏览量 – 总计 – B2B" numFmtId="0">
      <sharedItems containsString="0" containsBlank="1" containsNumber="1" containsInteger="1" minValue="0" maxValue="29" count="17">
        <n v="24"/>
        <n v="29"/>
        <n v="14"/>
        <n v="8"/>
        <n v="6"/>
        <n v="20"/>
        <n v="19"/>
        <n v="1"/>
        <n v="9"/>
        <n v="0"/>
        <n v="4"/>
        <n v="11"/>
        <n v="3"/>
        <n v="5"/>
        <n v="7"/>
        <n v="2"/>
        <m/>
      </sharedItems>
    </cacheField>
    <cacheField name="页面浏览量百分比 – 总计" numFmtId="0">
      <sharedItems containsString="0" containsBlank="1" containsNumber="1" minValue="0" maxValue="0.7349" count="45">
        <n v="0.0989"/>
        <n v="0.1223"/>
        <n v="0.085"/>
        <n v="0.0695"/>
        <n v="0.0739"/>
        <n v="0.0357"/>
        <n v="0.0583"/>
        <n v="0.0382"/>
        <n v="0.069"/>
        <n v="0.0184"/>
        <n v="0.037"/>
        <n v="0.0329"/>
        <n v="0.0142"/>
        <n v="0.0097"/>
        <n v="0.021"/>
        <n v="0.0255"/>
        <n v="0.0074"/>
        <n v="0.0186"/>
        <n v="0.0195"/>
        <n v="0.0027"/>
        <n v="0.0069"/>
        <n v="0.0028"/>
        <n v="0.0183"/>
        <n v="0.0106"/>
        <n v="0.0123"/>
        <n v="0.0085"/>
        <n v="0.0023"/>
        <n v="0.0025"/>
        <n v="0.0037"/>
        <n v="0.0062"/>
        <n v="0.0148"/>
        <n v="0.0113"/>
        <n v="0.0033"/>
        <n v="0.0034"/>
        <n v="0.0096"/>
        <n v="0.0105"/>
        <n v="0.0004"/>
        <n v="0.0042"/>
        <n v="0.0018"/>
        <n v="0.0036"/>
        <n v="0.7349"/>
        <n v="0.0302"/>
        <n v="0.1488"/>
        <n v="0.086"/>
        <m/>
      </sharedItems>
    </cacheField>
    <cacheField name="页面浏览量百分比 – 总计 – B2B" numFmtId="0">
      <sharedItems containsString="0" containsBlank="1" containsNumber="1" minValue="0" maxValue="0.6667" count="20">
        <n v="0.0836"/>
        <n v="0.101"/>
        <n v="0.0488"/>
        <n v="0.0279"/>
        <n v="0.0209"/>
        <n v="0.0697"/>
        <n v="0.0662"/>
        <n v="0.0035"/>
        <n v="0.0314"/>
        <n v="0"/>
        <n v="0.0139"/>
        <n v="0.0383"/>
        <n v="0.0105"/>
        <n v="0.0174"/>
        <n v="0.0244"/>
        <n v="0.007"/>
        <n v="0.6667"/>
        <n v="0.2222"/>
        <n v="0.1111"/>
        <m/>
      </sharedItems>
    </cacheField>
    <cacheField name="推荐报价（购买按钮）百分比" numFmtId="0">
      <sharedItems containsString="0" containsBlank="1" containsNumber="1" minValue="0" maxValue="1" count="37">
        <n v="0.9945"/>
        <n v="0.9791"/>
        <n v="0.9946"/>
        <n v="0.9959"/>
        <n v="0.993"/>
        <n v="0.9936"/>
        <n v="0.997"/>
        <n v="0.991"/>
        <n v="0.9656"/>
        <n v="0.9815"/>
        <n v="0.9861"/>
        <n v="0.9633"/>
        <n v="0.9765"/>
        <n v="0.9917"/>
        <n v="0.9648"/>
        <n v="1"/>
        <n v="0.9968"/>
        <n v="0.9971"/>
        <n v="0.907"/>
        <n v="0.9833"/>
        <n v="0.9796"/>
        <n v="0.9932"/>
        <n v="0.956"/>
        <n v="0.9953"/>
        <n v="0.9843"/>
        <n v="0.9"/>
        <n v="0.9762"/>
        <n v="0.9907"/>
        <n v="0.9878"/>
        <n v="0.614"/>
        <n v="0.9811"/>
        <n v="0.9835"/>
        <n v="0.9655"/>
        <n v="0.9683"/>
        <n v="0.9792"/>
        <n v="0"/>
        <m/>
      </sharedItems>
    </cacheField>
    <cacheField name="推荐报价（购买按钮）百分比 – B2B" numFmtId="0">
      <sharedItems containsString="0" containsBlank="1" containsNumber="1" minValue="0" maxValue="1" count="7">
        <n v="1"/>
        <n v="0.8966"/>
        <n v="0.8333"/>
        <n v="0"/>
        <n v="0.9286"/>
        <n v="0.8889"/>
        <m/>
      </sharedItems>
    </cacheField>
    <cacheField name="已订购商品数量" numFmtId="0">
      <sharedItems containsString="0" containsBlank="1" containsNumber="1" containsInteger="1" minValue="0" maxValue="135" count="23">
        <n v="135"/>
        <n v="75"/>
        <n v="70"/>
        <n v="71"/>
        <n v="69"/>
        <n v="51"/>
        <n v="27"/>
        <n v="26"/>
        <n v="24"/>
        <n v="22"/>
        <n v="18"/>
        <n v="19"/>
        <n v="16"/>
        <n v="14"/>
        <n v="8"/>
        <n v="6"/>
        <n v="5"/>
        <n v="4"/>
        <n v="3"/>
        <n v="2"/>
        <n v="1"/>
        <n v="7"/>
        <m/>
      </sharedItems>
    </cacheField>
  </cacheFields>
</pivotCacheDefinition>
</file>

<file path=xl/pivotCache/pivotCacheDefinition36.xml><?xml version="1.0" encoding="utf-8"?>
<pivotCacheDefinition xmlns="http://schemas.openxmlformats.org/spreadsheetml/2006/main" xmlns:r="http://schemas.openxmlformats.org/officeDocument/2006/relationships" r:id="rId1" createdVersion="5" refreshedVersion="5" minRefreshableVersion="3" refreshedDate="45219.5954050926" refreshedBy="Administrator" recordCount="53">
  <cacheSource type="worksheet">
    <worksheetSource ref="B1:O1048576" sheet="0919-1018" r:id="rId2"/>
  </cacheSource>
  <cacheFields count="14">
    <cacheField name="（子）ASIN" numFmtId="0">
      <sharedItems containsBlank="1" count="53">
        <s v="B09YRRGB2M"/>
        <s v="B0B9JY21Q5"/>
        <s v="B0BYJ3JB97"/>
        <s v="B0B5N916XS"/>
        <s v="B0B2RTKRW6"/>
        <s v="B0CCP3PFQR"/>
        <s v="B0B9JYM313"/>
        <s v="B0B97JJXC2"/>
        <s v="B0CDBS2XC3"/>
        <s v="B0C3GZ28T8"/>
        <s v="B0B2947PNH"/>
        <s v="B0C2PZ3185"/>
        <s v="B0CDBSTZVD"/>
        <s v="B0C33B4ZXM"/>
        <s v="B0CDBSKYCL"/>
        <s v="B0B2969RR8"/>
        <s v="B09XB41FKG"/>
        <s v="B0CC9DMDPF"/>
        <s v="B0BVZ2NG6F"/>
        <s v="B09X33TY2G"/>
        <s v="B0B1M84NS9"/>
        <s v="B0C53C8F24"/>
        <s v="B0CCD75PGF"/>
        <s v="B0C2BLQY4H"/>
        <s v="B0CDBR5NQJ"/>
        <s v="B09ZXG8RFT"/>
        <s v="B0B8NQD6CN"/>
        <s v="B0C23NSBJJ"/>
        <s v="B0C2BKB1P4"/>
        <s v="B0C538SY6P"/>
        <s v="B0CH39V9RR"/>
        <s v="B0CBPN6C3R"/>
        <s v="B0CC9C7RG3"/>
        <s v="B09XB4F6D1"/>
        <s v="B0B3LG9QSV"/>
        <s v="B0C23NZX4J"/>
        <s v="B0C5395KJN"/>
        <s v="B0C53B2KZ5"/>
        <s v="B0CGC8GH7Q"/>
        <s v="B0B63NSYD1"/>
        <s v="B0CB4B49FV"/>
        <s v="B0CH39L5ZF"/>
        <s v="B0B63NLM88"/>
        <s v="B0BVZ6GMF9"/>
        <s v="B0C23YHNY3"/>
        <s v="B0C2BL7HXZ"/>
        <s v="B0C7QMMR68"/>
        <s v="B0C7Q9Z61P"/>
        <s v="B0C53KLFLS"/>
        <s v="B0C53L92DN"/>
        <s v="B0C591KJLL"/>
        <s v="B09V551CZ3"/>
        <m/>
      </sharedItems>
    </cacheField>
    <cacheField name="商品名称" numFmtId="0">
      <sharedItems containsBlank="1" count="52">
        <s v="RTMGOB Flip Up Sights - Fiber Optic Red Green Dot Sights Folding Polymer Sights for Picatinny Rail Adjustable Front and Backup Sights Set (Black)"/>
        <s v="RTMGOB No-Tritium Fiber Optic Green Sights for Pistol Taurus G2C, PT111, TX22, G2, 709, G2S, PT140, 740, Taurus G2C Accessories Sights Set (Green Sights)"/>
        <s v="RTMGOB Gun Belt Clip, Low Profile Slim Concealed Carry Easy Install Holster Clip for Glock Gen 1-4 Models 17, 19, 22, 23, 24, 25, 26, 27, 28, 30S, 31, 32, 33, 34, 35, 36 and 41"/>
        <s v="RTMGOB Base Plates for G17, 17L, 22, 24, 31, 34, 35, 37 (Gen 3-4), G17 Gen 3 Gen 4 Accessories(Black)"/>
        <s v="RTMGOB Side Scope Mount - Quick Detach Scope Mount Side Picatinny Rail Mount for Red Dot Optic Scope"/>
        <s v="RTMGOB Tactical Extension Holster Adapter，QLS Extension Adapter Holster for Can Carry Magazine/Hemostatic Box/Tactical Function Box Holster Extended"/>
        <s v="RTMGOB No-Tritium Fiber Optic Red Sights for Pistol Taurus G2C, PT111, TX22, G2, 709, G2S, PT140, 740, Taurus G2C Accessories Sights Set (Red Sights)"/>
        <s v="RTMGOB Fiber Optic Green Night Sights for Pistol Taurus G2C, PT111, G3, G2, 709, G2S, PT140, and Taurus 740, Taurus G2C Accessories Sights Set"/>
        <s v="RTMGOB Gun Belt Clip Holster, Low Profile Slim Concealed Carry Easy Install Holster Clip for Glock Gen 5 Models 17, 19, 22, 23, 24, 25, 26, 27, 28, 31, 32, 33, 34, 35 and 36 (Gen 5 Model)"/>
        <s v="RTMGOB Mini Folding 3 MOA Red Dot Sight Flip Up Reflex Sight for Glock MOS, Pistol Handgun RMR, Picatinny Rail"/>
        <s v="RTMGOB No-Tritium Fiber Optic Sights for Glock 17, 17L, 19, 22, 23, 24, 26, 27, 33, 34, 35, 38, 39 - Red Green Dot Fiber Optic Sights for Glock"/>
        <s v="RTMGOB Fiber Optic Sights Front &amp; Rear Sight for Glock 17, 17L, 19, 22, 23, 24, 26, 27, 33, 34, 35, 38 and 39 (Excluding M.O.S. Models)-Optic Front and Rear Handgun Sights for Glock Pistols"/>
        <s v="RTMGOB No-Tritium Fiber Optic Green/Red Sights for Pistol Taurus G2C, PT111, G3, TX22, G2, 709, G2S, PT140, 740, Taurus G2C Accessories Sights Set (Green/Red Sights)"/>
        <s v="RTMGOB Flip Up Sights - Fiber Optic Red Green Dot Sights Folding Polymer Sights for Picatinny Rail Adjustable Front and Backup Sights Set"/>
        <s v="RTMGOB No-Tritium Fiber Optic Red/Green Sights for Pistol Taurus G2C, PT111, G3, TX22, G2, 709, G2S, PT140, 740, Taurus G2C Accessories Sights Set (Red/Green Sights)"/>
        <s v="RTMGOB No-Tritium Fiber Optic Sights for Glock 17, 17L, 19, 22, 23, 24, 26, 27, 33, 34, 35, 38, 39 - Red/Green Dot Fiber Optic Sights for Glock (Green Dot Sights)"/>
        <s v="RTMGOB 45 Degree Offset Iron Sights - Canted Flip Up Sights for Picatinny Rail, Fiber Optic Red Dot Front Sight with Adjustment Tool Green Dot Rear Backup Sight Set Rapid Transition"/>
        <s v="RTMGOB Holster Claw Kit, Concealment Holster Wing Kits for IWB Kydex Holster Hardware Available in Right and Left Hand Holster Wing Kits (1 Pack)"/>
        <s v="RTMGOB Gen 2nd Front and Rear Flip Up Sight Folding Back Up Sight for Picatinny or Weaver Rail Adjustable Backup Sights Set(Black)"/>
        <s v="RTMGOB Night Sights Glow in Dark for Pistol Glock 17/17L, 19, 22, 23, 24, 25, 26, 27, 28, 31, 32, 33, 34, 35, 37, 38 and 39 (Green)"/>
        <s v="RTMGOB 【Upgraded】 Night Sights Glow in Dark for Glock 17/17L, 19, 22, 23, 24, 25, 26, 27, 28, 31, 32, 33, 34, 35, 37, 38 and 39"/>
        <s v="RTMGOB Rubber Grip Sleeve, Tactical Non-Slip Grip Glove Sleeve Compatible with Glock (Black-2)"/>
        <s v="RTMGOB Holster Claw Kit, Concealment Holster Wing Kits for IWB Kydex Holster Hardware Available in Right and Left Hand Holster Wing Kits (2 Pack)"/>
        <s v="RTMGOB 2 PCS Slide Plates Design for Glock Gen 1-4, Durable Aluminum Rear Cover Fit for Glock 17 19 21 22 23 24 26 27 29 30 31 32 33 34 35 36 37 38 39 40 41 Gen 1-4 (Skull)"/>
        <s v="RTMGOB Gun Belt Clip Holster, Low Profile Slim Concealed Carry Easy Install Holster Clip for Glock Gen 1-4 Models 17, 19, 22, 23, 24, 25, 26, 27, 28, 31, 32, 33, 34, 35 and 36 (Gen 1-4 Models)"/>
        <s v="RTMGOB Night Sights Glow in Dark for Pistol Glock 17/17L, 19, 22, 23, 24, 25, 26, 27, 28, 31, 32, 33, 34, 35, 37, 38 and 39 (Blue)"/>
        <s v="RTMGOB Two-Point Rifle Sling with QD Sling Mount, Length-Adjustable Sling and QD Sling Swivel Mount Set"/>
        <s v="RTMGOB Universal Belt Loop，Mid Ride Belt Loop 6075UBL Adapter 2&quot; Belt Slot，6070UBL Adapter 2.25&quot; Belt Slot，with Any Holster with The 3-Hole Pattern，Universal Belt Loop Plain (Black)"/>
        <s v="RTMGOB 2 PCS Slide Plates Design for Glock Gen 1-4, Durable Aluminum Rear Cover Fit for Glock 17 19 21 22 23 24 26 27 29 30 31 32 33 34 35 36 37 38 39 40 41 Gen 1-4 (Black)"/>
        <s v="RTMGOB Univeral Rubber Grip Sleeve, Tactical Non-Slip Grip Glove Sleeve Compatible with Glock 2PCS"/>
        <s v="Universal Tactical EMT Medical Kit with Tourniquet, Scissors, One-Handed Operation MOLLE First Aid Kit Multifunctional Emergency Tool for Outdoor Adventures, Camping and Travel5434 (Black)"/>
        <s v="Sight Mount 8 Slots Rail Mount Heavy Duty Base for 20mm Scope Optics with Quick Adjustable Lever, for Red Dot Sight, Scope Optics（Black）"/>
        <s v="RTMGOB Newest Gun Magnets, Gun Holder Magnetic-with Mount Rated Max up to 15 LBS-for Most Guns,Heavy Duty Handgun Magnetic Mount for Vehicle,Car,Truck,Desk Magnetic Gun Mount (1 Pack)"/>
        <s v="RTMGOB Flip Up Sights - Iron Sights Red &amp; Green Dot Sight - Fiber Optic Sights Front and Rear Sights Front Sight with Adjustment Tool Backup Sight with Dual Apertures Sight with Allen Wrench"/>
        <s v="RTMGOB Duty Belt Keepers Belt Key Holders, 2.25&quot; Belt Keeper Loop Double Snaps Belt Key Clips, Tactical Duty Belt Accessories (5+1 Set-Black)"/>
        <s v="RTMGOB Universal Belt Loop，Mid Ride Belt Loop 6075UBL Adapter 2&quot; Belt Slot，6070UBL Adapter 2.25&quot; Belt Slot，with Any Holster with The 3-Hole Pattern，Universal Belt Loop Plain (Flat Dark Earth)"/>
        <s v="RTMGOB Rubber Grip Sleeve, Tactical Non-Slip Grip Glove Sleeve Compatible with Glock (Black-1)"/>
        <s v="RTMGOB Rubber Grip Sleeve, Tactical Non-Slip Grip Glove Sleeve Compatible with Glock (Gray-1)"/>
        <s v="RTMGOB Fiber Optic Iron Sights-Red Green Dots Flip Up Sights，Front and Rear Backup Sights Free Adjustment Backup Iron Sight"/>
        <s v="RTMGOB 10 Pieces Gun Rack Wall Mount, Metal J Hook Gun Hanger Rifle Holder for Horizontal Gun Storage Display, Gun Wall Mount for Shotgun Bow Organizer Accessory (5 Pair)"/>
        <s v="RTMGOB Front Sight Adjuster -Suitable for Iron Sights Red &amp; Green Dot Sight and 45 Degree Offset Iron Sights Sight Set Rapid Transition"/>
        <s v="RTMGOB Universal Tactical EMT Medical Kit with Tourniquet, Scissors, One-Handed Operation MOLLE First Aid Kit Multifunctional Emergency Tool for Outdoor Adventures, Camping and Travel (Camouflage)"/>
        <s v="RTMGOB Gun Rack Wall Mount, Metal J Hook Gun Hanger Rifle Holder for Horizontal Gun Storage Display, Gun Wall Mount for Shotgun Bow Organizer Accessory (2 Pair)"/>
        <s v="RTMGOB Gen 2nd Front and Rear Flip Up Sight Folding Back Up Sight for Picatinny or Weaver Rail Adjustable Backup Sights Set"/>
        <s v="RTMGOB Universal Belt Loop，Mid Ride Belt Loop 6075UBL Adapter 2&quot; Belt Slot，6070UBL Adapter 2.25&quot; Belt Slot，with Any Holster with The 3-Hole Pattern，Universal Belt Loop Plain (Green)"/>
        <s v="RTMGOB 2 PCS Slide Plates Design for Glock Gen 1-4, Durable Aluminum Rear Cover Fit for Glock 17 19 21 22 23 24 26 27 29 30 31 32 33 34 35 36 37 38 39 40 41 Gen 1-4 (Flag)"/>
        <s v="45 Degree Offset Iron Sights - Canted Flip Up Sights for Picatinny Rail, Fiber Optic Red Dot Front Sight with Adjustment Tool Green Dot Rear Backup Sight Set Rapid Transition"/>
        <s v="Flip Up Sights - Fiber Optic Red Green Dot Sights Folding Polymer Sights for Picatinny Rail Adjustable Front and Backup Sights Set (S)"/>
        <s v="Flip Up Sights - Fiber Optic Red Green Dot Sights Folding Polymer Sights for Picatinny Rail Adjustable Front and Backup Sights Set (B"/>
        <s v="Gen 2nd Front and Rear Flip Up Sight Folding Back Up Sight for Picatinny or Weaver Rail Adjustable Backup Sights Set（S）"/>
        <s v="RTMGOB 2022 Upgraded Digital Meat Thermometer for Cooking and Grilling, Instant Read Meat Thermometer with Waterproof Probe &amp; 30s Backlight Food Thermometer for Kitchen, Smoker, BBQ and Oven (White)"/>
        <m/>
      </sharedItems>
    </cacheField>
    <cacheField name="SKU" numFmtId="0">
      <sharedItems containsBlank="1" count="53">
        <s v="Y6011-Black"/>
        <s v="Y6040-GR"/>
        <s v="Y6051"/>
        <s v="Y6028-BL"/>
        <s v="Y6022"/>
        <s v="Y6080"/>
        <s v="Y6040-RE"/>
        <s v="Y6041"/>
        <s v="Y6082-5"/>
        <s v="Y6058"/>
        <s v="Y6021-RE"/>
        <s v="Y6057"/>
        <s v="Y6081-RE"/>
        <s v="Y6061"/>
        <s v="Y6081-GN"/>
        <s v="Y6021-GR"/>
        <s v="Y6009"/>
        <s v="Y6079-1"/>
        <s v="Y6049-BL"/>
        <s v="Y6008-GR"/>
        <s v="Y6016"/>
        <s v="Y6074-BL-2"/>
        <s v="Y6079-2"/>
        <s v="Y6052-PU"/>
        <s v="Y6082-1-4"/>
        <s v="Y6008-BU"/>
        <s v="Y6036-ZH"/>
        <s v="Y6056-BL"/>
        <s v="Y6052-BL"/>
        <s v="Y6072-2"/>
        <s v="Y6088-BL"/>
        <s v="Y6075-1-1"/>
        <s v="Y6078-1"/>
        <s v="Y6010"/>
        <s v="Y6018"/>
        <s v="Y6056-OR"/>
        <s v="Y6074-BL-1"/>
        <s v="Y6074-GA-1"/>
        <s v="Y6083"/>
        <s v="Y6027"/>
        <s v="Y6042"/>
        <s v="Y6088-CA"/>
        <s v="Y6026"/>
        <s v="Y6049-SC"/>
        <s v="Y6056-GR"/>
        <s v="Y6052-NF"/>
        <s v="Y6607"/>
        <s v="Y6605"/>
        <s v="Y6601-SC-1"/>
        <s v="Y6601-BL-1"/>
        <s v="Y6602-SC"/>
        <s v="Y6006-WH"/>
        <m/>
      </sharedItems>
    </cacheField>
    <cacheField name="会话次数 – 总计" numFmtId="0">
      <sharedItems containsString="0" containsBlank="1" containsNumber="1" containsInteger="1" minValue="0" maxValue="3195" count="51">
        <n v="2473"/>
        <n v="3195"/>
        <n v="1868"/>
        <n v="1898"/>
        <n v="1603"/>
        <n v="599"/>
        <n v="1465"/>
        <n v="894"/>
        <n v="908"/>
        <n v="1611"/>
        <n v="563"/>
        <n v="819"/>
        <n v="503"/>
        <n v="510"/>
        <n v="385"/>
        <n v="627"/>
        <n v="204"/>
        <n v="142"/>
        <n v="562"/>
        <n v="482"/>
        <n v="178"/>
        <n v="339"/>
        <n v="68"/>
        <n v="242"/>
        <n v="190"/>
        <n v="101"/>
        <n v="59"/>
        <n v="55"/>
        <n v="78"/>
        <n v="96"/>
        <n v="173"/>
        <n v="305"/>
        <n v="49"/>
        <n v="72"/>
        <n v="28"/>
        <n v="124"/>
        <n v="143"/>
        <n v="151"/>
        <n v="14"/>
        <n v="74"/>
        <n v="155"/>
        <n v="24"/>
        <n v="154"/>
        <n v="16"/>
        <n v="48"/>
        <n v="448"/>
        <n v="88"/>
        <n v="56"/>
        <n v="61"/>
        <n v="13"/>
        <m/>
      </sharedItems>
    </cacheField>
    <cacheField name="会话次数 – 总计 – B2B" numFmtId="0">
      <sharedItems containsString="0" containsBlank="1" containsNumber="1" containsInteger="1" minValue="0" maxValue="45" count="19">
        <n v="39"/>
        <n v="45"/>
        <n v="35"/>
        <n v="36"/>
        <n v="18"/>
        <n v="8"/>
        <n v="16"/>
        <n v="10"/>
        <n v="34"/>
        <n v="9"/>
        <n v="22"/>
        <n v="2"/>
        <n v="3"/>
        <n v="7"/>
        <n v="5"/>
        <n v="4"/>
        <n v="1"/>
        <n v="0"/>
        <m/>
      </sharedItems>
    </cacheField>
    <cacheField name="会话百分比 – 总计" numFmtId="0">
      <sharedItems containsString="0" containsBlank="1" containsNumber="1" minValue="0" maxValue="0.5879" count="50">
        <n v="0.1012"/>
        <n v="0.1308"/>
        <n v="0.0765"/>
        <n v="0.0777"/>
        <n v="0.0656"/>
        <n v="0.0245"/>
        <n v="0.06"/>
        <n v="0.0366"/>
        <n v="0.0372"/>
        <n v="0.066"/>
        <n v="0.0231"/>
        <n v="0.0335"/>
        <n v="0.0206"/>
        <n v="0.0209"/>
        <n v="0.0158"/>
        <n v="0.0257"/>
        <n v="0.0084"/>
        <n v="0.0058"/>
        <n v="0.023"/>
        <n v="0.0197"/>
        <n v="0.0073"/>
        <n v="0.0139"/>
        <n v="0.0028"/>
        <n v="0.0099"/>
        <n v="0.0078"/>
        <n v="0.0041"/>
        <n v="0.0024"/>
        <n v="0.0023"/>
        <n v="0.0032"/>
        <n v="0.0039"/>
        <n v="0.0071"/>
        <n v="0.0125"/>
        <n v="0.002"/>
        <n v="0.0029"/>
        <n v="0.0011"/>
        <n v="0.0051"/>
        <n v="0.0059"/>
        <n v="0.0062"/>
        <n v="0.0006"/>
        <n v="0.003"/>
        <n v="0.0063"/>
        <n v="0.001"/>
        <n v="0.0007"/>
        <n v="0.5879"/>
        <n v="0.126"/>
        <n v="0.1155"/>
        <n v="0.0735"/>
        <n v="0.0801"/>
        <n v="0.0171"/>
        <m/>
      </sharedItems>
    </cacheField>
    <cacheField name="会话百分比 – 总计 – B2B" numFmtId="0">
      <sharedItems containsString="0" containsBlank="1" containsNumber="1" minValue="0" maxValue="0.5833" count="22">
        <n v="0.1008"/>
        <n v="0.1163"/>
        <n v="0.0904"/>
        <n v="0.093"/>
        <n v="0.0465"/>
        <n v="0.0207"/>
        <n v="0.0413"/>
        <n v="0.0258"/>
        <n v="0.0879"/>
        <n v="0.0233"/>
        <n v="0.0568"/>
        <n v="0.0052"/>
        <n v="0.0078"/>
        <n v="0.0181"/>
        <n v="0.0129"/>
        <n v="0.0103"/>
        <n v="0.0026"/>
        <n v="0"/>
        <n v="0.5833"/>
        <n v="0.1667"/>
        <n v="0.0833"/>
        <m/>
      </sharedItems>
    </cacheField>
    <cacheField name="页面浏览量 – 总计" numFmtId="0">
      <sharedItems containsString="0" containsBlank="1" containsNumber="1" containsInteger="1" minValue="0" maxValue="4276" count="52">
        <n v="3577"/>
        <n v="4276"/>
        <n v="2577"/>
        <n v="2652"/>
        <n v="2225"/>
        <n v="869"/>
        <n v="1959"/>
        <n v="1169"/>
        <n v="1177"/>
        <n v="2224"/>
        <n v="789"/>
        <n v="1087"/>
        <n v="579"/>
        <n v="666"/>
        <n v="442"/>
        <n v="834"/>
        <n v="251"/>
        <n v="198"/>
        <n v="669"/>
        <n v="665"/>
        <n v="220"/>
        <n v="450"/>
        <n v="99"/>
        <n v="308"/>
        <n v="244"/>
        <n v="109"/>
        <n v="76"/>
        <n v="72"/>
        <n v="85"/>
        <n v="133"/>
        <n v="214"/>
        <n v="234"/>
        <n v="382"/>
        <n v="89"/>
        <n v="103"/>
        <n v="33"/>
        <n v="139"/>
        <n v="166"/>
        <n v="197"/>
        <n v="16"/>
        <n v="191"/>
        <n v="24"/>
        <n v="170"/>
        <n v="26"/>
        <n v="53"/>
        <n v="575"/>
        <n v="123"/>
        <n v="101"/>
        <n v="62"/>
        <n v="75"/>
        <n v="18"/>
        <m/>
      </sharedItems>
    </cacheField>
    <cacheField name="页面浏览量 – 总计 – B2B" numFmtId="0">
      <sharedItems containsString="0" containsBlank="1" containsNumber="1" containsInteger="1" minValue="0" maxValue="61" count="22">
        <n v="61"/>
        <n v="56"/>
        <n v="48"/>
        <n v="50"/>
        <n v="22"/>
        <n v="11"/>
        <n v="16"/>
        <n v="26"/>
        <n v="46"/>
        <n v="10"/>
        <n v="28"/>
        <n v="2"/>
        <n v="12"/>
        <n v="3"/>
        <n v="6"/>
        <n v="9"/>
        <n v="4"/>
        <n v="1"/>
        <n v="7"/>
        <n v="5"/>
        <n v="0"/>
        <m/>
      </sharedItems>
    </cacheField>
    <cacheField name="页面浏览量百分比 – 总计" numFmtId="0">
      <sharedItems containsString="0" containsBlank="1" containsNumber="1" minValue="0" maxValue="0.6027" count="48">
        <n v="0.109"/>
        <n v="0.1304"/>
        <n v="0.0786"/>
        <n v="0.0808"/>
        <n v="0.0678"/>
        <n v="0.0265"/>
        <n v="0.0597"/>
        <n v="0.0356"/>
        <n v="0.0359"/>
        <n v="0.0241"/>
        <n v="0.0331"/>
        <n v="0.0177"/>
        <n v="0.0203"/>
        <n v="0.0135"/>
        <n v="0.0254"/>
        <n v="0.0077"/>
        <n v="0.006"/>
        <n v="0.0204"/>
        <n v="0.0067"/>
        <n v="0.0137"/>
        <n v="0.003"/>
        <n v="0.0094"/>
        <n v="0.0074"/>
        <n v="0.0033"/>
        <n v="0.0023"/>
        <n v="0.0022"/>
        <n v="0.0026"/>
        <n v="0.0041"/>
        <n v="0.0065"/>
        <n v="0.0071"/>
        <n v="0.0116"/>
        <n v="0.0027"/>
        <n v="0.0031"/>
        <n v="0.001"/>
        <n v="0.0042"/>
        <n v="0.0051"/>
        <n v="0.0005"/>
        <n v="0.0058"/>
        <n v="0.0007"/>
        <n v="0.0052"/>
        <n v="0.0008"/>
        <n v="0.0016"/>
        <n v="0.6027"/>
        <n v="0.1289"/>
        <n v="0.1059"/>
        <n v="0.065"/>
        <n v="0.0189"/>
        <m/>
      </sharedItems>
    </cacheField>
    <cacheField name="页面浏览量百分比 – 总计 – B2B" numFmtId="0">
      <sharedItems containsString="0" containsBlank="1" containsNumber="1" minValue="0" maxValue="0.6" count="25">
        <n v="0.1155"/>
        <n v="0.1061"/>
        <n v="0.0909"/>
        <n v="0.0947"/>
        <n v="0.0417"/>
        <n v="0.0208"/>
        <n v="0.0303"/>
        <n v="0.0492"/>
        <n v="0.0871"/>
        <n v="0.0189"/>
        <n v="0.053"/>
        <n v="0.0038"/>
        <n v="0.0227"/>
        <n v="0.0057"/>
        <n v="0.0114"/>
        <n v="0.017"/>
        <n v="0.0076"/>
        <n v="0.0019"/>
        <n v="0.0133"/>
        <n v="0.0095"/>
        <n v="0"/>
        <n v="0.6"/>
        <n v="0.1333"/>
        <n v="0.0667"/>
        <m/>
      </sharedItems>
    </cacheField>
    <cacheField name="推荐报价（购买按钮）百分比" numFmtId="0">
      <sharedItems containsString="0" containsBlank="1" containsNumber="1" minValue="0" maxValue="1" count="46">
        <n v="0.9942"/>
        <n v="0.9769"/>
        <n v="0.9961"/>
        <n v="0.9947"/>
        <n v="0.9964"/>
        <n v="0.9953"/>
        <n v="0.9846"/>
        <n v="0.9898"/>
        <n v="0.9937"/>
        <n v="0.9781"/>
        <n v="0.9926"/>
        <n v="0.9466"/>
        <n v="0.9874"/>
        <n v="0.9299"/>
        <n v="0.9564"/>
        <n v="0.9801"/>
        <n v="1"/>
        <n v="0.9935"/>
        <n v="0.994"/>
        <n v="0.9909"/>
        <n v="0.9865"/>
        <n v="0.9588"/>
        <n v="0.9736"/>
        <n v="0.9907"/>
        <n v="0.9388"/>
        <n v="0.9868"/>
        <n v="0.9706"/>
        <n v="0.9921"/>
        <n v="0.9808"/>
        <n v="0.9957"/>
        <n v="0.9918"/>
        <n v="0.618"/>
        <n v="0.9903"/>
        <n v="0.9032"/>
        <n v="0.976"/>
        <n v="0.9818"/>
        <n v="0.9797"/>
        <n v="0.9765"/>
        <n v="0.9842"/>
        <n v="0.9695"/>
        <n v="0.75"/>
        <n v="0.9796"/>
        <n v="0.9983"/>
        <n v="0.7921"/>
        <n v="0"/>
        <m/>
      </sharedItems>
    </cacheField>
    <cacheField name="推荐报价（购买按钮）百分比 – B2B" numFmtId="0">
      <sharedItems containsString="0" containsBlank="1" containsNumber="1" minValue="0" maxValue="1" count="11">
        <n v="0.9636"/>
        <n v="1"/>
        <n v="0.9375"/>
        <n v="0.9091"/>
        <n v="0.9333"/>
        <n v="0.9783"/>
        <n v="0.9"/>
        <n v="0.9643"/>
        <n v="0"/>
        <n v="0.7778"/>
        <m/>
      </sharedItems>
    </cacheField>
    <cacheField name="已订购商品数量" numFmtId="0">
      <sharedItems containsString="0" containsBlank="1" containsNumber="1" containsInteger="1" minValue="0" maxValue="291" count="27">
        <n v="291"/>
        <n v="158"/>
        <n v="142"/>
        <n v="127"/>
        <n v="126"/>
        <n v="70"/>
        <n v="53"/>
        <n v="43"/>
        <n v="41"/>
        <n v="30"/>
        <n v="29"/>
        <n v="32"/>
        <n v="27"/>
        <n v="24"/>
        <n v="19"/>
        <n v="16"/>
        <n v="10"/>
        <n v="8"/>
        <n v="6"/>
        <n v="7"/>
        <n v="5"/>
        <n v="4"/>
        <n v="3"/>
        <n v="2"/>
        <n v="1"/>
        <n v="13"/>
        <m/>
      </sharedItems>
    </cacheField>
  </cacheFields>
</pivotCacheDefinition>
</file>

<file path=xl/pivotCache/pivotCacheDefinition37.xml><?xml version="1.0" encoding="utf-8"?>
<pivotCacheDefinition xmlns="http://schemas.openxmlformats.org/spreadsheetml/2006/main" xmlns:r="http://schemas.openxmlformats.org/officeDocument/2006/relationships" r:id="rId1" createdVersion="5" refreshedVersion="5" minRefreshableVersion="3" refreshedDate="45219.5955555556" refreshedBy="Administrator" recordCount="93">
  <cacheSource type="worksheet">
    <worksheetSource ref="G1:W1048576" sheet="广告1012-1018" r:id="rId2"/>
  </cacheSource>
  <cacheFields count="19">
    <cacheField name="广告SKU" numFmtId="0">
      <sharedItems containsBlank="1" count="44">
        <s v="Y6008-GR"/>
        <s v="Y6011-Black"/>
        <s v="Y6016"/>
        <s v="Y6021-GR"/>
        <s v="Y6021-RE"/>
        <s v="Y6018"/>
        <s v="Y6022"/>
        <s v="Y6028-BL"/>
        <s v="Y6030"/>
        <s v="Y6027"/>
        <s v="Y6026"/>
        <s v="Y6036-ZH"/>
        <s v="Y6049-BL"/>
        <s v="Y6051"/>
        <s v="Y6057"/>
        <s v="Y6058"/>
        <s v="Y6052-PU"/>
        <s v="Y6056-BL"/>
        <s v="Y6056-GR"/>
        <s v="Y6056-OR"/>
        <s v="Y6072-2"/>
        <s v="Y6074-BL-2"/>
        <s v="Y6042"/>
        <s v="Y6061"/>
        <s v="Y6040-RE"/>
        <s v="Y6072-3"/>
        <s v="Y6075-1-1"/>
        <s v="Y6078-1"/>
        <s v="Y6078-2"/>
        <s v="Y6079-1"/>
        <s v="Y6080"/>
        <s v="Y6082-1-4"/>
        <s v="Y6082-5"/>
        <s v="Y6083"/>
        <s v="Y6088-BL"/>
        <s v="Y6088-CA"/>
        <s v="Y6084-BL"/>
        <s v="Y6084-KH"/>
        <s v="Y6607"/>
        <s v="Y6611"/>
        <s v="Y6612-GR"/>
        <s v="Y6612-SC"/>
        <s v="Y6612-BL"/>
        <m/>
      </sharedItems>
    </cacheField>
    <cacheField name="广告ASIN" numFmtId="0">
      <sharedItems containsBlank="1" count="44">
        <s v="B09X33TY2G"/>
        <s v="B09YRRGB2M"/>
        <s v="B0B1M84NS9"/>
        <s v="B0B2969RR8"/>
        <s v="B0B2947PNH"/>
        <s v="B0B3LG9QSV"/>
        <s v="B0B2RTKRW6"/>
        <s v="B0B5N916XS"/>
        <s v="B0B63FDQ9L"/>
        <s v="B0B63NSYD1"/>
        <s v="B0B63NLM88"/>
        <s v="B0B8NQD6CN"/>
        <s v="B0BVZ2NG6F"/>
        <s v="B0BYJ3JB97"/>
        <s v="B0C2PZ3185"/>
        <s v="B0C3GZ28T8"/>
        <s v="B0C2BLQY4H"/>
        <s v="B0C23NSBJJ"/>
        <s v="B0C23YHNY3"/>
        <s v="B0C23NZX4J"/>
        <s v="B0C538SY6P"/>
        <s v="B0C53C8F24"/>
        <s v="B0CB4B49FV"/>
        <s v="B0C33B4ZXM"/>
        <s v="B0B9JYM313"/>
        <s v="B0C537WZP5"/>
        <s v="B0CBPN6C3R"/>
        <s v="B0CC9C7RG3"/>
        <s v="B0CC99P8TW"/>
        <s v="B0CC9DMDPF"/>
        <s v="B0CCP3PFQR"/>
        <s v="B0CDBR5NQJ"/>
        <s v="B0CDBS2XC3"/>
        <s v="B0CGC8GH7Q"/>
        <s v="B0CH39V9RR"/>
        <s v="B0CH39L5ZF"/>
        <s v="B0CH393V1L"/>
        <s v="B0CH393FW3"/>
        <s v="B0C7QMMR68"/>
        <s v="B0C8TJHWYW"/>
        <s v="B0C8TK61RY"/>
        <s v="B0C8TL4Z9N"/>
        <s v="B0C8TGWXKP"/>
        <m/>
      </sharedItems>
    </cacheField>
    <cacheField name="展示量" numFmtId="0">
      <sharedItems containsString="0" containsBlank="1" containsNumber="1" containsInteger="1" minValue="0" maxValue="75415" count="90">
        <n v="2046"/>
        <n v="3638"/>
        <n v="1717"/>
        <n v="4766"/>
        <n v="9359"/>
        <n v="1754"/>
        <n v="783"/>
        <n v="7890"/>
        <n v="5619"/>
        <n v="836"/>
        <n v="3391"/>
        <n v="29"/>
        <n v="4052"/>
        <n v="12625"/>
        <n v="83"/>
        <n v="4837"/>
        <n v="1222"/>
        <n v="1977"/>
        <n v="23"/>
        <n v="31"/>
        <n v="184"/>
        <n v="123"/>
        <n v="149"/>
        <n v="309"/>
        <n v="229"/>
        <n v="255"/>
        <n v="708"/>
        <n v="99"/>
        <n v="15"/>
        <n v="125"/>
        <n v="548"/>
        <n v="55"/>
        <n v="2348"/>
        <n v="21938"/>
        <n v="5414"/>
        <n v="5427"/>
        <n v="2023"/>
        <n v="3758"/>
        <n v="97"/>
        <n v="342"/>
        <n v="304"/>
        <n v="1823"/>
        <n v="2852"/>
        <n v="59"/>
        <n v="4038"/>
        <n v="1392"/>
        <n v="2822"/>
        <n v="118"/>
        <n v="2751"/>
        <n v="5643"/>
        <n v="9873"/>
        <n v="413"/>
        <n v="7"/>
        <n v="12"/>
        <n v="44"/>
        <n v="2703"/>
        <n v="253"/>
        <n v="106"/>
        <n v="2291"/>
        <n v="2080"/>
        <n v="4"/>
        <n v="1947"/>
        <n v="43235"/>
        <n v="889"/>
        <n v="1259"/>
        <n v="5683"/>
        <n v="1561"/>
        <n v="1544"/>
        <n v="11215"/>
        <n v="14129"/>
        <n v="22"/>
        <n v="9591"/>
        <n v="2"/>
        <n v="100"/>
        <n v="1504"/>
        <n v="1053"/>
        <n v="9384"/>
        <n v="14586"/>
        <n v="1266"/>
        <n v="855"/>
        <n v="2619"/>
        <n v="2672"/>
        <n v="2622"/>
        <n v="1008"/>
        <n v="117"/>
        <n v="75415"/>
        <n v="236"/>
        <n v="262"/>
        <n v="1521"/>
        <m/>
      </sharedItems>
    </cacheField>
    <cacheField name="点击量" numFmtId="0">
      <sharedItems containsString="0" containsBlank="1" containsNumber="1" containsInteger="1" minValue="0" maxValue="130" count="37">
        <n v="7"/>
        <n v="11"/>
        <n v="2"/>
        <n v="32"/>
        <n v="110"/>
        <n v="3"/>
        <n v="13"/>
        <n v="33"/>
        <n v="43"/>
        <n v="9"/>
        <n v="0"/>
        <n v="23"/>
        <n v="130"/>
        <n v="1"/>
        <n v="37"/>
        <n v="19"/>
        <n v="34"/>
        <n v="45"/>
        <n v="36"/>
        <n v="8"/>
        <n v="21"/>
        <n v="4"/>
        <n v="10"/>
        <n v="20"/>
        <n v="14"/>
        <n v="49"/>
        <n v="69"/>
        <n v="17"/>
        <n v="26"/>
        <n v="114"/>
        <n v="5"/>
        <n v="53"/>
        <n v="66"/>
        <n v="51"/>
        <n v="48"/>
        <n v="91"/>
        <m/>
      </sharedItems>
    </cacheField>
    <cacheField name="点击率(CTR)" numFmtId="0">
      <sharedItems containsString="0" containsBlank="1" containsNumber="1" minValue="0" maxValue="0.0454545454545455" count="71">
        <n v="0.00342130987292278"/>
        <n v="0.00302363936228697"/>
        <n v="0.0011648223645894"/>
        <n v="0.00671422576584138"/>
        <n v="0.011753392456459"/>
        <n v="0.00171037628278221"/>
        <n v="0.016602809706258"/>
        <n v="0.00418250950570342"/>
        <n v="0.00765260722548496"/>
        <n v="0.00837320574162679"/>
        <n v="0.00265408434090239"/>
        <n v="0"/>
        <n v="0.00567620927936821"/>
        <n v="0.0102970297029703"/>
        <n v="0.0120481927710843"/>
        <n v="0.00764936944387017"/>
        <n v="0.0155482815057283"/>
        <n v="0.00151745068285281"/>
        <n v="0.0108695652173913"/>
        <n v="0.0274509803921569"/>
        <n v="0.00988700564971751"/>
        <n v="0.016"/>
        <n v="0.00547445255474453"/>
        <n v="0.0363636363636364"/>
        <n v="0.00127768313458262"/>
        <n v="0.00154982222627404"/>
        <n v="0.0083117842630218"/>
        <n v="0.0066334991708126"/>
        <n v="0.00395452298566485"/>
        <n v="0.00558807876530069"/>
        <n v="0.00292397660818713"/>
        <n v="0.0131578947368421"/>
        <n v="0.00548546352166758"/>
        <n v="0.00701262272089762"/>
        <n v="0.0169491525423729"/>
        <n v="0.00891530460624071"/>
        <n v="0.0028735632183908"/>
        <n v="0.00106307583274274"/>
        <n v="0.00508905852417303"/>
        <n v="0.00868332447279816"/>
        <n v="0.00698875721665147"/>
        <n v="0.00726392251815981"/>
        <n v="0.00628930817610063"/>
        <n v="0.00790513833992095"/>
        <n v="0.011348756001746"/>
        <n v="0.00625"/>
        <n v="0.00564971751412429"/>
        <n v="0.00263675263097028"/>
        <n v="0.00562429696287964"/>
        <n v="0.0158856235107228"/>
        <n v="0.00932606017948267"/>
        <n v="0.0230621396540679"/>
        <n v="0.00647668393782383"/>
        <n v="0.00588497547926884"/>
        <n v="0.00346804444759006"/>
        <n v="0.0454545454545455"/>
        <n v="0.00531748514232093"/>
        <n v="0.00199468085106383"/>
        <n v="0.01329534662868"/>
        <n v="0.0051150895140665"/>
        <n v="0.00623885918003565"/>
        <n v="0.00157977883096367"/>
        <n v="0.00350877192982456"/>
        <n v="0.00267277586865216"/>
        <n v="0.00860778443113772"/>
        <n v="0.0087719298245614"/>
        <n v="0.00297619047619048"/>
        <n v="0.00854700854700855"/>
        <n v="0.00120665650069615"/>
        <n v="0.0019723865877712"/>
        <m/>
      </sharedItems>
    </cacheField>
    <cacheField name="每次点击成本(CPC)" numFmtId="0">
      <sharedItems containsString="0" containsBlank="1" containsNumber="1" minValue="0" maxValue="0.5" count="66">
        <n v="0.137142857142857"/>
        <n v="0.283636363636364"/>
        <n v="0.02"/>
        <n v="0.2628125"/>
        <n v="0.350909090909091"/>
        <n v="0.126666666666667"/>
        <n v="0.249230769230769"/>
        <n v="0.198787878787879"/>
        <n v="0.42"/>
        <n v="0.445714285714286"/>
        <n v="0.221111111111111"/>
        <m/>
        <n v="0.157826086956522"/>
        <n v="0.351076923076923"/>
        <n v="0.3"/>
        <n v="0.0867567567567568"/>
        <n v="0.190526315789474"/>
        <n v="0.386666666666667"/>
        <n v="0.33"/>
        <n v="0.158571428571429"/>
        <n v="0.124285714285714"/>
        <n v="0.316666666666667"/>
        <n v="0.115"/>
        <n v="0.206666666666667"/>
        <n v="0.372647058823529"/>
        <n v="0.0564444444444444"/>
        <n v="0.192777777777778"/>
        <n v="0.08375"/>
        <n v="0.31047619047619"/>
        <n v="0.38"/>
        <n v="0.095"/>
        <n v="0.089"/>
        <n v="0.2035"/>
        <n v="0.21"/>
        <n v="0.151388888888889"/>
        <n v="0.3625"/>
        <n v="0.173333333333333"/>
        <n v="0.325"/>
        <n v="0.329795918367347"/>
        <n v="0.244927536231884"/>
        <n v="0.263333333333333"/>
        <n v="0.205294117647059"/>
        <n v="0.18"/>
        <n v="0.105769230769231"/>
        <n v="0.208461538461538"/>
        <n v="0.356363636363636"/>
        <n v="0.269736842105263"/>
        <n v="0.31"/>
        <n v="0.2455"/>
        <n v="0.269622641509434"/>
        <n v="0.175555555555556"/>
        <n v="0.248"/>
        <n v="0.270151515151515"/>
        <n v="0.172244897959184"/>
        <n v="0.34"/>
        <n v="0.373333333333333"/>
        <n v="0.246666666666667"/>
        <n v="0.311428571428571"/>
        <n v="0.340416666666667"/>
        <n v="0.348681318681319"/>
        <n v="0.291428571428571"/>
        <n v="0.212173913043478"/>
        <n v="0.245217391304348"/>
        <n v="0.5"/>
        <n v="0.260989010989011"/>
        <n v="0.196666666666667"/>
      </sharedItems>
    </cacheField>
    <cacheField name="花费" numFmtId="0">
      <sharedItems containsString="0" containsBlank="1" containsNumber="1" minValue="0" maxValue="45.64" count="67">
        <n v="0.96"/>
        <n v="3.12"/>
        <n v="0.04"/>
        <n v="8.41"/>
        <n v="38.6"/>
        <n v="0.38"/>
        <n v="3.24"/>
        <n v="6.56"/>
        <n v="18.06"/>
        <n v="1.99"/>
        <n v="0"/>
        <n v="3.63"/>
        <n v="45.64"/>
        <n v="0.3"/>
        <n v="3.21"/>
        <n v="3.62"/>
        <n v="1.16"/>
        <n v="0.66"/>
        <n v="1.11"/>
        <n v="0.87"/>
        <n v="0.6"/>
        <n v="0.95"/>
        <n v="0.23"/>
        <n v="0.62"/>
        <n v="12.67"/>
        <n v="2.54"/>
        <n v="6.94"/>
        <n v="0.67"/>
        <n v="6.52"/>
        <n v="0.89"/>
        <n v="4.07"/>
        <n v="0.21"/>
        <n v="5.45"/>
        <n v="1.45"/>
        <n v="0.52"/>
        <n v="4.55"/>
        <n v="16.16"/>
        <n v="16.9"/>
        <n v="0.79"/>
        <n v="3.49"/>
        <n v="0.36"/>
        <n v="2.75"/>
        <n v="2.71"/>
        <n v="3.92"/>
        <n v="30.75"/>
        <n v="1.55"/>
        <n v="4.91"/>
        <n v="14.29"/>
        <n v="6.32"/>
        <n v="2.48"/>
        <n v="17.83"/>
        <n v="8.44"/>
        <n v="0.34"/>
        <n v="19.04"/>
        <n v="0.74"/>
        <n v="4.36"/>
        <n v="16.34"/>
        <n v="31.73"/>
        <n v="0.93"/>
        <n v="2.04"/>
        <n v="4.88"/>
        <n v="5.64"/>
        <n v="1.5"/>
        <n v="0.31"/>
        <n v="23.75"/>
        <n v="0.59"/>
        <m/>
      </sharedItems>
    </cacheField>
    <cacheField name="7天总销售额" numFmtId="0">
      <sharedItems containsString="0" containsBlank="1" containsNumber="1" minValue="0" maxValue="254.82" count="28">
        <n v="0"/>
        <n v="15.99"/>
        <n v="59.96"/>
        <n v="254.82"/>
        <n v="13.99"/>
        <n v="73.85"/>
        <n v="23.99"/>
        <n v="167.93"/>
        <n v="89.95"/>
        <n v="53.97"/>
        <n v="8.99"/>
        <n v="55.98"/>
        <n v="27.98"/>
        <n v="9.99"/>
        <n v="11.99"/>
        <n v="93.98"/>
        <n v="74.9"/>
        <n v="37.98"/>
        <n v="18.99"/>
        <n v="134.91"/>
        <n v="74.95"/>
        <n v="41.97"/>
        <n v="83.94"/>
        <n v="53.98"/>
        <n v="38.98"/>
        <n v="88.95"/>
        <n v="41.99"/>
        <m/>
      </sharedItems>
    </cacheField>
    <cacheField name="广告成本销售比(ACOS)" numFmtId="0">
      <sharedItems containsString="0" containsBlank="1" containsNumber="1" minValue="0" maxValue="1.19074421513446" count="36">
        <m/>
        <n v="0.195121951219512"/>
        <n v="0.140260173448966"/>
        <n v="0.151479475708343"/>
        <n v="0.231593995711222"/>
        <n v="0.468906361686919"/>
        <n v="0.244549763033175"/>
        <n v="0.15131304710296"/>
        <n v="0.271779908295123"/>
        <n v="0.035686492495831"/>
        <n v="0.0670743005373356"/>
        <n v="0.0793423874195854"/>
        <n v="0.10567296996663"/>
        <n v="0.226330832440157"/>
        <n v="0.0907791279485347"/>
        <n v="0.434021263289556"/>
        <n v="0.652652652652653"/>
        <n v="0.038038038038038"/>
        <n v="0.454545454545454"/>
        <n v="0.048414556288572"/>
        <n v="0.215754339118825"/>
        <n v="0.444971037388099"/>
        <n v="0.218261413383365"/>
        <n v="0.144813059505003"/>
        <n v="0.392392392392392"/>
        <n v="0.227929730931732"/>
        <n v="0.155155155155155"/>
        <n v="0.0655103402268179"/>
        <n v="0.340481296163927"/>
        <n v="0.150583750297832"/>
        <n v="0.212413628782464"/>
        <n v="0.156354205261208"/>
        <n v="1.19074421513446"/>
        <n v="0.814007183170857"/>
        <n v="0.0548622821810006"/>
        <n v="0.565610859728507"/>
      </sharedItems>
    </cacheField>
    <cacheField name="投入产出比(ROAS)" numFmtId="0">
      <sharedItems containsString="0" containsBlank="1" containsNumber="1" minValue="0" maxValue="28.0218068535826" count="37">
        <n v="0"/>
        <n v="5.125"/>
        <n v="7.12960760998811"/>
        <n v="6.60155440414508"/>
        <n v="4.3179012345679"/>
        <n v="2.13262195121951"/>
        <n v="4.08914728682171"/>
        <m/>
        <n v="6.60881542699724"/>
        <n v="3.67944785276074"/>
        <n v="28.0218068535826"/>
        <n v="14.9088397790055"/>
        <n v="12.6036036036036"/>
        <n v="9.46315789473684"/>
        <n v="4.41831097079716"/>
        <n v="11.0157480314961"/>
        <n v="2.30403458213256"/>
        <n v="1.53220858895706"/>
        <n v="26.2894736842105"/>
        <n v="2.2"/>
        <n v="20.6549450549451"/>
        <n v="4.63490099009901"/>
        <n v="2.24733727810651"/>
        <n v="4.58166189111748"/>
        <n v="6.90545454545455"/>
        <n v="2.5484693877551"/>
        <n v="4.38731707317073"/>
        <n v="6.44516129032258"/>
        <n v="15.2647657841141"/>
        <n v="2.9370188943317"/>
        <n v="6.64082278481013"/>
        <n v="4.70779584969153"/>
        <n v="6.3957345971564"/>
        <n v="0.839810924369748"/>
        <n v="1.22849038764576"/>
        <n v="18.2274590163934"/>
        <n v="1.768"/>
      </sharedItems>
    </cacheField>
    <cacheField name="7天总订单数(#)" numFmtId="0">
      <sharedItems containsString="0" containsBlank="1" containsNumber="1" containsInteger="1" minValue="0" maxValue="16" count="11">
        <n v="0"/>
        <n v="1"/>
        <n v="4"/>
        <n v="16"/>
        <n v="7"/>
        <n v="3"/>
        <n v="2"/>
        <n v="9"/>
        <n v="6"/>
        <n v="5"/>
        <m/>
      </sharedItems>
    </cacheField>
    <cacheField name="7天总销售量(#)" numFmtId="0">
      <sharedItems containsString="0" containsBlank="1" containsNumber="1" containsInteger="1" minValue="0" maxValue="17" count="11">
        <n v="0"/>
        <n v="1"/>
        <n v="4"/>
        <n v="17"/>
        <n v="5"/>
        <n v="7"/>
        <n v="3"/>
        <n v="2"/>
        <n v="9"/>
        <n v="6"/>
        <m/>
      </sharedItems>
    </cacheField>
    <cacheField name="7天的转化率" numFmtId="0">
      <sharedItems containsString="0" containsBlank="1" containsNumber="1" minValue="0" maxValue="0.333333333333333" count="32">
        <n v="0"/>
        <n v="0.0909090909090909"/>
        <n v="0.125"/>
        <n v="0.145454545454545"/>
        <n v="0.0769230769230769"/>
        <n v="0.0303030303030303"/>
        <n v="0.0930232558139535"/>
        <m/>
        <n v="0.0434782608695652"/>
        <n v="0.0538461538461538"/>
        <n v="0.108108108108108"/>
        <n v="0.157894736842105"/>
        <n v="0.142857142857143"/>
        <n v="0.333333333333333"/>
        <n v="0.0294117647058823"/>
        <n v="0.0444444444444444"/>
        <n v="0.0277777777777778"/>
        <n v="0.0476190476190476"/>
        <n v="0.25"/>
        <n v="0.0612244897959184"/>
        <n v="0.0289855072463768"/>
        <n v="0.0588235294117647"/>
        <n v="0.0384615384615385"/>
        <n v="0.0789473684210526"/>
        <n v="0.2"/>
        <n v="0.0566037735849057"/>
        <n v="0.0833333333333333"/>
        <n v="0.0408163265306122"/>
        <n v="0.0196078431372549"/>
        <n v="0.021978021978022"/>
        <n v="0.217391304347826"/>
        <n v="0.010989010989011"/>
      </sharedItems>
    </cacheField>
    <cacheField name="7天内广告SKU销售量(#)" numFmtId="0">
      <sharedItems containsString="0" containsBlank="1" containsNumber="1" containsInteger="1" minValue="0" maxValue="16" count="10">
        <n v="0"/>
        <n v="1"/>
        <n v="4"/>
        <n v="16"/>
        <n v="5"/>
        <n v="7"/>
        <n v="3"/>
        <n v="2"/>
        <n v="9"/>
        <m/>
      </sharedItems>
    </cacheField>
    <cacheField name="7天内其他SKU销售量(#)" numFmtId="0">
      <sharedItems containsString="0" containsBlank="1" containsNumber="1" containsInteger="1" minValue="0" maxValue="3" count="5">
        <n v="0"/>
        <n v="1"/>
        <n v="2"/>
        <n v="3"/>
        <m/>
      </sharedItems>
    </cacheField>
    <cacheField name="7天内广告SKU销售额" numFmtId="0">
      <sharedItems containsString="0" containsBlank="1" containsNumber="1" minValue="0" maxValue="239.84" count="27">
        <n v="0"/>
        <n v="15.99"/>
        <n v="59.96"/>
        <n v="239.84"/>
        <n v="13.99"/>
        <n v="73.85"/>
        <n v="23.99"/>
        <n v="167.93"/>
        <n v="89.95"/>
        <n v="53.97"/>
        <n v="8.99"/>
        <n v="55.98"/>
        <n v="27.98"/>
        <n v="9.99"/>
        <n v="11.99"/>
        <n v="93.98"/>
        <n v="74.9"/>
        <n v="18.99"/>
        <n v="134.91"/>
        <n v="74.95"/>
        <n v="41.97"/>
        <n v="55.96"/>
        <n v="53.98"/>
        <n v="19.99"/>
        <n v="35.98"/>
        <n v="41.99"/>
        <m/>
      </sharedItems>
    </cacheField>
    <cacheField name="7天内其他SKU销售额" numFmtId="0">
      <sharedItems containsString="0" containsBlank="1" containsNumber="1" minValue="0" maxValue="52.97" count="8">
        <n v="0"/>
        <n v="14.98"/>
        <n v="13.99"/>
        <n v="37.98"/>
        <n v="27.98"/>
        <n v="18.99"/>
        <n v="52.97"/>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38.xml><?xml version="1.0" encoding="utf-8"?>
<pivotCacheDefinition xmlns="http://schemas.openxmlformats.org/spreadsheetml/2006/main" xmlns:r="http://schemas.openxmlformats.org/officeDocument/2006/relationships" r:id="rId1" createdVersion="5" refreshedVersion="5" minRefreshableVersion="3" refreshedDate="45219.5957407407" refreshedBy="Administrator" recordCount="98">
  <cacheSource type="worksheet">
    <worksheetSource ref="G1:W1048576" sheet="广告1004-1018" r:id="rId2"/>
  </cacheSource>
  <cacheFields count="19">
    <cacheField name="广告SKU" numFmtId="0">
      <sharedItems containsBlank="1" count="46">
        <s v="Y6008-GR"/>
        <s v="Y6011-Black"/>
        <s v="Y6016"/>
        <s v="Y6021-GR"/>
        <s v="Y6021-RE"/>
        <s v="Y6018"/>
        <s v="Y6022"/>
        <s v="Y6028-BL"/>
        <s v="Y6030"/>
        <s v="Y6027"/>
        <s v="Y6026"/>
        <s v="Y6036-ZH"/>
        <s v="Y6049-BL"/>
        <s v="Y6051"/>
        <s v="Y6057"/>
        <s v="Y6058"/>
        <s v="Y6052-PU"/>
        <s v="Y6056-BL"/>
        <s v="Y6056-GR"/>
        <s v="Y6056-OR"/>
        <s v="Y6072-2"/>
        <s v="Y6074-BL-2"/>
        <s v="Y6042"/>
        <s v="Y6061"/>
        <s v="Y6040-RE"/>
        <s v="Y6040-GR"/>
        <s v="Y6072-3"/>
        <s v="Y6075-1-1"/>
        <s v="Y6078-1"/>
        <s v="Y6078-2"/>
        <s v="Y6079-2"/>
        <s v="Y6079-1"/>
        <s v="Y6080"/>
        <s v="Y6082-1-4"/>
        <s v="Y6082-5"/>
        <s v="Y6083"/>
        <s v="Y6088-BL"/>
        <s v="Y6088-CA"/>
        <s v="Y6084-BL"/>
        <s v="Y6084-KH"/>
        <s v="Y6607"/>
        <s v="Y6611"/>
        <s v="Y6612-GR"/>
        <s v="Y6612-SC"/>
        <s v="Y6612-BL"/>
        <m/>
      </sharedItems>
    </cacheField>
    <cacheField name="广告ASIN" numFmtId="0">
      <sharedItems containsBlank="1" count="46">
        <s v="B09X33TY2G"/>
        <s v="B09YRRGB2M"/>
        <s v="B0B1M84NS9"/>
        <s v="B0B2969RR8"/>
        <s v="B0B2947PNH"/>
        <s v="B0B3LG9QSV"/>
        <s v="B0B2RTKRW6"/>
        <s v="B0B5N916XS"/>
        <s v="B0B63FDQ9L"/>
        <s v="B0B63NSYD1"/>
        <s v="B0B63NLM88"/>
        <s v="B0B8NQD6CN"/>
        <s v="B0BVZ2NG6F"/>
        <s v="B0BYJ3JB97"/>
        <s v="B0C2PZ3185"/>
        <s v="B0C3GZ28T8"/>
        <s v="B0C2BLQY4H"/>
        <s v="B0C23NSBJJ"/>
        <s v="B0C23YHNY3"/>
        <s v="B0C23NZX4J"/>
        <s v="B0C538SY6P"/>
        <s v="B0C53C8F24"/>
        <s v="B0CB4B49FV"/>
        <s v="B0C33B4ZXM"/>
        <s v="B0B9JYM313"/>
        <s v="B0B9JY21Q5"/>
        <s v="B0C537WZP5"/>
        <s v="B0CBPN6C3R"/>
        <s v="B0CC9C7RG3"/>
        <s v="B0CC99P8TW"/>
        <s v="B0CCD75PGF"/>
        <s v="B0CC9DMDPF"/>
        <s v="B0CCP3PFQR"/>
        <s v="B0CDBR5NQJ"/>
        <s v="B0CDBS2XC3"/>
        <s v="B0CGC8GH7Q"/>
        <s v="B0CH39V9RR"/>
        <s v="B0CH39L5ZF"/>
        <s v="B0CH393V1L"/>
        <s v="B0CH393FW3"/>
        <s v="B0C7QMMR68"/>
        <s v="B0C8TJHWYW"/>
        <s v="B0C8TK61RY"/>
        <s v="B0C8TL4Z9N"/>
        <s v="B0C8TGWXKP"/>
        <m/>
      </sharedItems>
    </cacheField>
    <cacheField name="展示量" numFmtId="0">
      <sharedItems containsString="0" containsBlank="1" containsNumber="1" containsInteger="1" minValue="0" maxValue="140239" count="96">
        <n v="4099"/>
        <n v="10351"/>
        <n v="2368"/>
        <n v="7193"/>
        <n v="19449"/>
        <n v="3777"/>
        <n v="2058"/>
        <n v="20901"/>
        <n v="10426"/>
        <n v="2673"/>
        <n v="7773"/>
        <n v="94"/>
        <n v="8864"/>
        <n v="24364"/>
        <n v="123"/>
        <n v="9512"/>
        <n v="1985"/>
        <n v="2880"/>
        <n v="54"/>
        <n v="65"/>
        <n v="0"/>
        <n v="287"/>
        <n v="80"/>
        <n v="268"/>
        <n v="276"/>
        <n v="642"/>
        <n v="491"/>
        <n v="671"/>
        <n v="1754"/>
        <n v="159"/>
        <n v="18"/>
        <n v="174"/>
        <n v="1037"/>
        <n v="78"/>
        <n v="3482"/>
        <n v="32831"/>
        <n v="9116"/>
        <n v="10110"/>
        <n v="3198"/>
        <n v="6171"/>
        <n v="170"/>
        <n v="163"/>
        <n v="643"/>
        <n v="560"/>
        <n v="2975"/>
        <n v="6770"/>
        <n v="105"/>
        <n v="7596"/>
        <n v="2859"/>
        <n v="3545"/>
        <n v="284"/>
        <n v="4814"/>
        <n v="10879"/>
        <n v="10871"/>
        <n v="723"/>
        <n v="8"/>
        <n v="22"/>
        <n v="81"/>
        <n v="5337"/>
        <n v="493"/>
        <n v="175"/>
        <n v="4815"/>
        <n v="3383"/>
        <n v="181"/>
        <n v="1155"/>
        <n v="2917"/>
        <n v="113996"/>
        <n v="187"/>
        <n v="1096"/>
        <n v="2386"/>
        <n v="8631"/>
        <n v="3106"/>
        <n v="3533"/>
        <n v="17069"/>
        <n v="20852"/>
        <n v="48"/>
        <n v="14837"/>
        <n v="202"/>
        <n v="147"/>
        <n v="3591"/>
        <n v="1358"/>
        <n v="20235"/>
        <n v="21653"/>
        <n v="1782"/>
        <n v="1639"/>
        <n v="2944"/>
        <n v="2672"/>
        <n v="2696"/>
        <n v="1008"/>
        <n v="117"/>
        <n v="140239"/>
        <n v="120"/>
        <n v="383"/>
        <n v="498"/>
        <n v="2910"/>
        <m/>
      </sharedItems>
    </cacheField>
    <cacheField name="点击量" numFmtId="0">
      <sharedItems containsString="0" containsBlank="1" containsNumber="1" containsInteger="1" minValue="0" maxValue="343" count="50">
        <n v="15"/>
        <n v="22"/>
        <n v="5"/>
        <n v="58"/>
        <n v="220"/>
        <n v="12"/>
        <n v="30"/>
        <n v="79"/>
        <n v="69"/>
        <n v="11"/>
        <n v="27"/>
        <n v="0"/>
        <n v="281"/>
        <n v="4"/>
        <n v="113"/>
        <n v="45"/>
        <n v="1"/>
        <n v="2"/>
        <n v="14"/>
        <n v="54"/>
        <n v="81"/>
        <n v="76"/>
        <n v="18"/>
        <n v="31"/>
        <n v="7"/>
        <n v="21"/>
        <n v="38"/>
        <n v="63"/>
        <n v="3"/>
        <n v="39"/>
        <n v="85"/>
        <n v="74"/>
        <n v="36"/>
        <n v="56"/>
        <n v="17"/>
        <n v="343"/>
        <n v="8"/>
        <n v="35"/>
        <n v="80"/>
        <n v="67"/>
        <n v="104"/>
        <n v="66"/>
        <n v="82"/>
        <n v="13"/>
        <n v="77"/>
        <n v="118"/>
        <n v="23"/>
        <n v="28"/>
        <n v="183"/>
        <m/>
      </sharedItems>
    </cacheField>
    <cacheField name="点击率(CTR)" numFmtId="0">
      <sharedItems containsString="0" containsBlank="1" containsNumber="1" minValue="0" maxValue="0.0625" count="78">
        <n v="0.00365942912905587"/>
        <n v="0.00212539851222104"/>
        <n v="0.00211148648648649"/>
        <n v="0.00806339496732935"/>
        <n v="0.0113116355596689"/>
        <n v="0.00317712470214456"/>
        <n v="0.0145772594752187"/>
        <n v="0.00377972345820774"/>
        <n v="0.00661807020909265"/>
        <n v="0.00411522633744856"/>
        <n v="0.00347356233114628"/>
        <n v="0"/>
        <n v="0.00654332129963899"/>
        <n v="0.0115334099491052"/>
        <n v="0.032520325203252"/>
        <n v="0.0118797308662742"/>
        <n v="0.0226700251889169"/>
        <n v="0.00173611111111111"/>
        <m/>
        <n v="0.0174216027874564"/>
        <n v="0.0036231884057971"/>
        <n v="0.00155763239875389"/>
        <n v="0.0178837555886736"/>
        <n v="0.00627137970353478"/>
        <n v="0.0555555555555556"/>
        <n v="0.0114942528735632"/>
        <n v="0.0135004821600771"/>
        <n v="0.0256410256410256"/>
        <n v="0.00344629523262493"/>
        <n v="0.00164478693917334"/>
        <n v="0.00888547608600263"/>
        <n v="0.00751730959446093"/>
        <n v="0.00562851782363977"/>
        <n v="0.00502349700210663"/>
        <n v="0.00613496932515337"/>
        <n v="0.0031104199066874"/>
        <n v="0.0125"/>
        <n v="0.00705882352941176"/>
        <n v="0.00561299852289513"/>
        <n v="0.00952380952380952"/>
        <n v="0.00829383886255924"/>
        <n v="0.00384749912556838"/>
        <n v="0.000846262341325811"/>
        <n v="0.00810137100124637"/>
        <n v="0.00781321812666605"/>
        <n v="0.00680710146260694"/>
        <n v="0.00968188105117566"/>
        <n v="0.00674536256323777"/>
        <n v="0.00811359026369168"/>
        <n v="0.0116303219106957"/>
        <n v="0.0050251256281407"/>
        <n v="0.00606060606060606"/>
        <n v="0.00514226945491944"/>
        <n v="0.00300887750447384"/>
        <n v="0.0053475935828877"/>
        <n v="0.0072992700729927"/>
        <n v="0.0146689019279128"/>
        <n v="0.00926891437840343"/>
        <n v="0.0215711526078558"/>
        <n v="0.00594395697707331"/>
        <n v="0.00609291698400609"/>
        <n v="0.00316516401304431"/>
        <n v="0.0625"/>
        <n v="0.00552672373121251"/>
        <n v="0.0148514851485149"/>
        <n v="0.00362016151489836"/>
        <n v="0.0125184094256259"/>
        <n v="0.00380528786755621"/>
        <n v="0.00544959128065395"/>
        <n v="0.00224466891133558"/>
        <n v="0.00305064063453325"/>
        <n v="0.00271739130434783"/>
        <n v="0.00860778443113772"/>
        <n v="0.0103857566765579"/>
        <n v="0.00297619047619048"/>
        <n v="0.00854700854700855"/>
        <n v="0.00130491518051327"/>
        <n v="0.00378006872852234"/>
      </sharedItems>
    </cacheField>
    <cacheField name="每次点击成本(CPC)" numFmtId="0">
      <sharedItems containsString="0" containsBlank="1" containsNumber="1" minValue="0" maxValue="0.71" count="74">
        <n v="0.122"/>
        <n v="0.284545454545455"/>
        <n v="0.034"/>
        <n v="0.258275862068966"/>
        <n v="0.3575"/>
        <n v="0.0933333333333333"/>
        <n v="0.251333333333333"/>
        <n v="0.218987341772152"/>
        <n v="0.393913043478261"/>
        <n v="0.432727272727273"/>
        <n v="0.238148148148148"/>
        <m/>
        <n v="0.165862068965517"/>
        <n v="0.337686832740213"/>
        <n v="0.275"/>
        <n v="0.0890265486725663"/>
        <n v="0.204444444444444"/>
        <n v="0.364"/>
        <n v="0.304"/>
        <n v="0.71"/>
        <n v="0.61"/>
        <n v="0.16"/>
        <n v="0.146363636363636"/>
        <n v="0.3"/>
        <n v="0.302857142857143"/>
        <n v="0.115"/>
        <n v="0.258333333333333"/>
        <n v="0.384259259259259"/>
        <n v="0.0590123456790124"/>
        <n v="0.190526315789474"/>
        <n v="0.0805555555555556"/>
        <n v="0.312258064516129"/>
        <n v="0.38"/>
        <n v="0.102857142857143"/>
        <n v="0.09"/>
        <n v="0.21"/>
        <n v="0.152380952380952"/>
        <n v="0.357272727272727"/>
        <n v="0.173333333333333"/>
        <n v="0.313846153846154"/>
        <n v="0.33"/>
        <n v="0.247027027027027"/>
        <n v="0.172857142857143"/>
        <n v="0.210833333333333"/>
        <n v="0.18"/>
        <n v="0.106964285714286"/>
        <n v="0.220588235294118"/>
        <n v="0.322857142857143"/>
        <n v="0.357333333333333"/>
        <n v="0.274344023323615"/>
        <n v="0.35"/>
        <n v="0.3125"/>
        <n v="0.256571428571429"/>
        <n v="0.27475"/>
        <n v="0.190298507462687"/>
        <n v="0.268095238095238"/>
        <n v="0.268173076923077"/>
        <n v="0.182727272727273"/>
        <n v="0.306666666666667"/>
        <n v="0.372439024390244"/>
        <n v="0.216666666666667"/>
        <n v="0.251538461538461"/>
        <n v="0.299411764705882"/>
        <n v="0.368181818181818"/>
        <n v="0.36271186440678"/>
        <n v="0.34"/>
        <n v="0.326"/>
        <n v="0.2925"/>
        <n v="0.212173913043478"/>
        <n v="0.256785714285714"/>
        <n v="0.5"/>
        <n v="0.31"/>
        <n v="0.276502732240437"/>
        <n v="0.26"/>
      </sharedItems>
    </cacheField>
    <cacheField name="花费" numFmtId="0">
      <sharedItems containsString="0" containsBlank="1" containsNumber="1" minValue="0" maxValue="94.89" count="77">
        <n v="1.83"/>
        <n v="6.26"/>
        <n v="0.17"/>
        <n v="14.98"/>
        <n v="78.65"/>
        <n v="1.12"/>
        <n v="7.54"/>
        <n v="17.3"/>
        <n v="27.18"/>
        <n v="4.76"/>
        <n v="6.43"/>
        <n v="0"/>
        <n v="9.62"/>
        <n v="94.89"/>
        <n v="1.1"/>
        <n v="10.06"/>
        <n v="9.2"/>
        <n v="1.82"/>
        <n v="1.52"/>
        <n v="0.71"/>
        <n v="0.61"/>
        <n v="1.92"/>
        <n v="1.61"/>
        <n v="0.3"/>
        <n v="0.6"/>
        <n v="4.24"/>
        <n v="0.23"/>
        <n v="3.1"/>
        <n v="20.75"/>
        <n v="4.78"/>
        <n v="14.48"/>
        <n v="1.45"/>
        <n v="9.68"/>
        <n v="0.38"/>
        <n v="0.76"/>
        <n v="0.72"/>
        <n v="1.89"/>
        <n v="7.98"/>
        <n v="0.21"/>
        <n v="9.6"/>
        <n v="3.93"/>
        <n v="0.52"/>
        <n v="12.24"/>
        <n v="28.05"/>
        <n v="18.28"/>
        <n v="1.21"/>
        <n v="7.59"/>
        <n v="5.99"/>
        <n v="3.75"/>
        <n v="2.26"/>
        <n v="5.36"/>
        <n v="94.1"/>
        <n v="0.35"/>
        <n v="2.5"/>
        <n v="8.98"/>
        <n v="21.98"/>
        <n v="12.75"/>
        <n v="5.63"/>
        <n v="27.89"/>
        <n v="12.06"/>
        <n v="0.92"/>
        <n v="30.54"/>
        <n v="0.65"/>
        <n v="3.27"/>
        <n v="5.09"/>
        <n v="28.35"/>
        <n v="42.8"/>
        <n v="1.36"/>
        <n v="1.63"/>
        <n v="2.34"/>
        <n v="4.88"/>
        <n v="7.19"/>
        <n v="1.5"/>
        <n v="0.31"/>
        <n v="50.6"/>
        <n v="2.86"/>
        <m/>
      </sharedItems>
    </cacheField>
    <cacheField name="7天总销售额" numFmtId="0">
      <sharedItems containsString="0" containsBlank="1" containsNumber="1" minValue="0" maxValue="598.76" count="38">
        <n v="14.99"/>
        <n v="15.99"/>
        <n v="0"/>
        <n v="89.94"/>
        <n v="524.63"/>
        <n v="57.96"/>
        <n v="69.95"/>
        <n v="88.84"/>
        <n v="47.98"/>
        <n v="598.76"/>
        <n v="179.9"/>
        <n v="71.96"/>
        <n v="13.99"/>
        <n v="26.97"/>
        <n v="83.97"/>
        <n v="55.96"/>
        <n v="47.97"/>
        <n v="60.98"/>
        <n v="9.99"/>
        <n v="47.96"/>
        <n v="20.98"/>
        <n v="140.97"/>
        <n v="89.88"/>
        <n v="37.98"/>
        <n v="42.98"/>
        <n v="553.3"/>
        <n v="13.66"/>
        <n v="134.91"/>
        <n v="83.94"/>
        <n v="97.93"/>
        <n v="139.9"/>
        <n v="53.98"/>
        <n v="31.98"/>
        <n v="18.99"/>
        <n v="57.97"/>
        <n v="88.95"/>
        <n v="125.97"/>
        <m/>
      </sharedItems>
    </cacheField>
    <cacheField name="广告成本销售比(ACOS)" numFmtId="0">
      <sharedItems containsString="0" containsBlank="1" containsNumber="1" minValue="0" maxValue="1.49289099526066" count="44">
        <n v="0.122081387591728"/>
        <n v="0.391494684177611"/>
        <m/>
        <n v="0.166555481432066"/>
        <n v="0.149915178316147"/>
        <n v="0.130089717046239"/>
        <n v="0.247319513938528"/>
        <n v="0.305943268797839"/>
        <n v="0.200500208420175"/>
        <n v="0.158477520208431"/>
        <n v="0.0559199555308504"/>
        <n v="0.127848804891606"/>
        <n v="0.137240886347391"/>
        <n v="0.115082201572552"/>
        <n v="0.157211716722284"/>
        <n v="0.247112063832321"/>
        <n v="0.0854181558255897"/>
        <n v="0.30185532624557"/>
        <n v="0.0237782879632667"/>
        <n v="0.968968968968969"/>
        <n v="0.0720720720720721"/>
        <n v="0.166388657214345"/>
        <n v="0.457578646329838"/>
        <n v="0.393393393393393"/>
        <n v="0.0868269844647797"/>
        <n v="0.312082777036048"/>
        <n v="0.481305950500263"/>
        <n v="0.474671669793621"/>
        <n v="0.13936714751047"/>
        <n v="0.161543959971408"/>
        <n v="0.536536536536537"/>
        <n v="0.170070486173866"/>
        <n v="0.0256222547584187"/>
        <n v="0.25025025025025"/>
        <n v="0.0665628937810392"/>
        <n v="0.2618537050274"/>
        <n v="0.13019503727152"/>
        <n v="0.199356683345247"/>
        <n v="0.223416080029641"/>
        <n v="0.954971857410882"/>
        <n v="1.49289099526066"/>
        <n v="0.738312920476108"/>
        <n v="0.0548622821810006"/>
        <n v="0.401682940382631"/>
      </sharedItems>
    </cacheField>
    <cacheField name="投入产出比(ROAS)" numFmtId="0">
      <sharedItems containsString="0" containsBlank="1" containsNumber="1" minValue="0" maxValue="42.0551724137931" count="45">
        <n v="8.19125683060109"/>
        <n v="2.55431309904153"/>
        <n v="0"/>
        <n v="6.00400534045394"/>
        <n v="6.67043865225684"/>
        <n v="7.68700265251989"/>
        <n v="4.04335260115607"/>
        <n v="3.26857983811626"/>
        <m/>
        <n v="4.98752598752599"/>
        <n v="6.31004320792497"/>
        <n v="17.882703777336"/>
        <n v="7.82173913043478"/>
        <n v="7.28645833333333"/>
        <n v="8.68944099378882"/>
        <n v="6.36084905660377"/>
        <n v="4.04674698795181"/>
        <n v="11.7071129707113"/>
        <n v="3.3128453038674"/>
        <n v="42.0551724137931"/>
        <n v="1.03202479338843"/>
        <n v="13.875"/>
        <n v="6.01002506265664"/>
        <n v="2.18541666666667"/>
        <n v="2.54198473282443"/>
        <n v="11.5171568627451"/>
        <n v="3.20427807486631"/>
        <n v="2.07768052516411"/>
        <n v="2.10671936758893"/>
        <n v="7.17529215358931"/>
        <n v="6.19026548672566"/>
        <n v="1.86380597014925"/>
        <n v="5.87991498405951"/>
        <n v="39.0285714285714"/>
        <n v="3.996"/>
        <n v="15.0233853006681"/>
        <n v="3.8189262966333"/>
        <n v="7.68078431372549"/>
        <n v="5.016134815346"/>
        <n v="4.4759535655058"/>
        <n v="1.04715127701375"/>
        <n v="0.66984126984127"/>
        <n v="1.35443925233645"/>
        <n v="18.2274590163934"/>
        <n v="2.4895256916996"/>
      </sharedItems>
    </cacheField>
    <cacheField name="7天总订单数(#)" numFmtId="0">
      <sharedItems containsString="0" containsBlank="1" containsNumber="1" containsInteger="1" minValue="0" maxValue="35" count="14">
        <n v="1"/>
        <n v="0"/>
        <n v="5"/>
        <n v="33"/>
        <n v="4"/>
        <n v="2"/>
        <n v="23"/>
        <n v="9"/>
        <n v="3"/>
        <n v="35"/>
        <n v="8"/>
        <n v="7"/>
        <n v="10"/>
        <m/>
      </sharedItems>
    </cacheField>
    <cacheField name="7天总销售量(#)" numFmtId="0">
      <sharedItems containsString="0" containsBlank="1" containsNumber="1" containsInteger="1" minValue="0" maxValue="37" count="14">
        <n v="1"/>
        <n v="0"/>
        <n v="6"/>
        <n v="35"/>
        <n v="4"/>
        <n v="5"/>
        <n v="2"/>
        <n v="24"/>
        <n v="10"/>
        <n v="3"/>
        <n v="37"/>
        <n v="9"/>
        <n v="7"/>
        <m/>
      </sharedItems>
    </cacheField>
    <cacheField name="7天的转化率" numFmtId="0">
      <sharedItems containsString="0" containsBlank="1" containsNumber="1" minValue="0" maxValue="1" count="42">
        <n v="0.0666666666666667"/>
        <n v="0.0454545454545455"/>
        <n v="0"/>
        <n v="0.0862068965517241"/>
        <n v="0.15"/>
        <n v="0.133333333333333"/>
        <n v="0.0506329113924051"/>
        <n v="0.072463768115942"/>
        <m/>
        <n v="0.0344827586206897"/>
        <n v="0.0818505338078292"/>
        <n v="0.079646017699115"/>
        <n v="0.0888888888888889"/>
        <n v="0.0833333333333333"/>
        <n v="0.0909090909090909"/>
        <n v="0.214285714285714"/>
        <n v="0.037037037037037"/>
        <n v="0.0493827160493827"/>
        <n v="0.0394736842105263"/>
        <n v="0.111111111111111"/>
        <n v="0.032258064516129"/>
        <n v="0.142857142857143"/>
        <n v="0.105263157894737"/>
        <n v="0.0317460317460317"/>
        <n v="0.0769230769230769"/>
        <n v="0.0470588235294118"/>
        <n v="0.027027027027027"/>
        <n v="0.0277777777777778"/>
        <n v="0.0357142857142857"/>
        <n v="0.102040816326531"/>
        <n v="1"/>
        <n v="0.125"/>
        <n v="0.228571428571429"/>
        <n v="0.0625"/>
        <n v="0.104477611940299"/>
        <n v="0.0961538461538462"/>
        <n v="0.0303030303030303"/>
        <n v="0.024390243902439"/>
        <n v="0.012987012987013"/>
        <n v="0.0254237288135593"/>
        <n v="0.217391304347826"/>
        <n v="0.0163934426229508"/>
      </sharedItems>
    </cacheField>
    <cacheField name="7天内广告SKU销售量(#)" numFmtId="0">
      <sharedItems containsString="0" containsBlank="1" containsNumber="1" containsInteger="1" minValue="0" maxValue="36" count="14">
        <n v="0"/>
        <n v="1"/>
        <n v="6"/>
        <n v="33"/>
        <n v="5"/>
        <n v="2"/>
        <n v="23"/>
        <n v="10"/>
        <n v="4"/>
        <n v="3"/>
        <n v="36"/>
        <n v="9"/>
        <n v="7"/>
        <m/>
      </sharedItems>
    </cacheField>
    <cacheField name="7天内其他SKU销售量(#)" numFmtId="0">
      <sharedItems containsString="0" containsBlank="1" containsNumber="1" containsInteger="1" minValue="0" maxValue="3" count="5">
        <n v="1"/>
        <n v="0"/>
        <n v="2"/>
        <n v="3"/>
        <m/>
      </sharedItems>
    </cacheField>
    <cacheField name="7天内广告SKU销售额" numFmtId="0">
      <sharedItems containsString="0" containsBlank="1" containsNumber="1" minValue="0" maxValue="551.77" count="33">
        <n v="0"/>
        <n v="15.99"/>
        <n v="89.94"/>
        <n v="494.67"/>
        <n v="13.99"/>
        <n v="69.95"/>
        <n v="88.84"/>
        <n v="47.98"/>
        <n v="551.77"/>
        <n v="179.9"/>
        <n v="71.96"/>
        <n v="26.97"/>
        <n v="83.97"/>
        <n v="55.96"/>
        <n v="47.97"/>
        <n v="46.99"/>
        <n v="9.99"/>
        <n v="47.96"/>
        <n v="11.99"/>
        <n v="140.97"/>
        <n v="89.88"/>
        <n v="18.99"/>
        <n v="539.31"/>
        <n v="13.66"/>
        <n v="134.91"/>
        <n v="83.94"/>
        <n v="97.93"/>
        <n v="53.98"/>
        <n v="31.98"/>
        <n v="19.99"/>
        <n v="35.98"/>
        <n v="125.97"/>
        <m/>
      </sharedItems>
    </cacheField>
    <cacheField name="7天内其他SKU销售额" numFmtId="0">
      <sharedItems containsString="0" containsBlank="1" containsNumber="1" minValue="0" maxValue="52.97" count="12">
        <n v="14.99"/>
        <n v="0"/>
        <n v="29.96"/>
        <n v="43.97"/>
        <n v="46.99"/>
        <n v="13.99"/>
        <n v="8.99"/>
        <n v="37.98"/>
        <n v="23.99"/>
        <n v="41.97"/>
        <n v="52.97"/>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39.xml><?xml version="1.0" encoding="utf-8"?>
<pivotCacheDefinition xmlns="http://schemas.openxmlformats.org/spreadsheetml/2006/main" xmlns:r="http://schemas.openxmlformats.org/officeDocument/2006/relationships" r:id="rId1" createdVersion="5" refreshedVersion="5" minRefreshableVersion="3" refreshedDate="45219.5960532407" refreshedBy="Administrator" recordCount="103">
  <cacheSource type="worksheet">
    <worksheetSource ref="G1:W1048576" sheet="广告0919-1018" r:id="rId2"/>
  </cacheSource>
  <cacheFields count="19">
    <cacheField name="广告SKU" numFmtId="0">
      <sharedItems containsBlank="1" count="49">
        <s v="Y6008-GR"/>
        <s v="Y6011-Black"/>
        <s v="Y6016"/>
        <s v="Y6017-GR"/>
        <s v="Y6021-GR"/>
        <s v="Y6021-RE"/>
        <s v="Y6018"/>
        <s v="Y6022"/>
        <s v="Y6028-BL"/>
        <s v="Y6030"/>
        <s v="Y6027"/>
        <s v="Y6026"/>
        <s v="Y6028-RE"/>
        <s v="Y6036-ZH"/>
        <s v="Y6049-BL"/>
        <s v="Y6051"/>
        <s v="Y6057"/>
        <s v="Y6058"/>
        <s v="Y6052-PU"/>
        <s v="Y6056-BL"/>
        <s v="Y6056-GR"/>
        <s v="Y6056-OR"/>
        <s v="Y6073"/>
        <s v="Y6072-2"/>
        <s v="Y6072-3"/>
        <s v="Y6074-BL-2"/>
        <s v="Y6042"/>
        <s v="Y6061"/>
        <s v="Y6040-RE"/>
        <s v="Y6040-GR"/>
        <s v="Y6075-1-1"/>
        <s v="Y6078-1"/>
        <s v="Y6078-2"/>
        <s v="Y6079-2"/>
        <s v="Y6079-1"/>
        <s v="Y6080"/>
        <s v="Y6082-1-4"/>
        <s v="Y6082-5"/>
        <s v="Y6083"/>
        <s v="Y6088-BL"/>
        <s v="Y6088-CA"/>
        <s v="Y6084-BL"/>
        <s v="Y6084-KH"/>
        <s v="Y6607"/>
        <s v="Y6611"/>
        <s v="Y6612-GR"/>
        <s v="Y6612-SC"/>
        <s v="Y6612-BL"/>
        <m/>
      </sharedItems>
    </cacheField>
    <cacheField name="广告ASIN" numFmtId="0">
      <sharedItems containsBlank="1" count="49">
        <s v="B09X33TY2G"/>
        <s v="B09YRRGB2M"/>
        <s v="B0B1M84NS9"/>
        <s v="B0B1TM26DS"/>
        <s v="B0B2969RR8"/>
        <s v="B0B2947PNH"/>
        <s v="B0B3LG9QSV"/>
        <s v="B0B2RTKRW6"/>
        <s v="B0B5N916XS"/>
        <s v="B0B63FDQ9L"/>
        <s v="B0B63NSYD1"/>
        <s v="B0B63NLM88"/>
        <s v="B0B5N7YD2H"/>
        <s v="B0B8NQD6CN"/>
        <s v="B0BVZ2NG6F"/>
        <s v="B0BYJ3JB97"/>
        <s v="B0C2PZ3185"/>
        <s v="B0C3GZ28T8"/>
        <s v="B0C2BLQY4H"/>
        <s v="B0C23NSBJJ"/>
        <s v="B0C23YHNY3"/>
        <s v="B0C23NZX4J"/>
        <s v="B0C5375VT7"/>
        <s v="B0C538SY6P"/>
        <s v="B0C537WZP5"/>
        <s v="B0C53C8F24"/>
        <s v="B0CB4B49FV"/>
        <s v="B0C33B4ZXM"/>
        <s v="B0B9JYM313"/>
        <s v="B0B9JY21Q5"/>
        <s v="B0CBPN6C3R"/>
        <s v="B0CC9C7RG3"/>
        <s v="B0CC99P8TW"/>
        <s v="B0CCD75PGF"/>
        <s v="B0CC9DMDPF"/>
        <s v="B0CCP3PFQR"/>
        <s v="B0CDBR5NQJ"/>
        <s v="B0CDBS2XC3"/>
        <s v="B0CGC8GH7Q"/>
        <s v="B0CH39V9RR"/>
        <s v="B0CH39L5ZF"/>
        <s v="B0CH393V1L"/>
        <s v="B0CH393FW3"/>
        <s v="B0C7QMMR68"/>
        <s v="B0C8TJHWYW"/>
        <s v="B0C8TK61RY"/>
        <s v="B0C8TL4Z9N"/>
        <s v="B0C8TGWXKP"/>
        <m/>
      </sharedItems>
    </cacheField>
    <cacheField name="展示量" numFmtId="0">
      <sharedItems containsString="0" containsBlank="1" containsNumber="1" containsInteger="1" minValue="0" maxValue="258890" count="101">
        <n v="6159"/>
        <n v="25460"/>
        <n v="3893"/>
        <n v="10259"/>
        <n v="36479"/>
        <n v="6865"/>
        <n v="4"/>
        <n v="3652"/>
        <n v="36420"/>
        <n v="21037"/>
        <n v="4918"/>
        <n v="26756"/>
        <n v="303"/>
        <n v="17456"/>
        <n v="42460"/>
        <n v="190"/>
        <n v="13720"/>
        <n v="2951"/>
        <n v="3610"/>
        <n v="169"/>
        <n v="124"/>
        <n v="0"/>
        <n v="354"/>
        <n v="181"/>
        <n v="341"/>
        <n v="481"/>
        <n v="1015"/>
        <n v="869"/>
        <n v="4109"/>
        <n v="5068"/>
        <n v="230"/>
        <n v="623"/>
        <n v="1442"/>
        <n v="1685"/>
        <n v="262"/>
        <n v="7623"/>
        <n v="47831"/>
        <n v="17571"/>
        <n v="17407"/>
        <n v="5716"/>
        <n v="12693"/>
        <n v="822"/>
        <n v="677"/>
        <n v="2739"/>
        <n v="1916"/>
        <n v="559"/>
        <n v="5294"/>
        <n v="12099"/>
        <n v="227"/>
        <n v="13258"/>
        <n v="5102"/>
        <n v="749"/>
        <n v="4938"/>
        <n v="524"/>
        <n v="11695"/>
        <n v="21149"/>
        <n v="18698"/>
        <n v="9995"/>
        <n v="1478"/>
        <n v="42"/>
        <n v="46"/>
        <n v="276"/>
        <n v="19581"/>
        <n v="787"/>
        <n v="265"/>
        <n v="11022"/>
        <n v="10692"/>
        <n v="1362"/>
        <n v="3814"/>
        <n v="5640"/>
        <n v="126416"/>
        <n v="552"/>
        <n v="1624"/>
        <n v="2999"/>
        <n v="13660"/>
        <n v="5706"/>
        <n v="6081"/>
        <n v="28820"/>
        <n v="27793"/>
        <n v="93"/>
        <n v="21565"/>
        <n v="527"/>
        <n v="160"/>
        <n v="5520"/>
        <n v="1602"/>
        <n v="20823"/>
        <n v="22125"/>
        <n v="2099"/>
        <n v="2090"/>
        <n v="2989"/>
        <n v="49"/>
        <n v="2672"/>
        <n v="2696"/>
        <n v="1008"/>
        <n v="117"/>
        <n v="258890"/>
        <n v="906"/>
        <n v="718"/>
        <n v="866"/>
        <n v="4717"/>
        <m/>
      </sharedItems>
    </cacheField>
    <cacheField name="点击量" numFmtId="0">
      <sharedItems containsString="0" containsBlank="1" containsNumber="1" containsInteger="1" minValue="0" maxValue="523" count="60">
        <n v="24"/>
        <n v="63"/>
        <n v="16"/>
        <n v="76"/>
        <n v="406"/>
        <n v="22"/>
        <n v="0"/>
        <n v="44"/>
        <n v="143"/>
        <n v="144"/>
        <n v="27"/>
        <n v="61"/>
        <n v="2"/>
        <n v="125"/>
        <n v="523"/>
        <n v="5"/>
        <n v="187"/>
        <n v="96"/>
        <n v="6"/>
        <n v="1"/>
        <n v="38"/>
        <n v="37"/>
        <n v="8"/>
        <n v="10"/>
        <n v="18"/>
        <n v="30"/>
        <n v="84"/>
        <n v="159"/>
        <n v="120"/>
        <n v="53"/>
        <n v="58"/>
        <n v="3"/>
        <n v="19"/>
        <n v="7"/>
        <n v="46"/>
        <n v="115"/>
        <n v="9"/>
        <n v="107"/>
        <n v="175"/>
        <n v="171"/>
        <n v="109"/>
        <n v="17"/>
        <n v="93"/>
        <n v="116"/>
        <n v="50"/>
        <n v="28"/>
        <n v="473"/>
        <n v="4"/>
        <n v="47"/>
        <n v="139"/>
        <n v="138"/>
        <n v="150"/>
        <n v="83"/>
        <n v="106"/>
        <n v="79"/>
        <n v="122"/>
        <n v="23"/>
        <n v="360"/>
        <n v="14"/>
        <m/>
      </sharedItems>
    </cacheField>
    <cacheField name="点击率(CTR)" numFmtId="0">
      <sharedItems containsString="0" containsBlank="1" containsNumber="1" minValue="0" maxValue="0.0612244897959184" count="88">
        <n v="0.00389673648319532"/>
        <n v="0.00247446975648075"/>
        <n v="0.00410994091959928"/>
        <n v="0.00740812944731455"/>
        <n v="0.0111296910551276"/>
        <n v="0.00320466132556446"/>
        <n v="0"/>
        <n v="0.0120481927710843"/>
        <n v="0.00392641405820978"/>
        <n v="0.00684508247373675"/>
        <n v="0.005490036600244"/>
        <n v="0.00227986246075647"/>
        <n v="0.0066006600660066"/>
        <n v="0.00716086159486709"/>
        <n v="0.0123174752708431"/>
        <n v="0.0263157894736842"/>
        <n v="0.0136297376093294"/>
        <n v="0.0325313453066757"/>
        <n v="0.00166204986149584"/>
        <m/>
        <n v="0.0169491525423729"/>
        <n v="0.00207900207900208"/>
        <n v="0.000985221674876847"/>
        <n v="0.00115074798619102"/>
        <n v="0.00924799221221708"/>
        <n v="0.00730071033938437"/>
        <n v="0.0128410914927769"/>
        <n v="0.00693481276005548"/>
        <n v="0.0106824925816024"/>
        <n v="0.00763358778625954"/>
        <n v="0.00393545848091303"/>
        <n v="0.00175618322845017"/>
        <n v="0.0090490011951511"/>
        <n v="0.00689377836502557"/>
        <n v="0.00927221833449965"/>
        <n v="0.00456944772709367"/>
        <n v="0.00364963503649635"/>
        <n v="0.00443131462333826"/>
        <n v="0.00365096750638919"/>
        <n v="0.00991649269311065"/>
        <n v="0.0125223613595707"/>
        <n v="0.00868908197959955"/>
        <n v="0.00628151086866683"/>
        <n v="0.00440528634361234"/>
        <n v="0.00867400814602504"/>
        <n v="0.00431203449627597"/>
        <n v="0.00267022696929239"/>
        <n v="0.00182260024301337"/>
        <n v="0.00914920906370244"/>
        <n v="0.00827462291361294"/>
        <n v="0.00914536314044283"/>
        <n v="0.0109054527263632"/>
        <n v="0.0115020297699594"/>
        <n v="0.0217391304347826"/>
        <n v="0.00474950206833155"/>
        <n v="0.00762388818297332"/>
        <n v="0.0105244057339866"/>
        <n v="0.00467639356528245"/>
        <n v="0.00629260618772942"/>
        <n v="0.0049645390070922"/>
        <n v="0.00374161498544488"/>
        <n v="0.0072463768115942"/>
        <n v="0.00554187192118227"/>
        <n v="0.0156718906302101"/>
        <n v="0.0101756954612006"/>
        <n v="0.0241850683491062"/>
        <n v="0.00493339911198816"/>
        <n v="0.00520471894517696"/>
        <n v="0.0029863634728169"/>
        <n v="0.043010752688172"/>
        <n v="0.00491537213076745"/>
        <n v="0.00759013282732448"/>
        <n v="0.00307971014492754"/>
        <n v="0.0137328339575531"/>
        <n v="0.00379388176535562"/>
        <n v="0.00551412429378531"/>
        <n v="0.00190566936636494"/>
        <n v="0.00287081339712919"/>
        <n v="0.00267648042823687"/>
        <n v="0.0612244897959184"/>
        <n v="0.00860778443113772"/>
        <n v="0.0103857566765579"/>
        <n v="0.00297619047619048"/>
        <n v="0.00854700854700855"/>
        <n v="0.00139055197187995"/>
        <n v="0.0022075055187638"/>
        <n v="0.00278551532033426"/>
        <n v="0.00296798812804749"/>
      </sharedItems>
    </cacheField>
    <cacheField name="每次点击成本(CPC)" numFmtId="0">
      <sharedItems containsString="0" containsBlank="1" containsNumber="1" minValue="0" maxValue="0.71" count="84">
        <n v="0.129583333333333"/>
        <n v="0.292539682539683"/>
        <n v="0.086875"/>
        <n v="0.248815789473684"/>
        <n v="0.372364532019704"/>
        <n v="0.126363636363636"/>
        <m/>
        <n v="0.256363636363636"/>
        <n v="0.23041958041958"/>
        <n v="0.390277777777778"/>
        <n v="0.459259259259259"/>
        <n v="0.275737704918033"/>
        <n v="0.465"/>
        <n v="0.19272"/>
        <n v="0.346481835564054"/>
        <n v="0.248"/>
        <n v="0.0939572192513369"/>
        <n v="0.19375"/>
        <n v="0.368333333333333"/>
        <n v="0.291666666666667"/>
        <n v="0.71"/>
        <n v="0.61"/>
        <n v="0.25"/>
        <n v="0.216842105263158"/>
        <n v="0.182972972972973"/>
        <n v="0.36375"/>
        <n v="0.327"/>
        <n v="0.302777777777778"/>
        <n v="0.115"/>
        <n v="0.305333333333333"/>
        <n v="0.403928571428572"/>
        <n v="0.0822012578616352"/>
        <n v="0.187083333333333"/>
        <n v="0.108867924528302"/>
        <n v="0.330862068965517"/>
        <n v="0.283333333333333"/>
        <n v="0.393333333333333"/>
        <n v="0.389"/>
        <n v="0.171052631578947"/>
        <n v="0.207142857142857"/>
        <n v="0.0917391304347826"/>
        <n v="0.230131578947368"/>
        <n v="0.21"/>
        <n v="0.15695652173913"/>
        <n v="0.324090909090909"/>
        <n v="0.36"/>
        <n v="0.181111111111111"/>
        <n v="0.346822429906542"/>
        <n v="0.354514285714286"/>
        <n v="0.285029239766082"/>
        <n v="0.347614678899083"/>
        <n v="0.192352941176471"/>
        <n v="0.42"/>
        <n v="0.237741935483871"/>
        <n v="0.175"/>
        <n v="0.146379310344828"/>
        <n v="0.241"/>
        <n v="0.325"/>
        <n v="0.290416666666667"/>
        <n v="0.3425"/>
        <n v="0.278118393234672"/>
        <n v="0.27"/>
        <n v="0.31"/>
        <n v="0.261702127659575"/>
        <n v="0.259496402877698"/>
        <n v="0.196739130434783"/>
        <n v="0.273666666666667"/>
        <n v="0.269"/>
        <n v="0.213132530120482"/>
        <n v="0.3025"/>
        <n v="0.372169811320755"/>
        <n v="0.2625"/>
        <n v="0.262941176470588"/>
        <n v="0.292272727272727"/>
        <n v="0.368987341772152"/>
        <n v="0.36327868852459"/>
        <n v="0.34"/>
        <n v="0.2925"/>
        <n v="0.32"/>
        <n v="0.212173913043478"/>
        <n v="0.256785714285714"/>
        <n v="0.5"/>
        <n v="0.274583333333333"/>
        <n v="0.249285714285714"/>
      </sharedItems>
    </cacheField>
    <cacheField name="花费" numFmtId="0">
      <sharedItems containsString="0" containsBlank="1" containsNumber="1" minValue="0" maxValue="181.21" count="86">
        <n v="3.11"/>
        <n v="18.43"/>
        <n v="1.39"/>
        <n v="18.91"/>
        <n v="151.18"/>
        <n v="2.78"/>
        <n v="0"/>
        <n v="11.28"/>
        <n v="32.95"/>
        <n v="56.2"/>
        <n v="12.4"/>
        <n v="16.82"/>
        <n v="0.93"/>
        <n v="24.09"/>
        <n v="181.21"/>
        <n v="1.24"/>
        <n v="17.57"/>
        <n v="18.6"/>
        <n v="2.21"/>
        <n v="1.75"/>
        <n v="0.71"/>
        <n v="0.61"/>
        <n v="0.25"/>
        <n v="8.24"/>
        <n v="6.77"/>
        <n v="2.91"/>
        <n v="3.27"/>
        <n v="5.45"/>
        <n v="0.23"/>
        <n v="9.16"/>
        <n v="33.93"/>
        <n v="13.07"/>
        <n v="22.45"/>
        <n v="5.77"/>
        <n v="19.19"/>
        <n v="0.85"/>
        <n v="1.18"/>
        <n v="3.89"/>
        <n v="3.25"/>
        <n v="1.45"/>
        <n v="4.22"/>
        <n v="17.49"/>
        <n v="0.21"/>
        <n v="18.05"/>
        <n v="7.13"/>
        <n v="0.72"/>
        <n v="1.63"/>
        <n v="37.11"/>
        <n v="62.04"/>
        <n v="48.74"/>
        <n v="37.89"/>
        <n v="0.42"/>
        <n v="22.11"/>
        <n v="1.05"/>
        <n v="16.98"/>
        <n v="12.05"/>
        <n v="1.95"/>
        <n v="6.97"/>
        <n v="9.59"/>
        <n v="131.55"/>
        <n v="1.08"/>
        <n v="2.79"/>
        <n v="12.3"/>
        <n v="36.07"/>
        <n v="27.15"/>
        <n v="8.21"/>
        <n v="40.35"/>
        <n v="17.69"/>
        <n v="1.21"/>
        <n v="39.45"/>
        <n v="4.47"/>
        <n v="6.43"/>
        <n v="29.15"/>
        <n v="44.32"/>
        <n v="1.36"/>
        <n v="2.34"/>
        <n v="0.96"/>
        <n v="4.88"/>
        <n v="7.19"/>
        <n v="1.5"/>
        <n v="0.31"/>
        <n v="98.85"/>
        <n v="0.5"/>
        <n v="0.54"/>
        <n v="3.49"/>
        <m/>
      </sharedItems>
    </cacheField>
    <cacheField name="7天总销售额" numFmtId="0">
      <sharedItems containsString="0" containsBlank="1" containsNumber="1" minValue="0" maxValue="1126.54" count="47">
        <n v="14.99"/>
        <n v="15.99"/>
        <n v="0"/>
        <n v="104.93"/>
        <n v="820.44"/>
        <n v="71.95"/>
        <n v="197.86"/>
        <n v="238.73"/>
        <n v="95.96"/>
        <n v="1126.54"/>
        <n v="269.85"/>
        <n v="175.9"/>
        <n v="27.98"/>
        <n v="41.97"/>
        <n v="35.96"/>
        <n v="111.96"/>
        <n v="69.95"/>
        <n v="109.93"/>
        <n v="107.97"/>
        <n v="21.98"/>
        <n v="19.98"/>
        <n v="20.98"/>
        <n v="47.96"/>
        <n v="29.97"/>
        <n v="9.99"/>
        <n v="140.97"/>
        <n v="222.77"/>
        <n v="213.88"/>
        <n v="108.72"/>
        <n v="13.99"/>
        <n v="45.97"/>
        <n v="56.97"/>
        <n v="49.95"/>
        <n v="793.14"/>
        <n v="13.66"/>
        <n v="149.9"/>
        <n v="153.89"/>
        <n v="251.82"/>
        <n v="209.85"/>
        <n v="82.97"/>
        <n v="31.98"/>
        <n v="18.99"/>
        <n v="97.95"/>
        <n v="17.99"/>
        <n v="88.95"/>
        <n v="335.92"/>
        <m/>
      </sharedItems>
    </cacheField>
    <cacheField name="广告成本销售比(ACOS)" numFmtId="0">
      <sharedItems containsString="0" containsBlank="1" containsNumber="1" minValue="0" maxValue="1.53501843075303" count="50">
        <n v="0.207471647765177"/>
        <n v="1.15259537210757"/>
        <m/>
        <n v="0.180215381683027"/>
        <n v="0.184266978694359"/>
        <n v="0.15677553856845"/>
        <n v="0.166531891236228"/>
        <n v="0.235412390566749"/>
        <n v="0.251042100875365"/>
        <n v="0.160855362437197"/>
        <n v="0.0651102464332036"/>
        <n v="0.10574189880614"/>
        <n v="0.294496068620443"/>
        <n v="0.161305694543722"/>
        <n v="0.151557285873192"/>
        <n v="0.303054662379421"/>
        <n v="0.186847748391708"/>
        <n v="0.20422086782498"/>
        <n v="0.0534407705844216"/>
        <n v="0.873066424021838"/>
        <n v="0.162662662662663"/>
        <n v="0.201143946615825"/>
        <n v="0.364678899082569"/>
        <n v="0.602268935602269"/>
        <n v="0.713713713713714"/>
        <n v="0.263247499467972"/>
        <n v="0.278493513489249"/>
        <n v="0.227884795212269"/>
        <n v="0.348509933774834"/>
        <n v="0.2337383845604"/>
        <n v="0.480965847291712"/>
        <n v="0.298051606108478"/>
        <n v="0.166071003097451"/>
        <n v="0.191991991991992"/>
        <n v="0.165859747333384"/>
        <n v="0.0790629575402635"/>
        <n v="0.279279279279279"/>
        <n v="0.0820547031354236"/>
        <n v="0.234388199363182"/>
        <n v="0.107815106028115"/>
        <n v="0.586847748391708"/>
        <n v="0.192280200142959"/>
        <n v="0.213209593829095"/>
        <n v="1.23358348968105"/>
        <n v="0.459614010007148"/>
        <n v="1.53501843075303"/>
        <n v="0.452475752935171"/>
        <n v="0.0533629794330183"/>
        <n v="0.0548622821810006"/>
        <n v="0.29426649202191"/>
      </sharedItems>
    </cacheField>
    <cacheField name="投入产出比(ROAS)" numFmtId="0">
      <sharedItems containsString="0" containsBlank="1" containsNumber="1" minValue="0" maxValue="18.7395833333333" count="51">
        <n v="4.81993569131833"/>
        <n v="0.867607162235486"/>
        <n v="0"/>
        <n v="5.54891591750397"/>
        <n v="5.42690832120651"/>
        <m/>
        <n v="6.37854609929078"/>
        <n v="6.00485584218513"/>
        <n v="4.24786476868327"/>
        <n v="3.98339559983396"/>
        <n v="6.21676507918989"/>
        <n v="15.3585657370518"/>
        <n v="9.45698924731182"/>
        <n v="3.39563106796116"/>
        <n v="6.19940915805022"/>
        <n v="6.59816513761468"/>
        <n v="3.29973474801061"/>
        <n v="5.35195103289977"/>
        <n v="4.89665924276169"/>
        <n v="18.7123050259965"/>
        <n v="1.14538822303283"/>
        <n v="6.14769230769231"/>
        <n v="4.97156398104265"/>
        <n v="2.74213836477987"/>
        <n v="1.66038781163435"/>
        <n v="1.40112201963534"/>
        <n v="3.79870654810024"/>
        <n v="3.59074790457769"/>
        <n v="4.38818219121871"/>
        <n v="2.86935866983373"/>
        <n v="4.2782874617737"/>
        <n v="2.07914970601538"/>
        <n v="3.35512367491166"/>
        <n v="6.02152080344333"/>
        <n v="5.20855057351408"/>
        <n v="6.02919042189282"/>
        <n v="12.6481481481481"/>
        <n v="3.58064516129032"/>
        <n v="12.1869918699187"/>
        <n v="4.26642639312448"/>
        <n v="9.27513812154696"/>
        <n v="1.70401948842875"/>
        <n v="5.20074349442379"/>
        <n v="4.69022046353872"/>
        <n v="0.8106463878327"/>
        <n v="2.17573872472784"/>
        <n v="0.651457975986278"/>
        <n v="2.21006317689531"/>
        <n v="18.7395833333333"/>
        <n v="18.2274590163934"/>
        <n v="3.39828022255943"/>
      </sharedItems>
    </cacheField>
    <cacheField name="7天总订单数(#)" numFmtId="0">
      <sharedItems containsString="0" containsBlank="1" containsNumber="1" containsInteger="1" minValue="0" maxValue="51" count="20">
        <n v="1"/>
        <n v="0"/>
        <n v="6"/>
        <n v="49"/>
        <n v="5"/>
        <n v="12"/>
        <n v="15"/>
        <n v="4"/>
        <n v="45"/>
        <n v="14"/>
        <n v="10"/>
        <n v="2"/>
        <n v="3"/>
        <n v="7"/>
        <n v="11"/>
        <n v="51"/>
        <n v="9"/>
        <n v="16"/>
        <n v="8"/>
        <m/>
      </sharedItems>
    </cacheField>
    <cacheField name="7天总销售量(#)" numFmtId="0">
      <sharedItems containsString="0" containsBlank="1" containsNumber="1" containsInteger="1" minValue="0" maxValue="54" count="19">
        <n v="1"/>
        <n v="0"/>
        <n v="7"/>
        <n v="54"/>
        <n v="5"/>
        <n v="14"/>
        <n v="16"/>
        <n v="4"/>
        <n v="46"/>
        <n v="15"/>
        <n v="10"/>
        <n v="2"/>
        <n v="3"/>
        <n v="12"/>
        <n v="6"/>
        <n v="53"/>
        <n v="19"/>
        <n v="8"/>
        <m/>
      </sharedItems>
    </cacheField>
    <cacheField name="7天的转化率" numFmtId="0">
      <sharedItems containsString="0" containsBlank="1" containsNumber="1" minValue="0" maxValue="0.333333333333333" count="48">
        <n v="0.0416666666666667"/>
        <n v="0.0158730158730159"/>
        <n v="0"/>
        <n v="0.0789473684210526"/>
        <n v="0.120689655172414"/>
        <m/>
        <n v="0.113636363636364"/>
        <n v="0.0839160839160839"/>
        <n v="0.104166666666667"/>
        <n v="0.032"/>
        <n v="0.0860420650095602"/>
        <n v="0.0748663101604278"/>
        <n v="0.0526315789473684"/>
        <n v="0.0810810810810811"/>
        <n v="0.222222222222222"/>
        <n v="0.0357142857142857"/>
        <n v="0.0314465408805031"/>
        <n v="0.0583333333333333"/>
        <n v="0.0566037735849057"/>
        <n v="0.0344827586206897"/>
        <n v="0.105263157894737"/>
        <n v="0.0434782608695652"/>
        <n v="0.0260869565217391"/>
        <n v="0.0454545454545455"/>
        <n v="0.0280373831775701"/>
        <n v="0.0628571428571429"/>
        <n v="0.0701754385964912"/>
        <n v="0.055045871559633"/>
        <n v="0.0588235294117647"/>
        <n v="0.032258064516129"/>
        <n v="0.0258620689655172"/>
        <n v="0.125"/>
        <n v="0.142857142857143"/>
        <n v="0.107822410147992"/>
        <n v="0.25"/>
        <n v="0.111111111111111"/>
        <n v="0.191489361702128"/>
        <n v="0.079136690647482"/>
        <n v="0.108695652173913"/>
        <n v="0.0333333333333333"/>
        <n v="0.106666666666667"/>
        <n v="0.036144578313253"/>
        <n v="0.0188679245283019"/>
        <n v="0.0126582278481013"/>
        <n v="0.0327868852459016"/>
        <n v="0.333333333333333"/>
        <n v="0.217391304347826"/>
        <n v="0.0222222222222222"/>
      </sharedItems>
    </cacheField>
    <cacheField name="7天内广告SKU销售量(#)" numFmtId="0">
      <sharedItems containsString="0" containsBlank="1" containsNumber="1" containsInteger="1" minValue="0" maxValue="52" count="19">
        <n v="0"/>
        <n v="1"/>
        <n v="7"/>
        <n v="49"/>
        <n v="13"/>
        <n v="15"/>
        <n v="4"/>
        <n v="45"/>
        <n v="9"/>
        <n v="2"/>
        <n v="5"/>
        <n v="6"/>
        <n v="3"/>
        <n v="8"/>
        <n v="52"/>
        <n v="10"/>
        <n v="11"/>
        <n v="18"/>
        <m/>
      </sharedItems>
    </cacheField>
    <cacheField name="7天内其他SKU销售量(#)" numFmtId="0">
      <sharedItems containsString="0" containsBlank="1" containsNumber="1" containsInteger="1" minValue="0" maxValue="5" count="7">
        <n v="1"/>
        <n v="0"/>
        <n v="5"/>
        <n v="4"/>
        <n v="2"/>
        <n v="3"/>
        <m/>
      </sharedItems>
    </cacheField>
    <cacheField name="7天内广告SKU销售额" numFmtId="0">
      <sharedItems containsString="0" containsBlank="1" containsNumber="1" minValue="0" maxValue="1079.55" count="42">
        <n v="0"/>
        <n v="15.99"/>
        <n v="104.93"/>
        <n v="719.52"/>
        <n v="13.99"/>
        <n v="181.87"/>
        <n v="223.75"/>
        <n v="95.96"/>
        <n v="1079.55"/>
        <n v="269.85"/>
        <n v="161.91"/>
        <n v="27.98"/>
        <n v="35.96"/>
        <n v="111.96"/>
        <n v="69.95"/>
        <n v="95.94"/>
        <n v="93.98"/>
        <n v="21.98"/>
        <n v="19.98"/>
        <n v="11.99"/>
        <n v="47.96"/>
        <n v="9.99"/>
        <n v="140.97"/>
        <n v="134.82"/>
        <n v="143.92"/>
        <n v="53.97"/>
        <n v="31.98"/>
        <n v="18.99"/>
        <n v="41.97"/>
        <n v="49.95"/>
        <n v="779.15"/>
        <n v="13.66"/>
        <n v="149.9"/>
        <n v="139.9"/>
        <n v="237.83"/>
        <n v="153.89"/>
        <n v="82.97"/>
        <n v="19.99"/>
        <n v="17.99"/>
        <n v="35.98"/>
        <n v="335.92"/>
        <m/>
      </sharedItems>
    </cacheField>
    <cacheField name="7天内其他SKU销售额" numFmtId="0">
      <sharedItems containsString="0" containsBlank="1" containsNumber="1" minValue="0" maxValue="100.92" count="18">
        <n v="14.99"/>
        <n v="0"/>
        <n v="100.92"/>
        <n v="57.96"/>
        <n v="15.99"/>
        <n v="14.98"/>
        <n v="46.99"/>
        <n v="13.99"/>
        <n v="8.99"/>
        <n v="17.98"/>
        <n v="87.95"/>
        <n v="69.96"/>
        <n v="54.75"/>
        <n v="37.98"/>
        <n v="55.96"/>
        <n v="77.96"/>
        <n v="52.97"/>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40.xml><?xml version="1.0" encoding="utf-8"?>
<pivotCacheDefinition xmlns="http://schemas.openxmlformats.org/spreadsheetml/2006/main" xmlns:r="http://schemas.openxmlformats.org/officeDocument/2006/relationships" r:id="rId1" createdVersion="5" refreshedVersion="5" minRefreshableVersion="3" refreshedDate="45219.6148958333" refreshedBy="Administrator" recordCount="132">
  <cacheSource type="worksheet">
    <worksheetSource ref="B1:O1048576" sheet="7店1012-1018" r:id="rId2"/>
  </cacheSource>
  <cacheFields count="14">
    <cacheField name="（子）ASIN" numFmtId="0">
      <sharedItems containsBlank="1" count="120">
        <s v="B0BBG4W47P"/>
        <s v="B0B6PBJ5XP"/>
        <s v="B0CDLDJ7N4"/>
        <s v="B0BLYPT5CN"/>
        <s v="B0BBFV5GCR"/>
        <s v="B0B6PQXZZP"/>
        <s v="B0BBG5PFX4"/>
        <s v="B0B6FWC6N6"/>
        <s v="B0B6PGB4JM"/>
        <s v="B0CDGZVZRS"/>
        <s v="B0B5XBSDS2"/>
        <s v="B0B6VRRMWW"/>
        <s v="B0B5XDHJZ7"/>
        <s v="B0CGX382NL"/>
        <s v="B0BBGMPX7P"/>
        <s v="B0B5QS2BBK"/>
        <s v="B0B6VKLX2B"/>
        <s v="B0BBFXGD1Q"/>
        <s v="B0BBG13KWX"/>
        <s v="B0BBG47DWW"/>
        <s v="B0CDKTTFY5"/>
        <s v="B0BCFGZF9F"/>
        <s v="B0BLXZ2PHT"/>
        <s v="B0B5QVL591"/>
        <s v="B0B6FQ7GBY"/>
        <s v="B0B6PGY5QJ"/>
        <s v="B0CDKYKTCP"/>
        <s v="B0CGX24JGD"/>
        <s v="B0B5ZHZ6P6"/>
        <s v="B0B68J2J8P"/>
        <s v="B0BBG4X86G"/>
        <s v="B0BLXVWKNB"/>
        <s v="B0CDK1Y499"/>
        <s v="B0CGX2PHRG"/>
        <s v="B0B5XFNDV8"/>
        <s v="B0BBG2NL26"/>
        <s v="B0BBG4HBRL"/>
        <s v="B0BQMLFFHR"/>
        <s v="B0CDGZVRJ8"/>
        <s v="B0B5ZK6MRR"/>
        <s v="B0B5ZLP61G"/>
        <s v="B0B68GLBJM"/>
        <s v="B0B6VN2HH7"/>
        <s v="B0B6VQ6DC8"/>
        <s v="B0BLY64GWX"/>
        <s v="B0BQRHRQ89"/>
        <s v="B0C7ZL4Z59"/>
        <s v="B0CDKFJ16G"/>
        <s v="B0B5ZN9XPZ"/>
        <s v="B0B68H64R9"/>
        <s v="B0B6PCXL1N"/>
        <s v="B0B6VM88JM"/>
        <s v="B0BBFVR6W8"/>
        <s v="B0BBG65L2P"/>
        <s v="B0BQMLXY38"/>
        <s v="B0BQMMFRGQ"/>
        <s v="B0BQMNG5Q2"/>
        <s v="B0C7ZM4H8Z"/>
        <s v="B0CDKMY8Z9"/>
        <s v="B0CGX1WNFT"/>
        <s v="B0CGX383LR"/>
        <s v="B0B5QR55XG"/>
        <s v="B0B5XCX58S"/>
        <s v="B0B6RFXWWW"/>
        <s v="B0BQML1ZRK"/>
        <s v="B0BQRNJQZM"/>
        <s v="B0C1C3DN9D"/>
        <s v="B0C7ZL429N"/>
        <s v="B0CDGY3PH4"/>
        <s v="B0CDH22FFC"/>
        <s v="B0CDKYLFXB"/>
        <s v="B0CGX4CFML"/>
        <s v="B0B5ZPYKY5"/>
        <s v="B0B6RB2JKB"/>
        <s v="B0B6RDT7JN"/>
        <s v="B0B6VQZZ1W"/>
        <s v="B0BBFYQ998"/>
        <s v="B0BQMNJ6Q3"/>
        <s v="B0C39R9CKF"/>
        <s v="B0CDGWKNYJ"/>
        <s v="B0CDGYKC4Q"/>
        <s v="B0CDGYNNPZ"/>
        <s v="B0CDK2DZNM"/>
        <s v="B0CDL6H6L4"/>
        <s v="B0B5XFNJRJ"/>
        <s v="B0B5XLV7NX"/>
        <s v="B0B63LPZZ8"/>
        <s v="B0B6PL25WN"/>
        <s v="B0B6PN6971"/>
        <s v="B0B6RD6DRX"/>
        <s v="B0B6VP68KJ"/>
        <s v="B0BBFVN3V9"/>
        <s v="B0BBFXXM8H"/>
        <s v="B0BBG19C9R"/>
        <s v="B0BBG1ZGYS"/>
        <s v="B0BBG2D31Y"/>
        <s v="B0BBG56FJP"/>
        <s v="B0BQJHSY7P"/>
        <s v="B0BQMFSMP6"/>
        <s v="B0BQMJBXVV"/>
        <s v="B0BQMJKB4S"/>
        <s v="B0BQMLF83Q"/>
        <s v="B0BQRNJKNG"/>
        <s v="B0BQRP2G6J"/>
        <s v="B0BQRP5Q8K"/>
        <s v="B0BQRPNLNX"/>
        <s v="B0BZCRVBC8"/>
        <s v="B0C1VFZYP5"/>
        <s v="B0C2Q3CC3D"/>
        <s v="B0C2TCNT1B"/>
        <s v="B0C2TJLNYC"/>
        <s v="B0C39QMLST"/>
        <s v="B0C3QG58M3"/>
        <s v="B0C3QJF82L"/>
        <s v="B0CDGZ2GNB"/>
        <s v="B0CDGZ929Z"/>
        <s v="B0CDH2HY46"/>
        <s v="B0CDKMYQLQ"/>
        <s v="B0CGX537RQ"/>
        <m/>
      </sharedItems>
    </cacheField>
    <cacheField name="商品名称" numFmtId="0">
      <sharedItems containsBlank="1" count="123">
        <s v="TASHHAR Phone Case for iPhone 14 Pro Max Case,Heavy Duty Hard Shockproof Armor Protector Case Cover with Belt Clip Holster for Apple iPhone 14 Pro Max 6.7 5G 2022 Phone Case (Black)"/>
        <s v="TASHHAR Phone Case for iPhone 13 Pro Max Phone, Heavy Duty Hard Shockproof Armor Protector Case Cover with Belt Clip Holster for Apple iPhone 13 Pro Max 5G 2021 Phone Case (Black)"/>
        <s v="TASHHAR Phone Case for iPhone 15 Pro Max Case,Heavy Duty Hard Shockproof Armor Protector Case Cover with Belt Clip Holster for Apple iPhone 15 Pro Max 6.7 5G 2023 Phone Case (Black)"/>
        <s v="TASHHAR Phone Case for Samsung Galaxy A14 5G case,Heavy Duty Hard Shockproof Armor Protector Case Cover with Belt Clip Holster for Samsung A14 5G 2023 Phone Case (Black)"/>
        <s v="TASHHAR Phone Case for iPhone 14 Case,Heavy Duty Hard Shockproof Armor Protector Case Cover with Belt Clip Holster for Apple iPhone 14 6.1 5G 2022 Phone Case (Black)"/>
        <s v="TASHHAR Phone Case for iPhone 13 Pro Max Phone, Heavy Duty Hard Shockproof Armor Protector Case Cover with Belt Clip Holster for Apple iPhone 13 Pro Max 5G 2021 Phone Case (Black+Blue)"/>
        <s v="TASHHAR Phone Case for iPhone 14 Pro Max Case,Heavy Duty Hard Shockproof Armor Protector Case Cover with Belt Clip Holster for Apple iPhone 14 Pro Max 6.7 5G 2022 Phone Case (Black+Blue)"/>
        <s v="TASHHAR Phone Case for iPhone 12 Pro Max Phone, Heavy Duty Hard Shockproof Armor Protector Case Cover with Belt Clip Holster for Apple iPhone 12 6.7 5G 2020… (Black)"/>
        <s v="TASHHAR Phone Case for iPhone 13 Pro Max Phone, Heavy Duty Hard Shockproof Armor Protector Case Cover with Belt Clip Holster for Apple iPhone 13 Pro Max 5G 2021 Phone Case (Black+Orange)"/>
        <s v="TASHHAR Phone Case for iPhone 15 Pro Case,Heavy Duty Hard Shockproof Armor Protector Case Cover with Belt Clip Holster for Apple iPhone 15 Pro 6.1 5G 2023 Phone Case (Black)"/>
        <s v="TASHHAR Phone Case for Samsung Galaxy A21 Phone, Heavy Duty Hard Shockproof Armor Protector Case Cover with Belt Clip Holster for Samsung A21 (Black)"/>
        <s v="TASHHAR Phone Case for iPhone 12 Case, iPhone 12 Pro, Heavy Duty Hard Shockproof Armor Protector Case Cover with Belt Clip Holster for Apple iPhone 12 6.1 2020 Phone Case (Black+Orange)"/>
        <s v="TASHHAR Phone Case for Samsung Galaxy A21 Phone, Heavy Duty Hard Shockproof Armor Protector Case Cover with Belt Clip Holster for Samsung A21 (Black+Orange)"/>
        <s v="TASHHAR Phone Case for Google Pixel 8 Pro Case,Heavy Duty Hard Shockproof Armor Protector Case Cover with Belt Clip Holster for Google Pixel 8 Pro 2023 Phone Case (Black)"/>
        <s v="TASHHAR Phone Case for iPhone 14 Pro Max Case,Heavy Duty Hard Shockproof Armor Protector Case Cover with Belt Clip Holster for Apple iPhone 14 Pro Max 6.7 5G 2022 Phone Case (Navy Blue)"/>
        <s v="TASHHAR Phone Case for Samsung Galaxy A71 5G, Heavy Duty Hard Shockproof Armor Protector Case Cover with Belt Clip Holster for Samsung A71 5G 6.7 inch Phone (Black)"/>
        <s v="TASHHAR Phone Case for iPhone 12 Case, iPhone 12 Pro, Heavy Duty Hard Shockproof Armor Protector Case Cover with Belt Clip Holster for Apple iPhone 12 6.1 2020 Phone Case (Black)"/>
        <s v="TASHHAR Phone Case for iPhone 14 Case,Heavy Duty Hard Shockproof Armor Protector Case Cover with Belt Clip Holster for Apple iPhone 14 6.1 5G 2022 Phone Case (Black+Blue)"/>
        <s v="TASHHAR Phone Case for iPhone 14 Pro Case,Heavy Duty Hard Shockproof Armor Protector Case Cover with Belt Clip Holster for Apple iPhone 14 Pro 6.1 5G 2022 Phone Case (Black)"/>
        <s v="TASHHAR Phone Case for iPhone 14 Pro Max Case,Heavy Duty Hard Shockproof Armor Protector Case Cover with Belt Clip Holster for Apple iPhone 14 Pro Max 6.7 5G 2022 Phone Case (Black+Orange)"/>
        <s v="TASHHAR Phone Case for iPhone 15 Pro Max Case,Heavy Duty Hard Shockproof Armor Protector Case Cover with Belt Clip Holster for Apple iPhone 15 Pro Max 6.7 5G 2023 Phone Case(Black+Blue)"/>
        <s v="TASHHAR Phone Case for iPhone 12 Pro Max Phone, Heavy Duty Hard Shockproof Armor Protector Case Cover with Belt Clip Holster for Apple iPhone 12 6.7 5G 2020 (Black+Orange)"/>
        <s v="TASHHAR Phone Case for Samsung Galaxy A14 5G case,Heavy Duty Hard Shockproof Armor Protector Case Cover with Belt Clip Holster for Samsung A14 5G 2023 Phone Case (Black+Orange)"/>
        <s v="TASHHAR Phone Case for Samsung Galaxy A71 5G, Heavy Duty Hard Shockproof Armor Protector Case Cover with Belt Clip Holster for Samsung A71 5G 6.7 inch Phone (Black+Orange)"/>
        <s v="TASHHAR Phone Case for iPhone 12 Pro Max Phone, Heavy Duty Hard Shockproof Armor Protector Case Cover with Belt Clip Holster for Apple iPhone 12 6.7 5G 2020… (Navy Blue)"/>
        <s v="TASHHAR Phone Case for iPhone 13 Pro Max Phone, Heavy Duty Hard Shockproof Armor Protector Case Cover with Belt Clip Holster for Apple iPhone 13 Pro Max 5G 2021 Phone Case (Navy Blue)"/>
        <s v="TASHHAR Phone Case for iPhone 15 Pro Max Case,Heavy Duty Hard Shockproof Armor Protector Case Cover with Belt Clip Holster for Apple iPhone 15 Pro Max 6.7 5G 2023 Phone Case(Black+Orange)"/>
        <s v="TASHHAR Phone Case for Google Pixel 8 Pro Case,Heavy Duty Hard Shockproof Armor Protector Case Cover with Belt Clip Holster for Google Pixel 8 Pro 2023 Phone Case (Black+Blue)"/>
        <s v="TASHHAR Phone Case for Samsung Galaxy A51 4G Phone,Heavy Duty Hard Shockproof Armor Protector Case Cover with Belt Clip Holster for Samsung A51 4G 6.5 inch Phone (Navy Blue)"/>
        <s v="TASHHAR Phone Case for Motorola Moto One 5G Ace Phone, Heavy Duty Hard Shockproof Armor Protector Case Cover with Belt Clip Holster for Motorola One 5G Ace 2021 (Black)"/>
        <s v="TASHHAR Phone Case for iPhone 14 Plus Case,Heavy Duty Hard Shockproof Armor Protector Case Cover with Belt Clip Holster for Apple iPhone 14 Plus 6.7 5G 2022 Phone Case (Black)"/>
        <s v="TASHHAR Phone Case for Samsung Galaxy A14 5G case,Heavy Duty Hard Shockproof Armor Protector Case Cover with Belt Clip Holster for Samsung A14 5G 2023 Phone Case (Black+Blue)"/>
        <s v="TASHHAR Phone Case for iPhone 15 Plus Case,Heavy Duty Hard Shockproof Armor Protector Case Cover with Belt Clip Holster for Apple iPhone 15 Plus 6.7 5G 2023 Phone Case (Black)"/>
        <s v="TASHHAR Phone Case for Google Pixel 8 Pro Case,Heavy Duty Hard Shockproof Armor Protector Case Cover with Belt Clip Holster for Google Pixel 8 Pro 2023 Phone Case (Black+Orange)"/>
        <s v="TASHHAR Phone Case for Samsung Galaxy A21 Phone, Heavy Duty Hard Shockproof Armor Protector Case Cover with Belt Clip Holster for Samsung A21 (Navy Blue)"/>
        <s v="TASHHAR Phone Case for iPhone 14 Plus Case,Heavy Duty Hard Shockproof Armor Protector Case Cover with Belt Clip Holster for Apple iPhone 14 Plus 6.7 5G 2022 Phone Case (Black+Orange)"/>
        <s v="TASHHAR Phone Case for iPhone 14 Plus Case,Heavy Duty Hard Shockproof Armor Protector Case Cover with Belt Clip Holster for Apple iPhone 14 Plus 6.7 5G 2022 Phone Case (Black+Blue)"/>
        <s v="TASHHAR Phone Case for Samsung Galaxy S23 Plus case,Heavy Duty Hard Shockproof Armor Protector Case Cover with Belt Clip Holster for Samsung S23+ 2023 Phone Case (Black)"/>
        <s v="TASHHAR Phone Case for iPhone 15 Pro Case,Heavy Duty Hard Shockproof Armor Protector Case Cover with Belt Clip Holster for Apple iPhone 15 Pro 6.1 5G 2023 Phone Case (Black+Blue)"/>
        <s v="TASHHAR Phone Case for Samsung Galaxy A51 4G Phone,Heavy Duty Hard Shockproof Armor Protector Case Cover with Belt Clip Holster for Samsung A51 4G 6.5 inch Phone (Black+Orange)"/>
        <s v="TASHHAR Phone Case for Samsung Galaxy A51 4G Phone,Heavy Duty Hard Shockproof Armor Protector Case Cover with Belt Clip Holster for Samsung A51 4G 6.5 inch Phone (Black)"/>
        <s v="TASHHAR Phone Case for Motorola Moto One 5G Ace Phone, Heavy Duty Hard Shockproof Armor Protector Case Cover with Belt Clip Holster for Motorola One 5G Ace 2021 (Black+Orange)"/>
        <s v="TASHHAR Phone Case for Samsung Galaxy S22 Ultra, Heavy Duty Hard Shockproof Armor Protector Case Cover with Belt Clip Holster for Samsung S22 Ultra 5G 6.8-inch (Black+ Orange)"/>
        <s v="TASHHAR Phone Case for iPhone 12 Case, iPhone 12 Pro, Heavy Duty Hard Shockproof Armor Protector Case Cover with Belt Clip Holster for Apple iPhone 12 6.1 2020 Phone Case (Navy Blue)"/>
        <s v="TASHHAR Phone Case for Samsung Galaxy A14 5G case,Heavy Duty Hard Shockproof Armor Protector Case Cover with Belt Clip Holster for Samsung A14 5G 2023 Phone Case (Navy Blue)"/>
        <s v="TASHHAR Phone Case for Samsung Galaxy S23 case,Heavy Duty Hard Shockproof Armor Protector Case Cover with Belt Clip Holster for Samsung S23 2023 Phone Case (Black+Blue)"/>
        <s v="TASHHAR Phone Case for Moto G Stylus 5G 2023 Case,Heavy Duty Hard Shockproof Armor Protector Case Cover with Belt Clip Holster for Moto G Stylus 5G 2023 Phone Case (Black+Orange)"/>
        <s v="TASHHAR Phone Case for iPhone 15 Plus Case,Heavy Duty Hard Shockproof Armor Protector Case Cover with Belt Clip Holster for Apple iPhone 15 Plus 6.7 5G 2023 Phone Case (Black+Orange)"/>
        <s v="TASHHAR Phone Case for Samsung Galaxy A11 Phone, Heavy Duty Hard Shockproof Drop Protection Case with Belt Clip Holster for Samsung A11 (Black&amp;Orange)"/>
        <s v="TASHHAR Phone Case for Motorola Moto One 5G Ace Phone, Heavy Duty Hard Shockproof Armor Protector Case Cover with Belt Clip Holster for Motorola One 5G Ace 2021 (Navy Blue)"/>
        <s v="TASHHAR Phone Case for iPhone 13 Pro Max Phone, Heavy Duty Hard Shockproof Armor Protector Case Cover with Belt Clip Holster for Apple iPhone 13 Pro Max 5G 2021 Phone Case (Green+Yellow)"/>
        <s v="TASHHAR Phone Case for Samsung Galaxy S22 Ultra, Heavy Duty Hard Shockproof Armor Protector Case Cover with Belt Clip Holster for Samsung S22 Ultra 5G 6.8-inch (Black+Blue)"/>
        <s v="TASHHAR Phone Case for iPhone 14 Case,Heavy Duty Hard Shockproof Armor Protector Case Cover with Belt Clip Holster for Apple iPhone 14 6.1 5G 2022 Phone Case (Black+Orange)"/>
        <s v="TASHHAR Phone Case for iPhone 14 Pro Max Case,Heavy Duty Hard Shockproof Armor Protector Case Cover with Belt Clip Holster for Apple iPhone 14 Pro Max 6.7 5G 2022 Phone Case (Green+Yellow)"/>
        <s v="TASHHAR Phone Case for Samsung Galaxy S23 Plus case,Heavy Duty Hard Shockproof Armor Protector Case Cover with Belt Clip Holster for Samsung S23+ 2023 Phone Case (Black+Orange)"/>
        <s v="TASHHAR Phone Case for Samsung Galaxy S23 Ultra case,Heavy Duty Hard Shockproof Armor Protector Case Cover with Belt Clip Holster for Samsung S23 Ultra 2023 Phone Case (Black+Blue)"/>
        <s v="TASHHAR Phone Case for Samsung Galaxy S23 Plus case,Heavy Duty Hard Shockproof Armor Protector Case Cover with Belt Clip Holster for Samsung S23+ 2023 Phone Case (Black+Blue)"/>
        <s v="TASHHAR Phone Case for Moto G Stylus 5G 2023 Case,Heavy Duty Hard Shockproof Armor Protector Case Cover with Belt Clip Holster for Moto G Stylus 5G 2023 Phone Case (Black)"/>
        <s v="TASHHAR Phone Case for iPhone 15 Plus Case,Heavy Duty Hard Shockproof Armor Protector Case Cover with Belt Clip Holster for Apple iPhone 15 Plus 6.7 5G 2023 Phone Case (Navy Blue)"/>
        <s v="TASHHAR Phone Case for Google Pixel 8 Case,Heavy Duty Hard Shockproof Armor Protector Case Cover with Belt Clip Holster for Google Pixel 8 2023Phone Case (Black+Orange)"/>
        <s v="TASHHAR Phone Case for Google Pixel 8 Pro Case,Heavy Duty Hard Shockproof Armor Protector Case Cover with Belt Clip Holster for Google Pixel 8 Pro 2023 Phone Case (Green+Yellow)"/>
        <s v="TASHHAR Phone Case for Samsung Galaxy A71 5G, Heavy Duty Hard Shockproof Armor Protector Case Cover with Belt Clip Holster for Samsung A71 5G 6.7 inch Phone (Navy Blue)"/>
        <s v="TASHHAR Phone Case for LG K51 Case,LG Q51/LG Reflect Case, Heavy Duty Hard Shockproof Armor Protector Case Cover with Belt Clip Holster for LG K51 (Black+Orange)"/>
        <s v="TASHHAR Phone Case for Samsung Galaxy A02S, Heavy Duty Hard Shockproof Armor Protector Case Cover with Belt Clip Holster for Samsung A02S Phone Case (Black)"/>
        <s v="TASHHAR Phone Case for Samsung Galaxy S23 Ultra case,Heavy Duty Hard Shockproof Armor Protector Case Cover with Belt Clip Holster for Samsung S23 Ultra 2023 Phone Case (Black+Orange)"/>
        <s v="TASHHAR Phone Case for Samsung Galaxy S23 case,Heavy Duty Hard Shockproof Armor Protector Case Cover with Belt Clip Holster for Samsung S23 2023 Phone Case (Black)"/>
        <s v="TASHHAR Phone Case for Motorola Moto G Fast Case,Heavy Duty Hard Shockproof Armor Protective Case Cover with Belt Clip Holster for Motorola G Fast 2020 Phone (Navy Blue)"/>
        <s v="TASHHAR Phone Case for Moto G Stylus 5G 2023 Case,Heavy Duty Hard Shockproof Armor Protector Case Cover with Belt Clip Holster for Moto G Stylus 5G 2023 Phone Case (Black+Blue)"/>
        <s v="TASHHAR Phone Case for iPhone 15 Case,Heavy Duty Hard Shockproof Armor Protector Case Cover with Belt Clip Holster for Apple iPhone 15 6.1 5G 2023 Phone Case (Orange)"/>
        <s v="TASHHAR Phone Case for iPhone 15 Case,Heavy Duty Hard Shockproof Armor Protector Case Cover with Belt Clip Holster for Apple iPhone 15 6.1 5G 2023 Phone Case(Black+Blue)"/>
        <s v="TASHHAR Phone Case for iPhone 15 Pro Max Case,Heavy Duty Hard Shockproof Armor Protector Case Cover with Belt Clip Holster for Apple iPhone 15 Pro Max 6.7 5G 2023 Phone Case(Navy Blue)"/>
        <s v="TASHHAR Phone Case for Google Pixel 8 Pro Case,Heavy Duty Hard Shockproof Armor Protector Case Cover with Belt Clip Holster for Google Pixel 8 Pro 2023 Phone Case (Navy)"/>
        <s v="TASHHAR Phone Case for Samsung Galaxy A11 Phone, Heavy Duty Hard Shockproof Drop Protection Case with Belt Clip Holster for Samsung A11 (Black)"/>
        <s v="TASHHAR Phone Case for Samsung Galaxy A32 5G, Heavy Duty Hard Shockproof Armor Protector Case Cover with Belt Clip Holster for Samsung A32 5G Phone (Black+Orange)"/>
        <s v="TASHHAR Phone Case for Samsung Galaxy A32 5G, Heavy Duty Hard Shockproof Armor Protector Case Cover with Belt Clip Holster for Samsung A32 5G Phone (Navy Blue)"/>
        <s v="TASHHAR Phone Case for Samsung Galaxy S22 Ultra, Heavy Duty Hard Shockproof Armor Protector Case Cover with Belt Clip Holster for Samsung S22 Ultra 5G 6.8-inch (Black)"/>
        <s v="TASHHAR Phone Case for iPhone 14 Pro Case,Heavy Duty Hard Shockproof Armor Protector Case Cover with Belt Clip Holster for Apple iPhone 14 Pro 6.1 5G 2022 Phone Case (Black+Blue)"/>
        <s v="TASHHAR Phone Case for Samsung Galaxy S23 Ultra case,Heavy Duty Hard Shockproof Armor Protector Case Cover with Belt Clip Holster for Samsung S23 Ultra 2023 Phone Case (Black)"/>
        <s v="TASHHAR Shockproof Phone Case for Motorola Moto G Power 2023 with Belt Clip Holster, 3 in 1 Heavy Duty Rugged Full-Body Protective Case Military Grade Cell Phone Cover with Kickstand(Black)"/>
        <s v="TASHHAR Phone Case for iPhone 15 Case,Heavy Duty Hard Shockproof Armor Protector Case Cover with Belt Clip Holster for Apple iPhone 15 6.1 5G 2023 Phone Case (Black)"/>
        <s v="TASHHAR Phone Case for iPhone 15 Case,Heavy Duty Hard Shockproof Armor Protector Case Cover with Belt Clip Holster for Apple iPhone 15 6.1 5G 2023 Phone Case (Green+Yellow)"/>
        <s v="TASHHAR Phone Case for iPhone 15 Pro Case,Heavy Duty Hard Shockproof Armor Protector Case Cover with Belt Clip Holster for Apple iPhone 15 Pro 6.1 5G 2023 Phone Case (Green+Yellow)"/>
        <s v="TASHHAR Phone Case for iPhone 15 Plus Case,Heavy Duty Hard Shockproof Armor Protector Case Cover with Belt Clip Holster for Apple iPhone 15 Plus 6.7 5G 2023 Phone Case (Black+Blue)"/>
        <s v="TASHHAR Phone Case for iPhone 15 Pro Max Case,Heavy Duty Hard Shockproof Armor Protector Case Cover with Belt Clip Holster for Apple iPhone 15 Pro Max 6.7 5G 2023 Phone Case(Green+Yellow)"/>
        <s v="TASHHAR Phone Case for Samsung Galaxy A12 5G Phone, Heavy Duty Hard Shockproof Armor Protector Case Cover with Belt Clip Holster for Samsung A12 5G (Black+Orange)"/>
        <s v="TASHHAR Phone Case for Samsung Galaxy A12 5G Phone, Heavy Duty Hard Shockproof Armor Protector Case Cover with Belt Clip Holster for Samsung A12 5G (Navy Blue)"/>
        <s v="TASHHAR Phone Case for Motorola Moto G Stylus 5G Phone, Heavy Duty Hard Shockproof Armor Protector Case Cover with Belt Clip Holster for Motorola G Stylus 5G 2021 (Navy Blue)"/>
        <s v="TASHHAR Phone Case for iPhone 13 Case, Heavy Duty Hard Shockproof Armor Protector Case Cover with Belt Clip Holster for Apple iPhone 13 6.1 5G 2021 Phone Case (Green+Yellow)"/>
        <s v="TASHHAR Phone Case for iPhone 13 Case, Heavy Duty Hard Shockproof Armor Protector Case Cover with Belt Clip Holster for Apple iPhone 13 6.1 5G 2021 Phone Case (Navy Blue)"/>
        <s v="TASHHAR Phone Case for Samsung Galaxy A02S, Heavy Duty Hard Shockproof Armor Protector Case Cover with Belt Clip Holster for Samsung A02S Phone Case (Black+Orange)"/>
        <s v="TASHHAR Phone Case for Samsung Galaxy S22 Ultra, Heavy Duty Hard Shockproof Armor Protector Case Cover with Belt Clip Holster for Samsung S22 Ultra 5G 6.8-inch (Navy Blue)"/>
        <s v="TASHHAR Phone Case for iPhone 14 Case,Heavy Duty Hard Shockproof Armor Protector Case Cover with Belt Clip Holster for Apple iPhone 14 6.1 5G 2022 Phone Case (Navy Blue)"/>
        <s v="TASHHAR Phone Case for iPhone 14 Case,Heavy Duty Hard Shockproof Armor Protector Case Cover with Belt Clip Holster for Apple iPhone 14 6.1 5G 2022 Phone Case (Green+Yellow)"/>
        <s v="TASHHAR Phone Case for iPhone 14 Plus Case,Heavy Duty Hard Shockproof Armor Protector Case Cover with Belt Clip Holster for Apple iPhone 14 Plus 6.7 5G 2022 Phone Case (Navy Blue)"/>
        <s v="TASHHAR Phone Case for iPhone 14 Pro Case,Heavy Duty Hard Shockproof Armor Protector Case Cover with Belt Clip Holster for Apple iPhone 14 Pro 6.1 5G 2022 Phone Case (Black+Orange)"/>
        <s v="TASHHAR Phone Case for iPhone 14 Pro Case,Heavy Duty Hard Shockproof Armor Protector Case Cover with Belt Clip Holster for Apple iPhone 14 Pro 6.1 5G 2022 Phone Case (Navy Blue)"/>
        <s v="TASHHAR Phone Case for iPhone 14 Plus Case,Heavy Duty Hard Shockproof Armor Protector Case Cover with Belt Clip Holster for Apple iPhone 14 Plus 6.7 5G 2022 Phone Case (Green+Yellow)"/>
        <s v="TASHHAR Phone Case for LG Stylo 5, LG Stylo 5 Plus/LG Stylo 5V Case,Heavy Duty Hard Shockproof Armor Protector Case Cover with Belt Clip Holster for LG Stylo 5 (Navy Blue)"/>
        <s v="TASHHAR Phone Case for Samsung Galaxy A54 5G case,Heavy Duty Hard Shockproof Armor Protector Case Cover with Belt Clip Holster for Samsung A54 5G 2023 Phone Case (Black+Blue)"/>
        <s v="TASHHAR Phone Case for Samsung Galaxy A54 5G case,Heavy Duty Hard Shockproof Armor Protector Case Cover with Belt Clip Holster for Samsung A54 5G 2023 Phone Case (Black)"/>
        <s v="TASHHAR Phone Case for Samsung Galaxy A54 5G case,Heavy Duty Hard Shockproof Armor Protector Case Cover with Belt Clip Holster for Samsung A54 5G 2023 Phone Case (Navy Blue)"/>
        <s v="TASHHAR Phone Case for Samsung Galaxy S23 Ultra case,Heavy Duty Hard Shockproof Armor Protector Case Cover with Belt Clip Holster for Samsung S23 Ultra 2023 Phone Case (Navy Blue)"/>
        <s v="TASHHAR Phone Case for Motorola Moto G Stylus 2021 Case, Heavy Duty Hard Shockproof Armor Protector Case Cover with Belt Clip Holster for Motorola G Stylus 2021 Phone (Navy Blue)"/>
        <s v="TASHHAR Phone Case for Motorola Moto G Power 2021 Case, Heavy Duty Hard Shockproof Armor Protector Case Cover with Belt Clip Holster for Motorola G Power 2021 Phone (Navy Blue)"/>
        <s v="TASHHAR Phone Case for Motorola Moto G Power 2021 Case, Heavy Duty Hard Shockproof Armor Protector Case Cover with Belt Clip Holster for Motorola G Power 2021 Phone (Black+Orange)"/>
        <s v="TASHHAR Phone Case for Samsung Galaxy S23 case,Heavy Duty Hard Shockproof Armor Protector Case Cover with Belt Clip Holster for Samsung S23 2023 Phone Case (Black+Orange)"/>
        <s v="TASHHAR Phone Case for Samsung Galaxy A01 Phone, Heavy Duty Hard Shockproof Armor Protector Case Cover with Belt Clip Holster for Samsung A01 Phone Case (Black+Orange)"/>
        <s v="TASHHAR Shockproof Phone Case for Motorola Moto G Stylus 2022 4G 2022 with Belt Clip Holster, 3 in 1 Heavy Duty Rugged Full-Body Protective Case Cell Phone Cover with Kickstand (Black+Blue)"/>
        <s v="Shockproof Phone Case for Motorola Moto G Play 2021 with Belt Clip Holster, 3 in 1 Heavy Duty Rugged Full-Body Protective Case Military Grade Cell Phone Cover with Kickstand &amp; Holster (Black+Orange)"/>
        <s v="TASHHAR Shockproof Phone Case for Samsung Galaxy A52 with Belt Clip Holster, 3 in 1 Heavy Duty Rugged Full-Body Protective Case Military Grade Cell Phone Cover with Kickstand (Orange+Black)"/>
        <s v="TASHHAR Shockproof Phone Case for Motorola Moto G Power 2022 with Belt Clip Holster, 3 in 1 Heavy Duty Rugged Full-Body Protective Case Military Grade Cell Phone Cover with Kickstand (Black)"/>
        <s v="TASHHAR Shockproof Phone Case for Motorola Moto G Power 2023 with Belt Clip Holster, 3 in 1 Heavy Duty Rugged Full-Body Protective Case Military Grade Cell Phone Cover with Kickstand(Orange+Black)"/>
        <s v="TASHHAR Phone Case for Samsung Galaxy A24 4G case,Heavy Duty Hard Shockproof Armor Protector Case Cover with Belt Clip Holster for Samsung A24 4G 2023 Phone Case (Black+Orange)"/>
        <s v="TASHHAR Phone Case for Samsung Galaxy A24 4G case,Heavy Duty Hard Shockproof Armor Protector Case Cover with Belt Clip Holster for Samsung A24 4G 2023 Phone Case (Black)"/>
        <s v="TASHHAR Phone Case for iPhone 15 Pro Case,Heavy Duty Hard Shockproof Armor Protector Case Cover with Belt Clip Holster for Apple iPhone 15 Pro 6.1 5G 2023 Phone Case (Black+Orange)"/>
        <s v="TASHHAR Phone Case for iPhone 15 Case,Heavy Duty Hard Shockproof Armor Protector Case Cover with Belt Clip Holster for Apple iPhone 15 6.1 5G 2023 Phone Case (Navy Blue)"/>
        <s v="TASHHAR Phone Case for iPhone 15 Pro Case,Heavy Duty Hard Shockproof Armor Protector Case Cover with Belt Clip Holster for Apple iPhone 15 Pro 6.1 5G 2023 Phone Case (Navy Blue)"/>
        <s v="TASHHAR Phone Case for iPhone 15 Plus Case,Heavy Duty Hard Shockproof Armor Protector Case Cover with Belt Clip Holster for Apple iPhone 15 Plus 6.7 5G 2023 Phone Case (Green+Yellow)"/>
        <s v="TASHHAR Phone Case for Google Pixel 8 Case,Heavy Duty Hard Shockproof Armor Protector Case Cover with Belt Clip Holster for Google Pixel 8 2023Phone Case (Black+Blue)"/>
        <s v="TASHHAR Phone Case for iPhone 14 Pro Max Case,Heavy Duty Hard Shockproof Armor Protector Case Cover with Belt Clip Holster for Apple iPhone 14 Pro Max 5G 2022 Phone Case (Black)"/>
        <s v="TATASHHAR Phone Case for Samsung Galaxy A21 Phone, Heavy Duty Hard Shockproof Armor Protector Case Cover with Belt Clip Holster for Samsung A21 (Black)"/>
        <s v="TASHHAR Phone Case for iPhone 14 Pro Max Case,Heavy Duty Hard Shockproof Armor Protector Case Cover with Belt Clip Holster for Apple iPhone 14 Pro Max 5G 2022 Phone Case (Black+Orange)"/>
        <m/>
      </sharedItems>
    </cacheField>
    <cacheField name="SKU" numFmtId="0">
      <sharedItems containsBlank="1" count="128">
        <s v="Y7013-BL+Y7021+Y7017"/>
        <s v="Y73475-BL+Y72615+Y73478"/>
        <s v="Y7075-BL+Y7076+Y7077"/>
        <s v="Y7022-BL+Y7024+Y7023"/>
        <s v="Y7010-BL+Y7018+Y7014"/>
        <s v="Y73475-BB+Y72615+Y73478"/>
        <s v="Y7013-BU+Y7021+Y7017"/>
        <s v="Y72612-BL+Y72615+Y72636"/>
        <s v="Y73475-OR+Y72615+Y73478"/>
        <s v="Y7069-BL+Y7070+Y7071"/>
        <s v="Y72454-BL+Y72455+Y72511"/>
        <s v="Y72611-OR+Y72614+Y72635"/>
        <s v="Y72454-OR+Y72455+Y72511"/>
        <s v="Y7086-BL+Y7087"/>
        <s v="Y7013-DB+Y7021+Y7017"/>
        <s v="Y72648-BL+Y72649+Y72381"/>
        <s v="Y72611-BL+Y72614+Y72635"/>
        <s v="Y7010-BU+Y7018+Y7014"/>
        <s v="Y7011-BL+Y7019+Y7015"/>
        <s v="Y7013-OR+Y7021+Y7017"/>
        <s v="Y7075-BU+Y7076+Y7077"/>
        <s v="Y72612-OR+Y72615+Y72636"/>
        <s v="Y7022-OR+Y7024+Y7023"/>
        <s v="Y72648-OR+Y72649+Y72381"/>
        <s v="Y72612-DB+Y72615+Y72636"/>
        <s v="Y73475-DB+Y72615+Y73478"/>
        <s v="Y7075-OR+Y7076+Y7077"/>
        <s v="Y7086-BU+Y7087"/>
        <s v="Y72488-DB+Y72490+Y72380"/>
        <s v="Y73189-BL+Y73190+Y73270"/>
        <s v="Y7012-BL+Y7020+Y7016"/>
        <s v="Y7022-BU+Y7024+Y7023"/>
        <s v="Y7072-BL+Y7073+Y7074"/>
        <s v="Y7086-OR+Y7087"/>
        <s v="Y72454-DB+Y72455+Y72511"/>
        <s v="Y7012-OR+Y7020+Y7016"/>
        <s v="Y7012-BU+Y7020+Y7016"/>
        <s v="Y7028-BL+Y7029+Y7030"/>
        <s v="Y7069-BU+Y7070+Y7071"/>
        <s v="Y72488-OR+Y72490+Y72380"/>
        <s v="Y72488-BL+Y72490+Y72380"/>
        <s v="Y73189-OR+Y73190+Y73270"/>
        <s v="Y7002-OR+Y7005"/>
        <s v="Y72611-DB+Y72614+Y72635"/>
        <s v="Y7022-DB+Y7024+Y7023"/>
        <s v="Y7025-BU+Y7027+Y7026"/>
        <s v="Y7063-OR+Y7064+Y7065"/>
        <s v="Y7072-OR+Y7073+Y7074-1"/>
        <s v="Y72563-OR+Y72564+Y72571"/>
        <s v="Y73189-DB+Y73190+Y73270"/>
        <s v="Y73475-GR+Y72615+Y73478"/>
        <s v="Y7002-BB+Y7005"/>
        <s v="Y7010-OR+Y7018+Y7014"/>
        <s v="Y7013-GE+Y7021+Y7017"/>
        <s v="Y7028-OR+Y7029+Y7030"/>
        <s v="Y7031-BU+Y7032"/>
        <s v="Y7028-BU+Y7029+Y7030"/>
        <s v="Y7063-BL+Y7064+Y7065"/>
        <s v="Y7072-DB+Y7073+Y7074"/>
        <s v="Y7084-OR+Y7085"/>
        <s v="Y7086-GE+Y7087"/>
        <s v="Y72648-NB+Y72649+Y72381"/>
        <s v="Y72431-OR+Y72433+Y72531"/>
        <s v="Y73040-BL+Y73045+Y73063"/>
        <s v="Y7031-OR+Y7032"/>
        <s v="Y7025-BL+Y7027+Y7026"/>
        <s v="Y72691-DB+Y72692+Y72758"/>
        <s v="Y7063-BU+Y7064+Y7065"/>
        <s v="Y7066-OR+Y7067+Y7068"/>
        <s v="Y7066-BU+Y7067+Y7068"/>
        <s v="Y7075-DB+Y7076+Y7077"/>
        <s v="Y7086-DB+Y7087"/>
        <s v="Y72563-BL+Y72564+Y72571"/>
        <s v="Y73230-OR+Y73231+Y73240"/>
        <s v="Y73230-DB+Y73231+Y73240"/>
        <s v="Y7002-BL+Y7005"/>
        <s v="Y7011-BU+Y7019+Y7015"/>
        <s v="Y7031-BL+Y7032"/>
        <s v="Y7036-BL-ZH"/>
        <s v="Y7066-BL+Y7067+Y7068"/>
        <s v="Y7066-GE+Y7067+Y7068"/>
        <s v="Y7069-GE+Y7070+Y7071"/>
        <s v="Y7072-BU+Y7073+Y7074"/>
        <s v="Y7075-GE+Y7076+Y7077"/>
        <s v="Y73106-OR+Y73109+Y73112"/>
        <s v="0A-93V1-DOX1"/>
        <s v="Y73452-DB+Y73456+Y73457"/>
        <s v="Y73473-GR+Y72614+Y73476"/>
        <s v="Y73473-DB+Y72614+Y73476"/>
        <s v="Y73040-OR+Y73045+Y73063"/>
        <s v="Y7002-DB+Y7005"/>
        <s v="Y7010-DB+Y7018+Y7014"/>
        <s v="Y7010-GE+Y7018+Y7014"/>
        <s v="Y7012-DB+Y7020+Y7016"/>
        <s v="Y7011-OR+Y7019+Y7015"/>
        <s v="Y7011-DB+Y7019+Y7015"/>
        <s v="Y7012-GE+Y7020+Y7016"/>
        <s v="Y72000-DB+Y72013+Y72749"/>
        <s v="Y7033-BU+Y7034"/>
        <s v="Y7033-BL+Y7034"/>
        <s v="Y7033-DB+Y7034"/>
        <s v="Y7031-DB+Y7032"/>
        <s v="Y73133-DB+Y73136+Y73267"/>
        <s v="Y73134-DB+Y03137+Y73268"/>
        <s v="Y73134-OR+Y03137+Y73268"/>
        <s v="Y7025-OR+Y7027+Y7026"/>
        <s v="Y72559-OR+Y72560+Y72399"/>
        <s v="Y7001-BB-ZH"/>
        <s v="Y73135-OR-ZH"/>
        <s v="Y73153-OR-ZH"/>
        <s v="9V-B8EY-M096"/>
        <s v="Y7036-OR-ZH"/>
        <s v="Y7039-OR+Y7040+Y7041"/>
        <s v="Y7039-BL+Y7040+Y7041"/>
        <s v="Y7069-OR+Y7070+Y7071"/>
        <s v="Y7066-DB+Y7067+Y7068"/>
        <s v="Y7069-DB+Y7070+Y7071"/>
        <s v="Y7072-OR+Y7073+Y7074"/>
        <s v="Y7072-GE+Y7073+Y7074"/>
        <s v="Y7084-BU+Y7085"/>
        <s v="Y7051-BL+Y7055+Y7059"/>
        <s v="Y7053-DB+Y7057+Y7061"/>
        <s v="Y7053-OR+Y7057+Y7061"/>
        <s v="Y7051-OR+Y7055+Y7059"/>
        <s v="Y7053-BL+Y7057+Y7061"/>
        <s v="Y7045-OR+Y7046+Y7047"/>
        <s v="Y7045-BL+Y7046+Y7047"/>
        <m/>
      </sharedItems>
    </cacheField>
    <cacheField name="会话次数 – 总计" numFmtId="0">
      <sharedItems containsString="0" containsBlank="1" containsNumber="1" containsInteger="1" minValue="0" maxValue="952" count="75">
        <n v="952"/>
        <n v="453"/>
        <n v="464"/>
        <n v="205"/>
        <n v="112"/>
        <n v="192"/>
        <n v="154"/>
        <n v="98"/>
        <n v="171"/>
        <n v="141"/>
        <n v="94"/>
        <n v="164"/>
        <n v="126"/>
        <n v="129"/>
        <n v="78"/>
        <n v="122"/>
        <n v="114"/>
        <n v="87"/>
        <n v="169"/>
        <n v="142"/>
        <n v="136"/>
        <n v="57"/>
        <n v="80"/>
        <n v="105"/>
        <n v="121"/>
        <n v="26"/>
        <n v="59"/>
        <n v="41"/>
        <n v="55"/>
        <n v="147"/>
        <n v="46"/>
        <n v="54"/>
        <n v="128"/>
        <n v="40"/>
        <n v="61"/>
        <n v="63"/>
        <n v="64"/>
        <n v="53"/>
        <n v="36"/>
        <n v="28"/>
        <n v="104"/>
        <n v="116"/>
        <n v="15"/>
        <n v="73"/>
        <n v="14"/>
        <n v="99"/>
        <n v="52"/>
        <n v="24"/>
        <n v="12"/>
        <n v="20"/>
        <n v="22"/>
        <n v="10"/>
        <n v="37"/>
        <n v="17"/>
        <n v="27"/>
        <n v="19"/>
        <n v="48"/>
        <n v="8"/>
        <n v="21"/>
        <n v="29"/>
        <n v="51"/>
        <n v="5"/>
        <n v="16"/>
        <n v="18"/>
        <n v="23"/>
        <n v="32"/>
        <n v="35"/>
        <n v="3"/>
        <n v="7"/>
        <n v="33"/>
        <n v="11"/>
        <n v="4"/>
        <n v="2"/>
        <n v="84"/>
        <m/>
      </sharedItems>
    </cacheField>
    <cacheField name="会话次数 – 总计 – B2B" numFmtId="0">
      <sharedItems containsString="0" containsBlank="1" containsNumber="1" containsInteger="1" minValue="0" maxValue="15" count="10">
        <n v="15"/>
        <n v="3"/>
        <n v="11"/>
        <n v="5"/>
        <n v="2"/>
        <n v="1"/>
        <n v="4"/>
        <n v="0"/>
        <n v="8"/>
        <m/>
      </sharedItems>
    </cacheField>
    <cacheField name="会话百分比 – 总计" numFmtId="0">
      <sharedItems containsString="0" containsBlank="1" containsNumber="1" minValue="0" maxValue="0.2469" count="84">
        <n v="0.115"/>
        <n v="0.0547"/>
        <n v="0.056"/>
        <n v="0.0248"/>
        <n v="0.0135"/>
        <n v="0.0232"/>
        <n v="0.0186"/>
        <n v="0.0118"/>
        <n v="0.0207"/>
        <n v="0.017"/>
        <n v="0.0114"/>
        <n v="0.0198"/>
        <n v="0.0152"/>
        <n v="0.0156"/>
        <n v="0.0094"/>
        <n v="0.0147"/>
        <n v="0.0138"/>
        <n v="0.0105"/>
        <n v="0.0204"/>
        <n v="0.0171"/>
        <n v="0.0164"/>
        <n v="0.0069"/>
        <n v="0.0097"/>
        <n v="0.0127"/>
        <n v="0.0146"/>
        <n v="0.0031"/>
        <n v="0.0071"/>
        <n v="0.005"/>
        <n v="0.0066"/>
        <n v="0.0178"/>
        <n v="0.0056"/>
        <n v="0.0065"/>
        <n v="0.0155"/>
        <n v="0.0048"/>
        <n v="0.0074"/>
        <n v="0.0076"/>
        <n v="0.0077"/>
        <n v="0.0064"/>
        <n v="0.0043"/>
        <n v="0.0034"/>
        <n v="0.0126"/>
        <n v="0.014"/>
        <n v="0.0018"/>
        <n v="0.0088"/>
        <n v="0.0017"/>
        <n v="0.012"/>
        <n v="0.0063"/>
        <n v="0.0029"/>
        <n v="0.0014"/>
        <n v="0.0024"/>
        <n v="0.0027"/>
        <n v="0.0012"/>
        <n v="0.0045"/>
        <n v="0.0021"/>
        <n v="0.0033"/>
        <n v="0.0023"/>
        <n v="0.0058"/>
        <n v="0.001"/>
        <n v="0.0025"/>
        <n v="0.0035"/>
        <n v="0.0062"/>
        <n v="0.0006"/>
        <n v="0.0019"/>
        <n v="0.0022"/>
        <n v="0.0028"/>
        <n v="0.0039"/>
        <n v="0.0042"/>
        <n v="0.0004"/>
        <n v="0.0008"/>
        <n v="0.004"/>
        <n v="0.0013"/>
        <n v="0.0005"/>
        <n v="0.0002"/>
        <n v="0.0101"/>
        <n v="0.1481"/>
        <n v="0.216"/>
        <n v="0.0494"/>
        <n v="0.0123"/>
        <n v="0.1111"/>
        <n v="0.2469"/>
        <n v="0.0617"/>
        <n v="0.0432"/>
        <n v="0.0185"/>
        <m/>
      </sharedItems>
    </cacheField>
    <cacheField name="会话百分比 – 总计 – B2B" numFmtId="0">
      <sharedItems containsString="0" containsBlank="1" containsNumber="1" minValue="0" maxValue="0.3333" count="11">
        <n v="0.1042"/>
        <n v="0.0208"/>
        <n v="0.0764"/>
        <n v="0.0347"/>
        <n v="0.0139"/>
        <n v="0.0069"/>
        <n v="0.0278"/>
        <n v="0"/>
        <n v="0.0556"/>
        <n v="0.3333"/>
        <m/>
      </sharedItems>
    </cacheField>
    <cacheField name="页面浏览量 – 总计" numFmtId="0">
      <sharedItems containsString="0" containsBlank="1" containsNumber="1" containsInteger="1" minValue="0" maxValue="1412" count="91">
        <n v="1412"/>
        <n v="658"/>
        <n v="701"/>
        <n v="285"/>
        <n v="171"/>
        <n v="267"/>
        <n v="203"/>
        <n v="148"/>
        <n v="239"/>
        <n v="214"/>
        <n v="138"/>
        <n v="237"/>
        <n v="162"/>
        <n v="133"/>
        <n v="157"/>
        <n v="114"/>
        <n v="175"/>
        <n v="160"/>
        <n v="122"/>
        <n v="220"/>
        <n v="181"/>
        <n v="232"/>
        <n v="210"/>
        <n v="184"/>
        <n v="100"/>
        <n v="93"/>
        <n v="139"/>
        <n v="172"/>
        <n v="27"/>
        <n v="82"/>
        <n v="71"/>
        <n v="51"/>
        <n v="79"/>
        <n v="192"/>
        <n v="56"/>
        <n v="67"/>
        <n v="180"/>
        <n v="52"/>
        <n v="86"/>
        <n v="106"/>
        <n v="38"/>
        <n v="90"/>
        <n v="65"/>
        <n v="50"/>
        <n v="137"/>
        <n v="147"/>
        <n v="31"/>
        <n v="91"/>
        <n v="16"/>
        <n v="32"/>
        <n v="113"/>
        <n v="74"/>
        <n v="23"/>
        <n v="84"/>
        <n v="35"/>
        <n v="24"/>
        <n v="28"/>
        <n v="19"/>
        <n v="46"/>
        <n v="17"/>
        <n v="48"/>
        <n v="26"/>
        <n v="87"/>
        <n v="66"/>
        <n v="11"/>
        <n v="15"/>
        <n v="29"/>
        <n v="40"/>
        <n v="25"/>
        <n v="73"/>
        <n v="21"/>
        <n v="33"/>
        <n v="7"/>
        <n v="14"/>
        <n v="22"/>
        <n v="34"/>
        <n v="41"/>
        <n v="5"/>
        <n v="10"/>
        <n v="3"/>
        <n v="37"/>
        <n v="4"/>
        <n v="2"/>
        <n v="20"/>
        <n v="111"/>
        <n v="39"/>
        <n v="47"/>
        <n v="63"/>
        <n v="13"/>
        <n v="8"/>
        <m/>
      </sharedItems>
    </cacheField>
    <cacheField name="页面浏览量 – 总计 – B2B" numFmtId="0">
      <sharedItems containsString="0" containsBlank="1" containsNumber="1" containsInteger="1" minValue="0" maxValue="19" count="14">
        <n v="19"/>
        <n v="3"/>
        <n v="13"/>
        <n v="10"/>
        <n v="2"/>
        <n v="1"/>
        <n v="5"/>
        <n v="0"/>
        <n v="7"/>
        <n v="8"/>
        <n v="4"/>
        <n v="11"/>
        <n v="6"/>
        <m/>
      </sharedItems>
    </cacheField>
    <cacheField name="页面浏览量百分比 – 总计" numFmtId="0">
      <sharedItems containsString="0" containsBlank="1" containsNumber="1" minValue="0" maxValue="0.2636" count="89">
        <n v="0.123"/>
        <n v="0.0573"/>
        <n v="0.061"/>
        <n v="0.0248"/>
        <n v="0.0149"/>
        <n v="0.0233"/>
        <n v="0.0177"/>
        <n v="0.0129"/>
        <n v="0.0208"/>
        <n v="0.0186"/>
        <n v="0.012"/>
        <n v="0.0206"/>
        <n v="0.0141"/>
        <n v="0.0116"/>
        <n v="0.0137"/>
        <n v="0.0099"/>
        <n v="0.0152"/>
        <n v="0.0139"/>
        <n v="0.0106"/>
        <n v="0.0192"/>
        <n v="0.0158"/>
        <n v="0.0202"/>
        <n v="0.0183"/>
        <n v="0.016"/>
        <n v="0.0087"/>
        <n v="0.0081"/>
        <n v="0.0121"/>
        <n v="0.015"/>
        <n v="0.0024"/>
        <n v="0.0071"/>
        <n v="0.0062"/>
        <n v="0.0044"/>
        <n v="0.0069"/>
        <n v="0.0167"/>
        <n v="0.0049"/>
        <n v="0.0058"/>
        <n v="0.0157"/>
        <n v="0.0045"/>
        <n v="0.0075"/>
        <n v="0.0092"/>
        <n v="0.0033"/>
        <n v="0.0078"/>
        <n v="0.0057"/>
        <n v="0.0119"/>
        <n v="0.0128"/>
        <n v="0.0027"/>
        <n v="0.0079"/>
        <n v="0.0014"/>
        <n v="0.0028"/>
        <n v="0.0098"/>
        <n v="0.0064"/>
        <n v="0.002"/>
        <n v="0.0073"/>
        <n v="0.003"/>
        <n v="0.0021"/>
        <n v="0.0017"/>
        <n v="0.004"/>
        <n v="0.0015"/>
        <n v="0.0042"/>
        <n v="0.0023"/>
        <n v="0.0076"/>
        <n v="0.001"/>
        <n v="0.0013"/>
        <n v="0.0025"/>
        <n v="0.0035"/>
        <n v="0.0022"/>
        <n v="0.0018"/>
        <n v="0.0029"/>
        <n v="0.0006"/>
        <n v="0.0012"/>
        <n v="0.0019"/>
        <n v="0.0036"/>
        <n v="0.0004"/>
        <n v="0.0009"/>
        <n v="0.0003"/>
        <n v="0.0032"/>
        <n v="0.0002"/>
        <n v="0.0097"/>
        <n v="0.1632"/>
        <n v="0.1967"/>
        <n v="0.046"/>
        <n v="0.0084"/>
        <n v="0.0418"/>
        <n v="0.1213"/>
        <n v="0.2636"/>
        <n v="0.0544"/>
        <n v="0.0335"/>
        <n v="0.0293"/>
        <m/>
      </sharedItems>
    </cacheField>
    <cacheField name="页面浏览量百分比 – 总计 – B2B" numFmtId="0">
      <sharedItems containsString="0" containsBlank="1" containsNumber="1" minValue="0" maxValue="0.4286" count="16">
        <n v="0.095"/>
        <n v="0.015"/>
        <n v="0.065"/>
        <n v="0.05"/>
        <n v="0.01"/>
        <n v="0.005"/>
        <n v="0.025"/>
        <n v="0"/>
        <n v="0.035"/>
        <n v="0.04"/>
        <n v="0.02"/>
        <n v="0.055"/>
        <n v="0.03"/>
        <n v="0.2857"/>
        <n v="0.4286"/>
        <m/>
      </sharedItems>
    </cacheField>
    <cacheField name="推荐报价（购买按钮）百分比" numFmtId="0">
      <sharedItems containsString="0" containsBlank="1" containsNumber="1" minValue="0" maxValue="1" count="33">
        <n v="0.9964"/>
        <n v="0.9969"/>
        <n v="0.9985"/>
        <n v="0.9926"/>
        <n v="0.9877"/>
        <n v="1"/>
        <n v="0.9899"/>
        <n v="0.993"/>
        <n v="0.9901"/>
        <n v="0.9924"/>
        <n v="0.9932"/>
        <n v="0.9957"/>
        <n v="0.9694"/>
        <n v="0.9764"/>
        <n v="0.92"/>
        <n v="0.9841"/>
        <n v="0.9792"/>
        <n v="0.9944"/>
        <n v="0.9773"/>
        <n v="0.9905"/>
        <n v="0.8197"/>
        <n v="0.9787"/>
        <n v="0.9852"/>
        <n v="0.9231"/>
        <n v="0.8846"/>
        <n v="0.975"/>
        <n v="0.9"/>
        <n v="0.6923"/>
        <n v="0.75"/>
        <n v="0.4"/>
        <n v="0.9412"/>
        <n v="0.9833"/>
        <m/>
      </sharedItems>
    </cacheField>
    <cacheField name="推荐报价（购买按钮）百分比 – B2B" numFmtId="0">
      <sharedItems containsString="0" containsBlank="1" containsNumber="1" minValue="0" maxValue="1" count="4">
        <n v="1"/>
        <n v="0"/>
        <n v="0.6667"/>
        <m/>
      </sharedItems>
    </cacheField>
    <cacheField name="已订购商品数量" numFmtId="0">
      <sharedItems containsString="0" containsBlank="1" containsNumber="1" containsInteger="1" minValue="0" maxValue="100" count="24">
        <n v="100"/>
        <n v="41"/>
        <n v="40"/>
        <n v="42"/>
        <n v="38"/>
        <n v="24"/>
        <n v="19"/>
        <n v="17"/>
        <n v="16"/>
        <n v="14"/>
        <n v="13"/>
        <n v="11"/>
        <n v="15"/>
        <n v="10"/>
        <n v="9"/>
        <n v="8"/>
        <n v="7"/>
        <n v="6"/>
        <n v="5"/>
        <n v="4"/>
        <n v="3"/>
        <n v="2"/>
        <n v="1"/>
        <m/>
      </sharedItems>
    </cacheField>
  </cacheFields>
</pivotCacheDefinition>
</file>

<file path=xl/pivotCache/pivotCacheDefinition41.xml><?xml version="1.0" encoding="utf-8"?>
<pivotCacheDefinition xmlns="http://schemas.openxmlformats.org/spreadsheetml/2006/main" xmlns:r="http://schemas.openxmlformats.org/officeDocument/2006/relationships" r:id="rId1" createdVersion="5" refreshedVersion="5" minRefreshableVersion="3" refreshedDate="45219.6149537037" refreshedBy="Administrator" recordCount="161">
  <cacheSource type="worksheet">
    <worksheetSource ref="B1:O1048576" sheet="7店1004-1018" r:id="rId2"/>
  </cacheSource>
  <cacheFields count="14">
    <cacheField name="（子）ASIN" numFmtId="0">
      <sharedItems containsBlank="1" count="145">
        <s v="B0BBG4W47P"/>
        <s v="B0B6PBJ5XP"/>
        <s v="B0CDLDJ7N4"/>
        <s v="B0BLYPT5CN"/>
        <s v="B0BBFV5GCR"/>
        <s v="B0B6PQXZZP"/>
        <s v="B0BBG5PFX4"/>
        <s v="B0CDGZVZRS"/>
        <s v="B0B6FWC6N6"/>
        <s v="B0BBG47DWW"/>
        <s v="B0B5XBSDS2"/>
        <s v="B0B6PGB4JM"/>
        <s v="B0B6VKLX2B"/>
        <s v="B0CDKTTFY5"/>
        <s v="B0B5QS2BBK"/>
        <s v="B0B6VRRMWW"/>
        <s v="B0BBG13KWX"/>
        <s v="B0B5XDHJZ7"/>
        <s v="B0BBFXGD1Q"/>
        <s v="B0CDKYKTCP"/>
        <s v="B0BBGMPX7P"/>
        <s v="B0BCFGZF9F"/>
        <s v="B0CDGZVRJ8"/>
        <s v="B0BLXZ2PHT"/>
        <s v="B0B5QVL591"/>
        <s v="B0BBG4HBRL"/>
        <s v="B0BLXVWKNB"/>
        <s v="B0B68J2J8P"/>
        <s v="B0B6PGY5QJ"/>
        <s v="B0C7ZM4H8Z"/>
        <s v="B0CDGZ2GNB"/>
        <s v="B0B5ZHZ6P6"/>
        <s v="B0B6FQ7GBY"/>
        <s v="B0BQMLFFHR"/>
        <s v="B0CGX382NL"/>
        <s v="B0B5ZK6MRR"/>
        <s v="B0B5ZLP61G"/>
        <s v="B0B5ZPYKY5"/>
        <s v="B0BBG2NL26"/>
        <s v="B0CDK1Y499"/>
        <s v="B0CDKMY8Z9"/>
        <s v="B0CDKYLFXB"/>
        <s v="B0B6VQZZ1W"/>
        <s v="B0BBG4X86G"/>
        <s v="B0BQMLXY38"/>
        <s v="B0BBG65L2P"/>
        <s v="B0C7ZL4Z59"/>
        <s v="B0B5QR55XG"/>
        <s v="B0B68GLBJM"/>
        <s v="B0B6PCXL1N"/>
        <s v="B0B6VQ6DC8"/>
        <s v="B0CDKFJ16G"/>
        <s v="B0CGX24JGD"/>
        <s v="B0CGX2PHRG"/>
        <s v="B0B6VM88JM"/>
        <s v="B0BBFVR6W8"/>
        <s v="B0BLY64GWX"/>
        <s v="B0BQMJBXVV"/>
        <s v="B0BQMNG5Q2"/>
        <s v="B0BQRHRQ89"/>
        <s v="B0CDK2DZNM"/>
        <s v="B0B5XFNDV8"/>
        <s v="B0B6VN2HH7"/>
        <s v="B0BQMNJ6Q3"/>
        <s v="B0B5ZN9XPZ"/>
        <s v="B0B68H64R9"/>
        <s v="B0B6RFXWWW"/>
        <s v="B0BQML1ZRK"/>
        <s v="B0CDH2HY46"/>
        <s v="B0CDKMYQLQ"/>
        <s v="B0B63LPZZ8"/>
        <s v="B0BBG19C9R"/>
        <s v="B0BQMMFRGQ"/>
        <s v="B0BQRNJQZM"/>
        <s v="B0BQRPNLNX"/>
        <s v="B0C7ZL429N"/>
        <s v="B0BBFVN3V9"/>
        <s v="B0BBFYQ998"/>
        <s v="B0BQRPKHGV"/>
        <s v="B0C1C3DN9D"/>
        <s v="B0C39QRGJ7"/>
        <s v="B0C39R9CKF"/>
        <s v="B0CDGY3PH4"/>
        <s v="B0CDGYNNPZ"/>
        <s v="B0CDH22FFC"/>
        <s v="B0CGX1WNFT"/>
        <s v="B0CGX383LR"/>
        <s v="B0CGX4CFML"/>
        <s v="B0B5XCX58S"/>
        <s v="B0B5XFNJRJ"/>
        <s v="B0B63J18RW"/>
        <s v="B0B6RDT7JN"/>
        <s v="B0BBG2D31Y"/>
        <s v="B0BBG56FJP"/>
        <s v="B0BQJHYV98"/>
        <s v="B0BQMFSMP6"/>
        <s v="B0BQMJKB4S"/>
        <s v="B0BQMLCGZR"/>
        <s v="B0BQRP2G6J"/>
        <s v="B0CDGYKC4Q"/>
        <s v="B0CDL6H6L4"/>
        <s v="B0B5X9Z9RJ"/>
        <s v="B0B6P2GJ5K"/>
        <s v="B0B6PNC3JZ"/>
        <s v="B0B6RB2JKB"/>
        <s v="B0B6RFCSZL"/>
        <s v="B0B6VP68KJ"/>
        <s v="B0BQJHSY7P"/>
        <s v="B0BQMF2BX9"/>
        <s v="B0BQMLF83Q"/>
        <s v="B0BQRNJKNG"/>
        <s v="B0BZCRVBC8"/>
        <s v="B0C1C42DFH"/>
        <s v="B0C2Q3CC3D"/>
        <s v="B0C2TGTPPR"/>
        <s v="B0C3QG58M3"/>
        <s v="B0C3QJF82L"/>
        <s v="B0CDGWKNYJ"/>
        <s v="B0CDGZ929Z"/>
        <s v="B0B5X9ZNNM"/>
        <s v="B0B5XLV7NX"/>
        <s v="B0B63GFYYK"/>
        <s v="B0B6PL25WN"/>
        <s v="B0B6PN6971"/>
        <s v="B0B6RC99NX"/>
        <s v="B0B6RD6DRX"/>
        <s v="B0BBFXXM8H"/>
        <s v="B0BBG1ZGYS"/>
        <s v="B0BBG47YJ3"/>
        <s v="B0BCFL1S54"/>
        <s v="B0BCFLZZ4Q"/>
        <s v="B0BQRP5Q8K"/>
        <s v="B0BQRPGXSB"/>
        <s v="B0BYP9YW93"/>
        <s v="B0BZCTDPWZ"/>
        <s v="B0C1VFZYP5"/>
        <s v="B0C2TCNT1B"/>
        <s v="B0C2TDNY87"/>
        <s v="B0C2TJLNYC"/>
        <s v="B0C39QMLST"/>
        <s v="B0C3QJR1F6"/>
        <s v="B0C7ZJ1DD7"/>
        <s v="B0CGX537RQ"/>
        <s v="B0C3QKV3M1"/>
        <m/>
      </sharedItems>
    </cacheField>
    <cacheField name="商品名称" numFmtId="0">
      <sharedItems containsBlank="1" count="150">
        <s v="TASHHAR Phone Case for iPhone 14 Pro Max Case,Heavy Duty Hard Shockproof Armor Protector Case Cover with Belt Clip Holster for Apple iPhone 14 Pro Max 6.7 5G 2022 Phone Case (Black)"/>
        <s v="TASHHAR Phone Case for iPhone 13 Pro Max Phone, Heavy Duty Hard Shockproof Armor Protector Case Cover with Belt Clip Holster for Apple iPhone 13 Pro Max 5G 2021 Phone Case (Black)"/>
        <s v="TASHHAR Phone Case for iPhone 15 Pro Max Case,Heavy Duty Hard Shockproof Armor Protector Case Cover with Belt Clip Holster for Apple iPhone 15 Pro Max 6.7 5G 2023 Phone Case (Black)"/>
        <s v="TASHHAR Phone Case for Samsung Galaxy A14 5G case,Heavy Duty Hard Shockproof Armor Protector Case Cover with Belt Clip Holster for Samsung A14 5G 2023 Phone Case (Black)"/>
        <s v="TASHHAR Phone Case for iPhone 14 Case,Heavy Duty Hard Shockproof Armor Protector Case Cover with Belt Clip Holster for Apple iPhone 14 6.1 5G 2022 Phone Case (Black)"/>
        <s v="TASHHAR Phone Case for iPhone 13 Pro Max Phone, Heavy Duty Hard Shockproof Armor Protector Case Cover with Belt Clip Holster for Apple iPhone 13 Pro Max 5G 2021 Phone Case (Black+Blue)"/>
        <s v="TASHHAR Phone Case for iPhone 14 Pro Max Case,Heavy Duty Hard Shockproof Armor Protector Case Cover with Belt Clip Holster for Apple iPhone 14 Pro Max 6.7 5G 2022 Phone Case (Black+Blue)"/>
        <s v="TASHHAR Phone Case for iPhone 15 Pro Case,Heavy Duty Hard Shockproof Armor Protector Case Cover with Belt Clip Holster for Apple iPhone 15 Pro 6.1 5G 2023 Phone Case (Black)"/>
        <s v="TASHHAR Phone Case for iPhone 12 Pro Max Phone, Heavy Duty Hard Shockproof Armor Protector Case Cover with Belt Clip Holster for Apple iPhone 12 6.7 5G 2020… (Black)"/>
        <s v="TASHHAR Phone Case for iPhone 14 Pro Max Case,Heavy Duty Hard Shockproof Armor Protector Case Cover with Belt Clip Holster for Apple iPhone 14 Pro Max 6.7 5G 2022 Phone Case (Black+Orange)"/>
        <s v="TASHHAR Phone Case for Samsung Galaxy A21 Phone, Heavy Duty Hard Shockproof Armor Protector Case Cover with Belt Clip Holster for Samsung A21 (Black)"/>
        <s v="TASHHAR Phone Case for iPhone 13 Pro Max Phone, Heavy Duty Hard Shockproof Armor Protector Case Cover with Belt Clip Holster for Apple iPhone 13 Pro Max 5G 2021 Phone Case (Black+Orange)"/>
        <s v="TASHHAR Phone Case for iPhone 12 Case, iPhone 12 Pro, Heavy Duty Hard Shockproof Armor Protector Case Cover with Belt Clip Holster for Apple iPhone 12 6.1 2020 Phone Case (Black)"/>
        <s v="TASHHAR Phone Case for iPhone 15 Pro Max Case,Heavy Duty Hard Shockproof Armor Protector Case Cover with Belt Clip Holster for Apple iPhone 15 Pro Max 6.7 5G 2023 Phone Case(Black+Blue)"/>
        <s v="TASHHAR Phone Case for Samsung Galaxy A71 5G, Heavy Duty Hard Shockproof Armor Protector Case Cover with Belt Clip Holster for Samsung A71 5G 6.7 inch Phone (Black)"/>
        <s v="TASHHAR Phone Case for iPhone 12 Case, iPhone 12 Pro, Heavy Duty Hard Shockproof Armor Protector Case Cover with Belt Clip Holster for Apple iPhone 12 6.1 2020 Phone Case (Black+Orange)"/>
        <s v="TASHHAR Phone Case for iPhone 14 Pro Case,Heavy Duty Hard Shockproof Armor Protector Case Cover with Belt Clip Holster for Apple iPhone 14 Pro 6.1 5G 2022 Phone Case (Black)"/>
        <s v="TASHHAR Phone Case for Samsung Galaxy A21 Phone, Heavy Duty Hard Shockproof Armor Protector Case Cover with Belt Clip Holster for Samsung A21 (Black+Orange)"/>
        <s v="TASHHAR Phone Case for iPhone 14 Case,Heavy Duty Hard Shockproof Armor Protector Case Cover with Belt Clip Holster for Apple iPhone 14 6.1 5G 2022 Phone Case (Black+Blue)"/>
        <s v="TASHHAR Phone Case for iPhone 15 Pro Max Case,Heavy Duty Hard Shockproof Armor Protector Case Cover with Belt Clip Holster for Apple iPhone 15 Pro Max 6.7 5G 2023 Phone Case(Black+Orange)"/>
        <s v="TASHHAR Phone Case for iPhone 14 Pro Max Case,Heavy Duty Hard Shockproof Armor Protector Case Cover with Belt Clip Holster for Apple iPhone 14 Pro Max 6.7 5G 2022 Phone Case (Navy Blue)"/>
        <s v="TASHHAR Phone Case for iPhone 12 Pro Max Phone, Heavy Duty Hard Shockproof Armor Protector Case Cover with Belt Clip Holster for Apple iPhone 12 6.7 5G 2020 (Black+Orange)"/>
        <s v="TASHHAR Phone Case for iPhone 15 Pro Case,Heavy Duty Hard Shockproof Armor Protector Case Cover with Belt Clip Holster for Apple iPhone 15 Pro 6.1 5G 2023 Phone Case (Black+Blue)"/>
        <s v="TASHHAR Phone Case for Samsung Galaxy A14 5G case,Heavy Duty Hard Shockproof Armor Protector Case Cover with Belt Clip Holster for Samsung A14 5G 2023 Phone Case (Black+Orange)"/>
        <s v="TASHHAR Phone Case for Samsung Galaxy A71 5G, Heavy Duty Hard Shockproof Armor Protector Case Cover with Belt Clip Holster for Samsung A71 5G 6.7 inch Phone (Black+Orange)"/>
        <s v="TASHHAR Phone Case for iPhone 14 Plus Case,Heavy Duty Hard Shockproof Armor Protector Case Cover with Belt Clip Holster for Apple iPhone 14 Plus 6.7 5G 2022 Phone Case (Black+Blue)"/>
        <s v="TASHHAR Phone Case for Samsung Galaxy A14 5G case,Heavy Duty Hard Shockproof Armor Protector Case Cover with Belt Clip Holster for Samsung A14 5G 2023 Phone Case (Black+Blue)"/>
        <s v="TASHHAR Phone Case for Motorola Moto One 5G Ace Phone, Heavy Duty Hard Shockproof Armor Protector Case Cover with Belt Clip Holster for Motorola One 5G Ace 2021 (Black)"/>
        <s v="TASHHAR Phone Case for iPhone 13 Pro Max Phone, Heavy Duty Hard Shockproof Armor Protector Case Cover with Belt Clip Holster for Apple iPhone 13 Pro Max 5G 2021 Phone Case (Navy Blue)"/>
        <s v="TASHHAR Phone Case for Moto G Stylus 5G 2023 Case,Heavy Duty Hard Shockproof Armor Protector Case Cover with Belt Clip Holster for Moto G Stylus 5G 2023 Phone Case (Black)"/>
        <s v="TASHHAR Phone Case for iPhone 15 Pro Case,Heavy Duty Hard Shockproof Armor Protector Case Cover with Belt Clip Holster for Apple iPhone 15 Pro 6.1 5G 2023 Phone Case (Black+Orange)"/>
        <s v="TASHHAR Phone Case for Samsung Galaxy A51 4G Phone,Heavy Duty Hard Shockproof Armor Protector Case Cover with Belt Clip Holster for Samsung A51 4G 6.5 inch Phone (Navy Blue)"/>
        <s v="TASHHAR Phone Case for iPhone 12 Pro Max Phone, Heavy Duty Hard Shockproof Armor Protector Case Cover with Belt Clip Holster for Apple iPhone 12 6.7 5G 2020… (Navy Blue)"/>
        <s v="TASHHAR Phone Case for Samsung Galaxy S23 Plus case,Heavy Duty Hard Shockproof Armor Protector Case Cover with Belt Clip Holster for Samsung S23+ 2023 Phone Case (Black)"/>
        <s v="TASHHAR Phone Case for Google Pixel 8 Pro Case,Heavy Duty Hard Shockproof Armor Protector Case Cover with Belt Clip Holster for Google Pixel 8 Pro 2023 Phone Case (Black)"/>
        <s v="TASHHAR Phone Case for Samsung Galaxy A51 4G Phone,Heavy Duty Hard Shockproof Armor Protector Case Cover with Belt Clip Holster for Samsung A51 4G 6.5 inch Phone (Black+Orange)"/>
        <s v="TASHHAR Phone Case for Samsung Galaxy A51 4G Phone,Heavy Duty Hard Shockproof Armor Protector Case Cover with Belt Clip Holster for Samsung A51 4G 6.5 inch Phone (Black)"/>
        <s v="TASHHAR Phone Case for Samsung Galaxy A11 Phone, Heavy Duty Hard Shockproof Drop Protection Case with Belt Clip Holster for Samsung A11 (Black)"/>
        <s v="TASHHAR Phone Case for iPhone 14 Plus Case,Heavy Duty Hard Shockproof Armor Protector Case Cover with Belt Clip Holster for Apple iPhone 14 Plus 6.7 5G 2022 Phone Case (Black+Orange)"/>
        <s v="TASHHAR Phone Case for iPhone 15 Plus Case,Heavy Duty Hard Shockproof Armor Protector Case Cover with Belt Clip Holster for Apple iPhone 15 Plus 6.7 5G 2023 Phone Case (Black)"/>
        <s v="TASHHAR Phone Case for iPhone 15 Plus Case,Heavy Duty Hard Shockproof Armor Protector Case Cover with Belt Clip Holster for Apple iPhone 15 Plus 6.7 5G 2023 Phone Case (Navy Blue)"/>
        <s v="TASHHAR Phone Case for iPhone 15 Pro Max Case,Heavy Duty Hard Shockproof Armor Protector Case Cover with Belt Clip Holster for Apple iPhone 15 Pro Max 6.7 5G 2023 Phone Case(Navy Blue)"/>
        <s v="TASHHAR Phone Case for Samsung Galaxy S22 Ultra, Heavy Duty Hard Shockproof Armor Protector Case Cover with Belt Clip Holster for Samsung S22 Ultra 5G 6.8-inch (Black)"/>
        <s v="TASHHAR Phone Case for iPhone 14 Plus Case,Heavy Duty Hard Shockproof Armor Protector Case Cover with Belt Clip Holster for Apple iPhone 14 Plus 6.7 5G 2022 Phone Case (Black)"/>
        <s v="TASHHAR Phone Case for Samsung Galaxy S23 Plus case,Heavy Duty Hard Shockproof Armor Protector Case Cover with Belt Clip Holster for Samsung S23+ 2023 Phone Case (Black+Orange)"/>
        <s v="TASHHAR Phone Case for iPhone 14 Pro Max Case,Heavy Duty Hard Shockproof Armor Protector Case Cover with Belt Clip Holster for Apple iPhone 14 Pro Max 6.7 5G 2022 Phone Case (Green+Yellow)"/>
        <s v="TASHHAR Phone Case for Moto G Stylus 5G 2023 Case,Heavy Duty Hard Shockproof Armor Protector Case Cover with Belt Clip Holster for Moto G Stylus 5G 2023 Phone Case (Black+Orange)"/>
        <s v="TASHHAR Phone Case for Samsung Galaxy A71 5G, Heavy Duty Hard Shockproof Armor Protector Case Cover with Belt Clip Holster for Samsung A71 5G 6.7 inch Phone (Navy Blue)"/>
        <s v="TASHHAR Phone Case for Motorola Moto One 5G Ace Phone, Heavy Duty Hard Shockproof Armor Protector Case Cover with Belt Clip Holster for Motorola One 5G Ace 2021 (Black+Orange)"/>
        <s v="TASHHAR Phone Case for iPhone 13 Pro Max Phone, Heavy Duty Hard Shockproof Armor Protector Case Cover with Belt Clip Holster for Apple iPhone 13 Pro Max 5G 2021 Phone Case (Green+Yellow)"/>
        <s v="TASHHAR Phone Case for iPhone 12 Case, iPhone 12 Pro, Heavy Duty Hard Shockproof Armor Protector Case Cover with Belt Clip Holster for Apple iPhone 12 6.1 2020 Phone Case (Navy Blue)"/>
        <s v="TASHHAR Phone Case for iPhone 15 Plus Case,Heavy Duty Hard Shockproof Armor Protector Case Cover with Belt Clip Holster for Apple iPhone 15 Plus 6.7 5G 2023 Phone Case (Black+Orange)"/>
        <s v="TASHHAR Phone Case for Google Pixel 8 Pro Case,Heavy Duty Hard Shockproof Armor Protector Case Cover with Belt Clip Holster for Google Pixel 8 Pro 2023 Phone Case (Black+Blue)"/>
        <s v="TASHHAR Phone Case for Google Pixel 8 Pro Case,Heavy Duty Hard Shockproof Armor Protector Case Cover with Belt Clip Holster for Google Pixel 8 Pro 2023 Phone Case (Black+Orange)"/>
        <s v="TASHHAR Phone Case for Samsung Galaxy S22 Ultra, Heavy Duty Hard Shockproof Armor Protector Case Cover with Belt Clip Holster for Samsung S22 Ultra 5G 6.8-inch (Black+Blue)"/>
        <s v="TASHHAR Phone Case for iPhone 14 Case,Heavy Duty Hard Shockproof Armor Protector Case Cover with Belt Clip Holster for Apple iPhone 14 6.1 5G 2022 Phone Case (Black+Orange)"/>
        <s v="TASHHAR Phone Case for Samsung Galaxy A14 5G case,Heavy Duty Hard Shockproof Armor Protector Case Cover with Belt Clip Holster for Samsung A14 5G 2023 Phone Case (Navy Blue)"/>
        <s v="TASHHAR Phone Case for Samsung Galaxy A54 5G case,Heavy Duty Hard Shockproof Armor Protector Case Cover with Belt Clip Holster for Samsung A54 5G 2023 Phone Case (Black)"/>
        <s v="TASHHAR Phone Case for Samsung Galaxy S23 Plus case,Heavy Duty Hard Shockproof Armor Protector Case Cover with Belt Clip Holster for Samsung S23+ 2023 Phone Case (Black+Blue)"/>
        <s v="TASHHAR Phone Case for Samsung Galaxy S23 case,Heavy Duty Hard Shockproof Armor Protector Case Cover with Belt Clip Holster for Samsung S23 2023 Phone Case (Black+Blue)"/>
        <s v="TASHHAR Phone Case for iPhone 15 Plus Case,Heavy Duty Hard Shockproof Armor Protector Case Cover with Belt Clip Holster for Apple iPhone 15 Plus 6.7 5G 2023 Phone Case (Black+Blue)"/>
        <s v="TASHHAR Phone Case for Samsung Galaxy A21 Phone, Heavy Duty Hard Shockproof Armor Protector Case Cover with Belt Clip Holster for Samsung A21 (Navy Blue)"/>
        <s v="TASHHAR Phone Case for Samsung Galaxy S22 Ultra, Heavy Duty Hard Shockproof Armor Protector Case Cover with Belt Clip Holster for Samsung S22 Ultra 5G 6.8-inch (Black+ Orange)"/>
        <s v="TASHHAR Phone Case for Samsung Galaxy S23 Ultra case,Heavy Duty Hard Shockproof Armor Protector Case Cover with Belt Clip Holster for Samsung S23 Ultra 2023 Phone Case (Black)"/>
        <s v="TASHHAR Phone Case for Samsung Galaxy A11 Phone, Heavy Duty Hard Shockproof Drop Protection Case with Belt Clip Holster for Samsung A11 (Black&amp;Orange)"/>
        <s v="TASHHAR Phone Case for Motorola Moto One 5G Ace Phone, Heavy Duty Hard Shockproof Armor Protector Case Cover with Belt Clip Holster for Motorola One 5G Ace 2021 (Navy Blue)"/>
        <s v="TASHHAR Phone Case for Samsung Galaxy A02S, Heavy Duty Hard Shockproof Armor Protector Case Cover with Belt Clip Holster for Samsung A02S Phone Case (Black)"/>
        <s v="TASHHAR Phone Case for Samsung Galaxy S23 Ultra case,Heavy Duty Hard Shockproof Armor Protector Case Cover with Belt Clip Holster for Samsung S23 Ultra 2023 Phone Case (Black+Orange)"/>
        <s v="TASHHAR Phone Case for iPhone 15 Pro Case,Heavy Duty Hard Shockproof Armor Protector Case Cover with Belt Clip Holster for Apple iPhone 15 Pro 6.1 5G 2023 Phone Case (Navy Blue)"/>
        <s v="TASHHAR Phone Case for iPhone 15 Plus Case,Heavy Duty Hard Shockproof Armor Protector Case Cover with Belt Clip Holster for Apple iPhone 15 Plus 6.7 5G 2023 Phone Case (Green+Yellow)"/>
        <s v="TASHHAR Phone Case for Motorola Moto G Stylus 5G Phone, Heavy Duty Hard Shockproof Armor Protector Case Cover with Belt Clip Holster for Motorola G Stylus 5G 2021 (Navy Blue)"/>
        <s v="TASHHAR Phone Case for iPhone 14 Plus Case,Heavy Duty Hard Shockproof Armor Protector Case Cover with Belt Clip Holster for Apple iPhone 14 Plus 6.7 5G 2022 Phone Case (Navy Blue)"/>
        <s v="TASHHAR Phone Case for Samsung Galaxy S23 Ultra case,Heavy Duty Hard Shockproof Armor Protector Case Cover with Belt Clip Holster for Samsung S23 Ultra 2023 Phone Case (Black+Blue)"/>
        <s v="TASHHAR Phone Case for Samsung Galaxy S23 case,Heavy Duty Hard Shockproof Armor Protector Case Cover with Belt Clip Holster for Samsung S23 2023 Phone Case (Black)"/>
        <s v="TASHHAR Phone Case for Samsung Galaxy S23 case,Heavy Duty Hard Shockproof Armor Protector Case Cover with Belt Clip Holster for Samsung S23 2023 Phone Case (Black+Orange)"/>
        <s v="TASHHAR Phone Case for Moto G Stylus 5G 2023 Case,Heavy Duty Hard Shockproof Armor Protector Case Cover with Belt Clip Holster for Moto G Stylus 5G 2023 Phone Case (Black+Blue)"/>
        <s v="TASHHAR Phone Case for iPhone 14 Case,Heavy Duty Hard Shockproof Armor Protector Case Cover with Belt Clip Holster for Apple iPhone 14 6.1 5G 2022 Phone Case (Navy Blue)"/>
        <s v="TASHHAR Phone Case for iPhone 14 Pro Case,Heavy Duty Hard Shockproof Armor Protector Case Cover with Belt Clip Holster for Apple iPhone 14 Pro 6.1 5G 2022 Phone Case (Black+Blue)"/>
        <s v="TASHHAR Phone Case for Samsung Galaxy S23 case,Heavy Duty Hard Shockproof Armor Protector Case Cover with Belt Clip Holster for Samsung S23 2023 Phone Case (Navy Blue)"/>
        <s v="TASHHAR Phone Case for Motorola Moto G Fast Case,Heavy Duty Hard Shockproof Armor Protective Case Cover with Belt Clip Holster for Motorola G Fast 2020 Phone (Navy Blue)"/>
        <s v="TASHHAR Shockproof Phone Case for Motorola Moto G Power 2023 with Belt Clip Holster, 3 in 1 Heavy Duty Rugged Full-Body Protective Case Military Grade Cell Phone Cover with Kickstand (Navy Blue)"/>
        <s v="TASHHAR Shockproof Phone Case for Motorola Moto G Power 2023 with Belt Clip Holster, 3 in 1 Heavy Duty Rugged Full-Body Protective Case Military Grade Cell Phone Cover with Kickstand(Black)"/>
        <s v="TASHHAR Phone Case for iPhone 15 Case,Heavy Duty Hard Shockproof Armor Protector Case Cover with Belt Clip Holster for Apple iPhone 15 6.1 5G 2023 Phone Case (Orange)"/>
        <s v="TASHHAR Phone Case for iPhone 15 Pro Case,Heavy Duty Hard Shockproof Armor Protector Case Cover with Belt Clip Holster for Apple iPhone 15 Pro 6.1 5G 2023 Phone Case (Green+Yellow)"/>
        <s v="TASHHAR Phone Case for iPhone 15 Case,Heavy Duty Hard Shockproof Armor Protector Case Cover with Belt Clip Holster for Apple iPhone 15 6.1 5G 2023 Phone Case(Black+Blue)"/>
        <s v="TASHHAR Phone Case for Google Pixel 8 Case,Heavy Duty Hard Shockproof Armor Protector Case Cover with Belt Clip Holster for Google Pixel 8 2023Phone Case (Black+Orange)"/>
        <s v="TASHHAR Phone Case for Google Pixel 8 Pro Case,Heavy Duty Hard Shockproof Armor Protector Case Cover with Belt Clip Holster for Google Pixel 8 Pro 2023 Phone Case (Green+Yellow)"/>
        <s v="TASHHAR Phone Case for Google Pixel 8 Pro Case,Heavy Duty Hard Shockproof Armor Protector Case Cover with Belt Clip Holster for Google Pixel 8 Pro 2023 Phone Case (Navy)"/>
        <s v="TASHHAR Phone Case for LG K51 Case,LG Q51/LG Reflect Case, Heavy Duty Hard Shockproof Armor Protector Case Cover with Belt Clip Holster for LG K51 (Black+Orange)"/>
        <s v="TASHHAR Phone Case for Samsung Galaxy A12 5G Phone, Heavy Duty Hard Shockproof Armor Protector Case Cover with Belt Clip Holster for Samsung A12 5G (Black+Orange)"/>
        <s v="TASHHAR Phone Case for Samsung Galaxy A42 5G Phone, Heavy Duty Hard Shockproof Armor Protector Case Cover with Belt Clip Holster for Samsung A42 5G (Navy Blue)"/>
        <s v="TASHHAR Phone Case for Samsung Galaxy A32 5G, Heavy Duty Hard Shockproof Armor Protector Case Cover with Belt Clip Holster for Samsung A32 5G Phone (Navy Blue)"/>
        <s v="TASHHAR Phone Case for iPhone 14 Pro Case,Heavy Duty Hard Shockproof Armor Protector Case Cover with Belt Clip Holster for Apple iPhone 14 Pro 6.1 5G 2022 Phone Case (Navy Blue)"/>
        <s v="TASHHAR Phone Case for iPhone 14 Plus Case,Heavy Duty Hard Shockproof Armor Protector Case Cover with Belt Clip Holster for Apple iPhone 14 Plus 6.7 5G 2022 Phone Case (Green+Yellow)"/>
        <s v="TASHHAR Phone Case for LG Stylo 5, LG Stylo 5 Plus/LG Stylo 5V Case,Heavy Duty Hard Shockproof Armor Protector Case Cover with Belt Clip Holster for LG Stylo 5 (Black)"/>
        <s v="TASHHAR Phone Case for Samsung Galaxy A54 5G case,Heavy Duty Hard Shockproof Armor Protector Case Cover with Belt Clip Holster for Samsung A54 5G 2023 Phone Case (Black+Blue)"/>
        <s v="TASHHAR Phone Case for Samsung Galaxy A54 5G case,Heavy Duty Hard Shockproof Armor Protector Case Cover with Belt Clip Holster for Samsung A54 5G 2023 Phone Case (Navy Blue)"/>
        <s v="TASHHAR Phone Case for Samsung Galaxy S23 Plus case,Heavy Duty Hard Shockproof Armor Protector Case Cover with Belt Clip Holster for Samsung S23+ 2023 Phone Case (Navy Blue)"/>
        <s v="TASHHAR Phone Case for Motorola Moto G Power 2021 Case, Heavy Duty Hard Shockproof Armor Protector Case Cover with Belt Clip Holster for Motorola G Power 2021 Phone (Navy Blue)"/>
        <s v="TASHHAR Phone Case for iPhone 15 Case,Heavy Duty Hard Shockproof Armor Protector Case Cover with Belt Clip Holster for Apple iPhone 15 6.1 5G 2023 Phone Case (Green+Yellow)"/>
        <s v="TASHHAR Phone Case for iPhone 15 Pro Max Case,Heavy Duty Hard Shockproof Armor Protector Case Cover with Belt Clip Holster for Apple iPhone 15 Pro Max 6.7 5G 2023 Phone Case(Green+Yellow)"/>
        <s v="TASHHAR Phone Case for LG K51 Case,LG Q51/LG Reflect Case, Heavy Duty Hard Shockproof Armor Protector Case Cover with Belt Clip Holster for LG K51 (Black)"/>
        <s v="TASHHAR Phone Case for iPhone 13 Pro Phone, Heavy Duty Hard Shockproof Armor Protector Case Cover with Belt Clip Holster for Apple iPhone 13 Pro 6.1 5G 2021 Phone Case (Navy Blue)"/>
        <s v="TASHHAR Phone Case for iPhone 13 Case, Heavy Duty Hard Shockproof Armor Protector Case Cover with Belt Clip Holster for Apple iPhone 13 6.1 5G 2021 Phone Case (Black+Blue)"/>
        <s v="TASHHAR Phone Case for Samsung Galaxy A32 5G, Heavy Duty Hard Shockproof Armor Protector Case Cover with Belt Clip Holster for Samsung A32 5G Phone (Black+Orange)"/>
        <s v="TASHHAR Phone Case for Samsung Galaxy A02S, Heavy Duty Hard Shockproof Armor Protector Case Cover with Belt Clip Holster for Samsung A02S Phone Case (Navy Blue)"/>
        <s v="TASHHAR Phone Case for Samsung Galaxy S22 Ultra, Heavy Duty Hard Shockproof Armor Protector Case Cover with Belt Clip Holster for Samsung S22 Ultra 5G 6.8-inch (Navy Blue)"/>
        <s v="TASHHAR Phone Case for LG Stylo 5, LG Stylo 5 Plus/LG Stylo 5V Case,Heavy Duty Hard Shockproof Armor Protector Case Cover with Belt Clip Holster for LG Stylo 5 (Navy Blue)"/>
        <s v="TASHHAR Phone Case for Samsung Galaxy A54 5G case,Heavy Duty Hard Shockproof Armor Protector Case Cover with Belt Clip Holster for Samsung A54 5G 2023 Phone Case (Black+Orange)"/>
        <s v="TASHHAR Phone Case for Samsung Galaxy S23 Ultra case,Heavy Duty Hard Shockproof Armor Protector Case Cover with Belt Clip Holster for Samsung S23 Ultra 2023 Phone Case (Navy Blue)"/>
        <s v="TASHHAR Phone Case for Motorola Moto G Stylus 2021 Case, Heavy Duty Hard Shockproof Armor Protector Case Cover with Belt Clip Holster for Motorola G Stylus 2021 Phone (Navy Blue)"/>
        <s v="TASHHAR Phone Case for Samsung Galaxy A01 Phone, Heavy Duty Hard Shockproof Armor Protector Case Cover with Belt Clip Holster for Samsung A01 Phone Case (Black+Orange)"/>
        <s v="TASHHAR Phone Case for Motorola Moto G Fast Case,Heavy Duty Hard Shockproof Armor Protective Case Cover with Belt Clip Holster for Motorola G Fast 2020 Phone (Black)"/>
        <s v="Shockproof Phone Case for Motorola Moto G Play 2021 with Belt Clip Holster, 3 in 1 Heavy Duty Rugged Full-Body Protective Case Military Grade Cell Phone Cover with Kickstand &amp; Holster (Black+Orange)"/>
        <s v="TASHHAR Shockproof Phone Case for Motorola Moto G Power 2022 with Belt Clip Holster, 3 in 1 Heavy Duty Rugged Full-Body Protective Case Military Grade Cell Phone Cover with Kickstand (Navy Blue)"/>
        <s v="TASHHAR Phone Case for Samsung Galaxy A24 4G case,Heavy Duty Hard Shockproof Armor Protector Case Cover with Belt Clip Holster for Samsung A24 4G 2023 Phone Case (Black+Orange)"/>
        <s v="TASHHAR Phone Case for Samsung Galaxy A24 4G case,Heavy Duty Hard Shockproof Armor Protector Case Cover with Belt Clip Holster for Samsung A24 4G 2023 Phone Case (Black)"/>
        <s v="TASHHAR Phone Case for iPhone 15 Case,Heavy Duty Hard Shockproof Armor Protector Case Cover with Belt Clip Holster for Apple iPhone 15 6.1 5G 2023 Phone Case (Black)"/>
        <s v="TASHHAR Phone Case for iPhone 15 Case,Heavy Duty Hard Shockproof Armor Protector Case Cover with Belt Clip Holster for Apple iPhone 15 6.1 5G 2023 Phone Case (Navy Blue)"/>
        <s v="TASHHAR Phone Case for LG K51 Case,LG Q51/LG Reflect Case, Heavy Duty Hard Shockproof Armor Protector Case Cover with Belt Clip Holster for LG K51 (Navy Blue)"/>
        <s v="TASHHAR Phone Case for Samsung Galaxy A12 5G Phone, Heavy Duty Hard Shockproof Armor Protector Case Cover with Belt Clip Holster for Samsung A12 5G (Navy Blue)"/>
        <s v="TASHHAR Phone Case for Samsung Galaxy A42 5G Phone, Heavy Duty Hard Shockproof Armor Protector Case Cover with Belt Clip Holster for A42 5G (Black)"/>
        <s v="TASHHAR Phone Case for iPhone 13 Case, Heavy Duty Hard Shockproof Armor Protector Case Cover with Belt Clip Holster for Apple iPhone 13 6.1 5G 2021 Phone Case (Green+Yellow)"/>
        <s v="TASHHAR Phone Case for iPhone 13 Case, Heavy Duty Hard Shockproof Armor Protector Case Cover with Belt Clip Holster for Apple iPhone 13 6.1 5G 2021 Phone Case (Navy Blue)"/>
        <s v="TASHHAR Phone Case for Motorola Moto G7 Power, Moto G7 Supra / G7 Optimo Maxx, Heavy Duty Hard Shockproof Armor Protector Case Cover with Belt Clip Holster for Motorola G7 Power (Black)"/>
        <s v="TASHHAR Phone Case for Samsung Galaxy A02S, Heavy Duty Hard Shockproof Armor Protector Case Cover with Belt Clip Holster for Samsung A02S Phone Case (Black+Orange)"/>
        <s v="TASHHAR Phone Case for iPhone 14 Case,Heavy Duty Hard Shockproof Armor Protector Case Cover with Belt Clip Holster for Apple iPhone 14 6.1 5G 2022 Phone Case (Green+Yellow)"/>
        <s v="TASHHAR Phone Case for iPhone 14 Pro Case,Heavy Duty Hard Shockproof Armor Protector Case Cover with Belt Clip Holster for Apple iPhone 14 Pro 6.1 5G 2022 Phone Case (Black+Orange)"/>
        <s v="TASHHAR Phone Case for iPhone 14 Pro Case,Heavy Duty Hard Shockproof Armor Protector Case Cover with Belt Clip Holster for Apple iPhone 14 Pro 6.1 5G 2022 Phone Case (Green+Yellow)"/>
        <s v="TASHHAR Phone Case for iPhone 12 Mini Case, Heavy Duty Hard Shockproof Armor Protector Case Cover with Belt Clip Holster for Apple iPhone 12 Mini 5.4 2020 Phone Case (Navy Blue)"/>
        <s v="TASHHAR Phone Case for iPhone 12 Mini Case, Heavy Duty Hard Shockproof Armor Protector Case Cover with Belt Clip Holster for Apple iPhone 12 Mini 5.4 2020 Phone Case (Black+Orange)"/>
        <s v="TASHHAR Phone Case for Motorola Moto G Power 2021 Case, Heavy Duty Hard Shockproof Armor Protector Case Cover with Belt Clip Holster for Motorola G Power 2021 Phone (Black+Orange)"/>
        <s v="TASHHAR Phone Case for Motorola Moto G Stylus 2021 Case, Heavy Duty Hard Shockproof Armor Protector Case Cover with Belt Clip Holster for Motorola G Stylus 2021 Phone (Black)"/>
        <s v="TASHHAR Phone Case for Motorola Moto G Pure, Heavy Duty Hard Shockproof Armor Protector Case Cover with Belt Clip Holster for Motorola G Pure 2021 6.5-inch (Green+Yellow)"/>
        <s v="TASHHAR Phone Case for Samsung Galaxy A01 Phone, Heavy Duty Hard Shockproof Armor Protector Case Cover with Belt Clip Holster for Samsung A01 Phone Case (Black)"/>
        <s v="TASHHAR Shockproof Phone Case for Motorola Moto G Stylus 2022 4G 2022 with Belt Clip Holster, 3 in 1 Heavy Duty Rugged Full-Body Protective Case Cell Phone Cover with Kickstand (Black+Blue)"/>
        <s v="TASHHAR Shockproof Phone Case for Samsung Galaxy A52 with Belt Clip Holster, 3 in 1 Heavy Duty Rugged Full-Body Protective Case Military Grade Cell Phone Cover with Kickstand (Orange+Black)"/>
        <s v="TASHHAR Shockproof Phone Case for Motorola Moto G Power 2022 with Belt Clip Holster, 3 in 1 Heavy Duty Rugged Full-Body Protective Case Military Grade Cell Phone Cover with Kickstand(Blue+Black)"/>
        <s v="TASHHAR Shockproof Phone Case for Motorola Moto G Power 2022 with Belt Clip Holster, 3 in 1 Heavy Duty Rugged Full-Body Protective Case Military Grade Cell Phone Cover with Kickstand (Black)"/>
        <s v="TASHHAR Shockproof Phone Case for Motorola Moto G Power 2023 with Belt Clip Holster, 3 in 1 Heavy Duty Rugged Full-Body Protective Case Military Grade Cell Phone Cover with Kickstand(Orange+Black)"/>
        <s v="TASHHAR Phone Case for Samsung Galaxy A24 4G case,Heavy Duty Hard Shockproof Armor Protector Case Cover with Belt Clip Holster for Samsung A24 4G 2023 Phone Case (Black+Blue)"/>
        <s v="TASHHAR Phone Case for Moto G Stylus 5G 2023 Case,Heavy Duty Hard Shockproof Armor Protector Case Cover with Belt Clip Holster for Moto G Stylus 5G 2023 Phone Case (Navy Blue)"/>
        <s v="TASHHAR Phone Case for Google Pixel 8 Case,Heavy Duty Hard Shockproof Armor Protector Case Cover with Belt Clip Holster for Google Pixel 8 2023Phone Case (Black+Blue)"/>
        <s v="TASHHAR Phone Case for iPhone 14 Pro Max Case,Heavy Duty Hard Shockproof Armor Protector Case Cover with Belt Clip Holster for Apple iPhone 14 Pro Max 5G 2022 Phone Case (Black)"/>
        <s v="TASHHAR Phone Case for iPhone 14 Pro Max Case,Heavy Duty Hard Shockproof Armor Protector Case Cover with Belt Clip Holster for Apple iPhone 14 Pro Max 5G 2022 Phone Case (Black+Orange)"/>
        <s v="TASHHAR Phone Case for iPhone 14 Case,Heavy Duty Hard Shockproof Armor Protector Case Cover with Belt Clip Holster for Apple iPhone 14 5G 2022 Phone Case (Black+Blue)"/>
        <s v="TATASHHAR Phone Case for Samsung Galaxy A21 Phone, Heavy Duty Hard Shockproof Armor Protector Case Cover with Belt Clip Holster for Samsung A21 (Black)"/>
        <s v="TASHHAR Phone Case for Samsung Galaxy A32 5G, Heavy Duty Hard Shockproof Armor Protector Case Cover with Belt Clip Holster for Samsung Galaxy A32 5G Phone (Navy Blue)"/>
        <s v="TASHHAR Phone Case for Samsung Galaxy A24 4G case,Heavy Duty Hard Shockproof Armor Protector Case Cover with Belt Clip Holster for Samsung A24 4G 2023 Phone Case (Navy Blue)"/>
        <m/>
      </sharedItems>
    </cacheField>
    <cacheField name="SKU" numFmtId="0">
      <sharedItems containsBlank="1" count="156">
        <s v="Y7013-BL+Y7021+Y7017"/>
        <s v="Y73475-BL+Y72615+Y73478"/>
        <s v="Y7075-BL+Y7076+Y7077"/>
        <s v="Y7022-BL+Y7024+Y7023"/>
        <s v="Y7010-BL+Y7018+Y7014"/>
        <s v="Y73475-BB+Y72615+Y73478"/>
        <s v="Y7013-BU+Y7021+Y7017"/>
        <s v="Y7069-BL+Y7070+Y7071"/>
        <s v="Y72612-BL+Y72615+Y72636"/>
        <s v="Y7013-OR+Y7021+Y7017"/>
        <s v="Y72454-BL+Y72455+Y72511"/>
        <s v="Y73475-OR+Y72615+Y73478"/>
        <s v="Y72611-BL+Y72614+Y72635"/>
        <s v="Y7075-BU+Y7076+Y7077"/>
        <s v="Y72648-BL+Y72649+Y72381"/>
        <s v="Y72611-OR+Y72614+Y72635"/>
        <s v="Y7011-BL+Y7019+Y7015"/>
        <s v="Y72454-OR+Y72455+Y72511"/>
        <s v="Y7010-BU+Y7018+Y7014"/>
        <s v="Y7075-OR+Y7076+Y7077"/>
        <s v="Y7013-DB+Y7021+Y7017"/>
        <s v="Y72612-OR+Y72615+Y72636"/>
        <s v="Y7069-BU+Y7070+Y7071"/>
        <s v="Y7022-OR+Y7024+Y7023"/>
        <s v="Y72648-OR+Y72649+Y72381"/>
        <s v="Y7012-BU+Y7020+Y7016"/>
        <s v="Y7022-BU+Y7024+Y7023"/>
        <s v="Y73189-BL+Y73190+Y73270"/>
        <s v="Y73475-DB+Y72615+Y73478"/>
        <s v="Y7063-BL+Y7064+Y7065"/>
        <s v="Y7069-OR+Y7070+Y7071"/>
        <s v="Y72488-DB+Y72490+Y72380"/>
        <s v="Y72612-DB+Y72615+Y72636"/>
        <s v="Y7028-BL+Y7029+Y7030"/>
        <s v="Y7086-BL+Y7087"/>
        <s v="Y72488-OR+Y72490+Y72380"/>
        <s v="Y72488-BL+Y72490+Y72380"/>
        <s v="Y72563-BL+Y72564+Y72571"/>
        <s v="Y7012-OR+Y7020+Y7016"/>
        <s v="Y7072-BL+Y7073+Y7074"/>
        <s v="Y7072-DB+Y7073+Y7074"/>
        <s v="Y7075-DB+Y7076+Y7077"/>
        <s v="Y7002-BL+Y7005"/>
        <s v="Y7012-BL+Y7020+Y7016"/>
        <s v="Y7028-OR+Y7029+Y7030"/>
        <s v="Y7013-GE+Y7021+Y7017"/>
        <s v="Y7063-OR+Y7064+Y7065"/>
        <s v="Y72648-NB+Y72649+Y72381"/>
        <s v="Y73189-OR+Y73190+Y73270"/>
        <s v="Y73475-GR+Y72615+Y73478"/>
        <s v="Y72611-DB+Y72614+Y72635"/>
        <s v="Y7072-OR+Y7073+Y7074-1"/>
        <s v="Y7086-BU+Y7087"/>
        <s v="Y7086-OR+Y7087"/>
        <s v="Y7002-BB+Y7005"/>
        <s v="Y7010-OR+Y7018+Y7014"/>
        <s v="Y7022-DB+Y7024+Y7023"/>
        <s v="Y7033-BL+Y7034"/>
        <s v="Y7028-BU+Y7029+Y7030"/>
        <s v="Y7025-BU+Y7027+Y7026"/>
        <s v="Y7072-BU+Y7073+Y7074"/>
        <s v="Y72454-DB+Y72455+Y72511"/>
        <s v="Y7002-OR+Y7005"/>
        <s v="Y7031-BL+Y7032"/>
        <s v="Y72563-OR+Y72564+Y72571"/>
        <s v="Y73189-DB+Y73190+Y73270"/>
        <s v="Y73040-BL+Y73045+Y73063"/>
        <s v="Y7031-OR+Y7032"/>
        <s v="Y7069-DB+Y7070+Y7071"/>
        <s v="Y7072-GE+Y7073+Y7074"/>
        <s v="Y73452-DB+Y73456+Y73457"/>
        <s v="Y7012-DB+Y7020+Y7016"/>
        <s v="Y7031-BU+Y7032"/>
        <s v="Y7025-BL+Y7027+Y7026"/>
        <s v="Y7025-OR+Y7027+Y7026"/>
        <s v="Y7063-BU+Y7064+Y7065"/>
        <s v="Y7010-DB+Y7018+Y7014"/>
        <s v="Y7011-BU+Y7019+Y7015"/>
        <s v="Y7025-DB+Y7027+Y7026"/>
        <s v="Y72691-DB+Y72692+Y72758"/>
        <s v="Y7036-DB-ZH"/>
        <s v="Y7036-BL-ZH"/>
        <s v="Y7066-OR+Y7067+Y7068"/>
        <s v="Y7069-GE+Y7070+Y7071"/>
        <s v="Y7066-BU+Y7067+Y7068"/>
        <s v="Y7084-OR+Y7085"/>
        <s v="Y7086-GE+Y7087"/>
        <s v="Y7086-DB+Y7087"/>
        <s v="Y72431-OR+Y72433+Y72531"/>
        <s v="Y73106-OR+Y73109+Y73112"/>
        <s v="Y73405-DB+Y73406+Y73397"/>
        <s v="Y73230-DB+Y73231+Y73240"/>
        <s v="Y7011-DB+Y7019+Y7015"/>
        <s v="Y7012-GE+Y7020+Y7016"/>
        <s v="Y72000-BL+Y72013+Y72749"/>
        <s v="Y7033-BU+Y7034"/>
        <s v="Y7033-DB+Y7034"/>
        <s v="Y7028-DB+Y7029+Y7030"/>
        <s v="Y73134-DB+Y03137+Y73268"/>
        <s v="Y7066-GE+Y7067+Y7068"/>
        <s v="Y7075-GE+Y7076+Y7077"/>
        <s v="Y72431-BL+Y72433+Y72531"/>
        <s v="Y73474-DB+Y72614+Y73477"/>
        <s v="Y73473-BB+Y72614+Y73476"/>
        <s v="Y73230-OR+Y73231+Y73240"/>
        <s v="Y73040-DB+Y73045+Y73063"/>
        <s v="Y7002-DB+Y7005"/>
        <s v="Y72000-DB+Y72013+Y72749"/>
        <s v="Y7033-OR+Y7034"/>
        <s v="Y7031-DB+Y7032"/>
        <s v="Y73133-DB+Y73136+Y73267"/>
        <s v="Y72559-OR+Y72560+Y72399"/>
        <s v="Y72691-BL+Y72692+Y72758"/>
        <s v="Y73135-OR-ZH"/>
        <s v="Y73821-DB-ZH"/>
        <s v="Y7039-OR+Y7040+Y7041"/>
        <s v="Y7039-BL+Y7040+Y7041"/>
        <s v="Y7066-BL+Y7067+Y7068"/>
        <s v="Y7066-DB+Y7067+Y7068"/>
        <s v="Y72431-DB+Y72433+Y72531"/>
        <s v="0A-93V1-DOX1"/>
        <s v="Y73405-BL+Y73406+Y73397"/>
        <s v="Y73473-GR+Y72614+Y73476"/>
        <s v="Y73473-DB+Y72614+Y73476"/>
        <s v="Y71973-BL+Y71974+Y72754"/>
        <s v="Y73040-OR+Y73045+Y73063"/>
        <s v="Y7010-GE+Y7018+Y7014"/>
        <s v="Y7011-OR+Y7019+Y7015"/>
        <s v="Y7011-GE+Y7019+Y7015"/>
        <s v="Y72610-NB+Y72613+Y12803"/>
        <s v="Y72610-OR+Y72613+Y12803"/>
        <s v="Y73134-OR+Y03137+Y73268"/>
        <s v="Y73133-BL+Y73136+Y73267"/>
        <s v="Y73630-GR+Y73635+Y73643"/>
        <s v="Y72559-BL+Y72560+Y72399"/>
        <s v="Y7001-BB-ZH"/>
        <s v="Y73153-OR-ZH"/>
        <s v="Y73821-BU-ZH"/>
        <s v="9V-B8EY-M096"/>
        <s v="Y7036-OR-ZH"/>
        <s v="Y7039-BU+Y7040+Y7041"/>
        <s v="Y7063-DB+Y7064+Y7065"/>
        <s v="Y7072-OR+Y7073+Y7074"/>
        <s v="Y7084-BU+Y7085"/>
        <s v="Y7051-BL+Y7055+Y7059"/>
        <s v="Y7051-OR+Y7055+Y7059"/>
        <s v="Y7054-BU+Y7062+Y7058"/>
        <s v="Y7053-OR+Y7057+Y7061"/>
        <s v="Y7051-DB+Y7055+Y7059"/>
        <s v="Y7045-BL+Y7046+Y7047"/>
        <s v="Y7053-DB+Y7057+Y7061"/>
        <s v="Y7053-BL+Y7057+Y7061"/>
        <s v="Y7045-OR+Y7046+Y7047"/>
        <s v="Y7045-BU+Y7046+Y7047"/>
        <s v="Y7045-DB+Y7046+Y7047"/>
        <m/>
      </sharedItems>
    </cacheField>
    <cacheField name="会话次数 – 总计" numFmtId="0">
      <sharedItems containsString="0" containsBlank="1" containsNumber="1" containsInteger="1" minValue="0" maxValue="1822" count="107">
        <n v="1822"/>
        <n v="932"/>
        <n v="980"/>
        <n v="462"/>
        <n v="249"/>
        <n v="374"/>
        <n v="330"/>
        <n v="331"/>
        <n v="196"/>
        <n v="464"/>
        <n v="230"/>
        <n v="343"/>
        <n v="287"/>
        <n v="313"/>
        <n v="169"/>
        <n v="307"/>
        <n v="180"/>
        <n v="261"/>
        <n v="276"/>
        <n v="278"/>
        <n v="257"/>
        <n v="357"/>
        <n v="140"/>
        <n v="306"/>
        <n v="303"/>
        <n v="98"/>
        <n v="114"/>
        <n v="161"/>
        <n v="164"/>
        <n v="67"/>
        <n v="117"/>
        <n v="103"/>
        <n v="105"/>
        <n v="199"/>
        <n v="58"/>
        <n v="49"/>
        <n v="124"/>
        <n v="137"/>
        <n v="116"/>
        <n v="192"/>
        <n v="52"/>
        <n v="122"/>
        <n v="128"/>
        <n v="201"/>
        <n v="224"/>
        <n v="76"/>
        <n v="135"/>
        <n v="119"/>
        <n v="242"/>
        <n v="127"/>
        <n v="163"/>
        <n v="30"/>
        <n v="73"/>
        <n v="63"/>
        <n v="33"/>
        <n v="78"/>
        <n v="130"/>
        <n v="83"/>
        <n v="110"/>
        <n v="69"/>
        <n v="60"/>
        <n v="38"/>
        <n v="34"/>
        <n v="112"/>
        <n v="81"/>
        <n v="80"/>
        <n v="71"/>
        <n v="41"/>
        <n v="87"/>
        <n v="61"/>
        <n v="50"/>
        <n v="89"/>
        <n v="54"/>
        <n v="31"/>
        <n v="16"/>
        <n v="64"/>
        <n v="22"/>
        <n v="28"/>
        <n v="62"/>
        <n v="15"/>
        <n v="25"/>
        <n v="40"/>
        <n v="20"/>
        <n v="19"/>
        <n v="90"/>
        <n v="4"/>
        <n v="32"/>
        <n v="18"/>
        <n v="48"/>
        <n v="59"/>
        <n v="9"/>
        <n v="24"/>
        <n v="44"/>
        <n v="12"/>
        <n v="14"/>
        <n v="7"/>
        <n v="6"/>
        <n v="42"/>
        <n v="17"/>
        <n v="21"/>
        <n v="2"/>
        <n v="5"/>
        <n v="29"/>
        <n v="45"/>
        <n v="13"/>
        <n v="3"/>
        <m/>
      </sharedItems>
    </cacheField>
    <cacheField name="会话次数 – 总计 – B2B" numFmtId="0">
      <sharedItems containsString="0" containsBlank="1" containsNumber="1" containsInteger="1" minValue="0" maxValue="26" count="15">
        <n v="26"/>
        <n v="12"/>
        <n v="20"/>
        <n v="16"/>
        <n v="10"/>
        <n v="4"/>
        <n v="6"/>
        <n v="5"/>
        <n v="2"/>
        <n v="8"/>
        <n v="1"/>
        <n v="3"/>
        <n v="9"/>
        <n v="0"/>
        <m/>
      </sharedItems>
    </cacheField>
    <cacheField name="会话百分比 – 总计" numFmtId="0">
      <sharedItems containsString="0" containsBlank="1" containsNumber="1" minValue="0" maxValue="0.3041" count="103">
        <n v="0.1009"/>
        <n v="0.0516"/>
        <n v="0.0543"/>
        <n v="0.0256"/>
        <n v="0.0138"/>
        <n v="0.0207"/>
        <n v="0.0183"/>
        <n v="0.0109"/>
        <n v="0.0257"/>
        <n v="0.0127"/>
        <n v="0.019"/>
        <n v="0.0159"/>
        <n v="0.0173"/>
        <n v="0.0094"/>
        <n v="0.017"/>
        <n v="0.01"/>
        <n v="0.0145"/>
        <n v="0.0153"/>
        <n v="0.0154"/>
        <n v="0.0142"/>
        <n v="0.0198"/>
        <n v="0.0078"/>
        <n v="0.0169"/>
        <n v="0.0168"/>
        <n v="0.0054"/>
        <n v="0.0063"/>
        <n v="0.0089"/>
        <n v="0.0091"/>
        <n v="0.0037"/>
        <n v="0.0065"/>
        <n v="0.0057"/>
        <n v="0.0058"/>
        <n v="0.011"/>
        <n v="0.0032"/>
        <n v="0.0027"/>
        <n v="0.0069"/>
        <n v="0.0076"/>
        <n v="0.0064"/>
        <n v="0.0106"/>
        <n v="0.0029"/>
        <n v="0.0068"/>
        <n v="0.0071"/>
        <n v="0.0111"/>
        <n v="0.0124"/>
        <n v="0.0042"/>
        <n v="0.0075"/>
        <n v="0.0066"/>
        <n v="0.0134"/>
        <n v="0.007"/>
        <n v="0.009"/>
        <n v="0.0017"/>
        <n v="0.004"/>
        <n v="0.0035"/>
        <n v="0.0018"/>
        <n v="0.0043"/>
        <n v="0.0072"/>
        <n v="0.0046"/>
        <n v="0.0061"/>
        <n v="0.0038"/>
        <n v="0.0033"/>
        <n v="0.0021"/>
        <n v="0.0019"/>
        <n v="0.0062"/>
        <n v="0.0045"/>
        <n v="0.0044"/>
        <n v="0.0039"/>
        <n v="0.0023"/>
        <n v="0.0048"/>
        <n v="0.0034"/>
        <n v="0.0028"/>
        <n v="0.0049"/>
        <n v="0.003"/>
        <n v="0.0009"/>
        <n v="0.0012"/>
        <n v="0.0016"/>
        <n v="0.0008"/>
        <n v="0.0014"/>
        <n v="0.0022"/>
        <n v="0.0011"/>
        <n v="0.005"/>
        <n v="0.0002"/>
        <n v="0.001"/>
        <n v="0.0005"/>
        <n v="0.0013"/>
        <n v="0.0024"/>
        <n v="0.0007"/>
        <n v="0.0004"/>
        <n v="0.0003"/>
        <n v="0.0001"/>
        <n v="0.1306"/>
        <n v="0.3041"/>
        <n v="0.0676"/>
        <n v="0.0766"/>
        <n v="0.0653"/>
        <n v="0.0563"/>
        <n v="0.1014"/>
        <n v="0.0293"/>
        <n v="0.0203"/>
        <n v="0.045"/>
        <n v="0.0428"/>
        <n v="0.0158"/>
        <n v="0.027"/>
        <m/>
      </sharedItems>
    </cacheField>
    <cacheField name="会话百分比 – 总计 – B2B" numFmtId="0">
      <sharedItems containsString="0" containsBlank="1" containsNumber="1" minValue="0" maxValue="0.2105" count="18">
        <n v="0.08"/>
        <n v="0.0369"/>
        <n v="0.0615"/>
        <n v="0.0492"/>
        <n v="0.0308"/>
        <n v="0.0123"/>
        <n v="0.0185"/>
        <n v="0.0154"/>
        <n v="0.0062"/>
        <n v="0.0246"/>
        <n v="0.0031"/>
        <n v="0.0092"/>
        <n v="0.0277"/>
        <n v="0"/>
        <n v="0.2105"/>
        <n v="0.0526"/>
        <n v="0.1053"/>
        <m/>
      </sharedItems>
    </cacheField>
    <cacheField name="页面浏览量 – 总计" numFmtId="0">
      <sharedItems containsString="0" containsBlank="1" containsNumber="1" containsInteger="1" minValue="0" maxValue="2807" count="113">
        <n v="2807"/>
        <n v="1343"/>
        <n v="1443"/>
        <n v="650"/>
        <n v="380"/>
        <n v="506"/>
        <n v="429"/>
        <n v="472"/>
        <n v="276"/>
        <n v="636"/>
        <n v="321"/>
        <n v="476"/>
        <n v="407"/>
        <n v="426"/>
        <n v="242"/>
        <n v="430"/>
        <n v="245"/>
        <n v="333"/>
        <n v="374"/>
        <n v="348"/>
        <n v="301"/>
        <n v="477"/>
        <n v="194"/>
        <n v="384"/>
        <n v="425"/>
        <n v="465"/>
        <n v="119"/>
        <n v="157"/>
        <n v="187"/>
        <n v="250"/>
        <n v="339"/>
        <n v="79"/>
        <n v="180"/>
        <n v="145"/>
        <n v="258"/>
        <n v="75"/>
        <n v="74"/>
        <n v="172"/>
        <n v="204"/>
        <n v="154"/>
        <n v="229"/>
        <n v="149"/>
        <n v="186"/>
        <n v="231"/>
        <n v="316"/>
        <n v="93"/>
        <n v="198"/>
        <n v="167"/>
        <n v="153"/>
        <n v="319"/>
        <n v="211"/>
        <n v="34"/>
        <n v="71"/>
        <n v="102"/>
        <n v="82"/>
        <n v="48"/>
        <n v="185"/>
        <n v="103"/>
        <n v="158"/>
        <n v="87"/>
        <n v="62"/>
        <n v="41"/>
        <n v="144"/>
        <n v="100"/>
        <n v="95"/>
        <n v="84"/>
        <n v="46"/>
        <n v="108"/>
        <n v="98"/>
        <n v="59"/>
        <n v="106"/>
        <n v="65"/>
        <n v="66"/>
        <n v="16"/>
        <n v="40"/>
        <n v="78"/>
        <n v="39"/>
        <n v="37"/>
        <n v="81"/>
        <n v="42"/>
        <n v="30"/>
        <n v="47"/>
        <n v="85"/>
        <n v="25"/>
        <n v="22"/>
        <n v="49"/>
        <n v="23"/>
        <n v="5"/>
        <n v="55"/>
        <n v="54"/>
        <n v="43"/>
        <n v="17"/>
        <n v="6"/>
        <n v="11"/>
        <n v="56"/>
        <n v="20"/>
        <n v="27"/>
        <n v="18"/>
        <n v="7"/>
        <n v="38"/>
        <n v="29"/>
        <n v="15"/>
        <n v="19"/>
        <n v="3"/>
        <n v="10"/>
        <n v="9"/>
        <n v="58"/>
        <n v="208"/>
        <n v="44"/>
        <n v="61"/>
        <n v="2"/>
        <n v="12"/>
        <m/>
      </sharedItems>
    </cacheField>
    <cacheField name="页面浏览量 – 总计 – B2B" numFmtId="0">
      <sharedItems containsString="0" containsBlank="1" containsNumber="1" containsInteger="1" minValue="0" maxValue="46" count="18">
        <n v="46"/>
        <n v="14"/>
        <n v="25"/>
        <n v="20"/>
        <n v="4"/>
        <n v="6"/>
        <n v="5"/>
        <n v="10"/>
        <n v="8"/>
        <n v="2"/>
        <n v="11"/>
        <n v="1"/>
        <n v="9"/>
        <n v="3"/>
        <n v="13"/>
        <n v="7"/>
        <n v="0"/>
        <m/>
      </sharedItems>
    </cacheField>
    <cacheField name="页面浏览量百分比 – 总计" numFmtId="0">
      <sharedItems containsString="0" containsBlank="1" containsNumber="1" minValue="0" maxValue="0.3176" count="98">
        <n v="0.1128"/>
        <n v="0.054"/>
        <n v="0.058"/>
        <n v="0.0261"/>
        <n v="0.0153"/>
        <n v="0.0203"/>
        <n v="0.0172"/>
        <n v="0.019"/>
        <n v="0.0111"/>
        <n v="0.0256"/>
        <n v="0.0129"/>
        <n v="0.0191"/>
        <n v="0.0164"/>
        <n v="0.0171"/>
        <n v="0.0097"/>
        <n v="0.0173"/>
        <n v="0.0098"/>
        <n v="0.0134"/>
        <n v="0.015"/>
        <n v="0.014"/>
        <n v="0.0121"/>
        <n v="0.0192"/>
        <n v="0.0078"/>
        <n v="0.0154"/>
        <n v="0.0187"/>
        <n v="0.0048"/>
        <n v="0.0063"/>
        <n v="0.0075"/>
        <n v="0.01"/>
        <n v="0.0136"/>
        <n v="0.0032"/>
        <n v="0.0072"/>
        <n v="0.0058"/>
        <n v="0.0104"/>
        <n v="0.003"/>
        <n v="0.0069"/>
        <n v="0.0082"/>
        <n v="0.0062"/>
        <n v="0.0092"/>
        <n v="0.006"/>
        <n v="0.0093"/>
        <n v="0.0127"/>
        <n v="0.0037"/>
        <n v="0.008"/>
        <n v="0.0067"/>
        <n v="0.0061"/>
        <n v="0.0128"/>
        <n v="0.0085"/>
        <n v="0.0014"/>
        <n v="0.0029"/>
        <n v="0.0041"/>
        <n v="0.0033"/>
        <n v="0.0019"/>
        <n v="0.0074"/>
        <n v="0.0035"/>
        <n v="0.0025"/>
        <n v="0.0016"/>
        <n v="0.004"/>
        <n v="0.0038"/>
        <n v="0.0034"/>
        <n v="0.0018"/>
        <n v="0.0043"/>
        <n v="0.0039"/>
        <n v="0.0024"/>
        <n v="0.0026"/>
        <n v="0.0027"/>
        <n v="0.0006"/>
        <n v="0.0031"/>
        <n v="0.0015"/>
        <n v="0.0017"/>
        <n v="0.0012"/>
        <n v="0.001"/>
        <n v="0.0009"/>
        <n v="0.002"/>
        <n v="0.0002"/>
        <n v="0.0022"/>
        <n v="0.0007"/>
        <n v="0.0004"/>
        <n v="0.0023"/>
        <n v="0.0008"/>
        <n v="0.0011"/>
        <n v="0.0003"/>
        <n v="0.0001"/>
        <n v="0.1298"/>
        <n v="0.3176"/>
        <n v="0.0702"/>
        <n v="0.0855"/>
        <n v="0.0458"/>
        <n v="0.0672"/>
        <n v="0.0931"/>
        <n v="0.0275"/>
        <n v="0.0046"/>
        <n v="0.0168"/>
        <n v="0.0351"/>
        <n v="0.0183"/>
        <n v="0.029"/>
        <n v="0.0107"/>
        <m/>
      </sharedItems>
    </cacheField>
    <cacheField name="页面浏览量百分比 – 总计 – B2B" numFmtId="0">
      <sharedItems containsString="0" containsBlank="1" containsNumber="1" minValue="0" maxValue="0.2727" count="22">
        <n v="0.1022"/>
        <n v="0.0311"/>
        <n v="0.0556"/>
        <n v="0.0444"/>
        <n v="0.0089"/>
        <n v="0.0133"/>
        <n v="0.0111"/>
        <n v="0.0222"/>
        <n v="0.0178"/>
        <n v="0.0044"/>
        <n v="0.0244"/>
        <n v="0.0022"/>
        <n v="0.02"/>
        <n v="0.0067"/>
        <n v="0.0289"/>
        <n v="0.0156"/>
        <n v="0"/>
        <n v="0.2273"/>
        <n v="0.2727"/>
        <n v="0.0455"/>
        <n v="0.0909"/>
        <m/>
      </sharedItems>
    </cacheField>
    <cacheField name="推荐报价（购买按钮）百分比" numFmtId="0">
      <sharedItems containsString="0" containsBlank="1" containsNumber="1" minValue="0" maxValue="1" count="68">
        <n v="0.9391"/>
        <n v="0.9766"/>
        <n v="0.995"/>
        <n v="0.9886"/>
        <n v="0.9915"/>
        <n v="1"/>
        <n v="0.9662"/>
        <n v="0.9955"/>
        <n v="0.9924"/>
        <n v="0.9984"/>
        <n v="0.9474"/>
        <n v="0.9974"/>
        <n v="0.9949"/>
        <n v="0.9898"/>
        <n v="0.9976"/>
        <n v="0.9908"/>
        <n v="0.9689"/>
        <n v="0.9896"/>
        <n v="0.9958"/>
        <n v="0.9944"/>
        <n v="0.9892"/>
        <n v="0.9912"/>
        <n v="0.997"/>
        <n v="0.9726"/>
        <n v="0.9826"/>
        <n v="0.9921"/>
        <n v="0.9961"/>
        <n v="0.994"/>
        <n v="0.9793"/>
        <n v="0.9951"/>
        <n v="0.8226"/>
        <n v="0.9394"/>
        <n v="0.9817"/>
        <n v="0.9936"/>
        <n v="0.9149"/>
        <n v="0.9479"/>
        <n v="0.991"/>
        <n v="0.9897"/>
        <n v="0.9935"/>
        <n v="0.9494"/>
        <n v="0.9762"/>
        <n v="0.9877"/>
        <n v="0.9904"/>
        <n v="0.9348"/>
        <n v="0.9773"/>
        <n v="0.9694"/>
        <n v="0.9848"/>
        <n v="0.875"/>
        <n v="0.8889"/>
        <n v="0.9333"/>
        <n v="0.8824"/>
        <n v="0.9837"/>
        <n v="0.8"/>
        <n v="0.9524"/>
        <n v="0.8723"/>
        <n v="0.9667"/>
        <n v="0.8333"/>
        <n v="0.9863"/>
        <n v="0.7353"/>
        <n v="0.8947"/>
        <n v="0.9231"/>
        <n v="0.963"/>
        <n v="0.9815"/>
        <n v="0.5263"/>
        <n v="0.9259"/>
        <n v="0.9459"/>
        <n v="0.9"/>
        <m/>
      </sharedItems>
    </cacheField>
    <cacheField name="推荐报价（购买按钮）百分比 – B2B" numFmtId="0">
      <sharedItems containsString="0" containsBlank="1" containsNumber="1" minValue="0" maxValue="1" count="11">
        <n v="0.9348"/>
        <n v="1"/>
        <n v="0.7647"/>
        <n v="0.6667"/>
        <n v="0.9"/>
        <n v="0.75"/>
        <n v="0.8889"/>
        <n v="0"/>
        <n v="0.5"/>
        <n v="0.8333"/>
        <m/>
      </sharedItems>
    </cacheField>
    <cacheField name="已订购商品数量" numFmtId="0">
      <sharedItems containsString="0" containsBlank="1" containsNumber="1" containsInteger="1" minValue="0" maxValue="188" count="35">
        <n v="188"/>
        <n v="93"/>
        <n v="81"/>
        <n v="90"/>
        <n v="43"/>
        <n v="40"/>
        <n v="36"/>
        <n v="52"/>
        <n v="33"/>
        <n v="32"/>
        <n v="31"/>
        <n v="27"/>
        <n v="23"/>
        <n v="22"/>
        <n v="21"/>
        <n v="19"/>
        <n v="18"/>
        <n v="17"/>
        <n v="16"/>
        <n v="15"/>
        <n v="14"/>
        <n v="13"/>
        <n v="12"/>
        <n v="11"/>
        <n v="9"/>
        <n v="10"/>
        <n v="8"/>
        <n v="7"/>
        <n v="6"/>
        <n v="5"/>
        <n v="4"/>
        <n v="3"/>
        <n v="2"/>
        <n v="1"/>
        <m/>
      </sharedItems>
    </cacheField>
  </cacheFields>
</pivotCacheDefinition>
</file>

<file path=xl/pivotCache/pivotCacheDefinition42.xml><?xml version="1.0" encoding="utf-8"?>
<pivotCacheDefinition xmlns="http://schemas.openxmlformats.org/spreadsheetml/2006/main" xmlns:r="http://schemas.openxmlformats.org/officeDocument/2006/relationships" r:id="rId1" createdVersion="5" refreshedVersion="5" minRefreshableVersion="3" refreshedDate="45219.6150578704" refreshedBy="Administrator" recordCount="192">
  <cacheSource type="worksheet">
    <worksheetSource ref="B1:O1048576" sheet="7店0919-1018" r:id="rId2"/>
  </cacheSource>
  <cacheFields count="14">
    <cacheField name="（子）ASIN" numFmtId="0">
      <sharedItems containsBlank="1" count="163">
        <s v="B0BBG4W47P"/>
        <s v="B0CDLDJ7N4"/>
        <s v="B0B6PBJ5XP"/>
        <s v="B0BLYPT5CN"/>
        <s v="B0CDGZVZRS"/>
        <s v="B0CDK1Y499"/>
        <s v="B0B6PQXZZP"/>
        <s v="B0BBG5PFX4"/>
        <s v="B0BBFV5GCR"/>
        <s v="B0BBG47DWW"/>
        <s v="B0B5QS2BBK"/>
        <s v="B0B6VKLX2B"/>
        <s v="B0CDKTTFY5"/>
        <s v="B0B6PGB4JM"/>
        <s v="B0B6FWC6N6"/>
        <s v="B0CDK2DZNM"/>
        <s v="B0B5XBSDS2"/>
        <s v="B0BBFXGD1Q"/>
        <s v="B0B5XDHJZ7"/>
        <s v="B0BLXZ2PHT"/>
        <s v="B0CDGZ2GNB"/>
        <s v="B0BBGMPX7P"/>
        <s v="B0BBG13KWX"/>
        <s v="B0BBG4HBRL"/>
        <s v="B0CDGZVRJ8"/>
        <s v="B0CDKFJ16G"/>
        <s v="B0B5QVL591"/>
        <s v="B0BBG4X86G"/>
        <s v="B0B6VRRMWW"/>
        <s v="B0BCFGZF9F"/>
        <s v="B0CDKYKTCP"/>
        <s v="B0BLXVWKNB"/>
        <s v="B0B5ZK6MRR"/>
        <s v="B0C7ZM4H8Z"/>
        <s v="B0CDKMY8Z9"/>
        <s v="B0B6PGY5QJ"/>
        <s v="B0B6FQ7GBY"/>
        <s v="B0CDKYLFXB"/>
        <s v="B0B5XFNDV8"/>
        <s v="B0BQRNJQZM"/>
        <s v="B0C7ZL4Z59"/>
        <s v="B0B5ZLP61G"/>
        <s v="B0BQMLFFHR"/>
        <s v="B0B5QR55XG"/>
        <s v="B0B68J2J8P"/>
        <s v="B0BBG2NL26"/>
        <s v="B0BBG65L2P"/>
        <s v="B0BQRHRQ89"/>
        <s v="B0B5ZHZ6P6"/>
        <s v="B0BBFVR6W8"/>
        <s v="B0BQMLXY38"/>
        <s v="B0B6VQZZ1W"/>
        <s v="B0CDKMYQLQ"/>
        <s v="B0B5ZPYKY5"/>
        <s v="B0B6VQ6DC8"/>
        <s v="B0CDL6H6L4"/>
        <s v="B0B6PCXL1N"/>
        <s v="B0BLY64GWX"/>
        <s v="B0B68H64R9"/>
        <s v="B0BQMNJ6Q3"/>
        <s v="B0BQRPNLNX"/>
        <s v="B0CDH2HY46"/>
        <s v="B0B68GLBJM"/>
        <s v="B0CGX382NL"/>
        <s v="B0B6VN2HH7"/>
        <s v="B0BBG19C9R"/>
        <s v="B0BQMJBXVV"/>
        <s v="B0BQMNG5Q2"/>
        <s v="B0C3QJF82L"/>
        <s v="B0BBG56FJP"/>
        <s v="B0BQMMFRGQ"/>
        <s v="B0B6RFXWWW"/>
        <s v="B0B6VM88JM"/>
        <s v="B0C7ZL429N"/>
        <s v="B0B6PNC3JZ"/>
        <s v="B0BQML1ZRK"/>
        <s v="B0BQMLCGZR"/>
        <s v="B0C39R9CKF"/>
        <s v="B0CDH22FFC"/>
        <s v="B0CGX24JGD"/>
        <s v="B0CGX2PHRG"/>
        <s v="B0B63LPZZ8"/>
        <s v="B0BQMFSMP6"/>
        <s v="B0BQMJKB4S"/>
        <s v="B0CDGYNNPZ"/>
        <s v="B0BBFVN3V9"/>
        <s v="B0BQRP2G6J"/>
        <s v="B0BQRPKHGV"/>
        <s v="B0B5ZN9XPZ"/>
        <s v="B0B6P2GJ5K"/>
        <s v="B0B6RFCSZL"/>
        <s v="B0BCFKXPWX"/>
        <s v="B0BQJHYV98"/>
        <s v="B0C3QG58M3"/>
        <s v="B0C7ZJ1DD7"/>
        <s v="B0B63J18RW"/>
        <s v="B0B63NLM2C"/>
        <s v="B0BBFYQ998"/>
        <s v="B0BQMLF83Q"/>
        <s v="B0BQRP5Q8K"/>
        <s v="B0C1C3DN9D"/>
        <s v="B0C39QRGJ7"/>
        <s v="B0B5XFNJRJ"/>
        <s v="B0B6RDT7JN"/>
        <s v="B0B6VGTFXW"/>
        <s v="B0BQJHSY7P"/>
        <s v="B0BYP9YW93"/>
        <s v="B0BZCRVBC8"/>
        <s v="B0C2TGTPPR"/>
        <s v="B0CDGY3PH4"/>
        <s v="B0CGX1WNFT"/>
        <s v="B0CGX383LR"/>
        <s v="B0CGX4CFML"/>
        <s v="B0B5XCX58S"/>
        <s v="B0B6PDYBL9"/>
        <s v="B0B6RB2JKB"/>
        <s v="B0B6RC99NX"/>
        <s v="B0B6RD6DRX"/>
        <s v="B0B6VP68KJ"/>
        <s v="B0BBG1ZGYS"/>
        <s v="B0BBG2D31Y"/>
        <s v="B0BCFL1S54"/>
        <s v="B0BCFLZZ4Q"/>
        <s v="B0BQMF2BX9"/>
        <s v="B0C2Q3CC3D"/>
        <s v="B0C3QJR1F6"/>
        <s v="B0CDGYKC4Q"/>
        <s v="B0B5TLSDJH"/>
        <s v="B0B5X9Z9RJ"/>
        <s v="B0B5XLV7NX"/>
        <s v="B0B6PL25WN"/>
        <s v="B0B6PMRZH8"/>
        <s v="B0B6PN6971"/>
        <s v="B0B6RDRJLB"/>
        <s v="B0B6VN8FCN"/>
        <s v="B0BBFXXM8H"/>
        <s v="B0BBG47YJ3"/>
        <s v="B0BQRNJKNG"/>
        <s v="B0BQRNV2Z3"/>
        <s v="B0BQRPGXSB"/>
        <s v="B0C1C28GH9"/>
        <s v="B0C1C42DFH"/>
        <s v="B0C2TDWMR4"/>
        <s v="B0C39QMLST"/>
        <s v="B0C3QKV3M1"/>
        <s v="B0CDGWKNYJ"/>
        <s v="B0CDGZ929Z"/>
        <s v="B0B5X9ZNNM"/>
        <s v="B0B63GFYYK"/>
        <s v="B0B6FJ6GH5"/>
        <s v="B0B6VHZD93"/>
        <s v="B0B6VJHP8Q"/>
        <s v="B0BQJFPSQB"/>
        <s v="B0BZCTDPWZ"/>
        <s v="B0BZD1QP7N"/>
        <s v="B0C1VFZYP5"/>
        <s v="B0C2Q5G4WP"/>
        <s v="B0C2TCNT1B"/>
        <s v="B0C2TDNY87"/>
        <s v="B0C2TJLNYC"/>
        <s v="B0CGX537RQ"/>
        <s v="B0C2T94PMQ"/>
        <m/>
      </sharedItems>
    </cacheField>
    <cacheField name="商品名称" numFmtId="0">
      <sharedItems containsBlank="1" count="172">
        <s v="TASHHAR Phone Case for iPhone 14 Pro Max Case,Heavy Duty Hard Shockproof Armor Protector Case Cover with Belt Clip Holster for Apple iPhone 14 Pro Max 6.7 5G 2022 Phone Case (Black)"/>
        <s v="TASHHAR Phone Case for iPhone 15 Pro Max Case,Heavy Duty Hard Shockproof Armor Protector Case Cover with Belt Clip Holster for Apple iPhone 15 Pro Max 6.7 5G 2023 Phone Case (Black)"/>
        <s v="TASHHAR Phone Case for iPhone 13 Pro Max Phone, Heavy Duty Hard Shockproof Armor Protector Case Cover with Belt Clip Holster for Apple iPhone 13 Pro Max 5G 2021 Phone Case (Black)"/>
        <s v="TASHHAR Phone Case for Samsung Galaxy A14 5G case,Heavy Duty Hard Shockproof Armor Protector Case Cover with Belt Clip Holster for Samsung A14 5G 2023 Phone Case (Black)"/>
        <s v="TASHHAR Phone Case for iPhone 15 Pro Case,Heavy Duty Hard Shockproof Armor Protector Case Cover with Belt Clip Holster for Apple iPhone 15 Pro 6.1 5G 2023 Phone Case (Black)"/>
        <s v="TASHHAR Phone Case for iPhone 15 Plus Case,Heavy Duty Hard Shockproof Armor Protector Case Cover with Belt Clip Holster for Apple iPhone 15 Plus 6.7 5G 2023 Phone Case (Black)"/>
        <s v="TASHHAR Phone Case for iPhone 13 Pro Max Phone, Heavy Duty Hard Shockproof Armor Protector Case Cover with Belt Clip Holster for Apple iPhone 13 Pro Max 5G 2021 Phone Case (Black+Blue)"/>
        <s v="TASHHAR Phone Case for iPhone 14 Pro Max Case,Heavy Duty Hard Shockproof Armor Protector Case Cover with Belt Clip Holster for Apple iPhone 14 Pro Max 6.7 5G 2022 Phone Case (Black+Blue)"/>
        <s v="TASHHAR Phone Case for iPhone 14 Case,Heavy Duty Hard Shockproof Armor Protector Case Cover with Belt Clip Holster for Apple iPhone 14 6.1 5G 2022 Phone Case (Black)"/>
        <s v="TASHHAR Phone Case for iPhone 14 Pro Max Case,Heavy Duty Hard Shockproof Armor Protector Case Cover with Belt Clip Holster for Apple iPhone 14 Pro Max 6.7 5G 2022 Phone Case (Black+Orange)"/>
        <s v="TASHHAR Phone Case for Samsung Galaxy A71 5G, Heavy Duty Hard Shockproof Armor Protector Case Cover with Belt Clip Holster for Samsung A71 5G 6.7 inch Phone (Black)"/>
        <s v="TASHHAR Phone Case for iPhone 12 Case, iPhone 12 Pro, Heavy Duty Hard Shockproof Armor Protector Case Cover with Belt Clip Holster for Apple iPhone 12 6.1 2020 Phone Case (Black)"/>
        <s v="TASHHAR Phone Case for iPhone 15 Pro Max Case,Heavy Duty Hard Shockproof Armor Protector Case Cover with Belt Clip Holster for Apple iPhone 15 Pro Max 6.7 5G 2023 Phone Case(Black+Blue)"/>
        <s v="TASHHAR Phone Case for iPhone 13 Pro Max Phone, Heavy Duty Hard Shockproof Armor Protector Case Cover with Belt Clip Holster for Apple iPhone 13 Pro Max 5G 2021 Phone Case (Black+Orange)"/>
        <s v="TASHHAR Phone Case for iPhone 12 Pro Max Phone, Heavy Duty Hard Shockproof Armor Protector Case Cover with Belt Clip Holster for Apple iPhone 12 6.7 5G 2020… (Black)"/>
        <s v="TASHHAR Phone Case for iPhone 15 Plus Case,Heavy Duty Hard Shockproof Armor Protector Case Cover with Belt Clip Holster for Apple iPhone 15 Plus 6.7 5G 2023 Phone Case (Black+Blue)"/>
        <s v="TASHHAR Phone Case for Samsung Galaxy A21 Phone, Heavy Duty Hard Shockproof Armor Protector Case Cover with Belt Clip Holster for Samsung A21 (Black)"/>
        <s v="TASHHAR Phone Case for iPhone 14 Case,Heavy Duty Hard Shockproof Armor Protector Case Cover with Belt Clip Holster for Apple iPhone 14 6.1 5G 2022 Phone Case (Black+Blue)"/>
        <s v="TASHHAR Phone Case for Samsung Galaxy A21 Phone, Heavy Duty Hard Shockproof Armor Protector Case Cover with Belt Clip Holster for Samsung A21 (Black+Orange)"/>
        <s v="TASHHAR Phone Case for Samsung Galaxy A14 5G case,Heavy Duty Hard Shockproof Armor Protector Case Cover with Belt Clip Holster for Samsung A14 5G 2023 Phone Case (Black+Orange)"/>
        <s v="TASHHAR Phone Case for iPhone 15 Pro Case,Heavy Duty Hard Shockproof Armor Protector Case Cover with Belt Clip Holster for Apple iPhone 15 Pro 6.1 5G 2023 Phone Case (Black+Orange)"/>
        <s v="TASHHAR Phone Case for iPhone 14 Pro Max Case,Heavy Duty Hard Shockproof Armor Protector Case Cover with Belt Clip Holster for Apple iPhone 14 Pro Max 6.7 5G 2022 Phone Case (Navy Blue)"/>
        <s v="TASHHAR Phone Case for iPhone 14 Pro Case,Heavy Duty Hard Shockproof Armor Protector Case Cover with Belt Clip Holster for Apple iPhone 14 Pro 6.1 5G 2022 Phone Case (Black)"/>
        <s v="TASHHAR Phone Case for iPhone 14 Plus Case,Heavy Duty Hard Shockproof Armor Protector Case Cover with Belt Clip Holster for Apple iPhone 14 Plus 6.7 5G 2022 Phone Case (Black+Blue)"/>
        <s v="TASHHAR Phone Case for iPhone 15 Pro Case,Heavy Duty Hard Shockproof Armor Protector Case Cover with Belt Clip Holster for Apple iPhone 15 Pro 6.1 5G 2023 Phone Case (Black+Blue)"/>
        <s v="TASHHAR Phone Case for iPhone 15 Plus Case,Heavy Duty Hard Shockproof Armor Protector Case Cover with Belt Clip Holster for Apple iPhone 15 Plus 6.7 5G 2023 Phone Case (Black+Orange)"/>
        <s v="TASHHAR Phone Case for Samsung Galaxy A71 5G, Heavy Duty Hard Shockproof Armor Protector Case Cover with Belt Clip Holster for Samsung A71 5G 6.7 inch Phone (Black+Orange)"/>
        <s v="TASHHAR Phone Case for iPhone 14 Plus Case,Heavy Duty Hard Shockproof Armor Protector Case Cover with Belt Clip Holster for Apple iPhone 14 Plus 6.7 5G 2022 Phone Case (Black)"/>
        <s v="TASHHAR Phone Case for iPhone 12 Case, iPhone 12 Pro, Heavy Duty Hard Shockproof Armor Protector Case Cover with Belt Clip Holster for Apple iPhone 12 6.1 2020 Phone Case (Black+Orange)"/>
        <s v="TASHHAR Phone Case for iPhone 12 Pro Max Phone, Heavy Duty Hard Shockproof Armor Protector Case Cover with Belt Clip Holster for Apple iPhone 12 6.7 5G 2020 (Black+Orange)"/>
        <s v="TASHHAR Phone Case for iPhone 15 Pro Max Case,Heavy Duty Hard Shockproof Armor Protector Case Cover with Belt Clip Holster for Apple iPhone 15 Pro Max 6.7 5G 2023 Phone Case(Black+Orange)"/>
        <s v="TASHHAR Phone Case for Samsung Galaxy A14 5G case,Heavy Duty Hard Shockproof Armor Protector Case Cover with Belt Clip Holster for Samsung A14 5G 2023 Phone Case (Black+Blue)"/>
        <s v="TASHHAR Phone Case for Samsung Galaxy A51 4G Phone,Heavy Duty Hard Shockproof Armor Protector Case Cover with Belt Clip Holster for Samsung A51 4G 6.5 inch Phone (Black+Orange)"/>
        <s v="TASHHAR Phone Case for Moto G Stylus 5G 2023 Case,Heavy Duty Hard Shockproof Armor Protector Case Cover with Belt Clip Holster for Moto G Stylus 5G 2023 Phone Case (Black)"/>
        <s v="TASHHAR Phone Case for iPhone 15 Plus Case,Heavy Duty Hard Shockproof Armor Protector Case Cover with Belt Clip Holster for Apple iPhone 15 Plus 6.7 5G 2023 Phone Case (Navy Blue)"/>
        <s v="TASHHAR Phone Case for iPhone 13 Pro Max Phone, Heavy Duty Hard Shockproof Armor Protector Case Cover with Belt Clip Holster for Apple iPhone 13 Pro Max 5G 2021 Phone Case (Navy Blue)"/>
        <s v="TASHHAR Phone Case for iPhone 12 Pro Max Phone, Heavy Duty Hard Shockproof Armor Protector Case Cover with Belt Clip Holster for Apple iPhone 12 6.7 5G 2020… (Navy Blue)"/>
        <s v="TASHHAR Phone Case for iPhone 15 Pro Max Case,Heavy Duty Hard Shockproof Armor Protector Case Cover with Belt Clip Holster for Apple iPhone 15 Pro Max 6.7 5G 2023 Phone Case(Navy Blue)"/>
        <s v="TASHHAR Phone Case for Samsung Galaxy A21 Phone, Heavy Duty Hard Shockproof Armor Protector Case Cover with Belt Clip Holster for Samsung A21 (Navy Blue)"/>
        <s v="TASHHAR Phone Case for Samsung Galaxy S23 case,Heavy Duty Hard Shockproof Armor Protector Case Cover with Belt Clip Holster for Samsung S23 2023 Phone Case (Black)"/>
        <s v="TASHHAR Phone Case for Moto G Stylus 5G 2023 Case,Heavy Duty Hard Shockproof Armor Protector Case Cover with Belt Clip Holster for Moto G Stylus 5G 2023 Phone Case (Black+Orange)"/>
        <s v="TASHHAR Phone Case for Samsung Galaxy A51 4G Phone,Heavy Duty Hard Shockproof Armor Protector Case Cover with Belt Clip Holster for Samsung A51 4G 6.5 inch Phone (Black)"/>
        <s v="TASHHAR Phone Case for Samsung Galaxy S23 Plus case,Heavy Duty Hard Shockproof Armor Protector Case Cover with Belt Clip Holster for Samsung S23+ 2023 Phone Case (Black)"/>
        <s v="TASHHAR Phone Case for Samsung Galaxy A71 5G, Heavy Duty Hard Shockproof Armor Protector Case Cover with Belt Clip Holster for Samsung A71 5G 6.7 inch Phone (Navy Blue)"/>
        <s v="TASHHAR Phone Case for Motorola Moto One 5G Ace Phone, Heavy Duty Hard Shockproof Armor Protector Case Cover with Belt Clip Holster for Motorola One 5G Ace 2021 (Black)"/>
        <s v="TASHHAR Phone Case for iPhone 14 Plus Case,Heavy Duty Hard Shockproof Armor Protector Case Cover with Belt Clip Holster for Apple iPhone 14 Plus 6.7 5G 2022 Phone Case (Black+Orange)"/>
        <s v="TASHHAR Phone Case for iPhone 14 Pro Max Case,Heavy Duty Hard Shockproof Armor Protector Case Cover with Belt Clip Holster for Apple iPhone 14 Pro Max 6.7 5G 2022 Phone Case (Green+Yellow)"/>
        <s v="TASHHAR Phone Case for Samsung Galaxy S23 case,Heavy Duty Hard Shockproof Armor Protector Case Cover with Belt Clip Holster for Samsung S23 2023 Phone Case (Black+Blue)"/>
        <s v="TASHHAR Phone Case for Samsung Galaxy A51 4G Phone,Heavy Duty Hard Shockproof Armor Protector Case Cover with Belt Clip Holster for Samsung A51 4G 6.5 inch Phone (Navy Blue)"/>
        <s v="TASHHAR Phone Case for iPhone 14 Case,Heavy Duty Hard Shockproof Armor Protector Case Cover with Belt Clip Holster for Apple iPhone 14 6.1 5G 2022 Phone Case (Black+Orange)"/>
        <s v="TASHHAR Phone Case for Samsung Galaxy S23 Plus case,Heavy Duty Hard Shockproof Armor Protector Case Cover with Belt Clip Holster for Samsung S23+ 2023 Phone Case (Black+Orange)"/>
        <s v="TASHHAR Phone Case for Samsung Galaxy S22 Ultra, Heavy Duty Hard Shockproof Armor Protector Case Cover with Belt Clip Holster for Samsung S22 Ultra 5G 6.8-inch (Black)"/>
        <s v="TASHHAR Phone Case for iPhone 15 Plus Case,Heavy Duty Hard Shockproof Armor Protector Case Cover with Belt Clip Holster for Apple iPhone 15 Plus 6.7 5G 2023 Phone Case (Green+Yellow)"/>
        <s v="TASHHAR Phone Case for Samsung Galaxy A11 Phone, Heavy Duty Hard Shockproof Drop Protection Case with Belt Clip Holster for Samsung A11 (Black)"/>
        <s v="TASHHAR Phone Case for iPhone 12 Case, iPhone 12 Pro, Heavy Duty Hard Shockproof Armor Protector Case Cover with Belt Clip Holster for Apple iPhone 12 6.1 2020 Phone Case (Navy Blue)"/>
        <s v="TASHHAR Phone Case for iPhone 15 Pro Max Case,Heavy Duty Hard Shockproof Armor Protector Case Cover with Belt Clip Holster for Apple iPhone 15 Pro Max 6.7 5G 2023 Phone Case(Green+Yellow)"/>
        <s v="TASHHAR Phone Case for iPhone 13 Pro Max Phone, Heavy Duty Hard Shockproof Armor Protector Case Cover with Belt Clip Holster for Apple iPhone 13 Pro Max 5G 2021 Phone Case (Green+Yellow)"/>
        <s v="TASHHAR Phone Case for Samsung Galaxy A14 5G case,Heavy Duty Hard Shockproof Armor Protector Case Cover with Belt Clip Holster for Samsung A14 5G 2023 Phone Case (Navy Blue)"/>
        <s v="TASHHAR Phone Case for Motorola Moto One 5G Ace Phone, Heavy Duty Hard Shockproof Armor Protector Case Cover with Belt Clip Holster for Motorola One 5G Ace 2021 (Navy Blue)"/>
        <s v="TASHHAR Phone Case for Samsung Galaxy S23 Ultra case,Heavy Duty Hard Shockproof Armor Protector Case Cover with Belt Clip Holster for Samsung S23 Ultra 2023 Phone Case (Black)"/>
        <s v="TASHHAR Phone Case for Samsung Galaxy S23 case,Heavy Duty Hard Shockproof Armor Protector Case Cover with Belt Clip Holster for Samsung S23 2023 Phone Case (Black+Orange)"/>
        <s v="TASHHAR Phone Case for iPhone 15 Pro Case,Heavy Duty Hard Shockproof Armor Protector Case Cover with Belt Clip Holster for Apple iPhone 15 Pro 6.1 5G 2023 Phone Case (Navy Blue)"/>
        <s v="TASHHAR Phone Case for Motorola Moto One 5G Ace Phone, Heavy Duty Hard Shockproof Armor Protector Case Cover with Belt Clip Holster for Motorola One 5G Ace 2021 (Black+Orange)"/>
        <s v="TASHHAR Phone Case for Google Pixel 8 Pro Case,Heavy Duty Hard Shockproof Armor Protector Case Cover with Belt Clip Holster for Google Pixel 8 Pro 2023 Phone Case (Black)"/>
        <s v="TASHHAR Phone Case for Samsung Galaxy S22 Ultra, Heavy Duty Hard Shockproof Armor Protector Case Cover with Belt Clip Holster for Samsung S22 Ultra 5G 6.8-inch (Black+ Orange)"/>
        <s v="TASHHAR Phone Case for iPhone 14 Plus Case,Heavy Duty Hard Shockproof Armor Protector Case Cover with Belt Clip Holster for Apple iPhone 14 Plus 6.7 5G 2022 Phone Case (Navy Blue)"/>
        <s v="TASHHAR Phone Case for Samsung Galaxy A54 5G case,Heavy Duty Hard Shockproof Armor Protector Case Cover with Belt Clip Holster for Samsung A54 5G 2023 Phone Case (Black)"/>
        <s v="TASHHAR Phone Case for Samsung Galaxy S23 Plus case,Heavy Duty Hard Shockproof Armor Protector Case Cover with Belt Clip Holster for Samsung S23+ 2023 Phone Case (Black+Blue)"/>
        <s v="TASHHAR Phone Case for Samsung Galaxy A24 4G case,Heavy Duty Hard Shockproof Armor Protector Case Cover with Belt Clip Holster for Samsung A24 4G 2023 Phone Case (Black)"/>
        <s v="TASHHAR Phone Case for iPhone 14 Plus Case,Heavy Duty Hard Shockproof Armor Protector Case Cover with Belt Clip Holster for Apple iPhone 14 Plus 6.7 5G 2022 Phone Case (Green+Yellow)"/>
        <s v="TASHHAR Phone Case for Samsung Galaxy S23 Ultra case,Heavy Duty Hard Shockproof Armor Protector Case Cover with Belt Clip Holster for Samsung S23 Ultra 2023 Phone Case (Black+Blue)"/>
        <s v="TASHHAR Phone Case for Samsung Galaxy A02S, Heavy Duty Hard Shockproof Armor Protector Case Cover with Belt Clip Holster for Samsung A02S Phone Case (Black)"/>
        <s v="TASHHAR Phone Case for Samsung Galaxy S22 Ultra, Heavy Duty Hard Shockproof Armor Protector Case Cover with Belt Clip Holster for Samsung S22 Ultra 5G 6.8-inch (Black+Blue)"/>
        <s v="TASHHAR Phone Case for Moto G Stylus 5G 2023 Case,Heavy Duty Hard Shockproof Armor Protector Case Cover with Belt Clip Holster for Moto G Stylus 5G 2023 Phone Case (Black+Blue)"/>
        <s v="TASHHAR Phone Case for iPhone 13 Case, Heavy Duty Hard Shockproof Armor Protector Case Cover with Belt Clip Holster for Apple iPhone 13 6.1 5G 2021 Phone Case (Black+Blue)"/>
        <s v="TASHHAR Phone Case for Samsung Galaxy S23 Ultra case,Heavy Duty Hard Shockproof Armor Protector Case Cover with Belt Clip Holster for Samsung S23 Ultra 2023 Phone Case (Black+Orange)"/>
        <s v="TASHHAR Phone Case for Samsung Galaxy S23 Plus case,Heavy Duty Hard Shockproof Armor Protector Case Cover with Belt Clip Holster for Samsung S23+ 2023 Phone Case (Navy Blue)"/>
        <s v="TASHHAR Shockproof Phone Case for Motorola Moto G Power 2023 with Belt Clip Holster, 3 in 1 Heavy Duty Rugged Full-Body Protective Case Military Grade Cell Phone Cover with Kickstand(Black)"/>
        <s v="TASHHAR Phone Case for iPhone 15 Case,Heavy Duty Hard Shockproof Armor Protector Case Cover with Belt Clip Holster for Apple iPhone 15 6.1 5G 2023 Phone Case(Black+Blue)"/>
        <s v="TASHHAR Phone Case for Google Pixel 8 Pro Case,Heavy Duty Hard Shockproof Armor Protector Case Cover with Belt Clip Holster for Google Pixel 8 Pro 2023 Phone Case (Black+Blue)"/>
        <s v="TASHHAR Phone Case for Google Pixel 8 Pro Case,Heavy Duty Hard Shockproof Armor Protector Case Cover with Belt Clip Holster for Google Pixel 8 Pro 2023 Phone Case (Black+Orange)"/>
        <s v="TASHHAR Phone Case for Motorola Moto G Stylus 5G Phone, Heavy Duty Hard Shockproof Armor Protector Case Cover with Belt Clip Holster for Motorola G Stylus 5G 2021 (Navy Blue)"/>
        <s v="TASHHAR Phone Case for Samsung Galaxy A54 5G case,Heavy Duty Hard Shockproof Armor Protector Case Cover with Belt Clip Holster for Samsung A54 5G 2023 Phone Case (Black+Blue)"/>
        <s v="TASHHAR Phone Case for Samsung Galaxy A54 5G case,Heavy Duty Hard Shockproof Armor Protector Case Cover with Belt Clip Holster for Samsung A54 5G 2023 Phone Case (Navy Blue)"/>
        <s v="TASHHAR Phone Case for iPhone 15 Pro Case,Heavy Duty Hard Shockproof Armor Protector Case Cover with Belt Clip Holster for Apple iPhone 15 Pro 6.1 5G 2023 Phone Case (Green+Yellow)"/>
        <s v="TASHHAR Phone Case for iPhone 14 Case,Heavy Duty Hard Shockproof Armor Protector Case Cover with Belt Clip Holster for Apple iPhone 14 6.1 5G 2022 Phone Case (Navy Blue)"/>
        <s v="TASHHAR Phone Case for Motorola Moto G Power 2021 Case, Heavy Duty Hard Shockproof Armor Protector Case Cover with Belt Clip Holster for Motorola G Power 2021 Phone (Navy Blue)"/>
        <s v="TASHHAR Phone Case for Samsung Galaxy S23 case,Heavy Duty Hard Shockproof Armor Protector Case Cover with Belt Clip Holster for Samsung S23 2023 Phone Case (Navy Blue)"/>
        <s v="TASHHAR Phone Case for Samsung Galaxy A11 Phone, Heavy Duty Hard Shockproof Drop Protection Case with Belt Clip Holster for Samsung A11 (Black&amp;Orange)"/>
        <s v="TASHHAR Phone Case for iPhone 13 Pro Phone, Heavy Duty Hard Shockproof Armor Protector Case Cover with Belt Clip Holster for Apple iPhone 13 Pro 6.1 5G 2021 Phone Case (Navy Blue)"/>
        <s v="TASHHAR Phone Case for Samsung Galaxy A02S, Heavy Duty Hard Shockproof Armor Protector Case Cover with Belt Clip Holster for Samsung A02S Phone Case (Navy Blue)"/>
        <s v="TASHHAR Phone Case for iPhone 12 Mini Case, Heavy Duty Hard Shockproof Armor Protector Case Cover with Belt Clip Holster for Apple iPhone 12 Mini 5.4 2020 Phone Case (Black)"/>
        <s v="TASHHAR Phone Case for LG Stylo 5, LG Stylo 5 Plus/LG Stylo 5V Case,Heavy Duty Hard Shockproof Armor Protector Case Cover with Belt Clip Holster for LG Stylo 5 (Black)"/>
        <s v="TASHHAR Phone Case for Samsung Galaxy A24 4G case,Heavy Duty Hard Shockproof Armor Protector Case Cover with Belt Clip Holster for Samsung A24 4G 2023 Phone Case (Black+Orange)"/>
        <s v="TASHHAR Phone Case for Moto G Stylus 5G 2023 Case,Heavy Duty Hard Shockproof Armor Protector Case Cover with Belt Clip Holster for Moto G Stylus 5G 2023 Phone Case (Navy Blue)"/>
        <s v="TASHHAR Phone Case for Samsung Galaxy A42 5G Phone, Heavy Duty Hard Shockproof Armor Protector Case Cover with Belt Clip Holster for Samsung A42 5G (Navy Blue)"/>
        <s v="TASHHAR Phone Case for Motorola Moto G Stylus 5G Phone, Heavy Duty Hard Shockproof Armor Protector Case Cover with Belt Clip Holster for Motorola G Stylus 5G 2021 (Black+Orange)"/>
        <s v="TASHHAR Phone Case for iPhone 14 Pro Case,Heavy Duty Hard Shockproof Armor Protector Case Cover with Belt Clip Holster for Apple iPhone 14 Pro 6.1 5G 2022 Phone Case (Black+Blue)"/>
        <s v="TASHHAR Phone Case for Samsung Galaxy S23 Ultra case,Heavy Duty Hard Shockproof Armor Protector Case Cover with Belt Clip Holster for Samsung S23 Ultra 2023 Phone Case (Navy Blue)"/>
        <s v="TASHHAR Phone Case for Motorola Moto G Power 2021 Case, Heavy Duty Hard Shockproof Armor Protector Case Cover with Belt Clip Holster for Motorola G Power 2021 Phone (Black+Orange)"/>
        <s v="TASHHAR Phone Case for Motorola Moto G Fast Case,Heavy Duty Hard Shockproof Armor Protective Case Cover with Belt Clip Holster for Motorola G Fast 2020 Phone (Navy Blue)"/>
        <s v="TASHHAR Shockproof Phone Case for Motorola Moto G Power 2023 with Belt Clip Holster, 3 in 1 Heavy Duty Rugged Full-Body Protective Case Military Grade Cell Phone Cover with Kickstand (Navy Blue)"/>
        <s v="TASHHAR Phone Case for Samsung Galaxy A12 5G Phone, Heavy Duty Hard Shockproof Armor Protector Case Cover with Belt Clip Holster for Samsung A12 5G (Black+Orange)"/>
        <s v="TASHHAR Phone Case for Samsung Galaxy A32 5G, Heavy Duty Hard Shockproof Armor Protector Case Cover with Belt Clip Holster for Samsung A32 5G Phone (Navy Blue)"/>
        <s v="TASHHAR Phone Case for iPhone 15 Case,Heavy Duty Hard Shockproof Armor Protector Case Cover with Belt Clip Holster for Apple iPhone 15 6.1 5G 2023 Phone Case (Navy Blue-1)"/>
        <s v="TASHHAR Phone Case for LG Stylo 5, LG Stylo 5 Plus/LG Stylo 5V Case,Heavy Duty Hard Shockproof Armor Protector Case Cover with Belt Clip Holster for LG Stylo 5 (Navy Blue)"/>
        <s v="TASHHAR Phone Case for Motorola Moto G Pure, Heavy Duty Hard Shockproof Armor Protector Case Cover with Belt Clip Holster for Motorola G Pure 2021 6.5-inch (Green+Yellow)"/>
        <s v="TASHHAR Phone Case for Samsung Galaxy A01 Phone, Heavy Duty Hard Shockproof Armor Protector Case Cover with Belt Clip Holster for Samsung A01 Phone Case (Black+Orange)"/>
        <s v="TASHHAR Shockproof Phone Case for Motorola Moto G Power 2022 with Belt Clip Holster, 3 in 1 Heavy Duty Rugged Full-Body Protective Case Military Grade Cell Phone Cover with Kickstand (Navy Blue)"/>
        <s v="TASHHAR Phone Case for iPhone 15 Case,Heavy Duty Hard Shockproof Armor Protector Case Cover with Belt Clip Holster for Apple iPhone 15 6.1 5G 2023 Phone Case (Orange)"/>
        <s v="TASHHAR Phone Case for Google Pixel 8 Case,Heavy Duty Hard Shockproof Armor Protector Case Cover with Belt Clip Holster for Google Pixel 8 2023Phone Case (Black+Orange)"/>
        <s v="TASHHAR Phone Case for Google Pixel 8 Pro Case,Heavy Duty Hard Shockproof Armor Protector Case Cover with Belt Clip Holster for Google Pixel 8 Pro 2023 Phone Case (Green+Yellow)"/>
        <s v="TASHHAR Phone Case for Google Pixel 8 Pro Case,Heavy Duty Hard Shockproof Armor Protector Case Cover with Belt Clip Holster for Google Pixel 8 Pro 2023 Phone Case (Navy)"/>
        <s v="TASHHAR Phone Case for LG K51 Case,LG Q51/LG Reflect Case, Heavy Duty Hard Shockproof Armor Protector Case Cover with Belt Clip Holster for LG K51 (Black+Orange)"/>
        <s v="TASHHAR Phone Case for iPhone 13 Case, Heavy Duty Hard Shockproof Armor Protector Case Cover with Belt Clip Holster for Apple iPhone 13 6.1 5G 2021 Phone Case (Black+Orange)"/>
        <s v="TASHHAR Phone Case for Samsung Galaxy A32 5G, Heavy Duty Hard Shockproof Armor Protector Case Cover with Belt Clip Holster for Samsung A32 5G Phone (Black+Orange)"/>
        <s v="TASHHAR Phone Case for Motorola Moto G7 Power, Moto G7 Supra / G7 Optimo Maxx, Heavy Duty Hard Shockproof Armor Protector Case Cover with Belt Clip Holster for Motorola G7 Power (Black)"/>
        <s v="TASHHAR Phone Case for Samsung Galaxy A02S, Heavy Duty Hard Shockproof Armor Protector Case Cover with Belt Clip Holster for Samsung A02S Phone Case (Black+Orange)"/>
        <s v="TASHHAR Phone Case for Samsung Galaxy S22 Ultra, Heavy Duty Hard Shockproof Armor Protector Case Cover with Belt Clip Holster for Samsung S22 Ultra 5G 6.8-inch (Navy Blue)"/>
        <s v="TASHHAR Phone Case for iPhone 14 Pro Case,Heavy Duty Hard Shockproof Armor Protector Case Cover with Belt Clip Holster for Apple iPhone 14 Pro 6.1 5G 2022 Phone Case (Black+Orange)"/>
        <s v="TASHHAR Phone Case for iPhone 14 Pro Case,Heavy Duty Hard Shockproof Armor Protector Case Cover with Belt Clip Holster for Apple iPhone 14 Pro 6.1 5G 2022 Phone Case (Navy Blue)"/>
        <s v="TASHHAR Phone Case for iPhone 12 Mini Case, Heavy Duty Hard Shockproof Armor Protector Case Cover with Belt Clip Holster for Apple iPhone 12 Mini 5.4 2020 Phone Case (Navy Blue)"/>
        <s v="TASHHAR Phone Case for iPhone 12 Mini Case, Heavy Duty Hard Shockproof Armor Protector Case Cover with Belt Clip Holster for Apple iPhone 12 Mini 5.4 2020 Phone Case (Black+Orange)"/>
        <s v="TASHHAR Phone Case for Samsung Galaxy A54 5G case,Heavy Duty Hard Shockproof Armor Protector Case Cover with Belt Clip Holster for Samsung A54 5G 2023 Phone Case (Black+Orange)"/>
        <s v="Shockproof Phone Case for Motorola Moto G Play 2021 with Belt Clip Holster, 3 in 1 Heavy Duty Rugged Full-Body Protective Case Military Grade Cell Phone Cover with Kickstand &amp; Holster (Black+Orange)"/>
        <s v="TASHHAR Phone Case for Samsung Galaxy A24 4G case,Heavy Duty Hard Shockproof Armor Protector Case Cover with Belt Clip Holster for Samsung A24 4G 2023 Phone Case (Black+Blue)"/>
        <s v="TASHHAR Phone Case for iPhone 15 Case,Heavy Duty Hard Shockproof Armor Protector Case Cover with Belt Clip Holster for Apple iPhone 15 6.1 5G 2023 Phone Case (Green+Yellow)"/>
        <s v="TASHHAR Phone Case for Samsung Galaxy A10E, Heavy Duty Hard Shockproof Armor Protector Case Cover with Belt Clip Holster for Samsung A10e Phone (Black+Orange)"/>
        <s v="TASHHAR Phone Case for LG K51 Case,LG Q51/LG Reflect Case, Heavy Duty Hard Shockproof Armor Protector Case Cover with Belt Clip Holster for LG K51 (Black)"/>
        <s v="TASHHAR Phone Case for Samsung Galaxy A12 5G Phone, Heavy Duty Hard Shockproof Armor Protector Case Cover with Belt Clip Holster for Samsung A12 5G (Navy Blue)"/>
        <s v="TASHHAR Phone Case for iPhone 13 Case, Heavy Duty Hard Shockproof Armor Protector Case Cover with Belt Clip Holster for Apple iPhone 13 6.1 5G 2021 Phone Case (Green+Yellow)"/>
        <s v="TASHHAR Phone Case for iPhone 13 Case, Heavy Duty Hard Shockproof Armor Protector Case Cover with Belt Clip Holster for Apple iPhone 13 6.1 5G 2021 Phone Case (Black)"/>
        <s v="TASHHAR Phone Case for iPhone 13 Case, Heavy Duty Hard Shockproof Armor Protector Case Cover with Belt Clip Holster for Apple iPhone 13 6.1 5G 2021 Phone Case (Navy Blue)"/>
        <s v="TASHHAR Phone Case for Samsung Galaxy A32 5G, Heavy Duty Hard Shockproof Armor Protector Case Cover with Belt Clip Holster for Samsung A32 5G Phone (Black)"/>
        <s v="TASHHAR Phone Case for Samsung Galaxy S22 Ultra, Heavy Duty Hard Shockproof Armor Protector Case Cover with Belt Clip Holster for Samsung S22 Ultra 5G 6.8-inch (Navy Blue+Yellow)"/>
        <s v="TASHHAR Phone Case for iPhone 14 Case,Heavy Duty Hard Shockproof Armor Protector Case Cover with Belt Clip Holster for Apple iPhone 14 6.1 5G 2022 Phone Case (Green+Yellow)"/>
        <s v="TASHHAR Phone Case for iPhone 14 Pro Case,Heavy Duty Hard Shockproof Armor Protector Case Cover with Belt Clip Holster for Apple iPhone 14 Pro 6.1 5G 2022 Phone Case (Green+Yellow)"/>
        <s v="TASHHAR Phone Case for Motorola Moto G Stylus 2021 Case, Heavy Duty Hard Shockproof Armor Protector Case Cover with Belt Clip Holster for Motorola G Stylus 2021 Phone (Navy Blue)"/>
        <s v="TASHHAR Phone Case for Motorola Moto G Stylus 2021 Case, Heavy Duty Hard Shockproof Armor Protector Case Cover with Belt Clip Holster for Motorola G Stylus 2021 Phone (Black+Orange)"/>
        <s v="TASHHAR Phone Case for Motorola Moto G Stylus 2021 Case, Heavy Duty Hard Shockproof Armor Protector Case Cover with Belt Clip Holster for Motorola G Stylus 2021 Phone (Black)"/>
        <s v="TASHHAR Phone Case for Motorola Moto G Fast Case,Heavy Duty Hard Shockproof Armor Protective Case Cover with Belt Clip Holster for Motorola G Fast 2020 Phone (Black+Orange)"/>
        <s v="TASHHAR Phone Case for Motorola Moto G Fast Case,Heavy Duty Hard Shockproof Armor Protective Case Cover with Belt Clip Holster for Motorola G Fast 2020 Phone (Black)"/>
        <s v="TASHHAR Shockproof Phone Case for Motorola Moto G Power 2022 with Belt Clip Holster, 3 in 1 Heavy Duty Rugged Full-Body Protective Case Military Grade Cell Phone Cover with Kickstand (Orange+Black)"/>
        <s v="TASHHAR Shockproof Phone Case for Motorola Moto G Power 2023 with Belt Clip Holster, 3 in 1 Heavy Duty Rugged Full-Body Protective Case Military Grade Cell Phone Cover with Kickstand(Orange+Black)"/>
        <s v="TASHHAR Phone Case for Samsung Galaxy A24 4G case,Heavy Duty Hard Shockproof Armor Protector Case Cover with Belt Clip Holster for Samsung A24 4G 2023 Phone Case (Navy Blue)"/>
        <s v="TASHHAR Phone Case for iPhone 15 Case,Heavy Duty Hard Shockproof Armor Protector Case Cover with Belt Clip Holster for Apple iPhone 15 6.1 5G 2023 Phone Case (Black)"/>
        <s v="TASHHAR Phone Case for iPhone 15 Case,Heavy Duty Hard Shockproof Armor Protector Case Cover with Belt Clip Holster for Apple iPhone 15 6.1 5G 2023 Phone Case (Navy Blue)"/>
        <s v="TASHHAR Phone Case for LG K51 Case,LG Q51/LG Reflect Case, Heavy Duty Hard Shockproof Armor Protector Case Cover with Belt Clip Holster for LG K51 (Navy Blue)"/>
        <s v="TASHHAR Phone Case for Samsung Galaxy A42 5G Phone, Heavy Duty Hard Shockproof Armor Protector Case Cover with Belt Clip Holster for A42 5G (Black)"/>
        <s v="TASHHAR Phone Case for Samsung Galaxy A20, Galaxy A30 Phone, Heavy Duty Hard Shockproof Protector Armor Case Cover with Belt Clip Holster for Samsung A20/A30 Case (Black)"/>
        <s v="TASHHAR Phone Case for Samsung Galaxy A13 5G, Heavy Duty Hard Shockproof Armor Protector Case Cover with Belt Clip Holster for Samsung A13 5G 6.5-inch (Navy Blue)"/>
        <s v="TASHHAR Phone Case for Samsung Galaxy A13 5G, Heavy Duty Hard Shockproof Armor Protector Case Cover with Belt Clip Holster for Samsung A13 5G 6.5-inch (Black)"/>
        <s v="TASHHAR Phone Case for LG Stylo 5, LG Stylo 5 Plus/LG Stylo 5V Case,Heavy Duty Hard Shockproof Armor Protector Case Cover with Belt Clip Holster for LG Stylo 5 (Black+Orange)"/>
        <s v="TASHHAR Phone Case for Samsung Galaxy A01 Phone, Heavy Duty Hard Shockproof Armor Protector Case Cover with Belt Clip Holster for Samsung A01 Phone Case (Black)"/>
        <s v="TASHHAR Phone Case for Samsung Galaxy A01 Phone, Heavy Duty Hard Shockproof Armor Protector Case Cover with Belt Clip Holster for Samsung A01 Phone Case (Navy Blue)"/>
        <s v="TASHHAR Shockproof Phone Case for Motorola Moto G Stylus 2022 4G 2022 with Belt Clip Holster, 3 in 1 Heavy Duty Rugged Full-Body Protective Case Cell Phone Cover with Kickstand (Black+Blue)"/>
        <s v="TASHHAR Shockproof Phone Case for Motorola Moto G Play 2021 with Belt Clip Holster, 3 in 1 Heavy Duty Rugged Full-Body Protective Case Military Grade Cell Phone Cover with Kickstand (Navy Blue)"/>
        <s v="TASHHAR Shockproof Phone Case for Samsung Galaxy A52 with Belt Clip Holster, 3 in 1 Heavy Duty Rugged Full-Body Protective Case Military Grade Cell Phone Cover with Kickstand (Orange+Black)"/>
        <s v="TASHHAR Shockproof Phone Case for Motorola Moto G Power 2022 with Belt Clip Holster, 3 in 1 Heavy Duty Rugged Full-Body Protective Case Military Grade Cell Phone Cover with Kickstand(Blue+Black)"/>
        <s v="TASHHAR Shockproof Phone Case for Motorola Moto G Power 2022 with Belt Clip Holster, 3 in 1 Heavy Duty Rugged Full-Body Protective Case Military Grade Cell Phone Cover with Kickstand (Black)"/>
        <s v="TASHHAR Phone Case for Google Pixel 8 Case,Heavy Duty Hard Shockproof Armor Protector Case Cover with Belt Clip Holster for Google Pixel 8 2023Phone Case (Black+Blue)"/>
        <s v="TASHHAR Phone Case for iPhone 14 Pro Max Case,Heavy Duty Hard Shockproof Armor Protector Case Cover with Belt Clip Holster for Apple iPhone 14 Pro Max 5G 2022 Phone Case (Black+Orange)"/>
        <s v="TASHHAR Phone Case for iPhone 14 Pro Max Case,Heavy Duty Hard Shockproof Armor Protector Case Cover with Belt Clip Holster for Apple iPhone 14 Pro Max 5G 2022 Phone Case (Black)"/>
        <s v="TASHHAR Phone Case for iPhone 14 Case,Heavy Duty Hard Shockproof Armor Protector Case Cover with Belt Clip Holster for Apple iPhone 14 5G 2022 Phone Case (Black+Blue)"/>
        <s v="Shockproof Phone Case for Motorola Moto G Power 2022 with Belt Clip Holster, 3 in 1 Heavy Duty Rugged Full-Body Protective Case Military Grade Cell Phone Cover with Kickstand &amp; Holster (Orange+Black)"/>
        <s v="TATASHHAR Phone Case for Samsung Galaxy A21 Phone, Heavy Duty Hard Shockproof Armor Protector Case Cover with Belt Clip Holster for Samsung A21 (Black)"/>
        <s v="TASHHAR Phone Case for Samsung Galaxy A51 4G Phone ,Heavy Duty Hard Shockproof Armor Protector Case Cover with Belt Clip Holster for Samsung A51 4G 6.5 inch Phone (Navy Blue)"/>
        <s v="TASHHAR Phone Case for Samsung Galaxy A32 5G, Heavy Duty Hard Shockproof Armor Protector Case Cover with Belt Clip Holster for Samsung Galaxy A32 5G Phone (Navy Blue)"/>
        <s v="TASHHAR Phone Case for iPhone 14 Pro Case,Heavy Duty Hard Shockproof Armor Protector Case Cover with Belt Clip Holster for Apple iPhone 14 Pro 5G 2022 Phone Case (Green+Yellow)"/>
        <s v="TASHHAR Phone Case for Samsung Galaxy A14 5G case,Heavy Duty Hard Shockproof Armor Protector Case Cover with Belt Clip Holster for Samsung A14 5G 2022 Phone Case (Black)"/>
        <s v="Shockproof Phone Case for Samsung Galaxy A52 with Belt Clip Holster, 3 in 1 Heavy Duty Rugged Full-Body Protective Case Military Grade Cell Phone Cover with Kickstand &amp; Holster (Black)"/>
        <m/>
      </sharedItems>
    </cacheField>
    <cacheField name="SKU" numFmtId="0">
      <sharedItems containsBlank="1" count="181">
        <s v="Y7013-BL+Y7021+Y7017"/>
        <s v="Y7075-BL+Y7076+Y7077"/>
        <s v="Y73475-BL+Y72615+Y73478"/>
        <s v="Y7022-BL+Y7024+Y7023"/>
        <s v="Y7069-BL+Y7070+Y7071"/>
        <s v="Y7072-BL+Y7073+Y7074"/>
        <s v="Y73475-BB+Y72615+Y73478"/>
        <s v="Y7013-BU+Y7021+Y7017"/>
        <s v="Y7010-BL+Y7018+Y7014"/>
        <s v="Y7013-OR+Y7021+Y7017"/>
        <s v="Y72648-BL+Y72649+Y72381"/>
        <s v="Y72611-BL+Y72614+Y72635"/>
        <s v="Y7075-BU+Y7076+Y7077"/>
        <s v="Y73475-OR+Y72615+Y73478"/>
        <s v="Y72612-BL+Y72615+Y72636"/>
        <s v="Y7072-BU+Y7073+Y7074"/>
        <s v="Y72454-BL+Y72455+Y72511"/>
        <s v="Y7010-BU+Y7018+Y7014"/>
        <s v="Y72454-OR+Y72455+Y72511"/>
        <s v="Y7022-OR+Y7024+Y7023"/>
        <s v="Y7069-OR+Y7070+Y7071"/>
        <s v="Y7013-DB+Y7021+Y7017"/>
        <s v="Y7011-BL+Y7019+Y7015"/>
        <s v="Y7012-BU+Y7020+Y7016"/>
        <s v="Y7069-BU+Y7070+Y7071"/>
        <s v="Y7072-OR+Y7073+Y7074"/>
        <s v="Y72648-OR+Y72649+Y72381"/>
        <s v="Y7012-BL+Y7020+Y7016"/>
        <s v="Y72611-OR+Y72614+Y72635"/>
        <s v="Y72612-OR+Y72615+Y72636"/>
        <s v="Y7075-OR+Y7076+Y7077"/>
        <s v="Y7022-BU+Y7024+Y7023"/>
        <s v="Y72488-OR+Y72490+Y72380"/>
        <s v="Y7063-BL+Y7064+Y7065"/>
        <s v="Y7072-DB+Y7073+Y7074"/>
        <s v="Y73475-DB+Y72615+Y73478"/>
        <s v="Y72612-DB+Y72615+Y72636"/>
        <s v="Y7075-DB+Y7076+Y7077"/>
        <s v="Y72454-DB+Y72455+Y72511"/>
        <s v="Y7025-BL+Y7027+Y7026"/>
        <s v="Y7063-OR+Y7064+Y7065"/>
        <s v="Y72488-BL+Y72490+Y72380"/>
        <s v="Y7028-BL+Y7029+Y7030"/>
        <s v="Y72648-NB+Y72649+Y72381"/>
        <s v="Y73189-BL+Y73190+Y73270"/>
        <s v="Y7012-OR+Y7020+Y7016"/>
        <s v="Y7013-GE+Y7021+Y7017"/>
        <s v="Y7025-BU+Y7027+Y7026"/>
        <s v="Y72488-DB+Y72490+Y72380"/>
        <s v="Y7010-OR+Y7018+Y7014"/>
        <s v="Y7028-OR+Y7029+Y7030"/>
        <s v="Y7002-BL+Y7005"/>
        <s v="Y7072-GE+Y7073+Y7074"/>
        <s v="Y72563-BL+Y72564+Y72571"/>
        <s v="Y72611-DB+Y72614+Y72635"/>
        <s v="Y7075-GE+Y7076+Y7077"/>
        <s v="Y73475-GR+Y72615+Y73478"/>
        <s v="Y7022-DB+Y7024+Y7023"/>
        <s v="Y73189-DB+Y73190+Y73270"/>
        <s v="Y7031-BL+Y7032"/>
        <s v="Y7025-OR+Y7027+Y7026"/>
        <s v="Y7069-DB+Y7070+Y7071"/>
        <s v="Y73189-OR+Y73190+Y73270"/>
        <s v="Y7086-BL+Y7087"/>
        <s v="Y7002-OR+Y7005"/>
        <s v="Y7012-DB+Y7020+Y7016"/>
        <s v="Y7033-BL+Y7034"/>
        <s v="Y7028-BU+Y7029+Y7030"/>
        <s v="Y7039-BL+Y7040+Y7041"/>
        <s v="Y7012-GE+Y7020+Y7016"/>
        <s v="Y7031-BU+Y7032"/>
        <s v="Y73040-BL+Y73045+Y73063"/>
        <s v="Y7002-BB+Y7005"/>
        <s v="Y7063-BU+Y7064+Y7065"/>
        <s v="Y73473-BB+Y72614+Y73476"/>
        <s v="Y7031-OR+Y7032"/>
        <s v="Y7028-DB+Y7029+Y7030"/>
        <s v="Y7036-BL-ZH"/>
        <s v="Y7066-BU+Y7067+Y7068"/>
        <s v="Y7072-OR+Y7073+Y7074-1"/>
        <s v="Y7086-BU+Y7087"/>
        <s v="Y7086-OR+Y7087"/>
        <s v="Y73452-DB+Y73456+Y73457"/>
        <s v="Y7033-BU+Y7034"/>
        <s v="Y7033-DB+Y7034"/>
        <s v="Y7069-GE+Y7070+Y7071"/>
        <s v="Y7010-DB+Y7018+Y7014"/>
        <s v="Y73134-DB+Y03137+Y73268"/>
        <s v="Y7025-DB+Y7027+Y7026"/>
        <s v="Y72563-OR+Y72564+Y72571"/>
        <s v="Y73474-DB+Y72614+Y73477"/>
        <s v="Y73040-DB+Y73045+Y73063"/>
        <s v="Y72610-BL+Y72613+Y12803"/>
        <s v="Y72000-BL+Y72013+Y72749"/>
        <s v="Y7039-OR+Y7040+Y7041"/>
        <s v="Y7063-DB+Y7064+Y7065"/>
        <s v="Y73405-DB+Y73406+Y73397"/>
        <s v="Y73452-OR+Y73456+Y73457"/>
        <s v="Y7011-BU+Y7019+Y7015"/>
        <s v="Y7031-DB+Y7032"/>
        <s v="Y73134-OR+Y03137+Y73268"/>
        <s v="Y72691-DB+Y72692+Y72758"/>
        <s v="Y7036-DB-ZH"/>
        <s v="Y7075-OR+Y7076+Y7077-1"/>
        <s v="Y73106-OR+Y73109+Y73112"/>
        <s v="Y73230-DB+Y73231+Y73240"/>
        <s v="Y7025-DB+Y7026+Y7027"/>
        <s v="Y72000-DB+Y72013+Y72749"/>
        <s v="Y73630-GR+Y73635+Y73643"/>
        <s v="Y72559-OR+Y72560+Y72399"/>
        <s v="Y73821-DB-ZH"/>
        <s v="Y7066-OR+Y7067+Y7068"/>
        <s v="Y7084-OR+Y7085"/>
        <s v="Y7086-GE+Y7087"/>
        <s v="Y7086-DB+Y7087"/>
        <s v="Y72431-OR+Y72433+Y72531"/>
        <s v="Y73473-OR+Y72614+Y73476"/>
        <s v="Y73230-OR+Y73231+Y73240"/>
        <s v="Y71973-BL+Y71974+Y72754"/>
        <s v="Y73040-OR+Y73045+Y73063"/>
        <s v="Y7002-DB+Y7005"/>
        <s v="E03473-BL+E02614+E03496"/>
        <s v="Y7011-OR+Y7019+Y7015"/>
        <s v="Y7011-DB+Y7019+Y7015"/>
        <s v="Y72610-NB+Y72613+Y12803"/>
        <s v="Y72610-OR+Y72613+Y12803"/>
        <s v="Y7033-OR+Y7034"/>
        <s v="Y73135-OR-ZH"/>
        <s v="Y7039-BU+Y7040+Y7041"/>
        <s v="Y7066-GE+Y7067+Y7068"/>
        <s v="Y72055-OR+Y72058+Y72741"/>
        <s v="Y72431-BL+Y72433+Y72531"/>
        <s v="Y73106-DB+Y73109+Y73112"/>
        <s v="Y73473-GR+Y72614+Y73476"/>
        <s v="Y73473-BL+Y72614+Y73476"/>
        <s v="Y73473-DB+Y72614+Y73476"/>
        <s v="Y73230-BL+Y73231+Y73240"/>
        <s v="Y7002-DY+Y7005"/>
        <s v="Y7010-GE+Y7018+Y7014"/>
        <s v="Y7011-GE+Y7019+Y7015"/>
        <s v="Y73133-DB+Y73136+Y73267"/>
        <s v="Y73133-OR+Y73136+Y73267"/>
        <s v="Y73133-BL+Y73136+Y73267"/>
        <s v="Y72691-OR+Y72692+Y72758"/>
        <s v="Y72691-BL+Y72692+Y72758"/>
        <s v="Y73821-OR-ZH"/>
        <s v="Y7036-OR-ZH"/>
        <s v="Y7039-DB+Y7040+Y7041"/>
        <s v="Y7066-BL+Y7067+Y7068"/>
        <s v="Y7066-DB+Y7067+Y7068"/>
        <s v="Y72431-DB+Y72433+Y72531"/>
        <s v="0A-93V1-DOX1"/>
        <s v="Y73405-BL+Y73406+Y73397"/>
        <s v="Y72056-BL+Y72059-Y72740"/>
        <s v="Y73694-DB+Y73712+Y73744"/>
        <s v="Y73694-BL+Y73712+Y73744"/>
        <s v="Y72000-OR+Y72013+Y72749"/>
        <s v="Y72559-BL+Y72560+Y72399"/>
        <s v="Y72559-NB+Y72560+Y72399"/>
        <s v="Y7001-BB-ZH"/>
        <s v="Y73135-DB-ZH"/>
        <s v="Y73153-OR-ZH"/>
        <s v="Y73821-BU-ZH"/>
        <s v="9V-B8EY-M096"/>
        <s v="Y7084-BU+Y7085"/>
        <s v="Y7051-OR+Y7055+Y7059"/>
        <s v="Y7051-BL+Y7055+Y7059"/>
        <s v="Y7051-DB+Y7055+Y7059"/>
        <s v="Y7051-BU+Y7055+Y7059"/>
        <s v="Y7045-OR+Y7046+Y7047"/>
        <s v="Y7054-BU+Y7062+Y7058"/>
        <s v="Y7053-OR+Y7057+Y7061"/>
        <s v="Y7045-BL+Y7046+Y7047"/>
        <s v="Y7045-DB+Y7046+Y7047"/>
        <s v="Y7053-DB+Y7057+Y7061"/>
        <s v="Y7053-BU+Y7057+Y7061"/>
        <s v="Y7053-BL+Y7057+Y7061"/>
        <s v="Y7042-BL+Y7043+Y7044"/>
        <s v="Y73153-BL-ZH"/>
        <s v="Y7045-BU+Y7046+Y7047"/>
        <m/>
      </sharedItems>
    </cacheField>
    <cacheField name="会话次数 – 总计" numFmtId="0">
      <sharedItems containsString="0" containsBlank="1" containsNumber="1" containsInteger="1" minValue="0" maxValue="3637" count="130">
        <n v="3637"/>
        <n v="2467"/>
        <n v="1698"/>
        <n v="884"/>
        <n v="673"/>
        <n v="568"/>
        <n v="740"/>
        <n v="631"/>
        <n v="361"/>
        <n v="989"/>
        <n v="381"/>
        <n v="542"/>
        <n v="760"/>
        <n v="654"/>
        <n v="352"/>
        <n v="464"/>
        <n v="446"/>
        <n v="545"/>
        <n v="515"/>
        <n v="575"/>
        <n v="674"/>
        <n v="505"/>
        <n v="333"/>
        <n v="697"/>
        <n v="308"/>
        <n v="1081"/>
        <n v="591"/>
        <n v="287"/>
        <n v="520"/>
        <n v="621"/>
        <n v="207"/>
        <n v="403"/>
        <n v="316"/>
        <n v="298"/>
        <n v="203"/>
        <n v="504"/>
        <n v="190"/>
        <n v="101"/>
        <n v="417"/>
        <n v="120"/>
        <n v="216"/>
        <n v="174"/>
        <n v="170"/>
        <n v="268"/>
        <n v="416"/>
        <n v="167"/>
        <n v="135"/>
        <n v="102"/>
        <n v="228"/>
        <n v="98"/>
        <n v="280"/>
        <n v="97"/>
        <n v="213"/>
        <n v="402"/>
        <n v="234"/>
        <n v="154"/>
        <n v="67"/>
        <n v="129"/>
        <n v="177"/>
        <n v="105"/>
        <n v="150"/>
        <n v="115"/>
        <n v="56"/>
        <n v="84"/>
        <n v="173"/>
        <n v="108"/>
        <n v="69"/>
        <n v="54"/>
        <n v="103"/>
        <n v="198"/>
        <n v="75"/>
        <n v="80"/>
        <n v="47"/>
        <n v="127"/>
        <n v="163"/>
        <n v="175"/>
        <n v="43"/>
        <n v="186"/>
        <n v="50"/>
        <n v="94"/>
        <n v="86"/>
        <n v="73"/>
        <n v="27"/>
        <n v="34"/>
        <n v="160"/>
        <n v="58"/>
        <n v="132"/>
        <n v="112"/>
        <n v="52"/>
        <n v="44"/>
        <n v="25"/>
        <n v="60"/>
        <n v="72"/>
        <n v="46"/>
        <n v="65"/>
        <n v="55"/>
        <n v="64"/>
        <n v="22"/>
        <n v="28"/>
        <n v="62"/>
        <n v="20"/>
        <n v="45"/>
        <n v="23"/>
        <n v="87"/>
        <n v="66"/>
        <n v="95"/>
        <n v="10"/>
        <n v="21"/>
        <n v="6"/>
        <n v="37"/>
        <n v="19"/>
        <n v="14"/>
        <n v="59"/>
        <n v="7"/>
        <n v="42"/>
        <n v="12"/>
        <n v="5"/>
        <n v="26"/>
        <n v="8"/>
        <n v="11"/>
        <n v="9"/>
        <n v="4"/>
        <n v="13"/>
        <n v="31"/>
        <n v="61"/>
        <n v="35"/>
        <n v="3"/>
        <n v="2"/>
        <n v="36"/>
        <m/>
      </sharedItems>
    </cacheField>
    <cacheField name="会话次数 – 总计 – B2B" numFmtId="0">
      <sharedItems containsString="0" containsBlank="1" containsNumber="1" containsInteger="1" minValue="0" maxValue="53" count="22">
        <n v="46"/>
        <n v="53"/>
        <n v="26"/>
        <n v="24"/>
        <n v="9"/>
        <n v="8"/>
        <n v="13"/>
        <n v="14"/>
        <n v="4"/>
        <n v="11"/>
        <n v="15"/>
        <n v="6"/>
        <n v="7"/>
        <n v="3"/>
        <n v="10"/>
        <n v="12"/>
        <n v="5"/>
        <n v="18"/>
        <n v="2"/>
        <n v="1"/>
        <n v="0"/>
        <m/>
      </sharedItems>
    </cacheField>
    <cacheField name="会话百分比 – 总计" numFmtId="0">
      <sharedItems containsString="0" containsBlank="1" containsNumber="1" minValue="0" maxValue="0.295" count="100">
        <n v="0.0915"/>
        <n v="0.0621"/>
        <n v="0.0427"/>
        <n v="0.0222"/>
        <n v="0.0169"/>
        <n v="0.0143"/>
        <n v="0.0186"/>
        <n v="0.0159"/>
        <n v="0.0091"/>
        <n v="0.0249"/>
        <n v="0.0096"/>
        <n v="0.0136"/>
        <n v="0.0191"/>
        <n v="0.0164"/>
        <n v="0.0089"/>
        <n v="0.0117"/>
        <n v="0.0112"/>
        <n v="0.0137"/>
        <n v="0.013"/>
        <n v="0.0145"/>
        <n v="0.017"/>
        <n v="0.0127"/>
        <n v="0.0084"/>
        <n v="0.0175"/>
        <n v="0.0077"/>
        <n v="0.0272"/>
        <n v="0.0149"/>
        <n v="0.0072"/>
        <n v="0.0131"/>
        <n v="0.0156"/>
        <n v="0.0052"/>
        <n v="0.0101"/>
        <n v="0.0079"/>
        <n v="0.0075"/>
        <n v="0.0051"/>
        <n v="0.0048"/>
        <n v="0.0025"/>
        <n v="0.0105"/>
        <n v="0.003"/>
        <n v="0.0054"/>
        <n v="0.0044"/>
        <n v="0.0043"/>
        <n v="0.0067"/>
        <n v="0.0042"/>
        <n v="0.0034"/>
        <n v="0.0026"/>
        <n v="0.0057"/>
        <n v="0.007"/>
        <n v="0.0024"/>
        <n v="0.0059"/>
        <n v="0.0039"/>
        <n v="0.0017"/>
        <n v="0.0032"/>
        <n v="0.0045"/>
        <n v="0.0038"/>
        <n v="0.0029"/>
        <n v="0.0014"/>
        <n v="0.0021"/>
        <n v="0.0027"/>
        <n v="0.005"/>
        <n v="0.0019"/>
        <n v="0.002"/>
        <n v="0.0012"/>
        <n v="0.0041"/>
        <n v="0.0011"/>
        <n v="0.0047"/>
        <n v="0.0013"/>
        <n v="0.0022"/>
        <n v="0.0018"/>
        <n v="0.0007"/>
        <n v="0.0009"/>
        <n v="0.004"/>
        <n v="0.0015"/>
        <n v="0.0033"/>
        <n v="0.0028"/>
        <n v="0.0006"/>
        <n v="0.0016"/>
        <n v="0.0005"/>
        <n v="0.0003"/>
        <n v="0.0002"/>
        <n v="0.0004"/>
        <n v="0.0001"/>
        <n v="0.0008"/>
        <n v="0.295"/>
        <n v="0.1069"/>
        <n v="0.0653"/>
        <n v="0.0604"/>
        <n v="0.0366"/>
        <n v="0.0347"/>
        <n v="0.0743"/>
        <n v="0.0208"/>
        <n v="0.0218"/>
        <n v="0.0446"/>
        <n v="0.0248"/>
        <n v="0.0188"/>
        <n v="0.0356"/>
        <n v="0.0267"/>
        <n v="0.0099"/>
        <n v="0.0119"/>
        <m/>
      </sharedItems>
    </cacheField>
    <cacheField name="会话百分比 – 总计 – B2B" numFmtId="0">
      <sharedItems containsString="0" containsBlank="1" containsNumber="1" minValue="0" maxValue="0.2308" count="28">
        <n v="0.0701"/>
        <n v="0.0808"/>
        <n v="0.0396"/>
        <n v="0.0366"/>
        <n v="0.0137"/>
        <n v="0.0122"/>
        <n v="0.0198"/>
        <n v="0.0213"/>
        <n v="0.0061"/>
        <n v="0.0168"/>
        <n v="0.0229"/>
        <n v="0.0091"/>
        <n v="0.0107"/>
        <n v="0.0046"/>
        <n v="0.0152"/>
        <n v="0.0183"/>
        <n v="0.0076"/>
        <n v="0.0274"/>
        <n v="0.003"/>
        <n v="0.0015"/>
        <n v="0"/>
        <n v="0.2308"/>
        <n v="0.1795"/>
        <n v="0.0513"/>
        <n v="0.0769"/>
        <n v="0.0256"/>
        <n v="0.1026"/>
        <m/>
      </sharedItems>
    </cacheField>
    <cacheField name="页面浏览量 – 总计" numFmtId="0">
      <sharedItems containsString="0" containsBlank="1" containsNumber="1" containsInteger="1" minValue="0" maxValue="5529" count="151">
        <n v="5529"/>
        <n v="3718"/>
        <n v="2392"/>
        <n v="1264"/>
        <n v="972"/>
        <n v="835"/>
        <n v="1013"/>
        <n v="804"/>
        <n v="512"/>
        <n v="1345"/>
        <n v="551"/>
        <n v="756"/>
        <n v="1012"/>
        <n v="887"/>
        <n v="485"/>
        <n v="637"/>
        <n v="633"/>
        <n v="745"/>
        <n v="681"/>
        <n v="828"/>
        <n v="911"/>
        <n v="598"/>
        <n v="448"/>
        <n v="408"/>
        <n v="1478"/>
        <n v="808"/>
        <n v="357"/>
        <n v="737"/>
        <n v="826"/>
        <n v="936"/>
        <n v="261"/>
        <n v="580"/>
        <n v="470"/>
        <n v="360"/>
        <n v="353"/>
        <n v="289"/>
        <n v="249"/>
        <n v="125"/>
        <n v="554"/>
        <n v="156"/>
        <n v="287"/>
        <n v="226"/>
        <n v="238"/>
        <n v="345"/>
        <n v="495"/>
        <n v="166"/>
        <n v="137"/>
        <n v="325"/>
        <n v="148"/>
        <n v="323"/>
        <n v="291"/>
        <n v="496"/>
        <n v="271"/>
        <n v="205"/>
        <n v="99"/>
        <n v="165"/>
        <n v="209"/>
        <n v="224"/>
        <n v="308"/>
        <n v="145"/>
        <n v="306"/>
        <n v="182"/>
        <n v="170"/>
        <n v="79"/>
        <n v="118"/>
        <n v="146"/>
        <n v="91"/>
        <n v="65"/>
        <n v="147"/>
        <n v="135"/>
        <n v="260"/>
        <n v="89"/>
        <n v="92"/>
        <n v="67"/>
        <n v="180"/>
        <n v="211"/>
        <n v="48"/>
        <n v="240"/>
        <n v="139"/>
        <n v="116"/>
        <n v="63"/>
        <n v="124"/>
        <n v="136"/>
        <n v="100"/>
        <n v="34"/>
        <n v="43"/>
        <n v="222"/>
        <n v="115"/>
        <n v="70"/>
        <n v="195"/>
        <n v="198"/>
        <n v="26"/>
        <n v="82"/>
        <n v="84"/>
        <n v="62"/>
        <n v="87"/>
        <n v="71"/>
        <n v="76"/>
        <n v="102"/>
        <n v="37"/>
        <n v="81"/>
        <n v="54"/>
        <n v="58"/>
        <n v="27"/>
        <n v="106"/>
        <n v="68"/>
        <n v="95"/>
        <n v="117"/>
        <n v="93"/>
        <n v="80"/>
        <n v="38"/>
        <n v="11"/>
        <n v="32"/>
        <n v="6"/>
        <n v="52"/>
        <n v="83"/>
        <n v="24"/>
        <n v="103"/>
        <n v="55"/>
        <n v="22"/>
        <n v="46"/>
        <n v="30"/>
        <n v="9"/>
        <n v="45"/>
        <n v="56"/>
        <n v="20"/>
        <n v="28"/>
        <n v="12"/>
        <n v="35"/>
        <n v="13"/>
        <n v="19"/>
        <n v="5"/>
        <n v="15"/>
        <n v="10"/>
        <n v="47"/>
        <n v="467"/>
        <n v="90"/>
        <n v="72"/>
        <n v="51"/>
        <n v="112"/>
        <n v="60"/>
        <n v="33"/>
        <n v="61"/>
        <n v="4"/>
        <n v="7"/>
        <n v="2"/>
        <n v="42"/>
        <n v="23"/>
        <n v="14"/>
        <n v="18"/>
        <m/>
      </sharedItems>
    </cacheField>
    <cacheField name="页面浏览量 – 总计 – B2B" numFmtId="0">
      <sharedItems containsString="0" containsBlank="1" containsNumber="1" containsInteger="1" minValue="0" maxValue="83" count="24">
        <n v="78"/>
        <n v="83"/>
        <n v="29"/>
        <n v="37"/>
        <n v="10"/>
        <n v="8"/>
        <n v="23"/>
        <n v="17"/>
        <n v="4"/>
        <n v="15"/>
        <n v="7"/>
        <n v="6"/>
        <n v="18"/>
        <n v="11"/>
        <n v="3"/>
        <n v="16"/>
        <n v="14"/>
        <n v="5"/>
        <n v="9"/>
        <n v="1"/>
        <n v="2"/>
        <n v="0"/>
        <n v="13"/>
        <m/>
      </sharedItems>
    </cacheField>
    <cacheField name="页面浏览量百分比 – 总计" numFmtId="0">
      <sharedItems containsString="0" containsBlank="1" containsNumber="1" minValue="0" maxValue="0.3243" count="97">
        <n v="0.1012"/>
        <n v="0.0681"/>
        <n v="0.0438"/>
        <n v="0.0231"/>
        <n v="0.0178"/>
        <n v="0.0153"/>
        <n v="0.0185"/>
        <n v="0.0147"/>
        <n v="0.0094"/>
        <n v="0.0246"/>
        <n v="0.0101"/>
        <n v="0.0138"/>
        <n v="0.0162"/>
        <n v="0.0089"/>
        <n v="0.0117"/>
        <n v="0.0116"/>
        <n v="0.0136"/>
        <n v="0.0125"/>
        <n v="0.0152"/>
        <n v="0.0167"/>
        <n v="0.0109"/>
        <n v="0.0082"/>
        <n v="0.0075"/>
        <n v="0.0271"/>
        <n v="0.0148"/>
        <n v="0.0065"/>
        <n v="0.0135"/>
        <n v="0.0151"/>
        <n v="0.0171"/>
        <n v="0.0048"/>
        <n v="0.0106"/>
        <n v="0.0086"/>
        <n v="0.0066"/>
        <n v="0.0053"/>
        <n v="0.0046"/>
        <n v="0.0023"/>
        <n v="0.0029"/>
        <n v="0.0041"/>
        <n v="0.0044"/>
        <n v="0.0063"/>
        <n v="0.0091"/>
        <n v="0.003"/>
        <n v="0.0025"/>
        <n v="0.006"/>
        <n v="0.0027"/>
        <n v="0.0059"/>
        <n v="0.005"/>
        <n v="0.0038"/>
        <n v="0.0018"/>
        <n v="0.0056"/>
        <n v="0.0033"/>
        <n v="0.0031"/>
        <n v="0.0014"/>
        <n v="0.0022"/>
        <n v="0.0017"/>
        <n v="0.0012"/>
        <n v="0.0016"/>
        <n v="0.0039"/>
        <n v="0.0009"/>
        <n v="0.0021"/>
        <n v="0.0006"/>
        <n v="0.0008"/>
        <n v="0.0013"/>
        <n v="0.0036"/>
        <n v="0.0005"/>
        <n v="0.0015"/>
        <n v="0.0011"/>
        <n v="0.0019"/>
        <n v="0.0007"/>
        <n v="0.001"/>
        <n v="0.0002"/>
        <n v="0.0001"/>
        <n v="0.0004"/>
        <n v="0.0003"/>
        <n v="0.3243"/>
        <n v="0.1083"/>
        <n v="0.0625"/>
        <n v="0.05"/>
        <n v="0.0389"/>
        <n v="0.0354"/>
        <n v="0.0778"/>
        <n v="0.0417"/>
        <n v="0.0243"/>
        <n v="0.0229"/>
        <n v="0.0424"/>
        <n v="0.0028"/>
        <n v="0.0194"/>
        <n v="0.0049"/>
        <n v="0.0188"/>
        <n v="0.0069"/>
        <n v="0.0139"/>
        <n v="0.0292"/>
        <n v="0.0208"/>
        <n v="0.016"/>
        <n v="0.0097"/>
        <n v="0.0076"/>
        <m/>
      </sharedItems>
    </cacheField>
    <cacheField name="页面浏览量百分比 – 总计 – B2B" numFmtId="0">
      <sharedItems containsString="0" containsBlank="1" containsNumber="1" minValue="0" maxValue="0.2826" count="29">
        <n v="0.0857"/>
        <n v="0.0912"/>
        <n v="0.0319"/>
        <n v="0.0407"/>
        <n v="0.011"/>
        <n v="0.0088"/>
        <n v="0.0253"/>
        <n v="0.0187"/>
        <n v="0.0044"/>
        <n v="0.0165"/>
        <n v="0.0077"/>
        <n v="0.0066"/>
        <n v="0.0198"/>
        <n v="0.0121"/>
        <n v="0.0033"/>
        <n v="0.0176"/>
        <n v="0.0154"/>
        <n v="0.0055"/>
        <n v="0.0099"/>
        <n v="0.0011"/>
        <n v="0.0022"/>
        <n v="0"/>
        <n v="0.2826"/>
        <n v="0.1739"/>
        <n v="0.0435"/>
        <n v="0.0652"/>
        <n v="0.0217"/>
        <n v="0.087"/>
        <m/>
      </sharedItems>
    </cacheField>
    <cacheField name="推荐报价（购买按钮）百分比" numFmtId="0">
      <sharedItems containsString="0" containsBlank="1" containsNumber="1" minValue="0" maxValue="1" count="92">
        <n v="0.9677"/>
        <n v="0.9964"/>
        <n v="0.9865"/>
        <n v="0.9934"/>
        <n v="0.9978"/>
        <n v="0.9987"/>
        <n v="1"/>
        <n v="0.9805"/>
        <n v="0.9896"/>
        <n v="0.9992"/>
        <n v="0.9915"/>
        <n v="0.9959"/>
        <n v="0.9947"/>
        <n v="0.9957"/>
        <n v="0.9665"/>
        <n v="0.9972"/>
        <n v="0.9835"/>
        <n v="0.9975"/>
        <n v="0.9913"/>
        <n v="0.995"/>
        <n v="0.9973"/>
        <n v="0.9937"/>
        <n v="0.967"/>
        <n v="0.9986"/>
        <n v="0.9963"/>
        <n v="0.9669"/>
        <n v="0.9918"/>
        <n v="0.9983"/>
        <n v="0.9845"/>
        <n v="0.997"/>
        <n v="0.9892"/>
        <n v="0.9931"/>
        <n v="0.9873"/>
        <n v="0.9927"/>
        <n v="0.9962"/>
        <n v="0.9953"/>
        <n v="0.983"/>
        <n v="0.9956"/>
        <n v="0.9803"/>
        <n v="0.9661"/>
        <n v="0.9938"/>
        <n v="0.8837"/>
        <n v="0.9855"/>
        <n v="0.9163"/>
        <n v="0.9749"/>
        <n v="0.9476"/>
        <n v="0.9888"/>
        <n v="0.9951"/>
        <n v="0.9843"/>
        <n v="0.9967"/>
        <n v="0.9827"/>
        <n v="0.9862"/>
        <n v="0.9859"/>
        <n v="0.8857"/>
        <n v="0.9416"/>
        <n v="0.9639"/>
        <n v="0.9659"/>
        <n v="0.9623"/>
        <n v="0.9189"/>
        <n v="0.9916"/>
        <n v="0.9667"/>
        <n v="0.9899"/>
        <n v="0.9394"/>
        <n v="0.95"/>
        <n v="0.9817"/>
        <n v="0.9432"/>
        <n v="0.9694"/>
        <n v="0.8913"/>
        <n v="0.9808"/>
        <n v="0.9259"/>
        <n v="0.981"/>
        <n v="0.9861"/>
        <n v="0.9914"/>
        <n v="0.9412"/>
        <n v="0.96"/>
        <n v="0.9605"/>
        <n v="0.9"/>
        <n v="0.9091"/>
        <n v="0.9891"/>
        <n v="0.8889"/>
        <n v="0.9231"/>
        <n v="0.9796"/>
        <n v="0.8947"/>
        <n v="0.9565"/>
        <n v="0.7778"/>
        <n v="0.875"/>
        <n v="0.5263"/>
        <n v="0.9333"/>
        <n v="0.9118"/>
        <n v="0.931"/>
        <n v="0.8824"/>
        <m/>
      </sharedItems>
    </cacheField>
    <cacheField name="推荐报价（购买按钮）百分比 – B2B" numFmtId="0">
      <sharedItems containsString="0" containsBlank="1" containsNumber="1" minValue="0" maxValue="1" count="17">
        <n v="0.9615"/>
        <n v="1"/>
        <n v="0.9259"/>
        <n v="0.8"/>
        <n v="0.875"/>
        <n v="0.6667"/>
        <n v="0.9375"/>
        <n v="0.9"/>
        <n v="0.75"/>
        <n v="0.5"/>
        <n v="0.9286"/>
        <n v="0.5714"/>
        <n v="0"/>
        <n v="0.8571"/>
        <n v="0.9231"/>
        <n v="0.7143"/>
        <m/>
      </sharedItems>
    </cacheField>
    <cacheField name="已订购商品数量" numFmtId="0">
      <sharedItems containsString="0" containsBlank="1" containsNumber="1" containsInteger="1" minValue="0" maxValue="371" count="55">
        <n v="371"/>
        <n v="220"/>
        <n v="206"/>
        <n v="176"/>
        <n v="104"/>
        <n v="93"/>
        <n v="75"/>
        <n v="72"/>
        <n v="102"/>
        <n v="67"/>
        <n v="58"/>
        <n v="66"/>
        <n v="55"/>
        <n v="51"/>
        <n v="52"/>
        <n v="47"/>
        <n v="45"/>
        <n v="44"/>
        <n v="41"/>
        <n v="39"/>
        <n v="38"/>
        <n v="37"/>
        <n v="36"/>
        <n v="35"/>
        <n v="30"/>
        <n v="29"/>
        <n v="28"/>
        <n v="27"/>
        <n v="26"/>
        <n v="32"/>
        <n v="25"/>
        <n v="22"/>
        <n v="23"/>
        <n v="21"/>
        <n v="19"/>
        <n v="20"/>
        <n v="18"/>
        <n v="17"/>
        <n v="15"/>
        <n v="34"/>
        <n v="14"/>
        <n v="13"/>
        <n v="12"/>
        <n v="11"/>
        <n v="10"/>
        <n v="9"/>
        <n v="8"/>
        <n v="7"/>
        <n v="6"/>
        <n v="5"/>
        <n v="4"/>
        <n v="3"/>
        <n v="2"/>
        <n v="1"/>
        <m/>
      </sharedItems>
    </cacheField>
  </cacheFields>
</pivotCacheDefinition>
</file>

<file path=xl/pivotCache/pivotCacheDefinition43.xml><?xml version="1.0" encoding="utf-8"?>
<pivotCacheDefinition xmlns="http://schemas.openxmlformats.org/spreadsheetml/2006/main" xmlns:r="http://schemas.openxmlformats.org/officeDocument/2006/relationships" r:id="rId1" createdVersion="5" refreshedVersion="5" minRefreshableVersion="3" refreshedDate="45219.6152314815" refreshedBy="Administrator" recordCount="181">
  <cacheSource type="worksheet">
    <worksheetSource ref="G1:W1048576" sheet="商品广告1012-1018" r:id="rId2"/>
  </cacheSource>
  <cacheFields count="19">
    <cacheField name="广告SKU" numFmtId="0">
      <sharedItems containsBlank="1" count="116">
        <s v="Y72648-OR+Y72649+Y72381"/>
        <s v="Y72648-BL+Y72649+Y72381"/>
        <s v="Y72454-OR+Y72455+Y72511"/>
        <s v="Y72454-BL+Y72455+Y72511"/>
        <s v="Y72488-OR+Y72490+Y72380"/>
        <s v="Y73475-BL+Y72615+Y73478"/>
        <s v="Y73694-BL+Y73712+Y73744"/>
        <s v="Y73230-BL+Y73231+Y73240"/>
        <s v="Y72488-BL+Y72490+Y72380"/>
        <s v="Y73230-DB+Y73231+Y73240"/>
        <s v="Y72611-BL+Y72614+Y72635"/>
        <s v="Y73106-DB+Y73109+Y73112"/>
        <s v="Y73106-OR+Y73109+Y73112"/>
        <s v="Y73475-OR+Y72615+Y73478"/>
        <s v="Y72611-OR+Y72614+Y72635"/>
        <s v="Y7002-DB+Y7005"/>
        <s v="Y73694-OR+Y73712+Y73744"/>
        <s v="Y73040-DB+Y73045+Y73063"/>
        <s v="Y73040-OR+Y73045+Y73063"/>
        <s v="Y73452-OR+Y73456+Y73457"/>
        <s v="Y73452-DB+Y73456+Y73457"/>
        <s v="Y73405-BL+Y73406+Y73397"/>
        <s v="Y73189-OR+Y73190+Y73270"/>
        <s v="Y73189-BL+Y73190+Y73270"/>
        <s v="Y73475-BB+Y72615+Y73478"/>
        <s v="Y72563-OR+Y72564+Y72571"/>
        <s v="Y7011-BL+Y7019+Y7015"/>
        <s v="Y7011-DB+Y7019+Y7015"/>
        <s v="Y7013-BL+Y7021+Y7017"/>
        <s v="Y7013-OR+Y7021+Y7017"/>
        <s v="Y7012-BU+Y7020+Y7016"/>
        <s v="Y7010-BL+Y7018+Y7014"/>
        <s v="Y72563-BL+Y72564+Y72571"/>
        <s v="Y73473-OR+Y72614+Y73476"/>
        <s v="Y73474-DB+Y72614+Y73477"/>
        <s v="Y72612-OR+Y72615+Y72636"/>
        <s v="Y72612-DB+Y72615+Y72636"/>
        <s v="Y7011-BU+Y7019+Y7015"/>
        <s v="Y7010-BU+Y7018+Y7014"/>
        <s v="Y72611-DB+Y72614+Y72635"/>
        <s v="Y7002-OR+Y7005"/>
        <s v="Y7002-BB+Y7005"/>
        <s v="Y72612-BL+Y72615+Y72636"/>
        <s v="Y73189-DB+Y73190+Y73270"/>
        <s v="Y73405-DB+Y73406+Y73397"/>
        <s v="Y7012-OR+Y7020+Y7016"/>
        <s v="Y7022-OR+Y7024+Y7023"/>
        <s v="Y7022-BL+Y7024+Y7023"/>
        <s v="Y7011-OR+Y7019+Y7015"/>
        <s v="Y73133-OR+Y73136+Y73267"/>
        <s v="Y73133-BL+Y73136+Y73267"/>
        <s v="Y73134-BL+Y03137+Y73268"/>
        <s v="Y7031-OR+Y7032"/>
        <s v="Y7028-OR+Y7029+Y7030"/>
        <s v="Y7025-BL+Y7027+Y7026"/>
        <s v="Y7025-OR+Y7027+Y7026"/>
        <s v="Y7031-BL+Y7032"/>
        <s v="Y7028-DB+Y7029+Y7030"/>
        <s v="Y7022-BU+Y7024+Y7023"/>
        <s v="Y7031-BU+Y7032"/>
        <s v="Y72610-OR+Y72613+Y12803"/>
        <s v="Y7033-DB+Y7034"/>
        <s v="Y7033-BL+Y7034"/>
        <s v="Y72559-OR+Y72560+Y72399"/>
        <s v="Y72691-DB+Y72692+Y72758"/>
        <s v="Y7001-BB-ZH"/>
        <s v="Y72000-DB+Y72013+Y72749"/>
        <s v="Y7036-BU-ZH"/>
        <s v="Y7036-DB-ZH"/>
        <s v="Y7036-BL-ZH"/>
        <s v="Y7036-OR-ZH"/>
        <s v="Y73821-DB-ZH"/>
        <s v="Y73135-BL-ZH"/>
        <s v="Y73153-DB-ZH"/>
        <s v="Y73153-OR-ZH"/>
        <s v="Y73153-BL-ZH"/>
        <s v="Y7039-BL+Y7040+Y7041"/>
        <s v="Y7039-OR+Y7040+Y7041"/>
        <s v="Y7039-BU+Y7040+Y7041"/>
        <s v="Y7063-BL+Y7064+Y7065"/>
        <s v="Y7063-OR+Y7064+Y7065"/>
        <s v="Y7069-BL+Y7070+Y7071"/>
        <s v="Y7075-BL+Y7076+Y7077"/>
        <s v="Y7066-BL+Y7067+Y7068"/>
        <s v="Y7066-OR+Y7067+Y7068"/>
        <s v="Y7072-OR+Y7073+Y7074"/>
        <s v="Y7072-BL+Y7073+Y7074"/>
        <s v="Y7072-DB+Y7073+Y7074"/>
        <s v="Y7069-OR+Y7070+Y7071"/>
        <s v="Y7069-BU+Y7070+Y7071"/>
        <s v="Y7084-OR+Y7085"/>
        <s v="Y7084-BU+Y7085"/>
        <s v="Y7086-OR+Y7087"/>
        <s v="Y7086-BU+Y7087"/>
        <s v="Y7084-BL+Y7085"/>
        <s v="Y7086-BL+Y7087"/>
        <s v="Y7066-BU+Y7067+Y7068"/>
        <s v="Y7045-BL+Y7046+Y7047"/>
        <s v="Y7045-DB+Y7046+Y7047"/>
        <s v="Y7045-OR+Y7046+Y7047"/>
        <s v="Y7045-BU+Y7046+Y7047"/>
        <s v="Y7042-BU+Y7043+Y7044"/>
        <s v="Y7042-OR+Y7043+Y7044"/>
        <s v="Y7042-DB+Y7043+Y7044"/>
        <s v="Y7042-BL+Y7043+Y7044"/>
        <s v="Y7048-OR+Y7049+Y7050"/>
        <s v="Y7048-BU+Y7049+Y7050"/>
        <s v="Y7048-BL+Y7049+Y7050"/>
        <s v="Y7048-DB+Y7049+Y7050"/>
        <s v="Y7052-BL+Y7056+Y7060"/>
        <s v="Y7051-OR+Y7055+Y7059"/>
        <s v="Y7053-BL+Y7057+Y7061"/>
        <s v="Y7053-OR+Y7057+Y7061"/>
        <s v="Y7052-OR+Y7056+Y7060"/>
        <s v="Y7054-BU+Y7062+Y7058"/>
        <m/>
      </sharedItems>
    </cacheField>
    <cacheField name="广告ASIN" numFmtId="0">
      <sharedItems containsBlank="1" count="101">
        <s v="B0B5QVL591"/>
        <s v="B0B5QS2BBK"/>
        <s v="B0B5XDHJZ7"/>
        <s v="B0B5XBSDS2"/>
        <s v="B0B5ZK6MRR"/>
        <s v="B0B6PBJ5XP"/>
        <s v="B0B6VJHP8Q"/>
        <s v="B0B6RDRJLB"/>
        <s v="B0B5ZLP61G"/>
        <s v="B0B6RDT7JN"/>
        <s v="B0B6VKLX2B"/>
        <s v="B0B5XLV7NX"/>
        <s v="B0B5XFNJRJ"/>
        <s v="B0B6PGB4JM"/>
        <s v="B0B6VRRMWW"/>
        <s v="B0B6VP68KJ"/>
        <s v="B0B6VK1FR4"/>
        <s v="B0B6RFCSZL"/>
        <s v="B0B6RD6DRX"/>
        <s v="B0B63NLM2C"/>
        <s v="B0B63LPZZ8"/>
        <s v="B0B63GFYYK"/>
        <s v="B0B68GLBJM"/>
        <s v="B0B68J2J8P"/>
        <s v="B0B6PQXZZP"/>
        <s v="B0B5ZN9XPZ"/>
        <s v="B0BBG13KWX"/>
        <s v="B0BBG2D31Y"/>
        <s v="B0BBG4W47P"/>
        <s v="B0BBG47DWW"/>
        <s v="B0BBG4HBRL"/>
        <s v="B0BBFV5GCR"/>
        <s v="B0B5ZPYKY5"/>
        <s v="B0B6PDYBL9"/>
        <s v="B0B6P2GJ5K"/>
        <s v="B0BCFGZF9F"/>
        <s v="B0B6FQ7GBY"/>
        <s v="B0BBFYQ998"/>
        <s v="B0BBFXGD1Q"/>
        <s v="B0B6VQ6DC8"/>
        <s v="B0B6VN2HH7"/>
        <s v="B0B6VM88JM"/>
        <s v="B0B6FWC6N6"/>
        <s v="B0B68H64R9"/>
        <s v="B0B63J18RW"/>
        <s v="B0BBG2NL26"/>
        <s v="B0BLXZ2PHT"/>
        <s v="B0BLYPT5CN"/>
        <s v="B0BBG1ZGYS"/>
        <s v="B0BQRNV2Z3"/>
        <s v="B0BQRPGXSB"/>
        <s v="B0BQRQ3974"/>
        <s v="B0BQML1ZRK"/>
        <s v="B0BQMLXY38"/>
        <s v="B0BQRNJQZM"/>
        <s v="B0BQRPNLNX"/>
        <s v="B0BQMNJ6Q3"/>
        <s v="B0BQMLCGZR"/>
        <s v="B0BLXVWKNB"/>
        <s v="B0BQMMFRGQ"/>
        <s v="B0BCFLZZ4Q"/>
        <s v="B0BQMJKB4S"/>
        <s v="B0BQMJBXVV"/>
        <s v="B0BZCRVBC8"/>
        <s v="B0C1C3DN9D"/>
        <s v="B0C1VFZYP5"/>
        <s v="B0BQJHSY7P"/>
        <s v="B0C39SKJCD"/>
        <s v="B0C39QRGJ7"/>
        <s v="B0C39R9CKF"/>
        <s v="B0C39QMLST"/>
        <s v="B0C2TGTPPR"/>
        <s v="B0C2Q3GMBF"/>
        <s v="B0C2T7NTB8"/>
        <s v="B0C2TCNT1B"/>
        <s v="B0C2T94PMQ"/>
        <s v="B0C3QJF82L"/>
        <s v="B0C3QG58M3"/>
        <s v="B0C3QJR1F6"/>
        <s v="B0C7ZM4H8Z"/>
        <s v="B0C7ZL4Z59"/>
        <s v="B0CDGZVZRS"/>
        <s v="B0CDLDJ7N4"/>
        <s v="B0CDGWKNYJ"/>
        <s v="B0CDGY3PH4"/>
        <s v="B0CDKFJ16G"/>
        <s v="B0CDK1Y499"/>
        <s v="B0CDKMY8Z9"/>
        <s v="B0CDGZ2GNB"/>
        <s v="B0CDGZVRJ8"/>
        <s v="B0CGX1WNFT"/>
        <s v="B0CGX537RQ"/>
        <s v="B0CGX2PHRG"/>
        <s v="B0CGX24JGD"/>
        <s v="B0CGX31152"/>
        <s v="B0CGX382NL"/>
        <s v="B0CDH22FFC"/>
        <s v="B0C3QKV3M1"/>
        <s v="B0BLY64GWX"/>
        <s v="B0BBG4X86G"/>
        <m/>
      </sharedItems>
    </cacheField>
    <cacheField name="展示量" numFmtId="0">
      <sharedItems containsString="0" containsBlank="1" containsNumber="1" containsInteger="1" minValue="0" maxValue="8821" count="149">
        <n v="225"/>
        <n v="1233"/>
        <n v="2253"/>
        <n v="3037"/>
        <n v="918"/>
        <n v="1645"/>
        <n v="240"/>
        <n v="1370"/>
        <n v="2900"/>
        <n v="5952"/>
        <n v="891"/>
        <n v="1543"/>
        <n v="131"/>
        <n v="2961"/>
        <n v="520"/>
        <n v="2926"/>
        <n v="763"/>
        <n v="137"/>
        <n v="305"/>
        <n v="600"/>
        <n v="3761"/>
        <n v="8821"/>
        <n v="380"/>
        <n v="215"/>
        <n v="186"/>
        <n v="810"/>
        <n v="536"/>
        <n v="599"/>
        <n v="875"/>
        <n v="589"/>
        <n v="3301"/>
        <n v="775"/>
        <n v="356"/>
        <n v="267"/>
        <n v="2028"/>
        <n v="796"/>
        <n v="1258"/>
        <n v="7859"/>
        <n v="0"/>
        <n v="3574"/>
        <n v="925"/>
        <n v="303"/>
        <n v="365"/>
        <n v="480"/>
        <n v="516"/>
        <n v="168"/>
        <n v="1599"/>
        <n v="13"/>
        <n v="1221"/>
        <n v="4304"/>
        <n v="25"/>
        <n v="3"/>
        <n v="2"/>
        <n v="6185"/>
        <n v="16"/>
        <n v="6080"/>
        <n v="6"/>
        <n v="11"/>
        <n v="1647"/>
        <n v="369"/>
        <n v="547"/>
        <n v="79"/>
        <n v="4"/>
        <n v="1"/>
        <n v="6071"/>
        <n v="7075"/>
        <n v="329"/>
        <n v="357"/>
        <n v="596"/>
        <n v="669"/>
        <n v="979"/>
        <n v="127"/>
        <n v="2084"/>
        <n v="529"/>
        <n v="692"/>
        <n v="8"/>
        <n v="12"/>
        <n v="27"/>
        <n v="737"/>
        <n v="1034"/>
        <n v="1101"/>
        <n v="31"/>
        <n v="9"/>
        <n v="207"/>
        <n v="466"/>
        <n v="38"/>
        <n v="411"/>
        <n v="56"/>
        <n v="376"/>
        <n v="192"/>
        <n v="598"/>
        <n v="199"/>
        <n v="409"/>
        <n v="302"/>
        <n v="189"/>
        <n v="5"/>
        <n v="255"/>
        <n v="237"/>
        <n v="399"/>
        <n v="29"/>
        <n v="24"/>
        <n v="15"/>
        <n v="320"/>
        <n v="1132"/>
        <n v="147"/>
        <n v="156"/>
        <n v="82"/>
        <n v="2501"/>
        <n v="462"/>
        <n v="3738"/>
        <n v="6146"/>
        <n v="7780"/>
        <n v="7190"/>
        <n v="1546"/>
        <n v="921"/>
        <n v="2271"/>
        <n v="3628"/>
        <n v="594"/>
        <n v="74"/>
        <n v="22"/>
        <n v="108"/>
        <n v="183"/>
        <n v="122"/>
        <n v="1533"/>
        <n v="1704"/>
        <n v="1707"/>
        <n v="3983"/>
        <n v="1538"/>
        <n v="173"/>
        <n v="317"/>
        <n v="273"/>
        <n v="6410"/>
        <n v="291"/>
        <n v="188"/>
        <n v="416"/>
        <n v="152"/>
        <n v="849"/>
        <n v="32"/>
        <n v="634"/>
        <n v="143"/>
        <n v="546"/>
        <n v="241"/>
        <n v="481"/>
        <n v="348"/>
        <n v="456"/>
        <n v="222"/>
        <n v="575"/>
        <n v="1681"/>
        <m/>
      </sharedItems>
    </cacheField>
    <cacheField name="点击量" numFmtId="0">
      <sharedItems containsString="0" containsBlank="1" containsNumber="1" containsInteger="1" minValue="0" maxValue="94" count="48">
        <n v="10"/>
        <n v="9"/>
        <n v="18"/>
        <n v="28"/>
        <n v="11"/>
        <n v="17"/>
        <n v="7"/>
        <n v="12"/>
        <n v="49"/>
        <n v="61"/>
        <n v="2"/>
        <n v="13"/>
        <n v="0"/>
        <n v="39"/>
        <n v="6"/>
        <n v="20"/>
        <n v="1"/>
        <n v="54"/>
        <n v="84"/>
        <n v="4"/>
        <n v="41"/>
        <n v="5"/>
        <n v="19"/>
        <n v="94"/>
        <n v="67"/>
        <n v="35"/>
        <n v="46"/>
        <n v="45"/>
        <n v="66"/>
        <n v="47"/>
        <n v="26"/>
        <n v="8"/>
        <n v="15"/>
        <n v="30"/>
        <n v="14"/>
        <n v="3"/>
        <n v="33"/>
        <n v="34"/>
        <n v="89"/>
        <n v="68"/>
        <n v="27"/>
        <n v="23"/>
        <n v="42"/>
        <n v="21"/>
        <n v="69"/>
        <n v="29"/>
        <n v="25"/>
        <m/>
      </sharedItems>
    </cacheField>
    <cacheField name="点击率(CTR)" numFmtId="0">
      <sharedItems containsString="0" containsBlank="1" containsNumber="1" minValue="0" maxValue="0.25" count="129">
        <n v="0.0444444444444444"/>
        <n v="0.0072992700729927"/>
        <n v="0.00798934753661784"/>
        <n v="0.00921962462956865"/>
        <n v="0.0119825708061002"/>
        <n v="0.0103343465045593"/>
        <n v="0.0291666666666667"/>
        <n v="0.00875912408759124"/>
        <n v="0.0168965517241379"/>
        <n v="0.0102486559139785"/>
        <n v="0.00224466891133558"/>
        <n v="0.0084251458198315"/>
        <n v="0"/>
        <n v="0.0131712259371834"/>
        <n v="0.0115384615384615"/>
        <n v="0.00683526999316473"/>
        <n v="0.0117955439056356"/>
        <n v="0.019672131147541"/>
        <n v="0.0116666666666667"/>
        <n v="0.0143578835416113"/>
        <n v="0.00952272984922344"/>
        <n v="0.0105263157894737"/>
        <n v="0.0325581395348837"/>
        <n v="0.00537634408602151"/>
        <n v="0.00493827160493827"/>
        <n v="0.0111940298507463"/>
        <n v="0.011686143572621"/>
        <n v="0.0148571428571429"/>
        <n v="0.00169779286926995"/>
        <n v="0.0124204786428355"/>
        <n v="0.0167741935483871"/>
        <n v="0.0168539325842697"/>
        <n v="0.0187265917602996"/>
        <n v="0.00936883629191321"/>
        <n v="0.0113065326633166"/>
        <n v="0.00317965023847377"/>
        <n v="0.011960809263265"/>
        <m/>
        <n v="0.0187465025181869"/>
        <n v="0.00756756756756757"/>
        <n v="0.0033003300330033"/>
        <n v="0.010958904109589"/>
        <n v="0.00833333333333333"/>
        <n v="0.0174418604651163"/>
        <n v="0.0119047619047619"/>
        <n v="0.0218886804252658"/>
        <n v="0.00982800982800983"/>
        <n v="0.0106877323420074"/>
        <n v="0.04"/>
        <n v="0.00727566693613581"/>
        <n v="0.0108552631578947"/>
        <n v="0.0285367334547662"/>
        <n v="0.013550135501355"/>
        <n v="0.00914076782449726"/>
        <n v="0.0126582278481013"/>
        <n v="0.25"/>
        <n v="0.0100477680777467"/>
        <n v="0.00367491166077739"/>
        <n v="0.0243161094224924"/>
        <n v="0.00280112044817927"/>
        <n v="0.0100671140939597"/>
        <n v="0.0224215246636771"/>
        <n v="0.0306435137895812"/>
        <n v="0.0078740157480315"/>
        <n v="0.00671785028790787"/>
        <n v="0.0113421550094518"/>
        <n v="0.00722543352601156"/>
        <n v="0.037037037037037"/>
        <n v="0.0149253731343284"/>
        <n v="0.0135396518375242"/>
        <n v="0.00635785649409628"/>
        <n v="0.0193236714975845"/>
        <n v="0.0128755364806867"/>
        <n v="0.0263157894736842"/>
        <n v="0.0381679389312977"/>
        <n v="0.0218978102189781"/>
        <n v="0.0132978723404255"/>
        <n v="0.0104166666666667"/>
        <n v="0.0150501672240803"/>
        <n v="0.0150753768844221"/>
        <n v="0.0122249388753056"/>
        <n v="0.00993377483443709"/>
        <n v="0.00529100529100529"/>
        <n v="0.00784313725490196"/>
        <n v="0.00421940928270042"/>
        <n v="0.0050125313283208"/>
        <n v="0.0909090909090909"/>
        <n v="0.0344827586206897"/>
        <n v="0.00625"/>
        <n v="0.00353356890459364"/>
        <n v="0.0128205128205128"/>
        <n v="0.0039984006397441"/>
        <n v="0.0216450216450216"/>
        <n v="0.00882825040128411"/>
        <n v="0.00553205336804426"/>
        <n v="0.011439588688946"/>
        <n v="0.00945757997218359"/>
        <n v="0.00711513583441138"/>
        <n v="0.0293159609120521"/>
        <n v="0.0101276970497578"/>
        <n v="0.0115766262403528"/>
        <n v="0.00667779632721202"/>
        <n v="0.00505050505050505"/>
        <n v="0.0135135135135135"/>
        <n v="0.0462962962962963"/>
        <n v="0.0218579234972678"/>
        <n v="0.0901639344262295"/>
        <n v="0.00587084148727984"/>
        <n v="0.0123239436619718"/>
        <n v="0.0175746924428823"/>
        <n v="0.0173236254079839"/>
        <n v="0.0188556566970091"/>
        <n v="0.0313725490196078"/>
        <n v="0.0173410404624277"/>
        <n v="0.0157728706624606"/>
        <n v="0.010989010989011"/>
        <n v="0.00390015600624025"/>
        <n v="0.0206185567010309"/>
        <n v="0.00480769230769231"/>
        <n v="0.00157728706624606"/>
        <n v="0.013986013986014"/>
        <n v="0.00366300366300366"/>
        <n v="0.00829875518672199"/>
        <n v="0.00831600831600832"/>
        <n v="0.0114942528735632"/>
        <n v="0.0087719298245614"/>
        <n v="0.018018018018018"/>
        <n v="0.00173913043478261"/>
        <n v="0.00535395597858418"/>
      </sharedItems>
    </cacheField>
    <cacheField name="每次点击成本(CPC)" numFmtId="0">
      <sharedItems containsString="0" containsBlank="1" containsNumber="1" minValue="0" maxValue="0.733636363636364" count="113">
        <n v="0.259"/>
        <n v="0.305555555555556"/>
        <n v="0.317777777777778"/>
        <n v="0.388214285714286"/>
        <n v="0.368181818181818"/>
        <n v="0.319411764705882"/>
        <n v="0.367142857142857"/>
        <n v="0.365"/>
        <n v="0.408979591836735"/>
        <n v="0.405573770491803"/>
        <n v="0.585"/>
        <n v="0.442307692307692"/>
        <m/>
        <n v="0.458974358974359"/>
        <n v="0.291666666666667"/>
        <n v="0.314"/>
        <n v="0.471111111111111"/>
        <n v="0.26"/>
        <n v="0.277142857142857"/>
        <n v="0.324444444444444"/>
        <n v="0.373452380952381"/>
        <n v="0.45"/>
        <n v="0.22"/>
        <n v="0.04"/>
        <n v="0.5"/>
        <n v="0.318333333333333"/>
        <n v="0.37"/>
        <n v="0.392307692307692"/>
        <n v="0.355121951219512"/>
        <n v="0.226153846153846"/>
        <n v="0.213333333333333"/>
        <n v="0.362"/>
        <n v="0.429473684210526"/>
        <n v="0.434444444444445"/>
        <n v="0.4"/>
        <n v="0.401276595744681"/>
        <n v="0.337313432835821"/>
        <n v="0.261428571428571"/>
        <n v="0.47"/>
        <n v="0.4175"/>
        <n v="0.21"/>
        <n v="0.454444444444444"/>
        <n v="0.295"/>
        <n v="0.423142857142857"/>
        <n v="0.3875"/>
        <n v="0.458260869565217"/>
        <n v="0.07"/>
        <n v="0.399777777777778"/>
        <n v="0.475606060606061"/>
        <n v="0.302127659574468"/>
        <n v="0.212"/>
        <n v="0.328"/>
        <n v="0.383770491803279"/>
        <n v="0.441538461538462"/>
        <n v="0.2"/>
        <n v="0.195333333333333"/>
        <n v="0.373333333333333"/>
        <n v="0.43"/>
        <n v="0.358571428571429"/>
        <n v="0.316666666666667"/>
        <n v="0.35"/>
        <n v="0.3"/>
        <n v="0.382727272727273"/>
        <n v="0.404285714285714"/>
        <n v="0.455714285714286"/>
        <n v="0.36"/>
        <n v="0.39"/>
        <n v="0.34"/>
        <n v="0.368"/>
        <n v="0.342222222222222"/>
        <n v="0.353333333333333"/>
        <n v="0.25"/>
        <n v="0.366"/>
        <n v="0.42"/>
        <n v="0.27"/>
        <n v="0.305"/>
        <n v="0.46"/>
        <n v="0.28"/>
        <n v="0.12"/>
        <n v="0.54"/>
        <n v="0.649"/>
        <n v="0.437"/>
        <n v="0.400909090909091"/>
        <n v="0.496764705882353"/>
        <n v="0.609887640449438"/>
        <n v="0.429117647058824"/>
        <n v="0.733636363636364"/>
        <n v="0.367777777777778"/>
        <n v="0.72"/>
        <n v="0.719047619047619"/>
        <n v="0.5125"/>
        <n v="0.496666666666667"/>
        <n v="0.4025"/>
        <n v="0.415454545454545"/>
        <n v="0.621111111111111"/>
        <n v="0.592380952380952"/>
        <n v="0.634333333333333"/>
        <n v="0.641159420289855"/>
        <n v="0.466551724137931"/>
        <n v="0.5275"/>
        <n v="0.346666666666667"/>
        <n v="0.474"/>
        <n v="0.38"/>
        <n v="0.5912"/>
        <n v="0.618333333333333"/>
        <n v="0.18"/>
        <n v="0.505"/>
        <n v="0.475"/>
        <n v="0.4775"/>
        <n v="0.68"/>
        <n v="0.4325"/>
        <n v="0.49"/>
        <n v="0.584444444444444"/>
      </sharedItems>
    </cacheField>
    <cacheField name="花费" numFmtId="0">
      <sharedItems containsString="0" containsBlank="1" containsNumber="1" minValue="0" maxValue="54.28" count="120">
        <n v="2.59"/>
        <n v="2.75"/>
        <n v="5.72"/>
        <n v="10.87"/>
        <n v="4.05"/>
        <n v="5.43"/>
        <n v="2.57"/>
        <n v="4.38"/>
        <n v="20.04"/>
        <n v="24.74"/>
        <n v="1.17"/>
        <n v="5.75"/>
        <n v="0"/>
        <n v="17.9"/>
        <n v="1.75"/>
        <n v="6.28"/>
        <n v="4.24"/>
        <n v="0.26"/>
        <n v="1.56"/>
        <n v="1.94"/>
        <n v="17.52"/>
        <n v="31.37"/>
        <n v="1.8"/>
        <n v="1.54"/>
        <n v="0.04"/>
        <n v="2"/>
        <n v="1.91"/>
        <n v="5.1"/>
        <n v="0.22"/>
        <n v="14.56"/>
        <n v="2.94"/>
        <n v="1.28"/>
        <n v="1.81"/>
        <n v="8.16"/>
        <n v="3.91"/>
        <n v="1.6"/>
        <n v="37.72"/>
        <n v="22.6"/>
        <n v="1.83"/>
        <n v="0.47"/>
        <n v="1.67"/>
        <n v="0.84"/>
        <n v="4.09"/>
        <n v="0.59"/>
        <n v="14.81"/>
        <n v="4.65"/>
        <n v="21.08"/>
        <n v="0.07"/>
        <n v="17.99"/>
        <n v="31.39"/>
        <n v="14.2"/>
        <n v="1.06"/>
        <n v="1.64"/>
        <n v="0.4"/>
        <n v="23.41"/>
        <n v="11.48"/>
        <n v="2.4"/>
        <n v="2.93"/>
        <n v="11.2"/>
        <n v="0.43"/>
        <n v="5.02"/>
        <n v="1.9"/>
        <n v="0.3"/>
        <n v="4.21"/>
        <n v="5.66"/>
        <n v="3.19"/>
        <n v="1.44"/>
        <n v="2.34"/>
        <n v="0.34"/>
        <n v="1.84"/>
        <n v="3.08"/>
        <n v="1.57"/>
        <n v="0.73"/>
        <n v="3.18"/>
        <n v="0.75"/>
        <n v="1.26"/>
        <n v="0.27"/>
        <n v="0.61"/>
        <n v="0.46"/>
        <n v="0.56"/>
        <n v="0.2"/>
        <n v="0.12"/>
        <n v="0.78"/>
        <n v="1.08"/>
        <n v="6.49"/>
        <n v="4.37"/>
        <n v="13.23"/>
        <n v="16.89"/>
        <n v="54.28"/>
        <n v="29.18"/>
        <n v="8.07"/>
        <n v="9.93"/>
        <n v="16.56"/>
        <n v="30.2"/>
        <n v="2.05"/>
        <n v="1.49"/>
        <n v="1.61"/>
        <n v="4.57"/>
        <n v="5.59"/>
        <n v="12.44"/>
        <n v="19.03"/>
        <n v="44.24"/>
        <n v="13.53"/>
        <n v="4.22"/>
        <n v="1.04"/>
        <n v="2.37"/>
        <n v="1.14"/>
        <n v="14.78"/>
        <n v="3.71"/>
        <n v="0.9"/>
        <n v="0.18"/>
        <n v="0.6"/>
        <n v="1.01"/>
        <n v="0.95"/>
        <n v="2.72"/>
        <n v="1.73"/>
        <n v="1.96"/>
        <n v="0.68"/>
        <n v="5.26"/>
        <m/>
      </sharedItems>
    </cacheField>
    <cacheField name="7天总销售额" numFmtId="0">
      <sharedItems containsString="0" containsBlank="1" containsNumber="1" minValue="0" maxValue="168.87" count="18">
        <n v="25.98"/>
        <n v="0"/>
        <n v="12.99"/>
        <n v="64.95"/>
        <n v="38.97"/>
        <n v="116.91"/>
        <n v="142.89"/>
        <n v="51.96"/>
        <n v="116.25"/>
        <n v="77.94"/>
        <n v="123.2"/>
        <n v="168.54"/>
        <n v="90.93"/>
        <n v="168.87"/>
        <n v="77.61"/>
        <n v="129.9"/>
        <n v="25.99"/>
        <m/>
      </sharedItems>
    </cacheField>
    <cacheField name="广告成本销售比(ACOS)" numFmtId="0">
      <sharedItems containsString="0" containsBlank="1" containsNumber="1" minValue="0" maxValue="0.774955093661791" count="69">
        <n v="0.0996920708237105"/>
        <m/>
        <n v="0.440338722093918"/>
        <n v="0.167359507313318"/>
        <n v="0.103926096997691"/>
        <n v="0.209006928406467"/>
        <n v="0.112394149345651"/>
        <n v="0.171413908134462"/>
        <n v="0.173140177759115"/>
        <n v="0.344495765973826"/>
        <n v="0.161149602258147"/>
        <n v="0.120092378752887"/>
        <n v="0.149345650500385"/>
        <n v="0.150709677419355"/>
        <n v="0.402489094175006"/>
        <n v="0.147036181678214"/>
        <n v="0.118181818181818"/>
        <n v="0.226327944572748"/>
        <n v="0.0985373364126251"/>
        <n v="0.628175519630485"/>
        <n v="0.301000769822941"/>
        <n v="0.223804438115581"/>
        <n v="0.248542835147916"/>
        <n v="0.128560431100847"/>
        <n v="0.285026943802925"/>
        <n v="0.124829750695802"/>
        <n v="0.197844495765974"/>
        <n v="0.18624658834698"/>
        <n v="0.0993771432570509"/>
        <n v="0.300359250705671"/>
        <n v="0.441878367975366"/>
        <n v="0.123171670515781"/>
        <n v="0.184757505773672"/>
        <n v="0.112779060816012"/>
        <n v="0.144311300090195"/>
        <n v="0.14626635873749"/>
        <n v="0.217859892224788"/>
        <n v="0.245573518090839"/>
        <n v="0.110854503464203"/>
        <n v="0.0600461893764434"/>
        <n v="0.0261739799846035"/>
        <n v="0.237105465742879"/>
        <n v="0.0604311008468052"/>
        <n v="0.244803695150115"/>
        <n v="0.0577367205542725"/>
        <n v="0.0153964588144727"/>
        <n v="0.138568129330254"/>
        <n v="0.336412625096228"/>
        <n v="0.509237875288684"/>
        <n v="0.433410315627406"/>
        <n v="0.596942703178269"/>
        <n v="0.449268668206313"/>
        <n v="0.621247113163972"/>
        <n v="0.254811393379523"/>
        <n v="0.637413394919168"/>
        <n v="0.774955093661791"/>
        <n v="0.0789068514241724"/>
        <n v="0.139337952270978"/>
        <n v="0.17590454195535"/>
        <n v="0.23941493456505"/>
        <n v="0.366243264049269"/>
        <n v="0.340569668976135"/>
        <n v="0.173595073133179"/>
        <n v="0.324865280985373"/>
        <n v="0.182448036951501"/>
        <n v="0.227559661277906"/>
        <n v="0.142802155504234"/>
        <n v="0.104655636783378"/>
        <n v="0.0665640631011928"/>
      </sharedItems>
    </cacheField>
    <cacheField name="投入产出比(ROAS)" numFmtId="0">
      <sharedItems containsString="0" containsBlank="1" containsNumber="1" minValue="0" maxValue="64.95" count="70">
        <n v="10.030888030888"/>
        <n v="0"/>
        <n v="2.27097902097902"/>
        <n v="5.97516099356026"/>
        <n v="9.62222222222222"/>
        <n v="4.78453038674033"/>
        <n v="8.8972602739726"/>
        <n v="5.83383233532934"/>
        <n v="5.77566693613581"/>
        <m/>
        <n v="2.90279329608939"/>
        <n v="6.20541401273885"/>
        <n v="8.32692307692308"/>
        <n v="6.69587628865979"/>
        <n v="6.63527397260274"/>
        <n v="2.48453936882372"/>
        <n v="6.80104712041885"/>
        <n v="8.46153846153846"/>
        <n v="4.41836734693878"/>
        <n v="10.1484375"/>
        <n v="1.59191176470588"/>
        <n v="3.32225063938619"/>
        <n v="4.46818663838812"/>
        <n v="4.02345132743363"/>
        <n v="7.77844311377246"/>
        <n v="3.508440243079"/>
        <n v="8.01091081593928"/>
        <n v="5.05447470817121"/>
        <n v="5.36922586811086"/>
        <n v="10.062676056338"/>
        <n v="3.32934643314823"/>
        <n v="2.26306620209059"/>
        <n v="8.11875"/>
        <n v="5.4125"/>
        <n v="8.86689419795222"/>
        <n v="6.92946428571429"/>
        <n v="6.83684210526316"/>
        <n v="4.59010600706714"/>
        <n v="4.07210031347962"/>
        <n v="9.02083333333333"/>
        <n v="16.6538461538462"/>
        <n v="38.2058823529412"/>
        <n v="4.21753246753247"/>
        <n v="16.5477707006369"/>
        <n v="4.08490566037736"/>
        <n v="17.32"/>
        <n v="64.95"/>
        <n v="7.21666666666667"/>
        <n v="2.97254004576659"/>
        <n v="1.96371882086168"/>
        <n v="2.30728241563055"/>
        <n v="1.67520265291083"/>
        <n v="2.22583961617546"/>
        <n v="1.60966542750929"/>
        <n v="3.92447129909366"/>
        <n v="1.56884057971015"/>
        <n v="1.29039735099338"/>
        <n v="12.6731707317073"/>
        <n v="7.1767955801105"/>
        <n v="5.68490153172866"/>
        <n v="4.17684887459807"/>
        <n v="2.73042564372044"/>
        <n v="2.93625678119349"/>
        <n v="5.76053215077605"/>
        <n v="3.0781990521327"/>
        <n v="5.48101265822785"/>
        <n v="4.39445196211096"/>
        <n v="7.00269541778976"/>
        <n v="9.55514705882353"/>
        <n v="15.0231213872832"/>
      </sharedItems>
    </cacheField>
    <cacheField name="7天总订单数(#)" numFmtId="0">
      <sharedItems containsString="0" containsBlank="1" containsNumber="1" containsInteger="1" minValue="0" maxValue="13" count="14">
        <n v="2"/>
        <n v="0"/>
        <n v="1"/>
        <n v="5"/>
        <n v="3"/>
        <n v="9"/>
        <n v="11"/>
        <n v="4"/>
        <n v="6"/>
        <n v="13"/>
        <n v="7"/>
        <n v="12"/>
        <n v="10"/>
        <m/>
      </sharedItems>
    </cacheField>
    <cacheField name="7天总销售量(#)" numFmtId="0">
      <sharedItems containsString="0" containsBlank="1" containsNumber="1" containsInteger="1" minValue="0" maxValue="13" count="13">
        <n v="2"/>
        <n v="0"/>
        <n v="1"/>
        <n v="5"/>
        <n v="3"/>
        <n v="9"/>
        <n v="11"/>
        <n v="4"/>
        <n v="6"/>
        <n v="10"/>
        <n v="13"/>
        <n v="7"/>
        <m/>
      </sharedItems>
    </cacheField>
    <cacheField name="7天的转化率" numFmtId="0">
      <sharedItems containsString="0" containsBlank="1" containsNumber="1" minValue="0" maxValue="1" count="44">
        <n v="0.2"/>
        <n v="0"/>
        <n v="0.0555555555555556"/>
        <n v="0.178571428571429"/>
        <n v="0.272727272727273"/>
        <n v="0.117647058823529"/>
        <n v="0.25"/>
        <n v="0.183673469387755"/>
        <n v="0.180327868852459"/>
        <m/>
        <n v="0.102564102564103"/>
        <n v="0.15"/>
        <n v="0.166666666666667"/>
        <n v="0.142857142857143"/>
        <n v="0.0714285714285714"/>
        <n v="0.146341463414634"/>
        <n v="0.0769230769230769"/>
        <n v="0.0526315789473684"/>
        <n v="0.111111111111111"/>
        <n v="0.138297872340426"/>
        <n v="0.104477611940299"/>
        <n v="0.114285714285714"/>
        <n v="0.260869565217391"/>
        <n v="0.155555555555556"/>
        <n v="0.196969696969697"/>
        <n v="0.234042553191489"/>
        <n v="0.0983606557377049"/>
        <n v="0.125"/>
        <n v="0.133333333333333"/>
        <n v="0.5"/>
        <n v="1"/>
        <n v="0.4"/>
        <n v="0.333333333333333"/>
        <n v="0.1"/>
        <n v="0.0606060606060606"/>
        <n v="0.0882352941176471"/>
        <n v="0.0786516853932584"/>
        <n v="0.0735294117647059"/>
        <n v="0.0909090909090909"/>
        <n v="0.0869565217391304"/>
        <n v="0.181818181818182"/>
        <n v="0.19047619047619"/>
        <n v="0.144927536231884"/>
        <n v="0.206896551724138"/>
      </sharedItems>
    </cacheField>
    <cacheField name="7天内广告SKU销售量(#)" numFmtId="0">
      <sharedItems containsString="0" containsBlank="1" containsNumber="1" containsInteger="1" minValue="0" maxValue="10" count="9">
        <n v="1"/>
        <n v="0"/>
        <n v="2"/>
        <n v="3"/>
        <n v="5"/>
        <n v="10"/>
        <n v="7"/>
        <n v="6"/>
        <m/>
      </sharedItems>
    </cacheField>
    <cacheField name="7天内其他SKU销售量(#)" numFmtId="0">
      <sharedItems containsString="0" containsBlank="1" containsNumber="1" containsInteger="1" minValue="0" maxValue="8" count="10">
        <n v="1"/>
        <n v="0"/>
        <n v="3"/>
        <n v="6"/>
        <n v="2"/>
        <n v="7"/>
        <n v="8"/>
        <n v="5"/>
        <n v="4"/>
        <m/>
      </sharedItems>
    </cacheField>
    <cacheField name="7天内广告SKU销售额" numFmtId="0">
      <sharedItems containsString="0" containsBlank="1" containsNumber="1" minValue="0" maxValue="129.57" count="12">
        <n v="12.99"/>
        <n v="0"/>
        <n v="25.98"/>
        <n v="38.97"/>
        <n v="64.95"/>
        <n v="25.65"/>
        <n v="129.57"/>
        <n v="90.93"/>
        <n v="77.94"/>
        <n v="64.62"/>
        <n v="25.99"/>
        <m/>
      </sharedItems>
    </cacheField>
    <cacheField name="7天内其他SKU销售额" numFmtId="0">
      <sharedItems containsString="0" containsBlank="1" containsNumber="1" minValue="0" maxValue="103.59" count="12">
        <n v="12.99"/>
        <n v="0"/>
        <n v="38.97"/>
        <n v="77.94"/>
        <n v="25.98"/>
        <n v="90.6"/>
        <n v="97.22"/>
        <n v="90.93"/>
        <n v="64.95"/>
        <n v="103.59"/>
        <n v="51.96"/>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44.xml><?xml version="1.0" encoding="utf-8"?>
<pivotCacheDefinition xmlns="http://schemas.openxmlformats.org/spreadsheetml/2006/main" xmlns:r="http://schemas.openxmlformats.org/officeDocument/2006/relationships" r:id="rId1" createdVersion="5" refreshedVersion="5" minRefreshableVersion="3" refreshedDate="45219.6153587963" refreshedBy="Administrator" recordCount="203">
  <cacheSource type="worksheet">
    <worksheetSource ref="G1:W1048576" sheet="商品广告1004-1018" r:id="rId2"/>
  </cacheSource>
  <cacheFields count="19">
    <cacheField name="广告SKU" numFmtId="0">
      <sharedItems containsBlank="1" count="124">
        <s v="Y72648-OR+Y72649+Y72381"/>
        <s v="Y72648-BL+Y72649+Y72381"/>
        <s v="Y72454-OR+Y72455+Y72511"/>
        <s v="Y72454-BL+Y72455+Y72511"/>
        <s v="Y72488-OR+Y72490+Y72380"/>
        <s v="Y73475-BL+Y72615+Y73478"/>
        <s v="Y73694-BL+Y73712+Y73744"/>
        <s v="Y73230-BL+Y73231+Y73240"/>
        <s v="Y72488-BL+Y72490+Y72380"/>
        <s v="Y73230-DB+Y73231+Y73240"/>
        <s v="Y72611-BL+Y72614+Y72635"/>
        <s v="Y73106-DB+Y73109+Y73112"/>
        <s v="Y73106-OR+Y73109+Y73112"/>
        <s v="Y73475-OR+Y72615+Y73478"/>
        <s v="Y72611-OR+Y72614+Y72635"/>
        <s v="Y7002-DB+Y7005"/>
        <s v="Y73694-OR+Y73712+Y73744"/>
        <s v="Y73040-DB+Y73045+Y73063"/>
        <s v="Y73040-OR+Y73045+Y73063"/>
        <s v="Y73452-OR+Y73456+Y73457"/>
        <s v="Y73452-DB+Y73456+Y73457"/>
        <s v="Y73405-BL+Y73406+Y73397"/>
        <s v="Y73405-DB+Y73406+Y73397"/>
        <s v="Y73189-OR+Y73190+Y73270"/>
        <s v="Y73189-BL+Y73190+Y73270"/>
        <s v="Y73475-BB+Y72615+Y73478"/>
        <s v="Y72563-OR+Y72564+Y72571"/>
        <s v="Y73473-BB+Y72614+Y73476"/>
        <s v="Y7011-BL+Y7019+Y7015"/>
        <s v="Y7011-DB+Y7019+Y7015"/>
        <s v="Y7013-BL+Y7021+Y7017"/>
        <s v="Y7013-OR+Y7021+Y7017"/>
        <s v="Y7012-BU+Y7020+Y7016"/>
        <s v="Y7010-BL+Y7018+Y7014"/>
        <s v="Y72563-BL+Y72564+Y72571"/>
        <s v="Y73473-OR+Y72614+Y73476"/>
        <s v="Y73474-DB+Y72614+Y73477"/>
        <s v="Y72612-OR+Y72615+Y72636"/>
        <s v="Y72612-DB+Y72615+Y72636"/>
        <s v="Y7011-BU+Y7019+Y7015"/>
        <s v="Y7010-BU+Y7018+Y7014"/>
        <s v="Y72611-DB+Y72614+Y72635"/>
        <s v="Y7002-OR+Y7005"/>
        <s v="Y7002-BB+Y7005"/>
        <s v="Y72612-BL+Y72615+Y72636"/>
        <s v="Y73189-DB+Y73190+Y73270"/>
        <s v="Y7012-OR+Y7020+Y7016"/>
        <s v="Y7022-OR+Y7024+Y7023"/>
        <s v="Y7022-BL+Y7024+Y7023"/>
        <s v="Y7011-OR+Y7019+Y7015"/>
        <s v="Y73133-OR+Y73136+Y73267"/>
        <s v="Y73133-BL+Y73136+Y73267"/>
        <s v="Y73134-DB+Y03137+Y73268"/>
        <s v="Y73134-BL+Y03137+Y73268"/>
        <s v="Y7031-BU+Y7032"/>
        <s v="Y7031-OR+Y7032"/>
        <s v="Y7031-DB+Y7032"/>
        <s v="Y7028-OR+Y7029+Y7030"/>
        <s v="Y7025-BL+Y7027+Y7026"/>
        <s v="Y7025-OR+Y7027+Y7026"/>
        <s v="Y7031-BL+Y7032"/>
        <s v="Y7028-DB+Y7029+Y7030"/>
        <s v="Y7022-BU+Y7024+Y7023"/>
        <s v="Y72610-OR+Y72613+Y12803"/>
        <s v="Y7033-DB+Y7034"/>
        <s v="Y72610-NB+Y72613+Y12803"/>
        <s v="Y7033-BL+Y7034"/>
        <s v="Y72559-OR+Y72560+Y72399"/>
        <s v="Y72691-DB+Y72692+Y72758"/>
        <s v="Y7001-BB-ZH"/>
        <s v="Y72000-DB+Y72013+Y72749"/>
        <s v="Y72559-BL+Y72560+Y72399"/>
        <s v="Y7036-BU-ZH"/>
        <s v="Y7036-DB-ZH"/>
        <s v="Y7036-BL-ZH"/>
        <s v="Y7036-OR-ZH"/>
        <s v="Y73821-DB-ZH"/>
        <s v="Y73135-BL-ZH"/>
        <s v="Y73153-DB-ZH"/>
        <s v="Y73153-OR-ZH"/>
        <s v="Y73153-BL-ZH"/>
        <s v="Y73630-GR+Y73635+Y73643"/>
        <s v="Y7039-BL+Y7040+Y7041"/>
        <s v="Y7039-OR+Y7040+Y7041"/>
        <s v="Y7039-BU+Y7040+Y7041"/>
        <s v="Y7063-BL+Y7064+Y7065"/>
        <s v="Y7063-OR+Y7064+Y7065"/>
        <s v="Y7069-BL+Y7070+Y7071"/>
        <s v="Y7075-BL+Y7076+Y7077"/>
        <s v="Y7075-OR+Y7076+Y7077"/>
        <s v="Y7072-BU+Y7073+Y7074"/>
        <s v="Y7072-OR+Y7073+Y7074"/>
        <s v="Y7066-BL+Y7067+Y7068"/>
        <s v="Y7066-OR+Y7067+Y7068"/>
        <s v="Y7072-BL+Y7073+Y7074"/>
        <s v="Y7072-DB+Y7073+Y7074"/>
        <s v="Y7069-OR+Y7070+Y7071"/>
        <s v="Y7069-BU+Y7070+Y7071"/>
        <s v="Y7084-OR+Y7085"/>
        <s v="Y7084-BU+Y7085"/>
        <s v="Y7086-OR+Y7087"/>
        <s v="Y7086-BU+Y7087"/>
        <s v="Y7084-BL+Y7085"/>
        <s v="Y7086-BL+Y7087"/>
        <s v="Y7066-BU+Y7067+Y7068"/>
        <s v="Y7045-BL+Y7046+Y7047"/>
        <s v="Y7045-DB+Y7046+Y7047"/>
        <s v="Y7045-OR+Y7046+Y7047"/>
        <s v="Y7045-BU+Y7046+Y7047"/>
        <s v="Y7042-BU+Y7043+Y7044"/>
        <s v="Y7042-OR+Y7043+Y7044"/>
        <s v="Y7042-DB+Y7043+Y7044"/>
        <s v="Y7042-BL+Y7043+Y7044"/>
        <s v="Y7048-OR+Y7049+Y7050"/>
        <s v="Y7048-BU+Y7049+Y7050"/>
        <s v="Y7048-BL+Y7049+Y7050"/>
        <s v="Y7048-DB+Y7049+Y7050"/>
        <s v="Y7052-BL+Y7056+Y7060"/>
        <s v="Y7051-OR+Y7055+Y7059"/>
        <s v="Y7053-BL+Y7057+Y7061"/>
        <s v="Y7053-OR+Y7057+Y7061"/>
        <s v="Y7052-OR+Y7056+Y7060"/>
        <s v="Y7054-BU+Y7062+Y7058"/>
        <m/>
      </sharedItems>
    </cacheField>
    <cacheField name="广告ASIN" numFmtId="0">
      <sharedItems containsBlank="1" count="109">
        <s v="B0B5QVL591"/>
        <s v="B0B5QS2BBK"/>
        <s v="B0B5XDHJZ7"/>
        <s v="B0B5XBSDS2"/>
        <s v="B0B5ZK6MRR"/>
        <s v="B0B6PBJ5XP"/>
        <s v="B0B6VJHP8Q"/>
        <s v="B0B6RDRJLB"/>
        <s v="B0B5ZLP61G"/>
        <s v="B0B6RDT7JN"/>
        <s v="B0B6VKLX2B"/>
        <s v="B0B5XLV7NX"/>
        <s v="B0B5XFNJRJ"/>
        <s v="B0B6PGB4JM"/>
        <s v="B0B6VRRMWW"/>
        <s v="B0B6VP68KJ"/>
        <s v="B0B6VK1FR4"/>
        <s v="B0B6RFCSZL"/>
        <s v="B0B6RD6DRX"/>
        <s v="B0B63NLM2C"/>
        <s v="B0B63LPZZ8"/>
        <s v="B0B63GFYYK"/>
        <s v="B0B63J18RW"/>
        <s v="B0B68GLBJM"/>
        <s v="B0B68J2J8P"/>
        <s v="B0B6PQXZZP"/>
        <s v="B0B5ZN9XPZ"/>
        <s v="B0B6PNC3JZ"/>
        <s v="B0BBG13KWX"/>
        <s v="B0BBG2D31Y"/>
        <s v="B0BBG4W47P"/>
        <s v="B0BBG47DWW"/>
        <s v="B0BBG4HBRL"/>
        <s v="B0BBFV5GCR"/>
        <s v="B0B5ZPYKY5"/>
        <s v="B0B6PDYBL9"/>
        <s v="B0B6P2GJ5K"/>
        <s v="B0BCFGZF9F"/>
        <s v="B0B6FQ7GBY"/>
        <s v="B0BBFYQ998"/>
        <s v="B0BBFXGD1Q"/>
        <s v="B0B6VQ6DC8"/>
        <s v="B0B6VN2HH7"/>
        <s v="B0B6VM88JM"/>
        <s v="B0B6FWC6N6"/>
        <s v="B0B68H64R9"/>
        <s v="B0BBG2NL26"/>
        <s v="B0BLXZ2PHT"/>
        <s v="B0BLYPT5CN"/>
        <s v="B0BBG1ZGYS"/>
        <s v="B0BQRNV2Z3"/>
        <s v="B0BQRPGXSB"/>
        <s v="B0BQRP2G6J"/>
        <s v="B0BQRQ3974"/>
        <s v="B0BQMMFRGQ"/>
        <s v="B0BQML1ZRK"/>
        <s v="B0BQMLF83Q"/>
        <s v="B0BQMLXY38"/>
        <s v="B0BQRNJQZM"/>
        <s v="B0BQRPNLNX"/>
        <s v="B0BQMNJ6Q3"/>
        <s v="B0BQMLCGZR"/>
        <s v="B0BLXVWKNB"/>
        <s v="B0BCFLZZ4Q"/>
        <s v="B0BQMJKB4S"/>
        <s v="B0BCFL1S54"/>
        <s v="B0BQMJBXVV"/>
        <s v="B0BZCRVBC8"/>
        <s v="B0C1C3DN9D"/>
        <s v="B0C1VFZYP5"/>
        <s v="B0BQJHSY7P"/>
        <s v="B0BZCTDPWZ"/>
        <s v="B0C39SKJCD"/>
        <s v="B0C39QRGJ7"/>
        <s v="B0C39R9CKF"/>
        <s v="B0C39QMLST"/>
        <s v="B0C2TGTPPR"/>
        <s v="B0C2Q3GMBF"/>
        <s v="B0C2T7NTB8"/>
        <s v="B0C2TCNT1B"/>
        <s v="B0C2T94PMQ"/>
        <s v="B0BYP9YW93"/>
        <s v="B0C3QJF82L"/>
        <s v="B0C3QG58M3"/>
        <s v="B0C3QJR1F6"/>
        <s v="B0C7ZM4H8Z"/>
        <s v="B0C7ZL4Z59"/>
        <s v="B0CDGZVZRS"/>
        <s v="B0CDLDJ7N4"/>
        <s v="B0CDKYKTCP"/>
        <s v="B0CDK2DZNM"/>
        <s v="B0CDKFJ16G"/>
        <s v="B0CDGWKNYJ"/>
        <s v="B0CDGY3PH4"/>
        <s v="B0CDK1Y499"/>
        <s v="B0CDKMY8Z9"/>
        <s v="B0CDGZ2GNB"/>
        <s v="B0CDGZVRJ8"/>
        <s v="B0CGX1WNFT"/>
        <s v="B0CGX537RQ"/>
        <s v="B0CGX2PHRG"/>
        <s v="B0CGX24JGD"/>
        <s v="B0CGX31152"/>
        <s v="B0CGX382NL"/>
        <s v="B0CDH22FFC"/>
        <s v="B0C3QKV3M1"/>
        <s v="B0BLY64GWX"/>
        <s v="B0BBG4X86G"/>
        <m/>
      </sharedItems>
    </cacheField>
    <cacheField name="展示量" numFmtId="0">
      <sharedItems containsString="0" containsBlank="1" containsNumber="1" containsInteger="1" minValue="0" maxValue="21207" count="180">
        <n v="407"/>
        <n v="1232"/>
        <n v="5233"/>
        <n v="8292"/>
        <n v="2991"/>
        <n v="1661"/>
        <n v="465"/>
        <n v="3853"/>
        <n v="8887"/>
        <n v="11912"/>
        <n v="2556"/>
        <n v="5804"/>
        <n v="131"/>
        <n v="8741"/>
        <n v="1095"/>
        <n v="5286"/>
        <n v="923"/>
        <n v="149"/>
        <n v="854"/>
        <n v="596"/>
        <n v="9637"/>
        <n v="21098"/>
        <n v="901"/>
        <n v="419"/>
        <n v="440"/>
        <n v="2114"/>
        <n v="973"/>
        <n v="598"/>
        <n v="1913"/>
        <n v="590"/>
        <n v="2926"/>
        <n v="7328"/>
        <n v="1967"/>
        <n v="1417"/>
        <n v="970"/>
        <n v="263"/>
        <n v="307"/>
        <n v="163"/>
        <n v="4610"/>
        <n v="795"/>
        <n v="1261"/>
        <n v="17331"/>
        <n v="8343"/>
        <n v="3573"/>
        <n v="2168"/>
        <n v="621"/>
        <n v="2490"/>
        <n v="467"/>
        <n v="1506"/>
        <n v="354"/>
        <n v="4330"/>
        <n v="25"/>
        <n v="2293"/>
        <n v="10762"/>
        <n v="410"/>
        <n v="21"/>
        <n v="0"/>
        <n v="1"/>
        <n v="9"/>
        <n v="11803"/>
        <n v="70"/>
        <n v="21207"/>
        <n v="33"/>
        <n v="26"/>
        <n v="3817"/>
        <n v="764"/>
        <n v="544"/>
        <n v="2"/>
        <n v="40"/>
        <n v="162"/>
        <n v="14238"/>
        <n v="17469"/>
        <n v="8"/>
        <n v="3"/>
        <n v="814"/>
        <n v="1005"/>
        <n v="167"/>
        <n v="793"/>
        <n v="602"/>
        <n v="531"/>
        <n v="1471"/>
        <n v="54"/>
        <n v="2457"/>
        <n v="358"/>
        <n v="4273"/>
        <n v="2910"/>
        <n v="566"/>
        <n v="1802"/>
        <n v="16"/>
        <n v="23"/>
        <n v="97"/>
        <n v="2355"/>
        <n v="2817"/>
        <n v="507"/>
        <n v="658"/>
        <n v="2230"/>
        <n v="58"/>
        <n v="28"/>
        <n v="425"/>
        <n v="1181"/>
        <n v="76"/>
        <n v="238"/>
        <n v="1166"/>
        <n v="120"/>
        <n v="888"/>
        <n v="362"/>
        <n v="270"/>
        <n v="85"/>
        <n v="1037"/>
        <n v="609"/>
        <n v="342"/>
        <n v="57"/>
        <n v="36"/>
        <n v="20"/>
        <n v="24"/>
        <n v="647"/>
        <n v="667"/>
        <n v="840"/>
        <n v="18"/>
        <n v="72"/>
        <n v="835"/>
        <n v="65"/>
        <n v="35"/>
        <n v="800"/>
        <n v="1128"/>
        <n v="2099"/>
        <n v="304"/>
        <n v="282"/>
        <n v="5486"/>
        <n v="461"/>
        <n v="8820"/>
        <n v="13260"/>
        <n v="16453"/>
        <n v="1645"/>
        <n v="1558"/>
        <n v="17622"/>
        <n v="2591"/>
        <n v="297"/>
        <n v="2400"/>
        <n v="4421"/>
        <n v="7535"/>
        <n v="782"/>
        <n v="755"/>
        <n v="74"/>
        <n v="14"/>
        <n v="154"/>
        <n v="248"/>
        <n v="153"/>
        <n v="1603"/>
        <n v="1861"/>
        <n v="2622"/>
        <n v="5017"/>
        <n v="1679"/>
        <n v="313"/>
        <n v="4"/>
        <n v="177"/>
        <n v="320"/>
        <n v="272"/>
        <n v="6405"/>
        <n v="291"/>
        <n v="250"/>
        <n v="367"/>
        <n v="2262"/>
        <n v="472"/>
        <n v="197"/>
        <n v="2109"/>
        <n v="110"/>
        <n v="32"/>
        <n v="7"/>
        <n v="920"/>
        <n v="404"/>
        <n v="1371"/>
        <n v="1701"/>
        <n v="1117"/>
        <n v="783"/>
        <n v="3239"/>
        <n v="491"/>
        <n v="972"/>
        <n v="3143"/>
        <m/>
      </sharedItems>
    </cacheField>
    <cacheField name="点击量" numFmtId="0">
      <sharedItems containsString="0" containsBlank="1" containsNumber="1" containsInteger="1" minValue="0" maxValue="228" count="62">
        <n v="14"/>
        <n v="9"/>
        <n v="39"/>
        <n v="74"/>
        <n v="48"/>
        <n v="17"/>
        <n v="7"/>
        <n v="43"/>
        <n v="127"/>
        <n v="8"/>
        <n v="25"/>
        <n v="0"/>
        <n v="96"/>
        <n v="22"/>
        <n v="49"/>
        <n v="2"/>
        <n v="124"/>
        <n v="156"/>
        <n v="13"/>
        <n v="10"/>
        <n v="1"/>
        <n v="18"/>
        <n v="28"/>
        <n v="12"/>
        <n v="89"/>
        <n v="30"/>
        <n v="5"/>
        <n v="35"/>
        <n v="4"/>
        <n v="228"/>
        <n v="112"/>
        <n v="67"/>
        <n v="15"/>
        <n v="20"/>
        <n v="6"/>
        <n v="68"/>
        <n v="105"/>
        <n v="91"/>
        <n v="132"/>
        <n v="104"/>
        <n v="3"/>
        <n v="133"/>
        <n v="65"/>
        <n v="82"/>
        <n v="41"/>
        <n v="19"/>
        <n v="26"/>
        <n v="75"/>
        <n v="71"/>
        <n v="209"/>
        <n v="45"/>
        <n v="158"/>
        <n v="31"/>
        <n v="66"/>
        <n v="55"/>
        <n v="11"/>
        <n v="23"/>
        <n v="40"/>
        <n v="73"/>
        <n v="36"/>
        <n v="21"/>
        <m/>
      </sharedItems>
    </cacheField>
    <cacheField name="点击率(CTR)" numFmtId="0">
      <sharedItems containsString="0" containsBlank="1" containsNumber="1" minValue="0" maxValue="0.0915032679738562" count="155">
        <n v="0.0343980343980344"/>
        <n v="0.0073051948051948"/>
        <n v="0.00745270399388496"/>
        <n v="0.00892426435118186"/>
        <n v="0.0160481444332999"/>
        <n v="0.0102347983142685"/>
        <n v="0.0150537634408602"/>
        <n v="0.0111601349597716"/>
        <n v="0.014290536739057"/>
        <n v="0.0106615177971793"/>
        <n v="0.00312989045383412"/>
        <n v="0.00430737422467264"/>
        <n v="0"/>
        <n v="0.0109827250886626"/>
        <n v="0.0200913242009132"/>
        <n v="0.00926976920166477"/>
        <n v="0.00975081256771398"/>
        <n v="0.0134228187919463"/>
        <n v="0.0163934426229508"/>
        <n v="0.011744966442953"/>
        <n v="0.0128670748158141"/>
        <n v="0.00739406578822637"/>
        <n v="0.0144284128745838"/>
        <n v="0.0238663484486874"/>
        <n v="0.00227272727272727"/>
        <n v="0.00851466414380322"/>
        <n v="0.013360739979445"/>
        <n v="0.0117056856187291"/>
        <n v="0.014636696288552"/>
        <n v="0.00169491525423729"/>
        <n v="0.00410116199589884"/>
        <n v="0.0121451965065502"/>
        <n v="0.0152516522623284"/>
        <n v="0.00352858151023289"/>
        <n v="0.0175257731958763"/>
        <n v="0.0190114068441065"/>
        <n v="0.00651465798045603"/>
        <n v="0.0122699386503067"/>
        <n v="0.00759219088937093"/>
        <n v="0.0113207547169811"/>
        <n v="0.00317208564631245"/>
        <n v="0.0131556171023022"/>
        <n v="0.0134244276639099"/>
        <n v="0.0187517492303387"/>
        <n v="0.00691881918819188"/>
        <n v="0.00644122383252818"/>
        <n v="0.00602409638554217"/>
        <n v="0.00856531049250535"/>
        <n v="0.0132802124833997"/>
        <n v="0.0169491525423729"/>
        <n v="0.0157043879907621"/>
        <n v="0.04"/>
        <n v="0.0152638464893153"/>
        <n v="0.00975655082698383"/>
        <n v="0.0195121951219512"/>
        <n v="0.0476190476190476"/>
        <m/>
        <n v="0.0077099042616284"/>
        <n v="0.0285714285714286"/>
        <n v="0.00622435988117131"/>
        <n v="0.0272465286874509"/>
        <n v="0.0157068062827225"/>
        <n v="0.00919117647058824"/>
        <n v="0.025"/>
        <n v="0.0185185185185185"/>
        <n v="0.08"/>
        <n v="0.00934119960668633"/>
        <n v="0.00372087698208255"/>
        <n v="0.0221130221130221"/>
        <n v="0.00298507462686567"/>
        <n v="0.00598802395209581"/>
        <n v="0.0151324085750315"/>
        <n v="0.00996677740863787"/>
        <n v="0.0203942895989123"/>
        <n v="0.037037037037037"/>
        <n v="0.0333740333740334"/>
        <n v="0.0111731843575419"/>
        <n v="0.00912707699508542"/>
        <n v="0.0140893470790378"/>
        <n v="0.0106007067137809"/>
        <n v="0.0072142064372919"/>
        <n v="0.0434782608695652"/>
        <n v="0.0309278350515464"/>
        <n v="0.00806794055201699"/>
        <n v="0.00922967696130635"/>
        <n v="0.00788954635108481"/>
        <n v="0.013677811550152"/>
        <n v="0.00896860986547085"/>
        <n v="0.0141176470588235"/>
        <n v="0.0118543607112616"/>
        <n v="0.0131578947368421"/>
        <n v="0.0294117647058823"/>
        <n v="0.016295025728988"/>
        <n v="0.0157657657657658"/>
        <n v="0.00828729281767956"/>
        <n v="0.0145797598627787"/>
        <n v="0.0222222222222222"/>
        <n v="0.0117647058823529"/>
        <n v="0.0077145612343298"/>
        <n v="0.00985221674876847"/>
        <n v="0.0116959064327485"/>
        <n v="0.00927357032457496"/>
        <n v="0.00599700149925038"/>
        <n v="0.00476190476190476"/>
        <n v="0.0357142857142857"/>
        <n v="0.0138888888888889"/>
        <n v="0.0107784431137725"/>
        <n v="0.005"/>
        <n v="0.00354609929078014"/>
        <n v="0.00666984278227727"/>
        <n v="0.0197368421052632"/>
        <n v="0.00510390083849799"/>
        <n v="0.0216919739696312"/>
        <n v="0.00850340136054422"/>
        <n v="0.00535444947209653"/>
        <n v="0.0127028505439737"/>
        <n v="0.0273556231003039"/>
        <n v="0.00962772785622593"/>
        <n v="0.00896606514584043"/>
        <n v="0.0119644924739483"/>
        <n v="0.0134680134680135"/>
        <n v="0.0275"/>
        <n v="0.00633340873105632"/>
        <n v="0.0072992700729927"/>
        <n v="0.00639386189258312"/>
        <n v="0.00397350993377483"/>
        <n v="0.0135135135135135"/>
        <n v="0.0324675324675325"/>
        <n v="0.0201612903225806"/>
        <n v="0.0915032679738562"/>
        <n v="0.00686213349968808"/>
        <n v="0.0123589468027942"/>
        <n v="0.015255530129672"/>
        <n v="0.014550528204106"/>
        <n v="0.0214413341274568"/>
        <n v="0.0319488817891374"/>
        <n v="0.015625"/>
        <n v="0.0110294117647059"/>
        <n v="0.0039032006245121"/>
        <n v="0.0206185567010309"/>
        <n v="0.008"/>
        <n v="0.00272479564032698"/>
        <n v="0.0017683465959328"/>
        <n v="0.0127118644067797"/>
        <n v="0.000474158368895211"/>
        <n v="0.00326086956521739"/>
        <n v="0.0099009900990099"/>
        <n v="0.00291757840991977"/>
        <n v="0.0105820105820106"/>
        <n v="0.00716204118173679"/>
        <n v="0.00893997445721584"/>
        <n v="0.015128125964804"/>
        <n v="0.0183299389002037"/>
        <n v="0.00617283950617284"/>
        <n v="0.0066815144766147"/>
      </sharedItems>
    </cacheField>
    <cacheField name="每次点击成本(CPC)" numFmtId="0">
      <sharedItems containsString="0" containsBlank="1" containsNumber="1" minValue="0" maxValue="0.717857142857143" count="136">
        <n v="0.257142857142857"/>
        <n v="0.305555555555556"/>
        <n v="0.3"/>
        <n v="0.386891891891892"/>
        <n v="0.358333333333333"/>
        <n v="0.319411764705882"/>
        <n v="0.367142857142857"/>
        <n v="0.363255813953488"/>
        <n v="0.390393700787402"/>
        <n v="0.414330708661417"/>
        <n v="0.44375"/>
        <n v="0.4684"/>
        <m/>
        <n v="0.456354166666667"/>
        <n v="0.294545454545454"/>
        <n v="0.328367346938776"/>
        <n v="0.471111111111111"/>
        <n v="0.26"/>
        <n v="0.277142857142857"/>
        <n v="0.327983870967742"/>
        <n v="0.372179487179487"/>
        <n v="0.364615384615385"/>
        <n v="0.242"/>
        <n v="0.04"/>
        <n v="0.437777777777778"/>
        <n v="0.322307692307692"/>
        <n v="0.37"/>
        <n v="0.388214285714286"/>
        <n v="0.22"/>
        <n v="0.330833333333333"/>
        <n v="0.368426966292135"/>
        <n v="0.225"/>
        <n v="0.47"/>
        <n v="0.226470588235294"/>
        <n v="0.362"/>
        <n v="0.245"/>
        <n v="0.33"/>
        <n v="0.442285714285714"/>
        <n v="0.434444444444445"/>
        <n v="0.4"/>
        <n v="0.408640350877193"/>
        <n v="0.341339285714286"/>
        <n v="0.337313432835821"/>
        <n v="0.252666666666667"/>
        <n v="0.2775"/>
        <n v="0.419333333333333"/>
        <n v="0.21"/>
        <n v="0.4565"/>
        <n v="0.323333333333333"/>
        <n v="0.418088235294118"/>
        <n v="0.460285714285714"/>
        <n v="0.464952380952381"/>
        <n v="0.38125"/>
        <n v="0.07"/>
        <n v="0.25"/>
        <n v="0.400879120879121"/>
        <n v="0.265"/>
        <n v="0.481439393939394"/>
        <n v="0.306153846153846"/>
        <n v="0.2025"/>
        <n v="0.328"/>
        <n v="0.28"/>
        <n v="0.24"/>
        <n v="0.391127819548872"/>
        <n v="0.449384615384615"/>
        <n v="0.198333333333333"/>
        <n v="0.43"/>
        <n v="0.340833333333333"/>
        <n v="0.201333333333333"/>
        <n v="0.379634146341463"/>
        <n v="0.42"/>
        <n v="0.355641025641026"/>
        <n v="0.326829268292683"/>
        <n v="0.316666666666667"/>
        <n v="0.388461538461538"/>
        <n v="0.381052631578947"/>
        <n v="0.401153846153846"/>
        <n v="0.3525"/>
        <n v="0.448888888888889"/>
        <n v="0.4255"/>
        <n v="0.355"/>
        <n v="0.387142857142857"/>
        <n v="0.34"/>
        <n v="0.317894736842105"/>
        <n v="0.356428571428571"/>
        <n v="0.35"/>
        <n v="0.363529411764706"/>
        <n v="0.3475"/>
        <n v="0.346666666666667"/>
        <n v="0.4125"/>
        <n v="0.2"/>
        <n v="0.12"/>
        <n v="0.255555555555556"/>
        <n v="0.4025"/>
        <n v="0.45"/>
        <n v="0.392142857142857"/>
        <n v="0.535"/>
        <n v="0.607142857142857"/>
        <n v="0.437"/>
        <n v="0.410933333333333"/>
        <n v="0.511549295774648"/>
        <n v="0.603205741626794"/>
        <n v="0.647111111111111"/>
        <n v="0.508"/>
        <n v="0.422721518987342"/>
        <n v="0.683870967741936"/>
        <n v="0.6025"/>
        <n v="0.376666666666667"/>
        <n v="0.717857142857143"/>
        <n v="0.716363636363636"/>
        <n v="0.49"/>
        <n v="0.496666666666667"/>
        <n v="0.406"/>
        <n v="0.416428571428571"/>
        <n v="0.626363636363636"/>
        <n v="0.588695652173913"/>
        <n v="0.63475"/>
        <n v="0.637260273972603"/>
        <n v="0.482777777777778"/>
        <n v="0.542"/>
        <n v="0.474"/>
        <n v="0.38"/>
        <n v="0.5912"/>
        <n v="0.618333333333333"/>
        <n v="0.36"/>
        <n v="0.4475"/>
        <n v="0.44"/>
        <n v="0.276666666666667"/>
        <n v="0.3575"/>
        <n v="0.4575"/>
        <n v="0.5175"/>
        <n v="0.691428571428571"/>
        <n v="0.579183673469388"/>
        <n v="0.477777777777778"/>
        <n v="0.64"/>
        <n v="0.554761904761905"/>
      </sharedItems>
    </cacheField>
    <cacheField name="花费" numFmtId="0">
      <sharedItems containsString="0" containsBlank="1" containsNumber="1" minValue="0" maxValue="126.07" count="148">
        <n v="3.6"/>
        <n v="2.75"/>
        <n v="11.7"/>
        <n v="28.63"/>
        <n v="17.2"/>
        <n v="5.43"/>
        <n v="2.57"/>
        <n v="15.62"/>
        <n v="49.58"/>
        <n v="52.62"/>
        <n v="3.55"/>
        <n v="11.71"/>
        <n v="0"/>
        <n v="43.81"/>
        <n v="6.48"/>
        <n v="16.09"/>
        <n v="4.24"/>
        <n v="0.52"/>
        <n v="3.64"/>
        <n v="1.94"/>
        <n v="40.67"/>
        <n v="58.06"/>
        <n v="4.74"/>
        <n v="2.42"/>
        <n v="0.04"/>
        <n v="7.88"/>
        <n v="4.19"/>
        <n v="2.59"/>
        <n v="10.87"/>
        <n v="0.22"/>
        <n v="3.97"/>
        <n v="32.79"/>
        <n v="6.75"/>
        <n v="2.35"/>
        <n v="3.85"/>
        <n v="1.81"/>
        <n v="0.49"/>
        <n v="0.66"/>
        <n v="15.48"/>
        <n v="3.91"/>
        <n v="1.6"/>
        <n v="93.17"/>
        <n v="38.23"/>
        <n v="22.6"/>
        <n v="3.79"/>
        <n v="1.11"/>
        <n v="6.29"/>
        <n v="0.84"/>
        <n v="9.13"/>
        <n v="28.43"/>
        <n v="0.33"/>
        <n v="16.11"/>
        <n v="48.82"/>
        <n v="3.05"/>
        <n v="0.26"/>
        <n v="0.07"/>
        <n v="0.25"/>
        <n v="36.48"/>
        <n v="0.53"/>
        <n v="63.55"/>
        <n v="31.84"/>
        <n v="2.43"/>
        <n v="1.64"/>
        <n v="0.28"/>
        <n v="1.2"/>
        <n v="0.48"/>
        <n v="52.02"/>
        <n v="29.21"/>
        <n v="3.57"/>
        <n v="1.29"/>
        <n v="0.43"/>
        <n v="4.09"/>
        <n v="2.4"/>
        <n v="6.04"/>
        <n v="0.44"/>
        <n v="31.13"/>
        <n v="1.68"/>
        <n v="13.87"/>
        <n v="13.4"/>
        <n v="1.9"/>
        <n v="5.05"/>
        <n v="0.3"/>
        <n v="0.9"/>
        <n v="7.24"/>
        <n v="10.43"/>
        <n v="1.41"/>
        <n v="4.04"/>
        <n v="8.51"/>
        <n v="2.13"/>
        <n v="5.42"/>
        <n v="0.34"/>
        <n v="4.99"/>
        <n v="1.05"/>
        <n v="6.18"/>
        <n v="2.78"/>
        <n v="2.08"/>
        <n v="1.65"/>
        <n v="1.12"/>
        <n v="0.2"/>
        <n v="0.12"/>
        <n v="2.3"/>
        <n v="1.61"/>
        <n v="1.8"/>
        <n v="5.49"/>
        <n v="3.21"/>
        <n v="17"/>
        <n v="4.37"/>
        <n v="30.82"/>
        <n v="36.32"/>
        <n v="126.07"/>
        <n v="29.12"/>
        <n v="7.62"/>
        <n v="66.79"/>
        <n v="21.2"/>
        <n v="2.41"/>
        <n v="24.86"/>
        <n v="20.1"/>
        <n v="39.4"/>
        <n v="2.45"/>
        <n v="1.49"/>
        <n v="0.4"/>
        <n v="2.03"/>
        <n v="5.83"/>
        <n v="6.89"/>
        <n v="13.54"/>
        <n v="25.39"/>
        <n v="46.52"/>
        <n v="17.38"/>
        <n v="1.04"/>
        <n v="2.37"/>
        <n v="1.14"/>
        <n v="14.78"/>
        <n v="3.71"/>
        <n v="0.8"/>
        <n v="0.36"/>
        <n v="1.79"/>
        <n v="2.64"/>
        <n v="0.83"/>
        <n v="1.43"/>
        <n v="1.83"/>
        <n v="8.69"/>
        <n v="4.14"/>
        <n v="4.84"/>
        <n v="28.38"/>
        <n v="4.3"/>
        <n v="3.84"/>
        <n v="11.65"/>
        <m/>
      </sharedItems>
    </cacheField>
    <cacheField name="7天总销售额" numFmtId="0">
      <sharedItems containsString="0" containsBlank="1" containsNumber="1" minValue="0" maxValue="353.4" count="51">
        <n v="36.97"/>
        <n v="0"/>
        <n v="38.97"/>
        <n v="140.56"/>
        <n v="88.93"/>
        <n v="25.98"/>
        <n v="101.92"/>
        <n v="229.82"/>
        <n v="240.81"/>
        <n v="114.91"/>
        <n v="12.99"/>
        <n v="313.76"/>
        <n v="160.87"/>
        <n v="23.65"/>
        <n v="21.98"/>
        <n v="56.95"/>
        <n v="285.06"/>
        <n v="34.97"/>
        <n v="57.96"/>
        <n v="353.4"/>
        <n v="195.85"/>
        <n v="90.93"/>
        <n v="75.94"/>
        <n v="10.99"/>
        <n v="23.98"/>
        <n v="292.77"/>
        <n v="45.96"/>
        <n v="190.85"/>
        <n v="231.49"/>
        <n v="281.78"/>
        <n v="199.84"/>
        <n v="47.96"/>
        <n v="162.54"/>
        <n v="49.96"/>
        <n v="38.64"/>
        <n v="62.95"/>
        <n v="42.97"/>
        <n v="18.99"/>
        <n v="114.58"/>
        <n v="271.79"/>
        <n v="58.96"/>
        <n v="143.89"/>
        <n v="51.96"/>
        <n v="99.92"/>
        <n v="77.94"/>
        <n v="155.88"/>
        <n v="64.95"/>
        <n v="25.99"/>
        <n v="155.94"/>
        <n v="51.98"/>
        <m/>
      </sharedItems>
    </cacheField>
    <cacheField name="广告成本销售比(ACOS)" numFmtId="0">
      <sharedItems containsString="0" containsBlank="1" containsNumber="1" minValue="0" maxValue="0.931998973569413" count="91">
        <n v="0.0973762510143359"/>
        <m/>
        <n v="0.300230946882217"/>
        <n v="0.203685258964143"/>
        <n v="0.193410547621725"/>
        <n v="0.209006928406467"/>
        <n v="0.153257456828885"/>
        <n v="0.215734052736925"/>
        <n v="0.218512520244176"/>
        <n v="0.381254895135323"/>
        <n v="0.498845265588914"/>
        <n v="0.412881703874776"/>
        <n v="0.280215550423403"/>
        <n v="0.149345650500385"/>
        <n v="0.129621366649669"/>
        <n v="0.360912538074222"/>
        <n v="0.200422832980973"/>
        <n v="0.358507734303913"/>
        <n v="0.322555812163203"/>
        <n v="0.0697102721685689"/>
        <n v="0.115028415070511"/>
        <n v="0.193022590792108"/>
        <n v="0.296381832178599"/>
        <n v="0.267080745341615"/>
        <n v="0.301000769822941"/>
        <n v="0.263638936049802"/>
        <n v="0.195200408475874"/>
        <n v="0.248542835147916"/>
        <n v="0.145881447267129"/>
        <n v="0.0828285488543587"/>
        <n v="0.176524112829845"/>
        <n v="0.319689643539863"/>
        <n v="0.671809841534612"/>
        <n v="0.166752057929433"/>
        <n v="0.0663620539599652"/>
        <n v="0.191144878176578"/>
        <n v="0.274525897446974"/>
        <n v="0.112995954290581"/>
        <n v="0.187066974595843"/>
        <n v="0.260308246597278"/>
        <n v="0.609049207673061"/>
        <n v="0.274826789838337"/>
        <n v="0.117379435850773"/>
        <n v="0.157428791377983"/>
        <n v="0.184757505773672"/>
        <n v="0.154991018732358"/>
        <n v="0.191522086870924"/>
        <n v="0.53387220939184"/>
        <n v="0.14626635873749"/>
        <n v="0.282120638355423"/>
        <n v="0.108545034642032"/>
        <n v="0.367606915377616"/>
        <n v="0.230186637814444"/>
        <n v="0.163972286374134"/>
        <n v="0.108486789431545"/>
        <n v="0.0261739799846035"/>
        <n v="0.156314699792961"/>
        <n v="0.0792692613185067"/>
        <n v="0.143821270653945"/>
        <n v="0.12933025404157"/>
        <n v="0.0153964588144727"/>
        <n v="0.121116377040548"/>
        <n v="0.138568129330254"/>
        <n v="0.247113163972286"/>
        <n v="0.336412625096228"/>
        <n v="0.26898237039623"/>
        <n v="0.931998973569413"/>
        <n v="0.463850767136392"/>
        <n v="0.493894165535957"/>
        <n v="0.586605080831409"/>
        <n v="0.464174021822225"/>
        <n v="0.408006158583526"/>
        <n v="0.185527328714396"/>
        <n v="0.248799039231385"/>
        <n v="0.773672055427252"/>
        <n v="0.668249660786974"/>
        <n v="0.0943033102386451"/>
        <n v="0.139337952270978"/>
        <n v="0.157695428725994"/>
        <n v="0.26058506543495"/>
        <n v="0.325763407749551"/>
        <n v="0.298434693353862"/>
        <n v="0.173939151321057"/>
        <n v="0.208622016936105"/>
        <n v="0.182448036951501"/>
        <n v="0.227559661277906"/>
        <n v="0.142802155504234"/>
        <n v="0.0307810696421701"/>
        <n v="0.186225471335129"/>
        <n v="0.181993074259331"/>
        <n v="0.224124663332051"/>
      </sharedItems>
    </cacheField>
    <cacheField name="投入产出比(ROAS)" numFmtId="0">
      <sharedItems containsString="0" containsBlank="1" containsNumber="1" minValue="0" maxValue="64.95" count="92">
        <n v="10.2694444444444"/>
        <n v="0"/>
        <n v="3.33076923076923"/>
        <n v="4.90953545232274"/>
        <n v="5.1703488372093"/>
        <n v="4.78453038674033"/>
        <n v="6.52496798975672"/>
        <n v="4.63533682936668"/>
        <n v="4.57639680729761"/>
        <m/>
        <n v="2.62291714220498"/>
        <n v="2.00462962962963"/>
        <n v="2.42200124300808"/>
        <n v="3.56868131868132"/>
        <n v="6.69587628865979"/>
        <n v="7.71477747725596"/>
        <n v="2.77075439200827"/>
        <n v="4.98945147679325"/>
        <n v="2.78934010152284"/>
        <n v="3.10023866348449"/>
        <n v="14.3450881612091"/>
        <n v="8.69350411710888"/>
        <n v="5.18074074074074"/>
        <n v="3.37402597402597"/>
        <n v="3.74418604651163"/>
        <n v="3.32225063938619"/>
        <n v="3.79306643769454"/>
        <n v="5.12294009939838"/>
        <n v="4.02345132743363"/>
        <n v="6.85488126649077"/>
        <n v="12.0731319554849"/>
        <n v="5.66494845360825"/>
        <n v="3.12803376714738"/>
        <n v="1.4885164494103"/>
        <n v="5.99692748873412"/>
        <n v="15.0688524590164"/>
        <n v="5.23163377192983"/>
        <n v="3.6426435877262"/>
        <n v="8.8498743718593"/>
        <n v="5.34567901234568"/>
        <n v="3.84159938485198"/>
        <n v="1.64190345771996"/>
        <n v="3.63865546218487"/>
        <n v="8.51937984496124"/>
        <n v="6.3520782396088"/>
        <n v="5.4125"/>
        <n v="6.45198675496689"/>
        <n v="5.22132990684227"/>
        <n v="1.8731074260995"/>
        <n v="6.83684210526316"/>
        <n v="3.54458293384468"/>
        <n v="9.21276595744681"/>
        <n v="2.72029702970297"/>
        <n v="4.34430082256169"/>
        <n v="6.09859154929577"/>
        <n v="9.21771217712177"/>
        <n v="38.2058823529412"/>
        <n v="6.39735099337748"/>
        <n v="12.6152304609218"/>
        <n v="6.95307443365696"/>
        <n v="7.73214285714286"/>
        <n v="64.95"/>
        <n v="8.25652173913043"/>
        <n v="7.21666666666667"/>
        <n v="4.04672897196262"/>
        <n v="2.97254004576659"/>
        <n v="3.71771576898118"/>
        <n v="1.07296255506608"/>
        <n v="2.15586578884747"/>
        <n v="2.02472527472527"/>
        <n v="1.70472440944882"/>
        <n v="2.15436442581225"/>
        <n v="2.45094339622641"/>
        <n v="5.39004149377593"/>
        <n v="4.01930812550281"/>
        <n v="1.29253731343284"/>
        <n v="1.49644670050761"/>
        <n v="10.6040816326531"/>
        <n v="7.1767955801105"/>
        <n v="6.34133790737564"/>
        <n v="3.83751846381093"/>
        <n v="3.06971248523041"/>
        <n v="3.35081685296647"/>
        <n v="5.74913693901036"/>
        <n v="4.79335793357934"/>
        <n v="5.48101265822785"/>
        <n v="4.39445196211096"/>
        <n v="7.00269541778976"/>
        <n v="32.4875"/>
        <n v="5.3698347107438"/>
        <n v="5.49471458773784"/>
        <n v="4.4618025751073"/>
      </sharedItems>
    </cacheField>
    <cacheField name="7天总订单数(#)" numFmtId="0">
      <sharedItems containsString="0" containsBlank="1" containsNumber="1" containsInteger="1" minValue="0" maxValue="26" count="23">
        <n v="3"/>
        <n v="0"/>
        <n v="11"/>
        <n v="7"/>
        <n v="2"/>
        <n v="8"/>
        <n v="18"/>
        <n v="19"/>
        <n v="9"/>
        <n v="1"/>
        <n v="24"/>
        <n v="13"/>
        <n v="14"/>
        <n v="4"/>
        <n v="26"/>
        <n v="6"/>
        <n v="22"/>
        <n v="15"/>
        <n v="21"/>
        <n v="17"/>
        <n v="5"/>
        <n v="12"/>
        <m/>
      </sharedItems>
    </cacheField>
    <cacheField name="7天总销售量(#)" numFmtId="0">
      <sharedItems containsString="0" containsBlank="1" containsNumber="1" containsInteger="1" minValue="0" maxValue="27" count="24">
        <n v="3"/>
        <n v="0"/>
        <n v="11"/>
        <n v="7"/>
        <n v="2"/>
        <n v="8"/>
        <n v="18"/>
        <n v="19"/>
        <n v="9"/>
        <n v="1"/>
        <n v="26"/>
        <n v="13"/>
        <n v="5"/>
        <n v="24"/>
        <n v="4"/>
        <n v="27"/>
        <n v="15"/>
        <n v="6"/>
        <n v="23"/>
        <n v="22"/>
        <n v="17"/>
        <n v="21"/>
        <n v="12"/>
        <m/>
      </sharedItems>
    </cacheField>
    <cacheField name="7天的转化率" numFmtId="0">
      <sharedItems containsString="0" containsBlank="1" containsNumber="1" minValue="0" maxValue="1" count="64">
        <n v="0.214285714285714"/>
        <n v="0"/>
        <n v="0.0769230769230769"/>
        <n v="0.148648648648649"/>
        <n v="0.145833333333333"/>
        <n v="0.117647058823529"/>
        <n v="0.186046511627907"/>
        <n v="0.141732283464567"/>
        <n v="0.149606299212598"/>
        <m/>
        <n v="0.09375"/>
        <n v="0.0454545454545455"/>
        <n v="0.0612244897959184"/>
        <n v="0.0714285714285714"/>
        <n v="0.142857142857143"/>
        <n v="0.193548387096774"/>
        <n v="0.0833333333333333"/>
        <n v="0.153846153846154"/>
        <n v="0.111111111111111"/>
        <n v="0.25"/>
        <n v="0.157303370786517"/>
        <n v="0.1"/>
        <n v="0.0588235294117647"/>
        <n v="0.114285714285714"/>
        <n v="0.114035087719298"/>
        <n v="0.125"/>
        <n v="0.104477611940299"/>
        <n v="0.133333333333333"/>
        <n v="0.4"/>
        <n v="0.166666666666667"/>
        <n v="0.102941176470588"/>
        <n v="0.0571428571428571"/>
        <n v="0.20952380952381"/>
        <n v="0.5"/>
        <n v="0.164835164835165"/>
        <n v="0.136363636363636"/>
        <n v="0.201923076923077"/>
        <n v="0.12781954887218"/>
        <n v="0.0615384615384615"/>
        <n v="0.0555555555555556"/>
        <n v="0.333333333333333"/>
        <n v="0.134146341463415"/>
        <n v="0.0512820512820513"/>
        <n v="0.15"/>
        <n v="0.285714285714286"/>
        <n v="1"/>
        <n v="0.157894736842105"/>
        <n v="0.357142857142857"/>
        <n v="0.176470588235294"/>
        <n v="0.12"/>
        <n v="0.0422535211267606"/>
        <n v="0.100478468899522"/>
        <n v="0.0888888888888889"/>
        <n v="0.0666666666666667"/>
        <n v="0.069620253164557"/>
        <n v="0.129032258064516"/>
        <n v="0.121212121212121"/>
        <n v="0.0727272727272727"/>
        <n v="0.2"/>
        <n v="0.173913043478261"/>
        <n v="0.164383561643836"/>
        <n v="0.222222222222222"/>
        <n v="0.122448979591837"/>
        <n v="0.0952380952380952"/>
      </sharedItems>
    </cacheField>
    <cacheField name="7天内广告SKU销售量(#)" numFmtId="0">
      <sharedItems containsString="0" containsBlank="1" containsNumber="1" containsInteger="1" minValue="0" maxValue="19" count="14">
        <n v="1"/>
        <n v="0"/>
        <n v="4"/>
        <n v="5"/>
        <n v="7"/>
        <n v="11"/>
        <n v="3"/>
        <n v="9"/>
        <n v="2"/>
        <n v="19"/>
        <n v="10"/>
        <n v="6"/>
        <n v="12"/>
        <m/>
      </sharedItems>
    </cacheField>
    <cacheField name="7天内其他SKU销售量(#)" numFmtId="0">
      <sharedItems containsString="0" containsBlank="1" containsNumber="1" containsInteger="1" minValue="0" maxValue="20" count="16">
        <n v="2"/>
        <n v="0"/>
        <n v="7"/>
        <n v="1"/>
        <n v="11"/>
        <n v="8"/>
        <n v="6"/>
        <n v="17"/>
        <n v="4"/>
        <n v="20"/>
        <n v="3"/>
        <n v="10"/>
        <n v="13"/>
        <n v="12"/>
        <n v="5"/>
        <m/>
      </sharedItems>
    </cacheField>
    <cacheField name="7天内广告SKU销售额" numFmtId="0">
      <sharedItems containsString="0" containsBlank="1" containsNumber="1" minValue="0" maxValue="244.48" count="32">
        <n v="12.99"/>
        <n v="0"/>
        <n v="51.63"/>
        <n v="64.95"/>
        <n v="88.93"/>
        <n v="136.89"/>
        <n v="38.97"/>
        <n v="103.59"/>
        <n v="112.91"/>
        <n v="10.99"/>
        <n v="56.95"/>
        <n v="49.96"/>
        <n v="23.98"/>
        <n v="244.48"/>
        <n v="62.95"/>
        <n v="90.93"/>
        <n v="25.98"/>
        <n v="36.97"/>
        <n v="127.9"/>
        <n v="51.96"/>
        <n v="77.94"/>
        <n v="151.88"/>
        <n v="73.94"/>
        <n v="90.6"/>
        <n v="18.99"/>
        <n v="88.6"/>
        <n v="145.89"/>
        <n v="32.98"/>
        <n v="25.99"/>
        <n v="77.97"/>
        <n v="51.98"/>
        <m/>
      </sharedItems>
    </cacheField>
    <cacheField name="7天内其他SKU销售额" numFmtId="0">
      <sharedItems containsString="0" containsBlank="1" containsNumber="1" minValue="0" maxValue="235.1" count="35">
        <n v="23.98"/>
        <n v="0"/>
        <n v="25.98"/>
        <n v="88.93"/>
        <n v="12.99"/>
        <n v="140.89"/>
        <n v="103.92"/>
        <n v="75.94"/>
        <n v="210.17"/>
        <n v="47.96"/>
        <n v="23.65"/>
        <n v="10.99"/>
        <n v="235.1"/>
        <n v="44.97"/>
        <n v="108.92"/>
        <n v="132.9"/>
        <n v="51.96"/>
        <n v="164.87"/>
        <n v="32.97"/>
        <n v="138.89"/>
        <n v="153.55"/>
        <n v="129.9"/>
        <n v="125.9"/>
        <n v="71.94"/>
        <n v="36.97"/>
        <n v="49.96"/>
        <n v="12.66"/>
        <n v="29.98"/>
        <n v="45.97"/>
        <n v="69.95"/>
        <n v="38.97"/>
        <n v="64.95"/>
        <n v="25.99"/>
        <n v="77.97"/>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45.xml><?xml version="1.0" encoding="utf-8"?>
<pivotCacheDefinition xmlns="http://schemas.openxmlformats.org/spreadsheetml/2006/main" xmlns:r="http://schemas.openxmlformats.org/officeDocument/2006/relationships" r:id="rId1" createdVersion="5" refreshedVersion="5" minRefreshableVersion="3" refreshedDate="45219.6155439815" refreshedBy="Administrator" recordCount="216">
  <cacheSource type="worksheet">
    <worksheetSource ref="G1:W1048576" sheet="商品广告0919-1018" r:id="rId2"/>
  </cacheSource>
  <cacheFields count="19">
    <cacheField name="广告SKU" numFmtId="0">
      <sharedItems containsBlank="1" count="127">
        <s v="Y72648-OR+Y72649+Y72381"/>
        <s v="Y72648-BL+Y72649+Y72381"/>
        <s v="Y72454-OR+Y72455+Y72511"/>
        <s v="Y72454-BL+Y72455+Y72511"/>
        <s v="Y72488-OR+Y72490+Y72380"/>
        <s v="Y73475-BL+Y72615+Y73478"/>
        <s v="Y73694-BL+Y73712+Y73744"/>
        <s v="Y73230-BL+Y73231+Y73240"/>
        <s v="Y72488-BL+Y72490+Y72380"/>
        <s v="Y73230-DB+Y73231+Y73240"/>
        <s v="Y72611-BL+Y72614+Y72635"/>
        <s v="Y73106-DB+Y73109+Y73112"/>
        <s v="Y7025-DB+Y7026+Y7027"/>
        <s v="Y73106-OR+Y73109+Y73112"/>
        <s v="Y73475-OR+Y72615+Y73478"/>
        <s v="Y72611-OR+Y72614+Y72635"/>
        <s v="Y7002-DB+Y7005"/>
        <s v="Y73694-OR+Y73712+Y73744"/>
        <s v="Y73040-DB+Y73045+Y73063"/>
        <s v="Y73040-OR+Y73045+Y73063"/>
        <s v="Y73452-OR+Y73456+Y73457"/>
        <s v="Y73452-DB+Y73456+Y73457"/>
        <s v="Y73405-BL+Y73406+Y73397"/>
        <s v="Y73405-DB+Y73406+Y73397"/>
        <s v="Y73189-OR+Y73190+Y73270"/>
        <s v="Y73189-BL+Y73190+Y73270"/>
        <s v="Y73475-BB+Y72615+Y73478"/>
        <s v="Y72563-OR+Y72564+Y72571"/>
        <s v="Y73473-BB+Y72614+Y73476"/>
        <s v="Y7011-BL+Y7019+Y7015"/>
        <s v="Y7011-DB+Y7019+Y7015"/>
        <s v="Y7013-BL+Y7021+Y7017"/>
        <s v="Y7013-OR+Y7021+Y7017"/>
        <s v="Y7012-BU+Y7020+Y7016"/>
        <s v="Y7010-BL+Y7018+Y7014"/>
        <s v="Y72563-BL+Y72564+Y72571"/>
        <s v="Y73473-OR+Y72614+Y73476"/>
        <s v="Y73474-DB+Y72614+Y73477"/>
        <s v="Y72612-OR+Y72615+Y72636"/>
        <s v="Y72612-DB+Y72615+Y72636"/>
        <s v="Y7011-BU+Y7019+Y7015"/>
        <s v="Y7010-BU+Y7018+Y7014"/>
        <s v="Y72611-DB+Y72614+Y72635"/>
        <s v="Y7002-OR+Y7005"/>
        <s v="Y7002-BB+Y7005"/>
        <s v="Y72612-BL+Y72615+Y72636"/>
        <s v="Y73189-DB+Y73190+Y73270"/>
        <s v="Y7012-OR+Y7020+Y7016"/>
        <s v="Y73694-BB+Y73712+Y73744"/>
        <s v="Y7022-OR+Y7024+Y7023"/>
        <s v="Y7022-BL+Y7024+Y7023"/>
        <s v="Y7011-OR+Y7019+Y7015"/>
        <s v="Y73133-OR+Y73136+Y73267"/>
        <s v="Y73133-BL+Y73136+Y73267"/>
        <s v="Y73134-DB+Y03137+Y73268"/>
        <s v="Y73134-BL+Y03137+Y73268"/>
        <s v="Y73134-OR+Y03137+Y73268"/>
        <s v="Y7031-BU+Y7032"/>
        <s v="Y7031-OR+Y7032"/>
        <s v="Y7031-DB+Y7032"/>
        <s v="Y7028-OR+Y7029+Y7030"/>
        <s v="Y7025-BL+Y7027+Y7026"/>
        <s v="Y7025-OR+Y7027+Y7026"/>
        <s v="Y7031-BL+Y7032"/>
        <s v="Y7028-DB+Y7029+Y7030"/>
        <s v="Y7022-BU+Y7024+Y7023"/>
        <s v="Y72610-OR+Y72613+Y12803"/>
        <s v="Y7033-DB+Y7034"/>
        <s v="Y72610-NB+Y72613+Y12803"/>
        <s v="Y7033-BL+Y7034"/>
        <s v="Y72559-OR+Y72560+Y72399"/>
        <s v="Y72691-DB+Y72692+Y72758"/>
        <s v="Y7001-BB-ZH"/>
        <s v="Y72000-DB+Y72013+Y72749"/>
        <s v="Y72559-BL+Y72560+Y72399"/>
        <s v="Y7036-BU-ZH"/>
        <s v="Y7036-DB-ZH"/>
        <s v="Y7036-BL-ZH"/>
        <s v="Y7036-OR-ZH"/>
        <s v="Y73821-DB-ZH"/>
        <s v="Y73135-BL-ZH"/>
        <s v="Y73153-DB-ZH"/>
        <s v="Y73153-OR-ZH"/>
        <s v="Y73153-BL-ZH"/>
        <s v="Y73630-GR+Y73635+Y73643"/>
        <s v="Y7039-BL+Y7040+Y7041"/>
        <s v="Y7039-OR+Y7040+Y7041"/>
        <s v="Y7039-BU+Y7040+Y7041"/>
        <s v="Y7063-BL+Y7064+Y7065"/>
        <s v="Y7063-OR+Y7064+Y7065"/>
        <s v="Y7069-BL+Y7070+Y7071"/>
        <s v="Y7075-BL+Y7076+Y7077"/>
        <s v="Y7075-OR+Y7076+Y7077"/>
        <s v="Y7072-BU+Y7073+Y7074"/>
        <s v="Y7072-OR+Y7073+Y7074"/>
        <s v="Y7069-OR+Y7070+Y7071"/>
        <s v="Y7069-BU+Y7070+Y7071"/>
        <s v="Y7072-BL+Y7073+Y7074"/>
        <s v="Y7066-BL+Y7067+Y7068"/>
        <s v="Y7066-OR+Y7067+Y7068"/>
        <s v="Y7072-DB+Y7073+Y7074"/>
        <s v="Y7084-OR+Y7085"/>
        <s v="Y7084-BU+Y7085"/>
        <s v="Y7086-OR+Y7087"/>
        <s v="Y7086-BU+Y7087"/>
        <s v="Y7084-BL+Y7085"/>
        <s v="Y7086-BL+Y7087"/>
        <s v="Y7066-BU+Y7067+Y7068"/>
        <s v="Y7045-BU+Y7046+Y7047"/>
        <s v="Y7045-BL+Y7046+Y7047"/>
        <s v="Y7045-DB+Y7046+Y7047"/>
        <s v="Y7045-OR+Y7046+Y7047"/>
        <s v="Y7042-BU+Y7043+Y7044"/>
        <s v="Y7042-OR+Y7043+Y7044"/>
        <s v="Y7042-DB+Y7043+Y7044"/>
        <s v="Y7042-BL+Y7043+Y7044"/>
        <s v="Y7048-BL+Y7049+Y7050"/>
        <s v="Y7048-OR+Y7049+Y7050"/>
        <s v="Y7048-BU+Y7049+Y7050"/>
        <s v="Y7048-DB+Y7049+Y7050"/>
        <s v="Y7052-BL+Y7056+Y7060"/>
        <s v="Y7051-OR+Y7055+Y7059"/>
        <s v="Y7053-BL+Y7057+Y7061"/>
        <s v="Y7053-OR+Y7057+Y7061"/>
        <s v="Y7052-OR+Y7056+Y7060"/>
        <s v="Y7054-BU+Y7062+Y7058"/>
        <m/>
      </sharedItems>
    </cacheField>
    <cacheField name="广告ASIN" numFmtId="0">
      <sharedItems containsBlank="1" count="112">
        <s v="B0B5QVL591"/>
        <s v="B0B5QS2BBK"/>
        <s v="B0B5XDHJZ7"/>
        <s v="B0B5XBSDS2"/>
        <s v="B0B5ZK6MRR"/>
        <s v="B0B6PBJ5XP"/>
        <s v="B0B6VJHP8Q"/>
        <s v="B0B6RDRJLB"/>
        <s v="B0B5ZLP61G"/>
        <s v="B0B6RDT7JN"/>
        <s v="B0B6VKLX2B"/>
        <s v="B0B5XLV7NX"/>
        <s v="B0B6VGTFXW"/>
        <s v="B0B5XFNJRJ"/>
        <s v="B0B6PGB4JM"/>
        <s v="B0B6VRRMWW"/>
        <s v="B0B6VP68KJ"/>
        <s v="B0B6VK1FR4"/>
        <s v="B0B6RFCSZL"/>
        <s v="B0B6RD6DRX"/>
        <s v="B0B63NLM2C"/>
        <s v="B0B63LPZZ8"/>
        <s v="B0B63GFYYK"/>
        <s v="B0B63J18RW"/>
        <s v="B0B68GLBJM"/>
        <s v="B0B68J2J8P"/>
        <s v="B0B6PQXZZP"/>
        <s v="B0B5ZN9XPZ"/>
        <s v="B0B6PNC3JZ"/>
        <s v="B0BBG13KWX"/>
        <s v="B0BBG2D31Y"/>
        <s v="B0BBG4W47P"/>
        <s v="B0BBG47DWW"/>
        <s v="B0BBG4HBRL"/>
        <s v="B0BBFV5GCR"/>
        <s v="B0B5ZPYKY5"/>
        <s v="B0B6PDYBL9"/>
        <s v="B0B6P2GJ5K"/>
        <s v="B0BCFGZF9F"/>
        <s v="B0B6FQ7GBY"/>
        <s v="B0BBFYQ998"/>
        <s v="B0BBFXGD1Q"/>
        <s v="B0B6VQ6DC8"/>
        <s v="B0B6VN2HH7"/>
        <s v="B0B6VM88JM"/>
        <s v="B0B6FWC6N6"/>
        <s v="B0B68H64R9"/>
        <s v="B0BBG2NL26"/>
        <s v="B0B6VJF68D"/>
        <s v="B0BLXZ2PHT"/>
        <s v="B0BLYPT5CN"/>
        <s v="B0BBG1ZGYS"/>
        <s v="B0BQRNV2Z3"/>
        <s v="B0BQRPGXSB"/>
        <s v="B0BQRP2G6J"/>
        <s v="B0BQRQ3974"/>
        <s v="B0BQRP5Q8K"/>
        <s v="B0BQMMFRGQ"/>
        <s v="B0BQML1ZRK"/>
        <s v="B0BQMLF83Q"/>
        <s v="B0BQMLXY38"/>
        <s v="B0BQRNJQZM"/>
        <s v="B0BQRPNLNX"/>
        <s v="B0BQMNJ6Q3"/>
        <s v="B0BQMLCGZR"/>
        <s v="B0BLXVWKNB"/>
        <s v="B0BCFLZZ4Q"/>
        <s v="B0BQMJKB4S"/>
        <s v="B0BCFL1S54"/>
        <s v="B0BQMJBXVV"/>
        <s v="B0BZCRVBC8"/>
        <s v="B0C1C3DN9D"/>
        <s v="B0C1VFZYP5"/>
        <s v="B0BQJHSY7P"/>
        <s v="B0BZCTDPWZ"/>
        <s v="B0C39SKJCD"/>
        <s v="B0C39QRGJ7"/>
        <s v="B0C39R9CKF"/>
        <s v="B0C39QMLST"/>
        <s v="B0C2TGTPPR"/>
        <s v="B0C2Q3GMBF"/>
        <s v="B0C2T7NTB8"/>
        <s v="B0C2TCNT1B"/>
        <s v="B0C2T94PMQ"/>
        <s v="B0BYP9YW93"/>
        <s v="B0C3QJF82L"/>
        <s v="B0C3QG58M3"/>
        <s v="B0C3QJR1F6"/>
        <s v="B0C7ZM4H8Z"/>
        <s v="B0C7ZL4Z59"/>
        <s v="B0CDGZVZRS"/>
        <s v="B0CDLDJ7N4"/>
        <s v="B0CDKYKTCP"/>
        <s v="B0CDK2DZNM"/>
        <s v="B0CDKFJ16G"/>
        <s v="B0CDGZ2GNB"/>
        <s v="B0CDGZVRJ8"/>
        <s v="B0CDK1Y499"/>
        <s v="B0CDGWKNYJ"/>
        <s v="B0CDGY3PH4"/>
        <s v="B0CDKMY8Z9"/>
        <s v="B0CGX1WNFT"/>
        <s v="B0CGX537RQ"/>
        <s v="B0CGX2PHRG"/>
        <s v="B0CGX24JGD"/>
        <s v="B0CGX31152"/>
        <s v="B0CGX382NL"/>
        <s v="B0CDH22FFC"/>
        <s v="B0C3QKV3M1"/>
        <s v="B0BLY64GWX"/>
        <s v="B0BBG4X86G"/>
        <m/>
      </sharedItems>
    </cacheField>
    <cacheField name="展示量" numFmtId="0">
      <sharedItems containsString="0" containsBlank="1" containsNumber="1" containsInteger="1" minValue="0" maxValue="37954" count="199">
        <n v="703"/>
        <n v="1232"/>
        <n v="9392"/>
        <n v="16623"/>
        <n v="6138"/>
        <n v="1661"/>
        <n v="932"/>
        <n v="7762"/>
        <n v="18946"/>
        <n v="24786"/>
        <n v="3940"/>
        <n v="8760"/>
        <n v="131"/>
        <n v="15824"/>
        <n v="2257"/>
        <n v="7497"/>
        <n v="1025"/>
        <n v="2585"/>
        <n v="159"/>
        <n v="1586"/>
        <n v="596"/>
        <n v="21144"/>
        <n v="611"/>
        <n v="29375"/>
        <n v="2862"/>
        <n v="1677"/>
        <n v="723"/>
        <n v="913"/>
        <n v="4360"/>
        <n v="1755"/>
        <n v="598"/>
        <n v="4205"/>
        <n v="590"/>
        <n v="7814"/>
        <n v="13032"/>
        <n v="3268"/>
        <n v="3085"/>
        <n v="2411"/>
        <n v="263"/>
        <n v="726"/>
        <n v="817"/>
        <n v="8419"/>
        <n v="795"/>
        <n v="1261"/>
        <n v="37709"/>
        <n v="20979"/>
        <n v="3573"/>
        <n v="4047"/>
        <n v="914"/>
        <n v="5546"/>
        <n v="465"/>
        <n v="4140"/>
        <n v="771"/>
        <n v="8389"/>
        <n v="55"/>
        <n v="4566"/>
        <n v="23433"/>
        <n v="1495"/>
        <n v="108"/>
        <n v="33"/>
        <n v="3"/>
        <n v="9"/>
        <n v="110"/>
        <n v="5"/>
        <n v="23"/>
        <n v="24598"/>
        <n v="160"/>
        <n v="36682"/>
        <n v="44"/>
        <n v="43"/>
        <n v="10848"/>
        <n v="1219"/>
        <n v="544"/>
        <n v="4"/>
        <n v="54"/>
        <n v="492"/>
        <n v="37"/>
        <n v="1"/>
        <n v="30234"/>
        <n v="28257"/>
        <n v="20"/>
        <n v="8"/>
        <n v="1913"/>
        <n v="1200"/>
        <n v="860"/>
        <n v="1874"/>
        <n v="602"/>
        <n v="1231"/>
        <n v="1081"/>
        <n v="2453"/>
        <n v="174"/>
        <n v="4729"/>
        <n v="701"/>
        <n v="7741"/>
        <n v="5162"/>
        <n v="566"/>
        <n v="3744"/>
        <n v="40"/>
        <n v="32"/>
        <n v="180"/>
        <n v="4689"/>
        <n v="5027"/>
        <n v="2365"/>
        <n v="1766"/>
        <n v="5224"/>
        <n v="150"/>
        <n v="62"/>
        <n v="609"/>
        <n v="2642"/>
        <n v="149"/>
        <n v="345"/>
        <n v="2554"/>
        <n v="301"/>
        <n v="1738"/>
        <n v="362"/>
        <n v="2822"/>
        <n v="270"/>
        <n v="86"/>
        <n v="1759"/>
        <n v="1342"/>
        <n v="563"/>
        <n v="98"/>
        <n v="68"/>
        <n v="27"/>
        <n v="1579"/>
        <n v="1170"/>
        <n v="1602"/>
        <n v="35"/>
        <n v="69"/>
        <n v="129"/>
        <n v="3210"/>
        <n v="341"/>
        <n v="73"/>
        <n v="74"/>
        <n v="1390"/>
        <n v="225"/>
        <n v="1128"/>
        <n v="6148"/>
        <n v="731"/>
        <n v="681"/>
        <n v="10312"/>
        <n v="461"/>
        <n v="17490"/>
        <n v="20940"/>
        <n v="34525"/>
        <n v="1645"/>
        <n v="4430"/>
        <n v="13619"/>
        <n v="0"/>
        <n v="37954"/>
        <n v="5214"/>
        <n v="1266"/>
        <n v="1294"/>
        <n v="1855"/>
        <n v="5335"/>
        <n v="2567"/>
        <n v="960"/>
        <n v="4421"/>
        <n v="7535"/>
        <n v="782"/>
        <n v="755"/>
        <n v="25"/>
        <n v="14"/>
        <n v="154"/>
        <n v="248"/>
        <n v="153"/>
        <n v="1603"/>
        <n v="1861"/>
        <n v="2622"/>
        <n v="5017"/>
        <n v="1679"/>
        <n v="313"/>
        <n v="177"/>
        <n v="320"/>
        <n v="272"/>
        <n v="6405"/>
        <n v="291"/>
        <n v="58"/>
        <n v="561"/>
        <n v="698"/>
        <n v="2"/>
        <n v="2896"/>
        <n v="974"/>
        <n v="1837"/>
        <n v="3898"/>
        <n v="123"/>
        <n v="45"/>
        <n v="28"/>
        <n v="1515"/>
        <n v="956"/>
        <n v="3197"/>
        <n v="5001"/>
        <n v="1789"/>
        <n v="1584"/>
        <n v="5621"/>
        <n v="952"/>
        <n v="972"/>
        <n v="3143"/>
        <m/>
      </sharedItems>
    </cacheField>
    <cacheField name="点击量" numFmtId="0">
      <sharedItems containsString="0" containsBlank="1" containsNumber="1" containsInteger="1" minValue="0" maxValue="521" count="79">
        <n v="19"/>
        <n v="9"/>
        <n v="80"/>
        <n v="148"/>
        <n v="95"/>
        <n v="17"/>
        <n v="16"/>
        <n v="130"/>
        <n v="250"/>
        <n v="211"/>
        <n v="13"/>
        <n v="40"/>
        <n v="0"/>
        <n v="156"/>
        <n v="42"/>
        <n v="67"/>
        <n v="10"/>
        <n v="15"/>
        <n v="2"/>
        <n v="27"/>
        <n v="7"/>
        <n v="266"/>
        <n v="232"/>
        <n v="30"/>
        <n v="22"/>
        <n v="4"/>
        <n v="21"/>
        <n v="68"/>
        <n v="1"/>
        <n v="38"/>
        <n v="137"/>
        <n v="34"/>
        <n v="5"/>
        <n v="56"/>
        <n v="508"/>
        <n v="316"/>
        <n v="14"/>
        <n v="109"/>
        <n v="65"/>
        <n v="23"/>
        <n v="3"/>
        <n v="222"/>
        <n v="234"/>
        <n v="196"/>
        <n v="20"/>
        <n v="306"/>
        <n v="111"/>
        <n v="6"/>
        <n v="8"/>
        <n v="29"/>
        <n v="43"/>
        <n v="126"/>
        <n v="64"/>
        <n v="71"/>
        <n v="48"/>
        <n v="52"/>
        <n v="39"/>
        <n v="32"/>
        <n v="37"/>
        <n v="11"/>
        <n v="58"/>
        <n v="122"/>
        <n v="132"/>
        <n v="521"/>
        <n v="45"/>
        <n v="166"/>
        <n v="302"/>
        <n v="75"/>
        <n v="31"/>
        <n v="12"/>
        <n v="146"/>
        <n v="73"/>
        <n v="28"/>
        <n v="55"/>
        <n v="36"/>
        <n v="25"/>
        <n v="44"/>
        <n v="118"/>
        <m/>
      </sharedItems>
    </cacheField>
    <cacheField name="点击率(CTR)" numFmtId="0">
      <sharedItems containsString="0" containsBlank="1" containsNumber="1" minValue="0" maxValue="0.0915032679738562" count="178">
        <n v="0.027027027027027"/>
        <n v="0.0073051948051948"/>
        <n v="0.00851788756388416"/>
        <n v="0.00890332671599591"/>
        <n v="0.0154773541870316"/>
        <n v="0.0102347983142685"/>
        <n v="0.0171673819742489"/>
        <n v="0.0167482607575367"/>
        <n v="0.0131953974453711"/>
        <n v="0.00851287016864359"/>
        <n v="0.0032994923857868"/>
        <n v="0.0045662100456621"/>
        <n v="0"/>
        <n v="0.00985844287158746"/>
        <n v="0.0186087727071334"/>
        <n v="0.00893690809657196"/>
        <n v="0.00975609756097561"/>
        <n v="0.00580270793036751"/>
        <n v="0.0125786163522013"/>
        <n v="0.0170239596469105"/>
        <n v="0.011744966442953"/>
        <n v="0.0125804010594022"/>
        <n v="0.0114566284779051"/>
        <n v="0.00789787234042553"/>
        <n v="0.010482180293501"/>
        <n v="0.013118664281455"/>
        <n v="0.0235131396957123"/>
        <n v="0.00438116100766703"/>
        <n v="0.00917431192660551"/>
        <n v="0.011965811965812"/>
        <n v="0.0117056856187291"/>
        <n v="0.0161712247324614"/>
        <n v="0.00169491525423729"/>
        <n v="0.00486306629127208"/>
        <n v="0.010512584407612"/>
        <n v="0.0128518971848225"/>
        <n v="0.00291734197730956"/>
        <n v="0.0141020323517213"/>
        <n v="0.0190114068441065"/>
        <n v="0.0068870523415978"/>
        <n v="0.0122399020807834"/>
        <n v="0.00665162133269985"/>
        <n v="0.0113207547169811"/>
        <n v="0.00317208564631245"/>
        <n v="0.0134715850327508"/>
        <n v="0.0150626817293484"/>
        <n v="0.0187517492303387"/>
        <n v="0.00667160859896219"/>
        <n v="0.00765864332603939"/>
        <n v="0.00540930400288496"/>
        <n v="0.00860215053763441"/>
        <n v="0.00821256038647343"/>
        <n v="0.0181582360570687"/>
        <n v="0.0129932053880081"/>
        <n v="0.0181818181818182"/>
        <n v="0.0142356548401226"/>
        <n v="0.00990056757564119"/>
        <n v="0.0153846153846154"/>
        <n v="0.0277777777777778"/>
        <n v="0.0606060606060606"/>
        <n v="0.0454545454545455"/>
        <n v="0.0434782608695652"/>
        <n v="0.00902512399382064"/>
        <n v="0.0125"/>
        <n v="0.00637915053704814"/>
        <n v="0.0227272727272727"/>
        <n v="0.0180678466076696"/>
        <n v="0.0164068908941756"/>
        <n v="0.00919117647058824"/>
        <n v="0.0185185185185185"/>
        <n v="0.0182926829268293"/>
        <n v="0.0540540540540541"/>
        <n v="0.0101210557650327"/>
        <n v="0.00392823017305446"/>
        <n v="0.0177731312075274"/>
        <n v="0.005"/>
        <n v="0.00930232558139535"/>
        <n v="0.0154749199573106"/>
        <n v="0.00996677740863787"/>
        <n v="0.0178716490658002"/>
        <n v="0.00185013876040703"/>
        <n v="0.0175295556461476"/>
        <n v="0.0229885057471264"/>
        <n v="0.0266441108056672"/>
        <n v="0.00855920114122682"/>
        <n v="0.00826766567626922"/>
        <n v="0.0137543587756683"/>
        <n v="0.0106007067137809"/>
        <n v="0.00614316239316239"/>
        <n v="0.05"/>
        <n v="0.03125"/>
        <n v="0.0444444444444444"/>
        <n v="0.0102367242482406"/>
        <n v="0.0103441416351701"/>
        <n v="0.0177589852008457"/>
        <n v="0.0118912797281993"/>
        <n v="0.00746554364471669"/>
        <n v="0.0161290322580645"/>
        <n v="0.013136288998358"/>
        <n v="0.012112036336109"/>
        <n v="0.00671140939597316"/>
        <n v="0.0260869565217391"/>
        <n v="0.0117462803445576"/>
        <n v="0.00664451827242525"/>
        <n v="0.0126582278481013"/>
        <n v="0.00828729281767956"/>
        <n v="0.0131112686038271"/>
        <n v="0.0222222222222222"/>
        <n v="0.0116279069767442"/>
        <n v="0.00739056281978397"/>
        <n v="0.00819672131147541"/>
        <n v="0.0124333925399645"/>
        <n v="0.013299556681444"/>
        <n v="0.00683760683760684"/>
        <n v="0.00561797752808989"/>
        <n v="0.0289855072463768"/>
        <n v="0.00775193798449612"/>
        <n v="0.00654205607476636"/>
        <n v="0.0136986301369863"/>
        <n v="0.0135135135135135"/>
        <n v="0.00431654676258993"/>
        <n v="0.0177777777777778"/>
        <n v="0.00354609929078014"/>
        <n v="0.00943396226415094"/>
        <n v="0.0150478796169631"/>
        <n v="0.00293685756240822"/>
        <n v="0.00649728471683476"/>
        <n v="0.0216919739696312"/>
        <n v="0.00697541452258433"/>
        <n v="0.00630372492836676"/>
        <n v="0.0150905141202028"/>
        <n v="0.0273556231003039"/>
        <n v="0.0126410835214447"/>
        <n v="0.0121888538071811"/>
        <m/>
        <n v="0.00795700057964905"/>
        <n v="0.0143843498273878"/>
        <n v="0.0244865718799368"/>
        <n v="0.00927357032457496"/>
        <n v="0.0161725067385445"/>
        <n v="0.0273664479850047"/>
        <n v="0.0284378652123101"/>
        <n v="0.0385416666666667"/>
        <n v="0.00633340873105632"/>
        <n v="0.0072992700729927"/>
        <n v="0.00639386189258312"/>
        <n v="0.00397350993377483"/>
        <n v="0.0324675324675325"/>
        <n v="0.0201612903225806"/>
        <n v="0.0915032679738562"/>
        <n v="0.00686213349968808"/>
        <n v="0.0123589468027942"/>
        <n v="0.015255530129672"/>
        <n v="0.014550528204106"/>
        <n v="0.0214413341274568"/>
        <n v="0.0319488817891374"/>
        <n v="0.0169491525423729"/>
        <n v="0.015625"/>
        <n v="0.0110294117647059"/>
        <n v="0.0039032006245121"/>
        <n v="0.0206185567010309"/>
        <n v="0.0089126559714795"/>
        <n v="0.00716332378223496"/>
        <n v="0.0024171270718232"/>
        <n v="0.0102669404517454"/>
        <n v="0.00326619488296135"/>
        <n v="0.00102616726526424"/>
        <n v="0.0869565217391304"/>
        <n v="0.00462046204620462"/>
        <n v="0.00627615062761506"/>
        <n v="0.00469189865498905"/>
        <n v="0.00879824035192961"/>
        <n v="0.00558971492453885"/>
        <n v="0.00820707070707071"/>
        <n v="0.0209927059242128"/>
        <n v="0.0178571428571429"/>
        <n v="0.00617283950617284"/>
        <n v="0.0066815144766147"/>
      </sharedItems>
    </cacheField>
    <cacheField name="每次点击成本(CPC)" numFmtId="0">
      <sharedItems containsString="0" containsBlank="1" containsNumber="1" minValue="0" maxValue="0.717857142857143" count="164">
        <n v="0.258421052631579"/>
        <n v="0.305555555555556"/>
        <n v="0.296"/>
        <n v="0.378986486486486"/>
        <n v="0.354105263157895"/>
        <n v="0.319411764705882"/>
        <n v="0.36"/>
        <n v="0.369538461538461"/>
        <n v="0.38284"/>
        <n v="0.414265402843602"/>
        <n v="0.422307692307692"/>
        <n v="0.4785"/>
        <m/>
        <n v="0.454871794871795"/>
        <n v="0.292142857142857"/>
        <n v="0.324477611940298"/>
        <n v="0.488"/>
        <n v="0.444666666666667"/>
        <n v="0.26"/>
        <n v="0.248518518518518"/>
        <n v="0.277142857142857"/>
        <n v="0.329172932330827"/>
        <n v="0.261428571428571"/>
        <n v="0.381681034482759"/>
        <n v="0.382666666666667"/>
        <n v="0.402272727272727"/>
        <n v="0.237058823529412"/>
        <n v="0.1475"/>
        <n v="0.45125"/>
        <n v="0.312857142857143"/>
        <n v="0.37"/>
        <n v="0.392205882352941"/>
        <n v="0.22"/>
        <n v="0.338684210526316"/>
        <n v="0.367591240875912"/>
        <n v="0.22047619047619"/>
        <n v="0.494444444444444"/>
        <n v="0.253823529411765"/>
        <n v="0.362"/>
        <n v="0.274"/>
        <n v="0.23"/>
        <n v="0.446964285714286"/>
        <n v="0.434444444444445"/>
        <n v="0.4"/>
        <n v="0.424803149606299"/>
        <n v="0.354272151898734"/>
        <n v="0.337313432835821"/>
        <n v="0.24037037037037"/>
        <n v="0.248571428571429"/>
        <n v="0.411"/>
        <n v="0.21"/>
        <n v="0.456764705882353"/>
        <n v="0.338571428571429"/>
        <n v="0.408532110091743"/>
        <n v="0.33"/>
        <n v="0.447076923076923"/>
        <n v="0.474612068965517"/>
        <n v="0.406521739130435"/>
        <n v="0.07"/>
        <n v="0.25"/>
        <n v="0.412252252252252"/>
        <n v="0.265"/>
        <n v="0.490726495726496"/>
        <n v="0.16"/>
        <n v="0.304234693877551"/>
        <n v="0.2175"/>
        <n v="0.328"/>
        <n v="0.28"/>
        <n v="0.377777777777778"/>
        <n v="0.24"/>
        <n v="0.417483660130719"/>
        <n v="0.449099099099099"/>
        <n v="0.189705882352941"/>
        <n v="0.441666666666667"/>
        <n v="0.405"/>
        <n v="0.351724137931034"/>
        <n v="0.308636363636364"/>
        <n v="0.225"/>
        <n v="0.182093023255814"/>
        <n v="0.2225"/>
        <n v="0.373412698412698"/>
        <n v="0.398333333333333"/>
        <n v="0.36296875"/>
        <n v="0.335915492957746"/>
        <n v="0.316666666666667"/>
        <n v="0.403043478260869"/>
        <n v="0.285"/>
        <n v="0.3"/>
        <n v="0.38625"/>
        <n v="0.389038461538462"/>
        <n v="0.383809523809524"/>
        <n v="0.431904761904762"/>
        <n v="0.41974358974359"/>
        <n v="0.35"/>
        <n v="0.365"/>
        <n v="0.398125"/>
        <n v="0.34"/>
        <n v="0.331111111111111"/>
        <n v="0.318333333333333"/>
        <n v="0.355"/>
        <n v="0.366216216216216"/>
        <n v="0.43"/>
        <n v="0.332307692307692"/>
        <n v="0.363636363636364"/>
        <n v="0.355714285714286"/>
        <n v="0.45"/>
        <n v="0.356666666666667"/>
        <n v="0.42375"/>
        <n v="0.247777777777778"/>
        <n v="0.2"/>
        <n v="0.12"/>
        <n v="0.246190476190476"/>
        <n v="0.385"/>
        <n v="0.405344827586207"/>
        <n v="0.474545454545455"/>
        <n v="0.42"/>
        <n v="0.62044776119403"/>
        <n v="0.437"/>
        <n v="0.419426229508197"/>
        <n v="0.56719696969697"/>
        <n v="0.610383877159309"/>
        <n v="0.647111111111111"/>
        <n v="0.513571428571429"/>
        <n v="0.54078313253012"/>
        <n v="0.454966887417218"/>
        <n v="0.658666666666667"/>
        <n v="0.668709677419355"/>
        <n v="0.669166666666667"/>
        <n v="0.569666666666667"/>
        <n v="0.607054794520548"/>
        <n v="0.397808219178082"/>
        <n v="0.414054054054054"/>
        <n v="0.717857142857143"/>
        <n v="0.716363636363636"/>
        <n v="0.49"/>
        <n v="0.496666666666667"/>
        <n v="0.406"/>
        <n v="0.416428571428571"/>
        <n v="0.626363636363636"/>
        <n v="0.588695652173913"/>
        <n v="0.63475"/>
        <n v="0.637260273972603"/>
        <n v="0.482777777777778"/>
        <n v="0.542"/>
        <n v="0.346666666666667"/>
        <n v="0.474"/>
        <n v="0.38"/>
        <n v="0.5912"/>
        <n v="0.618333333333333"/>
        <n v="0.368"/>
        <n v="0.382"/>
        <n v="0.448571428571429"/>
        <n v="0.436"/>
        <n v="0.423333333333333"/>
        <n v="0.334285714285714"/>
        <n v="0.388333333333333"/>
        <n v="0.477333333333333"/>
        <n v="0.480681818181818"/>
        <n v="0.522"/>
        <n v="0.63"/>
        <n v="0.589661016949152"/>
        <n v="0.525294117647059"/>
        <n v="0.64"/>
        <n v="0.554761904761905"/>
      </sharedItems>
    </cacheField>
    <cacheField name="花费" numFmtId="0">
      <sharedItems containsString="0" containsBlank="1" containsNumber="1" minValue="0" maxValue="318.01" count="171">
        <n v="4.91"/>
        <n v="2.75"/>
        <n v="23.68"/>
        <n v="56.09"/>
        <n v="33.64"/>
        <n v="5.43"/>
        <n v="5.76"/>
        <n v="48.04"/>
        <n v="95.71"/>
        <n v="87.41"/>
        <n v="5.49"/>
        <n v="19.14"/>
        <n v="0"/>
        <n v="70.96"/>
        <n v="12.27"/>
        <n v="21.74"/>
        <n v="4.88"/>
        <n v="6.67"/>
        <n v="0.52"/>
        <n v="6.71"/>
        <n v="1.94"/>
        <n v="87.56"/>
        <n v="1.83"/>
        <n v="88.55"/>
        <n v="11.48"/>
        <n v="8.85"/>
        <n v="4.03"/>
        <n v="0.59"/>
        <n v="18.05"/>
        <n v="6.57"/>
        <n v="2.59"/>
        <n v="26.67"/>
        <n v="0.22"/>
        <n v="12.87"/>
        <n v="50.36"/>
        <n v="9.26"/>
        <n v="4.45"/>
        <n v="8.63"/>
        <n v="1.81"/>
        <n v="1.37"/>
        <n v="2.3"/>
        <n v="25.03"/>
        <n v="3.91"/>
        <n v="1.6"/>
        <n v="215.8"/>
        <n v="111.95"/>
        <n v="22.6"/>
        <n v="6.49"/>
        <n v="1.74"/>
        <n v="12.33"/>
        <n v="0.84"/>
        <n v="15.53"/>
        <n v="4.74"/>
        <n v="44.53"/>
        <n v="0.33"/>
        <n v="29.06"/>
        <n v="110.11"/>
        <n v="9.35"/>
        <n v="0.63"/>
        <n v="0.14"/>
        <n v="1.25"/>
        <n v="0.25"/>
        <n v="91.52"/>
        <n v="0.53"/>
        <n v="114.83"/>
        <n v="0.16"/>
        <n v="59.63"/>
        <n v="4.35"/>
        <n v="1.64"/>
        <n v="0.28"/>
        <n v="3.4"/>
        <n v="0.48"/>
        <n v="127.75"/>
        <n v="49.85"/>
        <n v="6.45"/>
        <n v="2.65"/>
        <n v="3.24"/>
        <n v="10.2"/>
        <n v="2.4"/>
        <n v="6.79"/>
        <n v="0.45"/>
        <n v="7.83"/>
        <n v="0.89"/>
        <n v="47.05"/>
        <n v="2.39"/>
        <n v="23.23"/>
        <n v="23.85"/>
        <n v="1.9"/>
        <n v="9.27"/>
        <n v="0.57"/>
        <n v="0.3"/>
        <n v="18.54"/>
        <n v="20.23"/>
        <n v="16.12"/>
        <n v="9.07"/>
        <n v="16.37"/>
        <n v="0.35"/>
        <n v="2.92"/>
        <n v="12.74"/>
        <n v="0.34"/>
        <n v="2.98"/>
        <n v="9.55"/>
        <n v="0.81"/>
        <n v="7.81"/>
        <n v="1.05"/>
        <n v="13.55"/>
        <n v="1.68"/>
        <n v="0.43"/>
        <n v="4.32"/>
        <n v="4"/>
        <n v="2.49"/>
        <n v="7.49"/>
        <n v="3.39"/>
        <n v="2.23"/>
        <n v="0.4"/>
        <n v="0.12"/>
        <n v="5.17"/>
        <n v="2.31"/>
        <n v="1.44"/>
        <n v="1.8"/>
        <n v="23.51"/>
        <n v="5.22"/>
        <n v="41.57"/>
        <n v="4.37"/>
        <n v="51.17"/>
        <n v="74.87"/>
        <n v="318.01"/>
        <n v="29.12"/>
        <n v="28.76"/>
        <n v="89.77"/>
        <n v="137.4"/>
        <n v="49.4"/>
        <n v="20.73"/>
        <n v="8.03"/>
        <n v="17.09"/>
        <n v="88.63"/>
        <n v="29.04"/>
        <n v="15.32"/>
        <n v="20.1"/>
        <n v="39.4"/>
        <n v="2.45"/>
        <n v="1.49"/>
        <n v="2.03"/>
        <n v="5.83"/>
        <n v="6.89"/>
        <n v="13.54"/>
        <n v="25.39"/>
        <n v="46.52"/>
        <n v="17.38"/>
        <n v="5.42"/>
        <n v="1.04"/>
        <n v="2.37"/>
        <n v="1.14"/>
        <n v="14.78"/>
        <n v="3.71"/>
        <n v="1.84"/>
        <n v="1.91"/>
        <n v="3.14"/>
        <n v="4.36"/>
        <n v="2.54"/>
        <n v="1.48"/>
        <n v="2.34"/>
        <n v="2.33"/>
        <n v="7.16"/>
        <n v="21.15"/>
        <n v="8.19"/>
        <n v="69.58"/>
        <n v="8.93"/>
        <n v="3.84"/>
        <n v="11.65"/>
        <m/>
      </sharedItems>
    </cacheField>
    <cacheField name="7天总销售额" numFmtId="0">
      <sharedItems containsString="0" containsBlank="1" containsNumber="1" minValue="0" maxValue="989.910000000001" count="62">
        <n v="49.96"/>
        <n v="0"/>
        <n v="129.9"/>
        <n v="296.11"/>
        <n v="205.84"/>
        <n v="25.98"/>
        <n v="244.81"/>
        <n v="359.72"/>
        <n v="422.67"/>
        <n v="12.99"/>
        <n v="231.49"/>
        <n v="90.93"/>
        <n v="676.16"/>
        <n v="251.8"/>
        <n v="23.65"/>
        <n v="47.96"/>
        <n v="69.94"/>
        <n v="375.99"/>
        <n v="73.94"/>
        <n v="51.96"/>
        <n v="70.95"/>
        <n v="989.910000000001"/>
        <n v="559.57"/>
        <n v="38.97"/>
        <n v="101.92"/>
        <n v="10.99"/>
        <n v="140.89"/>
        <n v="75.94"/>
        <n v="500.61"/>
        <n v="84.6"/>
        <n v="372.71"/>
        <n v="400.36"/>
        <n v="398.36"/>
        <n v="498.61"/>
        <n v="112.91"/>
        <n v="36.97"/>
        <n v="38.64"/>
        <n v="227.49"/>
        <n v="77.94"/>
        <n v="64.95"/>
        <n v="23.98"/>
        <n v="88.93"/>
        <n v="64.62"/>
        <n v="62.95"/>
        <n v="81.94"/>
        <n v="18.99"/>
        <n v="11.99"/>
        <n v="64.29"/>
        <n v="205.51"/>
        <n v="155.88"/>
        <n v="816.71"/>
        <n v="58.96"/>
        <n v="376.71"/>
        <n v="351.73"/>
        <n v="324.42"/>
        <n v="272.79"/>
        <n v="99.92"/>
        <n v="25.99"/>
        <n v="28.9"/>
        <n v="51.98"/>
        <n v="349.86"/>
        <m/>
      </sharedItems>
    </cacheField>
    <cacheField name="广告成本销售比(ACOS)" numFmtId="0">
      <sharedItems containsString="0" containsBlank="1" containsNumber="1" minValue="0" maxValue="2.05311778290993" count="122">
        <n v="0.0982786228983187"/>
        <m/>
        <n v="0.182294072363356"/>
        <n v="0.189422849616696"/>
        <n v="0.163427905169063"/>
        <n v="0.209006928406467"/>
        <n v="0.221709006928406"/>
        <n v="0.196233813978187"/>
        <n v="0.266068052930057"/>
        <n v="0.206804362741619"/>
        <n v="0.211316397228637"/>
        <n v="1.47344110854503"/>
        <n v="0.306535919478163"/>
        <n v="0.944572748267899"/>
        <n v="0.239085010447597"/>
        <n v="0.258275596612779"/>
        <n v="0.149345650500385"/>
        <n v="0.129495977283483"/>
        <n v="0.351667990468626"/>
        <n v="0.374207188160676"/>
        <n v="0.376355296080067"/>
        <n v="0.505773672055427"/>
        <n v="2.05311778290993"/>
        <n v="0.184014869888476"/>
        <n v="0.133939732439692"/>
        <n v="0.125236678387882"/>
        <n v="0.166089299461124"/>
        <n v="0.105465742879138"/>
        <n v="0.177059276366436"/>
        <n v="0.352783650458069"/>
        <n v="0.301000769822941"/>
        <n v="0.217999616126719"/>
        <n v="0.200064335114463"/>
        <n v="0.248542835147916"/>
        <n v="0.166538362843213"/>
        <n v="0.133949191685912"/>
        <n v="0.120977237048666"/>
        <n v="0.597767513471901"/>
        <n v="0.43130118289354"/>
        <n v="0.316062176165803"/>
        <n v="0.382670529365289"/>
        <n v="0.219951658976049"/>
        <n v="0.110520094562648"/>
        <n v="0.0484988452655889"/>
        <n v="0.24555284269271"/>
        <n v="0.28681686482166"/>
        <n v="0.149688723767447"/>
        <n v="0.334872979214781"/>
        <n v="0.256212270110908"/>
        <n v="0.441502081303693"/>
        <n v="0.174465783067352"/>
        <n v="0.241128298453139"/>
        <n v="0.294813466787989"/>
        <n v="0.263975155279503"/>
        <n v="0.184757505773672"/>
        <n v="0.522709776751347"/>
        <n v="0.150692840646651"/>
        <n v="0.0685142417244034"/>
        <n v="0.206822277902325"/>
        <n v="0.2980497818835"/>
        <n v="0.918013856812933"/>
        <n v="0.14626635873749"/>
        <n v="0.356812933025404"/>
        <n v="0.092378752886836"/>
        <n v="0.713625866050808"/>
        <n v="0.266394521991046"/>
        <n v="0.248190916089299"/>
        <n v="0.378231859883236"/>
        <n v="0.327662129703763"/>
        <n v="0.224788298691301"/>
        <n v="0.143258742831441"/>
        <n v="0.0261739799846035"/>
        <n v="0.229407236335643"/>
        <n v="0.147787062828846"/>
        <n v="0.0623556581986143"/>
        <n v="0.124066719618745"/>
        <n v="0.165364901147181"/>
        <n v="0.12933025404157"/>
        <n v="0.288298691301001"/>
        <n v="0.17167051578137"/>
        <n v="0.0307929176289453"/>
        <n v="0.272248551869405"/>
        <n v="0.120100083402836"/>
        <n v="0.138568129330254"/>
        <n v="0.365686731995645"/>
        <n v="1.60007698229407"/>
        <n v="0.336412625096228"/>
        <n v="0.248990316772906"/>
        <n v="0.480305363099821"/>
        <n v="0.389379339055478"/>
        <n v="0.493894165535957"/>
        <n v="0.316287253931596"/>
        <n v="0.238300018581933"/>
        <n v="0.390640548147727"/>
        <n v="0.152271746501449"/>
        <n v="0.531947652040031"/>
        <n v="0.206055940467026"/>
        <n v="0.438542468565563"/>
        <n v="0.324901939220646"/>
        <n v="0.25719599681162"/>
        <n v="0.393122915062869"/>
        <n v="0.773672055427252"/>
        <n v="0.668249660786974"/>
        <n v="0.0943033102386451"/>
        <n v="0.139337952270978"/>
        <n v="0.157695428725994"/>
        <n v="0.26058506543495"/>
        <n v="0.325763407749551"/>
        <n v="0.298434693353862"/>
        <n v="0.173939151321057"/>
        <n v="0.208622016936105"/>
        <n v="0.182448036951501"/>
        <n v="0.227559661277906"/>
        <n v="0.142802155504234"/>
        <n v="0.0707964601769912"/>
        <n v="0.073489803770681"/>
        <n v="0.09772989611389"/>
        <n v="0.0809688581314879"/>
        <n v="0.406887264332436"/>
        <n v="0.315121200461716"/>
        <n v="0.198879551820728"/>
        <n v="0.224124663332051"/>
      </sharedItems>
    </cacheField>
    <cacheField name="投入产出比(ROAS)" numFmtId="0">
      <sharedItems containsString="0" containsBlank="1" containsNumber="1" minValue="0" maxValue="38.2058823529412" count="123">
        <n v="10.1751527494908"/>
        <n v="0"/>
        <n v="5.48564189189189"/>
        <n v="5.2791941522553"/>
        <n v="6.11890606420928"/>
        <n v="4.78453038674033"/>
        <n v="4.51041666666667"/>
        <n v="5.09596169858452"/>
        <n v="3.75843694493783"/>
        <n v="4.83548793044274"/>
        <n v="4.73224043715847"/>
        <n v="0.678683385579937"/>
        <m/>
        <n v="3.26226042841037"/>
        <n v="1.05867970660147"/>
        <n v="4.18261269549218"/>
        <n v="3.87183308494784"/>
        <n v="6.69587628865979"/>
        <n v="7.72224760164459"/>
        <n v="2.84359119141728"/>
        <n v="2.67231638418079"/>
        <n v="2.65706371191136"/>
        <n v="1.97716894977169"/>
        <n v="0.487064116985377"/>
        <n v="5.43434343434343"/>
        <n v="7.46604447974583"/>
        <n v="7.98488120950324"/>
        <n v="6.02085747392816"/>
        <n v="9.48175182481752"/>
        <n v="5.64782608695652"/>
        <n v="2.83459848182181"/>
        <n v="3.32225063938619"/>
        <n v="4.5871640407785"/>
        <n v="4.99839213934793"/>
        <n v="4.02345132743363"/>
        <n v="6.00462249614792"/>
        <n v="7.46551724137931"/>
        <n v="8.26601784266018"/>
        <n v="1.67289117836446"/>
        <n v="2.31856540084388"/>
        <n v="3.16393442622951"/>
        <n v="2.61321403991741"/>
        <n v="4.54645354645355"/>
        <n v="9.04812834224599"/>
        <n v="20.6190476190476"/>
        <n v="4.07244318181818"/>
        <n v="3.48654532787599"/>
        <n v="6.68052993459668"/>
        <n v="2.98620689655172"/>
        <n v="3.90301369863014"/>
        <n v="2.26499498495487"/>
        <n v="5.73178294573643"/>
        <n v="4.14716981132076"/>
        <n v="3.39197530864197"/>
        <n v="3.78823529411765"/>
        <n v="5.4125"/>
        <n v="1.91310751104566"/>
        <n v="6.6360153256705"/>
        <n v="14.5955056179775"/>
        <n v="4.83506907545165"/>
        <n v="3.35514421007318"/>
        <n v="1.08930817610063"/>
        <n v="6.83684210526316"/>
        <n v="2.80258899676375"/>
        <n v="10.825"/>
        <n v="1.40129449838188"/>
        <n v="3.75383094414236"/>
        <n v="4.02915632754342"/>
        <n v="2.6438809261301"/>
        <n v="3.0519242516799"/>
        <n v="4.4486301369863"/>
        <n v="6.98037676609105"/>
        <n v="38.2058823529412"/>
        <n v="4.35906040268456"/>
        <n v="6.76649214659686"/>
        <n v="16.037037037037"/>
        <n v="8.06017925736236"/>
        <n v="6.04723247232472"/>
        <n v="7.73214285714286"/>
        <n v="3.46862483311081"/>
        <n v="5.82511210762332"/>
        <n v="32.475"/>
        <n v="3.67311411992263"/>
        <n v="8.32638888888889"/>
        <n v="7.21666666666667"/>
        <n v="2.73458102934921"/>
        <n v="0.624969930238152"/>
        <n v="2.97254004576659"/>
        <n v="4.01622044166504"/>
        <n v="2.08200881527982"/>
        <n v="2.56818967956983"/>
        <n v="2.02472527472527"/>
        <n v="3.16168289290681"/>
        <n v="4.19639077642865"/>
        <n v="2.5598981077147"/>
        <n v="6.56720647773279"/>
        <n v="1.87988422575977"/>
        <n v="4.85305105853051"/>
        <n v="2.28028086600351"/>
        <n v="3.07785174320207"/>
        <n v="3.88808539944903"/>
        <n v="2.54373368146214"/>
        <n v="1.29253731343284"/>
        <n v="1.49644670050761"/>
        <n v="10.6040816326531"/>
        <n v="7.1767955801105"/>
        <n v="6.34133790737564"/>
        <n v="3.83751846381093"/>
        <n v="3.06971248523041"/>
        <n v="3.35081685296647"/>
        <n v="5.74913693901036"/>
        <n v="4.79335793357934"/>
        <n v="5.48101265822785"/>
        <n v="4.39445196211096"/>
        <n v="7.00269541778976"/>
        <n v="14.125"/>
        <n v="13.6073298429319"/>
        <n v="10.2322834645669"/>
        <n v="12.3504273504273"/>
        <n v="2.45768321513002"/>
        <n v="3.17338217338217"/>
        <n v="5.02816901408451"/>
        <n v="4.4618025751073"/>
      </sharedItems>
    </cacheField>
    <cacheField name="7天总订单数(#)" numFmtId="0">
      <sharedItems containsString="0" containsBlank="1" containsNumber="1" containsInteger="1" minValue="0" maxValue="74" count="33">
        <n v="4"/>
        <n v="0"/>
        <n v="10"/>
        <n v="23"/>
        <n v="16"/>
        <n v="2"/>
        <n v="19"/>
        <n v="27"/>
        <n v="34"/>
        <n v="1"/>
        <n v="18"/>
        <n v="7"/>
        <n v="51"/>
        <n v="20"/>
        <n v="21"/>
        <n v="6"/>
        <n v="5"/>
        <n v="74"/>
        <n v="42"/>
        <n v="3"/>
        <n v="8"/>
        <n v="11"/>
        <n v="38"/>
        <n v="29"/>
        <n v="31"/>
        <n v="30"/>
        <n v="37"/>
        <n v="9"/>
        <n v="12"/>
        <n v="62"/>
        <n v="15"/>
        <n v="14"/>
        <m/>
      </sharedItems>
    </cacheField>
    <cacheField name="7天总销售量(#)" numFmtId="0">
      <sharedItems containsString="0" containsBlank="1" containsNumber="1" containsInteger="1" minValue="0" maxValue="76" count="33">
        <n v="4"/>
        <n v="0"/>
        <n v="10"/>
        <n v="23"/>
        <n v="16"/>
        <n v="2"/>
        <n v="20"/>
        <n v="28"/>
        <n v="34"/>
        <n v="1"/>
        <n v="18"/>
        <n v="7"/>
        <n v="54"/>
        <n v="6"/>
        <n v="31"/>
        <n v="5"/>
        <n v="76"/>
        <n v="43"/>
        <n v="3"/>
        <n v="8"/>
        <n v="11"/>
        <n v="39"/>
        <n v="29"/>
        <n v="40"/>
        <n v="9"/>
        <n v="12"/>
        <n v="63"/>
        <n v="30"/>
        <n v="27"/>
        <n v="25"/>
        <n v="21"/>
        <n v="14"/>
        <m/>
      </sharedItems>
    </cacheField>
    <cacheField name="7天的转化率" numFmtId="0">
      <sharedItems containsString="0" containsBlank="1" containsNumber="1" minValue="0" maxValue="1" count="83">
        <n v="0.210526315789474"/>
        <n v="0"/>
        <n v="0.125"/>
        <n v="0.155405405405405"/>
        <n v="0.168421052631579"/>
        <n v="0.117647058823529"/>
        <n v="0.146153846153846"/>
        <n v="0.108"/>
        <n v="0.161137440758294"/>
        <n v="0.153846153846154"/>
        <n v="0.025"/>
        <m/>
        <n v="0.115384615384615"/>
        <n v="0.0238095238095238"/>
        <n v="0.104477611940299"/>
        <n v="0.0740740740740741"/>
        <n v="0.142857142857143"/>
        <n v="0.191729323308271"/>
        <n v="0.0862068965517241"/>
        <n v="0.0909090909090909"/>
        <n v="0.1"/>
        <n v="0.0476190476190476"/>
        <n v="0.0147058823529412"/>
        <n v="0.105263157894737"/>
        <n v="0.153284671532847"/>
        <n v="0.2"/>
        <n v="0.0892857142857143"/>
        <n v="0.111111111111111"/>
        <n v="0.145669291338583"/>
        <n v="0.132911392405063"/>
        <n v="0.266666666666667"/>
        <n v="0.0588235294117647"/>
        <n v="0.0714285714285714"/>
        <n v="0.100917431192661"/>
        <n v="0.0923076923076923"/>
        <n v="0.163793103448276"/>
        <n v="0.304347826086957"/>
        <n v="0.333333333333333"/>
        <n v="0.130630630630631"/>
        <n v="0.132478632478632"/>
        <n v="0.153061224489796"/>
        <n v="0.05"/>
        <n v="0.120915032679739"/>
        <n v="0.0810810810810811"/>
        <n v="0.0882352941176471"/>
        <n v="0.166666666666667"/>
        <n v="0.0689655172413793"/>
        <n v="0.0454545454545455"/>
        <n v="0.0930232558139535"/>
        <n v="0.25"/>
        <n v="0.126984126984127"/>
        <n v="0.09375"/>
        <n v="0.028169014084507"/>
        <n v="0.0869565217391304"/>
        <n v="0.0416666666666667"/>
        <n v="0.0961538461538462"/>
        <n v="0.119047619047619"/>
        <n v="0.0952380952380952"/>
        <n v="0.102564102564103"/>
        <n v="0.21875"/>
        <n v="1"/>
        <n v="0.5"/>
        <n v="0.227272727272727"/>
        <n v="0.162162162162162"/>
        <n v="0.181818181818182"/>
        <n v="0.0298507462686567"/>
        <n v="0.131147540983607"/>
        <n v="0.119001919385797"/>
        <n v="0.0888888888888889"/>
        <n v="0.180722891566265"/>
        <n v="0.0894039735099338"/>
        <n v="0.0967741935483871"/>
        <n v="0.143835616438356"/>
        <n v="0.123287671232877"/>
        <n v="0.0727272727272727"/>
        <n v="0.4"/>
        <n v="0.214285714285714"/>
        <n v="0.173913043478261"/>
        <n v="0.15"/>
        <n v="0.164383561643836"/>
        <n v="0.222222222222222"/>
        <n v="0.0769230769230769"/>
        <n v="0.11864406779661"/>
      </sharedItems>
    </cacheField>
    <cacheField name="7天内广告SKU销售量(#)" numFmtId="0">
      <sharedItems containsString="0" containsBlank="1" containsNumber="1" containsInteger="1" minValue="0" maxValue="55" count="19">
        <n v="1"/>
        <n v="0"/>
        <n v="2"/>
        <n v="8"/>
        <n v="11"/>
        <n v="7"/>
        <n v="18"/>
        <n v="6"/>
        <n v="4"/>
        <n v="12"/>
        <n v="3"/>
        <n v="55"/>
        <n v="13"/>
        <n v="17"/>
        <n v="16"/>
        <n v="38"/>
        <n v="15"/>
        <n v="23"/>
        <m/>
      </sharedItems>
    </cacheField>
    <cacheField name="7天内其他SKU销售量(#)" numFmtId="0">
      <sharedItems containsString="0" containsBlank="1" containsNumber="1" containsInteger="1" minValue="0" maxValue="36" count="24">
        <n v="3"/>
        <n v="0"/>
        <n v="8"/>
        <n v="15"/>
        <n v="5"/>
        <n v="1"/>
        <n v="13"/>
        <n v="17"/>
        <n v="16"/>
        <n v="12"/>
        <n v="2"/>
        <n v="36"/>
        <n v="23"/>
        <n v="4"/>
        <n v="21"/>
        <n v="30"/>
        <n v="6"/>
        <n v="19"/>
        <n v="14"/>
        <n v="24"/>
        <n v="7"/>
        <n v="25"/>
        <n v="18"/>
        <m/>
      </sharedItems>
    </cacheField>
    <cacheField name="7天内广告SKU销售额" numFmtId="0">
      <sharedItems containsString="0" containsBlank="1" containsNumber="1" minValue="0" maxValue="712.12" count="42">
        <n v="12.99"/>
        <n v="0"/>
        <n v="25.98"/>
        <n v="103.59"/>
        <n v="142.89"/>
        <n v="77.94"/>
        <n v="140.89"/>
        <n v="214.83"/>
        <n v="51.96"/>
        <n v="220.17"/>
        <n v="151.88"/>
        <n v="36.97"/>
        <n v="69.94"/>
        <n v="101.92"/>
        <n v="49.96"/>
        <n v="712.12"/>
        <n v="166.87"/>
        <n v="90.93"/>
        <n v="88.93"/>
        <n v="10.99"/>
        <n v="231.82"/>
        <n v="155.88"/>
        <n v="216.5"/>
        <n v="203.84"/>
        <n v="38.64"/>
        <n v="142.56"/>
        <n v="23.98"/>
        <n v="18.99"/>
        <n v="11.99"/>
        <n v="25.32"/>
        <n v="140.56"/>
        <n v="103.92"/>
        <n v="496.62"/>
        <n v="190.85"/>
        <n v="298.44"/>
        <n v="38.97"/>
        <n v="75.94"/>
        <n v="32.98"/>
        <n v="25.99"/>
        <n v="148.94"/>
        <n v="51.98"/>
        <m/>
      </sharedItems>
    </cacheField>
    <cacheField name="7天内其他SKU销售额" numFmtId="0">
      <sharedItems containsString="0" containsBlank="1" containsNumber="1" minValue="0" maxValue="455.99" count="43">
        <n v="36.97"/>
        <n v="0"/>
        <n v="103.92"/>
        <n v="192.52"/>
        <n v="62.95"/>
        <n v="12.99"/>
        <n v="166.87"/>
        <n v="218.83"/>
        <n v="207.84"/>
        <n v="153.55"/>
        <n v="38.97"/>
        <n v="25.98"/>
        <n v="455.99"/>
        <n v="99.92"/>
        <n v="23.65"/>
        <n v="10.99"/>
        <n v="274.07"/>
        <n v="23.98"/>
        <n v="57.96"/>
        <n v="277.79"/>
        <n v="392.7"/>
        <n v="268.79"/>
        <n v="71.61"/>
        <n v="294.77"/>
        <n v="244.48"/>
        <n v="181.86"/>
        <n v="84.93"/>
        <n v="64.95"/>
        <n v="49.96"/>
        <n v="51.96"/>
        <n v="88.93"/>
        <n v="12.66"/>
        <n v="55.96"/>
        <n v="320.09"/>
        <n v="45.97"/>
        <n v="285.78"/>
        <n v="160.88"/>
        <n v="233.82"/>
        <n v="75.94"/>
        <n v="25.99"/>
        <n v="28.9"/>
        <n v="200.92"/>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46.xml><?xml version="1.0" encoding="utf-8"?>
<pivotCacheDefinition xmlns="http://schemas.openxmlformats.org/spreadsheetml/2006/main" xmlns:r="http://schemas.openxmlformats.org/officeDocument/2006/relationships" r:id="rId1" createdVersion="5" refreshedVersion="5" minRefreshableVersion="3" refreshedDate="45219.6170833333" refreshedBy="Administrator" recordCount="44">
  <cacheSource type="worksheet">
    <worksheetSource ref="B1:O1048576" sheet="10.12-10.18" r:id="rId2"/>
  </cacheSource>
  <cacheFields count="14">
    <cacheField name="（子）ASIN" numFmtId="0">
      <sharedItems containsBlank="1" count="44">
        <s v="B0B2CPRDG4"/>
        <s v="B0BP6VMQS3"/>
        <s v="B0B5WT8QV5"/>
        <s v="B0BT9TK3RN"/>
        <s v="B0BTBDJK8Y"/>
        <s v="B0B5ST6VGH"/>
        <s v="B0BMVDYPYP"/>
        <s v="B0B38YLXHH"/>
        <s v="B0B5CKCWLP"/>
        <s v="B0C6F4TVQ2"/>
        <s v="B0BW8Q2HW3"/>
        <s v="B0BTBBQ8S7"/>
        <s v="B0B4NP7J23"/>
        <s v="B0B569T45Q"/>
        <s v="B0B56CBTGR"/>
        <s v="B0C6F27TL6"/>
        <s v="B0CD28MNTY"/>
        <s v="B0CF87TLHY"/>
        <s v="B0BZVQWSF6"/>
        <s v="B0C2Z567KN"/>
        <s v="B0CD27MLYP"/>
        <s v="B09ZY6DBSP"/>
        <s v="B0BW8Q4WRZ"/>
        <s v="B0C23BT743"/>
        <s v="B0C4XZ4B7L"/>
        <s v="B0BYSKSMYD"/>
        <s v="B09Z2T2LNF"/>
        <s v="B0B4NR7QGP"/>
        <s v="B0BWXHGNJD"/>
        <s v="B0C4XY3Y7T"/>
        <s v="B0B146G4QP"/>
        <s v="B0B1DGJ2TQ"/>
        <s v="B0B5ZHCX9W"/>
        <s v="B0BNMCC1BK"/>
        <s v="B0BR6M92HS"/>
        <s v="B0BRKP3QD8"/>
        <s v="B0BW3VLGQG"/>
        <s v="B0C1YK8LFT"/>
        <s v="B0C1YNWB4Y"/>
        <s v="B0CC5FG1FN"/>
        <s v="B0CJJGL161"/>
        <s v="B0C6XJMCDF"/>
        <s v="B0C6TJ2Y93"/>
        <m/>
      </sharedItems>
    </cacheField>
    <cacheField name="商品名称" numFmtId="0">
      <sharedItems containsBlank="1" count="44">
        <s v="AGGXPF Red Dot Scope Mount Single Picatinny Weaver Scope Mount for Red Dot Sight, Optics and Accessories, Full Size Scope Rail Riser Mount for Scopes"/>
        <s v="AGGXPF for 17 Gen 5 Base, Anodized Aluminum Flared and Enhanced Base for 17&amp;34 Generation 5 Only (Black)"/>
        <s v="AGGXPF Anodized Aluminum Flared and Enhanced Base for 19/23/32/38-Gen 3/4(Black)"/>
        <s v="Tourniquet Holder with Combat One-Handed Tourniquet, Tatical Pouch Included Rescue Medical Tourniquet for Emergency First Aid, 1 Pack Black Tourniquet Tatical Pouch Kit (1 Pack Black)"/>
        <s v="AGGXPF Tourniquet Holder with Combat One-Handed Tourniquet, Tatical Pouch Included Rescue Medical Tourniquet for Emergency First Aid, 2 Pack Black Tourniquet Tatical Pouch Kit (2 x Black)"/>
        <s v="AGGXPF Anodized Aluminum Base for G17/17L/22/24/31/34/35/37- Gen 3/4 (Black)"/>
        <s v="AGGXPF for 19 Gen 5 Base, Anodized Aluminum Flared and Enhanced Base with Insert Plug for 19 Generation 5 Only (Black)"/>
        <s v="AGGXPF Gun Belt Clip for Glock, Holster Clip Concealed Carry, Low Profile Slim Gun Clip Fits Gen 1-4 Models 17, 19, 22, 23, 24, 25, 26, 27, 28, 30S, 31, 32, 33, 34, 35, 36 and 41"/>
        <s v="AGGXPF Anodized Aluminum Flared and Enhanced Base for G19/23/32/38-Gen 3/4 (Red)"/>
        <s v="Fiber Optic Green Sights for Pistol Taurus G2C, G2S, G3 w/o, PT111 G2, PT140 G2, 709, 740, TX22 No Tritium Accessories Sights Set"/>
        <s v="AGGXPF Precision Machined Thread Protector 9mm 1/2 x 28 15mm Length (2 Pack)"/>
        <s v="Tourniquet Holder with Combat One-Handed Tourniquet, Tatical Pouch Included Rescue Medical Tourniquet for Emergency First Aid, 2 Pack Black Tourniquet Tatical Pouch Kit (2 Pack Green)"/>
        <s v="AGGXPF Fiber Optic Sights for Glock 17, 17L, 19, 22, 23, 24, 26, 27, 33, 34, 35, 38, 39 - Contrasting Red/Green Photoluminescent Outline for Outdoors, No Tritium (Red Green Dot Sights)"/>
        <s v="AGGXPF Bright red/Green Laser Bore Sight Kit for .17to12GA Caliber, Laser Boresighter Kit with 12 Multiple Caliber Adapters, Laser Bore Sighter for Hunting Zeroing Your Scopes Optics (Green Laser)"/>
        <s v="AGGXPF Bright red/Green Laser Bore Sight Kit for .17to12GA Caliber, Laser Boresighter Kit with 12 Multiple Caliber Adapters, Laser Bore Sighter for Hunting Zeroing Your Scopes Optics (Red Laser)"/>
        <s v="AGGXPF Fiber Optic Red Sights for Pistol Taurus G2C, G2S, G3 w/o PT111 G2, PT140 G2, 709, 740, TX22 No Tritium Accessories Sights Set (Red)"/>
        <s v="AGGXPF Fiber Optic Red/Green Sights for Pistol Taurus G2C, G2S, G3 w/o PT111 G2, PT140 G2, 709, 740, TX22 NO TRITIUM with Assembly Tools (Green+RED)"/>
        <s v="AGGXPF Fiber Optic Red/Green Sights for Pistol Taurus G2C, G2S, G3 w/o, PT111 G2, PT140 G2, 709, 740, TX22 NO TRITIUM with Assembly Tools (Green)"/>
        <s v="AGGXPF 3 Pcs Rubber Grip Glove Sleeve,Slip-on Grip Compatible with Glock 17 19 19x 20 21 22 23 25 31 32 34 35 37 38 41 43x 44 45 48"/>
        <s v="AGGXPF Mini Folding Flip Red Dot Sight Flip Up Reflex Sight for Glock MOS, Compact 3 MOA Red Dot Sight Compatible with Pistol Handgun RMR/Picatinny Rail"/>
        <s v="AGGXPF Fiber Optic Red/Green Sights for Pistol Taurus G2C, G2S, G3 w/o PT111 G2, PT140 G2, 709, 740, TX22 NO TRITIUM with Assembly Tools (RED+Green)"/>
        <s v="AGGXPF 45 Degree Offset Iron Sights Flip Up Sights with Red and Green Dots, Front and Backup Rear Sight BUIS Set for Picatinny Weaver Rails"/>
        <s v="AGGXPF 2 PCS Aluminum Rear Cover Slide Back Plates Compatible with 17 19 21 22 23 24 26 27 29 30 31 32 33 34 35 36 37 38 39 40 41 Models Gen 1-4 (Flag)"/>
        <s v="AGGXPF 2 PCS Aluminum Rear Cover Slide Back Plates Compatible with 17 19 21 22 23 24 26 27 29 30 31 32 33 34 35 36 37 38 39 40 41 Gen 5 ONLY (Black)"/>
        <s v="AGGXPF Tactical Rubber Grip Glove Sleeve,Slip-on Grip Compatible with Glock 17 19 19x 20 21 22 23 25 31 32 34 35 37 38, P1 M92 1911 (Black*2)"/>
        <s v="AGGXPF Medical Tourniquet with Windlass, Tactical Military Combat Tourniquet Rescue Rapid Hemostatic Control Equipment, Single-Handed First Aid Equipment for Emergency- 2 Pack, Black"/>
        <s v="AGGXPF Night Sight, Green/Blue Photoluminescent Outline Handgun Night Sights Glow in The Dark for Pistol, No Tritium (Green)"/>
        <s v="AGGXPF Fiber Optic Sights for Glock 17, 17L, 19, 22, 23, 24, 26, 27, 33, 34, 35, 38, 39 - Contrasting Red/Green Photoluminescent Outline for Outdoors, No Tritium (Green Dot Sights)"/>
        <s v="AGGXPF Rear Iron Sights with Two Aperture Sight for Close and Precision Targets, Fixed Backup Sight Compatible with Picatinny Rail"/>
        <s v="AGGXPF Universal Tactical Pistol Grip Sleeve,Rubber Handall Full Size Handgun Grip Glove for Glock 17,18,19 (Black*1)"/>
        <s v="AGGXPF Flip Up Iron Sights Fiber Optic Front and Rear Sites with Red and Green Dot Picatinny Backup Sight Set Includes Dual Front Sight Adjustment Tool"/>
        <s v="AGGXPF Upgraded Super Bright Night Sight, Photoluminescent Outline Handgun Night Sight Glow in The Dark for Glock Pistols, NO TRITIUM"/>
        <s v="AGGXPF Military Metal Key Ring Holder with Detachable Key Ring for Duty Belt, Tactical Key Holder or Secure Belt Clip Key Holder with Stainless Steel EDC For Outdoor (2)"/>
        <s v="AGGXPF Flip Up Iron Sights Set Backup Front and Rear Sights Fit for Picatinny or Weaver Rail, Metal Rapid Transition Battle Sights (Black)"/>
        <s v="AGGXPF for Red &amp; Green Dot Sight with 4 Reticle Optics, 5 Brightness Levels, Reflex Sight Optics with Integrated Red Laser Sight, Pressure Pad Switch for 20mm Rail (Red Laser)"/>
        <s v="AGGXPF Flip Up Sight MBU-S 2nd Generation Front and Rear Backup Sights Fit for Picatinny Weaver Rails (Black)"/>
        <s v="AGGXPF Flip Up Sight MBU-S 2nd Generation Front and Rear Backup Sights Fit for Picatinny Weaver Rails (Sand)"/>
        <s v="AGGXPF 2 PCS Aluminum Rear Cover Slide Back Plates Compatible with 17 19 21 22 23 24 26 27 29 30 31 32 33 34 35 36 37 38 39 40 41 Models Gen 1-4 (Skull Pattern)"/>
        <s v="AGGXPF 2 PCS Aluminum Rear Cover Slide Back Plates Compatible with 17 19 21 22 23 24 26 27 29 30 31 32 33 34 35 36 37 38 39 40 41 Gen 5 ONLY (Flag)"/>
        <s v="AGGXPF Fixed Iron Sights Set, Durable Backup Sight, Front and Rear Sight Set for Picatinny Weaver Rails (Sliver)"/>
        <s v="AGGXPF Rear Sight Pusher Tool Compatible with Glock 19 43, 1911, Shield, Sig P365 and Others, Universal Sight Bead Disassembly Tool for Handgun Pistol Sight Removal Tool"/>
        <s v="AGGXPF Fiber Optic Sights for Glock 17, 17L, 19, 22, 23, 24, 26, 27, 33, 34, 35, 38, 39 - Contrasting Red/Green Photoluminescent Outline for Outdoors, No Tritium (Red Dot Sights)"/>
        <s v="AGGXPF for Gun Belt Clip for Glock, Holster Clip Concealed Carry, Low Profile Slim Gun Clip Fits for Gen 1-4 Models 17, 19, 22, 23, 24, 25, 26, 27, 28, 30S, 31, 32, 33, 34, 35, 36 and 41"/>
        <m/>
      </sharedItems>
    </cacheField>
    <cacheField name="SKU" numFmtId="0">
      <sharedItems containsBlank="1" count="44">
        <s v="Y8010"/>
        <s v="Y8041-BL"/>
        <s v="Y8009-BA-1"/>
        <s v="Y8056-BL"/>
        <s v="Y8057-BL"/>
        <s v="Y8020-BL-1"/>
        <s v="Y8033-BL"/>
        <s v="Y8012"/>
        <s v="Y8009-RD"/>
        <s v="Y8095-GR"/>
        <s v="Y8068-1"/>
        <s v="Y8057-GR"/>
        <s v="Y8015-RE"/>
        <s v="Y8016-GR"/>
        <s v="Y8016-RE"/>
        <s v="Y8095-RE"/>
        <s v="Y8097-GN"/>
        <s v="Y8095-GR-1"/>
        <s v="Y8080"/>
        <s v="Y8086"/>
        <s v="Y8097-RE"/>
        <s v="Y8005"/>
        <s v="Y8069-1"/>
        <s v="Y8082-BL"/>
        <s v="Y8090-2"/>
        <s v="Y8074*2"/>
        <s v="Y8002-GR"/>
        <s v="Y8015-GR"/>
        <s v="Y8067"/>
        <s v="Y8092-BL-1"/>
        <s v="Y8006"/>
        <s v="Y8007"/>
        <s v="Y8025"/>
        <s v="Y8034-BL"/>
        <s v="Y8043-RE*1"/>
        <s v="Y8055"/>
        <s v="Y8055-SC"/>
        <s v="Y8069-PU"/>
        <s v="Y8082-NF"/>
        <s v="Y8052-SI"/>
        <s v="Y8098"/>
        <s v="Y8805-RE"/>
        <s v="Y8804"/>
        <m/>
      </sharedItems>
    </cacheField>
    <cacheField name="会话次数 – 总计" numFmtId="0">
      <sharedItems containsString="0" containsBlank="1" containsNumber="1" containsInteger="1" minValue="0" maxValue="1423" count="44">
        <n v="829"/>
        <n v="848"/>
        <n v="1423"/>
        <n v="857"/>
        <n v="596"/>
        <n v="1305"/>
        <n v="772"/>
        <n v="382"/>
        <n v="846"/>
        <n v="368"/>
        <n v="156"/>
        <n v="109"/>
        <n v="338"/>
        <n v="98"/>
        <n v="48"/>
        <n v="194"/>
        <n v="56"/>
        <n v="188"/>
        <n v="102"/>
        <n v="258"/>
        <n v="64"/>
        <n v="85"/>
        <n v="44"/>
        <n v="51"/>
        <n v="101"/>
        <n v="120"/>
        <n v="84"/>
        <n v="139"/>
        <n v="60"/>
        <n v="32"/>
        <n v="19"/>
        <n v="28"/>
        <n v="4"/>
        <n v="18"/>
        <n v="2"/>
        <n v="25"/>
        <n v="20"/>
        <n v="14"/>
        <n v="10"/>
        <n v="13"/>
        <n v="7"/>
        <n v="30"/>
        <n v="8"/>
        <m/>
      </sharedItems>
    </cacheField>
    <cacheField name="会话次数 – 总计 – B2B" numFmtId="0">
      <sharedItems containsString="0" containsBlank="1" containsNumber="1" containsInteger="1" minValue="0" maxValue="26" count="15">
        <n v="12"/>
        <n v="16"/>
        <n v="22"/>
        <n v="26"/>
        <n v="18"/>
        <n v="7"/>
        <n v="11"/>
        <n v="4"/>
        <n v="10"/>
        <n v="2"/>
        <n v="3"/>
        <n v="1"/>
        <n v="5"/>
        <n v="0"/>
        <m/>
      </sharedItems>
    </cacheField>
    <cacheField name="会话百分比 – 总计" numFmtId="0">
      <sharedItems containsString="0" containsBlank="1" containsNumber="1" minValue="0" maxValue="0.7895" count="44">
        <n v="0.0774"/>
        <n v="0.0792"/>
        <n v="0.1328"/>
        <n v="0.08"/>
        <n v="0.0556"/>
        <n v="0.1218"/>
        <n v="0.0721"/>
        <n v="0.0357"/>
        <n v="0.079"/>
        <n v="0.0344"/>
        <n v="0.0146"/>
        <n v="0.0102"/>
        <n v="0.0316"/>
        <n v="0.0091"/>
        <n v="0.0045"/>
        <n v="0.0181"/>
        <n v="0.0052"/>
        <n v="0.0175"/>
        <n v="0.0095"/>
        <n v="0.0241"/>
        <n v="0.006"/>
        <n v="0.0079"/>
        <n v="0.0041"/>
        <n v="0.0048"/>
        <n v="0.0094"/>
        <n v="0.0112"/>
        <n v="0.0078"/>
        <n v="0.013"/>
        <n v="0.0056"/>
        <n v="0.003"/>
        <n v="0.0018"/>
        <n v="0.0026"/>
        <n v="0.0004"/>
        <n v="0.0017"/>
        <n v="0.0002"/>
        <n v="0.0023"/>
        <n v="0.0019"/>
        <n v="0.0013"/>
        <n v="0.0009"/>
        <n v="0.0012"/>
        <n v="0.0007"/>
        <n v="0.7895"/>
        <n v="0.2105"/>
        <m/>
      </sharedItems>
    </cacheField>
    <cacheField name="会话百分比 – 总计 – B2B" numFmtId="0">
      <sharedItems containsString="0" containsBlank="1" containsNumber="1" minValue="0" maxValue="0.1287" count="15">
        <n v="0.0594"/>
        <n v="0.0792"/>
        <n v="0.1089"/>
        <n v="0.1287"/>
        <n v="0.0891"/>
        <n v="0.0347"/>
        <n v="0.0545"/>
        <n v="0.0198"/>
        <n v="0.0495"/>
        <n v="0.0099"/>
        <n v="0.0149"/>
        <n v="0.005"/>
        <n v="0.0248"/>
        <n v="0"/>
        <m/>
      </sharedItems>
    </cacheField>
    <cacheField name="页面浏览量 – 总计" numFmtId="0">
      <sharedItems containsString="0" containsBlank="1" containsNumber="1" containsInteger="1" minValue="0" maxValue="2146" count="41">
        <n v="1289"/>
        <n v="1260"/>
        <n v="2146"/>
        <n v="1167"/>
        <n v="798"/>
        <n v="1901"/>
        <n v="1214"/>
        <n v="511"/>
        <n v="1215"/>
        <n v="457"/>
        <n v="207"/>
        <n v="123"/>
        <n v="466"/>
        <n v="138"/>
        <n v="62"/>
        <n v="264"/>
        <n v="70"/>
        <n v="258"/>
        <n v="139"/>
        <n v="349"/>
        <n v="108"/>
        <n v="53"/>
        <n v="74"/>
        <n v="129"/>
        <n v="137"/>
        <n v="106"/>
        <n v="160"/>
        <n v="78"/>
        <n v="44"/>
        <n v="23"/>
        <n v="31"/>
        <n v="5"/>
        <n v="22"/>
        <n v="3"/>
        <n v="28"/>
        <n v="19"/>
        <n v="13"/>
        <n v="8"/>
        <n v="48"/>
        <n v="10"/>
        <m/>
      </sharedItems>
    </cacheField>
    <cacheField name="页面浏览量 – 总计 – B2B" numFmtId="0">
      <sharedItems containsString="0" containsBlank="1" containsNumber="1" containsInteger="1" minValue="0" maxValue="37" count="17">
        <n v="17"/>
        <n v="20"/>
        <n v="29"/>
        <n v="15"/>
        <n v="37"/>
        <n v="9"/>
        <n v="16"/>
        <n v="7"/>
        <n v="10"/>
        <n v="4"/>
        <n v="11"/>
        <n v="2"/>
        <n v="1"/>
        <n v="5"/>
        <n v="0"/>
        <n v="6"/>
        <m/>
      </sharedItems>
    </cacheField>
    <cacheField name="页面浏览量百分比 – 总计" numFmtId="0">
      <sharedItems containsString="0" containsBlank="1" containsNumber="1" minValue="0" maxValue="0.8276" count="40">
        <n v="0.0848"/>
        <n v="0.0829"/>
        <n v="0.1413"/>
        <n v="0.0768"/>
        <n v="0.0525"/>
        <n v="0.1251"/>
        <n v="0.0799"/>
        <n v="0.0336"/>
        <n v="0.08"/>
        <n v="0.0301"/>
        <n v="0.0136"/>
        <n v="0.0081"/>
        <n v="0.0307"/>
        <n v="0.0091"/>
        <n v="0.0041"/>
        <n v="0.0174"/>
        <n v="0.0046"/>
        <n v="0.017"/>
        <n v="0.023"/>
        <n v="0.0071"/>
        <n v="0.0035"/>
        <n v="0.0049"/>
        <n v="0.0085"/>
        <n v="0.009"/>
        <n v="0.007"/>
        <n v="0.0105"/>
        <n v="0.0051"/>
        <n v="0.0029"/>
        <n v="0.0015"/>
        <n v="0.002"/>
        <n v="0.0003"/>
        <n v="0.0014"/>
        <n v="0.0002"/>
        <n v="0.0018"/>
        <n v="0.0013"/>
        <n v="0.0009"/>
        <n v="0.0005"/>
        <n v="0.8276"/>
        <n v="0.1724"/>
        <m/>
      </sharedItems>
    </cacheField>
    <cacheField name="页面浏览量百分比 – 总计 – B2B" numFmtId="0">
      <sharedItems containsString="0" containsBlank="1" containsNumber="1" minValue="0" maxValue="0.1336" count="17">
        <n v="0.0614"/>
        <n v="0.0722"/>
        <n v="0.1047"/>
        <n v="0.0542"/>
        <n v="0.1336"/>
        <n v="0.0325"/>
        <n v="0.0578"/>
        <n v="0.0253"/>
        <n v="0.0361"/>
        <n v="0.0144"/>
        <n v="0.0397"/>
        <n v="0.0072"/>
        <n v="0.0036"/>
        <n v="0.0181"/>
        <n v="0"/>
        <n v="0.0217"/>
        <m/>
      </sharedItems>
    </cacheField>
    <cacheField name="推荐报价（购买按钮）百分比" numFmtId="0">
      <sharedItems containsString="0" containsBlank="1" containsNumber="1" minValue="0" maxValue="1" count="21">
        <n v="0.9915"/>
        <n v="0.996"/>
        <n v="0.9916"/>
        <n v="1"/>
        <n v="0.9948"/>
        <n v="0.9947"/>
        <n v="0.9951"/>
        <n v="0.9804"/>
        <n v="0.9868"/>
        <n v="0.9956"/>
        <n v="0.9952"/>
        <n v="0.9903"/>
        <n v="0.9848"/>
        <n v="0.9844"/>
        <n v="0.9769"/>
        <n v="0.9959"/>
        <n v="0.9914"/>
        <n v="0.8867"/>
        <n v="0.8929"/>
        <n v="0.9091"/>
        <m/>
      </sharedItems>
    </cacheField>
    <cacheField name="推荐报价（购买按钮）百分比 – B2B" numFmtId="0">
      <sharedItems containsString="0" containsBlank="1" containsNumber="1" minValue="0" maxValue="1" count="6">
        <n v="1"/>
        <n v="0.7778"/>
        <n v="0.8571"/>
        <n v="0"/>
        <n v="0.25"/>
        <m/>
      </sharedItems>
    </cacheField>
    <cacheField name="已订购商品数量" numFmtId="0">
      <sharedItems containsString="0" containsBlank="1" containsNumber="1" containsInteger="1" minValue="0" maxValue="101" count="21">
        <n v="101"/>
        <n v="92"/>
        <n v="89"/>
        <n v="72"/>
        <n v="76"/>
        <n v="65"/>
        <n v="64"/>
        <n v="26"/>
        <n v="20"/>
        <n v="17"/>
        <n v="13"/>
        <n v="12"/>
        <n v="10"/>
        <n v="9"/>
        <n v="7"/>
        <n v="5"/>
        <n v="4"/>
        <n v="2"/>
        <n v="1"/>
        <n v="3"/>
        <m/>
      </sharedItems>
    </cacheField>
  </cacheFields>
</pivotCacheDefinition>
</file>

<file path=xl/pivotCache/pivotCacheDefinition47.xml><?xml version="1.0" encoding="utf-8"?>
<pivotCacheDefinition xmlns="http://schemas.openxmlformats.org/spreadsheetml/2006/main" xmlns:r="http://schemas.openxmlformats.org/officeDocument/2006/relationships" r:id="rId1" createdVersion="5" refreshedVersion="5" minRefreshableVersion="3" refreshedDate="45219.6171412037" refreshedBy="Administrator" recordCount="53">
  <cacheSource type="worksheet">
    <worksheetSource ref="B1:O1048576" sheet="10.04-10.18" r:id="rId2"/>
  </cacheSource>
  <cacheFields count="14">
    <cacheField name="（子）ASIN" numFmtId="0">
      <sharedItems containsBlank="1" count="51">
        <s v="B0B2CPRDG4"/>
        <s v="B0B5WT8QV5"/>
        <s v="B0BP6VMQS3"/>
        <s v="B0BT9TK3RN"/>
        <s v="B0B5ST6VGH"/>
        <s v="B0BMVDYPYP"/>
        <s v="B0BTBDJK8Y"/>
        <s v="B0BW8Q2HW3"/>
        <s v="B0B38YLXHH"/>
        <s v="B0B5CKCWLP"/>
        <s v="B0B4NP7J23"/>
        <s v="B0BTBBQ8S7"/>
        <s v="B0C6F4TVQ2"/>
        <s v="B0C6F27TL6"/>
        <s v="B0B56CBTGR"/>
        <s v="B0CF87TLHY"/>
        <s v="B0B569T45Q"/>
        <s v="B0C2Z567KN"/>
        <s v="B0CD27MLYP"/>
        <s v="B0C23BT743"/>
        <s v="B0CD28MNTY"/>
        <s v="B0C4XZ4B7L"/>
        <s v="B0BW8Q4WRZ"/>
        <s v="B0B4NR7QGP"/>
        <s v="B0BYSKSMYD"/>
        <s v="B0BZVQWSF6"/>
        <s v="B09ZY6DBSP"/>
        <s v="B0BWXHGNJD"/>
        <s v="B09Z2T2LNF"/>
        <s v="B0B146G4QP"/>
        <s v="B0B1D7FZ15"/>
        <s v="B0BNMCC1BK"/>
        <s v="B0BW3VLGQG"/>
        <s v="B0BRKP3QD8"/>
        <s v="B0C1YK8LFT"/>
        <s v="B0C1YNWB4Y"/>
        <s v="B0C4LDPJVG"/>
        <s v="B0C4XY3Y7T"/>
        <s v="B0C4Y2FCW5"/>
        <s v="B0CC5FG1FN"/>
        <s v="B0B1DGJ2TQ"/>
        <s v="B0B5ZHCX9W"/>
        <s v="B0BQ658DFT"/>
        <s v="B0BR6M92HS"/>
        <s v="B0C1YH1CHW"/>
        <s v="B0CJJGL161"/>
        <s v="B0C6XJMCDF"/>
        <s v="B0C6TJ2Y93"/>
        <s v="B0C6T42NWB"/>
        <s v="B0C6TJRJSX"/>
        <m/>
      </sharedItems>
    </cacheField>
    <cacheField name="商品名称" numFmtId="0">
      <sharedItems containsBlank="1" count="51">
        <s v="AGGXPF Red Dot Scope Mount Single Picatinny Weaver Scope Mount for Red Dot Sight, Optics and Accessories, Full Size Scope Rail Riser Mount for Scopes"/>
        <s v="AGGXPF Anodized Aluminum Flared and Enhanced Base for 19/23/32/38-Gen 3/4(Black)"/>
        <s v="AGGXPF for 17 Gen 5 Base, Anodized Aluminum Flared and Enhanced Base for 17&amp;34 Generation 5 Only (Black)"/>
        <s v="Tourniquet Holder with Combat One-Handed Tourniquet, Tatical Pouch Included Rescue Medical Tourniquet for Emergency First Aid, 1 Pack Black Tourniquet Tatical Pouch Kit (1 Pack Black)"/>
        <s v="AGGXPF Anodized Aluminum Base for G17/17L/22/24/31/34/35/37- Gen 3/4 (Black)"/>
        <s v="AGGXPF for 19 Gen 5 Base, Anodized Aluminum Flared and Enhanced Base with Insert Plug for 19 Generation 5 Only (Black)"/>
        <s v="AGGXPF Tourniquet Holder with Combat One-Handed Tourniquet, Tatical Pouch Included Rescue Medical Tourniquet for Emergency First Aid, 2 Pack Black Tourniquet Tatical Pouch Kit (2 x Black)"/>
        <s v="AGGXPF Precision Machined Thread Protector 9mm 1/2 x 28 15mm Length (2 Pack)"/>
        <s v="AGGXPF Gun Belt Clip for Glock, Holster Clip Concealed Carry, Low Profile Slim Gun Clip Fits Gen 1-4 Models 17, 19, 22, 23, 24, 25, 26, 27, 28, 30S, 31, 32, 33, 34, 35, 36 and 41"/>
        <s v="AGGXPF Anodized Aluminum Flared and Enhanced Base for G19/23/32/38-Gen 3/4 (Red)"/>
        <s v="AGGXPF Fiber Optic Sights for Glock 17, 17L, 19, 22, 23, 24, 26, 27, 33, 34, 35, 38, 39 - Contrasting Red/Green Photoluminescent Outline for Outdoors, No Tritium (Red Green Dot Sights)"/>
        <s v="Tourniquet Holder with Combat One-Handed Tourniquet, Tatical Pouch Included Rescue Medical Tourniquet for Emergency First Aid, 2 Pack Black Tourniquet Tatical Pouch Kit (2 Pack Green)"/>
        <s v="Fiber Optic Green Sights for Pistol Taurus G2C, G2S, G3 w/o, PT111 G2, PT140 G2, 709, 740, TX22 No Tritium Accessories Sights Set"/>
        <s v="AGGXPF Fiber Optic Red Sights for Pistol Taurus G2C, G2S, G3 w/o PT111 G2, PT140 G2, 709, 740, TX22 No Tritium Accessories Sights Set (Red)"/>
        <s v="AGGXPF Bright red/Green Laser Bore Sight Kit for .17to12GA Caliber, Laser Boresighter Kit with 12 Multiple Caliber Adapters, Laser Bore Sighter for Hunting Zeroing Your Scopes Optics (Red Laser)"/>
        <s v="AGGXPF Fiber Optic Red/Green Sights for Pistol Taurus G2C, G2S, G3 w/o, PT111 G2, PT140 G2, 709, 740, TX22 NO TRITIUM with Assembly Tools (Green)"/>
        <s v="AGGXPF Bright red/Green Laser Bore Sight Kit for .17to12GA Caliber, Laser Boresighter Kit with 12 Multiple Caliber Adapters, Laser Bore Sighter for Hunting Zeroing Your Scopes Optics (Green Laser)"/>
        <s v="AGGXPF Mini Folding Flip Red Dot Sight Flip Up Reflex Sight for Glock MOS, Compact 3 MOA Red Dot Sight Compatible with Pistol Handgun RMR/Picatinny Rail"/>
        <s v="AGGXPF Fiber Optic Red/Green Sights for Pistol Taurus G2C, G2S, G3 w/o PT111 G2, PT140 G2, 709, 740, TX22 NO TRITIUM with Assembly Tools (RED+Green)"/>
        <s v="AGGXPF 2 PCS Aluminum Rear Cover Slide Back Plates Compatible with 17 19 21 22 23 24 26 27 29 30 31 32 33 34 35 36 37 38 39 40 41 Gen 5 ONLY (Black)"/>
        <s v="AGGXPF Fiber Optic Red/Green Sights for Pistol Taurus G2C, G2S, G3 w/o PT111 G2, PT140 G2, 709, 740, TX22 NO TRITIUM with Assembly Tools (Green+RED)"/>
        <s v="AGGXPF Tactical Rubber Grip Glove Sleeve,Slip-on Grip Compatible with Glock 17 19 19x 20 21 22 23 25 31 32 34 35 37 38, P1 M92 1911 (Black*2)"/>
        <s v="AGGXPF 2 PCS Aluminum Rear Cover Slide Back Plates Compatible with 17 19 21 22 23 24 26 27 29 30 31 32 33 34 35 36 37 38 39 40 41 Models Gen 1-4 (Flag)"/>
        <s v="AGGXPF Fiber Optic Sights for Glock 17, 17L, 19, 22, 23, 24, 26, 27, 33, 34, 35, 38, 39 - Contrasting Red/Green Photoluminescent Outline for Outdoors, No Tritium (Green Dot Sights)"/>
        <s v="AGGXPF Medical Tourniquet with Windlass, Tactical Military Combat Tourniquet Rescue Rapid Hemostatic Control Equipment, Single-Handed First Aid Equipment for Emergency- 2 Pack, Black"/>
        <s v="AGGXPF 3 Pcs Rubber Grip Glove Sleeve,Slip-on Grip Compatible with Glock 17 19 19x 20 21 22 23 25 31 32 34 35 37 38 41 43x 44 45 48"/>
        <s v="AGGXPF 45 Degree Offset Iron Sights Flip Up Sights with Red and Green Dots, Front and Backup Rear Sight BUIS Set for Picatinny Weaver Rails"/>
        <s v="AGGXPF Rear Iron Sights with Two Aperture Sight for Close and Precision Targets, Fixed Backup Sight Compatible with Picatinny Rail"/>
        <s v="AGGXPF Night Sight, Green/Blue Photoluminescent Outline Handgun Night Sights Glow in The Dark for Pistol, No Tritium (Green)"/>
        <s v="AGGXPF Flip Up Iron Sights Fiber Optic Front and Rear Sites with Red and Green Dot Picatinny Backup Sight Set Includes Dual Front Sight Adjustment Tool"/>
        <s v="AGGXPF Fiber Optic Red/Green Sights for Pistol Taurus G2C, G2S, G3 w/o,PT111 G2, PT140 G2, 709, 740, TX22 NO TRITIUM with Assembly Tools (2)"/>
        <s v="AGGXPF Flip Up Iron Sights Set Backup Front and Rear Sights Fit for Picatinny or Weaver Rail, Metal Rapid Transition Battle Sights (Black)"/>
        <s v="AGGXPF Flip Up Sight MBU-S 2nd Generation Front and Rear Backup Sights Fit for Picatinny Weaver Rails (Sand)"/>
        <s v="AGGXPF Flip Up Sight MBU-S 2nd Generation Front and Rear Backup Sights Fit for Picatinny Weaver Rails (Black)"/>
        <s v="AGGXPF 2 PCS Aluminum Rear Cover Slide Back Plates Compatible with 17 19 21 22 23 24 26 27 29 30 31 32 33 34 35 36 37 38 39 40 41 Models Gen 1-4 (Skull Pattern)"/>
        <s v="AGGXPF 2 PCS Aluminum Rear Cover Slide Back Plates Compatible with 17 19 21 22 23 24 26 27 29 30 31 32 33 34 35 36 37 38 39 40 41 Gen 5 ONLY (Flag)"/>
        <s v="AGGXPF Red Dot Scope Mount Picatinny Weaver Rail Scope Mount for 20mm Scope Optics with Quick Adjustable Lever, for Red Dot Sight, Optics and Accessories Comes with Wrench"/>
        <s v="AGGXPF Universal Tactical Pistol Grip Sleeve,Rubber Handall Full Size Handgun Grip Glove for Glock 17,18,19 (Black*1)"/>
        <s v="AGGXPF Tactical Rubber Grip Glove Sleeve,Slip-on Grip Compatible with Glock 17 19 19x 20 21 22 23 25 31 32 34 35 37 38, P1 M92 1911 (Black*3)"/>
        <s v="AGGXPF Fixed Iron Sights Set, Durable Backup Sight, Front and Rear Sight Set for Picatinny Weaver Rails (Sliver)"/>
        <s v="AGGXPF Upgraded Super Bright Night Sight, Photoluminescent Outline Handgun Night Sight Glow in The Dark for Glock Pistols, NO TRITIUM"/>
        <s v="AGGXPF Military Metal Key Ring Holder with Detachable Key Ring for Duty Belt, Tactical Key Holder or Secure Belt Clip Key Holder with Stainless Steel EDC For Outdoor (2)"/>
        <s v="AGGXPF Bright Red/Green Laser Bore Sight Kit for .17to12GA Caliber, Laser Boresighter Kit with 12 Multiple Caliber Adapters, Button Switch for Zeroing Scopes, Optics &amp; Iron Sight (Green Laser)"/>
        <s v="AGGXPF for Red &amp; Green Dot Sight with 4 Reticle Optics, 5 Brightness Levels, Reflex Sight Optics with Integrated Red Laser Sight, Pressure Pad Switch for 20mm Rail (Red Laser)"/>
        <s v="AGGXPF 2 PCS Aluminum Rear Cover Slide Back Plates Compatible with 17 19 21 22 23 24 26 27 29 30 31 32 33 34 35 36 37 38 39 40 41 Models Gen 1-4 (Black)"/>
        <s v="AGGXPF Rear Sight Pusher Tool Compatible with Glock 19 43, 1911, Shield, Sig P365 and Others, Universal Sight Bead Disassembly Tool for Handgun Pistol Sight Removal Tool"/>
        <s v="AGGXPF Fiber Optic Sights for Glock 17, 17L, 19, 22, 23, 24, 26, 27, 33, 34, 35, 38, 39 - Contrasting Red/Green Photoluminescent Outline for Outdoors, No Tritium (Red Dot Sights)"/>
        <s v="AGGXPF for Gun Belt Clip for Glock, Holster Clip Concealed Carry, Low Profile Slim Gun Clip Fits for Gen 1-4 Models 17, 19, 22, 23, 24, 25, 26, 27, 28, 30S, 31, 32, 33, 34, 35, 36 and 41"/>
        <s v="AGGXPF Rubber Grip Glove Sleeve, Slip-on Grip Compatible with 17 18 19X 20 21 22 24, Gen 1/2/5 (Tan)"/>
        <s v="AGGXPF 45 Degree Offset Sights Fiber Optic Iron Flip Up Sights with Red and Green Dots, Front and Rear Backup Sight Set for Picatinny &amp; Weaver Rails"/>
        <m/>
      </sharedItems>
    </cacheField>
    <cacheField name="SKU" numFmtId="0">
      <sharedItems containsBlank="1" count="51">
        <s v="Y8010"/>
        <s v="Y8009-BA-1"/>
        <s v="Y8041-BL"/>
        <s v="Y8056-BL"/>
        <s v="Y8020-BL-1"/>
        <s v="Y8033-BL"/>
        <s v="Y8057-BL"/>
        <s v="Y8068-1"/>
        <s v="Y8012"/>
        <s v="Y8009-RD"/>
        <s v="Y8015-RE"/>
        <s v="Y8057-GR"/>
        <s v="Y8095-GR"/>
        <s v="Y8095-RE"/>
        <s v="Y8016-RE"/>
        <s v="Y8095-GR-1"/>
        <s v="Y8016-GR"/>
        <s v="Y8086"/>
        <s v="Y8097-RE"/>
        <s v="Y8082-BL"/>
        <s v="Y8097-GN"/>
        <s v="Y8090-2"/>
        <s v="Y8069-1"/>
        <s v="Y8015-GR"/>
        <s v="Y8074*2"/>
        <s v="Y8080"/>
        <s v="Y8005"/>
        <s v="Y8067"/>
        <s v="Y8002-GR"/>
        <s v="Y8006"/>
        <s v="Y8004"/>
        <s v="Y8034-BL"/>
        <s v="Y8055-SC"/>
        <s v="Y8055"/>
        <s v="Y8069-PU"/>
        <s v="Y8082-NF"/>
        <s v="Y8093-1"/>
        <s v="Y8092-BL-1"/>
        <s v="Y8090-3"/>
        <s v="Y8052-SI"/>
        <s v="Y8007"/>
        <s v="Y8025"/>
        <s v="Y8042-GR"/>
        <s v="Y8043-RE*1"/>
        <s v="Y8069-BL"/>
        <s v="Y8098"/>
        <s v="Y8805-RE"/>
        <s v="Y8804"/>
        <s v="Y8816-SC"/>
        <s v="Y8801"/>
        <m/>
      </sharedItems>
    </cacheField>
    <cacheField name="会话次数 – 总计" numFmtId="0">
      <sharedItems containsString="0" containsBlank="1" containsNumber="1" containsInteger="1" minValue="0" maxValue="3095" count="51">
        <n v="1621"/>
        <n v="3095"/>
        <n v="1689"/>
        <n v="1538"/>
        <n v="2630"/>
        <n v="1514"/>
        <n v="1026"/>
        <n v="403"/>
        <n v="762"/>
        <n v="1669"/>
        <n v="791"/>
        <n v="171"/>
        <n v="366"/>
        <n v="418"/>
        <n v="319"/>
        <n v="102"/>
        <n v="315"/>
        <n v="170"/>
        <n v="527"/>
        <n v="128"/>
        <n v="87"/>
        <n v="74"/>
        <n v="217"/>
        <n v="99"/>
        <n v="350"/>
        <n v="204"/>
        <n v="194"/>
        <n v="94"/>
        <n v="142"/>
        <n v="169"/>
        <n v="25"/>
        <n v="11"/>
        <n v="27"/>
        <n v="43"/>
        <n v="44"/>
        <n v="26"/>
        <n v="21"/>
        <n v="118"/>
        <n v="90"/>
        <n v="53"/>
        <n v="200"/>
        <n v="20"/>
        <n v="30"/>
        <n v="9"/>
        <n v="15"/>
        <n v="3"/>
        <n v="17"/>
        <n v="7"/>
        <n v="60"/>
        <n v="19"/>
        <m/>
      </sharedItems>
    </cacheField>
    <cacheField name="会话次数 – 总计 – B2B" numFmtId="0">
      <sharedItems containsString="0" containsBlank="1" containsNumber="1" containsInteger="1" minValue="0" maxValue="48" count="21">
        <n v="21"/>
        <n v="48"/>
        <n v="33"/>
        <n v="17"/>
        <n v="47"/>
        <n v="31"/>
        <n v="22"/>
        <n v="15"/>
        <n v="13"/>
        <n v="19"/>
        <n v="6"/>
        <n v="3"/>
        <n v="8"/>
        <n v="5"/>
        <n v="4"/>
        <n v="1"/>
        <n v="10"/>
        <n v="2"/>
        <n v="7"/>
        <n v="0"/>
        <m/>
      </sharedItems>
    </cacheField>
    <cacheField name="会话百分比 – 总计" numFmtId="0">
      <sharedItems containsString="0" containsBlank="1" containsNumber="1" minValue="0" maxValue="0.4255" count="48">
        <n v="0.0749"/>
        <n v="0.143"/>
        <n v="0.078"/>
        <n v="0.0711"/>
        <n v="0.1215"/>
        <n v="0.07"/>
        <n v="0.0474"/>
        <n v="0.0186"/>
        <n v="0.0352"/>
        <n v="0.0771"/>
        <n v="0.0365"/>
        <n v="0.0079"/>
        <n v="0.0169"/>
        <n v="0.0193"/>
        <n v="0.0147"/>
        <n v="0.0047"/>
        <n v="0.0146"/>
        <n v="0.0243"/>
        <n v="0.0059"/>
        <n v="0.004"/>
        <n v="0.0034"/>
        <n v="0.01"/>
        <n v="0.0046"/>
        <n v="0.0162"/>
        <n v="0.0094"/>
        <n v="0.009"/>
        <n v="0.0043"/>
        <n v="0.0066"/>
        <n v="0.0078"/>
        <n v="0.0012"/>
        <n v="0.0005"/>
        <n v="0.002"/>
        <n v="0.001"/>
        <n v="0.0055"/>
        <n v="0.0042"/>
        <n v="0.0024"/>
        <n v="0.0092"/>
        <n v="0.0009"/>
        <n v="0.0014"/>
        <n v="0.0004"/>
        <n v="0.0007"/>
        <n v="0.0001"/>
        <n v="0.0008"/>
        <n v="0.0003"/>
        <n v="0.4255"/>
        <n v="0.1348"/>
        <n v="0.305"/>
        <m/>
      </sharedItems>
    </cacheField>
    <cacheField name="会话百分比 – 总计 – B2B" numFmtId="0">
      <sharedItems containsString="0" containsBlank="1" containsNumber="1" minValue="0" maxValue="0.128" count="21">
        <n v="0.056"/>
        <n v="0.128"/>
        <n v="0.088"/>
        <n v="0.0453"/>
        <n v="0.1253"/>
        <n v="0.0827"/>
        <n v="0.0587"/>
        <n v="0.04"/>
        <n v="0.0347"/>
        <n v="0.0507"/>
        <n v="0.016"/>
        <n v="0.008"/>
        <n v="0.0213"/>
        <n v="0.0133"/>
        <n v="0.0107"/>
        <n v="0.0027"/>
        <n v="0.0267"/>
        <n v="0.0053"/>
        <n v="0.0187"/>
        <n v="0"/>
        <m/>
      </sharedItems>
    </cacheField>
    <cacheField name="页面浏览量 – 总计" numFmtId="0">
      <sharedItems containsString="0" containsBlank="1" containsNumber="1" containsInteger="1" minValue="0" maxValue="4627" count="52">
        <n v="2534"/>
        <n v="4627"/>
        <n v="2570"/>
        <n v="2087"/>
        <n v="3923"/>
        <n v="2365"/>
        <n v="1367"/>
        <n v="578"/>
        <n v="1027"/>
        <n v="2371"/>
        <n v="1082"/>
        <n v="194"/>
        <n v="474"/>
        <n v="537"/>
        <n v="432"/>
        <n v="146"/>
        <n v="439"/>
        <n v="228"/>
        <n v="736"/>
        <n v="159"/>
        <n v="125"/>
        <n v="92"/>
        <n v="300"/>
        <n v="121"/>
        <n v="443"/>
        <n v="234"/>
        <n v="249"/>
        <n v="124"/>
        <n v="175"/>
        <n v="213"/>
        <n v="40"/>
        <n v="18"/>
        <n v="33"/>
        <n v="56"/>
        <n v="49"/>
        <n v="38"/>
        <n v="24"/>
        <n v="155"/>
        <n v="60"/>
        <n v="279"/>
        <n v="28"/>
        <n v="34"/>
        <n v="11"/>
        <n v="22"/>
        <n v="5"/>
        <n v="19"/>
        <n v="8"/>
        <n v="90"/>
        <n v="23"/>
        <n v="113"/>
        <n v="25"/>
        <m/>
      </sharedItems>
    </cacheField>
    <cacheField name="页面浏览量 – 总计 – B2B" numFmtId="0">
      <sharedItems containsString="0" containsBlank="1" containsNumber="1" containsInteger="1" minValue="0" maxValue="65" count="23">
        <n v="31"/>
        <n v="65"/>
        <n v="48"/>
        <n v="25"/>
        <n v="64"/>
        <n v="53"/>
        <n v="29"/>
        <n v="20"/>
        <n v="23"/>
        <n v="30"/>
        <n v="22"/>
        <n v="6"/>
        <n v="3"/>
        <n v="9"/>
        <n v="5"/>
        <n v="1"/>
        <n v="4"/>
        <n v="15"/>
        <n v="2"/>
        <n v="7"/>
        <n v="19"/>
        <n v="0"/>
        <m/>
      </sharedItems>
    </cacheField>
    <cacheField name="页面浏览量百分比 – 总计" numFmtId="0">
      <sharedItems containsString="0" containsBlank="1" containsNumber="1" minValue="0" maxValue="0.4502" count="49">
        <n v="0.0819"/>
        <n v="0.1495"/>
        <n v="0.083"/>
        <n v="0.0674"/>
        <n v="0.1267"/>
        <n v="0.0764"/>
        <n v="0.0442"/>
        <n v="0.0187"/>
        <n v="0.0332"/>
        <n v="0.0766"/>
        <n v="0.035"/>
        <n v="0.0063"/>
        <n v="0.0153"/>
        <n v="0.0173"/>
        <n v="0.014"/>
        <n v="0.0047"/>
        <n v="0.0142"/>
        <n v="0.0074"/>
        <n v="0.0238"/>
        <n v="0.0051"/>
        <n v="0.004"/>
        <n v="0.003"/>
        <n v="0.0097"/>
        <n v="0.0039"/>
        <n v="0.0143"/>
        <n v="0.0076"/>
        <n v="0.008"/>
        <n v="0.0057"/>
        <n v="0.0069"/>
        <n v="0.0013"/>
        <n v="0.0006"/>
        <n v="0.0011"/>
        <n v="0.0018"/>
        <n v="0.0016"/>
        <n v="0.0012"/>
        <n v="0.0008"/>
        <n v="0.005"/>
        <n v="0.0019"/>
        <n v="0.009"/>
        <n v="0.0009"/>
        <n v="0.0004"/>
        <n v="0.0007"/>
        <n v="0.0002"/>
        <n v="0.0003"/>
        <n v="0.3586"/>
        <n v="0.0916"/>
        <n v="0.4502"/>
        <n v="0.0996"/>
        <m/>
      </sharedItems>
    </cacheField>
    <cacheField name="页面浏览量百分比 – 总计 – B2B" numFmtId="0">
      <sharedItems containsString="0" containsBlank="1" containsNumber="1" minValue="0" maxValue="0.1226" count="23">
        <n v="0.0585"/>
        <n v="0.1226"/>
        <n v="0.0906"/>
        <n v="0.0472"/>
        <n v="0.1208"/>
        <n v="0.1"/>
        <n v="0.0547"/>
        <n v="0.0377"/>
        <n v="0.0434"/>
        <n v="0.0566"/>
        <n v="0.0415"/>
        <n v="0.0113"/>
        <n v="0.0057"/>
        <n v="0.017"/>
        <n v="0.0094"/>
        <n v="0.0019"/>
        <n v="0.0075"/>
        <n v="0.0283"/>
        <n v="0.0038"/>
        <n v="0.0132"/>
        <n v="0.0358"/>
        <n v="0"/>
        <m/>
      </sharedItems>
    </cacheField>
    <cacheField name="推荐报价（购买按钮）百分比" numFmtId="0">
      <sharedItems containsString="0" containsBlank="1" containsNumber="1" minValue="0" maxValue="1" count="34">
        <n v="0.9925"/>
        <n v="0.9916"/>
        <n v="0.9926"/>
        <n v="0.9995"/>
        <n v="0.9946"/>
        <n v="0.9949"/>
        <n v="0.9962"/>
        <n v="0.9983"/>
        <n v="0.9864"/>
        <n v="0.9899"/>
        <n v="0.9851"/>
        <n v="0.988"/>
        <n v="0.9958"/>
        <n v="0.9944"/>
        <n v="0.9788"/>
        <n v="1"/>
        <n v="0.9952"/>
        <n v="0.9807"/>
        <n v="0.9905"/>
        <n v="0.9932"/>
        <n v="0.9917"/>
        <n v="0.8565"/>
        <n v="0.9286"/>
        <n v="0.9773"/>
        <n v="0.8158"/>
        <n v="0.9545"/>
        <n v="0.9935"/>
        <n v="0.9606"/>
        <n v="0.9643"/>
        <n v="0.9412"/>
        <n v="0.8333"/>
        <n v="0.9889"/>
        <n v="0.9735"/>
        <m/>
      </sharedItems>
    </cacheField>
    <cacheField name="推荐报价（购买按钮）百分比 – B2B" numFmtId="0">
      <sharedItems containsString="0" containsBlank="1" containsNumber="1" minValue="0" maxValue="1" count="7">
        <n v="1"/>
        <n v="0.913"/>
        <n v="0.8889"/>
        <n v="0"/>
        <n v="0.5"/>
        <n v="0.25"/>
        <m/>
      </sharedItems>
    </cacheField>
    <cacheField name="已订购商品数量" numFmtId="0">
      <sharedItems containsString="0" containsBlank="1" containsNumber="1" containsInteger="1" minValue="0" maxValue="187" count="27">
        <n v="185"/>
        <n v="187"/>
        <n v="184"/>
        <n v="152"/>
        <n v="151"/>
        <n v="118"/>
        <n v="123"/>
        <n v="62"/>
        <n v="61"/>
        <n v="45"/>
        <n v="43"/>
        <n v="20"/>
        <n v="19"/>
        <n v="21"/>
        <n v="17"/>
        <n v="16"/>
        <n v="15"/>
        <n v="13"/>
        <n v="11"/>
        <n v="10"/>
        <n v="8"/>
        <n v="5"/>
        <n v="3"/>
        <n v="2"/>
        <n v="1"/>
        <n v="7"/>
        <m/>
      </sharedItems>
    </cacheField>
  </cacheFields>
</pivotCacheDefinition>
</file>

<file path=xl/pivotCache/pivotCacheDefinition48.xml><?xml version="1.0" encoding="utf-8"?>
<pivotCacheDefinition xmlns="http://schemas.openxmlformats.org/spreadsheetml/2006/main" xmlns:r="http://schemas.openxmlformats.org/officeDocument/2006/relationships" r:id="rId1" createdVersion="5" refreshedVersion="5" minRefreshableVersion="3" refreshedDate="45219.6171990741" refreshedBy="Administrator" recordCount="62">
  <cacheSource type="worksheet">
    <worksheetSource ref="B1:O1048576" sheet="9.19-10.18" r:id="rId2"/>
  </cacheSource>
  <cacheFields count="14">
    <cacheField name="（子）ASIN" numFmtId="0">
      <sharedItems containsBlank="1" count="59">
        <s v="B0B5WT8QV5"/>
        <s v="B0B2CPRDG4"/>
        <s v="B0BP6VMQS3"/>
        <s v="B0B5ST6VGH"/>
        <s v="B0BT9TK3RN"/>
        <s v="B0BTBDJK8Y"/>
        <s v="B0BMVDYPYP"/>
        <s v="B0BW8Q2HW3"/>
        <s v="B0B38YLXHH"/>
        <s v="B0B5CKCWLP"/>
        <s v="B0B4NP7J23"/>
        <s v="B0C6F4TVQ2"/>
        <s v="B0C2Z567KN"/>
        <s v="B0B4NR7QGP"/>
        <s v="B0BTBBQ8S7"/>
        <s v="B0CF87TLHY"/>
        <s v="B0B56CBTGR"/>
        <s v="B0B569T45Q"/>
        <s v="B0CD28MNTY"/>
        <s v="B0BYSKSMYD"/>
        <s v="B0C6F27TL6"/>
        <s v="B0C4XZ4B7L"/>
        <s v="B0C23BT743"/>
        <s v="B0CD27MLYP"/>
        <s v="B0BW8Q4WRZ"/>
        <s v="B0BWXHGNJD"/>
        <s v="B0BZVQWSF6"/>
        <s v="B0B1D7FZ15"/>
        <s v="B0CC5FG1FN"/>
        <s v="B0B146G4QP"/>
        <s v="B09Z2T2LNF"/>
        <s v="B0B1DGJ2TQ"/>
        <s v="B0C1YNWB4Y"/>
        <s v="B0C4XY3Y7T"/>
        <s v="B09ZY6DBSP"/>
        <s v="B0C4LDPJVG"/>
        <s v="B0C4Y2FCW5"/>
        <s v="B0B5ZJC269"/>
        <s v="B0BNMCC1BK"/>
        <s v="B0BW3VLGQG"/>
        <s v="B0C1YK8LFT"/>
        <s v="B0BRKP3QD8"/>
        <s v="B0C1YH1CHW"/>
        <s v="B0B5ZHCX9W"/>
        <s v="B0B6R832BS"/>
        <s v="B0BQ658DFT"/>
        <s v="B0BR6M92HS"/>
        <s v="B0BTHLMFQS"/>
        <s v="B0C2VCS231"/>
        <s v="B0C4Y46WGX"/>
        <s v="B0CGJ5JNJ5"/>
        <s v="B0CHVJ1QL6"/>
        <s v="B0CJJGL161"/>
        <s v="B0C6XJMCDF"/>
        <s v="B0C6TJ2Y93"/>
        <s v="B0C6T6LBF7"/>
        <s v="B0C6TJRJSX"/>
        <s v="B0C6T42NWB"/>
        <m/>
      </sharedItems>
    </cacheField>
    <cacheField name="商品名称" numFmtId="0">
      <sharedItems containsBlank="1" count="59">
        <s v="AGGXPF Anodized Aluminum Flared and Enhanced Base for 19/23/32/38-Gen 3/4(Black)"/>
        <s v="AGGXPF Red Dot Scope Mount Single Picatinny Weaver Scope Mount for Red Dot Sight, Optics and Accessories, Full Size Scope Rail Riser Mount for Scopes"/>
        <s v="AGGXPF for 17 Gen 5 Base, Anodized Aluminum Flared and Enhanced Base for 17&amp;34 Generation 5 Only (Black)"/>
        <s v="AGGXPF Anodized Aluminum Base for G17/17L/22/24/31/34/35/37- Gen 3/4 (Black)"/>
        <s v="Tourniquet Holder with Combat One-Handed Tourniquet, Tatical Pouch Included Rescue Medical Tourniquet for Emergency First Aid, 1 Pack Black Tourniquet Tatical Pouch Kit (1 Pack Black)"/>
        <s v="AGGXPF Tourniquet Holder with Combat One-Handed Tourniquet, Tatical Pouch Included Rescue Medical Tourniquet for Emergency First Aid, 2 Pack Black Tourniquet Tatical Pouch Kit (2 x Black)"/>
        <s v="AGGXPF for 19 Gen 5 Base, Anodized Aluminum Flared and Enhanced Base with Insert Plug for 19 Generation 5 Only (Black)"/>
        <s v="AGGXPF Precision Machined Thread Protector 9mm 1/2 x 28 15mm Length (2 Pack)"/>
        <s v="AGGXPF Gun Belt Clip for Glock, Holster Clip Concealed Carry, Low Profile Slim Gun Clip Fits Gen 1-4 Models 17, 19, 22, 23, 24, 25, 26, 27, 28, 30S, 31, 32, 33, 34, 35, 36 and 41"/>
        <s v="AGGXPF Anodized Aluminum Flared and Enhanced Base for G19/23/32/38-Gen 3/4 (Red)"/>
        <s v="AGGXPF Fiber Optic Sights for Glock 17, 17L, 19, 22, 23, 24, 26, 27, 33, 34, 35, 38, 39 - Contrasting Red/Green Photoluminescent Outline for Outdoors, No Tritium (Red Green Dot Sights)"/>
        <s v="Fiber Optic Green Sights for Pistol Taurus G2C, G2S, G3 w/o, PT111 G2, PT140 G2, 709, 740, TX22 No Tritium Accessories Sights Set"/>
        <s v="AGGXPF Mini Folding Flip Red Dot Sight Flip Up Reflex Sight for Glock MOS, Compact 3 MOA Red Dot Sight Compatible with Pistol Handgun RMR/Picatinny Rail"/>
        <s v="AGGXPF Fiber Optic Sights for Glock 17, 17L, 19, 22, 23, 24, 26, 27, 33, 34, 35, 38, 39 - Contrasting Red/Green Photoluminescent Outline for Outdoors, No Tritium (Green Dot Sights)"/>
        <s v="Tourniquet Holder with Combat One-Handed Tourniquet, Tatical Pouch Included Rescue Medical Tourniquet for Emergency First Aid, 2 Pack Black Tourniquet Tatical Pouch Kit (2 Pack Green)"/>
        <s v="AGGXPF Fiber Optic Red/Green Sights for Pistol Taurus G2C, G2S, G3 w/o, PT111 G2, PT140 G2, 709, 740, TX22 NO TRITIUM with Assembly Tools (Green)"/>
        <s v="AGGXPF Bright red/Green Laser Bore Sight Kit for .17to12GA Caliber, Laser Boresighter Kit with 12 Multiple Caliber Adapters, Laser Bore Sighter for Hunting Zeroing Your Scopes Optics (Red Laser)"/>
        <s v="AGGXPF Bright red/Green Laser Bore Sight Kit for .17to12GA Caliber, Laser Boresighter Kit with 12 Multiple Caliber Adapters, Laser Bore Sighter for Hunting Zeroing Your Scopes Optics (Green Laser)"/>
        <s v="AGGXPF Fiber Optic Red/Green Sights for Pistol Taurus G2C, G2S, G3 w/o PT111 G2, PT140 G2, 709, 740, TX22 NO TRITIUM with Assembly Tools (Green+RED)"/>
        <s v="AGGXPF Medical Tourniquet with Windlass, Tactical Military Combat Tourniquet Rescue Rapid Hemostatic Control Equipment, Single-Handed First Aid Equipment for Emergency- 2 Pack, Black"/>
        <s v="AGGXPF Fiber Optic Red Sights for Pistol Taurus G2C, G2S, G3 w/o PT111 G2, PT140 G2, 709, 740, TX22 No Tritium Accessories Sights Set (Red)"/>
        <s v="AGGXPF Tactical Rubber Grip Glove Sleeve,Slip-on Grip Compatible with Glock 17 19 19x 20 21 22 23 25 31 32 34 35 37 38, P1 M92 1911 (Black*2)"/>
        <s v="AGGXPF 2 PCS Aluminum Rear Cover Slide Back Plates Compatible with 17 19 21 22 23 24 26 27 29 30 31 32 33 34 35 36 37 38 39 40 41 Gen 5 ONLY (Black)"/>
        <s v="AGGXPF Fiber Optic Red/Green Sights for Pistol Taurus G2C, G2S, G3 w/o PT111 G2, PT140 G2, 709, 740, TX22 NO TRITIUM with Assembly Tools (RED+Green)"/>
        <s v="AGGXPF 2 PCS Aluminum Rear Cover Slide Back Plates Compatible with 17 19 21 22 23 24 26 27 29 30 31 32 33 34 35 36 37 38 39 40 41 Models Gen 1-4 (Flag)"/>
        <s v="AGGXPF Rear Iron Sights with Two Aperture Sight for Close and Precision Targets, Fixed Backup Sight Compatible with Picatinny Rail"/>
        <s v="AGGXPF 3 Pcs Rubber Grip Glove Sleeve,Slip-on Grip Compatible with Glock 17 19 19x 20 21 22 23 25 31 32 34 35 37 38 41 43x 44 45 48"/>
        <s v="AGGXPF Fiber Optic Red/Green Sights for Pistol Taurus G2C, G2S, G3 w/o,PT111 G2, PT140 G2, 709, 740, TX22 NO TRITIUM with Assembly Tools (2)"/>
        <s v="AGGXPF Fixed Iron Sights Set, Durable Backup Sight, Front and Rear Sight Set for Picatinny Weaver Rails (Sliver)"/>
        <s v="AGGXPF Flip Up Iron Sights Fiber Optic Front and Rear Sites with Red and Green Dot Picatinny Backup Sight Set Includes Dual Front Sight Adjustment Tool"/>
        <s v="AGGXPF Night Sight, Green/Blue Photoluminescent Outline Handgun Night Sights Glow in The Dark for Pistol, No Tritium (Green)"/>
        <s v="AGGXPF Upgraded Super Bright Night Sight, Photoluminescent Outline Handgun Night Sight Glow in The Dark for Glock Pistols, NO TRITIUM"/>
        <s v="AGGXPF 2 PCS Aluminum Rear Cover Slide Back Plates Compatible with 17 19 21 22 23 24 26 27 29 30 31 32 33 34 35 36 37 38 39 40 41 Gen 5 ONLY (Flag)"/>
        <s v="AGGXPF Universal Tactical Pistol Grip Sleeve,Rubber Handall Full Size Handgun Grip Glove for Glock 17,18,19 (Black*1)"/>
        <s v="AGGXPF 45 Degree Offset Iron Sights Flip Up Sights with Red and Green Dots, Front and Backup Rear Sight BUIS Set for Picatinny Weaver Rails"/>
        <s v="AGGXPF Red Dot Scope Mount Picatinny Weaver Rail Scope Mount for 20mm Scope Optics with Quick Adjustable Lever, for Red Dot Sight, Optics and Accessories Comes with Wrench"/>
        <s v="AGGXPF Tactical Rubber Grip Glove Sleeve,Slip-on Grip Compatible with Glock 17 19 19x 20 21 22 23 25 31 32 34 35 37 38, P1 M92 1911 (Black*3)"/>
        <s v="AGGXPF Military Metal Key Ring Holder with Detachable Key Ring for Duty Belt, Tactical Key Holder or Secure Belt Clip Key Holder with Stainless Steel EDC For Outdoor (1)"/>
        <s v="AGGXPF Flip Up Iron Sights Set Backup Front and Rear Sights Fit for Picatinny or Weaver Rail, Metal Rapid Transition Battle Sights (Black)"/>
        <s v="AGGXPF Flip Up Sight MBU-S 2nd Generation Front and Rear Backup Sights Fit for Picatinny Weaver Rails (Sand)"/>
        <s v="AGGXPF 2 PCS Aluminum Rear Cover Slide Back Plates Compatible with 17 19 21 22 23 24 26 27 29 30 31 32 33 34 35 36 37 38 39 40 41 Models Gen 1-4 (Skull Pattern)"/>
        <s v="AGGXPF Flip Up Sight MBU-S 2nd Generation Front and Rear Backup Sights Fit for Picatinny Weaver Rails (Black)"/>
        <s v="AGGXPF 2 PCS Aluminum Rear Cover Slide Back Plates Compatible with 17 19 21 22 23 24 26 27 29 30 31 32 33 34 35 36 37 38 39 40 41 Models Gen 1-4 (Black)"/>
        <s v="AGGXPF Military Metal Key Ring Holder with Detachable Key Ring for Duty Belt, Tactical Key Holder or Secure Belt Clip Key Holder with Stainless Steel EDC For Outdoor (2)"/>
        <s v="AGGXPF Duty Belt Keeper with Double Snaps, 2.25” Tactical Duty Belt Police Military Equipment Accessories For Outdoor Sports (Black-10 Set)"/>
        <s v="AGGXPF Bright Red/Green Laser Bore Sight Kit for .17to12GA Caliber, Laser Boresighter Kit with 12 Multiple Caliber Adapters, Button Switch for Zeroing Scopes, Optics &amp; Iron Sight (Green Laser)"/>
        <s v="AGGXPF for Red &amp; Green Dot Sight with 4 Reticle Optics, 5 Brightness Levels, Reflex Sight Optics with Integrated Red Laser Sight, Pressure Pad Switch for 20mm Rail (Red Laser)"/>
        <s v="AGGXPF Fiber Optic Sights for Glock 17, 17L, 19, 22, 23, 24, 26, 27, 33, 34, 35, 38 and 39 Pistols with Extra Two Fiber Optic Sight Replacement Rods (Red Front + Red Rear)"/>
        <s v="AGGXPF 2 PCS Aluminum Rear Cover Slide Back Plates Compatible with Sig Sauer P365 P365X P365XL"/>
        <s v="AGGXPF Universal Tactical Pistol Grip Sleeve, Rubber Handall Full Size Handgun Grip Glove for Glock 17,18,19 (Black*2)"/>
        <s v="Tourniquet Holder with Combat One-Handed Tourniquet, Tatical Pouch Included Rescue Medical Tourniquet for Emergency First Aid, 1 Pack Black Tourniquet Tatical Pouch Kit Green"/>
        <s v=" "/>
        <s v="AGGXPF Rear Sight Pusher Tool Compatible with Glock 19 43, 1911, Shield, Sig P365 and Others, Universal Sight Bead Disassembly Tool for Handgun Pistol Sight Removal Tool"/>
        <s v="AGGXPF Fiber Optic Sights for Glock 17, 17L, 19, 22, 23, 24, 26, 27, 33, 34, 35, 38, 39 - Contrasting Red/Green Photoluminescent Outline for Outdoors, No Tritium (Red Dot Sights)"/>
        <s v="AGGXPF for Gun Belt Clip for Glock, Holster Clip Concealed Carry, Low Profile Slim Gun Clip Fits for Gen 1-4 Models 17, 19, 22, 23, 24, 25, 26, 27, 28, 30S, 31, 32, 33, 34, 35, 36 and 41"/>
        <s v="AGGXPF Rubber Grip Glove Sleeve, Slip-on Grip Compatible with G19 23 32 38, Gen 3/4 (Black)"/>
        <s v="AGGXPF 45 Degree Offset Sights Fiber Optic Iron Flip Up Sights with Red and Green Dots, Front and Rear Backup Sight Set for Picatinny &amp; Weaver Rails"/>
        <s v="AGGXPF Rubber Grip Glove Sleeve, Slip-on Grip Compatible with 17 18 19X 20 21 22 24, Gen 1/2/5 (Tan)"/>
        <m/>
      </sharedItems>
    </cacheField>
    <cacheField name="SKU" numFmtId="0">
      <sharedItems containsBlank="1" count="59">
        <s v="Y8009-BA-1"/>
        <s v="Y8010"/>
        <s v="Y8041-BL"/>
        <s v="Y8020-BL-1"/>
        <s v="Y8056-BL"/>
        <s v="Y8057-BL"/>
        <s v="Y8033-BL"/>
        <s v="Y8068-1"/>
        <s v="Y8012"/>
        <s v="Y8009-RD"/>
        <s v="Y8015-RE"/>
        <s v="Y8095-GR"/>
        <s v="Y8086"/>
        <s v="Y8015-GR"/>
        <s v="Y8057-GR"/>
        <s v="Y8095-GR-1"/>
        <s v="Y8016-RE"/>
        <s v="Y8016-GR"/>
        <s v="Y8097-GN"/>
        <s v="Y8074*2"/>
        <s v="Y8095-RE"/>
        <s v="Y8090-2"/>
        <s v="Y8082-BL"/>
        <s v="Y8097-RE"/>
        <s v="Y8069-1"/>
        <s v="Y8067"/>
        <s v="Y8080"/>
        <s v="Y8004"/>
        <s v="Y8052-SI"/>
        <s v="Y8006"/>
        <s v="Y8002-GR"/>
        <s v="Y8007"/>
        <s v="Y8082-NF"/>
        <s v="Y8092-BL-1"/>
        <s v="Y8005"/>
        <s v="Y8093-1"/>
        <s v="Y8090-3"/>
        <s v="Y8024"/>
        <s v="Y8034-BL"/>
        <s v="Y8055-SC"/>
        <s v="Y8069-PU"/>
        <s v="Y8055"/>
        <s v="Y8069-BL"/>
        <s v="Y8025"/>
        <s v="Y8029"/>
        <s v="Y8042-GR"/>
        <s v="Y8043-RE*1"/>
        <s v="Y8062"/>
        <s v="Y8083-PU"/>
        <s v="Y8092-BL-2"/>
        <s v="Y8056-GR-1"/>
        <s v="Y8084-BL-2"/>
        <s v="Y8098"/>
        <s v="Y8805-RE"/>
        <s v="Y8804"/>
        <s v="Y8815-BL"/>
        <s v="Y8801"/>
        <s v="Y8816-SC"/>
        <m/>
      </sharedItems>
    </cacheField>
    <cacheField name="会话次数 – 总计" numFmtId="0">
      <sharedItems containsString="0" containsBlank="1" containsNumber="1" containsInteger="1" minValue="0" maxValue="6029" count="58">
        <n v="6029"/>
        <n v="3026"/>
        <n v="3031"/>
        <n v="4982"/>
        <n v="2873"/>
        <n v="1741"/>
        <n v="1587"/>
        <n v="757"/>
        <n v="1501"/>
        <n v="1209"/>
        <n v="3008"/>
        <n v="1472"/>
        <n v="1001"/>
        <n v="1019"/>
        <n v="749"/>
        <n v="277"/>
        <n v="483"/>
        <n v="193"/>
        <n v="275"/>
        <n v="164"/>
        <n v="389"/>
        <n v="426"/>
        <n v="418"/>
        <n v="408"/>
        <n v="184"/>
        <n v="201"/>
        <n v="176"/>
        <n v="290"/>
        <n v="312"/>
        <n v="56"/>
        <n v="528"/>
        <n v="91"/>
        <n v="368"/>
        <n v="89"/>
        <n v="48"/>
        <n v="214"/>
        <n v="94"/>
        <n v="190"/>
        <n v="100"/>
        <n v="25"/>
        <n v="7"/>
        <n v="41"/>
        <n v="75"/>
        <n v="52"/>
        <n v="78"/>
        <n v="33"/>
        <n v="10"/>
        <n v="5"/>
        <n v="21"/>
        <n v="3"/>
        <n v="39"/>
        <n v="20"/>
        <n v="11"/>
        <n v="129"/>
        <n v="31"/>
        <n v="36"/>
        <n v="86"/>
        <m/>
      </sharedItems>
    </cacheField>
    <cacheField name="会话次数 – 总计 – B2B" numFmtId="0">
      <sharedItems containsString="0" containsBlank="1" containsNumber="1" containsInteger="1" minValue="0" maxValue="95" count="24">
        <n v="95"/>
        <n v="40"/>
        <n v="50"/>
        <n v="87"/>
        <n v="38"/>
        <n v="35"/>
        <n v="31"/>
        <n v="18"/>
        <n v="22"/>
        <n v="46"/>
        <n v="28"/>
        <n v="10"/>
        <n v="14"/>
        <n v="8"/>
        <n v="9"/>
        <n v="3"/>
        <n v="4"/>
        <n v="5"/>
        <n v="7"/>
        <n v="0"/>
        <n v="1"/>
        <n v="2"/>
        <n v="6"/>
        <m/>
      </sharedItems>
    </cacheField>
    <cacheField name="会话百分比 – 总计" numFmtId="0">
      <sharedItems containsString="0" containsBlank="1" containsNumber="1" minValue="0" maxValue="0.3994" count="52">
        <n v="0.1488"/>
        <n v="0.0747"/>
        <n v="0.0748"/>
        <n v="0.123"/>
        <n v="0.0709"/>
        <n v="0.043"/>
        <n v="0.0392"/>
        <n v="0.0187"/>
        <n v="0.037"/>
        <n v="0.0298"/>
        <n v="0.0742"/>
        <n v="0.0363"/>
        <n v="0.0247"/>
        <n v="0.0252"/>
        <n v="0.0185"/>
        <n v="0.0068"/>
        <n v="0.0119"/>
        <n v="0.0048"/>
        <n v="0.004"/>
        <n v="0.0096"/>
        <n v="0.0105"/>
        <n v="0.0103"/>
        <n v="0.0101"/>
        <n v="0.0045"/>
        <n v="0.005"/>
        <n v="0.0043"/>
        <n v="0.0072"/>
        <n v="0.0077"/>
        <n v="0.0014"/>
        <n v="0.013"/>
        <n v="0.0022"/>
        <n v="0.0091"/>
        <n v="0.0012"/>
        <n v="0.0053"/>
        <n v="0.0023"/>
        <n v="0.0047"/>
        <n v="0.0025"/>
        <n v="0.0006"/>
        <n v="0.0002"/>
        <n v="0.001"/>
        <n v="0.0019"/>
        <n v="0.0013"/>
        <n v="0.0008"/>
        <n v="0.0001"/>
        <n v="0.0005"/>
        <n v="0.0003"/>
        <n v="0.3994"/>
        <n v="0.096"/>
        <n v="0.1269"/>
        <n v="0.1115"/>
        <n v="0.2663"/>
        <m/>
      </sharedItems>
    </cacheField>
    <cacheField name="会话百分比 – 总计 – B2B" numFmtId="0">
      <sharedItems containsString="0" containsBlank="1" containsNumber="1" minValue="0" maxValue="0.6" count="26">
        <n v="0.1429"/>
        <n v="0.0602"/>
        <n v="0.0752"/>
        <n v="0.1308"/>
        <n v="0.0571"/>
        <n v="0.0526"/>
        <n v="0.0466"/>
        <n v="0.0271"/>
        <n v="0.0331"/>
        <n v="0.0692"/>
        <n v="0.0421"/>
        <n v="0.015"/>
        <n v="0.0211"/>
        <n v="0.012"/>
        <n v="0.0135"/>
        <n v="0.0045"/>
        <n v="0.006"/>
        <n v="0.0075"/>
        <n v="0.0105"/>
        <n v="0"/>
        <n v="0.0015"/>
        <n v="0.003"/>
        <n v="0.6"/>
        <n v="0.3"/>
        <n v="0.1"/>
        <m/>
      </sharedItems>
    </cacheField>
    <cacheField name="页面浏览量 – 总计" numFmtId="0">
      <sharedItems containsString="0" containsBlank="1" containsNumber="1" containsInteger="1" minValue="0" maxValue="9062" count="60">
        <n v="9062"/>
        <n v="4697"/>
        <n v="4614"/>
        <n v="7375"/>
        <n v="3848"/>
        <n v="2299"/>
        <n v="2482"/>
        <n v="1109"/>
        <n v="2008"/>
        <n v="1880"/>
        <n v="4270"/>
        <n v="2013"/>
        <n v="1340"/>
        <n v="1437"/>
        <n v="962"/>
        <n v="331"/>
        <n v="648"/>
        <n v="266"/>
        <n v="364"/>
        <n v="212"/>
        <n v="436"/>
        <n v="580"/>
        <n v="537"/>
        <n v="558"/>
        <n v="239"/>
        <n v="241"/>
        <n v="225"/>
        <n v="372"/>
        <n v="399"/>
        <n v="71"/>
        <n v="714"/>
        <n v="112"/>
        <n v="478"/>
        <n v="124"/>
        <n v="54"/>
        <n v="293"/>
        <n v="274"/>
        <n v="125"/>
        <n v="40"/>
        <n v="9"/>
        <n v="53"/>
        <n v="89"/>
        <n v="70"/>
        <n v="92"/>
        <n v="37"/>
        <n v="12"/>
        <n v="5"/>
        <n v="31"/>
        <n v="111"/>
        <n v="50"/>
        <n v="42"/>
        <n v="30"/>
        <n v="13"/>
        <n v="8"/>
        <n v="190"/>
        <n v="38"/>
        <n v="59"/>
        <n v="48"/>
        <n v="164"/>
        <m/>
      </sharedItems>
    </cacheField>
    <cacheField name="页面浏览量 – 总计 – B2B" numFmtId="0">
      <sharedItems containsString="0" containsBlank="1" containsNumber="1" containsInteger="1" minValue="0" maxValue="140" count="28">
        <n v="140"/>
        <n v="69"/>
        <n v="80"/>
        <n v="114"/>
        <n v="52"/>
        <n v="46"/>
        <n v="53"/>
        <n v="23"/>
        <n v="34"/>
        <n v="30"/>
        <n v="63"/>
        <n v="36"/>
        <n v="11"/>
        <n v="20"/>
        <n v="9"/>
        <n v="10"/>
        <n v="4"/>
        <n v="14"/>
        <n v="12"/>
        <n v="5"/>
        <n v="15"/>
        <n v="3"/>
        <n v="6"/>
        <n v="8"/>
        <n v="0"/>
        <n v="1"/>
        <n v="2"/>
        <m/>
      </sharedItems>
    </cacheField>
    <cacheField name="页面浏览量百分比 – 总计" numFmtId="0">
      <sharedItems containsString="0" containsBlank="1" containsNumber="1" minValue="0" maxValue="0.3808" count="51">
        <n v="0.1566"/>
        <n v="0.0812"/>
        <n v="0.0797"/>
        <n v="0.1274"/>
        <n v="0.0665"/>
        <n v="0.0397"/>
        <n v="0.0429"/>
        <n v="0.0192"/>
        <n v="0.0347"/>
        <n v="0.0325"/>
        <n v="0.0738"/>
        <n v="0.0348"/>
        <n v="0.0232"/>
        <n v="0.0248"/>
        <n v="0.0166"/>
        <n v="0.0057"/>
        <n v="0.0112"/>
        <n v="0.0046"/>
        <n v="0.0063"/>
        <n v="0.0037"/>
        <n v="0.0075"/>
        <n v="0.01"/>
        <n v="0.0093"/>
        <n v="0.0096"/>
        <n v="0.0041"/>
        <n v="0.0042"/>
        <n v="0.0039"/>
        <n v="0.0064"/>
        <n v="0.0069"/>
        <n v="0.0012"/>
        <n v="0.0123"/>
        <n v="0.0019"/>
        <n v="0.0083"/>
        <n v="0.0021"/>
        <n v="0.0009"/>
        <n v="0.0051"/>
        <n v="0.0047"/>
        <n v="0.0022"/>
        <n v="0.0007"/>
        <n v="0.0002"/>
        <n v="0.0015"/>
        <n v="0.0016"/>
        <n v="0.0006"/>
        <n v="0.0001"/>
        <n v="0.0005"/>
        <n v="0.3808"/>
        <n v="0.0762"/>
        <n v="0.1182"/>
        <n v="0.0962"/>
        <n v="0.3287"/>
        <m/>
      </sharedItems>
    </cacheField>
    <cacheField name="页面浏览量百分比 – 总计 – B2B" numFmtId="0">
      <sharedItems containsString="0" containsBlank="1" containsNumber="1" minValue="0" maxValue="0.6" count="31">
        <n v="0.1475"/>
        <n v="0.0727"/>
        <n v="0.0843"/>
        <n v="0.1201"/>
        <n v="0.0548"/>
        <n v="0.0485"/>
        <n v="0.0558"/>
        <n v="0.0242"/>
        <n v="0.0358"/>
        <n v="0.0316"/>
        <n v="0.0664"/>
        <n v="0.0379"/>
        <n v="0.0116"/>
        <n v="0.0211"/>
        <n v="0.0095"/>
        <n v="0.0105"/>
        <n v="0.0042"/>
        <n v="0.0148"/>
        <n v="0.0126"/>
        <n v="0.0053"/>
        <n v="0.0158"/>
        <n v="0.0032"/>
        <n v="0.0063"/>
        <n v="0.0084"/>
        <n v="0"/>
        <n v="0.0011"/>
        <n v="0.0021"/>
        <n v="0.6"/>
        <n v="0.3"/>
        <n v="0.1"/>
        <m/>
      </sharedItems>
    </cacheField>
    <cacheField name="推荐报价（购买按钮）百分比" numFmtId="0">
      <sharedItems containsString="0" containsBlank="1" containsNumber="1" minValue="0" maxValue="1" count="41">
        <n v="0.9928"/>
        <n v="0.9943"/>
        <n v="0.995"/>
        <n v="0.9931"/>
        <n v="0.9992"/>
        <n v="0.9964"/>
        <n v="0.9952"/>
        <n v="0.9991"/>
        <n v="0.9905"/>
        <n v="0.9941"/>
        <n v="0.9902"/>
        <n v="0.985"/>
        <n v="0.9925"/>
        <n v="0.9923"/>
        <n v="0.8835"/>
        <n v="0.9951"/>
        <n v="0.9962"/>
        <n v="0.9758"/>
        <n v="1"/>
        <n v="0.9808"/>
        <n v="0.9944"/>
        <n v="0.9956"/>
        <n v="0.9955"/>
        <n v="0.9718"/>
        <n v="0.9748"/>
        <n v="0.9911"/>
        <n v="0.9853"/>
        <n v="0.9587"/>
        <n v="0.9796"/>
        <n v="0.96"/>
        <n v="0.9551"/>
        <n v="0.8806"/>
        <n v="0.9765"/>
        <n v="0.9118"/>
        <n v="0.973"/>
        <n v="0.9792"/>
        <n v="0.9722"/>
        <n v="0.9947"/>
        <n v="0.9825"/>
        <n v="0.9817"/>
        <m/>
      </sharedItems>
    </cacheField>
    <cacheField name="推荐报价（购买按钮）百分比 – B2B" numFmtId="0">
      <sharedItems containsString="0" containsBlank="1" containsNumber="1" minValue="0" maxValue="1" count="10">
        <n v="0.9857"/>
        <n v="0.9275"/>
        <n v="1"/>
        <n v="0.9912"/>
        <n v="0.9118"/>
        <n v="0.8889"/>
        <n v="0.7143"/>
        <n v="0"/>
        <n v="0.25"/>
        <m/>
      </sharedItems>
    </cacheField>
    <cacheField name="已订购商品数量" numFmtId="0">
      <sharedItems containsString="0" containsBlank="1" containsNumber="1" containsInteger="1" minValue="0" maxValue="389" count="36">
        <n v="389"/>
        <n v="351"/>
        <n v="346"/>
        <n v="302"/>
        <n v="286"/>
        <n v="221"/>
        <n v="122"/>
        <n v="115"/>
        <n v="120"/>
        <n v="97"/>
        <n v="92"/>
        <n v="87"/>
        <n v="64"/>
        <n v="39"/>
        <n v="38"/>
        <n v="27"/>
        <n v="26"/>
        <n v="24"/>
        <n v="22"/>
        <n v="32"/>
        <n v="21"/>
        <n v="19"/>
        <n v="18"/>
        <n v="15"/>
        <n v="12"/>
        <n v="11"/>
        <n v="8"/>
        <n v="7"/>
        <n v="6"/>
        <n v="5"/>
        <n v="3"/>
        <n v="2"/>
        <n v="1"/>
        <n v="10"/>
        <n v="4"/>
        <m/>
      </sharedItems>
    </cacheField>
  </cacheFields>
</pivotCacheDefinition>
</file>

<file path=xl/pivotCache/pivotCacheDefinition49.xml><?xml version="1.0" encoding="utf-8"?>
<pivotCacheDefinition xmlns="http://schemas.openxmlformats.org/spreadsheetml/2006/main" xmlns:r="http://schemas.openxmlformats.org/officeDocument/2006/relationships" r:id="rId1" createdVersion="5" refreshedVersion="5" minRefreshableVersion="3" refreshedDate="45219.6173263889" refreshedBy="Administrator" recordCount="82">
  <cacheSource type="worksheet">
    <worksheetSource ref="G1:W1048576" sheet="商品推广10.12-10.18" r:id="rId2"/>
  </cacheSource>
  <cacheFields count="19">
    <cacheField name="广告SKU" numFmtId="0">
      <sharedItems containsBlank="1" count="47">
        <s v="Y8002-GR"/>
        <s v="Y8005"/>
        <s v="Y8010"/>
        <s v="Y8015-RE"/>
        <s v="Y8016-GR"/>
        <s v="Y8020-BL-1"/>
        <s v="Y8007"/>
        <s v="Y8033-BL"/>
        <s v="Y8041-BL"/>
        <s v="Y8034-BL"/>
        <s v="Y8042-GR"/>
        <s v="Y8055"/>
        <s v="Y8056-BL"/>
        <s v="Y8057-BL"/>
        <s v="Y8053*5"/>
        <s v="Y8068-1"/>
        <s v="Y8080"/>
        <s v="Y8074*2"/>
        <s v="Y8086"/>
        <s v="Y8082-BL"/>
        <s v="Y8083-BL"/>
        <s v="Y8093-1"/>
        <s v="Y8090-2"/>
        <s v="Y8095-GR"/>
        <s v="Y8090-3"/>
        <s v="Y8016-RE"/>
        <s v="Y8055-SC"/>
        <s v="Y8083-PU"/>
        <s v="Y8009-BA-1"/>
        <s v="Y8069-PU"/>
        <s v="Y8052-SI"/>
        <s v="Y8082-NF"/>
        <s v="Y8097-GN"/>
        <s v="Y8095-RE"/>
        <s v="Y8095-GR-1"/>
        <s v="Y8092-BL-1"/>
        <s v="Y8102-MU"/>
        <s v="Y8101-1"/>
        <s v="Y8099"/>
        <s v="Y8816-SC"/>
        <s v="Y8817-GR"/>
        <s v="Y8810-BL"/>
        <s v="Y8810-SC"/>
        <s v="Y8817-BL"/>
        <s v="Y8815-SC"/>
        <s v="Y8814-SC"/>
        <m/>
      </sharedItems>
    </cacheField>
    <cacheField name="广告ASIN" numFmtId="0">
      <sharedItems containsBlank="1" count="47">
        <s v="B09Z2T2LNF"/>
        <s v="B09ZY6DBSP"/>
        <s v="B0B2CPRDG4"/>
        <s v="B0B4NP7J23"/>
        <s v="B0B569T45Q"/>
        <s v="B0B5ST6VGH"/>
        <s v="B0B1DGJ2TQ"/>
        <s v="B0BMVDYPYP"/>
        <s v="B0BP6VMQS3"/>
        <s v="B0BNMCC1BK"/>
        <s v="B0BQ658DFT"/>
        <s v="B0BRKP3QD8"/>
        <s v="B0BT9TK3RN"/>
        <s v="B0BTBDJK8Y"/>
        <s v="B0BTM6SW8Q"/>
        <s v="B0BW8Q2HW3"/>
        <s v="B0BZVQWSF6"/>
        <s v="B0BYSKSMYD"/>
        <s v="B0C2Z567KN"/>
        <s v="B0C23BT743"/>
        <s v="B0C2P1L51B"/>
        <s v="B0C4LDPJVG"/>
        <s v="B0C4XZ4B7L"/>
        <s v="B0C6F4TVQ2"/>
        <s v="B0C4Y2FCW5"/>
        <s v="B0B56CBTGR"/>
        <s v="B0BW3VLGQG"/>
        <s v="B0C2VCS231"/>
        <s v="B0B5WT8QV5"/>
        <s v="B0C1YK8LFT"/>
        <s v="B0CC5FG1FN"/>
        <s v="B0C1YNWB4Y"/>
        <s v="B0CD28MNTY"/>
        <s v="B0C6F27TL6"/>
        <s v="B0CF87TLHY"/>
        <s v="B0C4XY3Y7T"/>
        <s v="B0CK1D5Q65"/>
        <s v="B0CJXRJVQK"/>
        <s v="B0CJXRST57"/>
        <s v="B0C6T42NWB"/>
        <s v="B0C6T7WR7L"/>
        <s v="B0C6T5FF87"/>
        <s v="B0C6T3QVJL"/>
        <s v="B0C6T66K9F"/>
        <s v="B0C6T4C525"/>
        <s v="B0C6T4RXFQ"/>
        <m/>
      </sharedItems>
    </cacheField>
    <cacheField name="展示量" numFmtId="0">
      <sharedItems containsString="0" containsBlank="1" containsNumber="1" containsInteger="1" minValue="0" maxValue="38347" count="81">
        <n v="1146"/>
        <n v="15851"/>
        <n v="1829"/>
        <n v="3122"/>
        <n v="22618"/>
        <n v="1734"/>
        <n v="4651"/>
        <n v="5295"/>
        <n v="8869"/>
        <n v="6113"/>
        <n v="35927"/>
        <n v="269"/>
        <n v="1090"/>
        <n v="240"/>
        <n v="2226"/>
        <n v="63"/>
        <n v="11618"/>
        <n v="21"/>
        <n v="14000"/>
        <n v="145"/>
        <n v="231"/>
        <n v="343"/>
        <n v="1608"/>
        <n v="1170"/>
        <n v="83"/>
        <n v="74"/>
        <n v="169"/>
        <n v="38347"/>
        <n v="10683"/>
        <n v="475"/>
        <n v="3428"/>
        <n v="7944"/>
        <n v="4365"/>
        <n v="5148"/>
        <n v="6205"/>
        <n v="1446"/>
        <n v="2417"/>
        <n v="6693"/>
        <n v="561"/>
        <n v="10181"/>
        <n v="11676"/>
        <n v="1992"/>
        <n v="6468"/>
        <n v="707"/>
        <n v="133"/>
        <n v="442"/>
        <n v="626"/>
        <n v="4870"/>
        <n v="3594"/>
        <n v="25"/>
        <n v="26776"/>
        <n v="2"/>
        <n v="342"/>
        <n v="51"/>
        <n v="90"/>
        <n v="102"/>
        <n v="17"/>
        <n v="5429"/>
        <n v="3192"/>
        <n v="3669"/>
        <n v="734"/>
        <n v="292"/>
        <n v="132"/>
        <n v="2065"/>
        <n v="7564"/>
        <n v="582"/>
        <n v="1477"/>
        <n v="844"/>
        <n v="3"/>
        <n v="79"/>
        <n v="91"/>
        <n v="77"/>
        <n v="9"/>
        <n v="7"/>
        <n v="98"/>
        <n v="68"/>
        <n v="37"/>
        <n v="32"/>
        <n v="1"/>
        <n v="4"/>
        <m/>
      </sharedItems>
    </cacheField>
    <cacheField name="点击量" numFmtId="0">
      <sharedItems containsString="0" containsBlank="1" containsNumber="1" containsInteger="1" minValue="0" maxValue="356" count="36">
        <n v="2"/>
        <n v="34"/>
        <n v="10"/>
        <n v="7"/>
        <n v="131"/>
        <n v="6"/>
        <n v="11"/>
        <n v="35"/>
        <n v="195"/>
        <n v="14"/>
        <n v="189"/>
        <n v="17"/>
        <n v="4"/>
        <n v="30"/>
        <n v="0"/>
        <n v="160"/>
        <n v="1"/>
        <n v="3"/>
        <n v="356"/>
        <n v="102"/>
        <n v="42"/>
        <n v="15"/>
        <n v="12"/>
        <n v="71"/>
        <n v="55"/>
        <n v="120"/>
        <n v="26"/>
        <n v="39"/>
        <n v="23"/>
        <n v="5"/>
        <n v="22"/>
        <n v="290"/>
        <n v="33"/>
        <n v="8"/>
        <n v="20"/>
        <m/>
      </sharedItems>
    </cacheField>
    <cacheField name="点击率(CTR)" numFmtId="0">
      <sharedItems containsString="0" containsBlank="1" containsNumber="1" minValue="0" maxValue="0.0631970260223048" count="64">
        <n v="0.00174520069808028"/>
        <n v="0.00214497508043657"/>
        <n v="0.00546746856205577"/>
        <n v="0.00224215246636771"/>
        <n v="0.00579184720134406"/>
        <n v="0.00346020761245675"/>
        <n v="0.00236508277789723"/>
        <n v="0.00661000944287063"/>
        <n v="0.0219866952305784"/>
        <n v="0.00229020121053493"/>
        <n v="0.00526066746458096"/>
        <n v="0.0631970260223048"/>
        <n v="0.0036697247706422"/>
        <n v="0.0291666666666667"/>
        <n v="0.0134770889487871"/>
        <n v="0"/>
        <n v="0.0112756068170081"/>
        <n v="0.0114285714285714"/>
        <n v="0.0137931034482759"/>
        <n v="0.00432900432900433"/>
        <n v="0.00583090379008746"/>
        <n v="0.00186567164179104"/>
        <n v="0.00341880341880342"/>
        <n v="0.0240963855421687"/>
        <n v="0.0118343195266272"/>
        <n v="0.00928364669987222"/>
        <n v="0.0095478798090424"/>
        <n v="0.00421052631578947"/>
        <n v="0.00204200700116686"/>
        <n v="0.00528700906344411"/>
        <n v="0.00343642611683849"/>
        <n v="0.00233100233100233"/>
        <n v="0.0114423851732474"/>
        <n v="0.00968188105117566"/>
        <n v="0.0227554820024824"/>
        <n v="0.0179291797400269"/>
        <n v="0.0017825311942959"/>
        <n v="0.00255377664276594"/>
        <n v="0.00334018499486125"/>
        <n v="0.0115461847389558"/>
        <n v="0.00401978973407545"/>
        <n v="0.00424328147100424"/>
        <n v="0.037593984962406"/>
        <n v="0.0135746606334842"/>
        <n v="0.00479233226837061"/>
        <n v="0.00451745379876797"/>
        <n v="0.00306065664997218"/>
        <n v="0.0108305945622946"/>
        <n v="0.00584795321637427"/>
        <n v="0.0588235294117647"/>
        <n v="0.0111111111111111"/>
        <n v="0.0294117647058823"/>
        <n v="0.00607846748940873"/>
        <n v="0.012218045112782"/>
        <n v="0.00299809212319433"/>
        <n v="0.00408719346049046"/>
        <n v="0.0106537530266344"/>
        <n v="0.00396615547329455"/>
        <n v="0.013745704467354"/>
        <n v="0.01354096140826"/>
        <n v="0.00710900473933649"/>
        <n v="0.0126582278481013"/>
        <n v="0.010989010989011"/>
        <m/>
      </sharedItems>
    </cacheField>
    <cacheField name="每次点击成本(CPC)" numFmtId="0">
      <sharedItems containsString="0" containsBlank="1" containsNumber="1" minValue="0" maxValue="1.18" count="60">
        <n v="0.155"/>
        <n v="0.622941176470588"/>
        <n v="0.353"/>
        <n v="0.655714285714286"/>
        <n v="0.212519083969466"/>
        <n v="0.225"/>
        <n v="0.651818181818182"/>
        <n v="0.877142857142857"/>
        <n v="0.264"/>
        <n v="0.291428571428571"/>
        <n v="0.0505291005291005"/>
        <n v="0.330588235294118"/>
        <n v="0.7725"/>
        <n v="0.0757142857142857"/>
        <n v="0.268666666666667"/>
        <m/>
        <n v="0.029618320610687"/>
        <n v="0.0765"/>
        <n v="0.16"/>
        <n v="0.05"/>
        <n v="0.645"/>
        <n v="0.3"/>
        <n v="0.335"/>
        <n v="0.02"/>
        <n v="0.34"/>
        <n v="0.382724719101124"/>
        <n v="0.36921568627451"/>
        <n v="1.18"/>
        <n v="0.104285714285714"/>
        <n v="0.281428571428571"/>
        <n v="0.07"/>
        <n v="0.5825"/>
        <n v="0.142957746478873"/>
        <n v="0.428571428571429"/>
        <n v="0.297818181818182"/>
        <n v="0.294333333333333"/>
        <n v="0.13"/>
        <n v="0.291153846153846"/>
        <n v="0.174102564102564"/>
        <n v="0.267826086956522"/>
        <n v="0.298076923076923"/>
        <n v="0.246666666666667"/>
        <n v="0.54"/>
        <n v="0.12"/>
        <n v="0.824545454545455"/>
        <n v="0.609090909090909"/>
        <n v="0.0555862068965517"/>
        <n v="0.2"/>
        <n v="0.14"/>
        <n v="0.09"/>
        <n v="0.383939393939394"/>
        <n v="0.160769230769231"/>
        <n v="0.165454545454545"/>
        <n v="0.29"/>
        <n v="0.297666666666667"/>
        <n v="0.31375"/>
        <n v="0.276"/>
        <n v="0.201666666666667"/>
        <n v="0.32"/>
        <n v="0.46"/>
      </sharedItems>
    </cacheField>
    <cacheField name="花费" numFmtId="0">
      <sharedItems containsString="0" containsBlank="1" containsNumber="1" minValue="0" maxValue="136.25" count="63">
        <n v="0.31"/>
        <n v="21.18"/>
        <n v="3.53"/>
        <n v="4.59"/>
        <n v="27.84"/>
        <n v="1.35"/>
        <n v="7.17"/>
        <n v="30.7"/>
        <n v="51.48"/>
        <n v="4.08"/>
        <n v="9.55"/>
        <n v="5.62"/>
        <n v="3.09"/>
        <n v="0.53"/>
        <n v="8.06"/>
        <n v="0"/>
        <n v="3.88"/>
        <n v="12.24"/>
        <n v="0.32"/>
        <n v="0.05"/>
        <n v="1.29"/>
        <n v="0.9"/>
        <n v="1.34"/>
        <n v="0.04"/>
        <n v="0.68"/>
        <n v="136.25"/>
        <n v="37.66"/>
        <n v="2.36"/>
        <n v="0.73"/>
        <n v="11.82"/>
        <n v="1.05"/>
        <n v="6.99"/>
        <n v="10.15"/>
        <n v="6"/>
        <n v="16.38"/>
        <n v="35.32"/>
        <n v="0.13"/>
        <n v="7.57"/>
        <n v="6.79"/>
        <n v="6.16"/>
        <n v="7.75"/>
        <n v="0.74"/>
        <n v="2.7"/>
        <n v="0.96"/>
        <n v="0.36"/>
        <n v="18.14"/>
        <n v="6.7"/>
        <n v="16.12"/>
        <n v="0.4"/>
        <n v="0.21"/>
        <n v="0.14"/>
        <n v="0.27"/>
        <n v="12.67"/>
        <n v="6.27"/>
        <n v="1.82"/>
        <n v="1.02"/>
        <n v="6.38"/>
        <n v="8.93"/>
        <n v="2.51"/>
        <n v="5.52"/>
        <n v="1.21"/>
        <n v="0.46"/>
        <m/>
      </sharedItems>
    </cacheField>
    <cacheField name="7天总销售额" numFmtId="0">
      <sharedItems containsString="0" containsBlank="1" containsNumber="1" minValue="0" maxValue="796.11" count="31">
        <n v="0"/>
        <n v="16.99"/>
        <n v="143.94"/>
        <n v="77.97"/>
        <n v="53.98"/>
        <n v="791.67"/>
        <n v="75.96"/>
        <n v="56.97"/>
        <n v="33.98"/>
        <n v="208.89"/>
        <n v="493.74"/>
        <n v="19.99"/>
        <n v="18.99"/>
        <n v="796.11"/>
        <n v="346.86"/>
        <n v="41.86"/>
        <n v="43.99"/>
        <n v="11.99"/>
        <n v="173.93"/>
        <n v="161.91"/>
        <n v="23.99"/>
        <n v="314.73"/>
        <n v="23.98"/>
        <n v="53.97"/>
        <n v="12.99"/>
        <n v="85.35"/>
        <n v="86.95"/>
        <n v="16.69"/>
        <n v="34.98"/>
        <n v="8.99"/>
        <m/>
      </sharedItems>
    </cacheField>
    <cacheField name="广告成本销售比(ACOS)" numFmtId="0">
      <sharedItems containsString="0" containsBlank="1" containsNumber="1" minValue="0" maxValue="0.568729158947758" count="34">
        <m/>
        <n v="0.207769276044732"/>
        <n v="0.193413922467695"/>
        <n v="0.0919584455559831"/>
        <n v="0.568729158947758"/>
        <n v="0.0650270946227595"/>
        <n v="0.125724065297525"/>
        <n v="0.09864841144462"/>
        <n v="0.237198351971748"/>
        <n v="0.0185743692852698"/>
        <n v="0.024790375501276"/>
        <n v="0.016008004002001"/>
        <n v="0.00210637177461822"/>
        <n v="0.171144691060281"/>
        <n v="0.108574064464049"/>
        <n v="0.282369804108935"/>
        <n v="0.23073425778586"/>
        <n v="0.500417014178482"/>
        <n v="0.0941758178577589"/>
        <n v="0.218145883515533"/>
        <n v="0.315548145060442"/>
        <n v="0.362566215420836"/>
        <n v="0.228075338434373"/>
        <n v="0.104294831253953"/>
        <n v="0.0512185047501033"/>
        <n v="0.0166805671392827"/>
        <n v="0.234760051880674"/>
        <n v="0.482678983833718"/>
        <n v="0.0758649437265527"/>
        <n v="0.0747510251903925"/>
        <n v="0.102702702702703"/>
        <n v="0.150389454763331"/>
        <n v="0.157804459691252"/>
        <n v="0.134593993325918"/>
      </sharedItems>
    </cacheField>
    <cacheField name="投入产出比(ROAS)" numFmtId="0">
      <sharedItems containsString="0" containsBlank="1" containsNumber="1" minValue="0" maxValue="474.75" count="35">
        <n v="0"/>
        <n v="4.81303116147309"/>
        <n v="5.17025862068965"/>
        <n v="10.8744769874477"/>
        <n v="1.75830618892508"/>
        <n v="15.3782051282051"/>
        <n v="7.95392670157068"/>
        <n v="10.1370106761566"/>
        <n v="4.21588089330025"/>
        <m/>
        <n v="53.8376288659794"/>
        <n v="40.3382352941177"/>
        <n v="62.46875"/>
        <n v="474.75"/>
        <n v="5.84300917431193"/>
        <n v="9.21030270844397"/>
        <n v="3.5414551607445"/>
        <n v="4.33399014778325"/>
        <n v="1.99833333333333"/>
        <n v="10.6184371184371"/>
        <n v="4.58408833522084"/>
        <n v="3.16908850726552"/>
        <n v="2.75811688311688"/>
        <n v="4.38451612903226"/>
        <n v="9.58820286659316"/>
        <n v="19.5241935483871"/>
        <n v="59.95"/>
        <n v="4.25966850828729"/>
        <n v="2.07177033492823"/>
        <n v="13.1813186813187"/>
        <n v="13.3777429467085"/>
        <n v="9.73684210526316"/>
        <n v="6.64940239043825"/>
        <n v="6.33695652173913"/>
        <n v="7.4297520661157"/>
      </sharedItems>
    </cacheField>
    <cacheField name="7天总订单数(#)" numFmtId="0">
      <sharedItems containsString="0" containsBlank="1" containsNumber="1" containsInteger="1" minValue="0" maxValue="38" count="16">
        <n v="0"/>
        <n v="1"/>
        <n v="6"/>
        <n v="3"/>
        <n v="2"/>
        <n v="33"/>
        <n v="11"/>
        <n v="26"/>
        <n v="38"/>
        <n v="14"/>
        <n v="4"/>
        <n v="7"/>
        <n v="9"/>
        <n v="16"/>
        <n v="5"/>
        <m/>
      </sharedItems>
    </cacheField>
    <cacheField name="7天总销售量(#)" numFmtId="0">
      <sharedItems containsString="0" containsBlank="1" containsNumber="1" containsInteger="1" minValue="0" maxValue="39" count="16">
        <n v="0"/>
        <n v="1"/>
        <n v="6"/>
        <n v="3"/>
        <n v="2"/>
        <n v="33"/>
        <n v="4"/>
        <n v="11"/>
        <n v="26"/>
        <n v="39"/>
        <n v="14"/>
        <n v="7"/>
        <n v="9"/>
        <n v="17"/>
        <n v="5"/>
        <m/>
      </sharedItems>
    </cacheField>
    <cacheField name="7天的转化率" numFmtId="0">
      <sharedItems containsString="0" containsBlank="1" containsNumber="1" minValue="0" maxValue="1" count="31">
        <n v="0"/>
        <n v="0.1"/>
        <n v="0.0458015267175572"/>
        <n v="0.272727272727273"/>
        <n v="0.0571428571428571"/>
        <n v="0.169230769230769"/>
        <n v="0.0158730158730159"/>
        <n v="0.176470588235294"/>
        <n v="0.0333333333333333"/>
        <m/>
        <n v="0.083969465648855"/>
        <n v="0.1625"/>
        <n v="0.5"/>
        <n v="0.106741573033708"/>
        <n v="0.137254901960784"/>
        <n v="0.0952380952380952"/>
        <n v="0.028169014084507"/>
        <n v="0.0714285714285714"/>
        <n v="0.127272727272727"/>
        <n v="0.075"/>
        <n v="0.0384615384615385"/>
        <n v="0.0434782608695652"/>
        <n v="0.0769230769230769"/>
        <n v="0.318181818181818"/>
        <n v="0.0551724137931035"/>
        <n v="1"/>
        <n v="0.0909090909090909"/>
        <n v="0.0256410256410256"/>
        <n v="0.227272727272727"/>
        <n v="0.166666666666667"/>
        <n v="0.125"/>
      </sharedItems>
    </cacheField>
    <cacheField name="7天内广告SKU销售量(#)" numFmtId="0">
      <sharedItems containsString="0" containsBlank="1" containsNumber="1" containsInteger="1" minValue="0" maxValue="33" count="14">
        <n v="0"/>
        <n v="6"/>
        <n v="2"/>
        <n v="33"/>
        <n v="3"/>
        <n v="7"/>
        <n v="19"/>
        <n v="1"/>
        <n v="27"/>
        <n v="10"/>
        <n v="9"/>
        <n v="5"/>
        <n v="12"/>
        <m/>
      </sharedItems>
    </cacheField>
    <cacheField name="7天内其他SKU销售量(#)" numFmtId="0">
      <sharedItems containsString="0" containsBlank="1" containsNumber="1" containsInteger="1" minValue="0" maxValue="12" count="9">
        <n v="0"/>
        <n v="1"/>
        <n v="2"/>
        <n v="4"/>
        <n v="7"/>
        <n v="12"/>
        <n v="5"/>
        <n v="3"/>
        <m/>
      </sharedItems>
    </cacheField>
    <cacheField name="7天内广告SKU销售额" numFmtId="0">
      <sharedItems containsString="0" containsBlank="1" containsNumber="1" minValue="0" maxValue="791.67" count="26">
        <n v="0"/>
        <n v="143.94"/>
        <n v="53.98"/>
        <n v="791.67"/>
        <n v="56.97"/>
        <n v="37.98"/>
        <n v="132.93"/>
        <n v="360.81"/>
        <n v="19.99"/>
        <n v="18.99"/>
        <n v="485.73"/>
        <n v="259.9"/>
        <n v="32.87"/>
        <n v="43.99"/>
        <n v="11.99"/>
        <n v="155.94"/>
        <n v="161.91"/>
        <n v="16.99"/>
        <n v="119.95"/>
        <n v="227.88"/>
        <n v="53.97"/>
        <n v="23.99"/>
        <n v="34.68"/>
        <n v="50.97"/>
        <n v="8.99"/>
        <m/>
      </sharedItems>
    </cacheField>
    <cacheField name="7天内其他SKU销售额" numFmtId="0">
      <sharedItems containsString="0" containsBlank="1" containsNumber="1" minValue="0" maxValue="310.38" count="19">
        <n v="0"/>
        <n v="16.99"/>
        <n v="23.99"/>
        <n v="18.99"/>
        <n v="33.98"/>
        <n v="75.96"/>
        <n v="132.93"/>
        <n v="310.38"/>
        <n v="86.96"/>
        <n v="8.99"/>
        <n v="17.99"/>
        <n v="53.98"/>
        <n v="86.85"/>
        <n v="11.99"/>
        <n v="12.99"/>
        <n v="50.67"/>
        <n v="35.98"/>
        <n v="16.69"/>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50.xml><?xml version="1.0" encoding="utf-8"?>
<pivotCacheDefinition xmlns="http://schemas.openxmlformats.org/spreadsheetml/2006/main" xmlns:r="http://schemas.openxmlformats.org/officeDocument/2006/relationships" r:id="rId1" createdVersion="5" refreshedVersion="5" minRefreshableVersion="3" refreshedDate="45219.6175" refreshedBy="Administrator" recordCount="84">
  <cacheSource type="worksheet">
    <worksheetSource ref="G1:W1048576" sheet="商品推广10.04-10.18" r:id="rId2"/>
  </cacheSource>
  <cacheFields count="19">
    <cacheField name="广告SKU" numFmtId="0">
      <sharedItems containsBlank="1" count="49">
        <s v="Y8002-GR"/>
        <s v="Y8005"/>
        <s v="Y8004"/>
        <s v="Y8010"/>
        <s v="Y8015-RE"/>
        <s v="Y8016-GR"/>
        <s v="Y8020-BL-1"/>
        <s v="Y8007"/>
        <s v="Y8033-BL"/>
        <s v="Y8041-BL"/>
        <s v="Y8034-BL"/>
        <s v="Y8042-GR"/>
        <s v="Y8055"/>
        <s v="Y8056-BL"/>
        <s v="Y8057-BL"/>
        <s v="Y8053*5"/>
        <s v="Y8068-1"/>
        <s v="Y8080"/>
        <s v="Y8074*2"/>
        <s v="Y8086"/>
        <s v="Y8082-BL"/>
        <s v="Y8083-BL"/>
        <s v="Y8093-1"/>
        <s v="Y8090-2"/>
        <s v="Y8095-GR"/>
        <s v="Y8090-3"/>
        <s v="Y8016-RE"/>
        <s v="Y8055-SC"/>
        <s v="Y8083-PU"/>
        <s v="Y8009-BA-1"/>
        <s v="Y8069-PU"/>
        <s v="Y8052-SI"/>
        <s v="Y8082-NF"/>
        <s v="Y8097-GN"/>
        <s v="Y8095-RE"/>
        <s v="Y8095-GR-1"/>
        <s v="Y8092-BL-1"/>
        <s v="Y8102-MU"/>
        <s v="Y8101-1"/>
        <s v="Y8099"/>
        <s v="Y8816-SC"/>
        <s v="Y8817-GR"/>
        <s v="Y8810-BL"/>
        <s v="Y8810-SC"/>
        <s v="Y8817-BL"/>
        <s v="Y8815-SC"/>
        <s v="Y8814-SC"/>
        <s v="Y8814-BL"/>
        <m/>
      </sharedItems>
    </cacheField>
    <cacheField name="广告ASIN" numFmtId="0">
      <sharedItems containsBlank="1" count="49">
        <s v="B09Z2T2LNF"/>
        <s v="B09ZY6DBSP"/>
        <s v="B0B1D7FZ15"/>
        <s v="B0B2CPRDG4"/>
        <s v="B0B4NP7J23"/>
        <s v="B0B569T45Q"/>
        <s v="B0B5ST6VGH"/>
        <s v="B0B1DGJ2TQ"/>
        <s v="B0BMVDYPYP"/>
        <s v="B0BP6VMQS3"/>
        <s v="B0BNMCC1BK"/>
        <s v="B0BQ658DFT"/>
        <s v="B0BRKP3QD8"/>
        <s v="B0BT9TK3RN"/>
        <s v="B0BTBDJK8Y"/>
        <s v="B0BTM6SW8Q"/>
        <s v="B0BW8Q2HW3"/>
        <s v="B0BZVQWSF6"/>
        <s v="B0BYSKSMYD"/>
        <s v="B0C2Z567KN"/>
        <s v="B0C23BT743"/>
        <s v="B0C2P1L51B"/>
        <s v="B0C4LDPJVG"/>
        <s v="B0C4XZ4B7L"/>
        <s v="B0C6F4TVQ2"/>
        <s v="B0C4Y2FCW5"/>
        <s v="B0B56CBTGR"/>
        <s v="B0BW3VLGQG"/>
        <s v="B0C2VCS231"/>
        <s v="B0B5WT8QV5"/>
        <s v="B0C1YK8LFT"/>
        <s v="B0CC5FG1FN"/>
        <s v="B0C1YNWB4Y"/>
        <s v="B0CD28MNTY"/>
        <s v="B0C6F27TL6"/>
        <s v="B0CF87TLHY"/>
        <s v="B0C4XY3Y7T"/>
        <s v="B0CK1D5Q65"/>
        <s v="B0CJXRJVQK"/>
        <s v="B0CJXRST57"/>
        <s v="B0C6T42NWB"/>
        <s v="B0C6T7WR7L"/>
        <s v="B0C6T5FF87"/>
        <s v="B0C6T3QVJL"/>
        <s v="B0C6T66K9F"/>
        <s v="B0C6T4C525"/>
        <s v="B0C6T4RXFQ"/>
        <s v="B0C6T4J33T"/>
        <m/>
      </sharedItems>
    </cacheField>
    <cacheField name="展示量" numFmtId="0">
      <sharedItems containsString="0" containsBlank="1" containsNumber="1" containsInteger="1" minValue="0" maxValue="68803" count="82">
        <n v="2417"/>
        <n v="20797"/>
        <n v="3645"/>
        <n v="312"/>
        <n v="4518"/>
        <n v="44554"/>
        <n v="3725"/>
        <n v="7174"/>
        <n v="10319"/>
        <n v="17251"/>
        <n v="10842"/>
        <n v="68803"/>
        <n v="567"/>
        <n v="1454"/>
        <n v="440"/>
        <n v="4366"/>
        <n v="63"/>
        <n v="17656"/>
        <n v="89"/>
        <n v="27935"/>
        <n v="246"/>
        <n v="414"/>
        <n v="556"/>
        <n v="2308"/>
        <n v="2002"/>
        <n v="85"/>
        <n v="116"/>
        <n v="242"/>
        <n v="59468"/>
        <n v="19077"/>
        <n v="981"/>
        <n v="8671"/>
        <n v="17333"/>
        <n v="8013"/>
        <n v="7413"/>
        <n v="13037"/>
        <n v="2305"/>
        <n v="4823"/>
        <n v="11576"/>
        <n v="1081"/>
        <n v="17038"/>
        <n v="23870"/>
        <n v="4863"/>
        <n v="11433"/>
        <n v="1240"/>
        <n v="227"/>
        <n v="747"/>
        <n v="1077"/>
        <n v="18099"/>
        <n v="6815"/>
        <n v="93"/>
        <n v="57892"/>
        <n v="9"/>
        <n v="538"/>
        <n v="1273"/>
        <n v="2099"/>
        <n v="1068"/>
        <n v="45"/>
        <n v="7883"/>
        <n v="6802"/>
        <n v="6946"/>
        <n v="1400"/>
        <n v="740"/>
        <n v="465"/>
        <n v="2576"/>
        <n v="12043"/>
        <n v="1050"/>
        <n v="2298"/>
        <n v="5520"/>
        <n v="3"/>
        <n v="79"/>
        <n v="91"/>
        <n v="269"/>
        <n v="77"/>
        <n v="33"/>
        <n v="164"/>
        <n v="84"/>
        <n v="72"/>
        <n v="65"/>
        <n v="25"/>
        <n v="12"/>
        <m/>
      </sharedItems>
    </cacheField>
    <cacheField name="点击量" numFmtId="0">
      <sharedItems containsString="0" containsBlank="1" containsNumber="1" containsInteger="1" minValue="0" maxValue="625" count="49">
        <n v="14"/>
        <n v="42"/>
        <n v="20"/>
        <n v="7"/>
        <n v="8"/>
        <n v="242"/>
        <n v="18"/>
        <n v="15"/>
        <n v="63"/>
        <n v="400"/>
        <n v="36"/>
        <n v="343"/>
        <n v="51"/>
        <n v="9"/>
        <n v="0"/>
        <n v="226"/>
        <n v="1"/>
        <n v="325"/>
        <n v="4"/>
        <n v="5"/>
        <n v="2"/>
        <n v="538"/>
        <n v="181"/>
        <n v="3"/>
        <n v="29"/>
        <n v="105"/>
        <n v="28"/>
        <n v="161"/>
        <n v="21"/>
        <n v="82"/>
        <n v="207"/>
        <n v="55"/>
        <n v="72"/>
        <n v="59"/>
        <n v="47"/>
        <n v="16"/>
        <n v="6"/>
        <n v="11"/>
        <n v="57"/>
        <n v="25"/>
        <n v="625"/>
        <n v="34"/>
        <n v="37"/>
        <n v="26"/>
        <n v="89"/>
        <n v="24"/>
        <n v="27"/>
        <n v="22"/>
        <m/>
      </sharedItems>
    </cacheField>
    <cacheField name="点击率(CTR)" numFmtId="0">
      <sharedItems containsString="0" containsBlank="1" containsNumber="1" minValue="0" maxValue="0.0899470899470899" count="67">
        <n v="0.0057923045097228"/>
        <n v="0.00201952204644901"/>
        <n v="0.00548696844993141"/>
        <n v="0.0224358974358974"/>
        <n v="0.00177069499778663"/>
        <n v="0.00543161107869103"/>
        <n v="0.00483221476510067"/>
        <n v="0.00209088374686367"/>
        <n v="0.00610524275608102"/>
        <n v="0.0231870616196163"/>
        <n v="0.00332042058660764"/>
        <n v="0.00498524773629057"/>
        <n v="0.0899470899470899"/>
        <n v="0.0061898211829436"/>
        <n v="0.0159090909090909"/>
        <n v="0.0116811726981219"/>
        <n v="0"/>
        <n v="0.0128001812415043"/>
        <n v="0.0112359550561798"/>
        <n v="0.0116341507069984"/>
        <n v="0.016260162601626"/>
        <n v="0.0120772946859903"/>
        <n v="0.00359712230215827"/>
        <n v="0.00173310225303293"/>
        <n v="0.0034965034965035"/>
        <n v="0.0235294117647059"/>
        <n v="0.00826446280991736"/>
        <n v="0.00904688235689783"/>
        <n v="0.00948786496828642"/>
        <n v="0.00305810397553517"/>
        <n v="0.00334448160535117"/>
        <n v="0.00605780880401546"/>
        <n v="0.00349432172719331"/>
        <n v="0.00202347227842979"/>
        <n v="0.0123494669018946"/>
        <n v="0.00911062906724512"/>
        <n v="0.0170018660584698"/>
        <n v="0.0178818244644091"/>
        <n v="0.000925069380203515"/>
        <n v="0.00322807841295927"/>
        <n v="0.00301633850020947"/>
        <n v="0.0121324285420522"/>
        <n v="0.00411090702352838"/>
        <n v="0.0129032258064516"/>
        <n v="0.026431718061674"/>
        <n v="0.0147255689424364"/>
        <n v="0.0074280408542247"/>
        <n v="0.00314934526769435"/>
        <n v="0.00366837857666911"/>
        <n v="0.0107959649001589"/>
        <n v="0.00743494423791822"/>
        <n v="0.0267085624509034"/>
        <n v="0.0176274416388757"/>
        <n v="0.0243445692883895"/>
        <n v="0.00532792084231891"/>
        <n v="0.0130843869450162"/>
        <n v="0.00345522602936942"/>
        <n v="0.00285714285714286"/>
        <n v="0.00135135135135135"/>
        <n v="0.0104813664596273"/>
        <n v="0.00423482520966537"/>
        <n v="0.0152380952380952"/>
        <n v="0.0117493472584856"/>
        <n v="0.00398550724637681"/>
        <n v="0.0126582278481013"/>
        <n v="0.010989010989011"/>
        <m/>
      </sharedItems>
    </cacheField>
    <cacheField name="每次点击成本(CPC)" numFmtId="0">
      <sharedItems containsString="0" containsBlank="1" containsNumber="1" minValue="0" maxValue="1.13666666666667" count="65">
        <n v="0.102857142857143"/>
        <n v="0.635714285714286"/>
        <n v="0.4075"/>
        <n v="0.514285714285714"/>
        <n v="0.66875"/>
        <n v="0.218429752066116"/>
        <n v="0.233888888888889"/>
        <n v="0.638666666666667"/>
        <n v="0.886666666666667"/>
        <n v="0.27275"/>
        <n v="0.282777777777778"/>
        <n v="0.0511370262390671"/>
        <n v="0.325490196078431"/>
        <n v="0.731111111111111"/>
        <n v="0.0757142857142857"/>
        <n v="0.264705882352941"/>
        <m/>
        <n v="0.0297787610619469"/>
        <n v="0.02"/>
        <n v="0.0836615384615385"/>
        <n v="0.14"/>
        <n v="0.046"/>
        <n v="0.645"/>
        <n v="0.3"/>
        <n v="0.355714285714286"/>
        <n v="0.34"/>
        <n v="0.386115241635688"/>
        <n v="0.364033149171271"/>
        <n v="1.13666666666667"/>
        <n v="0.138620689655172"/>
        <n v="0.284761904761905"/>
        <n v="0.0703571428571429"/>
        <n v="0.591333333333333"/>
        <n v="0.153975155279503"/>
        <n v="0.435238095238095"/>
        <n v="0.299024390243902"/>
        <n v="0.298067632850242"/>
        <n v="0.13"/>
        <n v="0.279818181818182"/>
        <n v="0.17625"/>
        <n v="0.262372881355932"/>
        <n v="0.305531914893617"/>
        <n v="0.2225"/>
        <n v="0.556666666666667"/>
        <n v="0.163636363636364"/>
        <n v="0.1425"/>
        <n v="0.865087719298246"/>
        <n v="0.5972"/>
        <n v="0.057088"/>
        <n v="0.16"/>
        <n v="0.0585294117647059"/>
        <n v="0.185675675675676"/>
        <n v="0.0911538461538462"/>
        <n v="0.375714285714286"/>
        <n v="0.170898876404494"/>
        <n v="0.169583333333333"/>
        <n v="0.3425"/>
        <n v="0.15"/>
        <n v="0.29037037037037"/>
        <n v="0.302156862745098"/>
        <n v="0.316875"/>
        <n v="0.282222222222222"/>
        <n v="0.162727272727273"/>
        <n v="0.32"/>
        <n v="0.46"/>
      </sharedItems>
    </cacheField>
    <cacheField name="花费" numFmtId="0">
      <sharedItems containsString="0" containsBlank="1" containsNumber="1" minValue="0" maxValue="207.73" count="67">
        <n v="1.44"/>
        <n v="26.7"/>
        <n v="8.15"/>
        <n v="3.6"/>
        <n v="5.35"/>
        <n v="52.86"/>
        <n v="4.21"/>
        <n v="9.58"/>
        <n v="55.86"/>
        <n v="109.1"/>
        <n v="10.18"/>
        <n v="17.54"/>
        <n v="16.6"/>
        <n v="6.58"/>
        <n v="0.53"/>
        <n v="13.5"/>
        <n v="0"/>
        <n v="6.73"/>
        <n v="0.02"/>
        <n v="27.19"/>
        <n v="0.56"/>
        <n v="0.23"/>
        <n v="1.29"/>
        <n v="1.2"/>
        <n v="2.49"/>
        <n v="0.04"/>
        <n v="0.68"/>
        <n v="207.73"/>
        <n v="65.89"/>
        <n v="3.41"/>
        <n v="4.02"/>
        <n v="29.9"/>
        <n v="1.97"/>
        <n v="8.87"/>
        <n v="24.79"/>
        <n v="9.14"/>
        <n v="24.52"/>
        <n v="61.7"/>
        <n v="0.13"/>
        <n v="15.39"/>
        <n v="12.69"/>
        <n v="15.48"/>
        <n v="14.36"/>
        <n v="3.56"/>
        <n v="3.34"/>
        <n v="1.8"/>
        <n v="1.14"/>
        <n v="49.31"/>
        <n v="14.93"/>
        <n v="35.68"/>
        <n v="0.64"/>
        <n v="1.99"/>
        <n v="6.87"/>
        <n v="2.37"/>
        <n v="15.78"/>
        <n v="15.21"/>
        <n v="4.07"/>
        <n v="1.37"/>
        <n v="0.15"/>
        <n v="7.84"/>
        <n v="15.41"/>
        <n v="5.07"/>
        <n v="7.62"/>
        <n v="3.58"/>
        <n v="0.32"/>
        <n v="0.46"/>
        <m/>
      </sharedItems>
    </cacheField>
    <cacheField name="7天总销售额" numFmtId="0">
      <sharedItems containsString="0" containsBlank="1" containsNumber="1" minValue="0" maxValue="1607.33" count="40">
        <n v="0"/>
        <n v="24.99"/>
        <n v="16.99"/>
        <n v="19.98"/>
        <n v="354.85"/>
        <n v="77.97"/>
        <n v="109.96"/>
        <n v="1607.33"/>
        <n v="84.95"/>
        <n v="417.78"/>
        <n v="227.88"/>
        <n v="75.97"/>
        <n v="67.96"/>
        <n v="455.76"/>
        <n v="805.57"/>
        <n v="38.98"/>
        <n v="18.99"/>
        <n v="1429.28"/>
        <n v="442.82"/>
        <n v="21.78"/>
        <n v="139.97"/>
        <n v="13.99"/>
        <n v="194.95"/>
        <n v="23.98"/>
        <n v="277.89"/>
        <n v="381.79"/>
        <n v="42.98"/>
        <n v="26.98"/>
        <n v="269.89"/>
        <n v="694.53"/>
        <n v="30.99"/>
        <n v="70.96"/>
        <n v="100.97"/>
        <n v="71.97"/>
        <n v="102.04"/>
        <n v="154.31"/>
        <n v="16.69"/>
        <n v="51.97"/>
        <n v="8.99"/>
        <m/>
      </sharedItems>
    </cacheField>
    <cacheField name="广告成本销售比(ACOS)" numFmtId="0">
      <sharedItems containsString="0" containsBlank="1" containsNumber="1" minValue="0" maxValue="1.06842737094838" count="43">
        <m/>
        <n v="1.06842737094838"/>
        <n v="0.479693937610359"/>
        <n v="0.18018018018018"/>
        <n v="0.148964351134282"/>
        <n v="0.122867769654996"/>
        <n v="0.508002910149145"/>
        <n v="0.0678765405983836"/>
        <n v="0.119835197174809"/>
        <n v="0.0419838192350041"/>
        <n v="0.0728453572055468"/>
        <n v="0.0866131367645123"/>
        <n v="0.198646262507357"/>
        <n v="0.0147665437949798"/>
        <n v="0.0337524982310662"/>
        <n v="0.0143663417136993"/>
        <n v="0.0121116377040548"/>
        <n v="0.00210637177461822"/>
        <n v="0.145338911899698"/>
        <n v="0.148796350661668"/>
        <n v="0.184573002754821"/>
        <n v="0.213617203686504"/>
        <n v="0.634024303073624"/>
        <n v="0.127160810464222"/>
        <n v="0.381150959132611"/>
        <n v="0.0882363525135845"/>
        <n v="0.161607166243223"/>
        <n v="0.358073522568637"/>
        <n v="0.470348406226835"/>
        <n v="0.911124190700412"/>
        <n v="0.211300765155974"/>
        <n v="0.182704064618919"/>
        <n v="0.0513728708623097"/>
        <n v="0.0266889074228524"/>
        <n v="0.0764762826718296"/>
        <n v="0.222378804960541"/>
        <n v="0.150638803605031"/>
        <n v="0.0565513408364596"/>
        <n v="0.0768326146609173"/>
        <n v="0.0998639103104141"/>
        <n v="0.303774715398442"/>
        <n v="0.146623051760631"/>
        <n v="0.398220244716351"/>
      </sharedItems>
    </cacheField>
    <cacheField name="投入产出比(ROAS)" numFmtId="0">
      <sharedItems containsString="0" containsBlank="1" containsNumber="1" minValue="0" maxValue="474.75" count="44">
        <n v="0"/>
        <n v="0.935955056179775"/>
        <n v="2.08466257668712"/>
        <n v="5.55"/>
        <n v="6.71301551267499"/>
        <n v="8.13883089770355"/>
        <n v="1.96849266022198"/>
        <n v="14.7326306141155"/>
        <n v="8.34479371316306"/>
        <n v="23.8187001140251"/>
        <n v="13.7277108433735"/>
        <n v="11.5455927051672"/>
        <n v="5.03407407407407"/>
        <m/>
        <n v="67.7206537890045"/>
        <n v="29.6274365575579"/>
        <n v="69.6071428571428"/>
        <n v="82.5652173913043"/>
        <n v="474.75"/>
        <n v="6.88046984065855"/>
        <n v="6.72059493094552"/>
        <n v="5.41791044776119"/>
        <n v="4.68127090301003"/>
        <n v="1.57722660653889"/>
        <n v="7.86405808793868"/>
        <n v="2.62363238512035"/>
        <n v="11.3331973898858"/>
        <n v="6.18784440842788"/>
        <n v="2.79272254710851"/>
        <n v="2.12608353033885"/>
        <n v="1.09754521963824"/>
        <n v="4.73259052924791"/>
        <n v="5.47333198134253"/>
        <n v="19.4655269058296"/>
        <n v="37.46875"/>
        <n v="13.0759493670886"/>
        <n v="4.49683143219265"/>
        <n v="6.63839579224195"/>
        <n v="17.6830466830467"/>
        <n v="13.015306122449"/>
        <n v="10.0136275146009"/>
        <n v="3.29191321499014"/>
        <n v="6.82020997375328"/>
        <n v="2.51117318435754"/>
      </sharedItems>
    </cacheField>
    <cacheField name="7天总订单数(#)" numFmtId="0">
      <sharedItems containsString="0" containsBlank="1" containsNumber="1" containsInteger="1" minValue="0" maxValue="69" count="19">
        <n v="0"/>
        <n v="1"/>
        <n v="2"/>
        <n v="14"/>
        <n v="3"/>
        <n v="4"/>
        <n v="66"/>
        <n v="21"/>
        <n v="12"/>
        <n v="22"/>
        <n v="43"/>
        <n v="69"/>
        <n v="18"/>
        <n v="13"/>
        <n v="6"/>
        <n v="11"/>
        <n v="36"/>
        <n v="9"/>
        <m/>
      </sharedItems>
    </cacheField>
    <cacheField name="7天总销售量(#)" numFmtId="0">
      <sharedItems containsString="0" containsBlank="1" containsNumber="1" containsInteger="1" minValue="0" maxValue="72" count="21">
        <n v="0"/>
        <n v="1"/>
        <n v="2"/>
        <n v="15"/>
        <n v="3"/>
        <n v="4"/>
        <n v="68"/>
        <n v="5"/>
        <n v="22"/>
        <n v="12"/>
        <n v="24"/>
        <n v="43"/>
        <n v="72"/>
        <n v="18"/>
        <n v="13"/>
        <n v="6"/>
        <n v="11"/>
        <n v="21"/>
        <n v="38"/>
        <n v="9"/>
        <m/>
      </sharedItems>
    </cacheField>
    <cacheField name="7天的转化率" numFmtId="0">
      <sharedItems containsString="0" containsBlank="1" containsNumber="1" minValue="0" maxValue="0.5" count="39">
        <n v="0"/>
        <n v="0.0238095238095238"/>
        <n v="0.05"/>
        <n v="0.285714285714286"/>
        <n v="0.0578512396694215"/>
        <n v="0.2"/>
        <n v="0.0634920634920635"/>
        <n v="0.165"/>
        <n v="0.111111111111111"/>
        <n v="0.0612244897959184"/>
        <n v="0.235294117647059"/>
        <n v="0.333333333333333"/>
        <n v="0.0588235294117647"/>
        <m/>
        <n v="0.0973451327433628"/>
        <n v="0.132307692307692"/>
        <n v="0.5"/>
        <n v="0.128252788104089"/>
        <n v="0.0994475138121547"/>
        <n v="0.0689655172413793"/>
        <n v="0.123809523809524"/>
        <n v="0.0666666666666667"/>
        <n v="0.0372670807453416"/>
        <n v="0.0952380952380952"/>
        <n v="0.134146341463415"/>
        <n v="0.101449275362319"/>
        <n v="0.0363636363636364"/>
        <n v="0.0277777777777778"/>
        <n v="0.0169491525423729"/>
        <n v="0.0851063829787234"/>
        <n v="0.192982456140351"/>
        <n v="0.0576"/>
        <n v="0.0384615384615385"/>
        <n v="0.0337078651685393"/>
        <n v="0.125"/>
        <n v="0.222222222222222"/>
        <n v="0.176470588235294"/>
        <n v="0.0625"/>
        <n v="0.0454545454545455"/>
      </sharedItems>
    </cacheField>
    <cacheField name="7天内广告SKU销售量(#)" numFmtId="0">
      <sharedItems containsString="0" containsBlank="1" containsNumber="1" containsInteger="1" minValue="0" maxValue="68" count="18">
        <n v="0"/>
        <n v="1"/>
        <n v="2"/>
        <n v="14"/>
        <n v="4"/>
        <n v="68"/>
        <n v="9"/>
        <n v="6"/>
        <n v="13"/>
        <n v="28"/>
        <n v="54"/>
        <n v="12"/>
        <n v="5"/>
        <n v="10"/>
        <n v="20"/>
        <n v="23"/>
        <n v="3"/>
        <m/>
      </sharedItems>
    </cacheField>
    <cacheField name="7天内其他SKU销售量(#)" numFmtId="0">
      <sharedItems containsString="0" containsBlank="1" containsNumber="1" containsInteger="1" minValue="0" maxValue="18" count="12">
        <n v="0"/>
        <n v="1"/>
        <n v="13"/>
        <n v="6"/>
        <n v="2"/>
        <n v="11"/>
        <n v="15"/>
        <n v="18"/>
        <n v="5"/>
        <n v="3"/>
        <n v="4"/>
        <m/>
      </sharedItems>
    </cacheField>
    <cacheField name="7天内广告SKU销售额" numFmtId="0">
      <sharedItems containsString="0" containsBlank="1" containsNumber="1" minValue="0" maxValue="1607.33" count="38">
        <n v="0"/>
        <n v="24.99"/>
        <n v="19.98"/>
        <n v="335.86"/>
        <n v="53.98"/>
        <n v="109.96"/>
        <n v="1607.33"/>
        <n v="67.96"/>
        <n v="170.91"/>
        <n v="113.94"/>
        <n v="27.99"/>
        <n v="33.98"/>
        <n v="246.87"/>
        <n v="531.72"/>
        <n v="38.98"/>
        <n v="18.99"/>
        <n v="963.46"/>
        <n v="337.87"/>
        <n v="21.78"/>
        <n v="130.98"/>
        <n v="13.99"/>
        <n v="175.96"/>
        <n v="23.98"/>
        <n v="259.9"/>
        <n v="355.8"/>
        <n v="7.99"/>
        <n v="16.99"/>
        <n v="215.91"/>
        <n v="436.77"/>
        <n v="11.99"/>
        <n v="30.99"/>
        <n v="70.96"/>
        <n v="87.98"/>
        <n v="71.97"/>
        <n v="51.37"/>
        <n v="84.95"/>
        <n v="8.99"/>
        <m/>
      </sharedItems>
    </cacheField>
    <cacheField name="7天内其他SKU销售额" numFmtId="0">
      <sharedItems containsString="0" containsBlank="1" containsNumber="1" minValue="0" maxValue="465.82" count="24">
        <n v="0"/>
        <n v="16.99"/>
        <n v="18.99"/>
        <n v="23.99"/>
        <n v="246.87"/>
        <n v="113.94"/>
        <n v="47.98"/>
        <n v="33.98"/>
        <n v="208.89"/>
        <n v="273.85"/>
        <n v="465.82"/>
        <n v="104.95"/>
        <n v="8.99"/>
        <n v="17.99"/>
        <n v="25.99"/>
        <n v="53.98"/>
        <n v="257.76"/>
        <n v="11.99"/>
        <n v="12.99"/>
        <n v="50.67"/>
        <n v="69.36"/>
        <n v="16.69"/>
        <n v="34.98"/>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51.xml><?xml version="1.0" encoding="utf-8"?>
<pivotCacheDefinition xmlns="http://schemas.openxmlformats.org/spreadsheetml/2006/main" xmlns:r="http://schemas.openxmlformats.org/officeDocument/2006/relationships" r:id="rId1" createdVersion="5" refreshedVersion="5" minRefreshableVersion="3" refreshedDate="45219.617662037" refreshedBy="Administrator" recordCount="88">
  <cacheSource type="worksheet">
    <worksheetSource ref="G1:W1048576" sheet="商品推9.19-10.18" r:id="rId2"/>
  </cacheSource>
  <cacheFields count="19">
    <cacheField name="广告SKU" numFmtId="0">
      <sharedItems containsBlank="1" count="51">
        <s v="Y8002-GR"/>
        <s v="Y8005"/>
        <s v="Y8004"/>
        <s v="Y8010"/>
        <s v="Y8015-RE"/>
        <s v="Y8016-GR"/>
        <s v="Y8020-RE-1"/>
        <s v="Y8020-BL-1"/>
        <s v="Y8007"/>
        <s v="Y8033-BL"/>
        <s v="Y8041-BL"/>
        <s v="Y8034-BL"/>
        <s v="Y8042-GR"/>
        <s v="Y8055"/>
        <s v="Y8056-BL"/>
        <s v="Y8057-BL"/>
        <s v="Y8053*5"/>
        <s v="Y8068-1"/>
        <s v="Y8079-SC"/>
        <s v="Y8080"/>
        <s v="Y8074*2"/>
        <s v="Y8086"/>
        <s v="Y8082-BL"/>
        <s v="Y8083-BL"/>
        <s v="Y8093-1"/>
        <s v="Y8090-2"/>
        <s v="Y8095-GR"/>
        <s v="Y8090-3"/>
        <s v="Y8016-RE"/>
        <s v="Y8055-SC"/>
        <s v="Y8083-PU"/>
        <s v="Y8009-BA-1"/>
        <s v="Y8069-PU"/>
        <s v="Y8052-SI"/>
        <s v="Y8082-NF"/>
        <s v="Y8097-GN"/>
        <s v="Y8095-RE"/>
        <s v="Y8095-GR-1"/>
        <s v="Y8092-BL-1"/>
        <s v="Y8102-MU"/>
        <s v="Y8101-1"/>
        <s v="Y8099"/>
        <s v="Y8816-SC"/>
        <s v="Y8817-GR"/>
        <s v="Y8810-BL"/>
        <s v="Y8810-SC"/>
        <s v="Y8817-BL"/>
        <s v="Y8815-SC"/>
        <s v="Y8814-SC"/>
        <s v="Y8814-BL"/>
        <m/>
      </sharedItems>
    </cacheField>
    <cacheField name="广告ASIN" numFmtId="0">
      <sharedItems containsBlank="1" count="51">
        <s v="B09Z2T2LNF"/>
        <s v="B09ZY6DBSP"/>
        <s v="B0B1D7FZ15"/>
        <s v="B0B2CPRDG4"/>
        <s v="B0B4NP7J23"/>
        <s v="B0B569T45Q"/>
        <s v="B0B5SR53ZR"/>
        <s v="B0B5ST6VGH"/>
        <s v="B0B1DGJ2TQ"/>
        <s v="B0BMVDYPYP"/>
        <s v="B0BP6VMQS3"/>
        <s v="B0BNMCC1BK"/>
        <s v="B0BQ658DFT"/>
        <s v="B0BRKP3QD8"/>
        <s v="B0BT9TK3RN"/>
        <s v="B0BTBDJK8Y"/>
        <s v="B0BTM6SW8Q"/>
        <s v="B0BW8Q2HW3"/>
        <s v="B0BZCJMWYW"/>
        <s v="B0BZVQWSF6"/>
        <s v="B0BYSKSMYD"/>
        <s v="B0C2Z567KN"/>
        <s v="B0C23BT743"/>
        <s v="B0C2P1L51B"/>
        <s v="B0C4LDPJVG"/>
        <s v="B0C4XZ4B7L"/>
        <s v="B0C6F4TVQ2"/>
        <s v="B0C4Y2FCW5"/>
        <s v="B0B56CBTGR"/>
        <s v="B0BW3VLGQG"/>
        <s v="B0C2VCS231"/>
        <s v="B0B5WT8QV5"/>
        <s v="B0C1YK8LFT"/>
        <s v="B0CC5FG1FN"/>
        <s v="B0C1YNWB4Y"/>
        <s v="B0CD28MNTY"/>
        <s v="B0C6F27TL6"/>
        <s v="B0CF87TLHY"/>
        <s v="B0C4XY3Y7T"/>
        <s v="B0CK1D5Q65"/>
        <s v="B0CJXRJVQK"/>
        <s v="B0CJXRST57"/>
        <s v="B0C6T42NWB"/>
        <s v="B0C6T7WR7L"/>
        <s v="B0C6T5FF87"/>
        <s v="B0C6T3QVJL"/>
        <s v="B0C6T66K9F"/>
        <s v="B0C6T4C525"/>
        <s v="B0C6T4RXFQ"/>
        <s v="B0C6T4J33T"/>
        <m/>
      </sharedItems>
    </cacheField>
    <cacheField name="展示量" numFmtId="0">
      <sharedItems containsString="0" containsBlank="1" containsNumber="1" containsInteger="1" minValue="0" maxValue="116769" count="85">
        <n v="4187"/>
        <n v="22371"/>
        <n v="7468"/>
        <n v="2607"/>
        <n v="5081"/>
        <n v="70546"/>
        <n v="6729"/>
        <n v="10426"/>
        <n v="15779"/>
        <n v="32696"/>
        <n v="15996"/>
        <n v="0"/>
        <n v="116769"/>
        <n v="1038"/>
        <n v="1949"/>
        <n v="1151"/>
        <n v="8199"/>
        <n v="193"/>
        <n v="26358"/>
        <n v="209"/>
        <n v="45545"/>
        <n v="356"/>
        <n v="774"/>
        <n v="942"/>
        <n v="7969"/>
        <n v="4320"/>
        <n v="503"/>
        <n v="255"/>
        <n v="351"/>
        <n v="86221"/>
        <n v="34979"/>
        <n v="1694"/>
        <n v="18421"/>
        <n v="34116"/>
        <n v="13642"/>
        <n v="9425"/>
        <n v="17428"/>
        <n v="3632"/>
        <n v="8772"/>
        <n v="18340"/>
        <n v="2016"/>
        <n v="22900"/>
        <n v="36082"/>
        <n v="9838"/>
        <n v="21371"/>
        <n v="1977"/>
        <n v="359"/>
        <n v="1377"/>
        <n v="2168"/>
        <n v="35929"/>
        <n v="11575"/>
        <n v="128"/>
        <n v="95951"/>
        <n v="1500"/>
        <n v="965"/>
        <n v="2832"/>
        <n v="5288"/>
        <n v="2333"/>
        <n v="87"/>
        <n v="10927"/>
        <n v="11621"/>
        <n v="18131"/>
        <n v="2771"/>
        <n v="1120"/>
        <n v="1770"/>
        <n v="7216"/>
        <n v="16053"/>
        <n v="2253"/>
        <n v="3289"/>
        <n v="12822"/>
        <n v="3"/>
        <n v="79"/>
        <n v="91"/>
        <n v="269"/>
        <n v="77"/>
        <n v="9"/>
        <n v="54"/>
        <n v="314"/>
        <n v="100"/>
        <n v="104"/>
        <n v="245"/>
        <n v="43"/>
        <n v="21"/>
        <n v="34"/>
        <m/>
      </sharedItems>
    </cacheField>
    <cacheField name="点击量" numFmtId="0">
      <sharedItems containsString="0" containsBlank="1" containsNumber="1" containsInteger="1" minValue="0" maxValue="1050" count="55">
        <n v="37"/>
        <n v="47"/>
        <n v="54"/>
        <n v="10"/>
        <n v="9"/>
        <n v="387"/>
        <n v="32"/>
        <n v="23"/>
        <n v="79"/>
        <n v="767"/>
        <n v="58"/>
        <n v="0"/>
        <n v="551"/>
        <n v="119"/>
        <n v="11"/>
        <n v="17"/>
        <n v="95"/>
        <n v="2"/>
        <n v="330"/>
        <n v="1"/>
        <n v="534"/>
        <n v="5"/>
        <n v="20"/>
        <n v="7"/>
        <n v="16"/>
        <n v="26"/>
        <n v="4"/>
        <n v="796"/>
        <n v="347"/>
        <n v="3"/>
        <n v="70"/>
        <n v="207"/>
        <n v="50"/>
        <n v="261"/>
        <n v="27"/>
        <n v="152"/>
        <n v="298"/>
        <n v="83"/>
        <n v="151"/>
        <n v="102"/>
        <n v="8"/>
        <n v="19"/>
        <n v="42"/>
        <n v="1050"/>
        <n v="63"/>
        <n v="62"/>
        <n v="93"/>
        <n v="52"/>
        <n v="169"/>
        <n v="59"/>
        <n v="69"/>
        <n v="66"/>
        <n v="21"/>
        <n v="39"/>
        <m/>
      </sharedItems>
    </cacheField>
    <cacheField name="点击率(CTR)" numFmtId="0">
      <sharedItems containsString="0" containsBlank="1" containsNumber="1" minValue="0" maxValue="0.114643545279383" count="71">
        <n v="0.00883687604490088"/>
        <n v="0.0021009342452282"/>
        <n v="0.00723085163363685"/>
        <n v="0.00383582662063675"/>
        <n v="0.00177130486124779"/>
        <n v="0.00548578232642531"/>
        <n v="0.0047555357408233"/>
        <n v="0.00220602340303088"/>
        <n v="0.00500665441409468"/>
        <n v="0.0234585270369464"/>
        <n v="0.00362590647661915"/>
        <m/>
        <n v="0.00471871815293443"/>
        <n v="0.114643545279383"/>
        <n v="0.00564391995895331"/>
        <n v="0.0147697654213727"/>
        <n v="0.0115867788754726"/>
        <n v="0.0103626943005181"/>
        <n v="0.0125199180514455"/>
        <n v="0.00478468899521531"/>
        <n v="0.0117246679108574"/>
        <n v="0.0140449438202247"/>
        <n v="0.0258397932816537"/>
        <n v="0.00212314225053079"/>
        <n v="0.000878403814782281"/>
        <n v="0.0037037037037037"/>
        <n v="0.0516898608349901"/>
        <n v="0"/>
        <n v="0.0113960113960114"/>
        <n v="0.00923208963013651"/>
        <n v="0.00992023785699991"/>
        <n v="0.00177095631641086"/>
        <n v="0.00380001085717388"/>
        <n v="0.00606753429475906"/>
        <n v="0.00366515173728192"/>
        <n v="0.00244031830238727"/>
        <n v="0.0149759008492082"/>
        <n v="0.00743392070484581"/>
        <n v="0.017327861377109"/>
        <n v="0.0162486368593239"/>
        <n v="0.00198412698412698"/>
        <n v="0.00362445414847162"/>
        <n v="0.00418491214455961"/>
        <n v="0.0103679609676764"/>
        <n v="0.00444527630901689"/>
        <n v="0.013151239251391"/>
        <n v="0.0222841225626741"/>
        <n v="0.0123456790123457"/>
        <n v="0.00876383763837638"/>
        <n v="0.0033120877285758"/>
        <n v="0.00362850971922246"/>
        <n v="0.0078125"/>
        <n v="0.0109430855332409"/>
        <n v="0.042"/>
        <n v="0.00932642487046632"/>
        <n v="0.0218926553672316"/>
        <n v="0.0175869894099849"/>
        <n v="0.0222888984140592"/>
        <n v="0.00640614990390775"/>
        <n v="0.0145426383271663"/>
        <n v="0.00325409519607302"/>
        <n v="0.00252616383976904"/>
        <n v="0.000892857142857143"/>
        <n v="0.00395480225988701"/>
        <n v="0.00956208425720621"/>
        <n v="0.00411138105027098"/>
        <n v="0.00932090545938748"/>
        <n v="0.0118577075098814"/>
        <n v="0.00545936671346124"/>
        <n v="0.0126582278481013"/>
        <n v="0.010989010989011"/>
      </sharedItems>
    </cacheField>
    <cacheField name="每次点击成本(CPC)" numFmtId="0">
      <sharedItems containsString="0" containsBlank="1" containsNumber="1" minValue="0" maxValue="1.13666666666667" count="68">
        <n v="0.134864864864865"/>
        <n v="0.60468085106383"/>
        <n v="0.341296296296296"/>
        <n v="0.507"/>
        <n v="0.641111111111111"/>
        <n v="0.206847545219638"/>
        <n v="0.2296875"/>
        <n v="0.565217391304348"/>
        <n v="0.896708860759494"/>
        <n v="0.275593220338983"/>
        <n v="0.301379310344828"/>
        <m/>
        <n v="0.0497096188747732"/>
        <n v="0.326050420168067"/>
        <n v="0.72"/>
        <n v="0.117058823529412"/>
        <n v="0.265894736842105"/>
        <n v="0.045"/>
        <n v="0.0298484848484848"/>
        <n v="0.02"/>
        <n v="0.0827528089887641"/>
        <n v="0.132"/>
        <n v="0.047"/>
        <n v="0.645"/>
        <n v="0.317142857142857"/>
        <n v="0.464375"/>
        <n v="0.36"/>
        <n v="0.381582914572864"/>
        <n v="0.361902017291066"/>
        <n v="1.13666666666667"/>
        <n v="0.137428571428571"/>
        <n v="0.279806763285024"/>
        <n v="0.075"/>
        <n v="0.566956521739131"/>
        <n v="0.148467432950192"/>
        <n v="0.437037037037037"/>
        <n v="0.29375"/>
        <n v="0.299060402684564"/>
        <n v="0.13"/>
        <n v="0.266385542168675"/>
        <n v="0.178079470198675"/>
        <n v="0.262156862745098"/>
        <n v="0.300736842105263"/>
        <n v="0.220769230769231"/>
        <n v="0.4725"/>
        <n v="0.153529411764706"/>
        <n v="0.142105263157895"/>
        <n v="0.888151260504201"/>
        <n v="0.597142857142857"/>
        <n v="0.15"/>
        <n v="0.0571428571428572"/>
        <n v="0.116825396825397"/>
        <n v="0.144444444444444"/>
        <n v="0.0564516129032258"/>
        <n v="0.179462365591398"/>
        <n v="0.0944230769230769"/>
        <n v="0.382285714285714"/>
        <n v="0.168224852071006"/>
        <n v="0.167627118644068"/>
        <n v="0.344285714285714"/>
        <n v="0.471428571428571"/>
        <n v="0.284347826086957"/>
        <n v="0.295151515151515"/>
        <n v="0.310952380952381"/>
        <n v="0.284615384615385"/>
        <n v="0.145428571428571"/>
        <n v="0.32"/>
        <n v="0.46"/>
      </sharedItems>
    </cacheField>
    <cacheField name="花费" numFmtId="0">
      <sharedItems containsString="0" containsBlank="1" containsNumber="1" minValue="0" maxValue="303.74" count="69">
        <n v="4.99"/>
        <n v="28.42"/>
        <n v="18.43"/>
        <n v="5.07"/>
        <n v="5.77"/>
        <n v="80.05"/>
        <n v="7.35"/>
        <n v="13"/>
        <n v="70.84"/>
        <n v="211.38"/>
        <n v="17.48"/>
        <n v="0"/>
        <n v="27.39"/>
        <n v="38.8"/>
        <n v="7.92"/>
        <n v="1.99"/>
        <n v="25.26"/>
        <n v="0.09"/>
        <n v="9.85"/>
        <n v="0.02"/>
        <n v="44.19"/>
        <n v="0.66"/>
        <n v="0.94"/>
        <n v="1.29"/>
        <n v="2.22"/>
        <n v="7.43"/>
        <n v="0.52"/>
        <n v="1.44"/>
        <n v="303.74"/>
        <n v="125.58"/>
        <n v="3.41"/>
        <n v="9.62"/>
        <n v="57.92"/>
        <n v="3.75"/>
        <n v="13.04"/>
        <n v="38.75"/>
        <n v="11.8"/>
        <n v="44.65"/>
        <n v="89.12"/>
        <n v="22.11"/>
        <n v="26.89"/>
        <n v="26.74"/>
        <n v="28.57"/>
        <n v="5.74"/>
        <n v="3.78"/>
        <n v="2.61"/>
        <n v="2.7"/>
        <n v="105.69"/>
        <n v="25.08"/>
        <n v="0.15"/>
        <n v="60"/>
        <n v="7.36"/>
        <n v="1.3"/>
        <n v="3.5"/>
        <n v="16.69"/>
        <n v="4.91"/>
        <n v="26.76"/>
        <n v="28.43"/>
        <n v="9.89"/>
        <n v="2.41"/>
        <n v="3.3"/>
        <n v="19.62"/>
        <n v="19.48"/>
        <n v="6.53"/>
        <n v="11.1"/>
        <n v="10.18"/>
        <n v="0.32"/>
        <n v="0.46"/>
        <m/>
      </sharedItems>
    </cacheField>
    <cacheField name="7天总销售额" numFmtId="0">
      <sharedItems containsString="0" containsBlank="1" containsNumber="1" minValue="0" maxValue="3022.74" count="46">
        <n v="0"/>
        <n v="24.99"/>
        <n v="117.63"/>
        <n v="19.98"/>
        <n v="570.76"/>
        <n v="101.96"/>
        <n v="277.9"/>
        <n v="3022.74"/>
        <n v="152.91"/>
        <n v="702.63"/>
        <n v="531.72"/>
        <n v="75.97"/>
        <n v="135.92"/>
        <n v="683.64"/>
        <n v="1527.19"/>
        <n v="38.98"/>
        <n v="18.99"/>
        <n v="75.96"/>
        <n v="2037.46"/>
        <n v="843.65"/>
        <n v="21.78"/>
        <n v="248.87"/>
        <n v="73.95"/>
        <n v="470.88"/>
        <n v="23.98"/>
        <n v="485.81"/>
        <n v="577.69"/>
        <n v="110.95"/>
        <n v="69.93"/>
        <n v="118.93"/>
        <n v="169.9"/>
        <n v="413.83"/>
        <n v="1397.16"/>
        <n v="244.87"/>
        <n v="31.99"/>
        <n v="73.87"/>
        <n v="30.99"/>
        <n v="96.95"/>
        <n v="408.9"/>
        <n v="119.95"/>
        <n v="185.79"/>
        <n v="154.31"/>
        <n v="16.69"/>
        <n v="51.97"/>
        <n v="17.98"/>
        <m/>
      </sharedItems>
    </cacheField>
    <cacheField name="广告成本销售比(ACOS)" numFmtId="0">
      <sharedItems containsString="0" containsBlank="1" containsNumber="1" minValue="0" maxValue="1.13725490196078" count="46">
        <m/>
        <n v="1.13725490196078"/>
        <n v="0.156677718269149"/>
        <n v="0.253753753753754"/>
        <n v="0.140251594365408"/>
        <n v="0.127500980776775"/>
        <n v="0.254911838790932"/>
        <n v="0.0699299311220946"/>
        <n v="0.114315610489831"/>
        <n v="0.0389821100721575"/>
        <n v="0.0729707364778454"/>
        <n v="0.104251678294063"/>
        <n v="0.185844614479105"/>
        <n v="0.0144081680416593"/>
        <n v="0.0289354959107904"/>
        <n v="0.0169317598768599"/>
        <n v="0.0494997367035282"/>
        <n v="0.00684570826750922"/>
        <n v="0.149077773305979"/>
        <n v="0.14885319741599"/>
        <n v="0.441689623507805"/>
        <n v="0.232731948406799"/>
        <n v="0.176335361730899"/>
        <n v="0.0822927285083248"/>
        <n v="0.492076730608841"/>
        <n v="0.0919083592350919"/>
        <n v="0.154269590957088"/>
        <n v="0.199278954484002"/>
        <n v="0.384527384527384"/>
        <n v="0.224838140082401"/>
        <n v="0.168157739846969"/>
        <n v="0.255394727303482"/>
        <n v="0.0429442583526582"/>
        <n v="0.0300567648139829"/>
        <n v="0.0542118432026689"/>
        <n v="0.109409190371991"/>
        <n v="0.225937457695952"/>
        <n v="0.158438205872862"/>
        <n v="0.276018566271274"/>
        <n v="0.0695280019564685"/>
        <n v="0.0824510212588579"/>
        <n v="0.105603100274503"/>
        <n v="0.126239388244443"/>
        <n v="0.391252246854404"/>
        <n v="0.213584760438715"/>
        <n v="0.566184649610679"/>
      </sharedItems>
    </cacheField>
    <cacheField name="投入产出比(ROAS)" numFmtId="0">
      <sharedItems containsString="0" containsBlank="1" containsNumber="1" minValue="0" maxValue="146.076923076923" count="47">
        <n v="0"/>
        <n v="0.879310344827586"/>
        <n v="6.38252848616386"/>
        <n v="3.94082840236686"/>
        <n v="7.13004372267333"/>
        <n v="7.84307692307692"/>
        <n v="3.92292490118577"/>
        <n v="14.3000283848992"/>
        <n v="8.74771167048055"/>
        <m/>
        <n v="25.6527929901424"/>
        <n v="13.7041237113402"/>
        <n v="9.59217171717172"/>
        <n v="5.38083927157561"/>
        <n v="69.405076142132"/>
        <n v="34.5596288753112"/>
        <n v="59.0606060606061"/>
        <n v="20.2021276595745"/>
        <n v="146.076923076923"/>
        <n v="6.70790807927833"/>
        <n v="6.71802834846314"/>
        <n v="2.26403326403326"/>
        <n v="4.29678867403315"/>
        <n v="5.67101226993865"/>
        <n v="12.1517419354839"/>
        <n v="2.03220338983051"/>
        <n v="10.8804031354983"/>
        <n v="6.48215888689408"/>
        <n v="5.01809136137494"/>
        <n v="2.60059501673485"/>
        <n v="4.44764397905759"/>
        <n v="5.94679733986699"/>
        <n v="3.91550761661463"/>
        <n v="23.286"/>
        <n v="33.2703804347826"/>
        <n v="18.4461538461538"/>
        <n v="9.14"/>
        <n v="4.42600359496705"/>
        <n v="6.31160896130346"/>
        <n v="3.62294469357249"/>
        <n v="14.382694336968"/>
        <n v="12.1284125379171"/>
        <n v="9.46941896024465"/>
        <n v="7.92145790554415"/>
        <n v="2.55589586523737"/>
        <n v="4.68198198198198"/>
        <n v="1.76620825147348"/>
      </sharedItems>
    </cacheField>
    <cacheField name="7天总订单数(#)" numFmtId="0">
      <sharedItems containsString="0" containsBlank="1" containsNumber="1" containsInteger="1" minValue="0" maxValue="124" count="26">
        <n v="0"/>
        <n v="1"/>
        <n v="7"/>
        <n v="2"/>
        <n v="23"/>
        <n v="4"/>
        <n v="10"/>
        <n v="124"/>
        <n v="8"/>
        <n v="35"/>
        <n v="28"/>
        <n v="3"/>
        <n v="33"/>
        <n v="80"/>
        <n v="101"/>
        <n v="34"/>
        <n v="5"/>
        <n v="12"/>
        <n v="19"/>
        <n v="31"/>
        <n v="17"/>
        <n v="74"/>
        <n v="13"/>
        <n v="9"/>
        <n v="11"/>
        <m/>
      </sharedItems>
    </cacheField>
    <cacheField name="7天总销售量(#)" numFmtId="0">
      <sharedItems containsString="0" containsBlank="1" containsNumber="1" containsInteger="1" minValue="0" maxValue="127" count="27">
        <n v="0"/>
        <n v="1"/>
        <n v="7"/>
        <n v="2"/>
        <n v="24"/>
        <n v="4"/>
        <n v="10"/>
        <n v="127"/>
        <n v="9"/>
        <n v="37"/>
        <n v="28"/>
        <n v="3"/>
        <n v="8"/>
        <n v="36"/>
        <n v="82"/>
        <n v="104"/>
        <n v="35"/>
        <n v="23"/>
        <n v="5"/>
        <n v="13"/>
        <n v="19"/>
        <n v="31"/>
        <n v="17"/>
        <n v="76"/>
        <n v="14"/>
        <n v="11"/>
        <m/>
      </sharedItems>
    </cacheField>
    <cacheField name="7天的转化率" numFmtId="0">
      <sharedItems containsString="0" containsBlank="1" containsNumber="1" minValue="0" maxValue="0.4" count="46">
        <n v="0"/>
        <n v="0.0212765957446809"/>
        <n v="0.12962962962963"/>
        <n v="0.2"/>
        <n v="0.0594315245478036"/>
        <n v="0.173913043478261"/>
        <n v="0.126582278481013"/>
        <n v="0.161668839634941"/>
        <n v="0.137931034482759"/>
        <m/>
        <n v="0.0635208711433757"/>
        <n v="0.235294117647059"/>
        <n v="0.272727272727273"/>
        <n v="0.0736842105263158"/>
        <n v="0.1"/>
        <n v="0.149812734082397"/>
        <n v="0.4"/>
        <n v="0.05"/>
        <n v="0.153846153846154"/>
        <n v="0.126884422110553"/>
        <n v="0.0979827089337176"/>
        <n v="0.0285714285714286"/>
        <n v="0.111111111111111"/>
        <n v="0.217391304347826"/>
        <n v="0.0459770114942529"/>
        <n v="0.0740740740740741"/>
        <n v="0.125"/>
        <n v="0.104026845637584"/>
        <n v="0.0481927710843374"/>
        <n v="0.0463576158940397"/>
        <n v="0.0686274509803922"/>
        <n v="0.105263157894737"/>
        <n v="0.142857142857143"/>
        <n v="0.0704761904761905"/>
        <n v="0.206349206349206"/>
        <n v="0.222222222222222"/>
        <n v="0.0161290322580645"/>
        <n v="0.032258064516129"/>
        <n v="0.0192307692307692"/>
        <n v="0.0714285714285714"/>
        <n v="0.0532544378698225"/>
        <n v="0.0847457627118644"/>
        <n v="0.159420289855072"/>
        <n v="0.136363636363636"/>
        <n v="0.0476190476190476"/>
        <n v="0.0769230769230769"/>
      </sharedItems>
    </cacheField>
    <cacheField name="7天内广告SKU销售量(#)" numFmtId="0">
      <sharedItems containsString="0" containsBlank="1" containsNumber="1" containsInteger="1" minValue="0" maxValue="127" count="23">
        <n v="0"/>
        <n v="1"/>
        <n v="2"/>
        <n v="23"/>
        <n v="10"/>
        <n v="127"/>
        <n v="7"/>
        <n v="16"/>
        <n v="6"/>
        <n v="21"/>
        <n v="53"/>
        <n v="4"/>
        <n v="78"/>
        <n v="22"/>
        <n v="11"/>
        <n v="18"/>
        <n v="28"/>
        <n v="8"/>
        <n v="15"/>
        <n v="46"/>
        <n v="9"/>
        <n v="5"/>
        <m/>
      </sharedItems>
    </cacheField>
    <cacheField name="7天内其他SKU销售量(#)" numFmtId="0">
      <sharedItems containsString="0" containsBlank="1" containsNumber="1" containsInteger="1" minValue="0" maxValue="30" count="14">
        <n v="0"/>
        <n v="6"/>
        <n v="1"/>
        <n v="2"/>
        <n v="21"/>
        <n v="12"/>
        <n v="15"/>
        <n v="29"/>
        <n v="26"/>
        <n v="3"/>
        <n v="30"/>
        <n v="5"/>
        <n v="4"/>
        <m/>
      </sharedItems>
    </cacheField>
    <cacheField name="7天内广告SKU销售额" numFmtId="0">
      <sharedItems containsString="0" containsBlank="1" containsNumber="1" minValue="0" maxValue="3022.74" count="42">
        <n v="0"/>
        <n v="24.99"/>
        <n v="15.99"/>
        <n v="19.98"/>
        <n v="551.77"/>
        <n v="53.98"/>
        <n v="277.9"/>
        <n v="3022.74"/>
        <n v="118.93"/>
        <n v="303.84"/>
        <n v="27.99"/>
        <n v="101.94"/>
        <n v="398.79"/>
        <n v="987.48"/>
        <n v="38.98"/>
        <n v="75.96"/>
        <n v="1395.22"/>
        <n v="597.77"/>
        <n v="21.78"/>
        <n v="239.88"/>
        <n v="55.96"/>
        <n v="439.9"/>
        <n v="23.98"/>
        <n v="467.82"/>
        <n v="499.72"/>
        <n v="50.94"/>
        <n v="135.92"/>
        <n v="359.85"/>
        <n v="854.55"/>
        <n v="151.92"/>
        <n v="11.99"/>
        <n v="31.99"/>
        <n v="62.98"/>
        <n v="30.99"/>
        <n v="70.96"/>
        <n v="395.91"/>
        <n v="119.95"/>
        <n v="118.13"/>
        <n v="84.95"/>
        <n v="16.99"/>
        <n v="17.98"/>
        <m/>
      </sharedItems>
    </cacheField>
    <cacheField name="7天内其他SKU销售额" numFmtId="0">
      <sharedItems containsString="0" containsBlank="1" containsNumber="1" minValue="0" maxValue="642.24" count="28">
        <n v="0"/>
        <n v="101.64"/>
        <n v="18.99"/>
        <n v="47.98"/>
        <n v="33.98"/>
        <n v="398.79"/>
        <n v="227.88"/>
        <n v="284.85"/>
        <n v="539.71"/>
        <n v="642.24"/>
        <n v="245.88"/>
        <n v="8.99"/>
        <n v="17.99"/>
        <n v="30.98"/>
        <n v="77.97"/>
        <n v="71.97"/>
        <n v="53.98"/>
        <n v="542.61"/>
        <n v="92.95"/>
        <n v="11.99"/>
        <n v="10.89"/>
        <n v="25.99"/>
        <n v="12.99"/>
        <n v="67.66"/>
        <n v="69.36"/>
        <n v="16.69"/>
        <n v="34.98"/>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52.xml><?xml version="1.0" encoding="utf-8"?>
<pivotCacheDefinition xmlns="http://schemas.openxmlformats.org/spreadsheetml/2006/main" xmlns:r="http://schemas.openxmlformats.org/officeDocument/2006/relationships" r:id="rId1" createdVersion="5" refreshedVersion="5" minRefreshableVersion="3" refreshedDate="45219.619224537" refreshedBy="Administrator" recordCount="70">
  <cacheSource type="worksheet">
    <worksheetSource ref="B1:O1048576" sheet="销售10.12-10.18" r:id="rId2"/>
  </cacheSource>
  <cacheFields count="14">
    <cacheField name="（子）ASIN" numFmtId="0">
      <sharedItems containsBlank="1" count="66">
        <s v="B0BVMG2B48"/>
        <s v="B0BZ439ZHM"/>
        <s v="B0BZ3ZZQXL"/>
        <s v="B0BVPN4L87"/>
        <s v="B0BX252DLT"/>
        <s v="B0BVMG33FS"/>
        <s v="B0BX1X4VP8"/>
        <s v="B0B5SX52BD"/>
        <s v="B0B6333ZLX"/>
        <s v="B0B7HXB967"/>
        <s v="B0BZ3ZMR15"/>
        <s v="B0B632PTY2"/>
        <s v="B0BVNW9PY5"/>
        <s v="B0B7HYLDSL"/>
        <s v="B0B7HZ9RN6"/>
        <s v="B0BYCMVK7Q"/>
        <s v="B0C61LCZK7"/>
        <s v="B0CF8GVH1N"/>
        <s v="B0CFQX1KZM"/>
        <s v="B0B5ZPQ3NS"/>
        <s v="B0B635ZHTN"/>
        <s v="B0B7J2W7P2"/>
        <s v="B0BVMH4Q7J"/>
        <s v="B0C5T6KTZ4"/>
        <s v="B0CF8LG9SX"/>
        <s v="B0CF8P8B1X"/>
        <s v="B0B5N5NMJN"/>
        <s v="B0B5QJGPS2"/>
        <s v="B0B5Z3R5GW"/>
        <s v="B0B7HX1QK8"/>
        <s v="B0C5T553YJ"/>
        <s v="B0C5T89X9T"/>
        <s v="B0C61FL9NS"/>
        <s v="B0C61JT74Y"/>
        <s v="B0C6DWXLZV"/>
        <s v="B0CF8DYKBR"/>
        <s v="B0CF8LKWD2"/>
        <s v="B0CF8MMRMK"/>
        <s v="B0CF8N1G5P"/>
        <s v="B0B5N198G3"/>
        <s v="B0B5N2J21Z"/>
        <s v="B0B5N3K7LB"/>
        <s v="B0B5N3SD8W"/>
        <s v="B0B5R772YP"/>
        <s v="B0B5SVSCXW"/>
        <s v="B0B5SW89MJ"/>
        <s v="B0B5WY83MR"/>
        <s v="B0B5X12SMJ"/>
        <s v="B0B5X7P8NJ"/>
        <s v="B0B5Z3Q8FC"/>
        <s v="B0B6VJJMWD"/>
        <s v="B0B6VLWLHF"/>
        <s v="B0B7J2NR5N"/>
        <s v="B0B7JCHTKH"/>
        <s v="B0B7JCJGP5"/>
        <s v="B0B7JFWQ4F"/>
        <s v="B0C5T6TTX2"/>
        <s v="B0C61HN4GR"/>
        <s v="B0C6DYVTHK"/>
        <s v="B0C7VSGBVP"/>
        <s v="B0CF8FKZ5B"/>
        <s v="B0CF8KNMGM"/>
        <s v="B0CF8LLWRT"/>
        <s v="B0CF8M7LYZ"/>
        <s v="B0CFQSZ24S"/>
        <m/>
      </sharedItems>
    </cacheField>
    <cacheField name="商品名称" numFmtId="0">
      <sharedItems containsBlank="1" count="66">
        <s v="NIRIAHO Portable Fan, Mini Fan Personal Fan Handheld Fan USB Rechargeable Small Fan Foldable Desk Fan 5000mAh Battery [16H Max Cooling Time] with 5 Speeds Ideal for Travel/Outdoor/Camping (Blue)"/>
        <s v="NIRIAHO Portable Fan, Small Mini Fan 5 in 1 as Power Bank,Phone Holder,Handheld,Desk Fan,Neck Fan 3000mAh Foldable Fan with 4 Speeds [10H Max Cooling Time] Ideal for Travel/Outdoor/Camping (Blue)"/>
        <s v="NIRIAHO Portable Fan, Small Mini Fan 5 in 1 as Power Bank,Phone Holder,Handheld,Desk Fan,Neck Fan 3000mAh Battery Fan with 4 Speeds [10H Max Cooling Time] Ideal for Travel/Outdoor/Camping (White)"/>
        <s v="NIRIAHO Portable Fan, Mini Fan Personal Fan Handheld Fan USB Rechargeable Small Fan Foldable Desk Fan 5000mAh Battery [16H Max Cooling Time] with 5 Speeds Ideal for Travel/Outdoor/Camping (Pink)"/>
        <s v="NIRIAHO Pressure Washer Wand, High Pressure Hose Nozzle Garden Hose Wand Power Sprayer Extendable Car Wash Nozzle Washer Gun with 3 Hose Nozzles for Garden Hose/Window/Car Washing (Black)"/>
        <s v="NIRIAHO Portable Fan, Mini Fan Personal Fan Handheld Fan USB Rechargeable Small Fan Foldable Desk Fan 5000mAh Battery [16H Max Cooling Time] with 5 Speeds Ideal for Travel/Outdoor/Camping (Green)"/>
        <s v="Pressure Washer Wand, NIRIAHO High Pressure Hose Nozzle Garden Hose Wand Power Sprayer Extendable Car Wash Nozzle Washer Gun with 3 Hose Nozzles for Garden Hose/Window/Car Washing (Blue)"/>
        <s v="NIRIAHO Phone Case for Samsung Galaxy A42 5G case,Heavy Duty Hard Shockproof Protector Armor Case Cover with Belt Clip Holster for Samsung Galaxy A42 5G Phone (Navy Blue)"/>
        <s v="NIRIAHO Phone Case for Samsung Galaxy A12 5G case,Heavy Duty Hard Shockproof Armor Protector Case Cover with Belt Clip Holster for Samsung Galaxy A12 5G Phone Case (Navy Blue)"/>
        <s v="NIRIAHO Phone Case for Samsung Galaxy A12 5G case,Heavy Duty Hard Shockproof Armor Protector Case Cover with Belt Clip Holster for Samsung Galaxy A12 5G Phone Case (Black+Orange)"/>
        <s v="NIRIAHO Portable Fan, Small Mini Fan 5 in 1 as Power Bank,Phone Holder,Handheld,Desk Fan,Neck Fan 3000mAh Battery Fan with 4 Speeds [10H Max Cooling Time] Ideal for Travel/Outdoor/Camping (Black)"/>
        <s v="NIRIAHO Phone Case for Samsung Galaxy A32 5G, Heavy Duty Hard Shockproof Protector Armor Case Cover with Belt Clip Holster for Samsung Galaxy A32 5G Phone (Navy Blue)"/>
        <s v="NIRIAHO Portable Fan, Mini Fan Personal Fan Handheld Fan USB Rechargeable Small Fan Foldable Desk Fan 5000mAh Battery [16H Max Cooling Time] with 5 Speeds Ideal for Travel/Outdoor/Camping (White)"/>
        <s v="NIRIAHO Phone Case for Samsung Galaxy A32 5G, Heavy Duty Hard Shockproof Protector Armor Case Cover with Belt Clip Holster for Samsung Galaxy A32 5G Phone (Black+Orange)"/>
        <s v="NIRIAHO Phone Case for Samsung Galaxy A12 5G case,Heavy Duty Hard Shockproof Armor Protector Case Cover with Belt Clip Holster for Samsung Galaxy A12 5G Phone Case (Black)"/>
        <s v="pH Meter, NIRIAHO TDS Meter 8-in-1 pH Tester PPM Meter EC Meter Salt Tester ORP H2 Tester Temp Tester Digital Range with 0-14, 0.001 High Accuracy, Ideal for Water/Pool/Aquarium/Wine(8-in-1 pH Meter)"/>
        <s v="NIRIAHO Phone Case for Moto G Stylus 5G 2021, Heavy Duty Hard Shockproof Armor Protector Case Cover with Belt Clip Holster for Motorola G Stylus 5G 2021 Phone (Black+Orange)"/>
        <s v="NIRIAHO 5 Tier Mobile Bookshelf, Movable Bookshelf Rolling Office Paper Organizer Book Rack Storage Removable Utility Small Bookcase with Wheels for Office, Dorm, Classroom, Nursery, White"/>
        <s v="NIRIAHO 6 Tier Standing Shoe Rack for Closet, Small Shoe Shelf Space Saving, Plastic Shoe Storage Cabinet Free Standing Shoe Racks Storage and Organization for Entryway Shoe Storage (Grey)"/>
        <s v="NIRIAHO LG Stylo 5 Case, LG Stylo 5 Plus/LG Stylo 5V Case,Heavy Duty Hard Shockproof Protector Shield Case Cover with Belt Clip and Kickstand for LG Stylo 5 (Black)"/>
        <s v="NIRIAHO Phone Case for Moto G Power 2021, Heavy Duty Hard Shockproof Armor Protector Case Cover with Belt Clip Holster for Motorola G Power 2021 Phone (Navy Blue)"/>
        <s v="NIRIAHO Phone Case for Moto G Power 2021, Heavy Duty Hard Shockproof Armor Protector Case Cover with Belt Clip Holster for Motorola G Power 2021 Phone (Black)"/>
        <s v="NIRIAHO Portable Fan, Mini Fan Personal Fan Handheld Fan USB Rechargeable Small Fan Foldable Desk Fan 5000mAh Battery [16H Max Cooling Time] with 5 Speeds Ideal for Travel/Outdoor/Camping (Violet)"/>
        <s v="NIRIAHO Phone Case for Samsung Galaxy S22 5G (with 2 Screen Protectors) Heavy Duty Non-Slip Shockproof Protective Phone Cover with Belt Clip Holster for Samsung S22 5G 6.1-inch Phone (Black+Blue)"/>
        <s v="NIRIAHO Vertical Shoe Rack, 7 Tier Narrow Shoe Organizer, Free Standing Shoe Racks Space Saving Shoe Shelf for Entryway Storage, Free Stand Shoe Tower with Plastic Material"/>
        <s v="NIRIAHO 3 Tier Foldable Shoe Rack Organizer, Installation-free White Shoe Storage Boxes Plastic Storage Shelves Collapsible Shoe Rack Organizer for Closet Storage Shelves with Clear Door"/>
        <s v="NIRIAHO Phone Case for Google Pixel 6 (Not for Pixel 6 Pro) Heavy Duty Non-Slip Shockproof Protective Phone Cover with Belt Clip Holster for Google Pixel 6 2021 6.4-inch (Black)"/>
        <s v="NIRIAHO Phone Case for iPhone 13 Pro Max Case,Heavy Duty Hard Shockproof Armor Protector Case Cover with Belt Clip Holster for Apple iPhone 13 Pro Max 5G 2021 Phone Case (Navy Blue)"/>
        <s v="NIRIAHO Phone Case for Samsung Galaxy A11, Heavy Duty Hard Shockproof Protector Shield Case Cover with Belt Clip Holster for Samsung Galaxy A11 Phone (Black+Orange)"/>
        <s v="NIRIAHO Phone Case for Samsung Galaxy A32 5G, Heavy Duty Hard Shockproof Protector Armor Case Cover with Belt Clip Holster for Samsung Galaxy A32 5G Phone (Black)"/>
        <s v="NIRIAHO Phone Case for Samsung Galaxy S22 5G (with 2 Screen Protectors) Heavy Duty Non-Slip Shockproof Protective Phone Cover with Belt Clip Holster for Samsung S22 5G 6.1-inch Phone (Black)"/>
        <s v="NIRIAHO Phone Case for Samsung Galaxy S22 5G (with 2 Screen Protectors) Heavy Duty Non-Slip Shockproof Protective Phone Cover with Belt Clip Holster for Samsung S22 5G 6.1-inch Phone (Navy Blue)"/>
        <s v="NIRIAHO Phone Case for Moto G Play 2021 Case,Heavy Duty Hard Shockproof Armor Protector Case Cover with Belt Clip Holster for Motorola G Play 2021 Phone (Navy Blue)"/>
        <s v="NIRIAHO Phone Case for Moto G Stylus 5G 2021, Heavy Duty Hard Shockproof Armor Protector Case Cover with Belt Clip Holster for Motorola G Stylus 5G 2021 Phone (Navy Blue)"/>
        <s v="NIRIAHO Cabinet Handles, 6 Pack Drawer Pulls 5 Inch Length Cabinet Pulls (3 Inch Hole Center) Cupboard Handles for Kitchen Cabinets and Drawers"/>
        <s v="NIRIAHO 6 Tier Mobile Bookshelf, Rolling Cart Multi-Functional Movable Storage Book Shelves, Utility Cart Office Organizer Khaki Bookshelves with Lockable Casters for Office, Dorm, Classroom"/>
        <s v="NIRIAHO Foldable Shoe Rack Organizer, Installation-free 6 Tiers Foldable Storage Box with Clear Door, White Plastic Shoe Box Collapsible Shoe Organizer for Closet Storage Shelves Easy Assembly"/>
        <s v="NIRIAHO 5 Tier Shoe Rack Organizer Closet, Shoe Organizer for Entryway Shoe Storage, Narrow Free Standing Shoe Rack Plastic Vertical Shoe Holder for Closet Small Spaces Cubby Shoe Stand (Green)"/>
        <s v="NIRIAHO Free Standing Shoe Racks, 6 Tier Narrow Shoe Rack for Front Door Entrance, Plastic Cube Organizer Shoe Storage Cabinet Narrow Vertical Shoe Rack for Small Spaces Bedroom Shoe Tower (Grey)"/>
        <s v="NIRIAHO Phone Case for Samsung Galaxy A13 5G(with 2 Screen Protectors) Heavy Duty Non-Slip Shockproof Protective Phone Cover with Belt Clip Holster for Samsung A13 5G 6.5-inch (Black+Blue)"/>
        <s v="NIRIAHO Phone Case for Samsung Galaxy A13 5G(with 2 Screen Protectors) Heavy Duty Non-Slip Shockproof Protective Phone Cover with Belt Clip Holster for Samsung A13 5G 6.5-inch (Black)"/>
        <s v="NIRIAHO Phone Case for Google Pixel 6 Pro (Not for Pixel 6) Heavy Duty Non-Slip Shockproof Protective Phone Cover with Belt Clip Holster for Google Pixel 6 Pro 2021 6.71-inch (Navy Blue)"/>
        <s v="NIRIAHO Phone Case for Google Pixel 6 Pro (Not for Pixel 6) Heavy Duty Non-Slip Shockproof Protective Phone Cover with Belt Clip Holster for Google Pixel 6 Pro 2021 6.71-inch (Black+Blue)"/>
        <s v="NIRIAHO Phone Case for Motorola G Power 2022 (with 2 Screen Protectors) Heavy Duty Non-Slip Shockproof Protective Phone Cover with Belt Clip Holster for Moto G Power 2022 6.5-inch (Navy Blue)"/>
        <s v="NIRIAHO Compatible with iPhone 12 Case, iPhone 12 Pro Case, Heavy Duty Hard Shockproof Armor Protector Case Cover with Belt Clip Holster for Apple iPhone 12 6.1 2020 Phone Case (Black+Orange)"/>
        <s v="NIRIAHO Phone Case for Samsung Galaxy A42 5G case,Heavy Duty Hard Shockproof Protector Armor Case Cover with Belt Clip Holster for Samsung Galaxy A42 5G Phone (Black)"/>
        <s v="NIRIAHO Phone Case for Samsung Galaxy A52 5G/4G A52S 5G case,Heavy Duty Hard Shockproof Protector Armor Case Cover with Belt Clip Holster for Samsung Galaxy A52 5G/4G Phone Case (Navy Blue)"/>
        <s v="NIRIAHO Phone Case for Samsung Galaxy A52 5G/4G A52S 5G case,Heavy Duty Hard Shockproof Protector Armor Case Cover with Belt Clip Holster for Samsung Galaxy A52 5G/4G Phone Case (Black)"/>
        <s v="NIRIAHO Compatible with iPhone 12 Mini Case,Heavy Duty Hard Shockproof Armor Protector Case Cover with Belt Clip Holster for Apple iPhone 12 Mini 5.4 2020 Phone Case (Black+Orange)"/>
        <s v="NIRIAHO Phone Case for Samsung Galaxy A71 5G, Heavy Duty Hard Shockproof Protector Shield Case Cover with Belt Clip Holster for Samsung Galaxy A71 6.7 inch Phone 5G Version (Black+Orange)"/>
        <s v="NIRIAHO Phone Case for Samsung Galaxy S22 Ultra Heavy Duty Non-Slip Shockproof Protective Phone Cover with Belt Clip Holster for Samsung S22 Ultra 5G 6.8-inch(Black+Blue)"/>
        <s v="NIRIAHO Phone Case for Samsung Galaxy S22 Ultra Heavy Duty Non-Slip Shockproof Protective Phone Cover with Belt Clip Holster for Samsung S22 Ultra 5G 6.8-inch(Navy Blue)"/>
        <s v="NIRIAHO Phone Case for Moto G Power 2021, Heavy Duty Hard Shockproof Armor Protector Case Cover with Belt Clip Holster for Motorola G Power 2021 Phone (Black+Orange)"/>
        <s v="NIRIAHO Phone Case for Samsung Galaxy S22 Plus (with 2 Screen Protectors) Heavy Duty Non-Slip Shockproof Protective Phone Cover with Belt Clip Holster for Samsung S22+ Plus 5G 6.6-inch (Navy Blue)"/>
        <s v="NIRIAHO Phone Case for Samsung Galaxy S22 Plus (with 2 Screen Protectors) Heavy Duty Non-Slip Shockproof Protective Phone Cover with Belt Clip Holster for Samsung S22+ Plus 5G 6.6-inch (Black+Blue)"/>
        <s v="NIRIAHO Phone Case for Samsung Galaxy A53 5G (with 2 Screen Protectors) Heavy Duty Non-Slip Shockproof Protective Phone Cover with Belt Clip Holster for Samsung A53 5G 6.5-inch (Black+Orange)"/>
        <s v="NIRIAHO Phone Case for Samsung Galaxy S22 5G (with 2 Screen Protectors) Heavy Duty Non-Slip Shockproof Protective Phone Cover with Belt Clip Holster for Samsung S22 5G 6.1-inch Phone (Black+Orange)"/>
        <s v="NIRIAHO Phone Case for Moto G Play 2021 Case,Heavy Duty Hard Shockproof Armor Protector Case Cover with Belt Clip Holster for Motorola G Play 2021 Phone (Black)"/>
        <s v="NIRIAHO Cabinet Handles, 30 Pack Drawer Pulls 5 Inch Length Cabinet Pulls (3 Inch Hole Center) Cupboard Handles for Kitchen Cabinets and Drawers"/>
        <s v="NIRIAHO 12x42 Binoculars for Adults High Powered, Hunting Binoculars with Tripod and Phone Holder Large and Bright View, Compact Binoculars for Bird Watching/Hunting/World Cup/Opera/Hiking (Black)"/>
        <s v="NIRIAHO 5-Tier Pink Mobile Bookshelf, Movable Bookshelf Rolling Office Paper Organizer Book Rack Storage Removable Utility Small Bookcase with Wheels for Office, Dorm, Classroom, Nursery"/>
        <s v="NIRIAHO 6 Tier Shoe Rack for Closet, Shoe Organizer for Entryway Shoe Storage, Narrow Free Standing Shoe Rack Plastic Vertical Shoe Holder for Closet Small Spaces Cubby Shoe Stand (Green)"/>
        <s v="NIRIAHO 5 Tier Shoe Rack Organizer Closet, Shoe Organizer for Entryway Shoe Storage, Narrow Free Standing Shoe Rack Plastic Vertical Shoe Holder for Closet Small Spaces Cubby Shoe Stand (Grey)"/>
        <s v="NIRIAHO Free Standing Shoe Racks, 7 Tier Narrow Shoe Rack for Front Door Entrance, Plastic Cube Organizer Shoe Storage Cabinet Narrow Vertical Shoe Rack for Small Spaces Bedroom Shoe Tower (Green)"/>
        <s v="NIRIAHO Shoe Rack for Entryway, 6 Tier Shoe Rack Organizer Space Saving Shoe Rack Tall Narrow, Plastic Shoes Storage Cabinet Free Standing Shoe Rack Storage for Small Spaces Under Bed Shoe Storage"/>
        <m/>
      </sharedItems>
    </cacheField>
    <cacheField name="SKU" numFmtId="0">
      <sharedItems containsBlank="1" count="70">
        <s v="Y9001-BU"/>
        <s v="Y9005-BU"/>
        <s v="Y9005-WH"/>
        <s v="Y9001-PI"/>
        <s v="Y9002-BL"/>
        <s v="Y9001-GR"/>
        <s v="Y9002-BU"/>
        <s v="Y93405-DB+Y93406+Y93397"/>
        <s v="Y93106-DB+Y93109+Y93112"/>
        <s v="Y93106-OR+Y93109+Y93112"/>
        <s v="Y9005-BL"/>
        <s v="Y93230-DB+Y903231+Y93240"/>
        <s v="Y9001-WH"/>
        <s v="Y93230-OR+Y903231+Y93240"/>
        <s v="Y93106-BL+Y93109+Y93112"/>
        <s v="Y9003-1"/>
        <s v="Y93452-OR-ZH"/>
        <s v="Y9010-WH"/>
        <s v="Y9026-6-GA"/>
        <s v="Y92000-BL+Y92013+Y92749"/>
        <s v="Y93134-DB+Y93137+Y93268"/>
        <s v="Y93134-BL+Y93137+Y93268"/>
        <s v="Y9001-PU"/>
        <s v="Y9009-BU-ZH"/>
        <s v="Y9020-GA"/>
        <s v="Y9021"/>
        <s v="Y93756-BL+Y93757+Y93760"/>
        <s v="Y93475-DB+Y92615+Y93478"/>
        <s v="Y92563-OR+Y92564+Y92571"/>
        <s v="Y93230-BL+Y903231+Y93240"/>
        <s v="Y9009-BL-ZH"/>
        <s v="Y9009-DB-ZH"/>
        <s v="Y93135-DB+Y93138+Y93269"/>
        <s v="Y93452-DB-ZH"/>
        <s v="IH-T4RR-DLXF"/>
        <s v="Y9007-6PC"/>
        <s v="Y9009-KH"/>
        <s v="Y9022"/>
        <s v="Y9018-GN"/>
        <s v="Y9019-GA"/>
        <s v="Y93694-BU+Y93712+Y93744"/>
        <s v="Y93694-BL+Y93712+Y93744"/>
        <s v="Y93758-DB+Y93759+Y93761"/>
        <s v="Y93758-BU+Y93759+Y93761"/>
        <s v="Y93475-DB+Y92615+Y93478*1"/>
        <s v="Y93821-DB+Y93822+Y93823"/>
        <s v="Y92611-OR+Y92614+Y92635"/>
        <s v="Y93405-BL+Y93406+Y93397"/>
        <s v="Y93153-DB+Y93155+Y93169"/>
        <s v="Y93153-BL+Y93155+Y93169"/>
        <s v="Y92610-OR+Y92613+Y92634"/>
        <s v="YN-AOIB-XWWS"/>
        <s v="Y9002-BU+Y9005"/>
        <s v="Y9002-DB+Y9005"/>
        <s v="E03106-BL-ZH"/>
        <s v="Y93134-OR+Y93137+Y93268"/>
        <s v="Y9003-DB+Y9006+Y9008"/>
        <s v="Y9003-BU+Y9006+Y9008"/>
        <s v="Y9029-OR+Y9030+Y9031"/>
        <s v="Y9009-OR-ZH"/>
        <s v="Y93135-BL+Y93138+Y93269-1"/>
        <s v="IA-FIXD-GG7Z"/>
        <s v="Y9007-30PC"/>
        <s v="Y9008"/>
        <s v="Y9010-PI"/>
        <s v="Y9019-GN"/>
        <s v="Y9018-GA"/>
        <s v="Y9020-GN"/>
        <s v="Y9026-6-BL"/>
        <m/>
      </sharedItems>
    </cacheField>
    <cacheField name="会话次数 – 总计" numFmtId="0">
      <sharedItems containsString="0" containsBlank="1" containsNumber="1" containsInteger="1" minValue="0" maxValue="690" count="50">
        <n v="690"/>
        <n v="486"/>
        <n v="183"/>
        <n v="133"/>
        <n v="113"/>
        <n v="118"/>
        <n v="50"/>
        <n v="37"/>
        <n v="28"/>
        <n v="70"/>
        <n v="153"/>
        <n v="55"/>
        <n v="120"/>
        <n v="53"/>
        <n v="47"/>
        <n v="83"/>
        <n v="56"/>
        <n v="75"/>
        <n v="71"/>
        <n v="11"/>
        <n v="25"/>
        <n v="24"/>
        <n v="74"/>
        <n v="15"/>
        <n v="52"/>
        <n v="82"/>
        <n v="10"/>
        <n v="36"/>
        <n v="6"/>
        <n v="29"/>
        <n v="5"/>
        <n v="8"/>
        <n v="57"/>
        <n v="18"/>
        <n v="128"/>
        <n v="45"/>
        <n v="32"/>
        <n v="13"/>
        <n v="7"/>
        <n v="19"/>
        <n v="2"/>
        <n v="44"/>
        <n v="35"/>
        <n v="4"/>
        <n v="9"/>
        <n v="26"/>
        <n v="49"/>
        <n v="40"/>
        <n v="66"/>
        <m/>
      </sharedItems>
    </cacheField>
    <cacheField name="会话次数 – 总计 – B2B" numFmtId="0">
      <sharedItems containsString="0" containsBlank="1" containsNumber="1" containsInteger="1" minValue="0" maxValue="8" count="9">
        <n v="8"/>
        <n v="7"/>
        <n v="5"/>
        <n v="3"/>
        <n v="2"/>
        <n v="0"/>
        <n v="6"/>
        <n v="1"/>
        <m/>
      </sharedItems>
    </cacheField>
    <cacheField name="会话百分比 – 总计" numFmtId="0">
      <sharedItems containsString="0" containsBlank="1" containsNumber="1" minValue="0" maxValue="0.169" count="50">
        <n v="0.169"/>
        <n v="0.119"/>
        <n v="0.0448"/>
        <n v="0.0326"/>
        <n v="0.0277"/>
        <n v="0.0289"/>
        <n v="0.0122"/>
        <n v="0.0091"/>
        <n v="0.0069"/>
        <n v="0.0171"/>
        <n v="0.0375"/>
        <n v="0.0135"/>
        <n v="0.0294"/>
        <n v="0.013"/>
        <n v="0.0115"/>
        <n v="0.0203"/>
        <n v="0.0137"/>
        <n v="0.0184"/>
        <n v="0.0174"/>
        <n v="0.0027"/>
        <n v="0.0061"/>
        <n v="0.0059"/>
        <n v="0.0181"/>
        <n v="0.0037"/>
        <n v="0.0127"/>
        <n v="0.0201"/>
        <n v="0.0024"/>
        <n v="0.0088"/>
        <n v="0.0015"/>
        <n v="0.0071"/>
        <n v="0.0012"/>
        <n v="0.002"/>
        <n v="0.014"/>
        <n v="0.0044"/>
        <n v="0.0313"/>
        <n v="0.011"/>
        <n v="0.0078"/>
        <n v="0.0032"/>
        <n v="0.0017"/>
        <n v="0.0047"/>
        <n v="0.0005"/>
        <n v="0.0108"/>
        <n v="0.0086"/>
        <n v="0.001"/>
        <n v="0.0022"/>
        <n v="0.0064"/>
        <n v="0.012"/>
        <n v="0.0098"/>
        <n v="0.0162"/>
        <m/>
      </sharedItems>
    </cacheField>
    <cacheField name="会话百分比 – 总计 – B2B" numFmtId="0">
      <sharedItems containsString="0" containsBlank="1" containsNumber="1" minValue="0" maxValue="0.0899" count="9">
        <n v="0.0899"/>
        <n v="0.0787"/>
        <n v="0.0562"/>
        <n v="0.0337"/>
        <n v="0.0225"/>
        <n v="0"/>
        <n v="0.0674"/>
        <n v="0.0112"/>
        <m/>
      </sharedItems>
    </cacheField>
    <cacheField name="页面浏览量 – 总计" numFmtId="0">
      <sharedItems containsString="0" containsBlank="1" containsNumber="1" containsInteger="1" minValue="0" maxValue="1086" count="56">
        <n v="1086"/>
        <n v="737"/>
        <n v="270"/>
        <n v="188"/>
        <n v="148"/>
        <n v="172"/>
        <n v="57"/>
        <n v="48"/>
        <n v="35"/>
        <n v="90"/>
        <n v="200"/>
        <n v="74"/>
        <n v="142"/>
        <n v="82"/>
        <n v="67"/>
        <n v="110"/>
        <n v="108"/>
        <n v="91"/>
        <n v="93"/>
        <n v="19"/>
        <n v="41"/>
        <n v="38"/>
        <n v="94"/>
        <n v="28"/>
        <n v="61"/>
        <n v="112"/>
        <n v="18"/>
        <n v="46"/>
        <n v="16"/>
        <n v="37"/>
        <n v="8"/>
        <n v="13"/>
        <n v="15"/>
        <n v="81"/>
        <n v="22"/>
        <n v="100"/>
        <n v="193"/>
        <n v="60"/>
        <n v="42"/>
        <n v="30"/>
        <n v="7"/>
        <n v="10"/>
        <n v="12"/>
        <n v="9"/>
        <n v="3"/>
        <n v="52"/>
        <n v="24"/>
        <n v="43"/>
        <n v="4"/>
        <n v="5"/>
        <n v="11"/>
        <n v="14"/>
        <n v="88"/>
        <n v="50"/>
        <n v="79"/>
        <m/>
      </sharedItems>
    </cacheField>
    <cacheField name="页面浏览量 – 总计 – B2B" numFmtId="0">
      <sharedItems containsString="0" containsBlank="1" containsNumber="1" containsInteger="1" minValue="0" maxValue="12" count="10">
        <n v="9"/>
        <n v="8"/>
        <n v="6"/>
        <n v="3"/>
        <n v="0"/>
        <n v="12"/>
        <n v="1"/>
        <n v="2"/>
        <n v="7"/>
        <m/>
      </sharedItems>
    </cacheField>
    <cacheField name="页面浏览量百分比 – 总计" numFmtId="0">
      <sharedItems containsString="0" containsBlank="1" containsNumber="1" minValue="0" maxValue="0.1874" count="56">
        <n v="0.1874"/>
        <n v="0.1272"/>
        <n v="0.0466"/>
        <n v="0.0324"/>
        <n v="0.0255"/>
        <n v="0.0297"/>
        <n v="0.0098"/>
        <n v="0.0083"/>
        <n v="0.006"/>
        <n v="0.0155"/>
        <n v="0.0345"/>
        <n v="0.0128"/>
        <n v="0.0245"/>
        <n v="0.0141"/>
        <n v="0.0116"/>
        <n v="0.019"/>
        <n v="0.0186"/>
        <n v="0.0157"/>
        <n v="0.016"/>
        <n v="0.0033"/>
        <n v="0.0071"/>
        <n v="0.0066"/>
        <n v="0.0162"/>
        <n v="0.0048"/>
        <n v="0.0105"/>
        <n v="0.0193"/>
        <n v="0.0031"/>
        <n v="0.0079"/>
        <n v="0.0028"/>
        <n v="0.0064"/>
        <n v="0.0014"/>
        <n v="0.0022"/>
        <n v="0.0026"/>
        <n v="0.014"/>
        <n v="0.0038"/>
        <n v="0.0173"/>
        <n v="0.0333"/>
        <n v="0.0104"/>
        <n v="0.0072"/>
        <n v="0.0052"/>
        <n v="0.0012"/>
        <n v="0.0017"/>
        <n v="0.0021"/>
        <n v="0.0016"/>
        <n v="0.0005"/>
        <n v="0.009"/>
        <n v="0.0041"/>
        <n v="0.0074"/>
        <n v="0.0007"/>
        <n v="0.0009"/>
        <n v="0.0019"/>
        <n v="0.0024"/>
        <n v="0.0152"/>
        <n v="0.0086"/>
        <n v="0.0136"/>
        <m/>
      </sharedItems>
    </cacheField>
    <cacheField name="页面浏览量百分比 – 总计 – B2B" numFmtId="0">
      <sharedItems containsString="0" containsBlank="1" containsNumber="1" minValue="0" maxValue="0.0952" count="10">
        <n v="0.0714"/>
        <n v="0.0635"/>
        <n v="0.0476"/>
        <n v="0.0238"/>
        <n v="0"/>
        <n v="0.0952"/>
        <n v="0.0079"/>
        <n v="0.0159"/>
        <n v="0.0556"/>
        <m/>
      </sharedItems>
    </cacheField>
    <cacheField name="推荐报价（购买按钮）百分比" numFmtId="0">
      <sharedItems containsString="0" containsBlank="1" containsNumber="1" minValue="0" maxValue="1" count="27">
        <n v="0.9871"/>
        <n v="0.9986"/>
        <n v="0.9528"/>
        <n v="0.9689"/>
        <n v="1"/>
        <n v="0.9787"/>
        <n v="0.9821"/>
        <n v="0.9939"/>
        <n v="0.9459"/>
        <n v="0.9426"/>
        <n v="0.9877"/>
        <n v="0.9818"/>
        <n v="0.9881"/>
        <n v="0.989"/>
        <n v="0.9697"/>
        <n v="0.9726"/>
        <n v="0.9615"/>
        <n v="0.9815"/>
        <n v="0.975"/>
        <n v="0.6897"/>
        <n v="0.8"/>
        <n v="0.7"/>
        <n v="0.9091"/>
        <n v="0.3333"/>
        <n v="0.8776"/>
        <n v="0.9583"/>
        <m/>
      </sharedItems>
    </cacheField>
    <cacheField name="推荐报价（购买按钮）百分比 – B2B" numFmtId="0">
      <sharedItems containsString="0" containsBlank="1" containsNumber="1" minValue="0" maxValue="1" count="4">
        <n v="1"/>
        <n v="0.3333"/>
        <n v="0"/>
        <m/>
      </sharedItems>
    </cacheField>
    <cacheField name="已订购商品数量" numFmtId="0">
      <sharedItems containsString="0" containsBlank="1" containsNumber="1" containsInteger="1" minValue="0" maxValue="179" count="12">
        <n v="179"/>
        <n v="136"/>
        <n v="22"/>
        <n v="9"/>
        <n v="7"/>
        <n v="6"/>
        <n v="5"/>
        <n v="4"/>
        <n v="3"/>
        <n v="2"/>
        <n v="1"/>
        <m/>
      </sharedItems>
    </cacheField>
  </cacheFields>
</pivotCacheDefinition>
</file>

<file path=xl/pivotCache/pivotCacheDefinition53.xml><?xml version="1.0" encoding="utf-8"?>
<pivotCacheDefinition xmlns="http://schemas.openxmlformats.org/spreadsheetml/2006/main" xmlns:r="http://schemas.openxmlformats.org/officeDocument/2006/relationships" r:id="rId1" createdVersion="5" refreshedVersion="5" minRefreshableVersion="3" refreshedDate="45219.6192939815" refreshedBy="Administrator" recordCount="87">
  <cacheSource type="worksheet">
    <worksheetSource ref="B1:O1048576" sheet="销售10.04-10.18" r:id="rId2"/>
  </cacheSource>
  <cacheFields count="14">
    <cacheField name="（子）ASIN" numFmtId="0">
      <sharedItems containsBlank="1" count="82">
        <s v="B0BVMG2B48"/>
        <s v="B0BZ3YPHM9"/>
        <s v="B0BZ439ZHM"/>
        <s v="B0BX252DLT"/>
        <s v="B0BZ3ZZQXL"/>
        <s v="B0BZ3ZMR15"/>
        <s v="B0C6DYVTHK"/>
        <s v="B0BVPN4L87"/>
        <s v="B0BX1X4VP8"/>
        <s v="B0BYCMVK7Q"/>
        <s v="B0BVMG33FS"/>
        <s v="B0B6333ZLX"/>
        <s v="B0B5SX52BD"/>
        <s v="B0B7HZ9RN6"/>
        <s v="B0BVNW9PY5"/>
        <s v="B0B7HXB967"/>
        <s v="B0CF8GVH1N"/>
        <s v="B0B5QJGPS2"/>
        <s v="B0B7J2NR5N"/>
        <s v="B0BVMH4Q7J"/>
        <s v="B0B632PTY2"/>
        <s v="B0B635ZHTN"/>
        <s v="B0B7J2W7P2"/>
        <s v="B0C5T6KTZ4"/>
        <s v="B0C61JT74Y"/>
        <s v="B0C61LCZK7"/>
        <s v="B0CF8LKWD2"/>
        <s v="B0C5T553YJ"/>
        <s v="B0C6DWXLZV"/>
        <s v="B0C7VSGBVP"/>
        <s v="B0B7HX1QK8"/>
        <s v="B0B7HYLDSL"/>
        <s v="B0CF8G54C5"/>
        <s v="B0CF8LG9SX"/>
        <s v="B0B5Z3R5GW"/>
        <s v="B0B5ZPQ3NS"/>
        <s v="B0B6VJJMWD"/>
        <s v="B0CF8N1G5P"/>
        <s v="B0B5SWTHW5"/>
        <s v="B0B5ZPTCX3"/>
        <s v="B0CF8LLWRT"/>
        <s v="B0CF8P8B1X"/>
        <s v="B0CFQX1KZM"/>
        <s v="B0B5N198G3"/>
        <s v="B0B5N3SD8W"/>
        <s v="B0B5N5NMJN"/>
        <s v="B0B5R772YP"/>
        <s v="B0B5SW89MJ"/>
        <s v="B0B5X7P8NJ"/>
        <s v="B0C5T89X9T"/>
        <s v="B0C61F8MY3"/>
        <s v="B0C61HN4GR"/>
        <s v="B0CF8DYKBR"/>
        <s v="B0CF8FKZ5B"/>
        <s v="B0CF8MMRMK"/>
        <s v="B0B5Z3Q8FC"/>
        <s v="B0B5ZQ6S7L"/>
        <s v="B0B7JCJGP5"/>
        <s v="B0C5T6TTX2"/>
        <s v="B0C61FL9NS"/>
        <s v="B0CF8GDQ5Q"/>
        <s v="B0CF8KNMGM"/>
        <s v="B0CF8M7LYZ"/>
        <s v="B0B5N2J21Z"/>
        <s v="B0B5N3K7LB"/>
        <s v="B0B5R72V14"/>
        <s v="B0B5SVSCXW"/>
        <s v="B0B5WY83MR"/>
        <s v="B0B5WZ6S9R"/>
        <s v="B0B5X12SMJ"/>
        <s v="B0B5X7WJR3"/>
        <s v="B0B5X8CBNR"/>
        <s v="B0B5Z3XH4G"/>
        <s v="B0B63GG8ZH"/>
        <s v="B0B6FG581N"/>
        <s v="B0B6VLWLHF"/>
        <s v="B0B7JCHTKH"/>
        <s v="B0B7JFWQ4F"/>
        <s v="B0C6DZMTCP"/>
        <s v="B0C7VTPSNK"/>
        <s v="B0CFQSZ24S"/>
        <m/>
      </sharedItems>
    </cacheField>
    <cacheField name="商品名称" numFmtId="0">
      <sharedItems containsBlank="1" count="82">
        <s v="NIRIAHO Portable Fan, Mini Fan Personal Fan Handheld Fan USB Rechargeable Small Fan Foldable Desk Fan 5000mAh Battery [16H Max Cooling Time] with 5 Speeds Ideal for Travel/Outdoor/Camping (Blue)"/>
        <s v="NIRIAHO Portable Fan, Small Mini Fan 5 in 1 as Power Bank,Phone Holder,Handheld,Desk Fan,Neck Fan 3000mAh Foldable Fan with 4 Speeds [10H Max Cooling Time] Ideal for Travel/Outdoor/Camping (Pink)"/>
        <s v="NIRIAHO Portable Fan, Small Mini Fan 5 in 1 as Power Bank,Phone Holder,Handheld,Desk Fan,Neck Fan 3000mAh Foldable Fan with 4 Speeds [10H Max Cooling Time] Ideal for Travel/Outdoor/Camping (Blue)"/>
        <s v="NIRIAHO Pressure Washer Wand, High Pressure Hose Nozzle Garden Hose Wand Power Sprayer Extendable Car Wash Nozzle Washer Gun with 3 Hose Nozzles for Garden Hose/Window/Car Washing (Black)"/>
        <s v="NIRIAHO Portable Fan, Small Mini Fan 5 in 1 as Power Bank,Phone Holder,Handheld,Desk Fan,Neck Fan 3000mAh Battery Fan with 4 Speeds [10H Max Cooling Time] Ideal for Travel/Outdoor/Camping (White)"/>
        <s v="NIRIAHO Portable Fan, Small Mini Fan 5 in 1 as Power Bank,Phone Holder,Handheld,Desk Fan,Neck Fan 3000mAh Battery Fan with 4 Speeds [10H Max Cooling Time] Ideal for Travel/Outdoor/Camping (Black)"/>
        <s v="NIRIAHO Cabinet Handles, 30 Pack Drawer Pulls 5 Inch Length Cabinet Pulls (3 Inch Hole Center) Cupboard Handles for Kitchen Cabinets and Drawers"/>
        <s v="NIRIAHO Portable Fan, Mini Fan Personal Fan Handheld Fan USB Rechargeable Small Fan Foldable Desk Fan 5000mAh Battery [16H Max Cooling Time] with 5 Speeds Ideal for Travel/Outdoor/Camping (Pink)"/>
        <s v="Pressure Washer Wand, NIRIAHO High Pressure Hose Nozzle Garden Hose Wand Power Sprayer Extendable Car Wash Nozzle Washer Gun with 3 Hose Nozzles for Garden Hose/Window/Car Washing (Blue)"/>
        <s v="pH Meter, NIRIAHO TDS Meter 8-in-1 pH Tester PPM Meter EC Meter Salt Tester ORP H2 Tester Temp Tester Digital Range with 0-14, 0.001 High Accuracy, Ideal for Water/Pool/Aquarium/Wine(8-in-1 pH Meter)"/>
        <s v="NIRIAHO Portable Fan, Mini Fan Personal Fan Handheld Fan USB Rechargeable Small Fan Foldable Desk Fan 5000mAh Battery [16H Max Cooling Time] with 5 Speeds Ideal for Travel/Outdoor/Camping (Green)"/>
        <s v="NIRIAHO Phone Case for Samsung Galaxy A12 5G case,Heavy Duty Hard Shockproof Armor Protector Case Cover with Belt Clip Holster for Samsung Galaxy A12 5G Phone Case (Navy Blue)"/>
        <s v="NIRIAHO Phone Case for Samsung Galaxy A42 5G case,Heavy Duty Hard Shockproof Protector Armor Case Cover with Belt Clip Holster for Samsung Galaxy A42 5G Phone (Navy Blue)"/>
        <s v="NIRIAHO Phone Case for Samsung Galaxy A12 5G case,Heavy Duty Hard Shockproof Armor Protector Case Cover with Belt Clip Holster for Samsung Galaxy A12 5G Phone Case (Black)"/>
        <s v="NIRIAHO Portable Fan, Mini Fan Personal Fan Handheld Fan USB Rechargeable Small Fan Foldable Desk Fan 5000mAh Battery [16H Max Cooling Time] with 5 Speeds Ideal for Travel/Outdoor/Camping (White)"/>
        <s v="NIRIAHO Phone Case for Samsung Galaxy A12 5G case,Heavy Duty Hard Shockproof Armor Protector Case Cover with Belt Clip Holster for Samsung Galaxy A12 5G Phone Case (Black+Orange)"/>
        <s v="NIRIAHO 5 Tier Mobile Bookshelf, Movable Bookshelf Rolling Office Paper Organizer Book Rack Storage Removable Utility Small Bookcase with Wheels for Office, Dorm, Classroom, Nursery, White"/>
        <s v="NIRIAHO Phone Case for iPhone 13 Pro Max Case,Heavy Duty Hard Shockproof Armor Protector Case Cover with Belt Clip Holster for Apple iPhone 13 Pro Max 5G 2021 Phone Case (Navy Blue)"/>
        <s v="NIRIAHO Phone Case for Moto G Power 2021, Heavy Duty Hard Shockproof Armor Protector Case Cover with Belt Clip Holster for Motorola G Power 2021 Phone (Black+Orange)"/>
        <s v="NIRIAHO Portable Fan, Mini Fan Personal Fan Handheld Fan USB Rechargeable Small Fan Foldable Desk Fan 5000mAh Battery [16H Max Cooling Time] with 5 Speeds Ideal for Travel/Outdoor/Camping (Violet)"/>
        <s v="NIRIAHO Phone Case for Samsung Galaxy A32 5G, Heavy Duty Hard Shockproof Protector Armor Case Cover with Belt Clip Holster for Samsung Galaxy A32 5G Phone (Navy Blue)"/>
        <s v="NIRIAHO Phone Case for Moto G Power 2021, Heavy Duty Hard Shockproof Armor Protector Case Cover with Belt Clip Holster for Motorola G Power 2021 Phone (Navy Blue)"/>
        <s v="NIRIAHO Phone Case for Moto G Power 2021, Heavy Duty Hard Shockproof Armor Protector Case Cover with Belt Clip Holster for Motorola G Power 2021 Phone (Black)"/>
        <s v="NIRIAHO Phone Case for Samsung Galaxy S22 5G (with 2 Screen Protectors) Heavy Duty Non-Slip Shockproof Protective Phone Cover with Belt Clip Holster for Samsung S22 5G 6.1-inch Phone (Black+Blue)"/>
        <s v="NIRIAHO Phone Case for Moto G Stylus 5G 2021, Heavy Duty Hard Shockproof Armor Protector Case Cover with Belt Clip Holster for Motorola G Stylus 5G 2021 Phone (Navy Blue)"/>
        <s v="NIRIAHO Phone Case for Moto G Stylus 5G 2021, Heavy Duty Hard Shockproof Armor Protector Case Cover with Belt Clip Holster for Motorola G Stylus 5G 2021 Phone (Black+Orange)"/>
        <s v="NIRIAHO Foldable Shoe Rack Organizer, Installation-free 6 Tiers Foldable Storage Box with Clear Door, White Plastic Shoe Box Collapsible Shoe Organizer for Closet Storage Shelves Easy Assembly"/>
        <s v="NIRIAHO Phone Case for Samsung Galaxy S22 5G (with 2 Screen Protectors) Heavy Duty Non-Slip Shockproof Protective Phone Cover with Belt Clip Holster for Samsung S22 5G 6.1-inch Phone (Black)"/>
        <s v="NIRIAHO Cabinet Handles, 6 Pack Drawer Pulls 5 Inch Length Cabinet Pulls (3 Inch Hole Center) Cupboard Handles for Kitchen Cabinets and Drawers"/>
        <s v="NIRIAHO 12x42 Binoculars for Adults High Powered, Hunting Binoculars with Tripod and Phone Holder Large and Bright View, Compact Binoculars for Bird Watching/Hunting/World Cup/Opera/Hiking (Black)"/>
        <s v="NIRIAHO Phone Case for Samsung Galaxy A32 5G, Heavy Duty Hard Shockproof Protector Armor Case Cover with Belt Clip Holster for Samsung Galaxy A32 5G Phone (Black)"/>
        <s v="NIRIAHO Phone Case for Samsung Galaxy A32 5G, Heavy Duty Hard Shockproof Protector Armor Case Cover with Belt Clip Holster for Samsung Galaxy A32 5G Phone (Black+Orange)"/>
        <s v="NIRIAHO 6 Tier Mobile Bookshelf, Rolling Cart Multi-Functional Movable Storage Book Shelves, Utility Cart Office Organizer White Bookshelves with Lockable Casters for Office, Dorm, Classroom"/>
        <s v="NIRIAHO Vertical Shoe Rack, 7 Tier Narrow Shoe Organizer, Free Standing Shoe Racks Space Saving Shoe Shelf for Entryway Storage, Free Stand Shoe Tower with Plastic Material"/>
        <s v="NIRIAHO Phone Case for Samsung Galaxy A11, Heavy Duty Hard Shockproof Protector Shield Case Cover with Belt Clip Holster for Samsung Galaxy A11 Phone (Black+Orange)"/>
        <s v="NIRIAHO LG Stylo 5 Case, LG Stylo 5 Plus/LG Stylo 5V Case,Heavy Duty Hard Shockproof Protector Shield Case Cover with Belt Clip and Kickstand for LG Stylo 5 (Black)"/>
        <s v="NIRIAHO Phone Case for Samsung Galaxy S22 Ultra Heavy Duty Non-Slip Shockproof Protective Phone Cover with Belt Clip Holster for Samsung S22 Ultra 5G 6.8-inch(Black+Blue)"/>
        <s v="NIRIAHO Free Standing Shoe Racks, 6 Tier Narrow Shoe Rack for Front Door Entrance, Plastic Cube Organizer Shoe Storage Cabinet Narrow Vertical Shoe Rack for Small Spaces Bedroom Shoe Tower (Grey)"/>
        <s v="NIRIAHO Compatible with iPhone 12 Case, iPhone 12 Pro Case, Heavy Duty Hard Shockproof Armor Protector Case Cover with Belt Clip Holster for Apple iPhone 12 6.1 2020 Phone Case (Navy Blue)"/>
        <s v="NIRIAHO LG Stylo 5 Case, LG Stylo 5 Plus/LG Stylo 5V Case,Heavy Duty Hard Shockproof Protector Shield Case Cover with Belt Clip and Kickstand for LG Stylo 5 (Black+Orange)"/>
        <s v="NIRIAHO 5 Tier Shoe Rack Organizer Closet, Shoe Organizer for Entryway Shoe Storage, Narrow Free Standing Shoe Rack Plastic Vertical Shoe Holder for Closet Small Spaces Cubby Shoe Stand (Grey)"/>
        <s v="NIRIAHO 3 Tier Foldable Shoe Rack Organizer, Installation-free White Shoe Storage Boxes Plastic Storage Shelves Collapsible Shoe Rack Organizer for Closet Storage Shelves with Clear Door"/>
        <s v="NIRIAHO 6 Tier Standing Shoe Rack for Closet, Small Shoe Shelf Space Saving, Plastic Shoe Storage Cabinet Free Standing Shoe Racks Storage and Organization for Entryway Shoe Storage (Grey)"/>
        <s v="NIRIAHO Phone Case for Samsung Galaxy A13 5G(with 2 Screen Protectors) Heavy Duty Non-Slip Shockproof Protective Phone Cover with Belt Clip Holster for Samsung A13 5G 6.5-inch (Black+Blue)"/>
        <s v="NIRIAHO Phone Case for Google Pixel 6 Pro (Not for Pixel 6) Heavy Duty Non-Slip Shockproof Protective Phone Cover with Belt Clip Holster for Google Pixel 6 Pro 2021 6.71-inch (Black+Blue)"/>
        <s v="NIRIAHO Phone Case for Google Pixel 6 (Not for Pixel 6 Pro) Heavy Duty Non-Slip Shockproof Protective Phone Cover with Belt Clip Holster for Google Pixel 6 2021 6.4-inch (Black)"/>
        <s v="NIRIAHO Phone Case for Motorola G Power 2022 (with 2 Screen Protectors) Heavy Duty Non-Slip Shockproof Protective Phone Cover with Belt Clip Holster for Moto G Power 2022 6.5-inch (Navy Blue)"/>
        <s v="NIRIAHO Phone Case for Samsung Galaxy A42 5G case,Heavy Duty Hard Shockproof Protector Armor Case Cover with Belt Clip Holster for Samsung Galaxy A42 5G Phone (Black)"/>
        <s v="NIRIAHO Compatible with iPhone 12 Mini Case,Heavy Duty Hard Shockproof Armor Protector Case Cover with Belt Clip Holster for Apple iPhone 12 Mini 5.4 2020 Phone Case (Black+Orange)"/>
        <s v="NIRIAHO Phone Case for Samsung Galaxy S22 5G (with 2 Screen Protectors) Heavy Duty Non-Slip Shockproof Protective Phone Cover with Belt Clip Holster for Samsung S22 5G 6.1-inch Phone (Navy Blue)"/>
        <s v="NIRIAHO Phone Case for Moto G Play 2021 Case,Heavy Duty Hard Shockproof Armor Protector Case Cover with Belt Clip Holster for Motorola G Play 2021 Phone (Black+Orange)"/>
        <s v="NIRIAHO Phone Case for Moto G Play 2021 Case,Heavy Duty Hard Shockproof Armor Protector Case Cover with Belt Clip Holster for Motorola G Play 2021 Phone (Black)"/>
        <s v="NIRIAHO 6 Tier Mobile Bookshelf, Rolling Cart Multi-Functional Movable Storage Book Shelves, Utility Cart Office Organizer Khaki Bookshelves with Lockable Casters for Office, Dorm, Classroom"/>
        <s v="NIRIAHO 5-Tier Pink Mobile Bookshelf, Movable Bookshelf Rolling Office Paper Organizer Book Rack Storage Removable Utility Small Bookcase with Wheels for Office, Dorm, Classroom, Nursery"/>
        <s v="NIRIAHO 5 Tier Shoe Rack Organizer Closet, Shoe Organizer for Entryway Shoe Storage, Narrow Free Standing Shoe Rack Plastic Vertical Shoe Holder for Closet Small Spaces Cubby Shoe Stand (Green)"/>
        <s v="NIRIAHO Phone Case for Samsung Galaxy A71 5G, Heavy Duty Hard Shockproof Protector Shield Case Cover with Belt Clip Holster for Samsung Galaxy A71 6.7 inch Phone 5G Version (Black+Orange)"/>
        <s v="NIRIAHO LG Stylo 5 Case, LG Stylo 5 Plus/LG Stylo 5V Case,Heavy Duty Hard Shockproof Protector Shield Case Cover with Belt Clip and Kickstand for LG Stylo 5 (Navy Blue)"/>
        <s v="NIRIAHO Phone Case for Samsung Galaxy S22 Plus (with 2 Screen Protectors) Heavy Duty Non-Slip Shockproof Protective Phone Cover with Belt Clip Holster for Samsung S22+ Plus 5G 6.6-inch (Black+Blue)"/>
        <s v="NIRIAHO Phone Case for Samsung Galaxy S22 5G (with 2 Screen Protectors) Heavy Duty Non-Slip Shockproof Protective Phone Cover with Belt Clip Holster for Samsung S22 5G 6.1-inch Phone (Black+Orange)"/>
        <s v="NIRIAHO Phone Case for Moto G Play 2021 Case,Heavy Duty Hard Shockproof Armor Protector Case Cover with Belt Clip Holster for Motorola G Play 2021 Phone (Navy Blue)"/>
        <s v="NIRIAHO 5 Tier Mobile Bookshelf, Movable Bookshelf Rolling Office Paper Organizer Book Rack Storage Removable Utility Small Bookcase with Wheels for Office, Dorm, Classroom, Nursery (Khaki)"/>
        <s v="NIRIAHO 6 Tier Shoe Rack for Closet, Shoe Organizer for Entryway Shoe Storage, Narrow Free Standing Shoe Rack Plastic Vertical Shoe Holder for Closet Small Spaces Cubby Shoe Stand (Green)"/>
        <s v="NIRIAHO Free Standing Shoe Racks, 7 Tier Narrow Shoe Rack for Front Door Entrance, Plastic Cube Organizer Shoe Storage Cabinet Narrow Vertical Shoe Rack for Small Spaces Bedroom Shoe Tower (Green)"/>
        <s v="NIRIAHO Phone Case for Samsung Galaxy A13 5G(with 2 Screen Protectors) Heavy Duty Non-Slip Shockproof Protective Phone Cover with Belt Clip Holster for Samsung A13 5G 6.5-inch (Black)"/>
        <s v="NIRIAHO Phone Case for Google Pixel 6 Pro (Not for Pixel 6) Heavy Duty Non-Slip Shockproof Protective Phone Cover with Belt Clip Holster for Google Pixel 6 Pro 2021 6.71-inch (Navy Blue)"/>
        <s v="NIRIAHO Phone Case for Motorola G Power 2022 (with 2 Screen Protectors) Heavy Duty Non-Slip Shockproof Protective Phone Cover with Belt Clip Holster for Moto G Power 2022 6.5-inch (Black)"/>
        <s v="NIRIAHO Compatible with iPhone 12 Case, iPhone 12 Pro Case, Heavy Duty Hard Shockproof Armor Protector Case Cover with Belt Clip Holster for Apple iPhone 12 6.1 2020 Phone Case (Black+Orange)"/>
        <s v="NIRIAHO Phone Case for Samsung Galaxy A52 5G/4G A52S 5G case,Heavy Duty Hard Shockproof Protector Armor Case Cover with Belt Clip Holster for Samsung Galaxy A52 5G/4G Phone Case (Navy Blue)"/>
        <s v="NIRIAHO Phone Case for Moto G Stylus 2021, Heavy Duty Hard Shockproof Armor Protector Case Cover with Belt Clip Holster for Motorola G Stylus 2021 Phone (Black+Orange)"/>
        <s v="NIRIAHO Phone Case for Samsung Galaxy A52 5G/4G A52S 5G case,Heavy Duty Hard Shockproof Protector Armor Case Cover with Belt Clip Holster for Samsung Galaxy A52 5G/4G Phone Case (Black)"/>
        <s v="NIRIAHO Compatible with iPhone 12 Mini Case,Heavy Duty Hard Shockproof Armor Protector Case Cover with Belt Clip Holster for Apple iPhone 12 Mini 5.4 2020 Phone Case (Black)"/>
        <s v="NIRIAHO Compatible with iPhone 12 Mini Case,Heavy Duty Hard Shockproof Armor Protector Case Cover with Belt Clip Holster for Apple iPhone 12 Mini 5.4 2020 Phone Case (Navy Blue)"/>
        <s v="NIRIAHO Phone Case for Samsung Galaxy A11, Heavy Duty Hard Shockproof Protector Shield Case Cover with Belt Clip Holster for Samsung Galaxy A11 Phone (Black)"/>
        <s v="NIRIAHO Phone Case for Samsung Galaxy S22 Plus (with 2 Screen Protectors) Heavy Duty Non-Slip Shockproof Protective Phone Cover with Belt Clip Holster for Samsung S22+ Plus 5G 6.6-inch (Black)"/>
        <s v="NIRIAHO Compatible with LG K92 5G Case,Heavy Duty Hard Shockproof Armor Protector Case Cover with Belt Clip Holster for LG K92 5G Phone Case (Black+Orange)"/>
        <s v="NIRIAHO Phone Case for Samsung Galaxy S22 Ultra Heavy Duty Non-Slip Shockproof Protective Phone Cover with Belt Clip Holster for Samsung S22 Ultra 5G 6.8-inch(Navy Blue)"/>
        <s v="NIRIAHO Phone Case for Samsung Galaxy S22 Plus (with 2 Screen Protectors) Heavy Duty Non-Slip Shockproof Protective Phone Cover with Belt Clip Holster for Samsung S22+ Plus 5G 6.6-inch (Navy Blue)"/>
        <s v="NIRIAHO Phone Case for Samsung Galaxy A53 5G (with 2 Screen Protectors) Heavy Duty Non-Slip Shockproof Protective Phone Cover with Belt Clip Holster for Samsung A53 5G 6.5-inch (Black+Orange)"/>
        <s v="NIRIAHO Cabinet Handles, 24 Pack Drawer Pulls 5 Inch Length Cabinet Pulls (3 Inch Hole Center) Cupboard Handles for Kitchen Cabinets and Drawers"/>
        <s v="NIRIAHO 12x42 Binoculars for Adults High Powered, Hunting Binoculars with Tripod and Phone Holder Large and Bright View, Compact Binoculars for Bird Watching/Hunting/World Cup/Opera/Hiking (Black-3)"/>
        <s v="NIRIAHO Shoe Rack for Entryway, 6 Tier Shoe Rack Organizer Space Saving Shoe Rack Tall Narrow, Plastic Shoes Storage Cabinet Free Standing Shoe Rack Storage for Small Spaces Under Bed Shoe Storage"/>
        <m/>
      </sharedItems>
    </cacheField>
    <cacheField name="SKU" numFmtId="0">
      <sharedItems containsBlank="1" count="87">
        <s v="Y9001-BU"/>
        <s v="Y9005-PI"/>
        <s v="Y9005-BU"/>
        <s v="Y9002-BL"/>
        <s v="Y9005-WH"/>
        <s v="Y9005-BL"/>
        <s v="Y9007-30PC"/>
        <s v="Y9001-PI"/>
        <s v="Y9002-BU"/>
        <s v="Y9003-1"/>
        <s v="Y9001-GR"/>
        <s v="Y93106-DB+Y93109+Y93112"/>
        <s v="Y93405-DB+Y93406+Y93397"/>
        <s v="Y93106-BL+Y93109+Y93112"/>
        <s v="Y9001-WH"/>
        <s v="Y93106-OR+Y93109+Y93112"/>
        <s v="Y9010-WH"/>
        <s v="Y93475-DB+Y92615+Y93478"/>
        <s v="Y93134-OR+Y93137+Y93268"/>
        <s v="Y9001-PU"/>
        <s v="Y93230-DB+Y903231+Y93240"/>
        <s v="Y93134-DB+Y93137+Y93268"/>
        <s v="Y93134-BL+Y93137+Y93268"/>
        <s v="Y9009-BU-ZH"/>
        <s v="Y93452-DB-ZH"/>
        <s v="Y93452-OR-ZH"/>
        <s v="Y9022"/>
        <s v="Y9009-BL-ZH"/>
        <s v="Y9007-6PC"/>
        <s v="Y9008"/>
        <s v="Y93230-BL+Y903231+Y93240"/>
        <s v="Y93230-OR+Y903231+Y93240"/>
        <s v="Y9009-WH"/>
        <s v="Y9020-GA"/>
        <s v="Y92563-OR+Y92564+Y92571"/>
        <s v="Y92000-BL+Y92013+Y92749"/>
        <s v="Y9002-BU+Y9005"/>
        <s v="Y9019-GA"/>
        <s v="Y92611-DB+Y92614+Y92635"/>
        <s v="Y92000-OR+Y92013+Y92749"/>
        <s v="Y9018-GA"/>
        <s v="Y9021"/>
        <s v="Y9026-6-GA"/>
        <s v="Y93694-BU+Y93712+Y93744"/>
        <s v="Y93758-BU+Y93759+Y93761"/>
        <s v="Y93756-BL+Y93757+Y93760"/>
        <s v="Y93821-DB+Y93822+Y93823"/>
        <s v="Y93405-BL+Y93406+Y93397"/>
        <s v="Y92610-OR+Y92613+Y92634"/>
        <s v="Y9009-DB-ZH"/>
        <s v="Y93135-OR+Y93138+Y93269"/>
        <s v="Y93135-BL+Y93138+Y93269-1"/>
        <s v="Y9009-KH"/>
        <s v="Y9010-PI"/>
        <s v="Y9018-GN"/>
        <s v="YN-AOIB-XWWS"/>
        <s v="Y92000-DB+Y92013+Y92749"/>
        <s v="E03106-BL-ZH"/>
        <s v="Y9003-BU+Y9006+Y9008"/>
        <s v="Y9009-OR-ZH"/>
        <s v="Y93135-DB+Y93138+Y93269"/>
        <s v="IH-T4RR-DLXF"/>
        <s v="Y9010-KH"/>
        <s v="Y9019-GN"/>
        <s v="Y9020-GN"/>
        <s v="Y93694-BL+Y93712+Y93744"/>
        <s v="Y93758-DB+Y93759+Y93761"/>
        <s v="Y93475-DB+Y92615+Y93478*1"/>
        <s v="Y93821-BL+Y93822+Y93823"/>
        <s v="Y92611-OR+Y92614+Y92635"/>
        <s v="Y93153-DB+Y93155+Y93169"/>
        <s v="Y93133-OR+Y93136+Y93267"/>
        <s v="Y93153-BL+Y93155+Y93169"/>
        <s v="TF-2R1C-9IYM"/>
        <s v="Y92610-BL+Y92613+Y92634"/>
        <s v="Y92610-DB+Y92613+Y92634"/>
        <s v="Y92563-BL+Y92564+Y92571"/>
        <s v="Y9003-BL+Y9006+Y9008"/>
        <s v="Y92995-OR+Y92997+Y93011"/>
        <s v="Y9002-DB+Y9005"/>
        <s v="Y9003-DB+Y9006+Y9008"/>
        <s v="Y9029-OR+Y9030+Y9031"/>
        <s v="IA-FIXD-GG7Z"/>
        <s v="Y9007-24PC"/>
        <s v="Y9008-3"/>
        <s v="Y9026-6-BL"/>
        <m/>
      </sharedItems>
    </cacheField>
    <cacheField name="会话次数 – 总计" numFmtId="0">
      <sharedItems containsString="0" containsBlank="1" containsNumber="1" containsInteger="1" minValue="0" maxValue="1193" count="65">
        <n v="859"/>
        <n v="548"/>
        <n v="618"/>
        <n v="1193"/>
        <n v="338"/>
        <n v="388"/>
        <n v="143"/>
        <n v="184"/>
        <n v="146"/>
        <n v="256"/>
        <n v="210"/>
        <n v="70"/>
        <n v="87"/>
        <n v="104"/>
        <n v="207"/>
        <n v="176"/>
        <n v="229"/>
        <n v="102"/>
        <n v="83"/>
        <n v="126"/>
        <n v="64"/>
        <n v="62"/>
        <n v="42"/>
        <n v="118"/>
        <n v="160"/>
        <n v="312"/>
        <n v="30"/>
        <n v="81"/>
        <n v="79"/>
        <n v="52"/>
        <n v="98"/>
        <n v="140"/>
        <n v="109"/>
        <n v="19"/>
        <n v="25"/>
        <n v="106"/>
        <n v="88"/>
        <n v="58"/>
        <n v="43"/>
        <n v="137"/>
        <n v="180"/>
        <n v="89"/>
        <n v="34"/>
        <n v="10"/>
        <n v="21"/>
        <n v="31"/>
        <n v="36"/>
        <n v="14"/>
        <n v="24"/>
        <n v="90"/>
        <n v="17"/>
        <n v="37"/>
        <n v="45"/>
        <n v="47"/>
        <n v="105"/>
        <n v="12"/>
        <n v="15"/>
        <n v="16"/>
        <n v="11"/>
        <n v="6"/>
        <n v="2"/>
        <n v="8"/>
        <n v="23"/>
        <n v="77"/>
        <m/>
      </sharedItems>
    </cacheField>
    <cacheField name="会话次数 – 总计 – B2B" numFmtId="0">
      <sharedItems containsString="0" containsBlank="1" containsNumber="1" containsInteger="1" minValue="0" maxValue="18" count="14">
        <n v="10"/>
        <n v="6"/>
        <n v="8"/>
        <n v="18"/>
        <n v="7"/>
        <n v="2"/>
        <n v="3"/>
        <n v="1"/>
        <n v="9"/>
        <n v="4"/>
        <n v="0"/>
        <n v="16"/>
        <n v="11"/>
        <m/>
      </sharedItems>
    </cacheField>
    <cacheField name="会话百分比 – 总计" numFmtId="0">
      <sharedItems containsString="0" containsBlank="1" containsNumber="1" minValue="0" maxValue="0.1181" count="65">
        <n v="0.0851"/>
        <n v="0.0543"/>
        <n v="0.0612"/>
        <n v="0.1181"/>
        <n v="0.0335"/>
        <n v="0.0384"/>
        <n v="0.0142"/>
        <n v="0.0182"/>
        <n v="0.0145"/>
        <n v="0.0253"/>
        <n v="0.0208"/>
        <n v="0.0069"/>
        <n v="0.0086"/>
        <n v="0.0103"/>
        <n v="0.0205"/>
        <n v="0.0174"/>
        <n v="0.0227"/>
        <n v="0.0101"/>
        <n v="0.0082"/>
        <n v="0.0125"/>
        <n v="0.0063"/>
        <n v="0.0061"/>
        <n v="0.0042"/>
        <n v="0.0117"/>
        <n v="0.0158"/>
        <n v="0.0309"/>
        <n v="0.003"/>
        <n v="0.008"/>
        <n v="0.0078"/>
        <n v="0.0051"/>
        <n v="0.0097"/>
        <n v="0.0139"/>
        <n v="0.0108"/>
        <n v="0.0019"/>
        <n v="0.0025"/>
        <n v="0.0105"/>
        <n v="0.0087"/>
        <n v="0.0057"/>
        <n v="0.0043"/>
        <n v="0.0136"/>
        <n v="0.0178"/>
        <n v="0.0088"/>
        <n v="0.0034"/>
        <n v="0.001"/>
        <n v="0.0021"/>
        <n v="0.0031"/>
        <n v="0.0036"/>
        <n v="0.0014"/>
        <n v="0.0024"/>
        <n v="0.0089"/>
        <n v="0.0017"/>
        <n v="0.0037"/>
        <n v="0.0045"/>
        <n v="0.0047"/>
        <n v="0.0104"/>
        <n v="0.0012"/>
        <n v="0.0015"/>
        <n v="0.0016"/>
        <n v="0.0011"/>
        <n v="0.0006"/>
        <n v="0.0002"/>
        <n v="0.0008"/>
        <n v="0.0023"/>
        <n v="0.0076"/>
        <m/>
      </sharedItems>
    </cacheField>
    <cacheField name="会话百分比 – 总计 – B2B" numFmtId="0">
      <sharedItems containsString="0" containsBlank="1" containsNumber="1" minValue="0" maxValue="0.0928" count="14">
        <n v="0.0515"/>
        <n v="0.0309"/>
        <n v="0.0412"/>
        <n v="0.0928"/>
        <n v="0.0361"/>
        <n v="0.0103"/>
        <n v="0.0155"/>
        <n v="0.0052"/>
        <n v="0.0464"/>
        <n v="0.0206"/>
        <n v="0"/>
        <n v="0.0825"/>
        <n v="0.0567"/>
        <m/>
      </sharedItems>
    </cacheField>
    <cacheField name="页面浏览量 – 总计" numFmtId="0">
      <sharedItems containsString="0" containsBlank="1" containsNumber="1" containsInteger="1" minValue="0" maxValue="1531" count="71">
        <n v="1320"/>
        <n v="875"/>
        <n v="933"/>
        <n v="1531"/>
        <n v="474"/>
        <n v="541"/>
        <n v="199"/>
        <n v="250"/>
        <n v="177"/>
        <n v="366"/>
        <n v="297"/>
        <n v="92"/>
        <n v="117"/>
        <n v="146"/>
        <n v="256"/>
        <n v="230"/>
        <n v="314"/>
        <n v="131"/>
        <n v="115"/>
        <n v="160"/>
        <n v="127"/>
        <n v="93"/>
        <n v="90"/>
        <n v="57"/>
        <n v="180"/>
        <n v="263"/>
        <n v="438"/>
        <n v="45"/>
        <n v="103"/>
        <n v="118"/>
        <n v="62"/>
        <n v="139"/>
        <n v="181"/>
        <n v="123"/>
        <n v="33"/>
        <n v="37"/>
        <n v="171"/>
        <n v="110"/>
        <n v="78"/>
        <n v="59"/>
        <n v="174"/>
        <n v="247"/>
        <n v="111"/>
        <n v="82"/>
        <n v="18"/>
        <n v="40"/>
        <n v="29"/>
        <n v="38"/>
        <n v="48"/>
        <n v="22"/>
        <n v="197"/>
        <n v="168"/>
        <n v="21"/>
        <n v="39"/>
        <n v="68"/>
        <n v="36"/>
        <n v="138"/>
        <n v="61"/>
        <n v="14"/>
        <n v="16"/>
        <n v="20"/>
        <n v="26"/>
        <n v="19"/>
        <n v="6"/>
        <n v="2"/>
        <n v="24"/>
        <n v="12"/>
        <n v="32"/>
        <n v="8"/>
        <n v="91"/>
        <m/>
      </sharedItems>
    </cacheField>
    <cacheField name="页面浏览量 – 总计 – B2B" numFmtId="0">
      <sharedItems containsString="0" containsBlank="1" containsNumber="1" containsInteger="1" minValue="0" maxValue="26" count="17">
        <n v="12"/>
        <n v="9"/>
        <n v="10"/>
        <n v="26"/>
        <n v="13"/>
        <n v="2"/>
        <n v="6"/>
        <n v="1"/>
        <n v="17"/>
        <n v="4"/>
        <n v="0"/>
        <n v="3"/>
        <n v="21"/>
        <n v="23"/>
        <n v="8"/>
        <n v="5"/>
        <m/>
      </sharedItems>
    </cacheField>
    <cacheField name="页面浏览量百分比 – 总计" numFmtId="0">
      <sharedItems containsString="0" containsBlank="1" containsNumber="1" minValue="0" maxValue="0.1087" count="65">
        <n v="0.0937"/>
        <n v="0.0621"/>
        <n v="0.0662"/>
        <n v="0.1087"/>
        <n v="0.0336"/>
        <n v="0.0384"/>
        <n v="0.0141"/>
        <n v="0.0177"/>
        <n v="0.0126"/>
        <n v="0.026"/>
        <n v="0.0211"/>
        <n v="0.0065"/>
        <n v="0.0083"/>
        <n v="0.0104"/>
        <n v="0.0182"/>
        <n v="0.0163"/>
        <n v="0.0223"/>
        <n v="0.0093"/>
        <n v="0.0082"/>
        <n v="0.0114"/>
        <n v="0.009"/>
        <n v="0.0066"/>
        <n v="0.0064"/>
        <n v="0.004"/>
        <n v="0.0128"/>
        <n v="0.0187"/>
        <n v="0.0311"/>
        <n v="0.0032"/>
        <n v="0.0073"/>
        <n v="0.0084"/>
        <n v="0.0044"/>
        <n v="0.0099"/>
        <n v="0.0087"/>
        <n v="0.0023"/>
        <n v="0.0026"/>
        <n v="0.0121"/>
        <n v="0.0078"/>
        <n v="0.0055"/>
        <n v="0.0042"/>
        <n v="0.0124"/>
        <n v="0.0175"/>
        <n v="0.0079"/>
        <n v="0.0058"/>
        <n v="0.0013"/>
        <n v="0.0028"/>
        <n v="0.0021"/>
        <n v="0.0027"/>
        <n v="0.0034"/>
        <n v="0.0016"/>
        <n v="0.014"/>
        <n v="0.0119"/>
        <n v="0.0015"/>
        <n v="0.0048"/>
        <n v="0.0098"/>
        <n v="0.0043"/>
        <n v="0.001"/>
        <n v="0.0011"/>
        <n v="0.0014"/>
        <n v="0.0018"/>
        <n v="0.0004"/>
        <n v="0.0001"/>
        <n v="0.0017"/>
        <n v="0.0009"/>
        <n v="0.0006"/>
        <m/>
      </sharedItems>
    </cacheField>
    <cacheField name="页面浏览量百分比 – 总计 – B2B" numFmtId="0">
      <sharedItems containsString="0" containsBlank="1" containsNumber="1" minValue="0" maxValue="0.0939" count="17">
        <n v="0.0433"/>
        <n v="0.0325"/>
        <n v="0.0361"/>
        <n v="0.0939"/>
        <n v="0.0469"/>
        <n v="0.0072"/>
        <n v="0.0217"/>
        <n v="0.0036"/>
        <n v="0.0614"/>
        <n v="0.0144"/>
        <n v="0"/>
        <n v="0.0108"/>
        <n v="0.0758"/>
        <n v="0.083"/>
        <n v="0.0289"/>
        <n v="0.0181"/>
        <m/>
      </sharedItems>
    </cacheField>
    <cacheField name="推荐报价（购买按钮）百分比" numFmtId="0">
      <sharedItems containsString="0" containsBlank="1" containsNumber="1" minValue="0" maxValue="1" count="47">
        <n v="0.9875"/>
        <n v="0.9907"/>
        <n v="0.9899"/>
        <n v="0.9938"/>
        <n v="0.957"/>
        <n v="0.9442"/>
        <n v="0.9624"/>
        <n v="0.9882"/>
        <n v="0.9809"/>
        <n v="0.9843"/>
        <n v="1"/>
        <n v="0.9083"/>
        <n v="0.9956"/>
        <n v="0.9966"/>
        <n v="0.9685"/>
        <n v="0.9886"/>
        <n v="0.9873"/>
        <n v="0.9944"/>
        <n v="0.9952"/>
        <n v="0.9901"/>
        <n v="0.8839"/>
        <n v="0.9773"/>
        <n v="0.9854"/>
        <n v="0.9943"/>
        <n v="0.9583"/>
        <n v="0.9714"/>
        <n v="0.9908"/>
        <n v="0.8125"/>
        <n v="0.8966"/>
        <n v="0.9167"/>
        <n v="0.9737"/>
        <n v="0.9946"/>
        <n v="0.962"/>
        <n v="0.9811"/>
        <n v="0.9524"/>
        <n v="0.9231"/>
        <n v="0.9403"/>
        <n v="0.9844"/>
        <n v="0.9926"/>
        <n v="0.75"/>
        <n v="0.95"/>
        <n v="0.6667"/>
        <n v="0.9444"/>
        <n v="0.9333"/>
        <n v="0.5"/>
        <n v="0.9688"/>
        <m/>
      </sharedItems>
    </cacheField>
    <cacheField name="推荐报价（购买按钮）百分比 – B2B" numFmtId="0">
      <sharedItems containsString="0" containsBlank="1" containsNumber="1" minValue="0" maxValue="1" count="5">
        <n v="1"/>
        <n v="0.5"/>
        <n v="0"/>
        <n v="0.9091"/>
        <m/>
      </sharedItems>
    </cacheField>
    <cacheField name="已订购商品数量" numFmtId="0">
      <sharedItems containsString="0" containsBlank="1" containsNumber="1" containsInteger="1" minValue="0" maxValue="209" count="24">
        <n v="209"/>
        <n v="126"/>
        <n v="160"/>
        <n v="78"/>
        <n v="36"/>
        <n v="27"/>
        <n v="31"/>
        <n v="28"/>
        <n v="18"/>
        <n v="30"/>
        <n v="15"/>
        <n v="13"/>
        <n v="10"/>
        <n v="11"/>
        <n v="9"/>
        <n v="8"/>
        <n v="7"/>
        <n v="6"/>
        <n v="5"/>
        <n v="4"/>
        <n v="3"/>
        <n v="2"/>
        <n v="1"/>
        <m/>
      </sharedItems>
    </cacheField>
  </cacheFields>
</pivotCacheDefinition>
</file>

<file path=xl/pivotCache/pivotCacheDefinition54.xml><?xml version="1.0" encoding="utf-8"?>
<pivotCacheDefinition xmlns="http://schemas.openxmlformats.org/spreadsheetml/2006/main" xmlns:r="http://schemas.openxmlformats.org/officeDocument/2006/relationships" r:id="rId1" createdVersion="5" refreshedVersion="5" minRefreshableVersion="3" refreshedDate="45219.6193402778" refreshedBy="Administrator" recordCount="105">
  <cacheSource type="worksheet">
    <worksheetSource ref="B1:O1048576" sheet="销售9.19-10.18" r:id="rId2"/>
  </cacheSource>
  <cacheFields count="14">
    <cacheField name="（子）ASIN" numFmtId="0">
      <sharedItems containsBlank="1" count="94">
        <s v="B0BZ3YPHM9"/>
        <s v="B0BVMG2B48"/>
        <s v="B0BX252DLT"/>
        <s v="B0BZ439ZHM"/>
        <s v="B0C6DYVTHK"/>
        <s v="B0BVMG33FS"/>
        <s v="B0BZ3ZMR15"/>
        <s v="B0BZ3ZZQXL"/>
        <s v="B0B7HZ9RN6"/>
        <s v="B0B5SX52BD"/>
        <s v="B0B6333ZLX"/>
        <s v="B0BYCMVK7Q"/>
        <s v="B0B7HXB967"/>
        <s v="B0CF8LKWD2"/>
        <s v="B0BVPN4L87"/>
        <s v="B0BX1X4VP8"/>
        <s v="B0B5QJGPS2"/>
        <s v="B0B632PTY2"/>
        <s v="B0B7HX1QK8"/>
        <s v="B0BVNW9PY5"/>
        <s v="B0C61JT74Y"/>
        <s v="B0B7J2W7P2"/>
        <s v="B0B5SW89MJ"/>
        <s v="B0BVMH4Q7J"/>
        <s v="B0B6VJJMWD"/>
        <s v="B0B7J2NR5N"/>
        <s v="B0CF8LLWRT"/>
        <s v="B0B7HYLDSL"/>
        <s v="B0C5T553YJ"/>
        <s v="B0C61LCZK7"/>
        <s v="B0B5SWTHW5"/>
        <s v="B0B635ZHTN"/>
        <s v="B0C5T6KTZ4"/>
        <s v="B0CF8GVH1N"/>
        <s v="B0C6DWXLZV"/>
        <s v="B0CF8G54C5"/>
        <s v="B0CF8LG9SX"/>
        <s v="B0CF8P8B1X"/>
        <s v="B0B5R72V14"/>
        <s v="B0B5Z3R5GW"/>
        <s v="B0B5ZPQ3NS"/>
        <s v="B0B5ZQ6S7L"/>
        <s v="B0C61HN4GR"/>
        <s v="B0C7VSGBVP"/>
        <s v="B0CF8N1G5P"/>
        <s v="B0B5ZPTCX3"/>
        <s v="B0C5T89X9T"/>
        <s v="B0CF8MMRMK"/>
        <s v="B0B5N3SD8W"/>
        <s v="B0B5R772YP"/>
        <s v="B0C5T6TTX2"/>
        <s v="B0C61FL9NS"/>
        <s v="B0CF8KNMGM"/>
        <s v="B0B5N198G3"/>
        <s v="B0B5N5NMJN"/>
        <s v="B0B5WX6ZCM"/>
        <s v="B0B5X7P8NJ"/>
        <s v="B0B7JCJGP5"/>
        <s v="B0CFQX1KZM"/>
        <s v="B0B5WY83MR"/>
        <s v="B0B5Z3Q8FC"/>
        <s v="B0B6FGM7TC"/>
        <s v="B0B6VLWLHF"/>
        <s v="B0B7JFWQ4F"/>
        <s v="B0C61F8MY3"/>
        <s v="B0CF8DYKBR"/>
        <s v="B0CF8FKZ5B"/>
        <s v="B0CF8M7LYZ"/>
        <s v="B0B5N3K7LB"/>
        <s v="B0B5X12SMJ"/>
        <s v="B0B5X7WJR3"/>
        <s v="B0B5Z3XH4G"/>
        <s v="B0CF8GDQ5Q"/>
        <s v="B0B5N2J21Z"/>
        <s v="B0B5RBDZC5"/>
        <s v="B0B5SVSCXW"/>
        <s v="B0B5WZ389D"/>
        <s v="B0B5WZ6S9R"/>
        <s v="B0B5WZFSNQ"/>
        <s v="B0B5X8CBNR"/>
        <s v="B0B63GG8ZH"/>
        <s v="B0B6FG581N"/>
        <s v="B0B6FK2CJL"/>
        <s v="B0B6VJS464"/>
        <s v="B0B7JCHTKH"/>
        <s v="B0B7JD6S8B"/>
        <s v="B0B7JGDNR7"/>
        <s v="B0B7JH9QBS"/>
        <s v="B0C6DXQT1M"/>
        <s v="B0C6DZMTCP"/>
        <s v="B0C7VTPSNK"/>
        <s v="B0CF8FYGLG"/>
        <s v="B0CFQSZ24S"/>
        <m/>
      </sharedItems>
    </cacheField>
    <cacheField name="商品名称" numFmtId="0">
      <sharedItems containsBlank="1" count="94">
        <s v="NIRIAHO Portable Fan, Small Mini Fan 5 in 1 as Power Bank,Phone Holder,Handheld,Desk Fan,Neck Fan 3000mAh Foldable Fan with 4 Speeds [10H Max Cooling Time] Ideal for Travel/Outdoor/Camping (Pink)"/>
        <s v="NIRIAHO Portable Fan, Mini Fan Personal Fan Handheld Fan USB Rechargeable Small Fan Foldable Desk Fan 5000mAh Battery [16H Max Cooling Time] with 5 Speeds Ideal for Travel/Outdoor/Camping (Blue)"/>
        <s v="NIRIAHO Pressure Washer Wand, High Pressure Hose Nozzle Garden Hose Wand Power Sprayer Extendable Car Wash Nozzle Washer Gun with 3 Hose Nozzles for Garden Hose/Window/Car Washing (Black)"/>
        <s v="NIRIAHO Portable Fan, Small Mini Fan 5 in 1 as Power Bank,Phone Holder,Handheld,Desk Fan,Neck Fan 3000mAh Foldable Fan with 4 Speeds [10H Max Cooling Time] Ideal for Travel/Outdoor/Camping (Blue)"/>
        <s v="NIRIAHO Cabinet Handles, 30 Pack Drawer Pulls 5 Inch Length Cabinet Pulls (3 Inch Hole Center) Cupboard Handles for Kitchen Cabinets and Drawers"/>
        <s v="NIRIAHO Portable Fan, Mini Fan Personal Fan Handheld Fan USB Rechargeable Small Fan Foldable Desk Fan 5000mAh Battery [16H Max Cooling Time] with 5 Speeds Ideal for Travel/Outdoor/Camping (Green)"/>
        <s v="NIRIAHO Portable Fan, Small Mini Fan 5 in 1 as Power Bank,Phone Holder,Handheld,Desk Fan,Neck Fan 3000mAh Battery Fan with 4 Speeds [10H Max Cooling Time] Ideal for Travel/Outdoor/Camping (Black)"/>
        <s v="NIRIAHO Portable Fan, Small Mini Fan 5 in 1 as Power Bank,Phone Holder,Handheld,Desk Fan,Neck Fan 3000mAh Battery Fan with 4 Speeds [10H Max Cooling Time] Ideal for Travel/Outdoor/Camping (White)"/>
        <s v="NIRIAHO Phone Case for Samsung Galaxy A12 5G case,Heavy Duty Hard Shockproof Armor Protector Case Cover with Belt Clip Holster for Samsung Galaxy A12 5G Phone Case (Black)"/>
        <s v="NIRIAHO Phone Case for Samsung Galaxy A42 5G case,Heavy Duty Hard Shockproof Protector Armor Case Cover with Belt Clip Holster for Samsung Galaxy A42 5G Phone (Navy Blue)"/>
        <s v="NIRIAHO Phone Case for Samsung Galaxy A12 5G case,Heavy Duty Hard Shockproof Armor Protector Case Cover with Belt Clip Holster for Samsung Galaxy A12 5G Phone Case (Navy Blue)"/>
        <s v="pH Meter, NIRIAHO TDS Meter 8-in-1 pH Tester PPM Meter EC Meter Salt Tester ORP H2 Tester Temp Tester Digital Range with 0-14, 0.001 High Accuracy, Ideal for Water/Pool/Aquarium/Wine(8-in-1 pH Meter)"/>
        <s v="NIRIAHO Phone Case for Samsung Galaxy A12 5G case,Heavy Duty Hard Shockproof Armor Protector Case Cover with Belt Clip Holster for Samsung Galaxy A12 5G Phone Case (Black+Orange)"/>
        <s v="NIRIAHO Foldable Shoe Rack Organizer, Installation-free 6 Tiers Foldable Storage Box with Clear Door, White Plastic Shoe Box Collapsible Shoe Organizer for Closet Storage Shelves Easy Assembly"/>
        <s v="NIRIAHO Portable Fan, Mini Fan Personal Fan Handheld Fan USB Rechargeable Small Fan Foldable Desk Fan 5000mAh Battery [16H Max Cooling Time] with 5 Speeds Ideal for Travel/Outdoor/Camping (Pink)"/>
        <s v="Pressure Washer Wand, NIRIAHO High Pressure Hose Nozzle Garden Hose Wand Power Sprayer Extendable Car Wash Nozzle Washer Gun with 3 Hose Nozzles for Garden Hose/Window/Car Washing (Blue)"/>
        <s v="NIRIAHO Phone Case for iPhone 13 Pro Max Case,Heavy Duty Hard Shockproof Armor Protector Case Cover with Belt Clip Holster for Apple iPhone 13 Pro Max 5G 2021 Phone Case (Navy Blue)"/>
        <s v="NIRIAHO Phone Case for Samsung Galaxy A32 5G, Heavy Duty Hard Shockproof Protector Armor Case Cover with Belt Clip Holster for Samsung Galaxy A32 5G Phone (Navy Blue)"/>
        <s v="NIRIAHO Phone Case for Samsung Galaxy A32 5G, Heavy Duty Hard Shockproof Protector Armor Case Cover with Belt Clip Holster for Samsung Galaxy A32 5G Phone (Black)"/>
        <s v="NIRIAHO Portable Fan, Mini Fan Personal Fan Handheld Fan USB Rechargeable Small Fan Foldable Desk Fan 5000mAh Battery [16H Max Cooling Time] with 5 Speeds Ideal for Travel/Outdoor/Camping (White)"/>
        <s v="NIRIAHO Phone Case for Moto G Stylus 5G 2021, Heavy Duty Hard Shockproof Armor Protector Case Cover with Belt Clip Holster for Motorola G Stylus 5G 2021 Phone (Navy Blue)"/>
        <s v="NIRIAHO Phone Case for Moto G Power 2021, Heavy Duty Hard Shockproof Armor Protector Case Cover with Belt Clip Holster for Motorola G Power 2021 Phone (Black)"/>
        <s v="NIRIAHO Phone Case for Samsung Galaxy A42 5G case,Heavy Duty Hard Shockproof Protector Armor Case Cover with Belt Clip Holster for Samsung Galaxy A42 5G Phone (Black)"/>
        <s v="NIRIAHO Portable Fan, Mini Fan Personal Fan Handheld Fan USB Rechargeable Small Fan Foldable Desk Fan 5000mAh Battery [16H Max Cooling Time] with 5 Speeds Ideal for Travel/Outdoor/Camping (Violet)"/>
        <s v="NIRIAHO Phone Case for Samsung Galaxy S22 Ultra Heavy Duty Non-Slip Shockproof Protective Phone Cover with Belt Clip Holster for Samsung S22 Ultra 5G 6.8-inch(Black+Blue)"/>
        <s v="NIRIAHO Phone Case for Moto G Power 2021, Heavy Duty Hard Shockproof Armor Protector Case Cover with Belt Clip Holster for Motorola G Power 2021 Phone (Black+Orange)"/>
        <s v="NIRIAHO 5 Tier Shoe Rack Organizer Closet, Shoe Organizer for Entryway Shoe Storage, Narrow Free Standing Shoe Rack Plastic Vertical Shoe Holder for Closet Small Spaces Cubby Shoe Stand (Grey)"/>
        <s v="NIRIAHO Phone Case for Samsung Galaxy A32 5G, Heavy Duty Hard Shockproof Protector Armor Case Cover with Belt Clip Holster for Samsung Galaxy A32 5G Phone (Black+Orange)"/>
        <s v="NIRIAHO Phone Case for Samsung Galaxy S22 5G (with 2 Screen Protectors) Heavy Duty Non-Slip Shockproof Protective Phone Cover with Belt Clip Holster for Samsung S22 5G 6.1-inch Phone (Black)"/>
        <s v="NIRIAHO Phone Case for Moto G Stylus 5G 2021, Heavy Duty Hard Shockproof Armor Protector Case Cover with Belt Clip Holster for Motorola G Stylus 5G 2021 Phone (Black+Orange)"/>
        <s v="NIRIAHO Compatible with iPhone 12 Case, iPhone 12 Pro Case, Heavy Duty Hard Shockproof Armor Protector Case Cover with Belt Clip Holster for Apple iPhone 12 6.1 2020 Phone Case (Navy Blue)"/>
        <s v="NIRIAHO Phone Case for Moto G Power 2021, Heavy Duty Hard Shockproof Armor Protector Case Cover with Belt Clip Holster for Motorola G Power 2021 Phone (Navy Blue)"/>
        <s v="NIRIAHO Phone Case for Samsung Galaxy S22 5G (with 2 Screen Protectors) Heavy Duty Non-Slip Shockproof Protective Phone Cover with Belt Clip Holster for Samsung S22 5G 6.1-inch Phone (Black+Blue)"/>
        <s v="NIRIAHO 5 Tier Mobile Bookshelf, Movable Bookshelf Rolling Office Paper Organizer Book Rack Storage Removable Utility Small Bookcase with Wheels for Office, Dorm, Classroom, Nursery, White"/>
        <s v="NIRIAHO Cabinet Handles, 6 Pack Drawer Pulls 5 Inch Length Cabinet Pulls (3 Inch Hole Center) Cupboard Handles for Kitchen Cabinets and Drawers"/>
        <s v="NIRIAHO 6 Tier Mobile Bookshelf, Rolling Cart Multi-Functional Movable Storage Book Shelves, Utility Cart Office Organizer White Bookshelves with Lockable Casters for Office, Dorm, Classroom"/>
        <s v="NIRIAHO Vertical Shoe Rack, 7 Tier Narrow Shoe Organizer, Free Standing Shoe Racks Space Saving Shoe Shelf for Entryway Storage, Free Stand Shoe Tower with Plastic Material"/>
        <s v="NIRIAHO 3 Tier Foldable Shoe Rack Organizer, Installation-free White Shoe Storage Boxes Plastic Storage Shelves Collapsible Shoe Rack Organizer for Closet Storage Shelves with Clear Door"/>
        <s v="NIRIAHO Phone Case for Motorola G Power 2022 (with 2 Screen Protectors) Heavy Duty Non-Slip Shockproof Protective Phone Cover with Belt Clip Holster for Moto G Power 2022 6.5-inch (Black)"/>
        <s v="NIRIAHO Phone Case for Samsung Galaxy A11, Heavy Duty Hard Shockproof Protector Shield Case Cover with Belt Clip Holster for Samsung Galaxy A11 Phone (Black+Orange)"/>
        <s v="NIRIAHO LG Stylo 5 Case, LG Stylo 5 Plus/LG Stylo 5V Case,Heavy Duty Hard Shockproof Protector Shield Case Cover with Belt Clip and Kickstand for LG Stylo 5 (Black)"/>
        <s v="NIRIAHO LG Stylo 5 Case, LG Stylo 5 Plus/LG Stylo 5V Case,Heavy Duty Hard Shockproof Protector Shield Case Cover with Belt Clip and Kickstand for LG Stylo 5 (Navy Blue)"/>
        <s v="NIRIAHO Phone Case for Moto G Play 2021 Case,Heavy Duty Hard Shockproof Armor Protector Case Cover with Belt Clip Holster for Motorola G Play 2021 Phone (Black)"/>
        <s v="NIRIAHO 12x42 Binoculars for Adults High Powered, Hunting Binoculars with Tripod and Phone Holder Large and Bright View, Compact Binoculars for Bird Watching/Hunting/World Cup/Opera/Hiking (Black)"/>
        <s v="NIRIAHO Free Standing Shoe Racks, 6 Tier Narrow Shoe Rack for Front Door Entrance, Plastic Cube Organizer Shoe Storage Cabinet Narrow Vertical Shoe Rack for Small Spaces Bedroom Shoe Tower (Grey)"/>
        <s v="NIRIAHO LG Stylo 5 Case, LG Stylo 5 Plus/LG Stylo 5V Case,Heavy Duty Hard Shockproof Protector Shield Case Cover with Belt Clip and Kickstand for LG Stylo 5 (Black+Orange)"/>
        <s v="NIRIAHO Phone Case for Samsung Galaxy S22 5G (with 2 Screen Protectors) Heavy Duty Non-Slip Shockproof Protective Phone Cover with Belt Clip Holster for Samsung S22 5G 6.1-inch Phone (Navy Blue)"/>
        <s v="NIRIAHO 5 Tier Shoe Rack Organizer Closet, Shoe Organizer for Entryway Shoe Storage, Narrow Free Standing Shoe Rack Plastic Vertical Shoe Holder for Closet Small Spaces Cubby Shoe Stand (Green)"/>
        <s v="NIRIAHO Phone Case for Google Pixel 6 Pro (Not for Pixel 6) Heavy Duty Non-Slip Shockproof Protective Phone Cover with Belt Clip Holster for Google Pixel 6 Pro 2021 6.71-inch (Black+Blue)"/>
        <s v="NIRIAHO Phone Case for Motorola G Power 2022 (with 2 Screen Protectors) Heavy Duty Non-Slip Shockproof Protective Phone Cover with Belt Clip Holster for Moto G Power 2022 6.5-inch (Navy Blue)"/>
        <s v="NIRIAHO Phone Case for Samsung Galaxy S22 5G (with 2 Screen Protectors) Heavy Duty Non-Slip Shockproof Protective Phone Cover with Belt Clip Holster for Samsung S22 5G 6.1-inch Phone (Black+Orange)"/>
        <s v="NIRIAHO Phone Case for Moto G Play 2021 Case,Heavy Duty Hard Shockproof Armor Protector Case Cover with Belt Clip Holster for Motorola G Play 2021 Phone (Navy Blue)"/>
        <s v="NIRIAHO 6 Tier Shoe Rack for Closet, Shoe Organizer for Entryway Shoe Storage, Narrow Free Standing Shoe Rack Plastic Vertical Shoe Holder for Closet Small Spaces Cubby Shoe Stand (Green)"/>
        <s v="NIRIAHO Phone Case for Samsung Galaxy A13 5G(with 2 Screen Protectors) Heavy Duty Non-Slip Shockproof Protective Phone Cover with Belt Clip Holster for Samsung A13 5G 6.5-inch (Black+Blue)"/>
        <s v="NIRIAHO Phone Case for Google Pixel 6 (Not for Pixel 6 Pro) Heavy Duty Non-Slip Shockproof Protective Phone Cover with Belt Clip Holster for Google Pixel 6 2021 6.4-inch (Black)"/>
        <s v="NIRIAHO Phone Case for Samsung Galaxy A52 5G/4G A52S 5G case,Heavy Duty Hard Shockproof Protector Armor Case Cover with Belt Clip Holster for Samsung Galaxy A52 5G/4G Phone Case (Black+Orange)"/>
        <s v="NIRIAHO Compatible with iPhone 12 Mini Case,Heavy Duty Hard Shockproof Armor Protector Case Cover with Belt Clip Holster for Apple iPhone 12 Mini 5.4 2020 Phone Case (Black+Orange)"/>
        <s v="NIRIAHO Phone Case for Samsung Galaxy S22 Plus (with 2 Screen Protectors) Heavy Duty Non-Slip Shockproof Protective Phone Cover with Belt Clip Holster for Samsung S22+ Plus 5G 6.6-inch (Black+Blue)"/>
        <s v="NIRIAHO 6 Tier Standing Shoe Rack for Closet, Small Shoe Shelf Space Saving, Plastic Shoe Storage Cabinet Free Standing Shoe Racks Storage and Organization for Entryway Shoe Storage (Grey)"/>
        <s v="NIRIAHO Phone Case for Samsung Galaxy A52 5G/4G A52S 5G case,Heavy Duty Hard Shockproof Protector Armor Case Cover with Belt Clip Holster for Samsung Galaxy A52 5G/4G Phone Case (Navy Blue)"/>
        <s v="NIRIAHO Phone Case for Samsung Galaxy A71 5G, Heavy Duty Hard Shockproof Protector Shield Case Cover with Belt Clip Holster for Samsung Galaxy A71 6.7 inch Phone 5G Version (Black+Orange)"/>
        <s v="NIRIAHO Compatible with LG K51 Case,LG Q51/LG Reflect Case, Heavy Duty Hard Shockproof Armor Protector Case Cover with Belt Clip Holster for 2020 LG K51 Phone (Black+Orange)"/>
        <s v="NIRIAHO Phone Case for Samsung Galaxy S22 Ultra Heavy Duty Non-Slip Shockproof Protective Phone Cover with Belt Clip Holster for Samsung S22 Ultra 5G 6.8-inch(Navy Blue)"/>
        <s v="NIRIAHO Phone Case for Samsung Galaxy A53 5G (with 2 Screen Protectors) Heavy Duty Non-Slip Shockproof Protective Phone Cover with Belt Clip Holster for Samsung A53 5G 6.5-inch (Black+Orange)"/>
        <s v="NIRIAHO Phone Case for Moto G Play 2021 Case,Heavy Duty Hard Shockproof Armor Protector Case Cover with Belt Clip Holster for Motorola G Play 2021 Phone (Black+Orange)"/>
        <s v="NIRIAHO 6 Tier Mobile Bookshelf, Rolling Cart Multi-Functional Movable Storage Book Shelves, Utility Cart Office Organizer Khaki Bookshelves with Lockable Casters for Office, Dorm, Classroom"/>
        <s v="NIRIAHO 5-Tier Pink Mobile Bookshelf, Movable Bookshelf Rolling Office Paper Organizer Book Rack Storage Removable Utility Small Bookcase with Wheels for Office, Dorm, Classroom, Nursery"/>
        <s v="NIRIAHO Free Standing Shoe Racks, 7 Tier Narrow Shoe Rack for Front Door Entrance, Plastic Cube Organizer Shoe Storage Cabinet Narrow Vertical Shoe Rack for Small Spaces Bedroom Shoe Tower (Green)"/>
        <s v="NIRIAHO Phone Case for Google Pixel 6 Pro (Not for Pixel 6) Heavy Duty Non-Slip Shockproof Protective Phone Cover with Belt Clip Holster for Google Pixel 6 Pro 2021 6.71-inch (Navy Blue)"/>
        <s v="NIRIAHO Phone Case for Samsung Galaxy A52 5G/4G A52S 5G case,Heavy Duty Hard Shockproof Protector Armor Case Cover with Belt Clip Holster for Samsung Galaxy A52 5G/4G Phone Case (Black)"/>
        <s v="NIRIAHO Compatible with iPhone 12 Mini Case,Heavy Duty Hard Shockproof Armor Protector Case Cover with Belt Clip Holster for Apple iPhone 12 Mini 5.4 2020 Phone Case (Black)"/>
        <s v="NIRIAHO Phone Case for Samsung Galaxy A11, Heavy Duty Hard Shockproof Protector Shield Case Cover with Belt Clip Holster for Samsung Galaxy A11 Phone (Black)"/>
        <s v="NIRIAHO 5 Tier Mobile Bookshelf, Movable Bookshelf Rolling Office Paper Organizer Book Rack Storage Removable Utility Small Bookcase with Wheels for Office, Dorm, Classroom, Nursery (Khaki)"/>
        <s v="NIRIAHO Phone Case for Samsung Galaxy A13 5G(with 2 Screen Protectors) Heavy Duty Non-Slip Shockproof Protective Phone Cover with Belt Clip Holster for Samsung A13 5G 6.5-inch (Black)"/>
        <s v="NIRIAHO Phone Case for Motorola G Power 2022 (with 2 Screen Protectors) Heavy Duty Non-Slip Shockproof Protective Phone Cover with Belt Clip Holster for Moto G Power 2022 6.5-inch (Black+Blue)"/>
        <s v="NIRIAHO Compatible with iPhone 12 Case, iPhone 12 Pro Case, Heavy Duty Hard Shockproof Armor Protector Case Cover with Belt Clip Holster for Apple iPhone 12 6.1 2020 Phone Case (Black+Orange)"/>
        <s v="NIRIAHO Phone Case for Moto G Stylus 2021, Heavy Duty Hard Shockproof Armor Protector Case Cover with Belt Clip Holster for Motorola G Stylus 2021 Phone (Navy Blue)"/>
        <s v="NIRIAHO Phone Case for Moto G Stylus 2021, Heavy Duty Hard Shockproof Armor Protector Case Cover with Belt Clip Holster for Motorola G Stylus 2021 Phone (Black+Orange)"/>
        <s v="NIRIAHO Phone Case for Moto G Stylus 2021, Heavy Duty Hard Shockproof Armor Protector Case Cover with Belt Clip Holster for Motorola G Stylus 2021 Phone (Black)"/>
        <s v="NIRIAHO Compatible with iPhone 12 Mini Case,Heavy Duty Hard Shockproof Armor Protector Case Cover with Belt Clip Holster for Apple iPhone 12 Mini 5.4 2020 Phone Case (Navy Blue)"/>
        <s v="NIRIAHO Phone Case for Samsung Galaxy S22 Plus (with 2 Screen Protectors) Heavy Duty Non-Slip Shockproof Protective Phone Cover with Belt Clip Holster for Samsung S22+ Plus 5G 6.6-inch (Black)"/>
        <s v="NIRIAHO Compatible with LG K92 5G Case,Heavy Duty Hard Shockproof Armor Protector Case Cover with Belt Clip Holster for LG K92 5G Phone Case (Black+Orange)"/>
        <s v="NIRIAHO Compatible with LG K92 5G Case,Heavy Duty Hard Shockproof Armor Protector Case Cover with Belt Clip Holster for LG K92 5G Phone Case (Black)"/>
        <s v="NIRIAHO Phone Case for Samsung Galaxy S22 Ultra Heavy Duty Non-Slip Shockproof Protective Phone Cover with Belt Clip Holster for Samsung S22 Ultra 5G 6.8-inch (Black+Orange)"/>
        <s v="NIRIAHO Phone Case for Samsung Galaxy S22 Plus (with 2 Screen Protectors) Heavy Duty Non-Slip Shockproof Protective Phone Cover with Belt Clip Holster for Samsung S22+ Plus 5G 6.6-inch (Navy Blue)"/>
        <s v="NIRIAHO Phone Case for Samsung Galaxy S22 Ultra Heavy Duty Non-Slip Shockproof Protective Phone Cover with Belt Clip Holster for Samsung S22 Ultra 5G 6.8-inch (Black)"/>
        <s v="NIRIAHO Phone Case for Samsung Galaxy A53 5G (with 2 Screen Protectors) Heavy Duty Non-Slip Shockproof Protective Phone Cover with Belt Clip Holster for Samsung A53 5G 6.5-inch (Black)"/>
        <s v="NIRIAHO Phone Case for Samsung Galaxy A53 5G (with 2 Screen Protectors) Heavy Duty Non-Slip Shockproof Protective Phone Cover with Belt Clip Holster for Samsung A53 5G 6.5-inch (Navy Blue)"/>
        <s v="NIRIAHO Cabinet Handles, 12 Pack Drawer Pulls 5 Inch Length Cabinet Pulls (3 Inch Hole Center) Cupboard Handles for Kitchen Cabinets and Drawers"/>
        <s v="NIRIAHO Cabinet Handles, 24 Pack Drawer Pulls 5 Inch Length Cabinet Pulls (3 Inch Hole Center) Cupboard Handles for Kitchen Cabinets and Drawers"/>
        <s v="NIRIAHO 12x42 Binoculars for Adults High Powered, Hunting Binoculars with Tripod and Phone Holder Large and Bright View, Compact Binoculars for Bird Watching/Hunting/World Cup/Opera/Hiking (Black-3)"/>
        <s v="NIRIAHO 6 Tier Mobile Bookshelf, Rolling Cart Multi-Functional Movable Storage Book Shelves, Utility Cart Office Organizer Pink Bookshelves with Lockable Casters for Office, Dorm, Classroom"/>
        <s v="NIRIAHO Shoe Rack for Entryway, 6 Tier Shoe Rack Organizer Space Saving Shoe Rack Tall Narrow, Plastic Shoes Storage Cabinet Free Standing Shoe Rack Storage for Small Spaces Under Bed Shoe Storage"/>
        <m/>
      </sharedItems>
    </cacheField>
    <cacheField name="SKU" numFmtId="0">
      <sharedItems containsBlank="1" count="100">
        <s v="Y9005-PI"/>
        <s v="Y9001-BU"/>
        <s v="Y9002-BL"/>
        <s v="Y9005-BU"/>
        <s v="Y9007-30PC"/>
        <s v="Y9001-GR"/>
        <s v="Y9005-BL"/>
        <s v="Y9005-WH"/>
        <s v="Y93106-BL+Y93109+Y93112"/>
        <s v="Y93405-DB+Y93406+Y93397"/>
        <s v="Y93106-DB+Y93109+Y93112"/>
        <s v="Y9003-1"/>
        <s v="Y93106-OR+Y93109+Y93112"/>
        <s v="Y9022"/>
        <s v="Y9001-PI"/>
        <s v="Y9002-BU"/>
        <s v="Y93475-DB+Y92615+Y93478"/>
        <s v="Y93230-DB+Y903231+Y93240"/>
        <s v="Y93230-BL+Y903231+Y93240"/>
        <s v="Y9001-WH"/>
        <s v="Y93452-DB-ZH"/>
        <s v="Y93134-BL+Y93137+Y93268"/>
        <s v="Y93405-BL+Y93406+Y93397"/>
        <s v="Y9001-PU"/>
        <s v="Y9002-BU+Y9005"/>
        <s v="Y93134-OR+Y93137+Y93268"/>
        <s v="Y9018-GA"/>
        <s v="Y93230-OR+Y903231+Y93240"/>
        <s v="Y9009-BL-ZH"/>
        <s v="Y93452-OR-ZH"/>
        <s v="Y92611-DB+Y92614+Y92635"/>
        <s v="Y93134-DB+Y93137+Y93268"/>
        <s v="Y9009-BU-ZH"/>
        <s v="Y9010-WH"/>
        <s v="Y9007-6PC"/>
        <s v="Y9009-WH"/>
        <s v="Y9020-GA"/>
        <s v="Y9021"/>
        <s v="Y93821-BL+Y93822+Y93823"/>
        <s v="Y92563-OR+Y92564+Y92571"/>
        <s v="Y92000-BL+Y92013+Y92749"/>
        <s v="Y92000-DB+Y92013+Y92749"/>
        <s v="Y93135-BL+Y93138+Y93269-1"/>
        <s v="IH-T4RR-DLXF"/>
        <s v="Y9008"/>
        <s v="Y9019-GA"/>
        <s v="Y92000-OR+Y92013+Y92749"/>
        <s v="Y9009-DB-ZH"/>
        <s v="Y9018-GN"/>
        <s v="Y93758-BU+Y93759+Y93761"/>
        <s v="Y93821-DB+Y93822+Y93823"/>
        <s v="E03106-BL-ZH"/>
        <s v="Y9009-OR-ZH"/>
        <s v="Y93135-DB+Y93138+Y93269"/>
        <s v="Y9019-GN"/>
        <s v="Y93694-BU+Y93712+Y93744"/>
        <s v="Y93756-BL+Y93757+Y93760"/>
        <s v="Y93153-OR+Y93155+Y93169"/>
        <s v="Y92610-OR+Y92613+Y92634"/>
        <s v="Y9003-BU+Y9006+Y9008"/>
        <s v="Y9026-6-GA"/>
        <s v="Y93153-DB+Y93155+Y93169"/>
        <s v="YN-AOIB-XWWS"/>
        <s v="Y92431-OR+Y92433+Y92531"/>
        <s v="Y9002-DB+Y9005"/>
        <s v="Y9029-OR+Y9030+Y9031"/>
        <s v="Y93135-OR+Y93138+Y93269"/>
        <s v="Y9009-KH"/>
        <s v="Y9010-PI"/>
        <s v="Y9020-GN"/>
        <s v="Y93758-DB+Y93759+Y93761"/>
        <s v="Y93153-BL+Y93155+Y93169"/>
        <s v="Y92610-BL+Y92613+Y92634"/>
        <s v="Y92563-BL+Y92564+Y92571"/>
        <s v="IA-FIXD-GG7Z"/>
        <s v="Y9010-KH"/>
        <s v="Y93694-BL+Y93712+Y93744"/>
        <s v="Y93475-DB+Y92615+Y93478*1"/>
        <s v="OM-XLJI-SOI3"/>
        <s v="Y93821-BU+Y93822+Y93823"/>
        <s v="Y92611-OR+Y92614+Y92635"/>
        <s v="Y93133-DB+Y93136+Y93267"/>
        <s v="Y93133-OR+Y93136+Y93267"/>
        <s v="Y93133-BL+Y93136+Y93267"/>
        <s v="TF-2R1C-9IYM"/>
        <s v="Y92610-DB+Y92613+Y92634"/>
        <s v="Y9003-BL+Y9006+Y9008"/>
        <s v="Y92995-OR+Y92997+Y93011"/>
        <s v="Y92995-BL+Y92997+Y93011"/>
        <s v="Y9002-OR+Y9005"/>
        <s v="Y9003-DB+Y9006+Y9008"/>
        <s v="Y9002-BL+Y9005"/>
        <s v="Y9029-BL+Y9030+Y9031"/>
        <s v="Y9029-DB+Y9030+Y9031"/>
        <s v="Y9007-12PC"/>
        <s v="Y9007-24PC"/>
        <s v="Y9008-3"/>
        <s v="Y9009-PI"/>
        <s v="Y9026-6-BL"/>
        <m/>
      </sharedItems>
    </cacheField>
    <cacheField name="会话次数 – 总计" numFmtId="0">
      <sharedItems containsString="0" containsBlank="1" containsNumber="1" containsInteger="1" minValue="0" maxValue="1391" count="86">
        <n v="1031"/>
        <n v="997"/>
        <n v="1391"/>
        <n v="713"/>
        <n v="312"/>
        <n v="364"/>
        <n v="607"/>
        <n v="546"/>
        <n v="232"/>
        <n v="220"/>
        <n v="139"/>
        <n v="580"/>
        <n v="378"/>
        <n v="719"/>
        <n v="259"/>
        <n v="206"/>
        <n v="196"/>
        <n v="189"/>
        <n v="109"/>
        <n v="355"/>
        <n v="296"/>
        <n v="131"/>
        <n v="87"/>
        <n v="230"/>
        <n v="186"/>
        <n v="162"/>
        <n v="309"/>
        <n v="70"/>
        <n v="295"/>
        <n v="125"/>
        <n v="104"/>
        <n v="65"/>
        <n v="229"/>
        <n v="103"/>
        <n v="149"/>
        <n v="156"/>
        <n v="325"/>
        <n v="59"/>
        <n v="53"/>
        <n v="44"/>
        <n v="77"/>
        <n v="41"/>
        <n v="121"/>
        <n v="136"/>
        <n v="72"/>
        <n v="140"/>
        <n v="145"/>
        <n v="198"/>
        <n v="23"/>
        <n v="79"/>
        <n v="56"/>
        <n v="81"/>
        <n v="61"/>
        <n v="51"/>
        <n v="52"/>
        <n v="55"/>
        <n v="89"/>
        <n v="22"/>
        <n v="34"/>
        <n v="28"/>
        <n v="54"/>
        <n v="42"/>
        <n v="160"/>
        <n v="146"/>
        <n v="91"/>
        <n v="166"/>
        <n v="58"/>
        <n v="26"/>
        <n v="98"/>
        <n v="13"/>
        <n v="36"/>
        <n v="40"/>
        <n v="15"/>
        <n v="16"/>
        <n v="45"/>
        <n v="2"/>
        <n v="7"/>
        <n v="11"/>
        <n v="18"/>
        <n v="5"/>
        <n v="6"/>
        <n v="31"/>
        <n v="12"/>
        <n v="38"/>
        <n v="25"/>
        <m/>
      </sharedItems>
    </cacheField>
    <cacheField name="会话次数 – 总计 – B2B" numFmtId="0">
      <sharedItems containsString="0" containsBlank="1" containsNumber="1" containsInteger="1" minValue="0" maxValue="30" count="18">
        <n v="16"/>
        <n v="11"/>
        <n v="24"/>
        <n v="10"/>
        <n v="3"/>
        <n v="6"/>
        <n v="8"/>
        <n v="9"/>
        <n v="15"/>
        <n v="4"/>
        <n v="25"/>
        <n v="30"/>
        <n v="1"/>
        <n v="0"/>
        <n v="7"/>
        <n v="2"/>
        <n v="5"/>
        <m/>
      </sharedItems>
    </cacheField>
    <cacheField name="会话百分比 – 总计" numFmtId="0">
      <sharedItems containsString="0" containsBlank="1" containsNumber="1" minValue="0" maxValue="0.0808" count="75">
        <n v="0.0599"/>
        <n v="0.0579"/>
        <n v="0.0808"/>
        <n v="0.0414"/>
        <n v="0.0181"/>
        <n v="0.0211"/>
        <n v="0.0352"/>
        <n v="0.0317"/>
        <n v="0.0135"/>
        <n v="0.0128"/>
        <n v="0.0081"/>
        <n v="0.0337"/>
        <n v="0.0219"/>
        <n v="0.0417"/>
        <n v="0.015"/>
        <n v="0.012"/>
        <n v="0.0114"/>
        <n v="0.011"/>
        <n v="0.0063"/>
        <n v="0.0206"/>
        <n v="0.0172"/>
        <n v="0.0076"/>
        <n v="0.0051"/>
        <n v="0.0134"/>
        <n v="0.0108"/>
        <n v="0.0094"/>
        <n v="0.0179"/>
        <n v="0.0041"/>
        <n v="0.0171"/>
        <n v="0.0073"/>
        <n v="0.006"/>
        <n v="0.0038"/>
        <n v="0.0133"/>
        <n v="0.0087"/>
        <n v="0.0091"/>
        <n v="0.0189"/>
        <n v="0.0034"/>
        <n v="0.0031"/>
        <n v="0.0026"/>
        <n v="0.0045"/>
        <n v="0.0024"/>
        <n v="0.007"/>
        <n v="0.0079"/>
        <n v="0.0042"/>
        <n v="0.0084"/>
        <n v="0.0115"/>
        <n v="0.0013"/>
        <n v="0.0046"/>
        <n v="0.0033"/>
        <n v="0.0047"/>
        <n v="0.0035"/>
        <n v="0.003"/>
        <n v="0.0032"/>
        <n v="0.0052"/>
        <n v="0.002"/>
        <n v="0.0016"/>
        <n v="0.0093"/>
        <n v="0.0085"/>
        <n v="0.0053"/>
        <n v="0.0096"/>
        <n v="0.0015"/>
        <n v="0.0057"/>
        <n v="0.0008"/>
        <n v="0.0021"/>
        <n v="0.0023"/>
        <n v="0.0009"/>
        <n v="0.0001"/>
        <n v="0.0004"/>
        <n v="0.0006"/>
        <n v="0.001"/>
        <n v="0.0003"/>
        <n v="0.0018"/>
        <n v="0.0007"/>
        <n v="0.0022"/>
        <m/>
      </sharedItems>
    </cacheField>
    <cacheField name="会话百分比 – 总计 – B2B" numFmtId="0">
      <sharedItems containsString="0" containsBlank="1" containsNumber="1" minValue="0" maxValue="0.085" count="18">
        <n v="0.0453"/>
        <n v="0.0312"/>
        <n v="0.068"/>
        <n v="0.0283"/>
        <n v="0.0085"/>
        <n v="0.017"/>
        <n v="0.0227"/>
        <n v="0.0255"/>
        <n v="0.0425"/>
        <n v="0.0113"/>
        <n v="0.0708"/>
        <n v="0.085"/>
        <n v="0.0028"/>
        <n v="0"/>
        <n v="0.0198"/>
        <n v="0.0057"/>
        <n v="0.0142"/>
        <m/>
      </sharedItems>
    </cacheField>
    <cacheField name="页面浏览量 – 总计" numFmtId="0">
      <sharedItems containsString="0" containsBlank="1" containsNumber="1" containsInteger="1" minValue="0" maxValue="1829" count="88">
        <n v="1655"/>
        <n v="1527"/>
        <n v="1829"/>
        <n v="1061"/>
        <n v="452"/>
        <n v="576"/>
        <n v="868"/>
        <n v="748"/>
        <n v="315"/>
        <n v="330"/>
        <n v="177"/>
        <n v="778"/>
        <n v="521"/>
        <n v="1017"/>
        <n v="337"/>
        <n v="247"/>
        <n v="251"/>
        <n v="254"/>
        <n v="142"/>
        <n v="460"/>
        <n v="424"/>
        <n v="188"/>
        <n v="137"/>
        <n v="286"/>
        <n v="278"/>
        <n v="208"/>
        <n v="388"/>
        <n v="256"/>
        <n v="97"/>
        <n v="448"/>
        <n v="140"/>
        <n v="89"/>
        <n v="314"/>
        <n v="135"/>
        <n v="182"/>
        <n v="183"/>
        <n v="433"/>
        <n v="84"/>
        <n v="72"/>
        <n v="59"/>
        <n v="98"/>
        <n v="53"/>
        <n v="162"/>
        <n v="94"/>
        <n v="70"/>
        <n v="181"/>
        <n v="201"/>
        <n v="257"/>
        <n v="31"/>
        <n v="111"/>
        <n v="76"/>
        <n v="100"/>
        <n v="121"/>
        <n v="85"/>
        <n v="88"/>
        <n v="80"/>
        <n v="34"/>
        <n v="41"/>
        <n v="39"/>
        <n v="66"/>
        <n v="57"/>
        <n v="131"/>
        <n v="197"/>
        <n v="168"/>
        <n v="113"/>
        <n v="218"/>
        <n v="42"/>
        <n v="37"/>
        <n v="35"/>
        <n v="138"/>
        <n v="15"/>
        <n v="43"/>
        <n v="50"/>
        <n v="17"/>
        <n v="25"/>
        <n v="60"/>
        <n v="29"/>
        <n v="20"/>
        <n v="2"/>
        <n v="19"/>
        <n v="5"/>
        <n v="8"/>
        <n v="24"/>
        <n v="27"/>
        <n v="12"/>
        <n v="28"/>
        <n v="91"/>
        <m/>
      </sharedItems>
    </cacheField>
    <cacheField name="页面浏览量 – 总计 – B2B" numFmtId="0">
      <sharedItems containsString="0" containsBlank="1" containsNumber="1" containsInteger="1" minValue="0" maxValue="42" count="23">
        <n v="28"/>
        <n v="13"/>
        <n v="32"/>
        <n v="12"/>
        <n v="4"/>
        <n v="14"/>
        <n v="8"/>
        <n v="25"/>
        <n v="36"/>
        <n v="22"/>
        <n v="42"/>
        <n v="6"/>
        <n v="1"/>
        <n v="3"/>
        <n v="0"/>
        <n v="5"/>
        <n v="9"/>
        <n v="11"/>
        <n v="2"/>
        <n v="10"/>
        <n v="30"/>
        <n v="7"/>
        <m/>
      </sharedItems>
    </cacheField>
    <cacheField name="页面浏览量百分比 – 总计" numFmtId="0">
      <sharedItems containsString="0" containsBlank="1" containsNumber="1" minValue="0" maxValue="0.0764" count="76">
        <n v="0.0691"/>
        <n v="0.0638"/>
        <n v="0.0764"/>
        <n v="0.0443"/>
        <n v="0.0189"/>
        <n v="0.024"/>
        <n v="0.0362"/>
        <n v="0.0312"/>
        <n v="0.0132"/>
        <n v="0.0138"/>
        <n v="0.0074"/>
        <n v="0.0325"/>
        <n v="0.0218"/>
        <n v="0.0425"/>
        <n v="0.0141"/>
        <n v="0.0103"/>
        <n v="0.0105"/>
        <n v="0.0106"/>
        <n v="0.0059"/>
        <n v="0.0192"/>
        <n v="0.0177"/>
        <n v="0.0078"/>
        <n v="0.0057"/>
        <n v="0.0119"/>
        <n v="0.0116"/>
        <n v="0.0087"/>
        <n v="0.0162"/>
        <n v="0.0107"/>
        <n v="0.004"/>
        <n v="0.0187"/>
        <n v="0.0058"/>
        <n v="0.0037"/>
        <n v="0.0131"/>
        <n v="0.0056"/>
        <n v="0.0076"/>
        <n v="0.0181"/>
        <n v="0.0035"/>
        <n v="0.003"/>
        <n v="0.0025"/>
        <n v="0.0041"/>
        <n v="0.0022"/>
        <n v="0.0068"/>
        <n v="0.0039"/>
        <n v="0.0029"/>
        <n v="0.0084"/>
        <n v="0.0013"/>
        <n v="0.0046"/>
        <n v="0.0032"/>
        <n v="0.0042"/>
        <n v="0.0051"/>
        <n v="0.0033"/>
        <n v="0.0014"/>
        <n v="0.0017"/>
        <n v="0.0016"/>
        <n v="0.0028"/>
        <n v="0.0024"/>
        <n v="0.0055"/>
        <n v="0.0082"/>
        <n v="0.007"/>
        <n v="0.0047"/>
        <n v="0.0091"/>
        <n v="0.0018"/>
        <n v="0.0015"/>
        <n v="0.0006"/>
        <n v="0.0021"/>
        <n v="0.0007"/>
        <n v="0.001"/>
        <n v="0.0012"/>
        <n v="0.0008"/>
        <n v="0.0001"/>
        <n v="0.0002"/>
        <n v="0.0003"/>
        <n v="0.0011"/>
        <n v="0.0005"/>
        <n v="0.0038"/>
        <m/>
      </sharedItems>
    </cacheField>
    <cacheField name="页面浏览量百分比 – 总计 – B2B" numFmtId="0">
      <sharedItems containsString="0" containsBlank="1" containsNumber="1" minValue="0" maxValue="0.0838" count="23">
        <n v="0.0559"/>
        <n v="0.0259"/>
        <n v="0.0639"/>
        <n v="0.024"/>
        <n v="0.008"/>
        <n v="0.0279"/>
        <n v="0.016"/>
        <n v="0.0499"/>
        <n v="0.0719"/>
        <n v="0.0439"/>
        <n v="0.0838"/>
        <n v="0.012"/>
        <n v="0.002"/>
        <n v="0.006"/>
        <n v="0"/>
        <n v="0.01"/>
        <n v="0.018"/>
        <n v="0.022"/>
        <n v="0.004"/>
        <n v="0.02"/>
        <n v="0.0599"/>
        <n v="0.014"/>
        <m/>
      </sharedItems>
    </cacheField>
    <cacheField name="推荐报价（购买按钮）百分比" numFmtId="0">
      <sharedItems containsString="0" containsBlank="1" containsNumber="1" minValue="0" maxValue="1" count="63">
        <n v="0.992"/>
        <n v="0.9762"/>
        <n v="0.9937"/>
        <n v="0.9881"/>
        <n v="0.9955"/>
        <n v="0.9596"/>
        <n v="0.9629"/>
        <n v="0.9699"/>
        <n v="1"/>
        <n v="0.9848"/>
        <n v="0.9859"/>
        <n v="0.9942"/>
        <n v="0.995"/>
        <n v="0.9621"/>
        <n v="0.9915"/>
        <n v="0.9959"/>
        <n v="0.9802"/>
        <n v="0.9912"/>
        <n v="0.9486"/>
        <n v="0.9858"/>
        <n v="0.9941"/>
        <n v="0.9561"/>
        <n v="0.968"/>
        <n v="0.9741"/>
        <n v="0.9944"/>
        <n v="0.9953"/>
        <n v="0.9946"/>
        <n v="0.9925"/>
        <n v="0.9966"/>
        <n v="0.9975"/>
        <n v="0.9861"/>
        <n v="0.9222"/>
        <n v="0.9664"/>
        <n v="0.9844"/>
        <n v="0.9943"/>
        <n v="0.9874"/>
        <n v="0.9583"/>
        <n v="0.9541"/>
        <n v="0.9868"/>
        <n v="0.8739"/>
        <n v="0.9773"/>
        <n v="0.962"/>
        <n v="0.9908"/>
        <n v="0.8125"/>
        <n v="0.9512"/>
        <n v="0.9744"/>
        <n v="0.9841"/>
        <n v="0.9825"/>
        <n v="0.9951"/>
        <n v="0.9722"/>
        <n v="0.9444"/>
        <n v="0.9429"/>
        <n v="0.7778"/>
        <n v="0.9767"/>
        <n v="0.8696"/>
        <n v="0.9412"/>
        <n v="0.96"/>
        <n v="0.8824"/>
        <n v="0.5"/>
        <n v="0.8421"/>
        <n v="0.9565"/>
        <n v="0.9756"/>
        <m/>
      </sharedItems>
    </cacheField>
    <cacheField name="推荐报价（购买按钮）百分比 – B2B" numFmtId="0">
      <sharedItems containsString="0" containsBlank="1" containsNumber="1" minValue="0" maxValue="1" count="8">
        <n v="1"/>
        <n v="0.8571"/>
        <n v="0.9"/>
        <n v="0"/>
        <n v="0.8"/>
        <n v="0.75"/>
        <n v="0.8929"/>
        <m/>
      </sharedItems>
    </cacheField>
    <cacheField name="已订购商品数量" numFmtId="0">
      <sharedItems containsString="0" containsBlank="1" containsNumber="1" containsInteger="1" minValue="0" maxValue="224" count="34">
        <n v="224"/>
        <n v="223"/>
        <n v="103"/>
        <n v="165"/>
        <n v="71"/>
        <n v="63"/>
        <n v="55"/>
        <n v="52"/>
        <n v="35"/>
        <n v="30"/>
        <n v="29"/>
        <n v="42"/>
        <n v="28"/>
        <n v="33"/>
        <n v="20"/>
        <n v="17"/>
        <n v="18"/>
        <n v="21"/>
        <n v="15"/>
        <n v="14"/>
        <n v="13"/>
        <n v="12"/>
        <n v="10"/>
        <n v="11"/>
        <n v="9"/>
        <n v="8"/>
        <n v="7"/>
        <n v="6"/>
        <n v="5"/>
        <n v="4"/>
        <n v="3"/>
        <n v="2"/>
        <n v="1"/>
        <m/>
      </sharedItems>
    </cacheField>
  </cacheFields>
</pivotCacheDefinition>
</file>

<file path=xl/pivotCache/pivotCacheDefinition55.xml><?xml version="1.0" encoding="utf-8"?>
<pivotCacheDefinition xmlns="http://schemas.openxmlformats.org/spreadsheetml/2006/main" xmlns:r="http://schemas.openxmlformats.org/officeDocument/2006/relationships" r:id="rId1" createdVersion="5" refreshedVersion="5" minRefreshableVersion="3" refreshedDate="45219.6195486111" refreshedBy="Administrator" recordCount="285">
  <cacheSource type="worksheet">
    <worksheetSource ref="G1:W1048576" sheet="广告10.12-10.18" r:id="rId2"/>
  </cacheSource>
  <cacheFields count="19">
    <cacheField name="广告SKU" numFmtId="0">
      <sharedItems containsBlank="1" count="104">
        <s v="Y92611-DB+Y92614+Y92635"/>
        <s v="Y93694-BL+Y93712+Y93744"/>
        <s v="Y93694-OR+Y93712+Y93744"/>
        <s v="Y93694-BU+Y93712+Y93744"/>
        <s v="Y9025-OR+Y9026+Y9027"/>
        <s v="Y93475-DB+Y92615+Y93478"/>
        <s v="Y93405-DB+Y93406+Y93397"/>
        <s v="Y9002-DB+Y9005"/>
        <s v="Y9002-BU+Y9005"/>
        <s v="Y9029-DB+Y9030+Y9031"/>
        <s v="Y9003-BU+Y9006+Y9008"/>
        <s v="Y9003-DB+Y9006+Y9008"/>
        <s v="Y93106-OR+Y93109+Y93112"/>
        <s v="Y93106-BL+Y93109+Y93112"/>
        <s v="Y93230-OR+Y903231+Y93240"/>
        <s v="Y93230-DB+Y903231+Y93240"/>
        <s v="Y93106-DB+Y93109+Y93112"/>
        <s v="Y93230-BL+Y903231+Y93240"/>
        <s v="Y93758-DB+Y93759+Y93761"/>
        <s v="Y93758-BU+Y93759+Y93761"/>
        <s v="Y93756-BL+Y93757+Y93760"/>
        <s v="Y93475-GR+Y92615+Y93478"/>
        <s v="Y9029-OR+Y9030+Y9031"/>
        <s v="Y9001-BU"/>
        <s v="Y9001-PI"/>
        <s v="Y9001-PU"/>
        <s v="Y9001-WH"/>
        <s v="Y9002-BU"/>
        <s v="Y9002-BL"/>
        <s v="Y9003-1"/>
        <s v="Y9005-BL"/>
        <s v="Y9005-WH"/>
        <s v="Y9005-BU"/>
        <s v="Y93040-BL+Y93045+Y93043"/>
        <s v="Y93040-DB+Y93045+Y93043"/>
        <s v="Y93134-OR+Y93137+Y93268"/>
        <s v="Y93134-DB+Y93137+Y93268"/>
        <s v="Y93821-BU+Y93822+Y93823"/>
        <s v="Y93821-DB+Y93822+Y93823"/>
        <s v="Y93821-BL+Y93822+Y93823"/>
        <s v="Y92610-OR+Y92613+Y92634"/>
        <s v="Y9005-PI"/>
        <s v="Y9001-GR"/>
        <s v="Y92000-BL+Y92013+Y92749"/>
        <s v="Y92000-OR+Y92013+Y92749"/>
        <s v="Y92000-DB+Y92013+Y92749"/>
        <s v="Y9007-12PC"/>
        <s v="Y93452-DB-ZH"/>
        <s v="Y93452-OR-ZH"/>
        <s v="Y92563-BL+Y92564+Y92571"/>
        <s v="Y92563-OR+Y92564+Y92571"/>
        <s v="Y9009-DB-ZH"/>
        <s v="Y9009-OR-ZH"/>
        <s v="Y9009-BL-ZH"/>
        <s v="Y9009-BU-ZH"/>
        <s v="Y93133-BL+Y93136+Y93267"/>
        <s v="Y93133-DB+Y93136+Y93267"/>
        <s v="Y93133-OR+Y93136+Y93267"/>
        <s v="Y93153-OR+Y93155+Y93169"/>
        <s v="Y93153-BL+Y93155+Y93169"/>
        <s v="Y92559-OR+Y92560+Y92399"/>
        <s v="Y92559-BL+Y92560+Y92399"/>
        <s v="Y93135-DB+Y93138+Y93269"/>
        <s v="Y93135-OR+Y93138+Y93269"/>
        <s v="Y93135-BL+Y93138+Y93269-1"/>
        <s v="Y93153-DB+Y93155+Y93169"/>
        <s v="Y9007-6PC"/>
        <s v="Y93040-OR+Y93045+Y93043"/>
        <s v="Y93405-BL+Y93406+Y93397"/>
        <s v="Y9008"/>
        <s v="Y93134-BL+Y93137+Y93268"/>
        <s v="Y92610-DB+Y92613+Y92634"/>
        <s v="Y9007-30PC"/>
        <s v="Y9007-24PC"/>
        <s v="Y9022"/>
        <s v="Y9021"/>
        <s v="Y9010-PI"/>
        <s v="Y9009-WH"/>
        <s v="Y9009-KH"/>
        <s v="Y9019-GN"/>
        <s v="Y9009-PI"/>
        <s v="Y9010-WH"/>
        <s v="Y9010-KH"/>
        <s v="Y9026-6-GA"/>
        <s v="Y9026-6-BL"/>
        <s v="Y9018-GA"/>
        <s v="Y9018-GN"/>
        <s v="Y9020-GA"/>
        <s v="Y9020-GN"/>
        <s v="Y9023-WH-25"/>
        <s v="Y9023-WH-20"/>
        <s v="Y9023-WH-15"/>
        <s v="Y9023-BR-25"/>
        <s v="Y9023-BR-20"/>
        <s v="Y9023-BR-15"/>
        <s v="Y9024-50-3"/>
        <s v="Y9024-50-4"/>
        <s v="Y9016-GN"/>
        <s v="Y9016-BR"/>
        <s v="Y9015-BR"/>
        <s v="Y9015-GN"/>
        <s v="Y9014-GN"/>
        <s v="Y9014-BR"/>
        <m/>
      </sharedItems>
    </cacheField>
    <cacheField name="广告ASIN" numFmtId="0">
      <sharedItems containsBlank="1" count="104">
        <s v="B0B5SWTHW5"/>
        <s v="B0B5N2J21Z"/>
        <s v="B0B5N1JWMD"/>
        <s v="B0B5N198G3"/>
        <s v="B0B5N285BD"/>
        <s v="B0B5QJGPS2"/>
        <s v="B0B5SX52BD"/>
        <s v="B0B6VLWLHF"/>
        <s v="B0B6VJJMWD"/>
        <s v="B0B7JH9QBS"/>
        <s v="B0B7JCJGP5"/>
        <s v="B0B7JCHTKH"/>
        <s v="B0B7HXB967"/>
        <s v="B0B7HZ9RN6"/>
        <s v="B0B7HYLDSL"/>
        <s v="B0B632PTY2"/>
        <s v="B0B6333ZLX"/>
        <s v="B0B7HX1QK8"/>
        <s v="B0B5N3K7LB"/>
        <s v="B0B5N3SD8W"/>
        <s v="B0B5N5NMJN"/>
        <s v="B0B5QKGJH4"/>
        <s v="B0B7JFWQ4F"/>
        <s v="B0BVMG2B48"/>
        <s v="B0BVPN4L87"/>
        <s v="B0BVMH4Q7J"/>
        <s v="B0BVNW9PY5"/>
        <s v="B0BX1X4VP8"/>
        <s v="B0BX252DLT"/>
        <s v="B0BYCMVK7Q"/>
        <s v="B0BZ3ZMR15"/>
        <s v="B0BZ3ZZQXL"/>
        <s v="B0BZ439ZHM"/>
        <s v="B0B634WWTT"/>
        <s v="B0B7HVPQ58"/>
        <s v="B0B7J2NR5N"/>
        <s v="B0B635ZHTN"/>
        <s v="B0B5RBDZC5"/>
        <s v="B0B5R772YP"/>
        <s v="B0B5R72V14"/>
        <s v="B0B5X7P8NJ"/>
        <s v="B0BZ3YPHM9"/>
        <s v="B0BVMG33FS"/>
        <s v="B0B5ZPQ3NS"/>
        <s v="B0B5ZPTCX3"/>
        <s v="B0B5ZQ6S7L"/>
        <s v="B0C6DXQT1M"/>
        <s v="B0C61JT74Y"/>
        <s v="B0C61LCZK7"/>
        <s v="B0B5Z3XH4G"/>
        <s v="B0B5Z3R5GW"/>
        <s v="B0C5T89X9T"/>
        <s v="B0C5T6TTX2"/>
        <s v="B0C5T553YJ"/>
        <s v="B0C5T6KTZ4"/>
        <s v="B0B5WZFSNQ"/>
        <s v="B0B5WZ389D"/>
        <s v="B0B5WZ6S9R"/>
        <s v="B0B5WX6ZCM"/>
        <s v="B0B5X12SMJ"/>
        <s v="B0B5Z3Y2QF"/>
        <s v="B0B5Z3G5DN"/>
        <s v="B0C61FL9NS"/>
        <s v="B0C61F8MY3"/>
        <s v="B0C61HN4GR"/>
        <s v="B0B5WY83MR"/>
        <s v="B0C6DWXLZV"/>
        <s v="B0B7J16F66"/>
        <s v="B0B5SW89MJ"/>
        <s v="B0C7VSGBVP"/>
        <s v="B0B7J2W7P2"/>
        <s v="B0B5X8CBNR"/>
        <s v="B0C6DYVTHK"/>
        <s v="B0C6DZMTCP"/>
        <s v="B0CF8LKWD2"/>
        <s v="B0CF8P8B1X"/>
        <s v="B0CF8FKZ5B"/>
        <s v="B0CF8G54C5"/>
        <s v="B0CF8DYKBR"/>
        <s v="B0CF8KNMGM"/>
        <s v="B0CF8FYGLG"/>
        <s v="B0CF8GVH1N"/>
        <s v="B0CF8GDQ5Q"/>
        <s v="B0CFQX1KZM"/>
        <s v="B0CFQSZ24S"/>
        <s v="B0CF8LLWRT"/>
        <s v="B0CF8MMRMK"/>
        <s v="B0CF8LG9SX"/>
        <s v="B0CF8M7LYZ"/>
        <s v="B0CF95GGTG"/>
        <s v="B0CF92LX2V"/>
        <s v="B0CF8ZKP7F"/>
        <s v="B0CF916G6C"/>
        <s v="B0CF92B4V2"/>
        <s v="B0CF91FMHJ"/>
        <s v="B0CF95D2MT"/>
        <s v="B0CF919VQ2"/>
        <s v="B0CFD62MVH"/>
        <s v="B0CFD43WK7"/>
        <s v="B0CFDCLFZX"/>
        <s v="B0CFD319K2"/>
        <s v="B0CFDBVT85"/>
        <s v="B0CFDKZ368"/>
        <m/>
      </sharedItems>
    </cacheField>
    <cacheField name="展示量" numFmtId="0">
      <sharedItems containsString="0" containsBlank="1" containsNumber="1" containsInteger="1" minValue="0" maxValue="48580" count="229">
        <n v="19"/>
        <n v="0"/>
        <n v="8"/>
        <n v="16"/>
        <n v="489"/>
        <n v="12"/>
        <n v="45"/>
        <n v="147"/>
        <n v="557"/>
        <n v="289"/>
        <n v="3"/>
        <n v="11"/>
        <n v="193"/>
        <n v="306"/>
        <n v="27"/>
        <n v="109"/>
        <n v="42"/>
        <n v="739"/>
        <n v="203"/>
        <n v="1508"/>
        <n v="398"/>
        <n v="1271"/>
        <n v="1390"/>
        <n v="1363"/>
        <n v="1487"/>
        <n v="81"/>
        <n v="13"/>
        <n v="206"/>
        <n v="122"/>
        <n v="322"/>
        <n v="192"/>
        <n v="418"/>
        <n v="827"/>
        <n v="273"/>
        <n v="768"/>
        <n v="564"/>
        <n v="86"/>
        <n v="492"/>
        <n v="496"/>
        <n v="341"/>
        <n v="328"/>
        <n v="881"/>
        <n v="19723"/>
        <n v="488"/>
        <n v="15513"/>
        <n v="2323"/>
        <n v="47"/>
        <n v="28"/>
        <n v="188"/>
        <n v="547"/>
        <n v="622"/>
        <n v="38215"/>
        <n v="33"/>
        <n v="22"/>
        <n v="98"/>
        <n v="4883"/>
        <n v="540"/>
        <n v="383"/>
        <n v="4004"/>
        <n v="3011"/>
        <n v="30"/>
        <n v="133"/>
        <n v="256"/>
        <n v="387"/>
        <n v="4754"/>
        <n v="941"/>
        <n v="23"/>
        <n v="248"/>
        <n v="1752"/>
        <n v="1883"/>
        <n v="48580"/>
        <n v="184"/>
        <n v="134"/>
        <n v="106"/>
        <n v="1358"/>
        <n v="1740"/>
        <n v="1376"/>
        <n v="403"/>
        <n v="191"/>
        <n v="766"/>
        <n v="716"/>
        <n v="20666"/>
        <n v="1716"/>
        <n v="642"/>
        <n v="1511"/>
        <n v="3503"/>
        <n v="386"/>
        <n v="795"/>
        <n v="190"/>
        <n v="61"/>
        <n v="323"/>
        <n v="7"/>
        <n v="6"/>
        <n v="2"/>
        <n v="87"/>
        <n v="233"/>
        <n v="612"/>
        <n v="242"/>
        <n v="466"/>
        <n v="582"/>
        <n v="236"/>
        <n v="52"/>
        <n v="871"/>
        <n v="144"/>
        <n v="313"/>
        <n v="60"/>
        <n v="1985"/>
        <n v="247"/>
        <n v="2141"/>
        <n v="3403"/>
        <n v="359"/>
        <n v="101"/>
        <n v="551"/>
        <n v="24"/>
        <n v="51"/>
        <n v="136"/>
        <n v="161"/>
        <n v="50"/>
        <n v="17"/>
        <n v="35"/>
        <n v="26"/>
        <n v="410"/>
        <n v="58"/>
        <n v="197"/>
        <n v="692"/>
        <n v="271"/>
        <n v="111"/>
        <n v="270"/>
        <n v="741"/>
        <n v="79"/>
        <n v="180"/>
        <n v="41"/>
        <n v="38"/>
        <n v="162"/>
        <n v="389"/>
        <n v="416"/>
        <n v="5"/>
        <n v="225"/>
        <n v="54"/>
        <n v="672"/>
        <n v="4"/>
        <n v="1372"/>
        <n v="92"/>
        <n v="157"/>
        <n v="102"/>
        <n v="228"/>
        <n v="120"/>
        <n v="630"/>
        <n v="103"/>
        <n v="844"/>
        <n v="21"/>
        <n v="138"/>
        <n v="605"/>
        <n v="149"/>
        <n v="1579"/>
        <n v="508"/>
        <n v="83"/>
        <n v="1788"/>
        <n v="76"/>
        <n v="84"/>
        <n v="112"/>
        <n v="229"/>
        <n v="320"/>
        <n v="18003"/>
        <n v="65"/>
        <n v="75"/>
        <n v="119"/>
        <n v="43"/>
        <n v="73"/>
        <n v="80"/>
        <n v="32"/>
        <n v="57"/>
        <n v="480"/>
        <n v="15"/>
        <n v="4400"/>
        <n v="519"/>
        <n v="44"/>
        <n v="2314"/>
        <n v="10788"/>
        <n v="631"/>
        <n v="11301"/>
        <n v="792"/>
        <n v="142"/>
        <n v="297"/>
        <n v="1465"/>
        <n v="19281"/>
        <n v="500"/>
        <n v="735"/>
        <n v="5457"/>
        <n v="511"/>
        <n v="2666"/>
        <n v="1224"/>
        <n v="66"/>
        <n v="2225"/>
        <n v="1782"/>
        <n v="472"/>
        <n v="10398"/>
        <n v="26874"/>
        <n v="8052"/>
        <n v="2388"/>
        <n v="9811"/>
        <n v="4049"/>
        <n v="5502"/>
        <n v="22053"/>
        <n v="1759"/>
        <n v="585"/>
        <n v="666"/>
        <n v="68"/>
        <n v="3050"/>
        <n v="1762"/>
        <n v="1895"/>
        <n v="5663"/>
        <n v="181"/>
        <n v="2468"/>
        <n v="884"/>
        <n v="1854"/>
        <n v="19566"/>
        <n v="918"/>
        <n v="4627"/>
        <n v="14913"/>
        <n v="2939"/>
        <n v="779"/>
        <n v="339"/>
        <n v="107"/>
        <n v="62"/>
        <n v="1152"/>
        <n v="6082"/>
        <n v="34555"/>
        <m/>
      </sharedItems>
    </cacheField>
    <cacheField name="点击量" numFmtId="0">
      <sharedItems containsString="0" containsBlank="1" containsNumber="1" containsInteger="1" minValue="0" maxValue="124" count="38">
        <n v="1"/>
        <n v="0"/>
        <n v="4"/>
        <n v="3"/>
        <n v="8"/>
        <n v="2"/>
        <n v="7"/>
        <n v="13"/>
        <n v="5"/>
        <n v="9"/>
        <n v="11"/>
        <n v="20"/>
        <n v="17"/>
        <n v="6"/>
        <n v="124"/>
        <n v="15"/>
        <n v="29"/>
        <n v="39"/>
        <n v="19"/>
        <n v="47"/>
        <n v="16"/>
        <n v="27"/>
        <n v="12"/>
        <n v="25"/>
        <n v="22"/>
        <n v="14"/>
        <n v="10"/>
        <n v="28"/>
        <n v="23"/>
        <n v="21"/>
        <n v="55"/>
        <n v="30"/>
        <n v="99"/>
        <n v="43"/>
        <n v="36"/>
        <n v="38"/>
        <n v="18"/>
        <m/>
      </sharedItems>
    </cacheField>
    <cacheField name="点击率(CTR)" numFmtId="0">
      <sharedItems containsString="0" containsBlank="1" containsNumber="1" minValue="0" maxValue="0.166666666666667" count="181">
        <n v="0.0526315789473684"/>
        <m/>
        <n v="0"/>
        <n v="0.0081799591002045"/>
        <n v="0.0272108843537415"/>
        <n v="0.00718132854578097"/>
        <n v="0.0155440414507772"/>
        <n v="0.0261437908496732"/>
        <n v="0.018348623853211"/>
        <n v="0.0238095238095238"/>
        <n v="0.0094722598105548"/>
        <n v="0.00985221674876847"/>
        <n v="0.00862068965517241"/>
        <n v="0.0125628140703518"/>
        <n v="0.00708103855232101"/>
        <n v="0.0079136690647482"/>
        <n v="0.0146735143066765"/>
        <n v="0.0114324142568931"/>
        <n v="0.0246913580246914"/>
        <n v="0.00485436893203883"/>
        <n v="0.0124223602484472"/>
        <n v="0.0208333333333333"/>
        <n v="0.0222222222222222"/>
        <n v="0.0119617224880383"/>
        <n v="0.00362756952841596"/>
        <n v="0.010989010989011"/>
        <n v="0.00651041666666667"/>
        <n v="0.00886524822695036"/>
        <n v="0.0232558139534884"/>
        <n v="0.00609756097560976"/>
        <n v="0.00201612903225806"/>
        <n v="0.00586510263929619"/>
        <n v="0.0310880829015544"/>
        <n v="0.00794551645856981"/>
        <n v="0.00628707600263652"/>
        <n v="0.000966930961129375"/>
        <n v="0.00387430047352561"/>
        <n v="0.0425531914893617"/>
        <n v="0.0357142857142857"/>
        <n v="0.00531914893617021"/>
        <n v="0.0109689213893967"/>
        <n v="0.00643086816720257"/>
        <n v="0.000758864320293079"/>
        <n v="0.0303030303030303"/>
        <n v="0.0102040816326531"/>
        <n v="0.00798689330329715"/>
        <n v="0.0037037037037037"/>
        <n v="0.00522193211488251"/>
        <n v="0.001998001998002"/>
        <n v="0.00631019594818997"/>
        <n v="0.0225563909774436"/>
        <n v="0.00273453933529659"/>
        <n v="0.00318809776833156"/>
        <n v="0.00403225806451613"/>
        <n v="0.0036563071297989"/>
        <n v="0.00342465753424658"/>
        <n v="0.00318640467339352"/>
        <n v="0.000967476327706875"/>
        <n v="0.00746268656716418"/>
        <n v="0.00943396226415094"/>
        <n v="0.0117820324005891"/>
        <n v="0.0155172413793103"/>
        <n v="0.00944767441860465"/>
        <n v="0.00992555831265509"/>
        <n v="0.0209424083769634"/>
        <n v="0.0167597765363128"/>
        <n v="0.00120971644246589"/>
        <n v="0.0128205128205128"/>
        <n v="0.00623052959501558"/>
        <n v="0.00794176042356056"/>
        <n v="0.00399657436483015"/>
        <n v="0.00259067357512953"/>
        <n v="0.0050314465408805"/>
        <n v="0.0163934426229508"/>
        <n v="0.00619195046439629"/>
        <n v="0.166666666666667"/>
        <n v="0.0171673819742489"/>
        <n v="0.0065359477124183"/>
        <n v="0.00826446280991736"/>
        <n v="0.0278969957081545"/>
        <n v="0.0206185567010309"/>
        <n v="0.00423728813559322"/>
        <n v="0.0175913396481732"/>
        <n v="0.00918484500574053"/>
        <n v="0.0416666666666667"/>
        <n v="0.00958466453674121"/>
        <n v="0.0833333333333333"/>
        <n v="0.00503778337531486"/>
        <n v="0.0192307692307692"/>
        <n v="0.0202429149797571"/>
        <n v="0.0130780009341429"/>
        <n v="0.00587716720540699"/>
        <n v="0.00557103064066852"/>
        <n v="0.00362976406533575"/>
        <n v="0.0198019801980198"/>
        <n v="0.0196078431372549"/>
        <n v="0.00735294117647059"/>
        <n v="0.0062111801242236"/>
        <n v="0.0152284263959391"/>
        <n v="0.00722543352601156"/>
        <n v="0.003690036900369"/>
        <n v="0.00900900900900901"/>
        <n v="0.00740740740740741"/>
        <n v="0.0067476383265857"/>
        <n v="0.00555555555555556"/>
        <n v="0.00721153846153846"/>
        <n v="0.00888888888888889"/>
        <n v="0.00446428571428571"/>
        <n v="0.00947521865889213"/>
        <n v="0.0043859649122807"/>
        <n v="0.00158730158730159"/>
        <n v="0.0194174757281553"/>
        <n v="0.00355450236966825"/>
        <n v="0.0476190476190476"/>
        <n v="0.00444444444444444"/>
        <n v="0.0144927536231884"/>
        <n v="0.00253324889170361"/>
        <n v="0.00984251968503937"/>
        <n v="0.00671140939597316"/>
        <n v="0.0263157894736842"/>
        <n v="0.0119047619047619"/>
        <n v="0.0267857142857143"/>
        <n v="0.00873362445414847"/>
        <n v="0.003125"/>
        <n v="0.011142061281337"/>
        <n v="0.00127756485030273"/>
        <n v="0.0133333333333333"/>
        <n v="0.0168067226890756"/>
        <n v="0.0125"/>
        <n v="0.0175438596491228"/>
        <n v="0.00477272727272727"/>
        <n v="0.00770712909441233"/>
        <n v="0.00302506482281763"/>
        <n v="0.00509825732295143"/>
        <n v="0.00475435816164818"/>
        <n v="0.00265463233342182"/>
        <n v="0.00757575757575758"/>
        <n v="0.00704225352112676"/>
        <n v="0.00273037542662116"/>
        <n v="0.00513458845495566"/>
        <n v="0.0122448979591837"/>
        <n v="0.00787978742899029"/>
        <n v="0.00587084148727984"/>
        <n v="0.00937734433608402"/>
        <n v="0.000816993464052288"/>
        <n v="0.00818181818181818"/>
        <n v="0.0103370786516854"/>
        <n v="0.00785634118967452"/>
        <n v="0.010593220338983"/>
        <n v="0.00201961915753029"/>
        <n v="0.000930267172732009"/>
        <n v="0.00285643318430204"/>
        <n v="0.0050251256281407"/>
        <n v="0.00387320354703904"/>
        <n v="0.00222277105458138"/>
        <n v="0.00218102508178844"/>
        <n v="0.00122432322133043"/>
        <n v="0.0108695652173913"/>
        <n v="0.00966458214894827"/>
        <n v="0.00170940170940171"/>
        <n v="0.0045045045045045"/>
        <n v="0.0151515151515152"/>
        <n v="0.00360655737704918"/>
        <n v="0.00182815356489945"/>
        <n v="0.00227014755959137"/>
        <n v="0.00263852242744063"/>
        <n v="0.0072463768115942"/>
        <n v="0.010443864229765"/>
        <n v="0.00388486667843899"/>
        <n v="0.00552486187845304"/>
        <n v="0.00324149108589951"/>
        <n v="0.0158371040723982"/>
        <n v="0.00593311758360302"/>
        <n v="0.000919963201471941"/>
        <n v="0.00435729847494553"/>
        <n v="0.000536444712666801"/>
        <n v="0.000340251786321878"/>
        <n v="0.00256739409499358"/>
        <n v="0.000868055555555556"/>
        <n v="0.000328839197632358"/>
        <n v="0.000202575604109391"/>
      </sharedItems>
    </cacheField>
    <cacheField name="每次点击成本(CPC)" numFmtId="0">
      <sharedItems containsString="0" containsBlank="1" containsNumber="1" minValue="0" maxValue="1.3" count="151">
        <n v="0.26"/>
        <m/>
        <n v="0.3"/>
        <n v="0.285"/>
        <n v="0.38"/>
        <n v="0.26625"/>
        <n v="0.27"/>
        <n v="0.13"/>
        <n v="0.584285714285714"/>
        <n v="0.39"/>
        <n v="0.381538461538462"/>
        <n v="0.408"/>
        <n v="0.444444444444445"/>
        <n v="0.410909090909091"/>
        <n v="0.365"/>
        <n v="0.364705882352941"/>
        <n v="0.235"/>
        <n v="0.28"/>
        <n v="0.255"/>
        <n v="0.1125"/>
        <n v="0.33"/>
        <n v="0.384"/>
        <n v="0.4"/>
        <n v="0.53"/>
        <n v="0.418"/>
        <n v="0.412"/>
        <n v="0.385"/>
        <n v="0.463333333333333"/>
        <n v="0.42"/>
        <n v="0.41"/>
        <n v="0.333333333333333"/>
        <n v="0.325"/>
        <n v="0.358571428571429"/>
        <n v="0.678064516129032"/>
        <n v="0.392666666666667"/>
        <n v="0.371111111111111"/>
        <n v="0.46"/>
        <n v="0.32"/>
        <n v="0.22"/>
        <n v="0.4625"/>
        <n v="0.466551724137931"/>
        <n v="0.55"/>
        <n v="0.31"/>
        <n v="0.58974358974359"/>
        <n v="0.5"/>
        <n v="0.52"/>
        <n v="0.4875"/>
        <n v="0.51578947368421"/>
        <n v="0.373333333333333"/>
        <n v="0.601538461538462"/>
        <n v="0.603333333333333"/>
        <n v="0.65"/>
        <n v="0.338333333333333"/>
        <n v="0.359574468085106"/>
        <n v="0.34"/>
        <n v="0.1"/>
        <n v="0.669375"/>
        <n v="0.432222222222222"/>
        <n v="0.45"/>
        <n v="0.305"/>
        <n v="0.29"/>
        <n v="0.7824"/>
        <n v="0.528636363636364"/>
        <n v="0.5475"/>
        <n v="0.483333333333333"/>
        <n v="0.447857142857143"/>
        <n v="0.465"/>
        <n v="0.6"/>
        <n v="0.3675"/>
        <n v="0.3375"/>
        <n v="0.355"/>
        <n v="0.367692307692308"/>
        <n v="0.395"/>
        <n v="0.243846153846154"/>
        <n v="0.25375"/>
        <n v="0.313333333333333"/>
        <n v="0.43"/>
        <n v="0.3475"/>
        <n v="0.3575"/>
        <n v="0.37"/>
        <n v="0.19"/>
        <n v="0.155"/>
        <n v="0.23"/>
        <n v="0.17"/>
        <n v="0.35"/>
        <n v="0.414"/>
        <n v="0.15"/>
        <n v="0.356"/>
        <n v="0.51"/>
        <n v="0.633333333333333"/>
        <n v="0.475"/>
        <n v="0.296666666666667"/>
        <n v="0.383846153846154"/>
        <n v="1.3"/>
        <n v="0.428"/>
        <n v="0.293333333333333"/>
        <n v="0.21"/>
        <n v="0.236666666666667"/>
        <n v="0.25"/>
        <n v="0.2475"/>
        <n v="0.275217391304348"/>
        <n v="0.2"/>
        <n v="0.115"/>
        <n v="0.49"/>
        <n v="0.550952380952381"/>
        <n v="0.495090909090909"/>
        <n v="0.546666666666667"/>
        <n v="0.560666666666667"/>
        <n v="0.328333333333333"/>
        <n v="0.36"/>
        <n v="0.503636363636363"/>
        <n v="0.722222222222222"/>
        <n v="0.688372093023256"/>
        <n v="0.516666666666667"/>
        <n v="0.7536"/>
        <n v="0.64"/>
        <n v="0.71"/>
        <n v="0.437777777777778"/>
        <n v="0.465652173913044"/>
        <n v="0.464285714285714"/>
        <n v="0.438"/>
        <n v="0.790952380952381"/>
        <n v="0.7664"/>
        <n v="0.870869565217391"/>
        <n v="0.564166666666667"/>
        <n v="0.576578947368421"/>
        <n v="0.557777777777778"/>
        <n v="0.9375"/>
        <n v="0.873703703703704"/>
        <n v="0.973529411764706"/>
        <n v="1.1"/>
        <n v="1.17333333333333"/>
        <n v="1.10363636363636"/>
        <n v="1.16"/>
        <n v="1.05"/>
        <n v="1.08"/>
        <n v="0.77"/>
        <n v="0.6475"/>
        <n v="0.756818181818182"/>
        <n v="0.59"/>
        <n v="0.7225"/>
        <n v="0.650714285714286"/>
        <n v="0.751818181818182"/>
        <n v="0.807777777777778"/>
        <n v="1.1525"/>
        <n v="0.98625"/>
        <n v="1.29"/>
        <n v="1.065"/>
        <n v="1.27"/>
        <n v="1.14"/>
        <n v="1.23285714285714"/>
      </sharedItems>
    </cacheField>
    <cacheField name="花费" numFmtId="0">
      <sharedItems containsString="0" containsBlank="1" containsNumber="1" minValue="0" maxValue="84.08" count="155">
        <n v="0.26"/>
        <n v="0"/>
        <n v="1.2"/>
        <n v="1.14"/>
        <n v="1.52"/>
        <n v="0.9"/>
        <n v="2.13"/>
        <n v="0.54"/>
        <n v="0.13"/>
        <n v="4.09"/>
        <n v="0.78"/>
        <n v="4.96"/>
        <n v="2.04"/>
        <n v="4"/>
        <n v="4.52"/>
        <n v="7.3"/>
        <n v="6.2"/>
        <n v="0.47"/>
        <n v="0.28"/>
        <n v="1.02"/>
        <n v="0.45"/>
        <n v="0.33"/>
        <n v="1.92"/>
        <n v="1.59"/>
        <n v="2.09"/>
        <n v="2.06"/>
        <n v="0.77"/>
        <n v="1.39"/>
        <n v="0.42"/>
        <n v="0.82"/>
        <n v="2"/>
        <n v="0.65"/>
        <n v="2.51"/>
        <n v="84.08"/>
        <n v="5.89"/>
        <n v="3.34"/>
        <n v="0.92"/>
        <n v="0.32"/>
        <n v="0.22"/>
        <n v="2.78"/>
        <n v="1.85"/>
        <n v="13.53"/>
        <n v="0.55"/>
        <n v="0.31"/>
        <n v="23"/>
        <n v="1"/>
        <n v="1.04"/>
        <n v="3.9"/>
        <n v="9.8"/>
        <n v="1.12"/>
        <n v="7.82"/>
        <n v="1.81"/>
        <n v="1.3"/>
        <n v="2.31"/>
        <n v="2.03"/>
        <n v="16.9"/>
        <n v="0.34"/>
        <n v="0.1"/>
        <n v="10.71"/>
        <n v="11.67"/>
        <n v="5.98"/>
        <n v="1.8"/>
        <n v="1.22"/>
        <n v="3.48"/>
        <n v="19.56"/>
        <n v="11.63"/>
        <n v="2.19"/>
        <n v="5.8"/>
        <n v="6.27"/>
        <n v="1.86"/>
        <n v="0.6"/>
        <n v="1.47"/>
        <n v="1.35"/>
        <n v="0.71"/>
        <n v="4.78"/>
        <n v="4.74"/>
        <n v="3.17"/>
        <n v="1.88"/>
        <n v="0.93"/>
        <n v="2.15"/>
        <n v="3.95"/>
        <n v="0.43"/>
        <n v="2.1"/>
        <n v="9.73"/>
        <n v="7.15"/>
        <n v="0.74"/>
        <n v="0.19"/>
        <n v="0.23"/>
        <n v="0.17"/>
        <n v="0.37"/>
        <n v="1.11"/>
        <n v="0.35"/>
        <n v="2.07"/>
        <n v="0.15"/>
        <n v="0.66"/>
        <n v="1.78"/>
        <n v="0.51"/>
        <n v="1.9"/>
        <n v="0.95"/>
        <n v="0.89"/>
        <n v="4.99"/>
        <n v="0.38"/>
        <n v="0.3"/>
        <n v="1.72"/>
        <n v="2.14"/>
        <n v="3.52"/>
        <n v="0.5"/>
        <n v="0.99"/>
        <n v="6.33"/>
        <n v="0.2"/>
        <n v="0.49"/>
        <n v="11.57"/>
        <n v="1.95"/>
        <n v="2.24"/>
        <n v="27.23"/>
        <n v="1.64"/>
        <n v="16.82"/>
        <n v="1.97"/>
        <n v="0.36"/>
        <n v="49.86"/>
        <n v="6.5"/>
        <n v="29.6"/>
        <n v="1.55"/>
        <n v="18.84"/>
        <n v="0.64"/>
        <n v="1.42"/>
        <n v="15.76"/>
        <n v="16.61"/>
        <n v="19.16"/>
        <n v="20.03"/>
        <n v="6.77"/>
        <n v="21.91"/>
        <n v="5.02"/>
        <n v="11.25"/>
        <n v="23.59"/>
        <n v="16.55"/>
        <n v="1.1"/>
        <n v="12.14"/>
        <n v="1.16"/>
        <n v="4.2"/>
        <n v="5.4"/>
        <n v="2.59"/>
        <n v="16.65"/>
        <n v="0.59"/>
        <n v="5.78"/>
        <n v="9.11"/>
        <n v="8.27"/>
        <n v="14.54"/>
        <n v="4.61"/>
        <n v="7.89"/>
        <n v="1.29"/>
        <n v="1.27"/>
        <n v="2.28"/>
        <n v="8.63"/>
        <m/>
      </sharedItems>
    </cacheField>
    <cacheField name="7天总销售额" numFmtId="0">
      <sharedItems containsString="0" containsBlank="1" containsNumber="1" minValue="0" maxValue="538.25" count="34">
        <n v="18.99"/>
        <n v="0"/>
        <n v="12.99"/>
        <n v="38.97"/>
        <n v="51.96"/>
        <n v="538.25"/>
        <n v="20.97"/>
        <n v="13.98"/>
        <n v="6.99"/>
        <n v="143.81"/>
        <n v="41.94"/>
        <n v="13.99"/>
        <n v="21.87"/>
        <n v="31.98"/>
        <n v="7.99"/>
        <n v="79.9"/>
        <n v="15.98"/>
        <n v="103.87"/>
        <n v="39.95"/>
        <n v="11.66"/>
        <n v="29.99"/>
        <n v="85.89"/>
        <n v="17.99"/>
        <n v="27.96"/>
        <n v="286.69"/>
        <n v="41.95"/>
        <n v="414.49"/>
        <n v="95.96"/>
        <n v="149.97"/>
        <n v="84.97"/>
        <n v="24.99"/>
        <n v="119.96"/>
        <n v="34.99"/>
        <m/>
      </sharedItems>
    </cacheField>
    <cacheField name="广告成本销售比(ACOS)" numFmtId="0">
      <sharedItems containsString="0" containsBlank="1" containsNumber="1" minValue="0" maxValue="1.66380543633762" count="63">
        <n v="0.0136914165350184"/>
        <m/>
        <n v="0.0100076982294072"/>
        <n v="0.307929176289453"/>
        <n v="0.115986656402361"/>
        <n v="0.140492686682063"/>
        <n v="0.477290223248653"/>
        <n v="0.0785219399538106"/>
        <n v="0.092378752886836"/>
        <n v="0.158583525789069"/>
        <n v="0.0323325635103926"/>
        <n v="0.193225558121632"/>
        <n v="0.156209939619136"/>
        <n v="0.280877443967573"/>
        <n v="0.198855507868383"/>
        <n v="0.264663805436338"/>
        <n v="0.0940824699255963"/>
        <n v="0.548402479732952"/>
        <n v="0.0743388134381701"/>
        <n v="1.40200286123033"/>
        <n v="0.0594421582075903"/>
        <n v="0.0722326454033771"/>
        <n v="0.254067584480601"/>
        <n v="0.211514392991239"/>
        <n v="0.670212765957447"/>
        <n v="0.22459584295612"/>
        <n v="0.267898383371824"/>
        <n v="0.188312313468759"/>
        <n v="1.66380543633762"/>
        <n v="0.0548185231539424"/>
        <n v="0.725907384230288"/>
        <n v="0.149499284692418"/>
        <n v="0.266094420600858"/>
        <n v="0.113163972286374"/>
        <n v="0.367975365665897"/>
        <n v="0.244033872209392"/>
        <n v="0.144726712856043"/>
        <n v="0.165511932255581"/>
        <n v="0.0368782161234991"/>
        <n v="0.249679240441365"/>
        <n v="0.550423402617398"/>
        <n v="0.159353348729792"/>
        <n v="0.111389236545682"/>
        <n v="0.128047215807031"/>
        <n v="0.0433477825941981"/>
        <n v="0.251788268955651"/>
        <n v="0.0429184549356223"/>
        <n v="0.0357398141529664"/>
        <n v="0.0736989172196996"/>
        <n v="0.0286123032904149"/>
        <n v="0.64313507504169"/>
        <n v="0.0801144492131617"/>
        <n v="0.0949806411106073"/>
        <n v="0.400953516090584"/>
        <n v="0.246558197747184"/>
        <n v="0.120292407536973"/>
        <n v="0.308461859107962"/>
        <n v="0.125625125025005"/>
        <n v="0.195480757914558"/>
        <n v="0.766706682673069"/>
        <n v="0.270908363345338"/>
        <n v="0.182644214738246"/>
        <n v="0.321520434409831"/>
      </sharedItems>
    </cacheField>
    <cacheField name="投入产出比(ROAS)" numFmtId="0">
      <sharedItems containsString="0" containsBlank="1" containsNumber="1" minValue="0" maxValue="99.9230769230769" count="64">
        <n v="73.0384615384615"/>
        <m/>
        <n v="0"/>
        <n v="99.9230769230769"/>
        <n v="3.2475"/>
        <n v="8.6216814159292"/>
        <n v="7.11780821917808"/>
        <n v="2.09516129032258"/>
        <n v="12.7352941176471"/>
        <n v="10.825"/>
        <n v="6.30582524271845"/>
        <n v="30.9285714285714"/>
        <n v="5.17529880478088"/>
        <n v="6.40164129400571"/>
        <n v="3.56027164685908"/>
        <n v="5.02877697841727"/>
        <n v="3.77837837837838"/>
        <n v="10.6289726533629"/>
        <n v="1.82347826086957"/>
        <n v="13.4519230769231"/>
        <n v="0.713265306122449"/>
        <n v="16.8230769230769"/>
        <n v="13.8441558441558"/>
        <n v="3.93596059113301"/>
        <n v="4.72781065088757"/>
        <n v="1.49206349206349"/>
        <n v="4.45244215938303"/>
        <n v="3.73275862068966"/>
        <n v="5.31032719836401"/>
        <n v="0.601031814273431"/>
        <n v="18.2420091324201"/>
        <n v="1.37758620689655"/>
        <n v="6.688995215311"/>
        <n v="3.75806451612903"/>
        <n v="8.83673469387755"/>
        <n v="2.71757322175732"/>
        <n v="4.09779179810726"/>
        <n v="6.90957446808511"/>
        <n v="6.04186046511628"/>
        <n v="27.1162790697674"/>
        <n v="4.00513874614594"/>
        <n v="1.81678321678322"/>
        <n v="6.27536231884058"/>
        <n v="8.97752808988764"/>
        <n v="7.80961923847695"/>
        <n v="23.0692307692308"/>
        <n v="3.97159090909091"/>
        <n v="23.3"/>
        <n v="27.98"/>
        <n v="13.5687203791469"/>
        <n v="34.95"/>
        <n v="1.55488331892826"/>
        <n v="12.4821428571429"/>
        <n v="10.5284612559677"/>
        <n v="2.49405469678954"/>
        <n v="4.05583756345178"/>
        <n v="8.31307661452066"/>
        <n v="3.24189189189189"/>
        <n v="7.96019108280255"/>
        <n v="5.11559301625527"/>
        <n v="1.30427974947808"/>
        <n v="3.69128508124077"/>
        <n v="5.47512551346417"/>
        <n v="3.11022222222222"/>
      </sharedItems>
    </cacheField>
    <cacheField name="7天总订单数(#)" numFmtId="0">
      <sharedItems containsString="0" containsBlank="1" containsNumber="1" containsInteger="1" minValue="0" maxValue="38" count="13">
        <n v="1"/>
        <n v="0"/>
        <n v="3"/>
        <n v="4"/>
        <n v="38"/>
        <n v="2"/>
        <n v="8"/>
        <n v="9"/>
        <n v="7"/>
        <n v="6"/>
        <n v="13"/>
        <n v="28"/>
        <m/>
      </sharedItems>
    </cacheField>
    <cacheField name="7天总销售量(#)" numFmtId="0">
      <sharedItems containsString="0" containsBlank="1" containsNumber="1" containsInteger="1" minValue="0" maxValue="75" count="15">
        <n v="1"/>
        <n v="0"/>
        <n v="3"/>
        <n v="4"/>
        <n v="75"/>
        <n v="2"/>
        <n v="19"/>
        <n v="6"/>
        <n v="10"/>
        <n v="13"/>
        <n v="5"/>
        <n v="11"/>
        <n v="31"/>
        <n v="51"/>
        <m/>
      </sharedItems>
    </cacheField>
    <cacheField name="7天的转化率" numFmtId="0">
      <sharedItems containsString="0" containsBlank="1" containsNumber="1" minValue="0" maxValue="1" count="38">
        <n v="1"/>
        <m/>
        <n v="0"/>
        <n v="0.111111111111111"/>
        <n v="0.272727272727273"/>
        <n v="0.2"/>
        <n v="0.0588235294117647"/>
        <n v="0.25"/>
        <n v="0.333333333333333"/>
        <n v="0.142857142857143"/>
        <n v="0.306451612903226"/>
        <n v="0.133333333333333"/>
        <n v="0.275862068965517"/>
        <n v="0.0512820512820513"/>
        <n v="0.5"/>
        <n v="0.0526315789473684"/>
        <n v="0.166666666666667"/>
        <n v="0.191489361702128"/>
        <n v="0.125"/>
        <n v="0.0833333333333333"/>
        <n v="0.28"/>
        <n v="0.0454545454545455"/>
        <n v="0.428571428571429"/>
        <n v="0.0769230769230769"/>
        <n v="0.107142857142857"/>
        <n v="0.05"/>
        <n v="0.230769230769231"/>
        <n v="0.347826086956522"/>
        <n v="0.0476190476190476"/>
        <n v="0.285714285714286"/>
        <n v="0.236363636363636"/>
        <n v="0.1"/>
        <n v="0.282828282828283"/>
        <n v="0.0697674418604651"/>
        <n v="0.12"/>
        <n v="0.0952380952380952"/>
        <n v="0.04"/>
        <n v="0.105263157894737"/>
      </sharedItems>
    </cacheField>
    <cacheField name="7天内广告SKU销售量(#)" numFmtId="0">
      <sharedItems containsString="0" containsBlank="1" containsNumber="1" containsInteger="1" minValue="0" maxValue="67" count="12">
        <n v="0"/>
        <n v="3"/>
        <n v="1"/>
        <n v="67"/>
        <n v="8"/>
        <n v="6"/>
        <n v="2"/>
        <n v="7"/>
        <n v="4"/>
        <n v="14"/>
        <n v="45"/>
        <m/>
      </sharedItems>
    </cacheField>
    <cacheField name="7天内其他SKU销售量(#)" numFmtId="0">
      <sharedItems containsString="0" containsBlank="1" containsNumber="1" containsInteger="1" minValue="0" maxValue="17" count="11">
        <n v="1"/>
        <n v="0"/>
        <n v="8"/>
        <n v="2"/>
        <n v="11"/>
        <n v="3"/>
        <n v="10"/>
        <n v="5"/>
        <n v="17"/>
        <n v="6"/>
        <m/>
      </sharedItems>
    </cacheField>
    <cacheField name="7天内广告SKU销售额" numFmtId="0">
      <sharedItems containsString="0" containsBlank="1" containsNumber="1" minValue="0" maxValue="468.33" count="29">
        <n v="0"/>
        <n v="38.97"/>
        <n v="12.99"/>
        <n v="468.33"/>
        <n v="20.97"/>
        <n v="6.99"/>
        <n v="55.92"/>
        <n v="41.94"/>
        <n v="13.99"/>
        <n v="13.88"/>
        <n v="31.98"/>
        <n v="55.93"/>
        <n v="15.98"/>
        <n v="23.97"/>
        <n v="7.99"/>
        <n v="25.98"/>
        <n v="29.99"/>
        <n v="13.98"/>
        <n v="63.92"/>
        <n v="17.99"/>
        <n v="27.96"/>
        <n v="97.86"/>
        <n v="359.55"/>
        <n v="95.96"/>
        <n v="49.99"/>
        <n v="59.98"/>
        <n v="24.99"/>
        <n v="34.99"/>
        <m/>
      </sharedItems>
    </cacheField>
    <cacheField name="7天内其他SKU销售额" numFmtId="0">
      <sharedItems containsString="0" containsBlank="1" containsNumber="1" minValue="0" maxValue="188.83" count="21">
        <n v="18.99"/>
        <n v="0"/>
        <n v="12.99"/>
        <n v="69.92"/>
        <n v="13.98"/>
        <n v="87.89"/>
        <n v="7.99"/>
        <n v="23.97"/>
        <n v="38.97"/>
        <n v="79.9"/>
        <n v="6.99"/>
        <n v="39.95"/>
        <n v="11.66"/>
        <n v="13.99"/>
        <n v="21.97"/>
        <n v="188.83"/>
        <n v="54.94"/>
        <n v="99.98"/>
        <n v="24.99"/>
        <n v="94.97"/>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56.xml><?xml version="1.0" encoding="utf-8"?>
<pivotCacheDefinition xmlns="http://schemas.openxmlformats.org/spreadsheetml/2006/main" xmlns:r="http://schemas.openxmlformats.org/officeDocument/2006/relationships" r:id="rId1" createdVersion="5" refreshedVersion="5" minRefreshableVersion="3" refreshedDate="45219.6197569444" refreshedBy="Administrator" recordCount="307">
  <cacheSource type="worksheet">
    <worksheetSource ref="G1:W1048576" sheet="广告10.04-10.18" r:id="rId2"/>
  </cacheSource>
  <cacheFields count="19">
    <cacheField name="广告SKU" numFmtId="0">
      <sharedItems containsBlank="1" count="105">
        <s v="Y92611-DB+Y92614+Y92635"/>
        <s v="Y93694-BL+Y93712+Y93744"/>
        <s v="Y93694-OR+Y93712+Y93744"/>
        <s v="Y93694-BU+Y93712+Y93744"/>
        <s v="Y9025-OR+Y9026+Y9027"/>
        <s v="Y93475-DB+Y92615+Y93478"/>
        <s v="Y93405-DB+Y93406+Y93397"/>
        <s v="Y9002-DB+Y9005"/>
        <s v="Y9002-BU+Y9005"/>
        <s v="Y9029-DB+Y9030+Y9031"/>
        <s v="Y9003-BU+Y9006+Y9008"/>
        <s v="Y9003-DB+Y9006+Y9008"/>
        <s v="Y93106-OR+Y93109+Y93112"/>
        <s v="Y93106-BL+Y93109+Y93112"/>
        <s v="Y93230-OR+Y903231+Y93240"/>
        <s v="Y93230-DB+Y903231+Y93240"/>
        <s v="Y93106-DB+Y93109+Y93112"/>
        <s v="Y93230-BL+Y903231+Y93240"/>
        <s v="Y93758-DB+Y93759+Y93761"/>
        <s v="Y93758-BU+Y93759+Y93761"/>
        <s v="Y93756-BL+Y93757+Y93760"/>
        <s v="Y93475-GR+Y92615+Y93478"/>
        <s v="Y9029-OR+Y9030+Y9031"/>
        <s v="Y9001-BU"/>
        <s v="Y9001-PI"/>
        <s v="Y9001-PU"/>
        <s v="Y9001-WH"/>
        <s v="Y9002-BU"/>
        <s v="Y9002-BL"/>
        <s v="Y9003-1"/>
        <s v="Y9005-BL"/>
        <s v="Y9005-WH"/>
        <s v="Y9005-PI"/>
        <s v="Y9005-BU"/>
        <s v="Y93040-BL+Y93045+Y93043"/>
        <s v="Y93040-DB+Y93045+Y93043"/>
        <s v="Y93134-OR+Y93137+Y93268"/>
        <s v="Y93134-DB+Y93137+Y93268"/>
        <s v="Y93821-BU+Y93822+Y93823"/>
        <s v="Y93821-DB+Y93822+Y93823"/>
        <s v="Y93821-BL+Y93822+Y93823"/>
        <s v="Y92610-OR+Y92613+Y92634"/>
        <s v="Y9001-GR"/>
        <s v="Y92000-BL+Y92013+Y92749"/>
        <s v="Y92000-OR+Y92013+Y92749"/>
        <s v="Y92000-DB+Y92013+Y92749"/>
        <s v="Y9007-12PC"/>
        <s v="Y93452-DB-ZH"/>
        <s v="Y93452-OR-ZH"/>
        <s v="Y92563-BL+Y92564+Y92571"/>
        <s v="Y92563-OR+Y92564+Y92571"/>
        <s v="Y9009-DB-ZH"/>
        <s v="Y9009-OR-ZH"/>
        <s v="Y9009-BL-ZH"/>
        <s v="Y9009-BU-ZH"/>
        <s v="Y93133-BL+Y93136+Y93267"/>
        <s v="Y93133-DB+Y93136+Y93267"/>
        <s v="Y93133-OR+Y93136+Y93267"/>
        <s v="Y93153-OR+Y93155+Y93169"/>
        <s v="Y93153-BL+Y93155+Y93169"/>
        <s v="Y92559-OR+Y92560+Y92399"/>
        <s v="Y92559-BL+Y92560+Y92399"/>
        <s v="Y93135-DB+Y93138+Y93269"/>
        <s v="Y93135-OR+Y93138+Y93269"/>
        <s v="Y93135-BL+Y93138+Y93269-1"/>
        <s v="Y93153-DB+Y93155+Y93169"/>
        <s v="Y9007-6PC"/>
        <s v="Y93040-OR+Y93045+Y93043"/>
        <s v="Y93405-BL+Y93406+Y93397"/>
        <s v="Y9008"/>
        <s v="Y93134-BL+Y93137+Y93268"/>
        <s v="Y92610-DB+Y92613+Y92634"/>
        <s v="Y9007-30PC"/>
        <s v="Y9007-24PC"/>
        <s v="Y9021"/>
        <s v="Y9018-GA"/>
        <s v="Y9018-GN"/>
        <s v="Y9022"/>
        <s v="Y9010-PI"/>
        <s v="Y9010-WH"/>
        <s v="Y9020-GA"/>
        <s v="Y9020-GN"/>
        <s v="Y9009-WH"/>
        <s v="Y9009-KH"/>
        <s v="Y9019-GA"/>
        <s v="Y9019-GN"/>
        <s v="Y9009-PI"/>
        <s v="Y9010-KH"/>
        <s v="Y9026-6-GA"/>
        <s v="Y9026-6-BL"/>
        <s v="Y9023-WH-25"/>
        <s v="Y9023-WH-20"/>
        <s v="Y9023-WH-15"/>
        <s v="Y9023-BR-25"/>
        <s v="Y9023-BR-20"/>
        <s v="Y9023-BR-15"/>
        <s v="Y9024-50-3"/>
        <s v="Y9024-50-4"/>
        <s v="Y9016-GN"/>
        <s v="Y9016-BR"/>
        <s v="Y9015-BR"/>
        <s v="Y9015-GN"/>
        <s v="Y9014-GN"/>
        <s v="Y9014-BR"/>
        <m/>
      </sharedItems>
    </cacheField>
    <cacheField name="广告ASIN" numFmtId="0">
      <sharedItems containsBlank="1" count="105">
        <s v="B0B5SWTHW5"/>
        <s v="B0B5N2J21Z"/>
        <s v="B0B5N1JWMD"/>
        <s v="B0B5N198G3"/>
        <s v="B0B5N285BD"/>
        <s v="B0B5QJGPS2"/>
        <s v="B0B5SX52BD"/>
        <s v="B0B6VLWLHF"/>
        <s v="B0B6VJJMWD"/>
        <s v="B0B7JH9QBS"/>
        <s v="B0B7JCJGP5"/>
        <s v="B0B7JCHTKH"/>
        <s v="B0B7HXB967"/>
        <s v="B0B7HZ9RN6"/>
        <s v="B0B7HYLDSL"/>
        <s v="B0B632PTY2"/>
        <s v="B0B6333ZLX"/>
        <s v="B0B7HX1QK8"/>
        <s v="B0B5N3K7LB"/>
        <s v="B0B5N3SD8W"/>
        <s v="B0B5N5NMJN"/>
        <s v="B0B5QKGJH4"/>
        <s v="B0B7JFWQ4F"/>
        <s v="B0BVMG2B48"/>
        <s v="B0BVPN4L87"/>
        <s v="B0BVMH4Q7J"/>
        <s v="B0BVNW9PY5"/>
        <s v="B0BX1X4VP8"/>
        <s v="B0BX252DLT"/>
        <s v="B0BYCMVK7Q"/>
        <s v="B0BZ3ZMR15"/>
        <s v="B0BZ3ZZQXL"/>
        <s v="B0BZ3YPHM9"/>
        <s v="B0BZ439ZHM"/>
        <s v="B0B634WWTT"/>
        <s v="B0B7HVPQ58"/>
        <s v="B0B7J2NR5N"/>
        <s v="B0B635ZHTN"/>
        <s v="B0B5RBDZC5"/>
        <s v="B0B5R772YP"/>
        <s v="B0B5R72V14"/>
        <s v="B0B5X7P8NJ"/>
        <s v="B0BVMG33FS"/>
        <s v="B0B5ZPQ3NS"/>
        <s v="B0B5ZPTCX3"/>
        <s v="B0B5ZQ6S7L"/>
        <s v="B0C6DXQT1M"/>
        <s v="B0C61JT74Y"/>
        <s v="B0C61LCZK7"/>
        <s v="B0B5Z3XH4G"/>
        <s v="B0B5Z3R5GW"/>
        <s v="B0C5T89X9T"/>
        <s v="B0C5T6TTX2"/>
        <s v="B0C5T553YJ"/>
        <s v="B0C5T6KTZ4"/>
        <s v="B0B5WZFSNQ"/>
        <s v="B0B5WZ389D"/>
        <s v="B0B5WZ6S9R"/>
        <s v="B0B5WX6ZCM"/>
        <s v="B0B5X12SMJ"/>
        <s v="B0B5Z3Y2QF"/>
        <s v="B0B5Z3G5DN"/>
        <s v="B0C61FL9NS"/>
        <s v="B0C61F8MY3"/>
        <s v="B0C61HN4GR"/>
        <s v="B0B5WY83MR"/>
        <s v="B0C6DWXLZV"/>
        <s v="B0B7J16F66"/>
        <s v="B0B5SW89MJ"/>
        <s v="B0C7VSGBVP"/>
        <s v="B0B7J2W7P2"/>
        <s v="B0B5X8CBNR"/>
        <s v="B0C6DYVTHK"/>
        <s v="B0C6DZMTCP"/>
        <s v="B0CF8P8B1X"/>
        <s v="B0CF8LLWRT"/>
        <s v="B0CF8MMRMK"/>
        <s v="B0CF8LKWD2"/>
        <s v="B0CF8FKZ5B"/>
        <s v="B0CF8GVH1N"/>
        <s v="B0CF8LG9SX"/>
        <s v="B0CF8M7LYZ"/>
        <s v="B0CF8G54C5"/>
        <s v="B0CF8DYKBR"/>
        <s v="B0CF8N1G5P"/>
        <s v="B0CF8KNMGM"/>
        <s v="B0CF8FYGLG"/>
        <s v="B0CF8GDQ5Q"/>
        <s v="B0CFQX1KZM"/>
        <s v="B0CFQSZ24S"/>
        <s v="B0CF95GGTG"/>
        <s v="B0CF92LX2V"/>
        <s v="B0CF8ZKP7F"/>
        <s v="B0CF916G6C"/>
        <s v="B0CF92B4V2"/>
        <s v="B0CF91FMHJ"/>
        <s v="B0CF95D2MT"/>
        <s v="B0CF919VQ2"/>
        <s v="B0CFD62MVH"/>
        <s v="B0CFD43WK7"/>
        <s v="B0CFDCLFZX"/>
        <s v="B0CFD319K2"/>
        <s v="B0CFDBVT85"/>
        <s v="B0CFDKZ368"/>
        <m/>
      </sharedItems>
    </cacheField>
    <cacheField name="展示量" numFmtId="0">
      <sharedItems containsString="0" containsBlank="1" containsNumber="1" containsInteger="1" minValue="0" maxValue="57677" count="281">
        <n v="36"/>
        <n v="0"/>
        <n v="11"/>
        <n v="33"/>
        <n v="814"/>
        <n v="34"/>
        <n v="156"/>
        <n v="310"/>
        <n v="1367"/>
        <n v="686"/>
        <n v="3"/>
        <n v="37"/>
        <n v="475"/>
        <n v="663"/>
        <n v="129"/>
        <n v="229"/>
        <n v="120"/>
        <n v="4"/>
        <n v="1"/>
        <n v="1686"/>
        <n v="650"/>
        <n v="3887"/>
        <n v="398"/>
        <n v="3819"/>
        <n v="3250"/>
        <n v="2877"/>
        <n v="4539"/>
        <n v="143"/>
        <n v="27"/>
        <n v="356"/>
        <n v="197"/>
        <n v="573"/>
        <n v="458"/>
        <n v="103"/>
        <n v="903"/>
        <n v="1598"/>
        <n v="863"/>
        <n v="1331"/>
        <n v="1075"/>
        <n v="159"/>
        <n v="1258"/>
        <n v="1260"/>
        <n v="991"/>
        <n v="338"/>
        <n v="829"/>
        <n v="2634"/>
        <n v="47184"/>
        <n v="546"/>
        <n v="21641"/>
        <n v="4019"/>
        <n v="111"/>
        <n v="70"/>
        <n v="346"/>
        <n v="1179"/>
        <n v="1011"/>
        <n v="46597"/>
        <n v="50"/>
        <n v="5624"/>
        <n v="1582"/>
        <n v="1010"/>
        <n v="9273"/>
        <n v="4554"/>
        <n v="98"/>
        <n v="14909"/>
        <n v="646"/>
        <n v="13639"/>
        <n v="2026"/>
        <n v="61"/>
        <n v="1965"/>
        <n v="1015"/>
        <n v="2501"/>
        <n v="2439"/>
        <n v="31789"/>
        <n v="57677"/>
        <n v="487"/>
        <n v="300"/>
        <n v="239"/>
        <n v="1606"/>
        <n v="4262"/>
        <n v="2470"/>
        <n v="947"/>
        <n v="613"/>
        <n v="3184"/>
        <n v="1262"/>
        <n v="163"/>
        <n v="31513"/>
        <n v="1716"/>
        <n v="2846"/>
        <n v="908"/>
        <n v="1996"/>
        <n v="4282"/>
        <n v="493"/>
        <n v="1391"/>
        <n v="413"/>
        <n v="219"/>
        <n v="8870"/>
        <n v="5"/>
        <n v="8"/>
        <n v="5762"/>
        <n v="10"/>
        <n v="99"/>
        <n v="471"/>
        <n v="1218"/>
        <n v="605"/>
        <n v="956"/>
        <n v="1400"/>
        <n v="577"/>
        <n v="185"/>
        <n v="1377"/>
        <n v="2565"/>
        <n v="313"/>
        <n v="701"/>
        <n v="428"/>
        <n v="3386"/>
        <n v="542"/>
        <n v="708"/>
        <n v="7028"/>
        <n v="5186"/>
        <n v="786"/>
        <n v="255"/>
        <n v="1130"/>
        <n v="71"/>
        <n v="252"/>
        <n v="132"/>
        <n v="263"/>
        <n v="364"/>
        <n v="437"/>
        <n v="105"/>
        <n v="60"/>
        <n v="73"/>
        <n v="65"/>
        <n v="787"/>
        <n v="194"/>
        <n v="418"/>
        <n v="288"/>
        <n v="237"/>
        <n v="1002"/>
        <n v="290"/>
        <n v="554"/>
        <n v="222"/>
        <n v="2613"/>
        <n v="6203"/>
        <n v="133"/>
        <n v="64"/>
        <n v="3615"/>
        <n v="17651"/>
        <n v="720"/>
        <n v="2226"/>
        <n v="86"/>
        <n v="13"/>
        <n v="628"/>
        <n v="899"/>
        <n v="9"/>
        <n v="4071"/>
        <n v="330"/>
        <n v="276"/>
        <n v="212"/>
        <n v="406"/>
        <n v="246"/>
        <n v="1486"/>
        <n v="314"/>
        <n v="1768"/>
        <n v="41"/>
        <n v="30084"/>
        <n v="1121"/>
        <n v="264"/>
        <n v="2722"/>
        <n v="1462"/>
        <n v="24864"/>
        <n v="109"/>
        <n v="2509"/>
        <n v="141"/>
        <n v="180"/>
        <n v="2324"/>
        <n v="274"/>
        <n v="485"/>
        <n v="6402"/>
        <n v="26689"/>
        <n v="193"/>
        <n v="3304"/>
        <n v="277"/>
        <n v="101"/>
        <n v="178"/>
        <n v="1848"/>
        <n v="150"/>
        <n v="66"/>
        <n v="751"/>
        <n v="560"/>
        <n v="736"/>
        <n v="36799"/>
        <n v="723"/>
        <n v="17271"/>
        <n v="26147"/>
        <n v="1415"/>
        <n v="17"/>
        <n v="91"/>
        <n v="2382"/>
        <n v="67"/>
        <n v="1937"/>
        <n v="11917"/>
        <n v="2022"/>
        <n v="14305"/>
        <n v="910"/>
        <n v="2902"/>
        <n v="230"/>
        <n v="424"/>
        <n v="1465"/>
        <n v="11425"/>
        <n v="25848"/>
        <n v="952"/>
        <n v="31"/>
        <n v="144"/>
        <n v="16364"/>
        <n v="8145"/>
        <n v="7633"/>
        <n v="434"/>
        <n v="8015"/>
        <n v="2929"/>
        <n v="165"/>
        <n v="41191"/>
        <n v="2248"/>
        <n v="4743"/>
        <n v="8602"/>
        <n v="5155"/>
        <n v="7045"/>
        <n v="238"/>
        <n v="39652"/>
        <n v="3084"/>
        <n v="4625"/>
        <n v="2778"/>
        <n v="6093"/>
        <n v="3335"/>
        <n v="23239"/>
        <n v="5069"/>
        <n v="677"/>
        <n v="2859"/>
        <n v="2737"/>
        <n v="1266"/>
        <n v="568"/>
        <n v="38191"/>
        <n v="31198"/>
        <n v="10981"/>
        <n v="3236"/>
        <n v="12022"/>
        <n v="4920"/>
        <n v="306"/>
        <n v="9971"/>
        <n v="28492"/>
        <n v="44"/>
        <n v="92"/>
        <n v="1759"/>
        <n v="76"/>
        <n v="585"/>
        <n v="666"/>
        <n v="68"/>
        <n v="3050"/>
        <n v="547"/>
        <n v="1762"/>
        <n v="1895"/>
        <n v="138"/>
        <n v="383"/>
        <n v="5663"/>
        <n v="58"/>
        <n v="181"/>
        <n v="2468"/>
        <n v="884"/>
        <n v="1854"/>
        <n v="19566"/>
        <n v="918"/>
        <n v="4627"/>
        <n v="14913"/>
        <n v="2939"/>
        <n v="779"/>
        <n v="339"/>
        <n v="107"/>
        <n v="62"/>
        <n v="1152"/>
        <n v="480"/>
        <n v="6082"/>
        <n v="34555"/>
        <m/>
      </sharedItems>
    </cacheField>
    <cacheField name="点击量" numFmtId="0">
      <sharedItems containsString="0" containsBlank="1" containsNumber="1" containsInteger="1" minValue="0" maxValue="182" count="52">
        <n v="1"/>
        <n v="0"/>
        <n v="8"/>
        <n v="9"/>
        <n v="6"/>
        <n v="5"/>
        <n v="13"/>
        <n v="3"/>
        <n v="16"/>
        <n v="30"/>
        <n v="37"/>
        <n v="25"/>
        <n v="41"/>
        <n v="28"/>
        <n v="2"/>
        <n v="10"/>
        <n v="17"/>
        <n v="7"/>
        <n v="20"/>
        <n v="182"/>
        <n v="18"/>
        <n v="22"/>
        <n v="4"/>
        <n v="12"/>
        <n v="15"/>
        <n v="26"/>
        <n v="75"/>
        <n v="50"/>
        <n v="59"/>
        <n v="65"/>
        <n v="29"/>
        <n v="14"/>
        <n v="34"/>
        <n v="48"/>
        <n v="23"/>
        <n v="27"/>
        <n v="19"/>
        <n v="74"/>
        <n v="36"/>
        <n v="99"/>
        <n v="11"/>
        <n v="61"/>
        <n v="35"/>
        <n v="87"/>
        <n v="110"/>
        <n v="24"/>
        <n v="33"/>
        <n v="51"/>
        <n v="53"/>
        <n v="38"/>
        <n v="42"/>
        <m/>
      </sharedItems>
    </cacheField>
    <cacheField name="点击率(CTR)" numFmtId="0">
      <sharedItems containsString="0" containsBlank="1" containsNumber="1" minValue="0" maxValue="0.222222222222222" count="237">
        <n v="0.0277777777777778"/>
        <m/>
        <n v="0.0909090909090909"/>
        <n v="0.0303030303030303"/>
        <n v="0.00982800982800983"/>
        <n v="0"/>
        <n v="0.0290322580645161"/>
        <n v="0.00438917337234821"/>
        <n v="0.00728862973760933"/>
        <n v="0.027027027027027"/>
        <n v="0.0189473684210526"/>
        <n v="0.0196078431372549"/>
        <n v="0.0232558139534884"/>
        <n v="0.0131004366812227"/>
        <n v="0.05"/>
        <n v="0.00948991696322657"/>
        <n v="0.0123076923076923"/>
        <n v="0.00771803447388732"/>
        <n v="0.0125628140703518"/>
        <n v="0.00968840010473946"/>
        <n v="0.00769230769230769"/>
        <n v="0.0142509558567953"/>
        <n v="0.00616875963868694"/>
        <n v="0.013986013986014"/>
        <n v="0.037037037037037"/>
        <n v="0.0168539325842697"/>
        <n v="0.0050761421319797"/>
        <n v="0.0157068062827225"/>
        <n v="0.0218340611353712"/>
        <n v="0.0194174757281553"/>
        <n v="0.008859357696567"/>
        <n v="0.0106382978723404"/>
        <n v="0.00695249130938586"/>
        <n v="0.00525920360631104"/>
        <n v="0.00651162790697674"/>
        <n v="0.0125786163522013"/>
        <n v="0.00715421303656598"/>
        <n v="0.00555555555555556"/>
        <n v="0.00504540867810293"/>
        <n v="0.0266272189349112"/>
        <n v="0.0060313630880579"/>
        <n v="0.00759301442672741"/>
        <n v="0.00385723974228552"/>
        <n v="0.000831754539993531"/>
        <n v="0.00547399850709132"/>
        <n v="0.0571428571428571"/>
        <n v="0.00867052023121387"/>
        <n v="0.00848176420695505"/>
        <n v="0.00593471810089021"/>
        <n v="0.000794042534927141"/>
        <n v="0.02"/>
        <n v="0.00641025641025641"/>
        <n v="0.00729018492176387"/>
        <n v="0.00758533501896334"/>
        <n v="0.00396039603960396"/>
        <n v="0.00161759948236817"/>
        <n v="0.0057092665788318"/>
        <n v="0.0204081632653061"/>
        <n v="0.00100610369575424"/>
        <n v="0.00928792569659443"/>
        <n v="0.00579374275782155"/>
        <n v="0.00549893687220471"/>
        <n v="0.00296150049358342"/>
        <n v="0.0163934426229508"/>
        <n v="0.00508905852417303"/>
        <n v="0.00394088669950739"/>
        <n v="0.0039984006397441"/>
        <n v="0.00533005330053301"/>
        <n v="0.00157287111894051"/>
        <n v="0.00102293808623888"/>
        <n v="0.00410677618069815"/>
        <n v="0.00666666666666667"/>
        <n v="0.0125523012552301"/>
        <n v="0.0099626400996264"/>
        <n v="0.0152510558423275"/>
        <n v="0.0117408906882591"/>
        <n v="0.013727560718057"/>
        <n v="0.0228384991843393"/>
        <n v="0.00282663316582915"/>
        <n v="0.0134706814580032"/>
        <n v="0.0010789198108717"/>
        <n v="0.0128205128205128"/>
        <n v="0.016865776528461"/>
        <n v="0.00770925110132159"/>
        <n v="0.00801603206412826"/>
        <n v="0.00350303596450257"/>
        <n v="0.00405679513184584"/>
        <n v="0.00647016534867002"/>
        <n v="0.00242130750605327"/>
        <n v="0.0091324200913242"/>
        <n v="0.00112739571589628"/>
        <n v="0.000347101700798334"/>
        <n v="0.0127388535031847"/>
        <n v="0.00821018062397373"/>
        <n v="0.0115702479338843"/>
        <n v="0.0240585774058577"/>
        <n v="0.0192857142857143"/>
        <n v="0.00693240901213172"/>
        <n v="0.0167029774872912"/>
        <n v="0.0132553606237817"/>
        <n v="0.0191693290734824"/>
        <n v="0.0114122681883024"/>
        <n v="0.0397196261682243"/>
        <n v="0.00797401063201418"/>
        <n v="0.0166051660516605"/>
        <n v="0.0268361581920904"/>
        <n v="0.0105293113261241"/>
        <n v="0.00694176629386811"/>
        <n v="0.00763358778625954"/>
        <n v="0.0079646017699115"/>
        <n v="0.0140845070422535"/>
        <n v="0.0198412698412698"/>
        <n v="0.0151515151515152"/>
        <n v="0.0152091254752852"/>
        <n v="0.00274725274725275"/>
        <n v="0.0022883295194508"/>
        <n v="0.00381194409148666"/>
        <n v="0.0154639175257732"/>
        <n v="0.0143540669856459"/>
        <n v="0.0104166666666667"/>
        <n v="0.00698602794411178"/>
        <n v="0.0102040816326531"/>
        <n v="0.00523560209424084"/>
        <n v="0.00689655172413793"/>
        <n v="0.0108303249097473"/>
        <n v="0.00459242250287026"/>
        <n v="0.00225697243269386"/>
        <n v="0.000276625172890733"/>
        <n v="0.000113308027873775"/>
        <n v="0.00972222222222222"/>
        <n v="0.00224618149146451"/>
        <n v="0.00477707006369427"/>
        <n v="0.00333704115684093"/>
        <n v="0.222222222222222"/>
        <n v="0.00884303610906411"/>
        <n v="0.00303030303030303"/>
        <n v="0.0072463768115942"/>
        <n v="0.00492610837438424"/>
        <n v="0.016260162601626"/>
        <n v="0.000672947510094213"/>
        <n v="0.00339366515837104"/>
        <n v="0.024390243902439"/>
        <n v="0.000232681824225502"/>
        <n v="0.00934579439252336"/>
        <n v="0.000892060660124889"/>
        <n v="0.00257163850110213"/>
        <n v="0.00478796169630643"/>
        <n v="0.000482625482625483"/>
        <n v="0.036697247706422"/>
        <n v="0.00478278198485452"/>
        <n v="0.0141843971631206"/>
        <n v="0.00344234079173838"/>
        <n v="0.0072992700729927"/>
        <n v="0.00824742268041237"/>
        <n v="0.0121703853955375"/>
        <n v="0.00343642611683849"/>
        <n v="0.000936715500768107"/>
        <n v="0.00518134715025907"/>
        <n v="0.000605326876513317"/>
        <n v="0.0099009900990099"/>
        <n v="0.00133155792276964"/>
        <n v="0.00357142857142857"/>
        <n v="0.000543493029701894"/>
        <n v="0.00138312586445367"/>
        <n v="0.000115801053789589"/>
        <n v="0.00378628523348759"/>
        <n v="0.0049469964664311"/>
        <n v="0.0188679245283019"/>
        <n v="0.00461796809403862"/>
        <n v="0.00154878678368611"/>
        <n v="0.00511873793740035"/>
        <n v="0.0019782393669634"/>
        <n v="0.00244669695910521"/>
        <n v="0.00659340659340659"/>
        <n v="0.00413507925568573"/>
        <n v="0.0045045045045045"/>
        <n v="0.00273037542662116"/>
        <n v="0.00761487964989059"/>
        <n v="0.00425564840606623"/>
        <n v="0.00105042016806723"/>
        <n v="0.0208333333333333"/>
        <n v="6.11097531165974e-5"/>
        <n v="0.00331491712707182"/>
        <n v="0.000917070614437312"/>
        <n v="0.00230414746543779"/>
        <n v="0.00149719276356831"/>
        <n v="0.00273130761351997"/>
        <n v="0.000121385739603311"/>
        <n v="0.0106761565836299"/>
        <n v="0.00695762175838077"/>
        <n v="0.00685887003022553"/>
        <n v="0.00989330746847721"/>
        <n v="0.00752306600425834"/>
        <n v="0.00420168067226891"/>
        <n v="0.000655704630283466"/>
        <n v="0.0123216601815824"/>
        <n v="0.00886486486486487"/>
        <n v="0.0046796256299496"/>
        <n v="0.00262596422123749"/>
        <n v="0.00809595202398801"/>
        <n v="0.000774560006884978"/>
        <n v="0.00828565792069442"/>
        <n v="0.0251107828655835"/>
        <n v="0.0101434067855894"/>
        <n v="0.00913408841797589"/>
        <n v="0.0150078988941548"/>
        <n v="0.0105633802816901"/>
        <n v="0.000864077924118248"/>
        <n v="0.00105776011282775"/>
        <n v="0.00254985884709954"/>
        <n v="0.00556242274412855"/>
        <n v="0.00349359507569456"/>
        <n v="0.00182926829268293"/>
        <n v="0.00326797385620915"/>
        <n v="0.0015043626516899"/>
        <n v="0.00129861013617858"/>
        <n v="0.0108695652173913"/>
        <n v="0.00966458214894827"/>
        <n v="0.00170940170940171"/>
        <n v="0.00360655737704918"/>
        <n v="0.00182815356489945"/>
        <n v="0.00227014755959137"/>
        <n v="0.00263852242744063"/>
        <n v="0.010443864229765"/>
        <n v="0.00388486667843899"/>
        <n v="0.00552486187845304"/>
        <n v="0.00324149108589951"/>
        <n v="0.0158371040723982"/>
        <n v="0.00593311758360302"/>
        <n v="0.000919963201471941"/>
        <n v="0.00435729847494553"/>
        <n v="0.000536444712666801"/>
        <n v="0.000340251786321878"/>
        <n v="0.00256739409499358"/>
        <n v="0.000868055555555556"/>
        <n v="0.000328839197632358"/>
        <n v="0.000202575604109391"/>
      </sharedItems>
    </cacheField>
    <cacheField name="每次点击成本(CPC)" numFmtId="0">
      <sharedItems containsString="0" containsBlank="1" containsNumber="1" minValue="0" maxValue="1.29" count="212">
        <n v="0.26"/>
        <m/>
        <n v="0.14"/>
        <n v="0.3"/>
        <n v="0.247777777777778"/>
        <n v="0.376666666666667"/>
        <n v="0.388"/>
        <n v="0.2"/>
        <n v="0.277777777777778"/>
        <n v="0.275384615384615"/>
        <n v="0.133333333333333"/>
        <n v="0.27"/>
        <n v="0.233333333333333"/>
        <n v="0.588125"/>
        <n v="0.40375"/>
        <n v="0.396333333333333"/>
        <n v="0.408"/>
        <n v="0.426486486486487"/>
        <n v="0.438"/>
        <n v="0.381463414634146"/>
        <n v="0.378928571428571"/>
        <n v="0.235"/>
        <n v="0.25"/>
        <n v="0.243333333333333"/>
        <n v="0.28"/>
        <n v="0.266666666666667"/>
        <n v="0.11"/>
        <n v="0.33"/>
        <n v="0.38875"/>
        <n v="0.395294117647059"/>
        <n v="0.503333333333333"/>
        <n v="0.417142857142857"/>
        <n v="0.401428571428571"/>
        <n v="0.385"/>
        <n v="0.484444444444444"/>
        <n v="0.422857142857143"/>
        <n v="0.412"/>
        <n v="0.331111111111111"/>
        <n v="0.352"/>
        <n v="0.3445"/>
        <n v="0.682032967032967"/>
        <n v="0.397222222222222"/>
        <n v="0.362727272727273"/>
        <n v="0.46"/>
        <n v="0.32"/>
        <n v="0.426666666666667"/>
        <n v="0.486"/>
        <n v="0.451666666666667"/>
        <n v="0.465945945945946"/>
        <n v="0.55"/>
        <n v="0.31"/>
        <n v="0.590243902439024"/>
        <n v="0.540833333333333"/>
        <n v="0.535"/>
        <n v="0.514"/>
        <n v="0.52"/>
        <n v="0.34"/>
        <n v="0.359333333333333"/>
        <n v="0.63"/>
        <n v="0.592"/>
        <n v="0.6012"/>
        <n v="0.603333333333333"/>
        <n v="0.44"/>
        <n v="0.675"/>
        <n v="0.37"/>
        <n v="0.370769230769231"/>
        <n v="0.3476"/>
        <n v="0.354915254237288"/>
        <n v="0.5"/>
        <n v="0.669375"/>
        <n v="0.436615384615385"/>
        <n v="0.456206896551724"/>
        <n v="0.421538461538462"/>
        <n v="0.407142857142857"/>
        <n v="0.344444444444444"/>
        <n v="0.312352941176471"/>
        <n v="0.784411764705882"/>
        <n v="0.528636363636364"/>
        <n v="0.480833333333333"/>
        <n v="0.545714285714286"/>
        <n v="0.488125"/>
        <n v="0.45"/>
        <n v="0.466666666666667"/>
        <n v="0.43"/>
        <n v="0.565"/>
        <n v="0.58"/>
        <n v="0.075"/>
        <n v="0.363333333333333"/>
        <n v="0.361"/>
        <n v="0.321428571428571"/>
        <n v="0.383043478260869"/>
        <n v="0.387777777777778"/>
        <n v="0.38"/>
        <n v="0.254782608695652"/>
        <n v="0.282941176470588"/>
        <n v="0.313333333333333"/>
        <n v="0.31625"/>
        <n v="0.42"/>
        <n v="0.414074074074074"/>
        <n v="0.425555555555556"/>
        <n v="0.427368421052632"/>
        <n v="0.346891891891892"/>
        <n v="0.351388888888889"/>
        <n v="0.352222222222222"/>
        <n v="0.19"/>
        <n v="0.176"/>
        <n v="0.23"/>
        <n v="0.1775"/>
        <n v="0.371666666666667"/>
        <n v="0.406666666666667"/>
        <n v="0.3525"/>
        <n v="0.462142857142857"/>
        <n v="0.54"/>
        <n v="0.665714285714286"/>
        <n v="0.425"/>
        <n v="0.47"/>
        <n v="0.36"/>
        <n v="0.296666666666667"/>
        <n v="1"/>
        <n v="0.380277777777778"/>
        <n v="0.35"/>
        <n v="0.39"/>
        <n v="0.3875"/>
        <n v="0.812857142857143"/>
        <n v="0.435714285714286"/>
        <n v="0.437142857142857"/>
        <n v="0.173333333333333"/>
        <n v="0.2125"/>
        <n v="0.293333333333333"/>
        <n v="0.21"/>
        <n v="0.2375"/>
        <n v="0.275"/>
        <n v="0.245"/>
        <n v="0.283636363636364"/>
        <n v="0.2772"/>
        <n v="0.12"/>
        <n v="0.143333333333333"/>
        <n v="0.17"/>
        <n v="0.496666666666667"/>
        <n v="0.965"/>
        <n v="0.622"/>
        <n v="0.6"/>
        <n v="0.545"/>
        <n v="0.545555555555556"/>
        <n v="0.484285714285714"/>
        <n v="0.295454545454545"/>
        <n v="0.326666666666667"/>
        <n v="0.497377049180328"/>
        <n v="0.56"/>
        <n v="0.554857142857143"/>
        <n v="0.328333333333333"/>
        <n v="0.3475"/>
        <n v="0.481609195402299"/>
        <n v="0.504727272727273"/>
        <n v="0.446666666666667"/>
        <n v="0.972962962962963"/>
        <n v="0.84"/>
        <n v="0.8"/>
        <n v="1.0075"/>
        <n v="1.02"/>
        <n v="0.446"/>
        <n v="0.748333333333333"/>
        <n v="0.738181818181818"/>
        <n v="0.694745762711864"/>
        <n v="0.47078431372549"/>
        <n v="0.730377358490566"/>
        <n v="0.7"/>
        <n v="0.937307692307692"/>
        <n v="0.676052631578947"/>
        <n v="0.752682926829268"/>
        <n v="0.606923076923077"/>
        <n v="0.586875"/>
        <n v="0.648888888888889"/>
        <n v="0.891666666666667"/>
        <n v="0.459047619047619"/>
        <n v="0.518823529411765"/>
        <n v="0.449655172413793"/>
        <n v="0.4728"/>
        <n v="0.520526315789474"/>
        <n v="0.443333333333333"/>
        <n v="0.793636363636364"/>
        <n v="0.717272727272727"/>
        <n v="0.801785714285714"/>
        <n v="0.589444444444445"/>
        <n v="0.581666666666667"/>
        <n v="0.557777777777778"/>
        <n v="0.926"/>
        <n v="0.864324324324324"/>
        <n v="0.65"/>
        <n v="0.973529411764706"/>
        <n v="1.1"/>
        <n v="1.17333333333333"/>
        <n v="0.71"/>
        <n v="1.10363636363636"/>
        <n v="1.16"/>
        <n v="1.05"/>
        <n v="1.08"/>
        <n v="0.77"/>
        <n v="0.6475"/>
        <n v="0.756818181818182"/>
        <n v="0.59"/>
        <n v="0.7225"/>
        <n v="0.650714285714286"/>
        <n v="0.751818181818182"/>
        <n v="0.807777777777778"/>
        <n v="1.1525"/>
        <n v="0.98625"/>
        <n v="1.29"/>
        <n v="1.065"/>
        <n v="1.27"/>
        <n v="1.14"/>
        <n v="1.23285714285714"/>
      </sharedItems>
    </cacheField>
    <cacheField name="花费" numFmtId="0">
      <sharedItems containsString="0" containsBlank="1" containsNumber="1" minValue="0" maxValue="124.13" count="216">
        <n v="0.26"/>
        <n v="0"/>
        <n v="0.14"/>
        <n v="2.4"/>
        <n v="2.23"/>
        <n v="2.26"/>
        <n v="1.94"/>
        <n v="0.2"/>
        <n v="2.5"/>
        <n v="3.58"/>
        <n v="0.4"/>
        <n v="0.81"/>
        <n v="1.4"/>
        <n v="9.41"/>
        <n v="3.23"/>
        <n v="11.89"/>
        <n v="2.04"/>
        <n v="15.78"/>
        <n v="10.95"/>
        <n v="15.64"/>
        <n v="10.61"/>
        <n v="0.47"/>
        <n v="0.25"/>
        <n v="1.46"/>
        <n v="0.28"/>
        <n v="1.1"/>
        <n v="0.66"/>
        <n v="3.11"/>
        <n v="6.72"/>
        <n v="3.02"/>
        <n v="2.92"/>
        <n v="2.81"/>
        <n v="0.77"/>
        <n v="4.36"/>
        <n v="2.96"/>
        <n v="2.06"/>
        <n v="2.98"/>
        <n v="1.76"/>
        <n v="6.89"/>
        <n v="124.13"/>
        <n v="7.15"/>
        <n v="7.98"/>
        <n v="1.38"/>
        <n v="1.28"/>
        <n v="4.86"/>
        <n v="2.71"/>
        <n v="17.24"/>
        <n v="0.55"/>
        <n v="0.31"/>
        <n v="24.2"/>
        <n v="6.49"/>
        <n v="2.14"/>
        <n v="7.71"/>
        <n v="13.52"/>
        <n v="0.68"/>
        <n v="5.39"/>
        <n v="3.78"/>
        <n v="45.09"/>
        <n v="3.62"/>
        <n v="4.4"/>
        <n v="2.7"/>
        <n v="3.7"/>
        <n v="4.82"/>
        <n v="17.38"/>
        <n v="20.94"/>
        <n v="1"/>
        <n v="0.78"/>
        <n v="10.71"/>
        <n v="28.38"/>
        <n v="13.23"/>
        <n v="5.48"/>
        <n v="5.7"/>
        <n v="3.1"/>
        <n v="5.31"/>
        <n v="26.67"/>
        <n v="11.63"/>
        <n v="23.08"/>
        <n v="3.82"/>
        <n v="7.81"/>
        <n v="6.75"/>
        <n v="0.9"/>
        <n v="4.2"/>
        <n v="0.43"/>
        <n v="1.13"/>
        <n v="5.8"/>
        <n v="0.15"/>
        <n v="2.18"/>
        <n v="3.61"/>
        <n v="2.25"/>
        <n v="8.81"/>
        <n v="10.47"/>
        <n v="1.52"/>
        <n v="5.86"/>
        <n v="9.62"/>
        <n v="1.88"/>
        <n v="2.53"/>
        <n v="7.14"/>
        <n v="11.18"/>
        <n v="3.83"/>
        <n v="8.12"/>
        <n v="25.67"/>
        <n v="12.65"/>
        <n v="2.31"/>
        <n v="3.17"/>
        <n v="0.19"/>
        <n v="0.88"/>
        <n v="0.46"/>
        <n v="0.71"/>
        <n v="0.37"/>
        <n v="1.14"/>
        <n v="1.22"/>
        <n v="2.94"/>
        <n v="0.45"/>
        <n v="1.98"/>
        <n v="4.23"/>
        <n v="6.47"/>
        <n v="0.32"/>
        <n v="1.08"/>
        <n v="4.66"/>
        <n v="0.85"/>
        <n v="2.35"/>
        <n v="0.89"/>
        <n v="2"/>
        <n v="13.69"/>
        <n v="0.35"/>
        <n v="0.76"/>
        <n v="1.56"/>
        <n v="0.38"/>
        <n v="1.55"/>
        <n v="0.3"/>
        <n v="5.69"/>
        <n v="0.39"/>
        <n v="3.05"/>
        <n v="3.06"/>
        <n v="2.08"/>
        <n v="3.52"/>
        <n v="0.42"/>
        <n v="1.9"/>
        <n v="0.5"/>
        <n v="1.47"/>
        <n v="6.24"/>
        <n v="6.93"/>
        <n v="0.12"/>
        <n v="0.17"/>
        <n v="1.49"/>
        <n v="1.93"/>
        <n v="12.44"/>
        <n v="0.6"/>
        <n v="1.09"/>
        <n v="54.01"/>
        <n v="3.39"/>
        <n v="1.05"/>
        <n v="3.25"/>
        <n v="0.33"/>
        <n v="0.98"/>
        <n v="30.34"/>
        <n v="2.24"/>
        <n v="19.42"/>
        <n v="1.97"/>
        <n v="4.17"/>
        <n v="0.36"/>
        <n v="41.9"/>
        <n v="55.52"/>
        <n v="1.34"/>
        <n v="0.58"/>
        <n v="26.27"/>
        <n v="5.88"/>
        <n v="0.8"/>
        <n v="12.09"/>
        <n v="8.16"/>
        <n v="17.96"/>
        <n v="24.36"/>
        <n v="40.99"/>
        <n v="24.01"/>
        <n v="38.71"/>
        <n v="0.7"/>
        <n v="24.37"/>
        <n v="25.69"/>
        <n v="30.86"/>
        <n v="7.89"/>
        <n v="9.39"/>
        <n v="17.52"/>
        <n v="16.05"/>
        <n v="19.28"/>
        <n v="8.82"/>
        <n v="13.04"/>
        <n v="11.82"/>
        <n v="9.89"/>
        <n v="2.66"/>
        <n v="26.19"/>
        <n v="23.67"/>
        <n v="22.45"/>
        <n v="24.43"/>
        <n v="5.02"/>
        <n v="0.63"/>
        <n v="13.89"/>
        <n v="31.98"/>
        <n v="0.65"/>
        <n v="16.55"/>
        <n v="12.14"/>
        <n v="1.16"/>
        <n v="5.4"/>
        <n v="2.59"/>
        <n v="16.65"/>
        <n v="0.59"/>
        <n v="5.78"/>
        <n v="9.11"/>
        <n v="8.27"/>
        <n v="14.54"/>
        <n v="4.61"/>
        <n v="1.29"/>
        <n v="2.13"/>
        <n v="1.27"/>
        <n v="2.28"/>
        <n v="8.63"/>
        <m/>
      </sharedItems>
    </cacheField>
    <cacheField name="7天总销售额" numFmtId="0">
      <sharedItems containsString="0" containsBlank="1" containsNumber="1" minValue="0" maxValue="684.57" count="67">
        <n v="18.99"/>
        <n v="0"/>
        <n v="12.99"/>
        <n v="25.98"/>
        <n v="55.96"/>
        <n v="70.95"/>
        <n v="73.94"/>
        <n v="23.98"/>
        <n v="684.57"/>
        <n v="27.96"/>
        <n v="27.97"/>
        <n v="6.99"/>
        <n v="159.29"/>
        <n v="62.91"/>
        <n v="20.98"/>
        <n v="7.99"/>
        <n v="13.98"/>
        <n v="12.59"/>
        <n v="17.99"/>
        <n v="171.87"/>
        <n v="21.87"/>
        <n v="41.97"/>
        <n v="37.96"/>
        <n v="123.85"/>
        <n v="87.89"/>
        <n v="15.98"/>
        <n v="218.5"/>
        <n v="150.83"/>
        <n v="80.91"/>
        <n v="50.94"/>
        <n v="48.93"/>
        <n v="51.96"/>
        <n v="34.97"/>
        <n v="24.65"/>
        <n v="10.99"/>
        <n v="108.91"/>
        <n v="25.18"/>
        <n v="24.99"/>
        <n v="75.28"/>
        <n v="50.98"/>
        <n v="21.98"/>
        <n v="13.99"/>
        <n v="63.92"/>
        <n v="85.89"/>
        <n v="13.49"/>
        <n v="44.98"/>
        <n v="209.64"/>
        <n v="123.84"/>
        <n v="8.49"/>
        <n v="300.67"/>
        <n v="55.94"/>
        <n v="251.7"/>
        <n v="436.47"/>
        <n v="29.99"/>
        <n v="31.99"/>
        <n v="119.97"/>
        <n v="135.95"/>
        <n v="49.66"/>
        <n v="68.73"/>
        <n v="34.99"/>
        <n v="234.95"/>
        <n v="66.48"/>
        <n v="92.48"/>
        <n v="69.98"/>
        <n v="84.97"/>
        <n v="119.96"/>
        <m/>
      </sharedItems>
    </cacheField>
    <cacheField name="广告成本销售比(ACOS)" numFmtId="0">
      <sharedItems containsString="0" containsBlank="1" containsNumber="1" minValue="0" maxValue="1.66380543633762" count="115">
        <n v="0.0136914165350184"/>
        <m/>
        <n v="0.0107775211701309"/>
        <n v="0.184757505773672"/>
        <n v="0.149345650500385"/>
        <n v="0.107775211701309"/>
        <n v="0.36220169361047"/>
        <n v="0.248652809853734"/>
        <n v="0.9153194765204"/>
        <n v="0.281987133666905"/>
        <n v="0.154334038054968"/>
        <n v="0.21152285637003"/>
        <n v="0.816782140107775"/>
        <n v="0.100083402835696"/>
        <n v="0.23941493456505"/>
        <n v="0.258660508083141"/>
        <n v="0.216320246343341"/>
        <n v="0.227867590454195"/>
        <n v="0.229407236335643"/>
        <n v="0.287322768974145"/>
        <n v="0.181325503600801"/>
        <n v="0.255722460658083"/>
        <n v="0.173757597425813"/>
        <n v="0.387696709585122"/>
        <n v="0.108230271831251"/>
        <n v="0.384676522015578"/>
        <n v="0.23203432248838"/>
        <n v="0.102001906577693"/>
        <n v="0.964956195244055"/>
        <n v="0.967095851216023"/>
        <n v="0.0540111199364575"/>
        <n v="0.428117553613979"/>
        <n v="0.164535853251807"/>
        <n v="0.262349450165823"/>
        <n v="0.123456790123457"/>
        <n v="0.0881582082439838"/>
        <n v="0.126975763962065"/>
        <n v="0.140331045619701"/>
        <n v="0.238252360905678"/>
        <n v="0.670212765957447"/>
        <n v="0.129885583524027"/>
        <n v="0.236418870621873"/>
        <n v="0.438799076212471"/>
        <n v="0.221434528773978"/>
        <n v="0.176821587217397"/>
        <n v="1.66380543633762"/>
        <n v="0.28525522185144"/>
        <n v="0.0749901845308206"/>
        <n v="0.488735919899875"/>
        <n v="0.137952176578786"/>
        <n v="0.600858369098712"/>
        <n v="0.460683081810961"/>
        <n v="0.167821401077752"/>
        <n v="0.138953040800616"/>
        <n v="0.367389491242702"/>
        <n v="0.436613844870726"/>
        <n v="0.451116243264049"/>
        <n v="0.40116763969975"/>
        <n v="0.144726712856043"/>
        <n v="0.105504587155963"/>
        <n v="0.137413394919169"/>
        <n v="0.319702602230483"/>
        <n v="0.155375253549696"/>
        <n v="0.738853503184713"/>
        <n v="0.235699201175282"/>
        <n v="0.486913010007698"/>
        <n v="0.244033872209392"/>
        <n v="0.0869899923017706"/>
        <n v="0.226327944572748"/>
        <n v="0.256949960285941"/>
        <n v="0.186474589835934"/>
        <n v="0.135168961201502"/>
        <n v="0.111389236545682"/>
        <n v="0.181854410201913"/>
        <n v="0.120092378752887"/>
        <n v="0.111612397018439"/>
        <n v="0.234795996920708"/>
        <n v="0.139217470427661"/>
        <n v="0.251788268955651"/>
        <n v="0.0429184549356223"/>
        <n v="0.0357398141529664"/>
        <n v="0.097622027534418"/>
        <n v="0.0806845965770171"/>
        <n v="0.067238912732475"/>
        <n v="0.0370644922164566"/>
        <n v="0.276567363272566"/>
        <n v="0.257632131272658"/>
        <n v="0.0833995234312947"/>
        <n v="0.0262435400516796"/>
        <n v="0.115429917550059"/>
        <n v="0.10090797219543"/>
        <n v="0.347157668930997"/>
        <n v="0.246558197747184"/>
        <n v="0.29807005003574"/>
        <n v="0.166468017481128"/>
        <n v="0.12720232776594"/>
        <n v="0.272090696898966"/>
        <n v="0.561425445451704"/>
        <n v="0.203050762690673"/>
        <n v="0.301507907318867"/>
        <n v="0.48348771647201"/>
        <n v="0.563218390804598"/>
        <n v="0.696484709917119"/>
        <n v="0.131347095126623"/>
        <n v="0.263087695898633"/>
        <n v="0.141245487364621"/>
        <n v="0.551014575593026"/>
        <n v="0.0953719723183391"/>
        <n v="0.141326093169477"/>
        <n v="0.308226432858656"/>
        <n v="0.947178871548619"/>
        <n v="0.424569827931173"/>
        <n v="0.203651217072357"/>
        <n v="0.396970563018005"/>
        <n v="0.913975421549014"/>
      </sharedItems>
    </cacheField>
    <cacheField name="投入产出比(ROAS)" numFmtId="0">
      <sharedItems containsString="0" containsBlank="1" containsNumber="1" minValue="0" maxValue="92.7857142857143" count="116">
        <n v="73.0384615384615"/>
        <m/>
        <n v="0"/>
        <n v="92.7857142857143"/>
        <n v="5.4125"/>
        <n v="6.69587628865979"/>
        <n v="9.27857142857143"/>
        <n v="2.76089266737513"/>
        <n v="4.02167182662539"/>
        <n v="1.09251471825063"/>
        <n v="3.54626108998732"/>
        <n v="6.47945205479452"/>
        <n v="4.72762148337596"/>
        <n v="1.22431668237512"/>
        <n v="9.99166666666667"/>
        <n v="4.17684887459807"/>
        <n v="3.86607142857143"/>
        <n v="4.62277580071174"/>
        <n v="4.38851351351351"/>
        <n v="4.35906040268456"/>
        <n v="3.48040638606676"/>
        <n v="5.51494401031177"/>
        <n v="3.91048951048951"/>
        <n v="5.75514403292181"/>
        <n v="2.57933579335793"/>
        <n v="9.23955916473318"/>
        <n v="2.5995867768595"/>
        <n v="4.30970724191063"/>
        <n v="9.80373831775701"/>
        <n v="1.03631647211414"/>
        <n v="1.03402366863905"/>
        <n v="18.5147058823529"/>
        <n v="2.33580705009276"/>
        <n v="6.0777027027027"/>
        <n v="3.81170991350632"/>
        <n v="8.1"/>
        <n v="11.3432432432432"/>
        <n v="7.87551867219917"/>
        <n v="7.12600690448792"/>
        <n v="4.19723018147087"/>
        <n v="1.49206349206349"/>
        <n v="7.69908386187456"/>
        <n v="4.22978080120937"/>
        <n v="2.27894736842105"/>
        <n v="4.51600753295669"/>
        <n v="5.65541807274091"/>
        <n v="0.601031814273431"/>
        <n v="3.50563258232236"/>
        <n v="13.3350785340314"/>
        <n v="2.0460947503201"/>
        <n v="7.24888888888889"/>
        <n v="1.66428571428571"/>
        <n v="2.17068965517241"/>
        <n v="5.95871559633027"/>
        <n v="7.19667590027701"/>
        <n v="2.72190692395006"/>
        <n v="2.29035339063992"/>
        <n v="2.21672354948805"/>
        <n v="2.49272349272349"/>
        <n v="6.90957446808511"/>
        <n v="9.47826086956522"/>
        <n v="7.27731092436975"/>
        <n v="3.12790697674419"/>
        <n v="6.43603133159269"/>
        <n v="1.35344827586207"/>
        <n v="4.24269575379821"/>
        <n v="2.05375494071146"/>
        <n v="4.09779179810726"/>
        <n v="11.4955752212389"/>
        <n v="4.41836734693878"/>
        <n v="3.89180834621329"/>
        <n v="5.36266094420601"/>
        <n v="7.39814814814815"/>
        <n v="8.97752808988764"/>
        <n v="5.49890430971512"/>
        <n v="8.32692307692308"/>
        <n v="8.95957820738137"/>
        <n v="4.25901639344262"/>
        <n v="7.18300653594771"/>
        <n v="3.97159090909091"/>
        <n v="23.3"/>
        <n v="27.98"/>
        <n v="10.2435897435897"/>
        <n v="12.3939393939394"/>
        <n v="14.8723404255319"/>
        <n v="26.98"/>
        <n v="3.61575562700965"/>
        <n v="3.88150342529161"/>
        <n v="11.9904761904762"/>
        <n v="38.1046153846154"/>
        <n v="8.66326530612245"/>
        <n v="9.91001977587343"/>
        <n v="2.88053553038105"/>
        <n v="4.05583756345178"/>
        <n v="3.35491606714628"/>
        <n v="6.00715990453461"/>
        <n v="7.86149135446686"/>
        <n v="3.67524509803922"/>
        <n v="1.78118040089087"/>
        <n v="4.92487684729064"/>
        <n v="3.3166626006343"/>
        <n v="2.0683048729696"/>
        <n v="1.77551020408163"/>
        <n v="1.43578169881001"/>
        <n v="7.61341542449773"/>
        <n v="3.80101394169835"/>
        <n v="7.07987220447284"/>
        <n v="1.81483402489627"/>
        <n v="10.4852607709751"/>
        <n v="7.07583417593529"/>
        <n v="3.24436807941963"/>
        <n v="1.05576679340938"/>
        <n v="2.35532516493874"/>
        <n v="4.91035611952517"/>
        <n v="2.5190784737221"/>
        <n v="1.09412132582864"/>
      </sharedItems>
    </cacheField>
    <cacheField name="7天总订单数(#)" numFmtId="0">
      <sharedItems containsString="0" containsBlank="1" containsNumber="1" containsInteger="1" minValue="0" maxValue="54" count="20">
        <n v="1"/>
        <n v="0"/>
        <n v="2"/>
        <n v="4"/>
        <n v="5"/>
        <n v="6"/>
        <n v="54"/>
        <n v="3"/>
        <n v="10"/>
        <n v="12"/>
        <n v="13"/>
        <n v="15"/>
        <n v="11"/>
        <n v="8"/>
        <n v="7"/>
        <n v="9"/>
        <n v="16"/>
        <n v="22"/>
        <n v="30"/>
        <m/>
      </sharedItems>
    </cacheField>
    <cacheField name="7天总销售量(#)" numFmtId="0">
      <sharedItems containsString="0" containsBlank="1" containsNumber="1" containsInteger="1" minValue="0" maxValue="93" count="21">
        <n v="1"/>
        <n v="0"/>
        <n v="2"/>
        <n v="4"/>
        <n v="5"/>
        <n v="6"/>
        <n v="93"/>
        <n v="3"/>
        <n v="21"/>
        <n v="9"/>
        <n v="13"/>
        <n v="15"/>
        <n v="11"/>
        <n v="17"/>
        <n v="7"/>
        <n v="8"/>
        <n v="16"/>
        <n v="33"/>
        <n v="30"/>
        <n v="53"/>
        <m/>
      </sharedItems>
    </cacheField>
    <cacheField name="7天的转化率" numFmtId="0">
      <sharedItems containsString="0" containsBlank="1" containsNumber="1" minValue="0" maxValue="1" count="62">
        <n v="1"/>
        <m/>
        <n v="0"/>
        <n v="0.125"/>
        <n v="0.2"/>
        <n v="0.166666666666667"/>
        <n v="0.0333333333333333"/>
        <n v="0.108108108108108"/>
        <n v="0.146341463414634"/>
        <n v="0.0357142857142857"/>
        <n v="0.222222222222222"/>
        <n v="0.117647058823529"/>
        <n v="0.142857142857143"/>
        <n v="0.111111111111111"/>
        <n v="0.1"/>
        <n v="0.296703296703297"/>
        <n v="0.3"/>
        <n v="0.27027027027027"/>
        <n v="0.0975609756097561"/>
        <n v="0.5"/>
        <n v="0.0666666666666667"/>
        <n v="0.0769230769230769"/>
        <n v="0.16"/>
        <n v="0.307692307692308"/>
        <n v="0.26"/>
        <n v="0.169491525423729"/>
        <n v="0.230769230769231"/>
        <n v="0.137931034482759"/>
        <n v="0.0714285714285714"/>
        <n v="0.323529411764706"/>
        <n v="0.0454545454545455"/>
        <n v="0.285714285714286"/>
        <n v="0.466666666666667"/>
        <n v="0.0869565217391304"/>
        <n v="0.0740740740740741"/>
        <n v="0.0434782608695652"/>
        <n v="0.0588235294117647"/>
        <n v="0.25"/>
        <n v="0.235294117647059"/>
        <n v="0.0526315789473684"/>
        <n v="0.121621621621622"/>
        <n v="0.0555555555555556"/>
        <n v="0.333333333333333"/>
        <n v="0.0833333333333333"/>
        <n v="0.181818181818182"/>
        <n v="0.32"/>
        <n v="0.161616161616162"/>
        <n v="0.363636363636364"/>
        <n v="0.245901639344262"/>
        <n v="0.114285714285714"/>
        <n v="0.252873563218391"/>
        <n v="0.272727272727273"/>
        <n v="0.0416666666666667"/>
        <n v="0.0303030303030303"/>
        <n v="0.0677966101694915"/>
        <n v="0.0196078431372549"/>
        <n v="0.0377358490566038"/>
        <n v="0.0384615384615385"/>
        <n v="0.0238095238095238"/>
        <n v="0.0606060606060606"/>
        <n v="0.0952380952380952"/>
        <n v="0.027027027027027"/>
      </sharedItems>
    </cacheField>
    <cacheField name="7天内广告SKU销售量(#)" numFmtId="0">
      <sharedItems containsString="0" containsBlank="1" containsNumber="1" containsInteger="1" minValue="0" maxValue="78" count="17">
        <n v="0"/>
        <n v="1"/>
        <n v="5"/>
        <n v="3"/>
        <n v="2"/>
        <n v="78"/>
        <n v="4"/>
        <n v="9"/>
        <n v="10"/>
        <n v="12"/>
        <n v="8"/>
        <n v="7"/>
        <n v="14"/>
        <n v="16"/>
        <n v="27"/>
        <n v="46"/>
        <m/>
      </sharedItems>
    </cacheField>
    <cacheField name="7天内其他SKU销售量(#)" numFmtId="0">
      <sharedItems containsString="0" containsBlank="1" containsNumber="1" containsInteger="1" minValue="0" maxValue="17" count="12">
        <n v="1"/>
        <n v="0"/>
        <n v="4"/>
        <n v="3"/>
        <n v="2"/>
        <n v="15"/>
        <n v="12"/>
        <n v="10"/>
        <n v="5"/>
        <n v="17"/>
        <n v="7"/>
        <m/>
      </sharedItems>
    </cacheField>
    <cacheField name="7天内广告SKU销售额" numFmtId="0">
      <sharedItems containsString="0" containsBlank="1" containsNumber="1" minValue="0" maxValue="545.22" count="48">
        <n v="0"/>
        <n v="12.99"/>
        <n v="70.95"/>
        <n v="38.97"/>
        <n v="23.98"/>
        <n v="545.22"/>
        <n v="27.96"/>
        <n v="6.99"/>
        <n v="62.91"/>
        <n v="10.99"/>
        <n v="13.99"/>
        <n v="13.98"/>
        <n v="12.59"/>
        <n v="17.99"/>
        <n v="125.9"/>
        <n v="13.88"/>
        <n v="41.97"/>
        <n v="95.88"/>
        <n v="63.92"/>
        <n v="15.98"/>
        <n v="86.93"/>
        <n v="18.99"/>
        <n v="50.95"/>
        <n v="55.93"/>
        <n v="48.93"/>
        <n v="62.95"/>
        <n v="25.18"/>
        <n v="24.99"/>
        <n v="7.99"/>
        <n v="62.29"/>
        <n v="50.98"/>
        <n v="13.49"/>
        <n v="20.99"/>
        <n v="181.66"/>
        <n v="8.49"/>
        <n v="111.84"/>
        <n v="215.73"/>
        <n v="367.54"/>
        <n v="31.99"/>
        <n v="119.97"/>
        <n v="95.96"/>
        <n v="49.66"/>
        <n v="34.99"/>
        <n v="49.99"/>
        <n v="29.99"/>
        <n v="69.98"/>
        <n v="59.98"/>
        <m/>
      </sharedItems>
    </cacheField>
    <cacheField name="7天内其他SKU销售额" numFmtId="0">
      <sharedItems containsString="0" containsBlank="1" containsNumber="1" minValue="0" maxValue="188.83" count="46">
        <n v="18.99"/>
        <n v="0"/>
        <n v="12.99"/>
        <n v="55.96"/>
        <n v="34.97"/>
        <n v="25.98"/>
        <n v="10.99"/>
        <n v="139.35"/>
        <n v="27.97"/>
        <n v="96.38"/>
        <n v="16.98"/>
        <n v="6.99"/>
        <n v="7.99"/>
        <n v="12.59"/>
        <n v="45.97"/>
        <n v="37.96"/>
        <n v="23.97"/>
        <n v="131.57"/>
        <n v="36.97"/>
        <n v="99.88"/>
        <n v="24.98"/>
        <n v="39.95"/>
        <n v="15.98"/>
        <n v="23.98"/>
        <n v="38.97"/>
        <n v="24.65"/>
        <n v="45.96"/>
        <n v="21.98"/>
        <n v="13.99"/>
        <n v="21.97"/>
        <n v="23.99"/>
        <n v="27.98"/>
        <n v="95.88"/>
        <n v="188.83"/>
        <n v="35.97"/>
        <n v="68.93"/>
        <n v="29.99"/>
        <n v="39.99"/>
        <n v="33.74"/>
        <n v="34.99"/>
        <n v="184.96"/>
        <n v="66.48"/>
        <n v="92.48"/>
        <n v="24.99"/>
        <n v="94.97"/>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57.xml><?xml version="1.0" encoding="utf-8"?>
<pivotCacheDefinition xmlns="http://schemas.openxmlformats.org/spreadsheetml/2006/main" xmlns:r="http://schemas.openxmlformats.org/officeDocument/2006/relationships" r:id="rId1" createdVersion="5" refreshedVersion="5" minRefreshableVersion="3" refreshedDate="45219.6199537037" refreshedBy="Administrator" recordCount="317">
  <cacheSource type="worksheet">
    <worksheetSource ref="G1:W1048576" sheet="广告9.19-10.18" r:id="rId2"/>
  </cacheSource>
  <cacheFields count="19">
    <cacheField name="广告SKU" numFmtId="0">
      <sharedItems containsBlank="1" count="107">
        <s v="Y92611-DB+Y92614+Y92635"/>
        <s v="Y93694-BL+Y93712+Y93744"/>
        <s v="Y93694-OR+Y93712+Y93744"/>
        <s v="Y93694-BU+Y93712+Y93744"/>
        <s v="Y9025-OR+Y9026+Y9027"/>
        <s v="Y93475-DB+Y92615+Y93478"/>
        <s v="Y93405-DB+Y93406+Y93397"/>
        <s v="Y9002-DB+Y9005"/>
        <s v="Y9002-BU+Y9005"/>
        <s v="Y9002-BL+Y9005"/>
        <s v="Y9029-DB+Y9030+Y9031"/>
        <s v="Y9003-BU+Y9006+Y9008"/>
        <s v="Y9003-DB+Y9006+Y9008"/>
        <s v="Y93106-OR+Y93109+Y93112"/>
        <s v="Y93106-BL+Y93109+Y93112"/>
        <s v="Y93230-OR+Y903231+Y93240"/>
        <s v="Y93230-DB+Y903231+Y93240"/>
        <s v="Y93106-DB+Y93109+Y93112"/>
        <s v="Y93230-BL+Y903231+Y93240"/>
        <s v="Y93758-DB+Y93759+Y93761"/>
        <s v="Y93758-BU+Y93759+Y93761"/>
        <s v="Y93756-BL+Y93757+Y93760"/>
        <s v="Y93475-GR+Y92615+Y93478"/>
        <s v="Y9029-OR+Y9030+Y9031"/>
        <s v="Y9001-BU"/>
        <s v="Y9001-PI"/>
        <s v="Y9001-PU"/>
        <s v="Y9001-WH"/>
        <s v="Y9001-GR"/>
        <s v="Y9002-BU"/>
        <s v="Y9002-BL"/>
        <s v="Y9003-1"/>
        <s v="Y9005-BL"/>
        <s v="Y9005-WH"/>
        <s v="Y9005-PI"/>
        <s v="Y9005-BU"/>
        <s v="Y93040-BL+Y93045+Y93043"/>
        <s v="Y93040-DB+Y93045+Y93043"/>
        <s v="Y93134-OR+Y93137+Y93268"/>
        <s v="Y93134-DB+Y93137+Y93268"/>
        <s v="Y93821-BU+Y93822+Y93823"/>
        <s v="Y93821-DB+Y93822+Y93823"/>
        <s v="Y93821-BL+Y93822+Y93823"/>
        <s v="Y92610-OR+Y92613+Y92634"/>
        <s v="Y92000-BL+Y92013+Y92749"/>
        <s v="Y92000-OR+Y92013+Y92749"/>
        <s v="Y92000-DB+Y92013+Y92749"/>
        <s v="Y9007-12PC"/>
        <s v="Y93452-DB-ZH"/>
        <s v="Y93452-OR-ZH"/>
        <s v="Y92563-BL+Y92564+Y92571"/>
        <s v="Y92563-OR+Y92564+Y92571"/>
        <s v="Y9009-DB-ZH"/>
        <s v="Y9009-OR-ZH"/>
        <s v="Y9009-BL-ZH"/>
        <s v="Y9009-BU-ZH"/>
        <s v="Y92431-OR+Y92433+Y92531"/>
        <s v="Y93133-BL+Y93136+Y93267"/>
        <s v="Y93133-DB+Y93136+Y93267"/>
        <s v="Y93133-OR+Y93136+Y93267"/>
        <s v="Y93153-OR+Y93155+Y93169"/>
        <s v="Y93153-BL+Y93155+Y93169"/>
        <s v="Y92559-OR+Y92560+Y92399"/>
        <s v="Y92559-BL+Y92560+Y92399"/>
        <s v="Y93135-DB+Y93138+Y93269"/>
        <s v="Y93135-OR+Y93138+Y93269"/>
        <s v="Y93135-BL+Y93138+Y93269-1"/>
        <s v="Y93153-DB+Y93155+Y93169"/>
        <s v="Y9007-6PC"/>
        <s v="Y93040-OR+Y93045+Y93043"/>
        <s v="Y93405-BL+Y93406+Y93397"/>
        <s v="Y9008"/>
        <s v="Y93134-BL+Y93137+Y93268"/>
        <s v="Y92610-DB+Y92613+Y92634"/>
        <s v="Y9007-30PC"/>
        <s v="Y9007-24PC"/>
        <s v="Y9021"/>
        <s v="Y9022"/>
        <s v="Y9018-GA"/>
        <s v="Y9018-GN"/>
        <s v="Y9010-PI"/>
        <s v="Y9010-WH"/>
        <s v="Y9020-GA"/>
        <s v="Y9020-GN"/>
        <s v="Y9009-WH"/>
        <s v="Y9009-KH"/>
        <s v="Y9019-GA"/>
        <s v="Y9019-GN"/>
        <s v="Y9009-PI"/>
        <s v="Y9010-KH"/>
        <s v="Y9026-6-GA"/>
        <s v="Y9026-6-BL"/>
        <s v="Y9023-WH-25"/>
        <s v="Y9023-WH-20"/>
        <s v="Y9023-WH-15"/>
        <s v="Y9023-BR-25"/>
        <s v="Y9023-BR-20"/>
        <s v="Y9023-BR-15"/>
        <s v="Y9024-50-3"/>
        <s v="Y9024-50-4"/>
        <s v="Y9016-GN"/>
        <s v="Y9016-BR"/>
        <s v="Y9015-BR"/>
        <s v="Y9015-GN"/>
        <s v="Y9014-GN"/>
        <s v="Y9014-BR"/>
        <m/>
      </sharedItems>
    </cacheField>
    <cacheField name="广告ASIN" numFmtId="0">
      <sharedItems containsBlank="1" count="107">
        <s v="B0B5SWTHW5"/>
        <s v="B0B5N2J21Z"/>
        <s v="B0B5N1JWMD"/>
        <s v="B0B5N198G3"/>
        <s v="B0B5N285BD"/>
        <s v="B0B5QJGPS2"/>
        <s v="B0B5SX52BD"/>
        <s v="B0B6VLWLHF"/>
        <s v="B0B6VJJMWD"/>
        <s v="B0B7JD6S8B"/>
        <s v="B0B7JH9QBS"/>
        <s v="B0B7JCJGP5"/>
        <s v="B0B7JCHTKH"/>
        <s v="B0B7HXB967"/>
        <s v="B0B7HZ9RN6"/>
        <s v="B0B7HYLDSL"/>
        <s v="B0B632PTY2"/>
        <s v="B0B6333ZLX"/>
        <s v="B0B7HX1QK8"/>
        <s v="B0B5N3K7LB"/>
        <s v="B0B5N3SD8W"/>
        <s v="B0B5N5NMJN"/>
        <s v="B0B5QKGJH4"/>
        <s v="B0B7JFWQ4F"/>
        <s v="B0BVMG2B48"/>
        <s v="B0BVPN4L87"/>
        <s v="B0BVMH4Q7J"/>
        <s v="B0BVNW9PY5"/>
        <s v="B0BVMG33FS"/>
        <s v="B0BX1X4VP8"/>
        <s v="B0BX252DLT"/>
        <s v="B0BYCMVK7Q"/>
        <s v="B0BZ3ZMR15"/>
        <s v="B0BZ3ZZQXL"/>
        <s v="B0BZ3YPHM9"/>
        <s v="B0BZ439ZHM"/>
        <s v="B0B634WWTT"/>
        <s v="B0B7HVPQ58"/>
        <s v="B0B7J2NR5N"/>
        <s v="B0B635ZHTN"/>
        <s v="B0B5RBDZC5"/>
        <s v="B0B5R772YP"/>
        <s v="B0B5R72V14"/>
        <s v="B0B5X7P8NJ"/>
        <s v="B0B5ZPQ3NS"/>
        <s v="B0B5ZPTCX3"/>
        <s v="B0B5ZQ6S7L"/>
        <s v="B0C6DXQT1M"/>
        <s v="B0C61JT74Y"/>
        <s v="B0C61LCZK7"/>
        <s v="B0B5Z3XH4G"/>
        <s v="B0B5Z3R5GW"/>
        <s v="B0C5T89X9T"/>
        <s v="B0C5T6TTX2"/>
        <s v="B0C5T553YJ"/>
        <s v="B0C5T6KTZ4"/>
        <s v="B0B6FGM7TC"/>
        <s v="B0B5WZFSNQ"/>
        <s v="B0B5WZ389D"/>
        <s v="B0B5WZ6S9R"/>
        <s v="B0B5WX6ZCM"/>
        <s v="B0B5X12SMJ"/>
        <s v="B0B5Z3Y2QF"/>
        <s v="B0B5Z3G5DN"/>
        <s v="B0C61FL9NS"/>
        <s v="B0C61F8MY3"/>
        <s v="B0C61HN4GR"/>
        <s v="B0B5WY83MR"/>
        <s v="B0C6DWXLZV"/>
        <s v="B0B7J16F66"/>
        <s v="B0B5SW89MJ"/>
        <s v="B0C7VSGBVP"/>
        <s v="B0B7J2W7P2"/>
        <s v="B0B5X8CBNR"/>
        <s v="B0C6DYVTHK"/>
        <s v="B0C6DZMTCP"/>
        <s v="B0CF8P8B1X"/>
        <s v="B0CF8LKWD2"/>
        <s v="B0CF8LLWRT"/>
        <s v="B0CF8MMRMK"/>
        <s v="B0CF8FKZ5B"/>
        <s v="B0CF8GVH1N"/>
        <s v="B0CF8LG9SX"/>
        <s v="B0CF8M7LYZ"/>
        <s v="B0CF8G54C5"/>
        <s v="B0CF8DYKBR"/>
        <s v="B0CF8N1G5P"/>
        <s v="B0CF8KNMGM"/>
        <s v="B0CF8FYGLG"/>
        <s v="B0CF8GDQ5Q"/>
        <s v="B0CFQX1KZM"/>
        <s v="B0CFQSZ24S"/>
        <s v="B0CF95GGTG"/>
        <s v="B0CF92LX2V"/>
        <s v="B0CF8ZKP7F"/>
        <s v="B0CF916G6C"/>
        <s v="B0CF92B4V2"/>
        <s v="B0CF91FMHJ"/>
        <s v="B0CF95D2MT"/>
        <s v="B0CF919VQ2"/>
        <s v="B0CFD62MVH"/>
        <s v="B0CFD43WK7"/>
        <s v="B0CFDCLFZX"/>
        <s v="B0CFD319K2"/>
        <s v="B0CFDBVT85"/>
        <s v="B0CFDKZ368"/>
        <m/>
      </sharedItems>
    </cacheField>
    <cacheField name="展示量" numFmtId="0">
      <sharedItems containsString="0" containsBlank="1" containsNumber="1" containsInteger="1" minValue="0" maxValue="74941" count="296">
        <n v="120"/>
        <n v="0"/>
        <n v="21"/>
        <n v="68"/>
        <n v="1387"/>
        <n v="69"/>
        <n v="579"/>
        <n v="732"/>
        <n v="2933"/>
        <n v="1409"/>
        <n v="18"/>
        <n v="72"/>
        <n v="952"/>
        <n v="1318"/>
        <n v="291"/>
        <n v="20"/>
        <n v="479"/>
        <n v="271"/>
        <n v="8"/>
        <n v="3729"/>
        <n v="4093"/>
        <n v="5911"/>
        <n v="1345"/>
        <n v="7366"/>
        <n v="6158"/>
        <n v="6699"/>
        <n v="7135"/>
        <n v="3"/>
        <n v="6"/>
        <n v="13"/>
        <n v="186"/>
        <n v="46"/>
        <n v="529"/>
        <n v="288"/>
        <n v="923"/>
        <n v="938"/>
        <n v="201"/>
        <n v="1876"/>
        <n v="2764"/>
        <n v="2372"/>
        <n v="2555"/>
        <n v="1842"/>
        <n v="252"/>
        <n v="2155"/>
        <n v="2423"/>
        <n v="1906"/>
        <n v="669"/>
        <n v="1858"/>
        <n v="5717"/>
        <n v="74941"/>
        <n v="723"/>
        <n v="21793"/>
        <n v="7511"/>
        <n v="273"/>
        <n v="158"/>
        <n v="951"/>
        <n v="2504"/>
        <n v="1538"/>
        <n v="47145"/>
        <n v="62"/>
        <n v="49"/>
        <n v="216"/>
        <n v="5740"/>
        <n v="3119"/>
        <n v="1"/>
        <n v="2212"/>
        <n v="11455"/>
        <n v="4891"/>
        <n v="237"/>
        <n v="23401"/>
        <n v="1183"/>
        <n v="1335"/>
        <n v="16616"/>
        <n v="4488"/>
        <n v="191"/>
        <n v="2612"/>
        <n v="2110"/>
        <n v="4117"/>
        <n v="3068"/>
        <n v="49858"/>
        <n v="58176"/>
        <n v="947"/>
        <n v="627"/>
        <n v="556"/>
        <n v="2078"/>
        <n v="8982"/>
        <n v="4611"/>
        <n v="1766"/>
        <n v="1367"/>
        <n v="4921"/>
        <n v="2327"/>
        <n v="467"/>
        <n v="48312"/>
        <n v="1716"/>
        <n v="5085"/>
        <n v="1193"/>
        <n v="2791"/>
        <n v="4384"/>
        <n v="635"/>
        <n v="3335"/>
        <n v="886"/>
        <n v="450"/>
        <n v="12777"/>
        <n v="9639"/>
        <n v="19"/>
        <n v="99"/>
        <n v="1049"/>
        <n v="2348"/>
        <n v="1204"/>
        <n v="1838"/>
        <n v="2461"/>
        <n v="1238"/>
        <n v="351"/>
        <n v="2906"/>
        <n v="3567"/>
        <n v="731"/>
        <n v="1845"/>
        <n v="859"/>
        <n v="5581"/>
        <n v="1221"/>
        <n v="1155"/>
        <n v="728"/>
        <n v="10562"/>
        <n v="11304"/>
        <n v="1499"/>
        <n v="532"/>
        <n v="2335"/>
        <n v="253"/>
        <n v="683"/>
        <n v="1426"/>
        <n v="455"/>
        <n v="739"/>
        <n v="629"/>
        <n v="684"/>
        <n v="239"/>
        <n v="188"/>
        <n v="142"/>
        <n v="159"/>
        <n v="1287"/>
        <n v="437"/>
        <n v="903"/>
        <n v="503"/>
        <n v="417"/>
        <n v="1877"/>
        <n v="162"/>
        <n v="1030"/>
        <n v="581"/>
        <n v="1055"/>
        <n v="360"/>
        <n v="4048"/>
        <n v="220"/>
        <n v="9356"/>
        <n v="90"/>
        <n v="5125"/>
        <n v="19511"/>
        <n v="1288"/>
        <n v="187"/>
        <n v="4057"/>
        <n v="146"/>
        <n v="1170"/>
        <n v="7762"/>
        <n v="990"/>
        <n v="633"/>
        <n v="371"/>
        <n v="853"/>
        <n v="497"/>
        <n v="2429"/>
        <n v="2756"/>
        <n v="105"/>
        <n v="58052"/>
        <n v="885"/>
        <n v="1886"/>
        <n v="489"/>
        <n v="4323"/>
        <n v="2693"/>
        <n v="37618"/>
        <n v="228"/>
        <n v="2582"/>
        <n v="238"/>
        <n v="310"/>
        <n v="4959"/>
        <n v="330"/>
        <n v="729"/>
        <n v="656"/>
        <n v="9931"/>
        <n v="26803"/>
        <n v="373"/>
        <n v="10355"/>
        <n v="547"/>
        <n v="199"/>
        <n v="301"/>
        <n v="3143"/>
        <n v="93"/>
        <n v="1833"/>
        <n v="2088"/>
        <n v="59744"/>
        <n v="1524"/>
        <n v="21268"/>
        <n v="31442"/>
        <n v="1817"/>
        <n v="50"/>
        <n v="198"/>
        <n v="117"/>
        <n v="2404"/>
        <n v="80"/>
        <n v="113"/>
        <n v="2893"/>
        <n v="12102"/>
        <n v="3147"/>
        <n v="16008"/>
        <n v="1110"/>
        <n v="5399"/>
        <n v="514"/>
        <n v="622"/>
        <n v="1095"/>
        <n v="243"/>
        <n v="1465"/>
        <n v="24555"/>
        <n v="28080"/>
        <n v="1115"/>
        <n v="37"/>
        <n v="56"/>
        <n v="426"/>
        <n v="18842"/>
        <n v="25161"/>
        <n v="31265"/>
        <n v="472"/>
        <n v="9765"/>
        <n v="68442"/>
        <n v="1710"/>
        <n v="44172"/>
        <n v="258"/>
        <n v="51282"/>
        <n v="110"/>
        <n v="6395"/>
        <n v="16521"/>
        <n v="1520"/>
        <n v="332"/>
        <n v="9714"/>
        <n v="15146"/>
        <n v="24363"/>
        <n v="1954"/>
        <n v="56831"/>
        <n v="6828"/>
        <n v="4"/>
        <n v="11867"/>
        <n v="9175"/>
        <n v="16705"/>
        <n v="23239"/>
        <n v="5069"/>
        <n v="677"/>
        <n v="2859"/>
        <n v="2737"/>
        <n v="1266"/>
        <n v="568"/>
        <n v="38191"/>
        <n v="31198"/>
        <n v="10981"/>
        <n v="3236"/>
        <n v="12022"/>
        <n v="4920"/>
        <n v="306"/>
        <n v="9971"/>
        <n v="28492"/>
        <n v="44"/>
        <n v="92"/>
        <n v="1759"/>
        <n v="76"/>
        <n v="585"/>
        <n v="666"/>
        <n v="66"/>
        <n v="3050"/>
        <n v="1762"/>
        <n v="1895"/>
        <n v="138"/>
        <n v="383"/>
        <n v="5663"/>
        <n v="58"/>
        <n v="181"/>
        <n v="2468"/>
        <n v="884"/>
        <n v="1854"/>
        <n v="19566"/>
        <n v="180"/>
        <n v="918"/>
        <n v="4627"/>
        <n v="14913"/>
        <n v="2939"/>
        <n v="779"/>
        <n v="339"/>
        <n v="107"/>
        <n v="1152"/>
        <n v="480"/>
        <n v="6082"/>
        <n v="34555"/>
        <m/>
      </sharedItems>
    </cacheField>
    <cacheField name="点击量" numFmtId="0">
      <sharedItems containsString="0" containsBlank="1" containsNumber="1" containsInteger="1" minValue="0" maxValue="230" count="67">
        <n v="4"/>
        <n v="0"/>
        <n v="1"/>
        <n v="2"/>
        <n v="13"/>
        <n v="3"/>
        <n v="27"/>
        <n v="12"/>
        <n v="15"/>
        <n v="17"/>
        <n v="7"/>
        <n v="5"/>
        <n v="8"/>
        <n v="28"/>
        <n v="35"/>
        <n v="57"/>
        <n v="16"/>
        <n v="78"/>
        <n v="50"/>
        <n v="68"/>
        <n v="61"/>
        <n v="10"/>
        <n v="22"/>
        <n v="14"/>
        <n v="25"/>
        <n v="11"/>
        <n v="41"/>
        <n v="230"/>
        <n v="19"/>
        <n v="49"/>
        <n v="9"/>
        <n v="20"/>
        <n v="39"/>
        <n v="42"/>
        <n v="26"/>
        <n v="21"/>
        <n v="29"/>
        <n v="95"/>
        <n v="18"/>
        <n v="24"/>
        <n v="123"/>
        <n v="64"/>
        <n v="48"/>
        <n v="23"/>
        <n v="31"/>
        <n v="58"/>
        <n v="65"/>
        <n v="6"/>
        <n v="43"/>
        <n v="46"/>
        <n v="53"/>
        <n v="32"/>
        <n v="105"/>
        <n v="97"/>
        <n v="79"/>
        <n v="37"/>
        <n v="115"/>
        <n v="176"/>
        <n v="36"/>
        <n v="84"/>
        <n v="70"/>
        <n v="96"/>
        <n v="125"/>
        <n v="88"/>
        <n v="99"/>
        <n v="33"/>
        <m/>
      </sharedItems>
    </cacheField>
    <cacheField name="点击率(CTR)" numFmtId="0">
      <sharedItems containsString="0" containsBlank="1" containsNumber="1" minValue="0" maxValue="0.111111111111111" count="272">
        <n v="0.0333333333333333"/>
        <m/>
        <n v="0.0476190476190476"/>
        <n v="0.0294117647058823"/>
        <n v="0.00937274693583273"/>
        <n v="0"/>
        <n v="0.00518134715025907"/>
        <n v="0.0368852459016393"/>
        <n v="0.00409137401977497"/>
        <n v="0.0106458481192335"/>
        <n v="0.0138888888888889"/>
        <n v="0.0126050420168067"/>
        <n v="0.0128983308042489"/>
        <n v="0.0240549828178694"/>
        <n v="0.0104384133611691"/>
        <n v="0.029520295202952"/>
        <n v="0.00750871547331724"/>
        <n v="0.00855118494991449"/>
        <n v="0.0096430384029775"/>
        <n v="0.0118959107806691"/>
        <n v="0.0105891935921803"/>
        <n v="0.00811951932445599"/>
        <n v="0.0101507687714584"/>
        <n v="0.00854940434477926"/>
        <n v="0.021505376344086"/>
        <n v="0.0217391304347826"/>
        <n v="0.0189035916824197"/>
        <n v="0.0104166666666667"/>
        <n v="0.0184182015167931"/>
        <n v="0.023454157782516"/>
        <n v="0.0199004975124378"/>
        <n v="0.00746268656716418"/>
        <n v="0.00904486251808972"/>
        <n v="0.00632377740303541"/>
        <n v="0.00587084148727984"/>
        <n v="0.00542888165038002"/>
        <n v="0.00793650793650794"/>
        <n v="0.00788863109048724"/>
        <n v="0.00577796120511762"/>
        <n v="0.00419727177334732"/>
        <n v="0.0164424514200299"/>
        <n v="0.00376749192680301"/>
        <n v="0.00717159349309078"/>
        <n v="0.00306908101039484"/>
        <n v="0.00138312586445367"/>
        <n v="0.000871839581517001"/>
        <n v="0.0065237651444548"/>
        <n v="0.0146520146520147"/>
        <n v="0.0253164556962025"/>
        <n v="0.00946372239747634"/>
        <n v="0.00798722044728434"/>
        <n v="0.00715214564369311"/>
        <n v="0.000827235125676106"/>
        <n v="0.0161290322580645"/>
        <n v="0.0204081632653061"/>
        <n v="0.00462962962962963"/>
        <n v="0.00731707317073171"/>
        <n v="0.00833600512984931"/>
        <n v="0.00497287522603978"/>
        <n v="0.00183326058489742"/>
        <n v="0.00592925782048661"/>
        <n v="0.0168776371308017"/>
        <n v="0.0010683304132302"/>
        <n v="0.00929839391377853"/>
        <n v="0.00599250936329588"/>
        <n v="0.00571738083774675"/>
        <n v="0.00401069518716578"/>
        <n v="0.00523560209424084"/>
        <n v="0.00421133231240429"/>
        <n v="0.0023696682464455"/>
        <n v="0.00582948749089143"/>
        <n v="0.0045632333767927"/>
        <n v="0.002467006297886"/>
        <n v="0.0011001100110011"/>
        <n v="0.00316789862724393"/>
        <n v="0.00637958532695375"/>
        <n v="0.00539568345323741"/>
        <n v="0.00769971126082772"/>
        <n v="0.0136940547762191"/>
        <n v="0.0104098893949252"/>
        <n v="0.0130237825594564"/>
        <n v="0.0226773957571324"/>
        <n v="0.0032513716724243"/>
        <n v="0.00988397077782553"/>
        <n v="0.00120052988905448"/>
        <n v="0.0128205128205128"/>
        <n v="0.0127826941986234"/>
        <n v="0.00670578373847443"/>
        <n v="0.00680759584378359"/>
        <n v="0.00364963503649635"/>
        <n v="0.0047244094488189"/>
        <n v="0.00539730134932534"/>
        <n v="0.00677200902934537"/>
        <n v="0.00666666666666667"/>
        <n v="0.00109571886984425"/>
        <n v="0.000518726008922087"/>
        <n v="0.0104861773117255"/>
        <n v="0.00468483816013629"/>
        <n v="0.0166112956810631"/>
        <n v="0.0233949945593036"/>
        <n v="0.0186915887850467"/>
        <n v="0.00726978998384491"/>
        <n v="0.0182381280110117"/>
        <n v="0.0148584244463134"/>
        <n v="0.0136798905608755"/>
        <n v="0.0102981029810298"/>
        <n v="0.0291036088474971"/>
        <n v="0.00860060920981903"/>
        <n v="0.0171990171990172"/>
        <n v="0.0277056277056277"/>
        <n v="0.00824175824175824"/>
        <n v="0.0099412989964022"/>
        <n v="0.00858103326256193"/>
        <n v="0.00533689126084056"/>
        <n v="0.0056390977443609"/>
        <n v="0.00513918629550321"/>
        <n v="0.0158102766798419"/>
        <n v="0.0117130307467057"/>
        <n v="0.0112201963534362"/>
        <n v="0.021978021978022"/>
        <n v="0.0094722598105548"/>
        <n v="0.00317965023847377"/>
        <n v="0.00146198830409357"/>
        <n v="0.00418410041841004"/>
        <n v="0.00531914893617021"/>
        <n v="0.0125786163522013"/>
        <n v="0.00621600621600622"/>
        <n v="0.0068649885583524"/>
        <n v="0.008859357696567"/>
        <n v="0.0159045725646123"/>
        <n v="0.00479616306954436"/>
        <n v="0.00586041555673948"/>
        <n v="0.0123456790123457"/>
        <n v="0.0058252427184466"/>
        <n v="0.00688468158347677"/>
        <n v="0.00568720379146919"/>
        <n v="0.00555555555555556"/>
        <n v="0.00469367588932806"/>
        <n v="0.00160324925181702"/>
        <n v="0.0222222222222222"/>
        <n v="0.000195121951219512"/>
        <n v="0.000153759417764338"/>
        <n v="0.00543478260869565"/>
        <n v="0.0106951871657754"/>
        <n v="0.00221838797140744"/>
        <n v="0.00684931506849315"/>
        <n v="0.00427350427350427"/>
        <n v="0.00319829424307036"/>
        <n v="0.111111111111111"/>
        <n v="0.01017778922958"/>
        <n v="0.00303030303030303"/>
        <n v="0.00631911532385466"/>
        <n v="0.00586166471277843"/>
        <n v="0.0120724346076459"/>
        <n v="0.00452861259777686"/>
        <n v="0.010233918128655"/>
        <n v="0.00362844702467344"/>
        <n v="0.00952380952380952"/>
        <n v="0.000206711224419486"/>
        <n v="0.00790960451977401"/>
        <n v="0.00371155885471898"/>
        <n v="0.0102249488752556"/>
        <n v="0.00323849178811011"/>
        <n v="0.00408466394355737"/>
        <n v="0.000451911319049391"/>
        <n v="0.0219298245614035"/>
        <n v="0.00464756003098373"/>
        <n v="0.0168067226890756"/>
        <n v="0.0032258064516129"/>
        <n v="0.00322645694696511"/>
        <n v="0.00606060606060606"/>
        <n v="0.00685871056241427"/>
        <n v="0.013719512195122"/>
        <n v="0.00372570738092841"/>
        <n v="0.00108196843636906"/>
        <n v="0.0134048257372654"/>
        <n v="0.000482858522452921"/>
        <n v="0.00731261425959781"/>
        <n v="0.0050251256281407"/>
        <n v="0.00332225913621262"/>
        <n v="0.0131578947368421"/>
        <n v="0.000464037122969838"/>
        <n v="0.0016366612111293"/>
        <n v="0.000478927203065134"/>
        <n v="0.000418452062131762"/>
        <n v="0.00196850393700787"/>
        <n v="9.40379913485048e-5"/>
        <n v="0.00365752814706444"/>
        <n v="0.00385250412768299"/>
        <n v="0.02"/>
        <n v="0.0151515151515152"/>
        <n v="0.0045757071547421"/>
        <n v="0.0375"/>
        <n v="0.0176991150442478"/>
        <n v="0.00207397165572071"/>
        <n v="0.00504048917534292"/>
        <n v="0.00285986653956149"/>
        <n v="0.00262368815592204"/>
        <n v="0.00810810810810811"/>
        <n v="0.00481570661233562"/>
        <n v="0.00972762645914397"/>
        <n v="0.00803858520900321"/>
        <n v="0.00365296803652968"/>
        <n v="0.00823045267489712"/>
        <n v="0.00273037542662116"/>
        <n v="0.00716758297699043"/>
        <n v="0.0040954415954416"/>
        <n v="0.00179372197309417"/>
        <n v="0.00704225352112676"/>
        <n v="0.000106145844390192"/>
        <n v="0.00230515480306824"/>
        <n v="0.00185510954741724"/>
        <n v="0.00211864406779661"/>
        <n v="0.00368663594470046"/>
        <n v="0.00122731656000701"/>
        <n v="0.00818713450292398"/>
        <n v="0.00158471429865073"/>
        <n v="0.000117000117000117"/>
        <n v="0.0272727272727273"/>
        <n v="0.0101641907740422"/>
        <n v="0.00696083772168755"/>
        <n v="0.00986842105263158"/>
        <n v="0.00903614457831325"/>
        <n v="0.00627959645871937"/>
        <n v="0.00633830714380034"/>
        <n v="0.00513073102655666"/>
        <n v="0.00204708290685773"/>
        <n v="0.00102056975946227"/>
        <n v="0.012888107791447"/>
        <n v="0.0083424622903851"/>
        <n v="0.00359673024523161"/>
        <n v="0.00197545645016462"/>
        <n v="0.00809595202398801"/>
        <n v="0.000774560006884978"/>
        <n v="0.00828565792069442"/>
        <n v="0.0251107828655835"/>
        <n v="0.0101434067855894"/>
        <n v="0.00913408841797589"/>
        <n v="0.0150078988941548"/>
        <n v="0.0105633802816901"/>
        <n v="0.000864077924118248"/>
        <n v="0.00105776011282775"/>
        <n v="0.00254985884709954"/>
        <n v="0.00556242274412855"/>
        <n v="0.00349359507569456"/>
        <n v="0.00182926829268293"/>
        <n v="0.00326797385620915"/>
        <n v="0.0015043626516899"/>
        <n v="0.00129861013617858"/>
        <n v="0.0108695652173913"/>
        <n v="0.00966458214894827"/>
        <n v="0.00170940170940171"/>
        <n v="0.0045045045045045"/>
        <n v="0.00360655737704918"/>
        <n v="0.00182815356489945"/>
        <n v="0.00227014755959137"/>
        <n v="0.00263852242744063"/>
        <n v="0.0072463768115942"/>
        <n v="0.010443864229765"/>
        <n v="0.00388486667843899"/>
        <n v="0.00552486187845304"/>
        <n v="0.00324149108589951"/>
        <n v="0.0158371040723982"/>
        <n v="0.00593311758360302"/>
        <n v="0.000919963201471941"/>
        <n v="0.00435729847494553"/>
        <n v="0.000536444712666801"/>
        <n v="0.000340251786321878"/>
        <n v="0.00256739409499358"/>
        <n v="0.000868055555555556"/>
        <n v="0.000328839197632358"/>
        <n v="0.000202575604109391"/>
      </sharedItems>
    </cacheField>
    <cacheField name="每次点击成本(CPC)" numFmtId="0">
      <sharedItems containsString="0" containsBlank="1" containsNumber="1" minValue="0" maxValue="1.29" count="237">
        <n v="0.2475"/>
        <m/>
        <n v="0.14"/>
        <n v="0.17"/>
        <n v="0.3"/>
        <n v="0.276666666666667"/>
        <n v="0.264074074074074"/>
        <n v="0.394166666666667"/>
        <n v="0.39"/>
        <n v="0.2"/>
        <n v="0.281666666666667"/>
        <n v="0.271764705882353"/>
        <n v="0.128571428571429"/>
        <n v="0.276"/>
        <n v="0.24625"/>
        <n v="0.563571428571429"/>
        <n v="0.390857142857143"/>
        <n v="0.396666666666667"/>
        <n v="0.413125"/>
        <n v="0.417820512820513"/>
        <n v="0.4202"/>
        <n v="0.382459016393443"/>
        <n v="0.22"/>
        <n v="0.25"/>
        <n v="0.24"/>
        <n v="0.19"/>
        <n v="0.100454545454545"/>
        <n v="0.3375"/>
        <n v="0.375714285714286"/>
        <n v="0.3972"/>
        <n v="0.465333333333333"/>
        <n v="0.384666666666667"/>
        <n v="0.416"/>
        <n v="0.385"/>
        <n v="0.468235294117647"/>
        <n v="0.407857142857143"/>
        <n v="0.41125"/>
        <n v="0.334545454545455"/>
        <n v="0.334285714285714"/>
        <n v="0.338780487804878"/>
        <n v="0.683434782608696"/>
        <n v="0.42"/>
        <n v="0.386842105263158"/>
        <n v="0.380408163265306"/>
        <n v="0.46"/>
        <n v="0.32"/>
        <n v="0.495555555555556"/>
        <n v="0.471"/>
        <n v="0.416363636363636"/>
        <n v="0.467692307692308"/>
        <n v="0.55"/>
        <n v="0.45"/>
        <n v="0.31"/>
        <n v="0.59047619047619"/>
        <n v="0.532692307692308"/>
        <n v="0.544545454545455"/>
        <n v="0.519523809523809"/>
        <n v="0.523103448275862"/>
        <n v="0.34"/>
        <n v="0.3484"/>
        <n v="0.581818181818182"/>
        <n v="0.5975"/>
        <n v="0.601368421052632"/>
        <n v="0.62"/>
        <n v="0.445454545454545"/>
        <n v="0.7"/>
        <n v="0.3675"/>
        <n v="0.375"/>
        <n v="0.342845528455285"/>
        <n v="0.3571875"/>
        <n v="0.416666666666667"/>
        <n v="0.29"/>
        <n v="0.26"/>
        <n v="0.669375"/>
        <n v="0.436422764227642"/>
        <n v="0.440208333333334"/>
        <n v="0.412608695652174"/>
        <n v="0.409032258064516"/>
        <n v="0.379375"/>
        <n v="0.30304347826087"/>
        <n v="0.783103448275862"/>
        <n v="0.528636363636364"/>
        <n v="0.471538461538461"/>
        <n v="0.5525"/>
        <n v="0.473684210526316"/>
        <n v="0.44625"/>
        <n v="0.466666666666667"/>
        <n v="0.476111111111111"/>
        <n v="0.408333333333333"/>
        <n v="0.493333333333333"/>
        <n v="0.576428571428571"/>
        <n v="0.082"/>
        <n v="0.357272727272727"/>
        <n v="0.337"/>
        <n v="0.392558139534884"/>
        <n v="0.382391304347826"/>
        <n v="0.395555555555556"/>
        <n v="0.268301886792453"/>
        <n v="0.270754716981132"/>
        <n v="0.302"/>
        <n v="0.318421052631579"/>
        <n v="0.4148"/>
        <n v="0.41"/>
        <n v="0.411428571428571"/>
        <n v="0.419375"/>
        <n v="0.340190476190476"/>
        <n v="0.347525773195876"/>
        <n v="0.36125"/>
        <n v="0.423333333333333"/>
        <n v="0.3575"/>
        <n v="0.175"/>
        <n v="0.217142857142857"/>
        <n v="0.345"/>
        <n v="0.37"/>
        <n v="0.38"/>
        <n v="0.3825"/>
        <n v="0.376666666666667"/>
        <n v="0.415"/>
        <n v="0.395"/>
        <n v="0.405454545454546"/>
        <n v="0.4"/>
        <n v="0.293333333333333"/>
        <n v="0.2325"/>
        <n v="0.33"/>
        <n v="0.341578947368421"/>
        <n v="0.464"/>
        <n v="0.56"/>
        <n v="0.665714285714286"/>
        <n v="0.425"/>
        <n v="0.457777777777778"/>
        <n v="0.36"/>
        <n v="0.296666666666667"/>
        <n v="1"/>
        <n v="0.382784810126582"/>
        <n v="0.35"/>
        <n v="0.358"/>
        <n v="0.386666666666667"/>
        <n v="0.398181818181818"/>
        <n v="0.385714285714286"/>
        <n v="0.392"/>
        <n v="0.7475"/>
        <n v="0.368571428571429"/>
        <n v="0.378571428571429"/>
        <n v="0.374"/>
        <n v="0.420714285714286"/>
        <n v="0.425454545454545"/>
        <n v="0.177058823529412"/>
        <n v="0.235"/>
        <n v="0.230625"/>
        <n v="0.28"/>
        <n v="0.252222222222222"/>
        <n v="0.279189189189189"/>
        <n v="0.276551724137931"/>
        <n v="0.224"/>
        <n v="0.21"/>
        <n v="0.1575"/>
        <n v="0.6"/>
        <n v="0.496666666666667"/>
        <n v="0.5"/>
        <n v="0.79"/>
        <n v="0.6088"/>
        <n v="0.59"/>
        <n v="0.545"/>
        <n v="0.542173913043478"/>
        <n v="0.484285714285714"/>
        <n v="0.295454545454545"/>
        <n v="0.497377049180328"/>
        <n v="0.542222222222222"/>
        <n v="0.558571428571428"/>
        <n v="0.325555555555556"/>
        <n v="0.345769230769231"/>
        <n v="0.348"/>
        <n v="0.328"/>
        <n v="0.487215909090909"/>
        <n v="0.504869565217391"/>
        <n v="0.446666666666667"/>
        <n v="0.54"/>
        <n v="1.02379310344828"/>
        <n v="0.843448275862069"/>
        <n v="0.8"/>
        <n v="0.884722222222222"/>
        <n v="1.06190476190476"/>
        <n v="0.868571428571429"/>
        <n v="1.03228571428571"/>
        <n v="0.746666666666667"/>
        <n v="0.694461538461538"/>
        <n v="0.794434782608696"/>
        <n v="0.828666666666667"/>
        <n v="0.616666666666667"/>
        <n v="0.693606557377049"/>
        <n v="0.5409375"/>
        <n v="0.75728"/>
        <n v="0.805862068965517"/>
        <n v="0.671704545454545"/>
        <n v="0.730808080808081"/>
        <n v="0.614545454545455"/>
        <n v="0.600606060606061"/>
        <n v="0.648888888888889"/>
        <n v="0.891666666666667"/>
        <n v="0.459047619047619"/>
        <n v="0.518823529411765"/>
        <n v="0.449655172413793"/>
        <n v="0.4728"/>
        <n v="0.520526315789474"/>
        <n v="0.443333333333333"/>
        <n v="0.793636363636364"/>
        <n v="0.717272727272727"/>
        <n v="0.801785714285714"/>
        <n v="0.589444444444445"/>
        <n v="0.581666666666667"/>
        <n v="0.557777777777778"/>
        <n v="0.63"/>
        <n v="0.926"/>
        <n v="0.864324324324324"/>
        <n v="0.65"/>
        <n v="0.973529411764706"/>
        <n v="1.1"/>
        <n v="1.17333333333333"/>
        <n v="0.71"/>
        <n v="1.10363636363636"/>
        <n v="1.16"/>
        <n v="1.05"/>
        <n v="1.08"/>
        <n v="0.77"/>
        <n v="0.6475"/>
        <n v="0.756818181818182"/>
        <n v="0.7225"/>
        <n v="0.650714285714286"/>
        <n v="0.751818181818182"/>
        <n v="0.807777777777778"/>
        <n v="1.1525"/>
        <n v="0.98625"/>
        <n v="1.29"/>
        <n v="1.065"/>
        <n v="1.27"/>
        <n v="1.14"/>
        <n v="1.23285714285714"/>
      </sharedItems>
    </cacheField>
    <cacheField name="花费" numFmtId="0">
      <sharedItems containsString="0" containsBlank="1" containsNumber="1" minValue="0" maxValue="157.19" count="248">
        <n v="0.99"/>
        <n v="0"/>
        <n v="0.14"/>
        <n v="0.34"/>
        <n v="3.9"/>
        <n v="0.83"/>
        <n v="7.13"/>
        <n v="4.73"/>
        <n v="5.85"/>
        <n v="0.2"/>
        <n v="3.38"/>
        <n v="4.62"/>
        <n v="0.9"/>
        <n v="1.38"/>
        <n v="1.97"/>
        <n v="15.78"/>
        <n v="13.68"/>
        <n v="22.61"/>
        <n v="6.61"/>
        <n v="32.59"/>
        <n v="21.01"/>
        <n v="26.52"/>
        <n v="23.33"/>
        <n v="0.88"/>
        <n v="0.25"/>
        <n v="2.4"/>
        <n v="0.57"/>
        <n v="4.08"/>
        <n v="2.21"/>
        <n v="1.35"/>
        <n v="5.26"/>
        <n v="9.93"/>
        <n v="6.98"/>
        <n v="5.77"/>
        <n v="4.16"/>
        <n v="0.77"/>
        <n v="7.96"/>
        <n v="5.71"/>
        <n v="3.29"/>
        <n v="3.68"/>
        <n v="2.34"/>
        <n v="13.89"/>
        <n v="157.19"/>
        <n v="0.42"/>
        <n v="7.35"/>
        <n v="18.64"/>
        <n v="1.84"/>
        <n v="1.28"/>
        <n v="4.46"/>
        <n v="9.42"/>
        <n v="4.58"/>
        <n v="18.24"/>
        <n v="0.55"/>
        <n v="0.45"/>
        <n v="0.31"/>
        <n v="24.8"/>
        <n v="13.85"/>
        <n v="5.99"/>
        <n v="10.91"/>
        <n v="15.17"/>
        <n v="1.36"/>
        <n v="8.71"/>
        <n v="6.4"/>
        <n v="4.78"/>
        <n v="57.13"/>
        <n v="11.16"/>
        <n v="4.9"/>
        <n v="3.5"/>
        <n v="8.82"/>
        <n v="5.25"/>
        <n v="42.17"/>
        <n v="22.86"/>
        <n v="1.25"/>
        <n v="1.16"/>
        <n v="0.78"/>
        <n v="10.71"/>
        <n v="53.68"/>
        <n v="21.13"/>
        <n v="9.49"/>
        <n v="12.68"/>
        <n v="6.07"/>
        <n v="6.97"/>
        <n v="45.42"/>
        <n v="11.63"/>
        <n v="30.65"/>
        <n v="4.42"/>
        <n v="9"/>
        <n v="7.14"/>
        <n v="1.4"/>
        <n v="8.57"/>
        <n v="2.45"/>
        <n v="1.48"/>
        <n v="8.07"/>
        <n v="0.41"/>
        <n v="3.93"/>
        <n v="6.74"/>
        <n v="16.88"/>
        <n v="17.59"/>
        <n v="3.56"/>
        <n v="14.22"/>
        <n v="14.35"/>
        <n v="3.02"/>
        <n v="6.05"/>
        <n v="10.37"/>
        <n v="19.68"/>
        <n v="8.64"/>
        <n v="13.42"/>
        <n v="1.74"/>
        <n v="35.72"/>
        <n v="33.71"/>
        <n v="2.89"/>
        <n v="1.27"/>
        <n v="4.29"/>
        <n v="0.8"/>
        <n v="5.88"/>
        <n v="2.2"/>
        <n v="1.52"/>
        <n v="0.69"/>
        <n v="0.37"/>
        <n v="0.26"/>
        <n v="0.38"/>
        <n v="0.5"/>
        <n v="3.06"/>
        <n v="1.13"/>
        <n v="3"/>
        <n v="3.32"/>
        <n v="0.79"/>
        <n v="1.76"/>
        <n v="0.93"/>
        <n v="1.98"/>
        <n v="0.76"/>
        <n v="6.49"/>
        <n v="6.96"/>
        <n v="0.74"/>
        <n v="0.32"/>
        <n v="1.68"/>
        <n v="4.66"/>
        <n v="0.85"/>
        <n v="4.12"/>
        <n v="0.36"/>
        <n v="1.8"/>
        <n v="0.89"/>
        <n v="2"/>
        <n v="30.24"/>
        <n v="1.05"/>
        <n v="1.2"/>
        <n v="1.79"/>
        <n v="2.32"/>
        <n v="4.38"/>
        <n v="2.7"/>
        <n v="3.92"/>
        <n v="0.3"/>
        <n v="8.97"/>
        <n v="2.58"/>
        <n v="2.65"/>
        <n v="1.87"/>
        <n v="5.89"/>
        <n v="4.68"/>
        <n v="3.01"/>
        <n v="1.1"/>
        <n v="3.52"/>
        <n v="0.94"/>
        <n v="3.69"/>
        <n v="2.27"/>
        <n v="10.33"/>
        <n v="8.02"/>
        <n v="1.12"/>
        <n v="0.63"/>
        <n v="0.17"/>
        <n v="0.6"/>
        <n v="1.49"/>
        <n v="2.37"/>
        <n v="15.22"/>
        <n v="1.77"/>
        <n v="1.09"/>
        <n v="62.35"/>
        <n v="3.39"/>
        <n v="3.25"/>
        <n v="1.02"/>
        <n v="0.72"/>
        <n v="2.07"/>
        <n v="30.34"/>
        <n v="4.88"/>
        <n v="23.46"/>
        <n v="2.93"/>
        <n v="8.99"/>
        <n v="1.64"/>
        <n v="2.18"/>
        <n v="85.75"/>
        <n v="58.06"/>
        <n v="1"/>
        <n v="1.34"/>
        <n v="1.08"/>
        <n v="59.38"/>
        <n v="48.92"/>
        <n v="31.85"/>
        <n v="89.2"/>
        <n v="12.16"/>
        <n v="72.26"/>
        <n v="2.76"/>
        <n v="2.24"/>
        <n v="45.14"/>
        <n v="91.36"/>
        <n v="12.43"/>
        <n v="1.85"/>
        <n v="42.31"/>
        <n v="51.93"/>
        <n v="94.66"/>
        <n v="2.8"/>
        <n v="46.74"/>
        <n v="59.11"/>
        <n v="72.35"/>
        <n v="20.28"/>
        <n v="19.82"/>
        <n v="17.52"/>
        <n v="16.05"/>
        <n v="19.28"/>
        <n v="13.04"/>
        <n v="11.82"/>
        <n v="9.89"/>
        <n v="2.66"/>
        <n v="26.19"/>
        <n v="23.67"/>
        <n v="22.45"/>
        <n v="10.61"/>
        <n v="24.43"/>
        <n v="5.02"/>
        <n v="31.98"/>
        <n v="0.65"/>
        <n v="16.55"/>
        <n v="0.71"/>
        <n v="12.14"/>
        <n v="4.2"/>
        <n v="5.4"/>
        <n v="2.59"/>
        <n v="16.65"/>
        <n v="0.59"/>
        <n v="5.78"/>
        <n v="9.11"/>
        <n v="8.27"/>
        <n v="14.54"/>
        <n v="4.61"/>
        <n v="7.89"/>
        <n v="1.29"/>
        <n v="2.13"/>
        <n v="2.28"/>
        <n v="8.63"/>
        <m/>
      </sharedItems>
    </cacheField>
    <cacheField name="7天总销售额" numFmtId="0">
      <sharedItems containsString="0" containsBlank="1" containsNumber="1" minValue="0" maxValue="810.96" count="93">
        <n v="18.99"/>
        <n v="0"/>
        <n v="12.99"/>
        <n v="25.98"/>
        <n v="38.97"/>
        <n v="64.95"/>
        <n v="107.92"/>
        <n v="161.88"/>
        <n v="125.9"/>
        <n v="36.97"/>
        <n v="51.96"/>
        <n v="62.95"/>
        <n v="810.96"/>
        <n v="55.94"/>
        <n v="27.97"/>
        <n v="6.99"/>
        <n v="159.29"/>
        <n v="33.96"/>
        <n v="62.91"/>
        <n v="66.93"/>
        <n v="29.47"/>
        <n v="21.98"/>
        <n v="13.98"/>
        <n v="12.59"/>
        <n v="50.36"/>
        <n v="32.99"/>
        <n v="17.99"/>
        <n v="272.59"/>
        <n v="21.87"/>
        <n v="85.61"/>
        <n v="37.96"/>
        <n v="305.65"/>
        <n v="95.88"/>
        <n v="15.98"/>
        <n v="257.47"/>
        <n v="68.95"/>
        <n v="38.64"/>
        <n v="23.98"/>
        <n v="240.75"/>
        <n v="112.87"/>
        <n v="50.94"/>
        <n v="23.97"/>
        <n v="48.93"/>
        <n v="20.98"/>
        <n v="25.18"/>
        <n v="75.94"/>
        <n v="49.96"/>
        <n v="90.93"/>
        <n v="73.94"/>
        <n v="50.63"/>
        <n v="147.88"/>
        <n v="26.98"/>
        <n v="24.99"/>
        <n v="7.99"/>
        <n v="243.49"/>
        <n v="50.98"/>
        <n v="30.97"/>
        <n v="13.99"/>
        <n v="87.89"/>
        <n v="99.88"/>
        <n v="13.49"/>
        <n v="44.98"/>
        <n v="209.64"/>
        <n v="123.84"/>
        <n v="8.49"/>
        <n v="300.67"/>
        <n v="83.92"/>
        <n v="44.46"/>
        <n v="41.97"/>
        <n v="559.33"/>
        <n v="450.46"/>
        <n v="59.98"/>
        <n v="29.99"/>
        <n v="79.98"/>
        <n v="169.61"/>
        <n v="39.99"/>
        <n v="134.62"/>
        <n v="414.06"/>
        <n v="759.81"/>
        <n v="135.95"/>
        <n v="149.64"/>
        <n v="258.69"/>
        <n v="99.97"/>
        <n v="249.95"/>
        <n v="534.89"/>
        <n v="79.97"/>
        <n v="66.48"/>
        <n v="34.99"/>
        <n v="92.48"/>
        <n v="69.98"/>
        <n v="84.97"/>
        <n v="119.96"/>
        <m/>
      </sharedItems>
    </cacheField>
    <cacheField name="广告成本销售比(ACOS)" numFmtId="0">
      <sharedItems containsString="0" containsBlank="1" containsNumber="1" minValue="0" maxValue="1.66380543633762" count="150">
        <n v="0.052132701421801"/>
        <m/>
        <n v="0.0261739799846035"/>
        <n v="0.150115473441109"/>
        <n v="0.274441878367975"/>
        <n v="0.225173210161663"/>
        <n v="0.260200153964588"/>
        <n v="0.355658198614319"/>
        <n v="0.151655119322556"/>
        <n v="0.404926866820631"/>
        <n v="0.351039260969977"/>
        <n v="0.348113933795227"/>
        <n v="0.508852963818322"/>
        <n v="0.30198295033358"/>
        <n v="0.129787496911292"/>
        <n v="0.210643367752184"/>
        <n v="0.359199384141647"/>
        <n v="0.0677444187836797"/>
        <n v="0.110359751149581"/>
        <n v="0.191108545034642"/>
        <n v="0.537336412625096"/>
        <n v="0.222093918398768"/>
        <n v="0.320246343341032"/>
        <n v="0.219784449576597"/>
        <n v="0.253271747498075"/>
        <n v="0.141647421093149"/>
        <n v="0.22065131056394"/>
        <n v="0.193832001578376"/>
        <n v="0.131390775831248"/>
        <n v="0.478316653836284"/>
        <n v="0.336789417232749"/>
        <n v="0.655221745350501"/>
        <n v="0.114508129826103"/>
        <n v="0.0132508833922261"/>
        <n v="0.394213956445716"/>
        <n v="0.206932616166144"/>
        <n v="0.203257550050899"/>
        <n v="0.496360327570519"/>
        <n v="1.08512160228898"/>
        <n v="0.108022239872915"/>
        <n v="0.172954725972994"/>
        <n v="0.193998181267051"/>
        <n v="0.265703168426904"/>
        <n v="0.209582156352031"/>
        <n v="0.160036579789666"/>
        <n v="0.103025347506132"/>
        <n v="0.138303477344573"/>
        <n v="0.137968264354654"/>
        <n v="0.238423028785982"/>
        <n v="0.670212765957447"/>
        <n v="0.208490309550627"/>
        <n v="0.306453952139231"/>
        <n v="0.730561970746728"/>
        <n v="0.32815734989648"/>
        <n v="0.467282525019246"/>
        <n v="0.290658882402002"/>
        <n v="0.188660436137072"/>
        <n v="1.66380543633762"/>
        <n v="0.271551342252148"/>
        <n v="0.0867687475461327"/>
        <n v="0.375469336670839"/>
        <n v="0.145922746781116"/>
        <n v="0.408484270734032"/>
        <n v="0.320492454328832"/>
        <n v="0.151270207852194"/>
        <n v="0.518860662047729"/>
        <n v="0.222280747958915"/>
        <n v="0.352081665332266"/>
        <n v="0.364896073903002"/>
        <n v="0.388152556126589"/>
        <n v="0.0774955093661791"/>
        <n v="0.252293577981651"/>
        <n v="0.114043769932915"/>
        <n v="0.266161752772518"/>
        <n v="0.170649812364211"/>
        <n v="0.559633027522936"/>
        <n v="0.241547200432783"/>
        <n v="0.648768283294842"/>
        <n v="0.330254041570439"/>
        <n v="0.452655889145497"/>
        <n v="0.235565819861432"/>
        <n v="0.0869899923017706"/>
        <n v="0.115473441108545"/>
        <n v="0.0608160123171671"/>
        <n v="0.343341031562741"/>
        <n v="0.0585065434949961"/>
        <n v="0.166538362843213"/>
        <n v="0.276409849086577"/>
        <n v="0.0274277242401779"/>
        <n v="0.186474589835934"/>
        <n v="0.225281602002503"/>
        <n v="0.111389236545682"/>
        <n v="0.124194012074418"/>
        <n v="0.178598922247883"/>
        <n v="0.337182448036952"/>
        <n v="0.17595135347195"/>
        <n v="0.204003079291763"/>
        <n v="0.0719784449576597"/>
        <n v="0.45342571208622"/>
        <n v="0.212920837124659"/>
        <n v="0.251788268955651"/>
        <n v="0.0429184549356223"/>
        <n v="0.119147562156926"/>
        <n v="0.0357398141529664"/>
        <n v="0.162258756254467"/>
        <n v="0.117533280236659"/>
        <n v="0.0802963556267521"/>
        <n v="0.150214592274678"/>
        <n v="0.0467012601927354"/>
        <n v="0.110452186805041"/>
        <n v="0.0370644922164566"/>
        <n v="0.044477390659748"/>
        <n v="0.338372610048911"/>
        <n v="0.297414615531387"/>
        <n v="0.0833995234312947"/>
        <n v="0.0262435400516796"/>
        <n v="0.120141342756184"/>
        <n v="0.243816254416961"/>
        <n v="0.10090797219543"/>
        <n v="0.279551954242135"/>
        <n v="0.065901934322987"/>
        <n v="0.409008189262966"/>
        <n v="0.0390755301405766"/>
        <n v="0.153308422577012"/>
        <n v="0.128890467522088"/>
        <n v="0.989996665555185"/>
        <n v="1.63121040346782"/>
        <n v="0.398224556139035"/>
        <n v="0.525912387241318"/>
        <n v="0.304076019004751"/>
        <n v="0.536770167879958"/>
        <n v="0.109018016712554"/>
        <n v="0.120240586462405"/>
        <n v="0.311217359323281"/>
        <n v="0.347032878909383"/>
        <n v="0.365920599945881"/>
        <n v="0.467540262078624"/>
        <n v="0.236487297459492"/>
        <n v="0.13526145562639"/>
        <n v="0.253595098161811"/>
        <n v="0.298134777376655"/>
        <n v="0.551014575593026"/>
        <n v="0.0953719723183391"/>
        <n v="0.141326093169477"/>
        <n v="0.308226432858656"/>
        <n v="0.947178871548619"/>
        <n v="0.424569827931173"/>
        <n v="0.203651217072357"/>
        <n v="0.396970563018005"/>
        <n v="0.913975421549014"/>
      </sharedItems>
    </cacheField>
    <cacheField name="投入产出比(ROAS)" numFmtId="0">
      <sharedItems containsString="0" containsBlank="1" containsNumber="1" minValue="0" maxValue="75.4666666666667" count="151">
        <n v="19.1818181818182"/>
        <m/>
        <n v="0"/>
        <n v="38.2058823529412"/>
        <n v="6.66153846153846"/>
        <n v="3.6437587657784"/>
        <n v="4.44102564102564"/>
        <n v="3.84319526627219"/>
        <n v="2.81168831168831"/>
        <n v="6.59390862944162"/>
        <n v="2.46958174904943"/>
        <n v="2.84868421052631"/>
        <n v="2.87262273330385"/>
        <n v="1.96520423600605"/>
        <n v="3.31144522859773"/>
        <n v="7.70490242741551"/>
        <n v="4.7473604826546"/>
        <n v="2.78396913844835"/>
        <n v="14.7613636363636"/>
        <n v="9.06127450980392"/>
        <n v="5.23262839879154"/>
        <n v="1.86103151862464"/>
        <n v="4.50259965337955"/>
        <n v="3.12259615384615"/>
        <n v="4.54991243432574"/>
        <n v="3.9483282674772"/>
        <n v="7.05978260869565"/>
        <n v="4.53203743700504"/>
        <n v="5.15910681341052"/>
        <n v="7.6108843537415"/>
        <n v="2.0906652360515"/>
        <n v="2.9692144373673"/>
        <n v="1.52620087336245"/>
        <n v="8.73300438596491"/>
        <n v="75.4666666666667"/>
        <n v="2.5366935483871"/>
        <n v="4.83249097472924"/>
        <n v="4.91986644407346"/>
        <n v="2.01466544454629"/>
        <n v="0.921555702043507"/>
        <n v="9.25735294117647"/>
        <n v="5.78185993111366"/>
        <n v="5.1546875"/>
        <n v="3.76359832635983"/>
        <n v="4.77139856467705"/>
        <n v="6.24857142857143"/>
        <n v="9.70634920634921"/>
        <n v="7.23047619047619"/>
        <n v="7.24804363291439"/>
        <n v="4.19422572178478"/>
        <n v="1.49206349206349"/>
        <n v="4.79638599105812"/>
        <n v="3.26313298627544"/>
        <n v="1.36880927291886"/>
        <n v="3.04731861198738"/>
        <n v="2.14003294892916"/>
        <n v="3.44045911047346"/>
        <n v="5.3005284015852"/>
        <n v="0.601031814273431"/>
        <n v="3.68254486133768"/>
        <n v="11.5248868778281"/>
        <n v="2.66333333333333"/>
        <n v="6.85294117647059"/>
        <n v="2.44807467911319"/>
        <n v="3.12019826517968"/>
        <n v="6.61068702290076"/>
        <n v="1.9272997032641"/>
        <n v="4.49881516587678"/>
        <n v="2.84025014212621"/>
        <n v="2.74050632911392"/>
        <n v="2.57630662020906"/>
        <n v="12.9039735099338"/>
        <n v="3.96363636363636"/>
        <n v="8.76856316297011"/>
        <n v="3.75711382113821"/>
        <n v="5.8599537037037"/>
        <n v="1.78688524590164"/>
        <n v="4.13997760358343"/>
        <n v="1.54138237911599"/>
        <n v="3.02797202797203"/>
        <n v="2.20918367346939"/>
        <n v="4.24509803921569"/>
        <n v="11.4955752212389"/>
        <n v="8.66"/>
        <n v="16.4430379746835"/>
        <n v="2.91255605381166"/>
        <n v="17.0921052631579"/>
        <n v="6.00462249614792"/>
        <n v="3.61781609195402"/>
        <n v="36.4594594594595"/>
        <n v="5.36266094420601"/>
        <n v="4.43888888888889"/>
        <n v="8.97752808988764"/>
        <n v="8.05191798941799"/>
        <n v="5.59913793103448"/>
        <n v="2.96575342465753"/>
        <n v="5.68338907469342"/>
        <n v="4.90188679245283"/>
        <n v="13.8930481283422"/>
        <n v="2.20543293718166"/>
        <n v="4.6965811965812"/>
        <n v="3.97159090909091"/>
        <n v="23.3"/>
        <n v="8.3929539295393"/>
        <n v="27.98"/>
        <n v="6.16299559471366"/>
        <n v="8.5082284607938"/>
        <n v="12.4538653366584"/>
        <n v="6.65714285714286"/>
        <n v="21.4126984126984"/>
        <n v="9.05369127516779"/>
        <n v="26.98"/>
        <n v="22.4833333333333"/>
        <n v="2.95532194480946"/>
        <n v="3.36230954290297"/>
        <n v="11.9904761904762"/>
        <n v="38.1046153846154"/>
        <n v="8.32352941176471"/>
        <n v="4.10144927536232"/>
        <n v="9.91001977587343"/>
        <n v="3.5771526001705"/>
        <n v="15.1740614334471"/>
        <n v="2.44493882091212"/>
        <n v="25.5914634146341"/>
        <n v="6.52279883381924"/>
        <n v="7.75852566310714"/>
        <n v="1.01010441226002"/>
        <n v="0.613041700735895"/>
        <n v="2.51114599686028"/>
        <n v="1.90145739910314"/>
        <n v="3.28865131578947"/>
        <n v="1.86299474121229"/>
        <n v="9.17279574656624"/>
        <n v="8.31665936952714"/>
        <n v="3.21318837154337"/>
        <n v="2.88157134604275"/>
        <n v="2.73283329811958"/>
        <n v="2.13885323063757"/>
        <n v="4.2285569277618"/>
        <n v="7.39308914996545"/>
        <n v="3.94329388560158"/>
        <n v="3.35418768920283"/>
        <n v="1.81483402489627"/>
        <n v="10.4852607709751"/>
        <n v="7.07583417593529"/>
        <n v="3.24436807941963"/>
        <n v="1.05576679340938"/>
        <n v="2.35532516493874"/>
        <n v="4.91035611952517"/>
        <n v="2.5190784737221"/>
        <n v="1.09412132582864"/>
      </sharedItems>
    </cacheField>
    <cacheField name="7天总订单数(#)" numFmtId="0">
      <sharedItems containsString="0" containsBlank="1" containsNumber="1" containsInteger="1" minValue="0" maxValue="64" count="22">
        <n v="1"/>
        <n v="0"/>
        <n v="2"/>
        <n v="3"/>
        <n v="5"/>
        <n v="8"/>
        <n v="12"/>
        <n v="10"/>
        <n v="4"/>
        <n v="64"/>
        <n v="6"/>
        <n v="20"/>
        <n v="29"/>
        <n v="11"/>
        <n v="18"/>
        <n v="7"/>
        <n v="16"/>
        <n v="9"/>
        <n v="15"/>
        <n v="54"/>
        <n v="31"/>
        <m/>
      </sharedItems>
    </cacheField>
    <cacheField name="7天总销售量(#)" numFmtId="0">
      <sharedItems containsString="0" containsBlank="1" containsNumber="1" containsInteger="1" minValue="0" maxValue="104" count="25">
        <n v="1"/>
        <n v="0"/>
        <n v="2"/>
        <n v="3"/>
        <n v="5"/>
        <n v="8"/>
        <n v="12"/>
        <n v="10"/>
        <n v="4"/>
        <n v="104"/>
        <n v="6"/>
        <n v="21"/>
        <n v="9"/>
        <n v="7"/>
        <n v="35"/>
        <n v="20"/>
        <n v="25"/>
        <n v="13"/>
        <n v="19"/>
        <n v="11"/>
        <n v="16"/>
        <n v="33"/>
        <n v="67"/>
        <n v="54"/>
        <m/>
      </sharedItems>
    </cacheField>
    <cacheField name="7天的转化率" numFmtId="0">
      <sharedItems containsString="0" containsBlank="1" containsNumber="1" minValue="0" maxValue="1" count="89">
        <n v="0.25"/>
        <m/>
        <n v="0"/>
        <n v="0.5"/>
        <n v="0.153846153846154"/>
        <n v="0.0740740740740741"/>
        <n v="0.133333333333333"/>
        <n v="0.0833333333333333"/>
        <n v="0.0588235294117647"/>
        <n v="0.125"/>
        <n v="0.107142857142857"/>
        <n v="0.0857142857142857"/>
        <n v="0.087719298245614"/>
        <n v="0.0625"/>
        <n v="0.102564102564103"/>
        <n v="0.24"/>
        <n v="0.147058823529412"/>
        <n v="0.0819672131147541"/>
        <n v="0.176470588235294"/>
        <n v="0.0714285714285714"/>
        <n v="0.16"/>
        <n v="0.0666666666666667"/>
        <n v="0.1"/>
        <n v="0.142857142857143"/>
        <n v="0.181818181818182"/>
        <n v="0.121951219512195"/>
        <n v="0.278260869565217"/>
        <n v="0.263157894736842"/>
        <n v="0.0612244897959184"/>
        <n v="0.15"/>
        <n v="0.0909090909090909"/>
        <n v="0.256410256410256"/>
        <n v="1"/>
        <n v="0.0952380952380952"/>
        <n v="0.230769230769231"/>
        <n v="0.272727272727273"/>
        <n v="0.0689655172413793"/>
        <n v="0.210526315789474"/>
        <n v="0.4"/>
        <n v="0.285714285714286"/>
        <n v="0.235772357723577"/>
        <n v="0.171875"/>
        <n v="0.146341463414634"/>
        <n v="0.104166666666667"/>
        <n v="0.0434782608695652"/>
        <n v="0.0967741935483871"/>
        <n v="0.0869565217391304"/>
        <n v="0.310344827586207"/>
        <n v="0.0454545454545455"/>
        <n v="0.184615384615385"/>
        <n v="0.157894736842105"/>
        <n v="0.4375"/>
        <n v="0.111111111111111"/>
        <n v="0.05"/>
        <n v="0.13953488372093"/>
        <n v="0.0566037735849057"/>
        <n v="0.2"/>
        <n v="0.105263157894737"/>
        <n v="0.28"/>
        <n v="0.19047619047619"/>
        <n v="0.114285714285714"/>
        <n v="0.0412371134020618"/>
        <n v="0.333333333333333"/>
        <n v="0.20253164556962"/>
        <n v="0.166666666666667"/>
        <n v="0.1875"/>
        <n v="0.189189189189189"/>
        <n v="0.08"/>
        <n v="0.139130434782609"/>
        <n v="0.363636363636364"/>
        <n v="0.245901639344262"/>
        <n v="0.0769230769230769"/>
        <n v="0.306818181818182"/>
        <n v="0.269565217391304"/>
        <n v="0.0172413793103448"/>
        <n v="0.0555555555555556"/>
        <n v="0.0956521739130435"/>
        <n v="0.0655737704918033"/>
        <n v="0.03125"/>
        <n v="0.056"/>
        <n v="0.0517241379310345"/>
        <n v="0.0568181818181818"/>
        <n v="0.101010101010101"/>
        <n v="0.0606060606060606"/>
        <n v="0.0238095238095238"/>
        <n v="0.117647058823529"/>
        <n v="0.0526315789473684"/>
        <n v="0.0303030303030303"/>
        <n v="0.027027027027027"/>
      </sharedItems>
    </cacheField>
    <cacheField name="7天内广告SKU销售量(#)" numFmtId="0">
      <sharedItems containsString="0" containsBlank="1" containsNumber="1" containsInteger="1" minValue="0" maxValue="82" count="21">
        <n v="0"/>
        <n v="2"/>
        <n v="1"/>
        <n v="3"/>
        <n v="4"/>
        <n v="10"/>
        <n v="5"/>
        <n v="82"/>
        <n v="9"/>
        <n v="18"/>
        <n v="29"/>
        <n v="8"/>
        <n v="6"/>
        <n v="11"/>
        <n v="7"/>
        <n v="14"/>
        <n v="16"/>
        <n v="62"/>
        <n v="46"/>
        <n v="19"/>
        <m/>
      </sharedItems>
    </cacheField>
    <cacheField name="7天内其他SKU销售量(#)" numFmtId="0">
      <sharedItems containsString="0" containsBlank="1" containsNumber="1" containsInteger="1" minValue="0" maxValue="22" count="14">
        <n v="1"/>
        <n v="0"/>
        <n v="7"/>
        <n v="2"/>
        <n v="5"/>
        <n v="4"/>
        <n v="22"/>
        <n v="3"/>
        <n v="12"/>
        <n v="6"/>
        <n v="19"/>
        <n v="8"/>
        <n v="17"/>
        <m/>
      </sharedItems>
    </cacheField>
    <cacheField name="7天内广告SKU销售额" numFmtId="0">
      <sharedItems containsString="0" containsBlank="1" containsNumber="1" minValue="0" maxValue="759.81" count="63">
        <n v="0"/>
        <n v="25.98"/>
        <n v="12.99"/>
        <n v="38.97"/>
        <n v="51.96"/>
        <n v="135.9"/>
        <n v="64.95"/>
        <n v="36.97"/>
        <n v="601.18"/>
        <n v="27.96"/>
        <n v="6.99"/>
        <n v="62.91"/>
        <n v="10.99"/>
        <n v="13.99"/>
        <n v="13.98"/>
        <n v="50.36"/>
        <n v="32.99"/>
        <n v="17.99"/>
        <n v="226.62"/>
        <n v="13.88"/>
        <n v="69.95"/>
        <n v="231.71"/>
        <n v="63.92"/>
        <n v="15.98"/>
        <n v="99.92"/>
        <n v="18.99"/>
        <n v="38.64"/>
        <n v="66.94"/>
        <n v="87.89"/>
        <n v="48.93"/>
        <n v="25.18"/>
        <n v="101.92"/>
        <n v="24.99"/>
        <n v="7.99"/>
        <n v="139.57"/>
        <n v="50.98"/>
        <n v="16.98"/>
        <n v="13.49"/>
        <n v="20.99"/>
        <n v="181.66"/>
        <n v="12.59"/>
        <n v="8.49"/>
        <n v="111.84"/>
        <n v="41.95"/>
        <n v="41.97"/>
        <n v="495.38"/>
        <n v="367.54"/>
        <n v="59.98"/>
        <n v="29.99"/>
        <n v="79.98"/>
        <n v="74.64"/>
        <n v="39.99"/>
        <n v="49.98"/>
        <n v="414.06"/>
        <n v="759.81"/>
        <n v="95.96"/>
        <n v="149.64"/>
        <n v="184.96"/>
        <n v="249.95"/>
        <n v="149.97"/>
        <n v="69.98"/>
        <n v="34.99"/>
        <m/>
      </sharedItems>
    </cacheField>
    <cacheField name="7天内其他SKU销售额" numFmtId="0">
      <sharedItems containsString="0" containsBlank="1" containsNumber="1" minValue="0" maxValue="384.92" count="61">
        <n v="18.99"/>
        <n v="0"/>
        <n v="12.99"/>
        <n v="94.93"/>
        <n v="25.98"/>
        <n v="60.95"/>
        <n v="51.96"/>
        <n v="49.96"/>
        <n v="209.78"/>
        <n v="27.98"/>
        <n v="27.97"/>
        <n v="96.38"/>
        <n v="33.96"/>
        <n v="55.94"/>
        <n v="15.48"/>
        <n v="21.98"/>
        <n v="12.59"/>
        <n v="45.97"/>
        <n v="7.99"/>
        <n v="15.66"/>
        <n v="37.96"/>
        <n v="73.94"/>
        <n v="31.96"/>
        <n v="157.55"/>
        <n v="10.99"/>
        <n v="173.81"/>
        <n v="6.99"/>
        <n v="24.98"/>
        <n v="39.95"/>
        <n v="23.97"/>
        <n v="20.98"/>
        <n v="36.97"/>
        <n v="38.97"/>
        <n v="77.94"/>
        <n v="37.64"/>
        <n v="45.96"/>
        <n v="26.98"/>
        <n v="103.92"/>
        <n v="13.99"/>
        <n v="35.96"/>
        <n v="13.49"/>
        <n v="23.99"/>
        <n v="95.88"/>
        <n v="8.49"/>
        <n v="188.83"/>
        <n v="41.97"/>
        <n v="36.47"/>
        <n v="63.95"/>
        <n v="82.92"/>
        <n v="94.97"/>
        <n v="84.64"/>
        <n v="39.99"/>
        <n v="73.73"/>
        <n v="99.97"/>
        <n v="384.92"/>
        <n v="49.98"/>
        <n v="66.48"/>
        <n v="34.99"/>
        <n v="92.48"/>
        <n v="24.99"/>
        <m/>
      </sharedItems>
    </cacheField>
    <cacheField name="30天ACOS" numFmtId="0" formula="IFERROR(花费/'7天总销售额',0)" databaseField="0"/>
    <cacheField name="30天转化率" numFmtId="0" formula="IFERROR('7天总订单数(#)'/点击量,0)" databaseField="0"/>
  </cacheFields>
</pivotCacheDefinition>
</file>

<file path=xl/pivotCache/pivotCacheDefinition58.xml><?xml version="1.0" encoding="utf-8"?>
<pivotCacheDefinition xmlns="http://schemas.openxmlformats.org/spreadsheetml/2006/main" xmlns:r="http://schemas.openxmlformats.org/officeDocument/2006/relationships" r:id="rId1" createdVersion="5" refreshedVersion="5" minRefreshableVersion="3" refreshedDate="45219.6203125" refreshedBy="Administrator" recordCount="110">
  <cacheSource type="worksheet">
    <worksheetSource ref="I1:AH1048576" sheet="展示型广告10.12-10.18" r:id="rId2"/>
  </cacheSource>
  <cacheFields count="26">
    <cacheField name="广告SKU" numFmtId="0">
      <sharedItems containsBlank="1" count="18">
        <s v="Y9003-1"/>
        <s v="Y9001-BU"/>
        <s v="Y9001-GR"/>
        <s v="Y9001-PU"/>
        <s v="Y9002-BU"/>
        <s v="Y9002-BL"/>
        <s v="Y9005-PI"/>
        <s v="Y9005-BU"/>
        <s v="Y9005-WH"/>
        <s v="Y9005-BL"/>
        <s v="Y9001-PI"/>
        <s v="Y9001-WH"/>
        <s v="Y9007-12PC"/>
        <s v="Y9007-6PC"/>
        <s v="Y9008"/>
        <s v="Y9007-30PC"/>
        <s v="Y9007-24PC"/>
        <m/>
      </sharedItems>
    </cacheField>
    <cacheField name="广告ASIN" numFmtId="0">
      <sharedItems containsBlank="1" count="18">
        <s v="B0BYCMVK7Q"/>
        <s v="B0BVMG2B48"/>
        <s v="B0BVMG33FS"/>
        <s v="B0BVMH4Q7J"/>
        <s v="B0BX1X4VP8"/>
        <s v="B0BX252DLT"/>
        <s v="B0BZ3YPHM9"/>
        <s v="B0BZ439ZHM"/>
        <s v="B0BZ3ZZQXL"/>
        <s v="B0BZ3ZMR15"/>
        <s v="B0BVPN4L87"/>
        <s v="B0BVNW9PY5"/>
        <s v="B0C6DXQT1M"/>
        <s v="B0C6DWXLZV"/>
        <s v="B0C7VSGBVP"/>
        <s v="B0C6DYVTHK"/>
        <s v="B0C6DZMTCP"/>
        <m/>
      </sharedItems>
    </cacheField>
    <cacheField name="展示量" numFmtId="0">
      <sharedItems containsString="0" containsBlank="1" containsNumber="1" containsInteger="1" minValue="0" maxValue="7576" count="21">
        <n v="161"/>
        <n v="0"/>
        <n v="7576"/>
        <n v="928"/>
        <n v="794"/>
        <n v="408"/>
        <n v="2274"/>
        <n v="1779"/>
        <n v="177"/>
        <n v="1119"/>
        <n v="298"/>
        <n v="682"/>
        <n v="505"/>
        <n v="20"/>
        <n v="65"/>
        <n v="348"/>
        <n v="422"/>
        <n v="6"/>
        <n v="75"/>
        <n v="23"/>
        <m/>
      </sharedItems>
    </cacheField>
    <cacheField name="可查看的展现量" numFmtId="0">
      <sharedItems containsString="0" containsBlank="1" containsNumber="1" containsInteger="1" minValue="0" maxValue="126" count="3">
        <n v="0"/>
        <n v="126"/>
        <m/>
      </sharedItems>
    </cacheField>
    <cacheField name="点击量" numFmtId="0">
      <sharedItems containsString="0" containsBlank="1" containsNumber="1" containsInteger="1" minValue="0" maxValue="37" count="8">
        <n v="0"/>
        <n v="37"/>
        <n v="5"/>
        <n v="2"/>
        <n v="17"/>
        <n v="3"/>
        <n v="1"/>
        <m/>
      </sharedItems>
    </cacheField>
    <cacheField name="点击率(CTR)" numFmtId="0">
      <sharedItems containsString="0" containsBlank="1" containsNumber="1" minValue="0" maxValue="0.00747581354441513" count="9">
        <n v="0"/>
        <m/>
        <n v="0.00488384371700106"/>
        <n v="0.00538793103448276"/>
        <n v="0.00629722921914358"/>
        <n v="0.00490196078431373"/>
        <n v="0.00747581354441513"/>
        <n v="0.00268096514745308"/>
        <n v="0.00198019801980198"/>
      </sharedItems>
    </cacheField>
    <cacheField name="14 天商品详情页浏览量 (DPV)" numFmtId="0">
      <sharedItems containsString="0" containsBlank="1" containsNumber="1" containsInteger="1" minValue="0" maxValue="34" count="8">
        <n v="0"/>
        <n v="34"/>
        <n v="7"/>
        <n v="5"/>
        <n v="3"/>
        <n v="19"/>
        <n v="1"/>
        <m/>
      </sharedItems>
    </cacheField>
    <cacheField name="花费" numFmtId="0">
      <sharedItems containsString="0" containsBlank="1" containsNumber="1" minValue="0" maxValue="26.87" count="10">
        <n v="0"/>
        <n v="26.87"/>
        <n v="3.02"/>
        <n v="3.58"/>
        <n v="0.32"/>
        <n v="10.14"/>
        <n v="0.23464"/>
        <n v="2.21"/>
        <n v="0.43"/>
        <m/>
      </sharedItems>
    </cacheField>
    <cacheField name="每次点击成本(CPC)" numFmtId="0">
      <sharedItems containsString="0" containsBlank="1" containsNumber="1" minValue="0" maxValue="0.736666666666667" count="8">
        <m/>
        <n v="0.726216216216216"/>
        <n v="0.604"/>
        <n v="0.716"/>
        <n v="0.16"/>
        <n v="0.596470588235294"/>
        <n v="0.736666666666667"/>
        <n v="0.43"/>
      </sharedItems>
    </cacheField>
    <cacheField name="每 1,000 次可见展示次数的成本 (VCPM)" numFmtId="0">
      <sharedItems containsString="0" containsBlank="1" containsNumber="1" minValue="0" maxValue="1.86222222222222" count="2">
        <m/>
        <n v="1.86222222222222"/>
      </sharedItems>
    </cacheField>
    <cacheField name="广告成本销售比(ACOS)" numFmtId="0">
      <sharedItems containsString="0" containsBlank="1" containsNumber="1" minValue="0" maxValue="0.198999444135631" count="4">
        <m/>
        <n v="0.198999444135631"/>
        <n v="0.187882156753752"/>
        <n v="0.122846025569761"/>
      </sharedItems>
    </cacheField>
    <cacheField name="投入产出比(ROAS)" numFmtId="0">
      <sharedItems containsString="0" containsBlank="1" containsNumber="1" minValue="0" maxValue="8.14027149321267" count="5">
        <m/>
        <n v="0"/>
        <n v="5.02513966480447"/>
        <n v="5.32248520710059"/>
        <n v="8.14027149321267"/>
      </sharedItems>
    </cacheField>
    <cacheField name="14天总订单数(#)" numFmtId="0">
      <sharedItems containsString="0" containsBlank="1" containsNumber="1" containsInteger="1" minValue="0" maxValue="3" count="4">
        <n v="0"/>
        <n v="1"/>
        <n v="3"/>
        <m/>
      </sharedItems>
    </cacheField>
    <cacheField name="14天总销售量(#)" numFmtId="0">
      <sharedItems containsString="0" containsBlank="1" containsNumber="1" containsInteger="1" minValue="0" maxValue="3" count="4">
        <n v="0"/>
        <n v="1"/>
        <n v="3"/>
        <m/>
      </sharedItems>
    </cacheField>
    <cacheField name="14天总销售额" numFmtId="0">
      <sharedItems containsString="0" containsBlank="1" containsNumber="1" minValue="0" maxValue="53.97" count="4">
        <n v="0"/>
        <n v="17.99"/>
        <n v="53.97"/>
        <m/>
      </sharedItems>
    </cacheField>
    <cacheField name="14天内“品牌新买家”订单数量(#)" numFmtId="0">
      <sharedItems containsString="0" containsBlank="1" containsNumber="1" containsInteger="1" minValue="0" maxValue="3" count="4">
        <n v="0"/>
        <n v="1"/>
        <n v="3"/>
        <m/>
      </sharedItems>
    </cacheField>
    <cacheField name="14天内“品牌新买家”销售额" numFmtId="0">
      <sharedItems containsString="0" containsBlank="1" containsNumber="1" minValue="0" maxValue="53.97" count="4">
        <n v="0"/>
        <n v="17.99"/>
        <n v="53.97"/>
        <m/>
      </sharedItems>
    </cacheField>
    <cacheField name="14天内“品牌新买家”商品数量(#)" numFmtId="0">
      <sharedItems containsString="0" containsBlank="1" containsNumber="1" containsInteger="1" minValue="0" maxValue="3" count="4">
        <n v="0"/>
        <n v="1"/>
        <n v="3"/>
        <m/>
      </sharedItems>
    </cacheField>
    <cacheField name="广告投入产出比 (ACOS) 总计 -（点击）" numFmtId="0">
      <sharedItems containsString="0" containsBlank="1" containsNumber="1" minValue="0" maxValue="0.198999444135631" count="4">
        <m/>
        <n v="0.198999444135631"/>
        <n v="0.187882156753752"/>
        <n v="0.122846025569761"/>
      </sharedItems>
    </cacheField>
    <cacheField name="总广告投资回报率 (ROAS) -（点击）" numFmtId="0">
      <sharedItems containsString="0" containsBlank="1" containsNumber="1" minValue="0" maxValue="8.14027149321267" count="5">
        <m/>
        <n v="0"/>
        <n v="5.02513966480447"/>
        <n v="5.32248520710059"/>
        <n v="8.14027149321267"/>
      </sharedItems>
    </cacheField>
    <cacheField name="14 天内订单总量 (#) -（点击）" numFmtId="0">
      <sharedItems containsString="0" containsBlank="1" containsNumber="1" containsInteger="1" minValue="0" maxValue="3" count="4">
        <n v="0"/>
        <n v="1"/>
        <n v="3"/>
        <m/>
      </sharedItems>
    </cacheField>
    <cacheField name="14 天内已售商品总量 (#) -（点击）" numFmtId="0">
      <sharedItems containsString="0" containsBlank="1" containsNumber="1" containsInteger="1" minValue="0" maxValue="3" count="4">
        <n v="0"/>
        <n v="1"/>
        <n v="3"/>
        <m/>
      </sharedItems>
    </cacheField>
    <cacheField name="14 天内总销售额 -（点击）" numFmtId="0">
      <sharedItems containsString="0" containsBlank="1" containsNumber="1" minValue="0" maxValue="53.97" count="4">
        <n v="0"/>
        <n v="17.99"/>
        <n v="53.97"/>
        <m/>
      </sharedItems>
    </cacheField>
    <cacheField name="14 天内“品牌新客”订单数量 (#) -（点击）" numFmtId="0">
      <sharedItems containsString="0" containsBlank="1" containsNumber="1" containsInteger="1" minValue="0" maxValue="3" count="4">
        <n v="0"/>
        <n v="1"/>
        <n v="3"/>
        <m/>
      </sharedItems>
    </cacheField>
    <cacheField name="14 天内“品牌新客”销售额 -（点击）" numFmtId="0">
      <sharedItems containsString="0" containsBlank="1" containsNumber="1" minValue="0" maxValue="53.97" count="4">
        <n v="0"/>
        <n v="17.99"/>
        <n v="53.97"/>
        <m/>
      </sharedItems>
    </cacheField>
    <cacheField name="14 天内“品牌新客”已售商品数量 (#) -（点击）" numFmtId="0">
      <sharedItems containsString="0" containsBlank="1" containsNumber="1" containsInteger="1" minValue="0" maxValue="3" count="4">
        <n v="0"/>
        <n v="1"/>
        <n v="3"/>
        <m/>
      </sharedItems>
    </cacheField>
  </cacheFields>
</pivotCacheDefinition>
</file>

<file path=xl/pivotCache/pivotCacheDefinition59.xml><?xml version="1.0" encoding="utf-8"?>
<pivotCacheDefinition xmlns="http://schemas.openxmlformats.org/spreadsheetml/2006/main" xmlns:r="http://schemas.openxmlformats.org/officeDocument/2006/relationships" r:id="rId1" createdVersion="5" refreshedVersion="5" minRefreshableVersion="3" refreshedDate="45219.6205092593" refreshedBy="Administrator" recordCount="118">
  <cacheSource type="worksheet">
    <worksheetSource ref="I1:AH1048576" sheet="展示型广告10.04-10.18" r:id="rId2"/>
  </cacheSource>
  <cacheFields count="26">
    <cacheField name="广告SKU" numFmtId="0">
      <sharedItems containsBlank="1" count="19">
        <m/>
        <s v="Y9003-1"/>
        <s v="Y9001-BU"/>
        <s v="Y9001-PI"/>
        <s v="Y9001-WH"/>
        <s v="Y9001-GR"/>
        <s v="Y9001-PU"/>
        <s v="Y9002-BU"/>
        <s v="Y9002-BL"/>
        <s v="Y9005-PI"/>
        <s v="Y9005-BU"/>
        <s v="Y9005-WH"/>
        <s v="Y9005-BL"/>
        <s v="Y9004"/>
        <s v="Y9007-12PC"/>
        <s v="Y9007-6PC"/>
        <s v="Y9008"/>
        <s v="Y9007-30PC"/>
        <s v="Y9007-24PC"/>
      </sharedItems>
    </cacheField>
    <cacheField name="广告ASIN" numFmtId="0">
      <sharedItems containsBlank="1" count="19">
        <m/>
        <s v="B0BYCMVK7Q"/>
        <s v="B0BVMG2B48"/>
        <s v="B0BVPN4L87"/>
        <s v="B0BVNW9PY5"/>
        <s v="B0BVMG33FS"/>
        <s v="B0BVMH4Q7J"/>
        <s v="B0BX1X4VP8"/>
        <s v="B0BX252DLT"/>
        <s v="B0BZ3YPHM9"/>
        <s v="B0BZ439ZHM"/>
        <s v="B0BZ3ZZQXL"/>
        <s v="B0BZ3ZMR15"/>
        <s v="B0BYCPT8TG"/>
        <s v="B0C6DXQT1M"/>
        <s v="B0C6DWXLZV"/>
        <s v="B0C7VSGBVP"/>
        <s v="B0C6DYVTHK"/>
        <s v="B0C6DZMTCP"/>
      </sharedItems>
    </cacheField>
    <cacheField name="展示量" numFmtId="0">
      <sharedItems containsString="0" containsBlank="1" containsNumber="1" containsInteger="1" minValue="0" maxValue="24004" count="21">
        <n v="0"/>
        <n v="744"/>
        <n v="24004"/>
        <n v="1391"/>
        <n v="1679"/>
        <n v="2650"/>
        <n v="4749"/>
        <n v="6329"/>
        <n v="485"/>
        <n v="2431"/>
        <n v="878"/>
        <n v="1685"/>
        <n v="1607"/>
        <n v="60"/>
        <n v="196"/>
        <n v="914"/>
        <n v="2503"/>
        <n v="29"/>
        <n v="261"/>
        <n v="61"/>
        <m/>
      </sharedItems>
    </cacheField>
    <cacheField name="可查看的展现量" numFmtId="0">
      <sharedItems containsString="0" containsBlank="1" containsNumber="1" containsInteger="1" minValue="0" maxValue="304" count="3">
        <n v="0"/>
        <n v="304"/>
        <m/>
      </sharedItems>
    </cacheField>
    <cacheField name="点击量" numFmtId="0">
      <sharedItems containsString="0" containsBlank="1" containsNumber="1" containsInteger="1" minValue="0" maxValue="122" count="11">
        <n v="0"/>
        <n v="1"/>
        <n v="122"/>
        <n v="6"/>
        <n v="14"/>
        <n v="12"/>
        <n v="31"/>
        <n v="7"/>
        <n v="2"/>
        <n v="8"/>
        <m/>
      </sharedItems>
    </cacheField>
    <cacheField name="点击率(CTR)" numFmtId="0">
      <sharedItems containsString="0" containsBlank="1" containsNumber="1" minValue="0" maxValue="0.0083382966051221" count="15">
        <m/>
        <n v="0.00134408602150538"/>
        <n v="0.00508248625229128"/>
        <n v="0.00431344356578001"/>
        <n v="0.0083382966051221"/>
        <n v="0.00452830188679245"/>
        <n v="0.00652769004000842"/>
        <n v="0.000948017064307158"/>
        <n v="0"/>
        <n v="0.00287947346770876"/>
        <n v="0.00227790432801822"/>
        <n v="0.000593471810089021"/>
        <n v="0.00124455507156192"/>
        <n v="0.00510204081632653"/>
        <n v="0.00319616460247703"/>
      </sharedItems>
    </cacheField>
    <cacheField name="14 天商品详情页浏览量 (DPV)" numFmtId="0">
      <sharedItems containsString="0" containsBlank="1" containsNumber="1" containsInteger="1" minValue="0" maxValue="159" count="12">
        <n v="0"/>
        <n v="2"/>
        <n v="159"/>
        <n v="9"/>
        <n v="17"/>
        <n v="25"/>
        <n v="48"/>
        <n v="6"/>
        <n v="11"/>
        <n v="1"/>
        <n v="14"/>
        <m/>
      </sharedItems>
    </cacheField>
    <cacheField name="花费" numFmtId="0">
      <sharedItems containsString="0" containsBlank="1" containsNumber="1" minValue="0" maxValue="100.49" count="16">
        <n v="0"/>
        <n v="0.19"/>
        <n v="100.49"/>
        <n v="3.83"/>
        <n v="9.6"/>
        <n v="5.31"/>
        <n v="16.57"/>
        <n v="1.57"/>
        <n v="0.57623"/>
        <n v="4.19"/>
        <n v="0.58"/>
        <n v="0.23"/>
        <n v="0.75"/>
        <n v="0.35"/>
        <n v="9.57"/>
        <m/>
      </sharedItems>
    </cacheField>
    <cacheField name="每次点击成本(CPC)" numFmtId="0">
      <sharedItems containsString="0" containsBlank="1" containsNumber="1" minValue="0" maxValue="1.19625" count="14">
        <m/>
        <n v="0.19"/>
        <n v="0.823688524590164"/>
        <n v="0.638333333333333"/>
        <n v="0.685714285714286"/>
        <n v="0.4425"/>
        <n v="0.534516129032258"/>
        <n v="0.261666666666667"/>
        <n v="0.598571428571429"/>
        <n v="0.29"/>
        <n v="0.23"/>
        <n v="0.375"/>
        <n v="0.35"/>
        <n v="1.19625"/>
      </sharedItems>
    </cacheField>
    <cacheField name="每 1,000 次可见展示次数的成本 (VCPM)" numFmtId="0">
      <sharedItems containsString="0" containsBlank="1" containsNumber="1" minValue="0" maxValue="1.89549342105263" count="2">
        <m/>
        <n v="1.89549342105263"/>
      </sharedItems>
    </cacheField>
    <cacheField name="广告成本销售比(ACOS)" numFmtId="0">
      <sharedItems containsString="0" containsBlank="1" containsNumber="1" minValue="0" maxValue="0.304209690230342" count="7">
        <m/>
        <n v="0.186161541311597"/>
        <n v="0.304209690230342"/>
        <n v="0.177876598110061"/>
        <n v="0.195978710821999"/>
        <n v="0.131019387116948"/>
        <n v="0.151977131967604"/>
      </sharedItems>
    </cacheField>
    <cacheField name="投入产出比(ROAS)" numFmtId="0">
      <sharedItems containsString="0" containsBlank="1" containsNumber="1" minValue="0" maxValue="7.63245823389021" count="8">
        <m/>
        <n v="0"/>
        <n v="5.37167877400737"/>
        <n v="3.28720626631854"/>
        <n v="5.621875"/>
        <n v="5.10259505129752"/>
        <n v="7.63245823389021"/>
        <n v="6.57993730407523"/>
      </sharedItems>
    </cacheField>
    <cacheField name="14天总订单数(#)" numFmtId="0">
      <sharedItems containsString="0" containsBlank="1" containsNumber="1" containsInteger="1" minValue="0" maxValue="9" count="7">
        <n v="0"/>
        <n v="9"/>
        <n v="1"/>
        <n v="3"/>
        <n v="5"/>
        <n v="2"/>
        <m/>
      </sharedItems>
    </cacheField>
    <cacheField name="14天总销售量(#)" numFmtId="0">
      <sharedItems containsString="0" containsBlank="1" containsNumber="1" containsInteger="1" minValue="0" maxValue="20" count="7">
        <n v="0"/>
        <n v="20"/>
        <n v="1"/>
        <n v="3"/>
        <n v="5"/>
        <n v="2"/>
        <m/>
      </sharedItems>
    </cacheField>
    <cacheField name="14天总销售额" numFmtId="0">
      <sharedItems containsString="0" containsBlank="1" containsNumber="1" minValue="0" maxValue="539.8" count="8">
        <n v="0"/>
        <n v="539.8"/>
        <n v="12.59"/>
        <n v="53.97"/>
        <n v="84.55"/>
        <n v="31.98"/>
        <n v="62.97"/>
        <m/>
      </sharedItems>
    </cacheField>
    <cacheField name="14天内“品牌新买家”订单数量(#)" numFmtId="0">
      <sharedItems containsString="0" containsBlank="1" containsNumber="1" containsInteger="1" minValue="0" maxValue="8" count="7">
        <n v="0"/>
        <n v="8"/>
        <n v="1"/>
        <n v="3"/>
        <n v="5"/>
        <n v="2"/>
        <m/>
      </sharedItems>
    </cacheField>
    <cacheField name="14天内“品牌新买家”销售额" numFmtId="0">
      <sharedItems containsString="0" containsBlank="1" containsNumber="1" minValue="0" maxValue="514.81" count="8">
        <n v="0"/>
        <n v="514.81"/>
        <n v="12.59"/>
        <n v="53.97"/>
        <n v="84.55"/>
        <n v="31.98"/>
        <n v="62.97"/>
        <m/>
      </sharedItems>
    </cacheField>
    <cacheField name="14天内“品牌新买家”商品数量(#)" numFmtId="0">
      <sharedItems containsString="0" containsBlank="1" containsNumber="1" containsInteger="1" minValue="0" maxValue="19" count="7">
        <n v="0"/>
        <n v="19"/>
        <n v="1"/>
        <n v="3"/>
        <n v="5"/>
        <n v="2"/>
        <m/>
      </sharedItems>
    </cacheField>
    <cacheField name="广告投入产出比 (ACOS) 总计 -（点击）" numFmtId="0">
      <sharedItems containsString="0" containsBlank="1" containsNumber="1" minValue="0" maxValue="0.304209690230342" count="7">
        <m/>
        <n v="0.186161541311597"/>
        <n v="0.304209690230342"/>
        <n v="0.177876598110061"/>
        <n v="0.195978710821999"/>
        <n v="0.131019387116948"/>
        <n v="0.151977131967604"/>
      </sharedItems>
    </cacheField>
    <cacheField name="总广告投资回报率 (ROAS) -（点击）" numFmtId="0">
      <sharedItems containsString="0" containsBlank="1" containsNumber="1" minValue="0" maxValue="7.63245823389021" count="8">
        <m/>
        <n v="0"/>
        <n v="5.37167877400737"/>
        <n v="3.28720626631854"/>
        <n v="5.621875"/>
        <n v="5.10259505129752"/>
        <n v="7.63245823389021"/>
        <n v="6.57993730407523"/>
      </sharedItems>
    </cacheField>
    <cacheField name="14 天内订单总量 (#) -（点击）" numFmtId="0">
      <sharedItems containsString="0" containsBlank="1" containsNumber="1" containsInteger="1" minValue="0" maxValue="9" count="7">
        <n v="0"/>
        <n v="9"/>
        <n v="1"/>
        <n v="3"/>
        <n v="5"/>
        <n v="2"/>
        <m/>
      </sharedItems>
    </cacheField>
    <cacheField name="14 天内已售商品总量 (#) -（点击）" numFmtId="0">
      <sharedItems containsString="0" containsBlank="1" containsNumber="1" containsInteger="1" minValue="0" maxValue="20" count="7">
        <n v="0"/>
        <n v="20"/>
        <n v="1"/>
        <n v="3"/>
        <n v="5"/>
        <n v="2"/>
        <m/>
      </sharedItems>
    </cacheField>
    <cacheField name="14 天内总销售额 -（点击）" numFmtId="0">
      <sharedItems containsString="0" containsBlank="1" containsNumber="1" minValue="0" maxValue="539.8" count="8">
        <n v="0"/>
        <n v="539.8"/>
        <n v="12.59"/>
        <n v="53.97"/>
        <n v="84.55"/>
        <n v="31.98"/>
        <n v="62.97"/>
        <m/>
      </sharedItems>
    </cacheField>
    <cacheField name="14 天内“品牌新客”订单数量 (#) -（点击）" numFmtId="0">
      <sharedItems containsString="0" containsBlank="1" containsNumber="1" containsInteger="1" minValue="0" maxValue="8" count="7">
        <n v="0"/>
        <n v="8"/>
        <n v="1"/>
        <n v="3"/>
        <n v="5"/>
        <n v="2"/>
        <m/>
      </sharedItems>
    </cacheField>
    <cacheField name="14 天内“品牌新客”销售额 -（点击）" numFmtId="0">
      <sharedItems containsString="0" containsBlank="1" containsNumber="1" minValue="0" maxValue="514.81" count="8">
        <n v="0"/>
        <n v="514.81"/>
        <n v="12.59"/>
        <n v="53.97"/>
        <n v="84.55"/>
        <n v="31.98"/>
        <n v="62.97"/>
        <m/>
      </sharedItems>
    </cacheField>
    <cacheField name="14 天内“品牌新客”已售商品数量 (#) -（点击）" numFmtId="0">
      <sharedItems containsString="0" containsBlank="1" containsNumber="1" containsInteger="1" minValue="0" maxValue="19" count="7">
        <n v="0"/>
        <n v="19"/>
        <n v="1"/>
        <n v="3"/>
        <n v="5"/>
        <n v="2"/>
        <m/>
      </sharedItems>
    </cacheField>
  </cacheFields>
</pivotCacheDefinition>
</file>

<file path=xl/pivotCache/pivotCacheDefinition60.xml><?xml version="1.0" encoding="utf-8"?>
<pivotCacheDefinition xmlns="http://schemas.openxmlformats.org/spreadsheetml/2006/main" xmlns:r="http://schemas.openxmlformats.org/officeDocument/2006/relationships" r:id="rId1" createdVersion="5" refreshedVersion="5" minRefreshableVersion="3" refreshedDate="45219.6207175926" refreshedBy="Administrator" recordCount="120">
  <cacheSource type="worksheet">
    <worksheetSource ref="I1:AH1048576" sheet="展示型广告9.19-10.18" r:id="rId2"/>
  </cacheSource>
  <cacheFields count="26">
    <cacheField name="广告SKU" numFmtId="0">
      <sharedItems containsBlank="1" count="19">
        <m/>
        <s v="Y9003-1"/>
        <s v="Y9001-BU"/>
        <s v="Y9001-PI"/>
        <s v="Y9001-WH"/>
        <s v="Y9001-GR"/>
        <s v="Y9001-PU"/>
        <s v="Y9002-BU"/>
        <s v="Y9002-BL"/>
        <s v="Y9005-PI"/>
        <s v="Y9005-BU"/>
        <s v="Y9005-WH"/>
        <s v="Y9005-BL"/>
        <s v="Y9004"/>
        <s v="Y9007-12PC"/>
        <s v="Y9007-6PC"/>
        <s v="Y9008"/>
        <s v="Y9007-30PC"/>
        <s v="Y9007-24PC"/>
      </sharedItems>
    </cacheField>
    <cacheField name="广告ASIN" numFmtId="0">
      <sharedItems containsBlank="1" count="19">
        <m/>
        <s v="B0BYCMVK7Q"/>
        <s v="B0BVMG2B48"/>
        <s v="B0BVPN4L87"/>
        <s v="B0BVNW9PY5"/>
        <s v="B0BVMG33FS"/>
        <s v="B0BVMH4Q7J"/>
        <s v="B0BX1X4VP8"/>
        <s v="B0BX252DLT"/>
        <s v="B0BZ3YPHM9"/>
        <s v="B0BZ439ZHM"/>
        <s v="B0BZ3ZZQXL"/>
        <s v="B0BZ3ZMR15"/>
        <s v="B0BYCPT8TG"/>
        <s v="B0C6DXQT1M"/>
        <s v="B0C6DWXLZV"/>
        <s v="B0C7VSGBVP"/>
        <s v="B0C6DYVTHK"/>
        <s v="B0C6DZMTCP"/>
      </sharedItems>
    </cacheField>
    <cacheField name="展示量" numFmtId="0">
      <sharedItems containsString="0" containsBlank="1" containsNumber="1" containsInteger="1" minValue="0" maxValue="67432" count="22">
        <n v="0"/>
        <n v="1100"/>
        <n v="67432"/>
        <n v="2143"/>
        <n v="3416"/>
        <n v="5261"/>
        <n v="6224"/>
        <n v="9356"/>
        <n v="783"/>
        <n v="2738"/>
        <n v="2548"/>
        <n v="3199"/>
        <n v="2787"/>
        <n v="221"/>
        <n v="15"/>
        <n v="325"/>
        <n v="1446"/>
        <n v="3366"/>
        <n v="68"/>
        <n v="590"/>
        <n v="141"/>
        <m/>
      </sharedItems>
    </cacheField>
    <cacheField name="可查看的展现量" numFmtId="0">
      <sharedItems containsString="0" containsBlank="1" containsNumber="1" containsInteger="1" minValue="0" maxValue="456" count="3">
        <n v="0"/>
        <n v="456"/>
        <m/>
      </sharedItems>
    </cacheField>
    <cacheField name="点击量" numFmtId="0">
      <sharedItems containsString="0" containsBlank="1" containsNumber="1" containsInteger="1" minValue="0" maxValue="306" count="10">
        <n v="0"/>
        <n v="1"/>
        <n v="306"/>
        <n v="12"/>
        <n v="21"/>
        <n v="32"/>
        <n v="7"/>
        <n v="2"/>
        <n v="5"/>
        <m/>
      </sharedItems>
    </cacheField>
    <cacheField name="点击率(CTR)" numFmtId="0">
      <sharedItems containsString="0" containsBlank="1" containsNumber="1" minValue="0" maxValue="0.00614754098360656" count="17">
        <m/>
        <n v="0.000909090909090909"/>
        <n v="0.00453790485229565"/>
        <n v="0.0055996266915539"/>
        <n v="0.00614754098360656"/>
        <n v="0.00608249382246721"/>
        <n v="0.0051413881748072"/>
        <n v="0.000748182984181274"/>
        <n v="0"/>
        <n v="0.00255661066471877"/>
        <n v="0.00470957613814757"/>
        <n v="0.000625195373554236"/>
        <n v="0.0017940437746681"/>
        <n v="0.00452488687782805"/>
        <n v="0.00307692307692308"/>
        <n v="0.0035650623885918"/>
        <n v="0.00169491525423729"/>
      </sharedItems>
    </cacheField>
    <cacheField name="14 天商品详情页浏览量 (DPV)" numFmtId="0">
      <sharedItems containsString="0" containsBlank="1" containsNumber="1" containsInteger="1" minValue="0" maxValue="397" count="15">
        <n v="0"/>
        <n v="2"/>
        <n v="397"/>
        <n v="17"/>
        <n v="26"/>
        <n v="58"/>
        <n v="50"/>
        <n v="7"/>
        <n v="11"/>
        <n v="16"/>
        <n v="6"/>
        <n v="1"/>
        <n v="19"/>
        <n v="8"/>
        <m/>
      </sharedItems>
    </cacheField>
    <cacheField name="花费" numFmtId="0">
      <sharedItems containsString="0" containsBlank="1" containsNumber="1" minValue="0" maxValue="235.82" count="18">
        <n v="0"/>
        <n v="0.19"/>
        <n v="235.82"/>
        <n v="6.69"/>
        <n v="13.73"/>
        <n v="11.2"/>
        <n v="17.03"/>
        <n v="1.85"/>
        <n v="0.80909"/>
        <n v="4.19"/>
        <n v="4.69"/>
        <n v="1.31"/>
        <n v="1.71"/>
        <n v="0.16"/>
        <n v="0.35"/>
        <n v="15.49"/>
        <n v="0.41"/>
        <m/>
      </sharedItems>
    </cacheField>
    <cacheField name="每次点击成本(CPC)" numFmtId="0">
      <sharedItems containsString="0" containsBlank="1" containsNumber="1" minValue="0" maxValue="1.29083333333333" count="15">
        <m/>
        <n v="0.19"/>
        <n v="0.770653594771242"/>
        <n v="0.5575"/>
        <n v="0.653809523809524"/>
        <n v="0.35"/>
        <n v="0.5321875"/>
        <n v="0.264285714285714"/>
        <n v="0.598571428571429"/>
        <n v="0.390833333333333"/>
        <n v="0.655"/>
        <n v="0.342"/>
        <n v="0.16"/>
        <n v="1.29083333333333"/>
        <n v="0.41"/>
      </sharedItems>
    </cacheField>
    <cacheField name="每 1,000 次可见展示次数的成本 (VCPM)" numFmtId="0">
      <sharedItems containsString="0" containsBlank="1" containsNumber="1" minValue="0" maxValue="1.7743201754386" count="2">
        <m/>
        <n v="1.7743201754386"/>
      </sharedItems>
    </cacheField>
    <cacheField name="广告成本销售比(ACOS)" numFmtId="0">
      <sharedItems containsString="0" containsBlank="1" containsNumber="1" minValue="0" maxValue="0.889594916600477" count="9">
        <m/>
        <n v="0.334615111741752"/>
        <n v="0.531374106433678"/>
        <n v="0.190800444691495"/>
        <n v="0.889594916600477"/>
        <n v="0.201419278533412"/>
        <n v="0.131019387116948"/>
        <n v="0.37251787132645"/>
        <n v="0.245990154041607"/>
      </sharedItems>
    </cacheField>
    <cacheField name="投入产出比(ROAS)" numFmtId="0">
      <sharedItems containsString="0" containsBlank="1" containsNumber="1" minValue="0" maxValue="7.63245823389021" count="10">
        <m/>
        <n v="0"/>
        <n v="2.98850818420829"/>
        <n v="1.88191330343797"/>
        <n v="5.24107793153678"/>
        <n v="1.12410714285714"/>
        <n v="4.96476805637111"/>
        <n v="7.63245823389021"/>
        <n v="2.68443496801706"/>
        <n v="4.06520335700452"/>
      </sharedItems>
    </cacheField>
    <cacheField name="14天总订单数(#)" numFmtId="0">
      <sharedItems containsString="0" containsBlank="1" containsNumber="1" containsInteger="1" minValue="0" maxValue="14" count="8">
        <n v="0"/>
        <n v="14"/>
        <n v="1"/>
        <n v="4"/>
        <n v="5"/>
        <n v="2"/>
        <n v="3"/>
        <m/>
      </sharedItems>
    </cacheField>
    <cacheField name="14天总销售量(#)" numFmtId="0">
      <sharedItems containsString="0" containsBlank="1" containsNumber="1" containsInteger="1" minValue="0" maxValue="25" count="8">
        <n v="0"/>
        <n v="25"/>
        <n v="1"/>
        <n v="4"/>
        <n v="5"/>
        <n v="2"/>
        <n v="3"/>
        <m/>
      </sharedItems>
    </cacheField>
    <cacheField name="14天总销售额" numFmtId="0">
      <sharedItems containsString="0" containsBlank="1" containsNumber="1" minValue="0" maxValue="704.75" count="8">
        <n v="0"/>
        <n v="704.75"/>
        <n v="12.59"/>
        <n v="71.96"/>
        <n v="84.55"/>
        <n v="31.98"/>
        <n v="62.97"/>
        <m/>
      </sharedItems>
    </cacheField>
    <cacheField name="14天内“品牌新买家”订单数量(#)" numFmtId="0">
      <sharedItems containsString="0" containsBlank="1" containsNumber="1" containsInteger="1" minValue="0" maxValue="13" count="8">
        <n v="0"/>
        <n v="13"/>
        <n v="1"/>
        <n v="4"/>
        <n v="5"/>
        <n v="2"/>
        <n v="3"/>
        <m/>
      </sharedItems>
    </cacheField>
    <cacheField name="14天内“品牌新买家”销售额" numFmtId="0">
      <sharedItems containsString="0" containsBlank="1" containsNumber="1" minValue="0" maxValue="679.76" count="8">
        <n v="0"/>
        <n v="679.76"/>
        <n v="12.59"/>
        <n v="71.96"/>
        <n v="84.55"/>
        <n v="31.98"/>
        <n v="62.97"/>
        <m/>
      </sharedItems>
    </cacheField>
    <cacheField name="14天内“品牌新买家”商品数量(#)" numFmtId="0">
      <sharedItems containsString="0" containsBlank="1" containsNumber="1" containsInteger="1" minValue="0" maxValue="24" count="8">
        <n v="0"/>
        <n v="24"/>
        <n v="1"/>
        <n v="4"/>
        <n v="5"/>
        <n v="2"/>
        <n v="3"/>
        <m/>
      </sharedItems>
    </cacheField>
    <cacheField name="广告投入产出比 (ACOS) 总计 -（点击）" numFmtId="0">
      <sharedItems containsString="0" containsBlank="1" containsNumber="1" minValue="0" maxValue="0.889594916600477" count="9">
        <m/>
        <n v="0.334615111741752"/>
        <n v="0.531374106433678"/>
        <n v="0.190800444691495"/>
        <n v="0.889594916600477"/>
        <n v="0.201419278533412"/>
        <n v="0.131019387116948"/>
        <n v="0.37251787132645"/>
        <n v="0.245990154041607"/>
      </sharedItems>
    </cacheField>
    <cacheField name="总广告投资回报率 (ROAS) -（点击）" numFmtId="0">
      <sharedItems containsString="0" containsBlank="1" containsNumber="1" minValue="0" maxValue="7.63245823389021" count="10">
        <m/>
        <n v="0"/>
        <n v="2.98850818420829"/>
        <n v="1.88191330343797"/>
        <n v="5.24107793153678"/>
        <n v="1.12410714285714"/>
        <n v="4.96476805637111"/>
        <n v="7.63245823389021"/>
        <n v="2.68443496801706"/>
        <n v="4.06520335700452"/>
      </sharedItems>
    </cacheField>
    <cacheField name="14 天内订单总量 (#) -（点击）" numFmtId="0">
      <sharedItems containsString="0" containsBlank="1" containsNumber="1" containsInteger="1" minValue="0" maxValue="14" count="8">
        <n v="0"/>
        <n v="14"/>
        <n v="1"/>
        <n v="4"/>
        <n v="5"/>
        <n v="2"/>
        <n v="3"/>
        <m/>
      </sharedItems>
    </cacheField>
    <cacheField name="14 天内已售商品总量 (#) -（点击）" numFmtId="0">
      <sharedItems containsString="0" containsBlank="1" containsNumber="1" containsInteger="1" minValue="0" maxValue="25" count="8">
        <n v="0"/>
        <n v="25"/>
        <n v="1"/>
        <n v="4"/>
        <n v="5"/>
        <n v="2"/>
        <n v="3"/>
        <m/>
      </sharedItems>
    </cacheField>
    <cacheField name="14 天内总销售额 -（点击）" numFmtId="0">
      <sharedItems containsString="0" containsBlank="1" containsNumber="1" minValue="0" maxValue="704.75" count="8">
        <n v="0"/>
        <n v="704.75"/>
        <n v="12.59"/>
        <n v="71.96"/>
        <n v="84.55"/>
        <n v="31.98"/>
        <n v="62.97"/>
        <m/>
      </sharedItems>
    </cacheField>
    <cacheField name="14 天内“品牌新客”订单数量 (#) -（点击）" numFmtId="0">
      <sharedItems containsString="0" containsBlank="1" containsNumber="1" containsInteger="1" minValue="0" maxValue="13" count="8">
        <n v="0"/>
        <n v="13"/>
        <n v="1"/>
        <n v="4"/>
        <n v="5"/>
        <n v="2"/>
        <n v="3"/>
        <m/>
      </sharedItems>
    </cacheField>
    <cacheField name="14 天内“品牌新客”销售额 -（点击）" numFmtId="0">
      <sharedItems containsString="0" containsBlank="1" containsNumber="1" minValue="0" maxValue="679.76" count="8">
        <n v="0"/>
        <n v="679.76"/>
        <n v="12.59"/>
        <n v="71.96"/>
        <n v="84.55"/>
        <n v="31.98"/>
        <n v="62.97"/>
        <m/>
      </sharedItems>
    </cacheField>
    <cacheField name="14 天内“品牌新客”已售商品数量 (#) -（点击）" numFmtId="0">
      <sharedItems containsString="0" containsBlank="1" containsNumber="1" containsInteger="1" minValue="0" maxValue="24" count="8">
        <n v="0"/>
        <n v="24"/>
        <n v="1"/>
        <n v="4"/>
        <n v="5"/>
        <n v="2"/>
        <n v="3"/>
        <m/>
      </sharedItems>
    </cacheField>
  </cacheFields>
</pivotCacheDefinition>
</file>

<file path=xl/pivotCache/pivotCacheDefinition61.xml><?xml version="1.0" encoding="utf-8"?>
<pivotCacheDefinition xmlns="http://schemas.openxmlformats.org/spreadsheetml/2006/main" xmlns:r="http://schemas.openxmlformats.org/officeDocument/2006/relationships" r:id="rId1" createdVersion="5" refreshedVersion="5" minRefreshableVersion="3" refreshedDate="45219.6223726852" refreshedBy="Administrator" recordCount="10">
  <cacheSource type="worksheet">
    <worksheetSource ref="B1:O1048576" sheet="销售10.12-10.18" r:id="rId2"/>
  </cacheSource>
  <cacheFields count="14">
    <cacheField name="（子）ASIN" numFmtId="0">
      <sharedItems containsBlank="1" count="10">
        <s v="B0CHMKWP67"/>
        <s v="B0CHLZG5KB"/>
        <s v="B0CHMKGDF3"/>
        <s v="B0CHMLHWQQ"/>
        <s v="B0CHMM6HZV"/>
        <s v="B0CHMM7L2T"/>
        <s v="B0CHMMBRZ4"/>
        <s v="B0CHMNYSK4"/>
        <s v="B0CHMPSJXK"/>
        <m/>
      </sharedItems>
    </cacheField>
    <cacheField name="商品名称" numFmtId="0">
      <sharedItems containsBlank="1" count="10">
        <s v="AKELOR Phone Case for LG Stylo 5, LG Stylo 5 Plus/LG Stylo 5V, Heavy Duty Shockproof Armor Protector Case Cover with Belt Clip Holster for LG Stylo 5 6.2 inch Phone Case (Dark Blue+Blue)"/>
        <s v="AKELOR 2 Tier Fruit Basket Bowl, Portable Fruit Bowl Basket with Wood Lift Handle, Metal Fruit Basket for Kitchen Countertop Organizer, Bread Snack Veggies Potato (White)"/>
        <s v="AKELOR Phone Case for LG Stylo 5, LG Stylo 5 Plus/LG Stylo 5V, Heavy Duty Shockproof Armor Protector Case Cover with Belt Clip Holster for LG Stylo 5 6.2 inch Phone Case (Black)"/>
        <s v="AKELOR Phone Case for LG Stylo 5, LG Stylo 5 Plus/LG Stylo 5V, Heavy Duty Shockproof Armor Protector Case Cover with Belt Clip Holster for LG Stylo 5 6.2 inch Phone Case (Black+Orange)"/>
        <s v="AKELOR Phone Case for Samsung Galaxy A12 5G Case,Heavy Duty Shockproof Armor Protector Case Cover with Belt Clip Holster for Samsung Galaxy A12 5G Phone Case (Dark Blue+Blue)"/>
        <s v="AKELOR Phone Case for Samsung Galaxy A12 5G Case,Heavy Duty Shockproof Armor Protector Case Cover with Belt Clip Holster for Samsung Galaxy A12 5G Phone Case (Black+Orange)"/>
        <s v="AKELOR Phone Case for Samsung Galaxy A12 5G Case,Heavy Duty Shockproof Armor Protector Case Cover with Belt Clip Holster for Samsung Galaxy A12 5G Phone Case (Black)"/>
        <s v="AKELOR Phone Case for Samsung Galaxy A32 5G Case,Heavy Duty Shockproof Armor Protector Case Cover with Belt Clip Holster for Samsung Galaxy A32 5G 6.5 inch Phone Case (Black)"/>
        <s v="AKELOR Phone Case for Samsung Galaxy A32 5G Case,Heavy Duty Shockproof Armor Protector Case Cover with Belt Clip Holster for Samsung Galaxy A32 5G 6.5 inch Phone Case (Black+Orange)"/>
        <m/>
      </sharedItems>
    </cacheField>
    <cacheField name="SKU" numFmtId="0">
      <sharedItems containsBlank="1" count="10">
        <s v="Y102000-DB+Y102013+Y102749"/>
        <s v="Y10025-WH"/>
        <s v="Y102000-BL+Y102013+Y102749"/>
        <s v="Y102000-OR+Y102013+Y102749"/>
        <s v="Y103106-DB+Y103109+Y103112"/>
        <s v="Y103106-OR+Y103109+Y103112"/>
        <s v="Y103106-BL+Y103109+Y103112"/>
        <s v="Y103230-BL+Y1003231+Y1003240"/>
        <s v="Y103230-OR+Y1003231+Y1003240"/>
        <m/>
      </sharedItems>
    </cacheField>
    <cacheField name="会话次数 – 总计" numFmtId="0">
      <sharedItems containsString="0" containsBlank="1" containsNumber="1" containsInteger="1" minValue="0" maxValue="18" count="8">
        <n v="17"/>
        <n v="8"/>
        <n v="12"/>
        <n v="10"/>
        <n v="4"/>
        <n v="14"/>
        <n v="18"/>
        <m/>
      </sharedItems>
    </cacheField>
    <cacheField name="会话次数 – 总计 – B2B" numFmtId="0">
      <sharedItems containsString="0" containsBlank="1" containsNumber="1" containsInteger="1" minValue="0" maxValue="1" count="3">
        <n v="0"/>
        <n v="1"/>
        <m/>
      </sharedItems>
    </cacheField>
    <cacheField name="会话百分比 – 总计" numFmtId="0">
      <sharedItems containsString="0" containsBlank="1" containsNumber="1" minValue="0" maxValue="0.1782" count="8">
        <n v="0.1683"/>
        <n v="0.0792"/>
        <n v="0.1188"/>
        <n v="0.099"/>
        <n v="0.0396"/>
        <n v="0.1386"/>
        <n v="0.1782"/>
        <m/>
      </sharedItems>
    </cacheField>
    <cacheField name="会话百分比 – 总计 – B2B" numFmtId="0">
      <sharedItems containsString="0" containsBlank="1" containsNumber="1" minValue="0" maxValue="0.5" count="3">
        <n v="0"/>
        <n v="0.5"/>
        <m/>
      </sharedItems>
    </cacheField>
    <cacheField name="页面浏览量 – 总计" numFmtId="0">
      <sharedItems containsString="0" containsBlank="1" containsNumber="1" containsInteger="1" minValue="0" maxValue="26" count="9">
        <n v="22"/>
        <n v="9"/>
        <n v="15"/>
        <n v="10"/>
        <n v="5"/>
        <n v="12"/>
        <n v="16"/>
        <n v="26"/>
        <m/>
      </sharedItems>
    </cacheField>
    <cacheField name="页面浏览量 – 总计 – B2B" numFmtId="0">
      <sharedItems containsString="0" containsBlank="1" containsNumber="1" containsInteger="1" minValue="0" maxValue="2" count="4">
        <n v="0"/>
        <n v="2"/>
        <n v="1"/>
        <m/>
      </sharedItems>
    </cacheField>
    <cacheField name="页面浏览量百分比 – 总计" numFmtId="0">
      <sharedItems containsString="0" containsBlank="1" containsNumber="1" minValue="0" maxValue="0.2097" count="9">
        <n v="0.1774"/>
        <n v="0.0726"/>
        <n v="0.121"/>
        <n v="0.0806"/>
        <n v="0.0403"/>
        <n v="0.0968"/>
        <n v="0.129"/>
        <n v="0.2097"/>
        <m/>
      </sharedItems>
    </cacheField>
    <cacheField name="页面浏览量百分比 – 总计 – B2B" numFmtId="0">
      <sharedItems containsString="0" containsBlank="1" containsNumber="1" minValue="0" maxValue="0.6667" count="4">
        <n v="0"/>
        <n v="0.6667"/>
        <n v="0.3333"/>
        <m/>
      </sharedItems>
    </cacheField>
    <cacheField name="推荐报价（购买按钮）百分比" numFmtId="0">
      <sharedItems containsString="0" containsBlank="1" containsNumber="1" containsInteger="1" minValue="0" maxValue="1" count="2">
        <n v="1"/>
        <m/>
      </sharedItems>
    </cacheField>
    <cacheField name="推荐报价（购买按钮）百分比 – B2B" numFmtId="0">
      <sharedItems containsString="0" containsBlank="1" containsNumber="1" containsInteger="1" minValue="0" maxValue="1" count="3">
        <n v="0"/>
        <n v="1"/>
        <m/>
      </sharedItems>
    </cacheField>
    <cacheField name="已订购商品数量" numFmtId="0">
      <sharedItems containsString="0" containsBlank="1" containsNumber="1" containsInteger="1" minValue="0" maxValue="3" count="3">
        <n v="3"/>
        <n v="1"/>
        <m/>
      </sharedItems>
    </cacheField>
  </cacheFields>
</pivotCacheDefinition>
</file>

<file path=xl/pivotCache/pivotCacheDefinition62.xml><?xml version="1.0" encoding="utf-8"?>
<pivotCacheDefinition xmlns="http://schemas.openxmlformats.org/spreadsheetml/2006/main" xmlns:r="http://schemas.openxmlformats.org/officeDocument/2006/relationships" r:id="rId1" createdVersion="5" refreshedVersion="5" minRefreshableVersion="3" refreshedDate="45219.6224305556" refreshedBy="Administrator" recordCount="12">
  <cacheSource type="worksheet">
    <worksheetSource ref="B1:O1048576" sheet="销售10.04-10.18" r:id="rId2"/>
  </cacheSource>
  <cacheFields count="14">
    <cacheField name="（子）ASIN" numFmtId="0">
      <sharedItems containsBlank="1" count="12">
        <s v="B0CHMKWP67"/>
        <s v="B0CHMM6HZV"/>
        <s v="B0CHMMDTDL"/>
        <s v="B0CHMNYSK4"/>
        <s v="B0CHLZG5KB"/>
        <s v="B0CHMKGDF3"/>
        <s v="B0CHMLHWQQ"/>
        <s v="B0CHMLMTL1"/>
        <s v="B0CHMM7L2T"/>
        <s v="B0CHMMBRZ4"/>
        <s v="B0CHMPSJXK"/>
        <m/>
      </sharedItems>
    </cacheField>
    <cacheField name="商品名称" numFmtId="0">
      <sharedItems containsBlank="1" count="12">
        <s v="AKELOR Phone Case for LG Stylo 5, LG Stylo 5 Plus/LG Stylo 5V, Heavy Duty Shockproof Armor Protector Case Cover with Belt Clip Holster for LG Stylo 5 6.2 inch Phone Case (Dark Blue+Blue)"/>
        <s v="AKELOR Phone Case for Samsung Galaxy A12 5G Case,Heavy Duty Shockproof Armor Protector Case Cover with Belt Clip Holster for Samsung Galaxy A12 5G Phone Case (Dark Blue+Blue)"/>
        <s v="AKELOR Phone Case for Samsung Galaxy A32 5G Case,Heavy Duty Shockproof Armor Protector Case Cover with Belt Clip Holster for Samsung Galaxy A32 5G 6.5 inch Phone Case (Dark Blue+Blue)"/>
        <s v="AKELOR Phone Case for Samsung Galaxy A32 5G Case,Heavy Duty Shockproof Armor Protector Case Cover with Belt Clip Holster for Samsung Galaxy A32 5G 6.5 inch Phone Case (Black)"/>
        <s v="AKELOR 2 Tier Fruit Basket Bowl, Portable Fruit Bowl Basket with Wood Lift Handle, Metal Fruit Basket for Kitchen Countertop Organizer, Bread Snack Veggies Potato (White)"/>
        <s v="AKELOR Phone Case for LG Stylo 5, LG Stylo 5 Plus/LG Stylo 5V, Heavy Duty Shockproof Armor Protector Case Cover with Belt Clip Holster for LG Stylo 5 6.2 inch Phone Case (Black)"/>
        <s v="AKELOR Phone Case for LG Stylo 5, LG Stylo 5 Plus/LG Stylo 5V, Heavy Duty Shockproof Armor Protector Case Cover with Belt Clip Holster for LG Stylo 5 6.2 inch Phone Case (Black+Orange)"/>
        <s v="AKELOR Phone Case for Samsung Galaxy A02S Case,Heavy Duty Shockproof Armor Protector Case Cover with Belt Clip Holster for Samsung Galaxy A02S 6.5 inch Phone Case (Black)"/>
        <s v="AKELOR Phone Case for Samsung Galaxy A12 5G Case,Heavy Duty Shockproof Armor Protector Case Cover with Belt Clip Holster for Samsung Galaxy A12 5G Phone Case (Black+Orange)"/>
        <s v="AKELOR Phone Case for Samsung Galaxy A12 5G Case,Heavy Duty Shockproof Armor Protector Case Cover with Belt Clip Holster for Samsung Galaxy A12 5G Phone Case (Black)"/>
        <s v="AKELOR Phone Case for Samsung Galaxy A32 5G Case,Heavy Duty Shockproof Armor Protector Case Cover with Belt Clip Holster for Samsung Galaxy A32 5G 6.5 inch Phone Case (Black+Orange)"/>
        <m/>
      </sharedItems>
    </cacheField>
    <cacheField name="SKU" numFmtId="0">
      <sharedItems containsBlank="1" count="12">
        <s v="Y102000-DB+Y102013+Y102749"/>
        <s v="Y103106-DB+Y103109+Y103112"/>
        <s v="Y103230-DB+Y1003231+Y1003240"/>
        <s v="Y103230-BL+Y1003231+Y1003240"/>
        <s v="Y10025-WH"/>
        <s v="Y102000-BL+Y102013+Y102749"/>
        <s v="Y102000-OR+Y102013+Y102749"/>
        <s v="Y103040-BL+Y103045+Y103043"/>
        <s v="Y103106-OR+Y103109+Y103112"/>
        <s v="Y103106-BL+Y103109+Y103112"/>
        <s v="Y103230-OR+Y1003231+Y1003240"/>
        <m/>
      </sharedItems>
    </cacheField>
    <cacheField name="会话次数 – 总计" numFmtId="0">
      <sharedItems containsString="0" containsBlank="1" containsNumber="1" containsInteger="1" minValue="0" maxValue="30" count="10">
        <n v="21"/>
        <n v="14"/>
        <n v="30"/>
        <n v="8"/>
        <n v="19"/>
        <n v="12"/>
        <n v="7"/>
        <n v="9"/>
        <n v="23"/>
        <m/>
      </sharedItems>
    </cacheField>
    <cacheField name="会话次数 – 总计 – B2B" numFmtId="0">
      <sharedItems containsString="0" containsBlank="1" containsNumber="1" containsInteger="1" minValue="0" maxValue="1" count="3">
        <n v="0"/>
        <n v="1"/>
        <m/>
      </sharedItems>
    </cacheField>
    <cacheField name="会话百分比 – 总计" numFmtId="0">
      <sharedItems containsString="0" containsBlank="1" containsNumber="1" minValue="0" maxValue="0.1705" count="10">
        <n v="0.1193"/>
        <n v="0.0795"/>
        <n v="0.1705"/>
        <n v="0.0455"/>
        <n v="0.108"/>
        <n v="0.0682"/>
        <n v="0.0398"/>
        <n v="0.0511"/>
        <n v="0.1307"/>
        <m/>
      </sharedItems>
    </cacheField>
    <cacheField name="会话百分比 – 总计 – B2B" numFmtId="0">
      <sharedItems containsString="0" containsBlank="1" containsNumber="1" minValue="0" maxValue="0.5" count="3">
        <n v="0"/>
        <n v="0.5"/>
        <m/>
      </sharedItems>
    </cacheField>
    <cacheField name="页面浏览量 – 总计" numFmtId="0">
      <sharedItems containsString="0" containsBlank="1" containsNumber="1" containsInteger="1" minValue="0" maxValue="40" count="11">
        <n v="26"/>
        <n v="16"/>
        <n v="40"/>
        <n v="24"/>
        <n v="9"/>
        <n v="12"/>
        <n v="7"/>
        <n v="14"/>
        <n v="15"/>
        <n v="32"/>
        <m/>
      </sharedItems>
    </cacheField>
    <cacheField name="页面浏览量 – 总计 – B2B" numFmtId="0">
      <sharedItems containsString="0" containsBlank="1" containsNumber="1" containsInteger="1" minValue="0" maxValue="2" count="4">
        <n v="0"/>
        <n v="2"/>
        <n v="1"/>
        <m/>
      </sharedItems>
    </cacheField>
    <cacheField name="页面浏览量百分比 – 总计" numFmtId="0">
      <sharedItems containsString="0" containsBlank="1" containsNumber="1" minValue="0" maxValue="0.1826" count="11">
        <n v="0.1187"/>
        <n v="0.0731"/>
        <n v="0.1826"/>
        <n v="0.1096"/>
        <n v="0.0411"/>
        <n v="0.0548"/>
        <n v="0.032"/>
        <n v="0.0639"/>
        <n v="0.0685"/>
        <n v="0.1461"/>
        <m/>
      </sharedItems>
    </cacheField>
    <cacheField name="页面浏览量百分比 – 总计 – B2B" numFmtId="0">
      <sharedItems containsString="0" containsBlank="1" containsNumber="1" minValue="0" maxValue="0.6667" count="4">
        <n v="0"/>
        <n v="0.6667"/>
        <n v="0.3333"/>
        <m/>
      </sharedItems>
    </cacheField>
    <cacheField name="推荐报价（购买按钮）百分比" numFmtId="0">
      <sharedItems containsString="0" containsBlank="1" containsNumber="1" containsInteger="1" minValue="0" maxValue="1" count="2">
        <n v="1"/>
        <m/>
      </sharedItems>
    </cacheField>
    <cacheField name="推荐报价（购买按钮）百分比 – B2B" numFmtId="0">
      <sharedItems containsString="0" containsBlank="1" containsNumber="1" containsInteger="1" minValue="0" maxValue="1" count="3">
        <n v="0"/>
        <n v="1"/>
        <m/>
      </sharedItems>
    </cacheField>
    <cacheField name="已订购商品数量" numFmtId="0">
      <sharedItems containsString="0" containsBlank="1" containsNumber="1" containsInteger="1" minValue="0" maxValue="3" count="4">
        <n v="3"/>
        <n v="2"/>
        <n v="1"/>
        <m/>
      </sharedItems>
    </cacheField>
  </cacheFields>
</pivotCacheDefinition>
</file>

<file path=xl/pivotCache/pivotCacheDefinition63.xml><?xml version="1.0" encoding="utf-8"?>
<pivotCacheDefinition xmlns="http://schemas.openxmlformats.org/spreadsheetml/2006/main" xmlns:r="http://schemas.openxmlformats.org/officeDocument/2006/relationships" r:id="rId1" createdVersion="5" refreshedVersion="5" minRefreshableVersion="3" refreshedDate="45219.6224884259" refreshedBy="Administrator" recordCount="12">
  <cacheSource type="worksheet">
    <worksheetSource ref="B1:O1048576" sheet="销售9.19-10.18" r:id="rId2"/>
  </cacheSource>
  <cacheFields count="14">
    <cacheField name="（子）ASIN" numFmtId="0">
      <sharedItems containsBlank="1" count="12">
        <s v="B0CHMKWP67"/>
        <s v="B0CHMM6HZV"/>
        <s v="B0CHMMDTDL"/>
        <s v="B0CHMNYSK4"/>
        <s v="B0CHLZG5KB"/>
        <s v="B0CHMKGDF3"/>
        <s v="B0CHMLHWQQ"/>
        <s v="B0CHMLMTL1"/>
        <s v="B0CHMM7L2T"/>
        <s v="B0CHMMBRZ4"/>
        <s v="B0CHMPSJXK"/>
        <m/>
      </sharedItems>
    </cacheField>
    <cacheField name="商品名称" numFmtId="0">
      <sharedItems containsBlank="1" count="12">
        <s v="AKELOR Phone Case for LG Stylo 5, LG Stylo 5 Plus/LG Stylo 5V, Heavy Duty Shockproof Armor Protector Case Cover with Belt Clip Holster for LG Stylo 5 6.2 inch Phone Case (Dark Blue+Blue)"/>
        <s v="AKELOR Phone Case for Samsung Galaxy A12 5G Case,Heavy Duty Shockproof Armor Protector Case Cover with Belt Clip Holster for Samsung Galaxy A12 5G Phone Case (Dark Blue+Blue)"/>
        <s v="AKELOR Phone Case for Samsung Galaxy A32 5G Case,Heavy Duty Shockproof Armor Protector Case Cover with Belt Clip Holster for Samsung Galaxy A32 5G 6.5 inch Phone Case (Dark Blue+Blue)"/>
        <s v="AKELOR Phone Case for Samsung Galaxy A32 5G Case,Heavy Duty Shockproof Armor Protector Case Cover with Belt Clip Holster for Samsung Galaxy A32 5G 6.5 inch Phone Case (Black)"/>
        <s v="AKELOR 2 Tier Fruit Basket Bowl, Portable Fruit Bowl Basket with Wood Lift Handle, Metal Fruit Basket for Kitchen Countertop Organizer, Bread Snack Veggies Potato (White)"/>
        <s v="AKELOR Phone Case for LG Stylo 5, LG Stylo 5 Plus/LG Stylo 5V, Heavy Duty Shockproof Armor Protector Case Cover with Belt Clip Holster for LG Stylo 5 6.2 inch Phone Case (Black)"/>
        <s v="AKELOR Phone Case for LG Stylo 5, LG Stylo 5 Plus/LG Stylo 5V, Heavy Duty Shockproof Armor Protector Case Cover with Belt Clip Holster for LG Stylo 5 6.2 inch Phone Case (Black+Orange)"/>
        <s v="AKELOR Phone Case for Samsung Galaxy A02S Case,Heavy Duty Shockproof Armor Protector Case Cover with Belt Clip Holster for Samsung Galaxy A02S 6.5 inch Phone Case (Black)"/>
        <s v="AKELOR Phone Case for Samsung Galaxy A12 5G Case,Heavy Duty Shockproof Armor Protector Case Cover with Belt Clip Holster for Samsung Galaxy A12 5G Phone Case (Black+Orange)"/>
        <s v="AKELOR Phone Case for Samsung Galaxy A12 5G Case,Heavy Duty Shockproof Armor Protector Case Cover with Belt Clip Holster for Samsung Galaxy A12 5G Phone Case (Black)"/>
        <s v="AKELOR Phone Case for Samsung Galaxy A32 5G Case,Heavy Duty Shockproof Armor Protector Case Cover with Belt Clip Holster for Samsung Galaxy A32 5G 6.5 inch Phone Case (Black+Orange)"/>
        <m/>
      </sharedItems>
    </cacheField>
    <cacheField name="SKU" numFmtId="0">
      <sharedItems containsBlank="1" count="12">
        <s v="Y102000-DB+Y102013+Y102749"/>
        <s v="Y103106-DB+Y103109+Y103112"/>
        <s v="Y103230-DB+Y1003231+Y1003240"/>
        <s v="Y103230-BL+Y1003231+Y1003240"/>
        <s v="Y10025-WH"/>
        <s v="Y102000-BL+Y102013+Y102749"/>
        <s v="Y102000-OR+Y102013+Y102749"/>
        <s v="Y103040-BL+Y103045+Y103043"/>
        <s v="Y103106-OR+Y103109+Y103112"/>
        <s v="Y103106-BL+Y103109+Y103112"/>
        <s v="Y103230-OR+Y1003231+Y1003240"/>
        <m/>
      </sharedItems>
    </cacheField>
    <cacheField name="会话次数 – 总计" numFmtId="0">
      <sharedItems containsString="0" containsBlank="1" containsNumber="1" containsInteger="1" minValue="0" maxValue="30" count="12">
        <n v="21"/>
        <n v="15"/>
        <n v="30"/>
        <n v="23"/>
        <n v="8"/>
        <n v="19"/>
        <n v="13"/>
        <n v="10"/>
        <n v="11"/>
        <n v="14"/>
        <n v="25"/>
        <m/>
      </sharedItems>
    </cacheField>
    <cacheField name="会话次数 – 总计 – B2B" numFmtId="0">
      <sharedItems containsString="0" containsBlank="1" containsNumber="1" containsInteger="1" minValue="0" maxValue="1" count="3">
        <n v="0"/>
        <n v="1"/>
        <m/>
      </sharedItems>
    </cacheField>
    <cacheField name="会话百分比 – 总计" numFmtId="0">
      <sharedItems containsString="0" containsBlank="1" containsNumber="1" minValue="0" maxValue="0.1587" count="12">
        <n v="0.1111"/>
        <n v="0.0794"/>
        <n v="0.1587"/>
        <n v="0.1217"/>
        <n v="0.0423"/>
        <n v="0.1005"/>
        <n v="0.0688"/>
        <n v="0.0529"/>
        <n v="0.0582"/>
        <n v="0.0741"/>
        <n v="0.1323"/>
        <m/>
      </sharedItems>
    </cacheField>
    <cacheField name="会话百分比 – 总计 – B2B" numFmtId="0">
      <sharedItems containsString="0" containsBlank="1" containsNumber="1" minValue="0" maxValue="0.5" count="3">
        <n v="0"/>
        <n v="0.5"/>
        <m/>
      </sharedItems>
    </cacheField>
    <cacheField name="页面浏览量 – 总计" numFmtId="0">
      <sharedItems containsString="0" containsBlank="1" containsNumber="1" containsInteger="1" minValue="0" maxValue="40" count="12">
        <n v="26"/>
        <n v="17"/>
        <n v="40"/>
        <n v="27"/>
        <n v="9"/>
        <n v="24"/>
        <n v="13"/>
        <n v="11"/>
        <n v="16"/>
        <n v="19"/>
        <n v="34"/>
        <m/>
      </sharedItems>
    </cacheField>
    <cacheField name="页面浏览量 – 总计 – B2B" numFmtId="0">
      <sharedItems containsString="0" containsBlank="1" containsNumber="1" containsInteger="1" minValue="0" maxValue="2" count="4">
        <n v="0"/>
        <n v="2"/>
        <n v="1"/>
        <m/>
      </sharedItems>
    </cacheField>
    <cacheField name="页面浏览量百分比 – 总计" numFmtId="0">
      <sharedItems containsString="0" containsBlank="1" containsNumber="1" minValue="0" maxValue="0.1695" count="12">
        <n v="0.1102"/>
        <n v="0.072"/>
        <n v="0.1695"/>
        <n v="0.1144"/>
        <n v="0.0381"/>
        <n v="0.1017"/>
        <n v="0.0551"/>
        <n v="0.0466"/>
        <n v="0.0678"/>
        <n v="0.0805"/>
        <n v="0.1441"/>
        <m/>
      </sharedItems>
    </cacheField>
    <cacheField name="页面浏览量百分比 – 总计 – B2B" numFmtId="0">
      <sharedItems containsString="0" containsBlank="1" containsNumber="1" minValue="0" maxValue="0.6667" count="4">
        <n v="0"/>
        <n v="0.6667"/>
        <n v="0.3333"/>
        <m/>
      </sharedItems>
    </cacheField>
    <cacheField name="推荐报价（购买按钮）百分比" numFmtId="0">
      <sharedItems containsString="0" containsBlank="1" containsNumber="1" containsInteger="1" minValue="0" maxValue="1" count="2">
        <n v="1"/>
        <m/>
      </sharedItems>
    </cacheField>
    <cacheField name="推荐报价（购买按钮）百分比 – B2B" numFmtId="0">
      <sharedItems containsString="0" containsBlank="1" containsNumber="1" containsInteger="1" minValue="0" maxValue="1" count="3">
        <n v="0"/>
        <n v="1"/>
        <m/>
      </sharedItems>
    </cacheField>
    <cacheField name="已订购商品数量" numFmtId="0">
      <sharedItems containsString="0" containsBlank="1" containsNumber="1" containsInteger="1" minValue="0" maxValue="3" count="4">
        <n v="3"/>
        <n v="2"/>
        <n v="1"/>
        <m/>
      </sharedItems>
    </cacheField>
  </cacheFields>
</pivotCacheDefinition>
</file>

<file path=xl/pivotCache/pivotCacheDefinition64.xml><?xml version="1.0" encoding="utf-8"?>
<pivotCacheDefinition xmlns="http://schemas.openxmlformats.org/spreadsheetml/2006/main" xmlns:r="http://schemas.openxmlformats.org/officeDocument/2006/relationships" r:id="rId1" createdVersion="5" refreshedVersion="5" minRefreshableVersion="3" refreshedDate="45219.622650463" refreshedBy="Administrator" recordCount="39">
  <cacheSource type="worksheet">
    <worksheetSource ref="G1:W1048576" sheet="广告10.12-10.18" r:id="rId2"/>
  </cacheSource>
  <cacheFields count="19">
    <cacheField name="广告SKU" numFmtId="0">
      <sharedItems containsBlank="1" count="20">
        <s v="Y103230-OR+Y1003231+Y1003240"/>
        <s v="Y103230-DB+Y1003231+Y1003240"/>
        <s v="Y103230-BL+Y1003231+Y1003240"/>
        <s v="Y103040-OR+Y103045+Y103043"/>
        <s v="Y103040-BL+Y103045+Y103043"/>
        <s v="Y103040-DB+Y103045+Y103043"/>
        <s v="Y103134-BL+Y103137+Y103268"/>
        <s v="Y103134-DB+Y103137+Y103268"/>
        <s v="Y103134-OR+Y103137+Y103268"/>
        <s v="Y102000-BL+Y102013+Y102749"/>
        <s v="Y102000-OR+Y102013+Y102749"/>
        <s v="Y102000-DB+Y102013+Y102749"/>
        <s v="Y103106-BL+Y103109+Y103112"/>
        <s v="Y103106-OR+Y103109+Y103112"/>
        <s v="Y103106-DB+Y103109+Y103112"/>
        <s v="Y10025-BL"/>
        <s v="Y10025-WH"/>
        <s v="Y10027-3"/>
        <s v="Y10027-6"/>
        <m/>
      </sharedItems>
    </cacheField>
    <cacheField name="广告ASIN" numFmtId="0">
      <sharedItems containsBlank="1" count="20">
        <s v="B0CHMPSJXK"/>
        <s v="B0CHMMDTDL"/>
        <s v="B0CHMNYSK4"/>
        <s v="B0CHMKL2HT"/>
        <s v="B0CHMLMTL1"/>
        <s v="B0CHMLRBC5"/>
        <s v="B0CHMMKNF1"/>
        <s v="B0CHMMQZ2X"/>
        <s v="B0CHMNYGFS"/>
        <s v="B0CHMKGDF3"/>
        <s v="B0CHMLHWQQ"/>
        <s v="B0CHMKWP67"/>
        <s v="B0CHMMBRZ4"/>
        <s v="B0CHMM7L2T"/>
        <s v="B0CHMM6HZV"/>
        <s v="B0CHLZ6SKB"/>
        <s v="B0CHLZG5KB"/>
        <s v="B0CHLZCRRS"/>
        <s v="B0CHM2HNK4"/>
        <m/>
      </sharedItems>
    </cacheField>
    <cacheField name="展示量" numFmtId="0">
      <sharedItems containsString="0" containsBlank="1" containsNumber="1" containsInteger="1" minValue="0" maxValue="2284" count="37">
        <n v="281"/>
        <n v="203"/>
        <n v="138"/>
        <n v="77"/>
        <n v="16"/>
        <n v="2284"/>
        <n v="1577"/>
        <n v="1769"/>
        <n v="388"/>
        <n v="110"/>
        <n v="205"/>
        <n v="153"/>
        <n v="87"/>
        <n v="56"/>
        <n v="603"/>
        <n v="664"/>
        <n v="560"/>
        <n v="756"/>
        <n v="227"/>
        <n v="299"/>
        <n v="1413"/>
        <n v="1304"/>
        <n v="425"/>
        <n v="1132"/>
        <n v="699"/>
        <n v="831"/>
        <n v="62"/>
        <n v="29"/>
        <n v="8"/>
        <n v="219"/>
        <n v="285"/>
        <n v="330"/>
        <n v="1525"/>
        <n v="883"/>
        <n v="1177"/>
        <n v="22"/>
        <m/>
      </sharedItems>
    </cacheField>
    <cacheField name="点击量" numFmtId="0">
      <sharedItems containsString="0" containsBlank="1" containsNumber="1" containsInteger="1" minValue="0" maxValue="17" count="12">
        <n v="0"/>
        <n v="1"/>
        <n v="17"/>
        <n v="14"/>
        <n v="5"/>
        <n v="3"/>
        <n v="2"/>
        <n v="7"/>
        <n v="8"/>
        <n v="6"/>
        <n v="11"/>
        <m/>
      </sharedItems>
    </cacheField>
    <cacheField name="点击率(CTR)" numFmtId="0">
      <sharedItems containsString="0" containsBlank="1" containsNumber="1" minValue="0" maxValue="0.01323706377858" count="24">
        <n v="0"/>
        <n v="0.0072463768115942"/>
        <n v="0.0074430823117338"/>
        <n v="0.00887761572606214"/>
        <n v="0.00282645562464669"/>
        <n v="0.0077319587628866"/>
        <n v="0.00909090909090909"/>
        <n v="0.0048780487804878"/>
        <n v="0.0033167495854063"/>
        <n v="0.00178571428571429"/>
        <n v="0.00396825396825397"/>
        <n v="0.00440528634361234"/>
        <n v="0.00334448160535117"/>
        <n v="0.00495399858457183"/>
        <n v="0.00153374233128834"/>
        <n v="0.00705882352941176"/>
        <n v="0.00706713780918728"/>
        <n v="0.00858369098712446"/>
        <n v="0.01323706377858"/>
        <n v="0.00701754385964912"/>
        <n v="0.00303030303030303"/>
        <n v="0.00327868852459016"/>
        <n v="0.000849617672047579"/>
        <m/>
      </sharedItems>
    </cacheField>
    <cacheField name="每次点击成本(CPC)" numFmtId="0">
      <sharedItems containsString="0" containsBlank="1" containsNumber="1" minValue="0" maxValue="1.25" count="19">
        <m/>
        <n v="0.37"/>
        <n v="0.469411764705882"/>
        <n v="0.469285714285714"/>
        <n v="0.44"/>
        <n v="0.45"/>
        <n v="0.425"/>
        <n v="0.51"/>
        <n v="0.373333333333333"/>
        <n v="0.46"/>
        <n v="0.472857142857143"/>
        <n v="0.475"/>
        <n v="0.43875"/>
        <n v="0.416666666666667"/>
        <n v="0.440909090909091"/>
        <n v="0.525"/>
        <n v="1.13"/>
        <n v="1.024"/>
        <n v="1.25"/>
      </sharedItems>
    </cacheField>
    <cacheField name="花费" numFmtId="0">
      <sharedItems containsString="0" containsBlank="1" containsNumber="1" minValue="0" maxValue="7.98" count="21">
        <n v="0"/>
        <n v="0.37"/>
        <n v="7.98"/>
        <n v="6.57"/>
        <n v="2.2"/>
        <n v="1.32"/>
        <n v="0.45"/>
        <n v="0.85"/>
        <n v="0.51"/>
        <n v="1.12"/>
        <n v="0.46"/>
        <n v="3.31"/>
        <n v="0.95"/>
        <n v="3.51"/>
        <n v="2.5"/>
        <n v="4.85"/>
        <n v="1.05"/>
        <n v="1.13"/>
        <n v="5.12"/>
        <n v="1.25"/>
        <m/>
      </sharedItems>
    </cacheField>
    <cacheField name="7天总销售额" numFmtId="0">
      <sharedItems containsString="0" containsBlank="1" containsNumber="1" minValue="0" maxValue="24.98" count="6">
        <n v="0"/>
        <n v="24.98"/>
        <n v="12.99"/>
        <n v="11.99"/>
        <n v="19.99"/>
        <m/>
      </sharedItems>
    </cacheField>
    <cacheField name="广告成本销售比(ACOS)" numFmtId="0">
      <sharedItems containsString="0" containsBlank="1" containsNumber="1" minValue="0" maxValue="0.373364126250962" count="7">
        <m/>
        <n v="0.319455564451561"/>
        <n v="0.254811393379523"/>
        <n v="0.0380304243394716"/>
        <n v="0.292743953294412"/>
        <n v="0.373364126250962"/>
        <n v="0.256128064032016"/>
      </sharedItems>
    </cacheField>
    <cacheField name="投入产出比(ROAS)" numFmtId="0">
      <sharedItems containsString="0" containsBlank="1" containsNumber="1" minValue="0" maxValue="26.2947368421053" count="8">
        <m/>
        <n v="0"/>
        <n v="3.13032581453634"/>
        <n v="3.92447129909366"/>
        <n v="26.2947368421053"/>
        <n v="3.41595441595442"/>
        <n v="2.67835051546392"/>
        <n v="3.904296875"/>
      </sharedItems>
    </cacheField>
    <cacheField name="7天总订单数(#)" numFmtId="0">
      <sharedItems containsString="0" containsBlank="1" containsNumber="1" containsInteger="1" minValue="0" maxValue="2" count="4">
        <n v="0"/>
        <n v="2"/>
        <n v="1"/>
        <m/>
      </sharedItems>
    </cacheField>
    <cacheField name="7天总销售量(#)" numFmtId="0">
      <sharedItems containsString="0" containsBlank="1" containsNumber="1" containsInteger="1" minValue="0" maxValue="2" count="4">
        <n v="0"/>
        <n v="2"/>
        <n v="1"/>
        <m/>
      </sharedItems>
    </cacheField>
    <cacheField name="7天的转化率" numFmtId="0">
      <sharedItems containsString="0" containsBlank="1" containsNumber="1" minValue="0" maxValue="1" count="8">
        <m/>
        <n v="0"/>
        <n v="0.117647058823529"/>
        <n v="0.142857142857143"/>
        <n v="1"/>
        <n v="0.125"/>
        <n v="0.0909090909090909"/>
        <n v="0.2"/>
      </sharedItems>
    </cacheField>
    <cacheField name="7天内广告SKU销售量(#)" numFmtId="0">
      <sharedItems containsString="0" containsBlank="1" containsNumber="1" containsInteger="1" minValue="0" maxValue="1" count="3">
        <n v="0"/>
        <n v="1"/>
        <m/>
      </sharedItems>
    </cacheField>
    <cacheField name="7天内其他SKU销售量(#)" numFmtId="0">
      <sharedItems containsString="0" containsBlank="1" containsNumber="1" containsInteger="1" minValue="0" maxValue="1" count="3">
        <n v="0"/>
        <n v="1"/>
        <m/>
      </sharedItems>
    </cacheField>
    <cacheField name="7天内广告SKU销售额" numFmtId="0">
      <sharedItems containsString="0" containsBlank="1" containsNumber="1" minValue="0" maxValue="19.99" count="5">
        <n v="0"/>
        <n v="11.99"/>
        <n v="12.99"/>
        <n v="19.99"/>
        <m/>
      </sharedItems>
    </cacheField>
    <cacheField name="7天内其他SKU销售额" numFmtId="0">
      <sharedItems containsString="0" containsBlank="1" containsNumber="1" minValue="0" maxValue="12.99" count="4">
        <n v="0"/>
        <n v="12.99"/>
        <n v="11.99"/>
        <m/>
      </sharedItems>
    </cacheField>
    <cacheField name="7天ACOS" numFmtId="0" formula="IFERROR(花费/'7天总销售额',0)" databaseField="0"/>
    <cacheField name="7天转化率" numFmtId="0" formula="IFERROR('7天总订单数(#)'/点击量,0)" databaseField="0"/>
  </cacheFields>
</pivotCacheDefinition>
</file>

<file path=xl/pivotCache/pivotCacheDefinition65.xml><?xml version="1.0" encoding="utf-8"?>
<pivotCacheDefinition xmlns="http://schemas.openxmlformats.org/spreadsheetml/2006/main" xmlns:r="http://schemas.openxmlformats.org/officeDocument/2006/relationships" r:id="rId1" createdVersion="5" refreshedVersion="5" minRefreshableVersion="3" refreshedDate="45219.6227893519" refreshedBy="Administrator" recordCount="39">
  <cacheSource type="worksheet">
    <worksheetSource ref="G1:W1048576" sheet="广告10.04-10.18" r:id="rId2"/>
  </cacheSource>
  <cacheFields count="19">
    <cacheField name="广告SKU" numFmtId="0">
      <sharedItems containsBlank="1" count="20">
        <s v="Y103230-OR+Y1003231+Y1003240"/>
        <s v="Y103230-DB+Y1003231+Y1003240"/>
        <s v="Y103230-BL+Y1003231+Y1003240"/>
        <s v="Y103040-OR+Y103045+Y103043"/>
        <s v="Y103040-BL+Y103045+Y103043"/>
        <s v="Y103040-DB+Y103045+Y103043"/>
        <s v="Y103134-BL+Y103137+Y103268"/>
        <s v="Y103134-DB+Y103137+Y103268"/>
        <s v="Y103134-OR+Y103137+Y103268"/>
        <s v="Y102000-BL+Y102013+Y102749"/>
        <s v="Y102000-OR+Y102013+Y102749"/>
        <s v="Y102000-DB+Y102013+Y102749"/>
        <s v="Y103106-BL+Y103109+Y103112"/>
        <s v="Y103106-OR+Y103109+Y103112"/>
        <s v="Y103106-DB+Y103109+Y103112"/>
        <s v="Y10025-BL"/>
        <s v="Y10025-WH"/>
        <s v="Y10027-3"/>
        <s v="Y10027-6"/>
        <m/>
      </sharedItems>
    </cacheField>
    <cacheField name="广告ASIN" numFmtId="0">
      <sharedItems containsBlank="1" count="20">
        <s v="B0CHMPSJXK"/>
        <s v="B0CHMMDTDL"/>
        <s v="B0CHMNYSK4"/>
        <s v="B0CHMKL2HT"/>
        <s v="B0CHMLMTL1"/>
        <s v="B0CHMLRBC5"/>
        <s v="B0CHMMKNF1"/>
        <s v="B0CHMMQZ2X"/>
        <s v="B0CHMNYGFS"/>
        <s v="B0CHMKGDF3"/>
        <s v="B0CHMLHWQQ"/>
        <s v="B0CHMKWP67"/>
        <s v="B0CHMMBRZ4"/>
        <s v="B0CHMM7L2T"/>
        <s v="B0CHMM6HZV"/>
        <s v="B0CHLZ6SKB"/>
        <s v="B0CHLZG5KB"/>
        <s v="B0CHLZCRRS"/>
        <s v="B0CHM2HNK4"/>
        <m/>
      </sharedItems>
    </cacheField>
    <cacheField name="展示量" numFmtId="0">
      <sharedItems containsString="0" containsBlank="1" containsNumber="1" containsInteger="1" minValue="0" maxValue="3316" count="38">
        <n v="305"/>
        <n v="221"/>
        <n v="157"/>
        <n v="116"/>
        <n v="56"/>
        <n v="34"/>
        <n v="3316"/>
        <n v="1993"/>
        <n v="3113"/>
        <n v="479"/>
        <n v="158"/>
        <n v="260"/>
        <n v="219"/>
        <n v="140"/>
        <n v="87"/>
        <n v="980"/>
        <n v="1186"/>
        <n v="780"/>
        <n v="1414"/>
        <n v="437"/>
        <n v="632"/>
        <n v="1731"/>
        <n v="1562"/>
        <n v="570"/>
        <n v="1843"/>
        <n v="1213"/>
        <n v="1180"/>
        <n v="92"/>
        <n v="66"/>
        <n v="46"/>
        <n v="285"/>
        <n v="330"/>
        <n v="1525"/>
        <n v="883"/>
        <n v="1177"/>
        <n v="8"/>
        <n v="22"/>
        <m/>
      </sharedItems>
    </cacheField>
    <cacheField name="点击量" numFmtId="0">
      <sharedItems containsString="0" containsBlank="1" containsNumber="1" containsInteger="1" minValue="0" maxValue="22" count="13">
        <n v="0"/>
        <n v="1"/>
        <n v="22"/>
        <n v="21"/>
        <n v="9"/>
        <n v="3"/>
        <n v="5"/>
        <n v="2"/>
        <n v="8"/>
        <n v="4"/>
        <n v="14"/>
        <n v="7"/>
        <m/>
      </sharedItems>
    </cacheField>
    <cacheField name="点击率(CTR)" numFmtId="0">
      <sharedItems containsString="0" containsBlank="1" containsNumber="1" minValue="0" maxValue="0.0217391304347826" count="26">
        <n v="0"/>
        <n v="0.00636942675159236"/>
        <n v="0.00663449939686369"/>
        <n v="0.0105368790767687"/>
        <n v="0.00289110183103116"/>
        <n v="0.00626304801670146"/>
        <n v="0.00632911392405063"/>
        <n v="0.00384615384615385"/>
        <n v="0.0045662100456621"/>
        <n v="0.00510204081632653"/>
        <n v="0.00168634064080944"/>
        <n v="0.00212164073550212"/>
        <n v="0.0045766590389016"/>
        <n v="0.00158227848101266"/>
        <n v="0.00462160600808781"/>
        <n v="0.00320102432778489"/>
        <n v="0.00701754385964912"/>
        <n v="0.00759631036353771"/>
        <n v="0.00577081615828524"/>
        <n v="0.011864406779661"/>
        <n v="0.0217391304347826"/>
        <n v="0.0151515151515152"/>
        <n v="0.00303030303030303"/>
        <n v="0.00327868852459016"/>
        <n v="0.000849617672047579"/>
        <m/>
      </sharedItems>
    </cacheField>
    <cacheField name="每次点击成本(CPC)" numFmtId="0">
      <sharedItems containsString="0" containsBlank="1" containsNumber="1" minValue="0" maxValue="1.25" count="23">
        <m/>
        <n v="0.37"/>
        <n v="0.467272727272727"/>
        <n v="0.46952380952381"/>
        <n v="0.453333333333333"/>
        <n v="0.44"/>
        <n v="0.45"/>
        <n v="0.32"/>
        <n v="0.396"/>
        <n v="0.49"/>
        <n v="0.496666666666667"/>
        <n v="0.373333333333333"/>
        <n v="0.46"/>
        <n v="0.47"/>
        <n v="0.428"/>
        <n v="0.4425"/>
        <n v="0.450714285714286"/>
        <n v="0.425714285714286"/>
        <n v="0.441428571428571"/>
        <n v="0.525"/>
        <n v="1.13"/>
        <n v="1.024"/>
        <n v="1.25"/>
      </sharedItems>
    </cacheField>
    <cacheField name="花费" numFmtId="0">
      <sharedItems containsString="0" containsBlank="1" containsNumber="1" minValue="0" maxValue="10.28" count="25">
        <n v="0"/>
        <n v="0.37"/>
        <n v="10.28"/>
        <n v="9.86"/>
        <n v="4.08"/>
        <n v="1.32"/>
        <n v="0.45"/>
        <n v="0.32"/>
        <n v="1.98"/>
        <n v="0.98"/>
        <n v="1.49"/>
        <n v="1.12"/>
        <n v="0.92"/>
        <n v="3.76"/>
        <n v="2.14"/>
        <n v="1.77"/>
        <n v="6.31"/>
        <n v="2.98"/>
        <n v="6.18"/>
        <n v="0.46"/>
        <n v="1.05"/>
        <n v="1.13"/>
        <n v="5.12"/>
        <n v="1.25"/>
        <m/>
      </sharedItems>
    </cacheField>
    <cacheField name="7天总销售额" numFmtId="0">
      <sharedItems containsString="0" containsBlank="1" containsNumber="1" minValue="0" maxValue="37.97" count="7">
        <n v="0"/>
        <n v="37.97"/>
        <n v="12.99"/>
        <n v="24.98"/>
        <n v="11.99"/>
        <n v="19.99"/>
        <m/>
      </sharedItems>
    </cacheField>
    <cacheField name="广告成本销售比(ACOS)" numFmtId="0">
      <sharedItems containsString="0" containsBlank="1" containsNumber="1" minValue="0" maxValue="0.52627189324437" count="10">
        <m/>
        <n v="0.270740057940479"/>
        <n v="0.314087759815243"/>
        <n v="0.0754426481909161"/>
        <n v="0.289453425712086"/>
        <n v="0.0856685348278623"/>
        <n v="0.136258660508083"/>
        <n v="0.52627189324437"/>
        <n v="0.475750577367205"/>
        <n v="0.256128064032016"/>
      </sharedItems>
    </cacheField>
    <cacheField name="投入产出比(ROAS)" numFmtId="0">
      <sharedItems containsString="0" containsBlank="1" containsNumber="1" minValue="0" maxValue="13.2551020408163" count="11">
        <m/>
        <n v="0"/>
        <n v="3.69357976653696"/>
        <n v="3.18382352941176"/>
        <n v="13.2551020408163"/>
        <n v="3.45478723404255"/>
        <n v="11.6728971962617"/>
        <n v="7.33898305084746"/>
        <n v="1.90015847860539"/>
        <n v="2.10194174757282"/>
        <n v="3.904296875"/>
      </sharedItems>
    </cacheField>
    <cacheField name="7天总订单数(#)" numFmtId="0">
      <sharedItems containsString="0" containsBlank="1" containsNumber="1" containsInteger="1" minValue="0" maxValue="3" count="5">
        <n v="0"/>
        <n v="3"/>
        <n v="1"/>
        <n v="2"/>
        <m/>
      </sharedItems>
    </cacheField>
    <cacheField name="7天总销售量(#)" numFmtId="0">
      <sharedItems containsString="0" containsBlank="1" containsNumber="1" containsInteger="1" minValue="0" maxValue="3" count="5">
        <n v="0"/>
        <n v="3"/>
        <n v="1"/>
        <n v="2"/>
        <m/>
      </sharedItems>
    </cacheField>
    <cacheField name="7天的转化率" numFmtId="0">
      <sharedItems containsString="0" containsBlank="1" containsNumber="1" minValue="0" maxValue="0.5" count="10">
        <m/>
        <n v="0"/>
        <n v="0.136363636363636"/>
        <n v="0.111111111111111"/>
        <n v="0.5"/>
        <n v="0.125"/>
        <n v="0.4"/>
        <n v="0.25"/>
        <n v="0.0714285714285714"/>
        <n v="0.2"/>
      </sharedItems>
    </cacheField>
    <cacheField name="7天内广告SKU销售量(#)" numFmtId="0">
      <sharedItems containsString="0" containsBlank="1" containsNumber="1" containsInteger="1" minValue="0" maxValue="1" count="3">
        <n v="0"/>
        <n v="1"/>
        <m/>
      </sharedItems>
    </cacheField>
    <cacheField name="7天内其他SKU销售量(#)" numFmtId="0">
      <sharedItems containsString="0" containsBlank="1" containsNumber="1" containsInteger="1" minValue="0" maxValue="2" count="4">
        <n v="0"/>
        <n v="2"/>
        <n v="1"/>
        <m/>
      </sharedItems>
    </cacheField>
    <cacheField name="7天内广告SKU销售额" numFmtId="0">
      <sharedItems containsString="0" containsBlank="1" containsNumber="1" minValue="0" maxValue="19.99" count="5">
        <n v="0"/>
        <n v="11.99"/>
        <n v="12.99"/>
        <n v="19.99"/>
        <m/>
      </sharedItems>
    </cacheField>
    <cacheField name="7天内其他SKU销售额" numFmtId="0">
      <sharedItems containsString="0" containsBlank="1" containsNumber="1" minValue="0" maxValue="25.98" count="5">
        <n v="0"/>
        <n v="25.98"/>
        <n v="12.99"/>
        <n v="11.99"/>
        <m/>
      </sharedItems>
    </cacheField>
    <cacheField name="15天ACOS" numFmtId="0" formula="IFERROR(花费/'7天总销售额',0)" databaseField="0"/>
    <cacheField name="15天转化率" numFmtId="0" formula="IFERROR('7天总订单数(#)'/点击量,0)" databaseField="0"/>
  </cacheFields>
</pivotCacheDefinition>
</file>

<file path=xl/pivotCache/pivotCacheDefinition66.xml><?xml version="1.0" encoding="utf-8"?>
<pivotCacheDefinition xmlns="http://schemas.openxmlformats.org/spreadsheetml/2006/main" xmlns:r="http://schemas.openxmlformats.org/officeDocument/2006/relationships" r:id="rId1" createdVersion="5" refreshedVersion="5" minRefreshableVersion="3" refreshedDate="45219.622962963" refreshedBy="Administrator" recordCount="39">
  <cacheSource type="worksheet">
    <worksheetSource ref="G1:W1048576" sheet="广告9.19-10.18" r:id="rId2"/>
  </cacheSource>
  <cacheFields count="19">
    <cacheField name="广告SKU" numFmtId="0">
      <sharedItems containsBlank="1" count="20">
        <s v="Y103230-OR+Y1003231+Y1003240"/>
        <s v="Y103230-DB+Y1003231+Y1003240"/>
        <s v="Y103230-BL+Y1003231+Y1003240"/>
        <s v="Y103040-OR+Y103045+Y103043"/>
        <s v="Y103040-BL+Y103045+Y103043"/>
        <s v="Y103040-DB+Y103045+Y103043"/>
        <s v="Y103134-BL+Y103137+Y103268"/>
        <s v="Y103134-DB+Y103137+Y103268"/>
        <s v="Y103134-OR+Y103137+Y103268"/>
        <s v="Y102000-BL+Y102013+Y102749"/>
        <s v="Y102000-OR+Y102013+Y102749"/>
        <s v="Y102000-DB+Y102013+Y102749"/>
        <s v="Y103106-BL+Y103109+Y103112"/>
        <s v="Y103106-OR+Y103109+Y103112"/>
        <s v="Y103106-DB+Y103109+Y103112"/>
        <s v="Y10025-BL"/>
        <s v="Y10025-WH"/>
        <s v="Y10027-3"/>
        <s v="Y10027-6"/>
        <m/>
      </sharedItems>
    </cacheField>
    <cacheField name="广告ASIN" numFmtId="0">
      <sharedItems containsBlank="1" count="20">
        <s v="B0CHMPSJXK"/>
        <s v="B0CHMMDTDL"/>
        <s v="B0CHMNYSK4"/>
        <s v="B0CHMKL2HT"/>
        <s v="B0CHMLMTL1"/>
        <s v="B0CHMLRBC5"/>
        <s v="B0CHMMKNF1"/>
        <s v="B0CHMMQZ2X"/>
        <s v="B0CHMNYGFS"/>
        <s v="B0CHMKGDF3"/>
        <s v="B0CHMLHWQQ"/>
        <s v="B0CHMKWP67"/>
        <s v="B0CHMMBRZ4"/>
        <s v="B0CHMM7L2T"/>
        <s v="B0CHMM6HZV"/>
        <s v="B0CHLZ6SKB"/>
        <s v="B0CHLZG5KB"/>
        <s v="B0CHLZCRRS"/>
        <s v="B0CHM2HNK4"/>
        <m/>
      </sharedItems>
    </cacheField>
    <cacheField name="展示量" numFmtId="0">
      <sharedItems containsString="0" containsBlank="1" containsNumber="1" containsInteger="1" minValue="0" maxValue="3542" count="39">
        <n v="329"/>
        <n v="237"/>
        <n v="215"/>
        <n v="127"/>
        <n v="64"/>
        <n v="42"/>
        <n v="3453"/>
        <n v="2106"/>
        <n v="3542"/>
        <n v="593"/>
        <n v="173"/>
        <n v="288"/>
        <n v="276"/>
        <n v="163"/>
        <n v="101"/>
        <n v="1091"/>
        <n v="1336"/>
        <n v="825"/>
        <n v="1712"/>
        <n v="463"/>
        <n v="713"/>
        <n v="1845"/>
        <n v="1657"/>
        <n v="623"/>
        <n v="2155"/>
        <n v="1339"/>
        <n v="1265"/>
        <n v="119"/>
        <n v="79"/>
        <n v="52"/>
        <n v="219"/>
        <n v="285"/>
        <n v="330"/>
        <n v="1525"/>
        <n v="883"/>
        <n v="1177"/>
        <n v="8"/>
        <n v="22"/>
        <m/>
      </sharedItems>
    </cacheField>
    <cacheField name="点击量" numFmtId="0">
      <sharedItems containsString="0" containsBlank="1" containsNumber="1" containsInteger="1" minValue="0" maxValue="23" count="13">
        <n v="0"/>
        <n v="1"/>
        <n v="23"/>
        <n v="21"/>
        <n v="11"/>
        <n v="3"/>
        <n v="6"/>
        <n v="2"/>
        <n v="10"/>
        <n v="5"/>
        <n v="14"/>
        <n v="8"/>
        <m/>
      </sharedItems>
    </cacheField>
    <cacheField name="点击率(CTR)" numFmtId="0">
      <sharedItems containsString="0" containsBlank="1" containsNumber="1" minValue="0" maxValue="0.0252100840336134" count="29">
        <n v="0"/>
        <n v="0.00465116279069767"/>
        <n v="0.00666087460179554"/>
        <n v="0.00997150997150997"/>
        <n v="0.0031055900621118"/>
        <n v="0.00505902192242833"/>
        <n v="0.00578034682080925"/>
        <n v="0.00347222222222222"/>
        <n v="0.0036231884057971"/>
        <n v="0.00549954170485793"/>
        <n v="0.00224550898203593"/>
        <n v="0.00363636363636364"/>
        <n v="0.00175233644859813"/>
        <n v="0.00431965442764579"/>
        <n v="0.00280504908835905"/>
        <n v="0.005420054200542"/>
        <n v="0.00362100181050091"/>
        <n v="0.00802568218298555"/>
        <n v="0.00649651972157773"/>
        <n v="0.00597460791635549"/>
        <n v="0.0110671936758893"/>
        <n v="0.0252100840336134"/>
        <n v="0.0126582278481013"/>
        <n v="0.0192307692307692"/>
        <n v="0.00701754385964912"/>
        <n v="0.00303030303030303"/>
        <n v="0.00327868852459016"/>
        <n v="0.000849617672047579"/>
        <m/>
      </sharedItems>
    </cacheField>
    <cacheField name="每次点击成本(CPC)" numFmtId="0">
      <sharedItems containsString="0" containsBlank="1" containsNumber="1" minValue="0" maxValue="1.25" count="25">
        <m/>
        <n v="0.37"/>
        <n v="0.466521739130435"/>
        <n v="0.46952380952381"/>
        <n v="0.456363636363636"/>
        <n v="0.44"/>
        <n v="0.45"/>
        <n v="0.32"/>
        <n v="0.411666666666667"/>
        <n v="0.48"/>
        <n v="0.496666666666667"/>
        <n v="0.373333333333333"/>
        <n v="0.46"/>
        <n v="0.27"/>
        <n v="0.452"/>
        <n v="0.431666666666667"/>
        <n v="0.444"/>
        <n v="0.450714285714286"/>
        <n v="0.42625"/>
        <n v="0.441428571428571"/>
        <n v="0.426666666666667"/>
        <n v="0.525"/>
        <n v="1.13"/>
        <n v="1.024"/>
        <n v="1.25"/>
      </sharedItems>
    </cacheField>
    <cacheField name="花费" numFmtId="0">
      <sharedItems containsString="0" containsBlank="1" containsNumber="1" minValue="0" maxValue="10.73" count="27">
        <n v="0"/>
        <n v="0.37"/>
        <n v="10.73"/>
        <n v="9.86"/>
        <n v="5.02"/>
        <n v="1.32"/>
        <n v="0.45"/>
        <n v="0.32"/>
        <n v="2.47"/>
        <n v="1.44"/>
        <n v="1.49"/>
        <n v="1.12"/>
        <n v="0.92"/>
        <n v="0.54"/>
        <n v="4.52"/>
        <n v="2.59"/>
        <n v="2.22"/>
        <n v="6.31"/>
        <n v="3.41"/>
        <n v="6.18"/>
        <n v="1.28"/>
        <n v="0.46"/>
        <n v="1.05"/>
        <n v="1.13"/>
        <n v="5.12"/>
        <n v="1.25"/>
        <m/>
      </sharedItems>
    </cacheField>
    <cacheField name="7天总销售额" numFmtId="0">
      <sharedItems containsString="0" containsBlank="1" containsNumber="1" minValue="0" maxValue="37.97" count="7">
        <n v="0"/>
        <n v="37.97"/>
        <n v="12.99"/>
        <n v="24.98"/>
        <n v="11.99"/>
        <n v="19.99"/>
        <m/>
      </sharedItems>
    </cacheField>
    <cacheField name="广告成本销售比(ACOS)" numFmtId="0">
      <sharedItems containsString="0" containsBlank="1" containsNumber="1" minValue="0" maxValue="0.52627189324437" count="10">
        <m/>
        <n v="0.282591519620753"/>
        <n v="0.386451116243264"/>
        <n v="0.110854503464203"/>
        <n v="0.347959969207082"/>
        <n v="0.103682946357086"/>
        <n v="0.170900692840647"/>
        <n v="0.52627189324437"/>
        <n v="0.475750577367205"/>
        <n v="0.256128064032016"/>
      </sharedItems>
    </cacheField>
    <cacheField name="投入产出比(ROAS)" numFmtId="0">
      <sharedItems containsString="0" containsBlank="1" containsNumber="1" minValue="0" maxValue="9.64478764478764" count="11">
        <m/>
        <n v="0"/>
        <n v="3.53867660764212"/>
        <n v="2.58764940239044"/>
        <n v="9.02083333333333"/>
        <n v="2.87389380530973"/>
        <n v="9.64478764478764"/>
        <n v="5.85135135135135"/>
        <n v="1.90015847860539"/>
        <n v="2.10194174757282"/>
        <n v="3.904296875"/>
      </sharedItems>
    </cacheField>
    <cacheField name="7天总订单数(#)" numFmtId="0">
      <sharedItems containsString="0" containsBlank="1" containsNumber="1" containsInteger="1" minValue="0" maxValue="3" count="5">
        <n v="0"/>
        <n v="3"/>
        <n v="1"/>
        <n v="2"/>
        <m/>
      </sharedItems>
    </cacheField>
    <cacheField name="7天总销售量(#)" numFmtId="0">
      <sharedItems containsString="0" containsBlank="1" containsNumber="1" containsInteger="1" minValue="0" maxValue="3" count="5">
        <n v="0"/>
        <n v="3"/>
        <n v="1"/>
        <n v="2"/>
        <m/>
      </sharedItems>
    </cacheField>
    <cacheField name="7天的转化率" numFmtId="0">
      <sharedItems containsString="0" containsBlank="1" containsNumber="1" minValue="0" maxValue="0.333333333333333" count="8">
        <m/>
        <n v="0"/>
        <n v="0.130434782608696"/>
        <n v="0.0909090909090909"/>
        <n v="0.333333333333333"/>
        <n v="0.1"/>
        <n v="0.2"/>
        <n v="0.0714285714285714"/>
      </sharedItems>
    </cacheField>
    <cacheField name="7天内广告SKU销售量(#)" numFmtId="0">
      <sharedItems containsString="0" containsBlank="1" containsNumber="1" containsInteger="1" minValue="0" maxValue="1" count="3">
        <n v="0"/>
        <n v="1"/>
        <m/>
      </sharedItems>
    </cacheField>
    <cacheField name="7天内其他SKU销售量(#)" numFmtId="0">
      <sharedItems containsString="0" containsBlank="1" containsNumber="1" containsInteger="1" minValue="0" maxValue="2" count="4">
        <n v="0"/>
        <n v="2"/>
        <n v="1"/>
        <m/>
      </sharedItems>
    </cacheField>
    <cacheField name="7天内广告SKU销售额" numFmtId="0">
      <sharedItems containsString="0" containsBlank="1" containsNumber="1" minValue="0" maxValue="19.99" count="5">
        <n v="0"/>
        <n v="11.99"/>
        <n v="12.99"/>
        <n v="19.99"/>
        <m/>
      </sharedItems>
    </cacheField>
    <cacheField name="7天内其他SKU销售额" numFmtId="0">
      <sharedItems containsString="0" containsBlank="1" containsNumber="1" minValue="0" maxValue="25.98" count="5">
        <n v="0"/>
        <n v="25.98"/>
        <n v="12.99"/>
        <n v="11.99"/>
        <m/>
      </sharedItems>
    </cacheField>
    <cacheField name="30天ACOS" numFmtId="0" formula="IFERROR(花费/'7天总销售额',0)" databaseField="0"/>
    <cacheField name="30天转化率" numFmtId="0" formula="IFERROR('7天总订单数(#)'/点击量,0)" databaseField="0"/>
  </cacheFields>
</pivotCacheDefinition>
</file>

<file path=xl/pivotCache/pivotCacheRecords1.xml><?xml version="1.0" encoding="utf-8"?>
<pivotCacheRecords xmlns="http://schemas.openxmlformats.org/spreadsheetml/2006/main" xmlns:r="http://schemas.openxmlformats.org/officeDocument/2006/relationships" count="51">
  <r>
    <x v="0"/>
    <x v="0"/>
    <x v="0"/>
    <x v="0"/>
    <x v="0"/>
    <x v="0"/>
    <x v="0"/>
    <x v="0"/>
    <x v="0"/>
    <x v="0"/>
    <x v="0"/>
    <x v="0"/>
    <x v="0"/>
    <x v="0"/>
  </r>
  <r>
    <x v="1"/>
    <x v="1"/>
    <x v="1"/>
    <x v="1"/>
    <x v="1"/>
    <x v="1"/>
    <x v="1"/>
    <x v="1"/>
    <x v="1"/>
    <x v="1"/>
    <x v="1"/>
    <x v="1"/>
    <x v="1"/>
    <x v="0"/>
  </r>
  <r>
    <x v="2"/>
    <x v="2"/>
    <x v="2"/>
    <x v="2"/>
    <x v="0"/>
    <x v="2"/>
    <x v="0"/>
    <x v="2"/>
    <x v="0"/>
    <x v="2"/>
    <x v="0"/>
    <x v="2"/>
    <x v="0"/>
    <x v="1"/>
  </r>
  <r>
    <x v="3"/>
    <x v="3"/>
    <x v="3"/>
    <x v="3"/>
    <x v="2"/>
    <x v="3"/>
    <x v="2"/>
    <x v="3"/>
    <x v="2"/>
    <x v="3"/>
    <x v="2"/>
    <x v="3"/>
    <x v="1"/>
    <x v="2"/>
  </r>
  <r>
    <x v="4"/>
    <x v="4"/>
    <x v="4"/>
    <x v="4"/>
    <x v="3"/>
    <x v="4"/>
    <x v="3"/>
    <x v="4"/>
    <x v="3"/>
    <x v="4"/>
    <x v="3"/>
    <x v="1"/>
    <x v="1"/>
    <x v="3"/>
  </r>
  <r>
    <x v="5"/>
    <x v="5"/>
    <x v="5"/>
    <x v="5"/>
    <x v="4"/>
    <x v="5"/>
    <x v="4"/>
    <x v="5"/>
    <x v="4"/>
    <x v="5"/>
    <x v="4"/>
    <x v="1"/>
    <x v="1"/>
    <x v="4"/>
  </r>
  <r>
    <x v="6"/>
    <x v="6"/>
    <x v="6"/>
    <x v="6"/>
    <x v="5"/>
    <x v="6"/>
    <x v="5"/>
    <x v="6"/>
    <x v="5"/>
    <x v="6"/>
    <x v="5"/>
    <x v="1"/>
    <x v="1"/>
    <x v="5"/>
  </r>
  <r>
    <x v="7"/>
    <x v="7"/>
    <x v="7"/>
    <x v="7"/>
    <x v="4"/>
    <x v="7"/>
    <x v="4"/>
    <x v="7"/>
    <x v="6"/>
    <x v="7"/>
    <x v="6"/>
    <x v="1"/>
    <x v="1"/>
    <x v="6"/>
  </r>
  <r>
    <x v="8"/>
    <x v="8"/>
    <x v="8"/>
    <x v="8"/>
    <x v="3"/>
    <x v="8"/>
    <x v="3"/>
    <x v="8"/>
    <x v="4"/>
    <x v="8"/>
    <x v="4"/>
    <x v="4"/>
    <x v="1"/>
    <x v="6"/>
  </r>
  <r>
    <x v="9"/>
    <x v="9"/>
    <x v="9"/>
    <x v="9"/>
    <x v="6"/>
    <x v="9"/>
    <x v="6"/>
    <x v="9"/>
    <x v="6"/>
    <x v="9"/>
    <x v="6"/>
    <x v="1"/>
    <x v="1"/>
    <x v="7"/>
  </r>
  <r>
    <x v="10"/>
    <x v="10"/>
    <x v="10"/>
    <x v="10"/>
    <x v="0"/>
    <x v="10"/>
    <x v="0"/>
    <x v="10"/>
    <x v="0"/>
    <x v="10"/>
    <x v="0"/>
    <x v="5"/>
    <x v="0"/>
    <x v="8"/>
  </r>
  <r>
    <x v="11"/>
    <x v="11"/>
    <x v="11"/>
    <x v="11"/>
    <x v="0"/>
    <x v="11"/>
    <x v="0"/>
    <x v="11"/>
    <x v="0"/>
    <x v="11"/>
    <x v="0"/>
    <x v="6"/>
    <x v="0"/>
    <x v="8"/>
  </r>
  <r>
    <x v="12"/>
    <x v="12"/>
    <x v="12"/>
    <x v="12"/>
    <x v="0"/>
    <x v="12"/>
    <x v="0"/>
    <x v="12"/>
    <x v="0"/>
    <x v="12"/>
    <x v="0"/>
    <x v="7"/>
    <x v="0"/>
    <x v="8"/>
  </r>
  <r>
    <x v="13"/>
    <x v="13"/>
    <x v="13"/>
    <x v="13"/>
    <x v="3"/>
    <x v="13"/>
    <x v="3"/>
    <x v="13"/>
    <x v="3"/>
    <x v="13"/>
    <x v="3"/>
    <x v="1"/>
    <x v="1"/>
    <x v="9"/>
  </r>
  <r>
    <x v="14"/>
    <x v="10"/>
    <x v="14"/>
    <x v="14"/>
    <x v="0"/>
    <x v="14"/>
    <x v="0"/>
    <x v="14"/>
    <x v="0"/>
    <x v="14"/>
    <x v="0"/>
    <x v="8"/>
    <x v="0"/>
    <x v="9"/>
  </r>
  <r>
    <x v="15"/>
    <x v="14"/>
    <x v="15"/>
    <x v="15"/>
    <x v="0"/>
    <x v="15"/>
    <x v="0"/>
    <x v="15"/>
    <x v="0"/>
    <x v="15"/>
    <x v="0"/>
    <x v="1"/>
    <x v="0"/>
    <x v="9"/>
  </r>
  <r>
    <x v="16"/>
    <x v="15"/>
    <x v="16"/>
    <x v="16"/>
    <x v="0"/>
    <x v="16"/>
    <x v="0"/>
    <x v="16"/>
    <x v="0"/>
    <x v="16"/>
    <x v="0"/>
    <x v="1"/>
    <x v="0"/>
    <x v="9"/>
  </r>
  <r>
    <x v="17"/>
    <x v="16"/>
    <x v="17"/>
    <x v="17"/>
    <x v="0"/>
    <x v="17"/>
    <x v="0"/>
    <x v="17"/>
    <x v="0"/>
    <x v="17"/>
    <x v="0"/>
    <x v="1"/>
    <x v="0"/>
    <x v="9"/>
  </r>
  <r>
    <x v="18"/>
    <x v="13"/>
    <x v="18"/>
    <x v="18"/>
    <x v="0"/>
    <x v="18"/>
    <x v="0"/>
    <x v="18"/>
    <x v="0"/>
    <x v="18"/>
    <x v="0"/>
    <x v="1"/>
    <x v="0"/>
    <x v="10"/>
  </r>
  <r>
    <x v="19"/>
    <x v="17"/>
    <x v="19"/>
    <x v="19"/>
    <x v="0"/>
    <x v="19"/>
    <x v="0"/>
    <x v="13"/>
    <x v="0"/>
    <x v="13"/>
    <x v="0"/>
    <x v="9"/>
    <x v="0"/>
    <x v="10"/>
  </r>
  <r>
    <x v="20"/>
    <x v="10"/>
    <x v="20"/>
    <x v="20"/>
    <x v="0"/>
    <x v="20"/>
    <x v="0"/>
    <x v="15"/>
    <x v="0"/>
    <x v="15"/>
    <x v="0"/>
    <x v="10"/>
    <x v="0"/>
    <x v="10"/>
  </r>
  <r>
    <x v="21"/>
    <x v="14"/>
    <x v="21"/>
    <x v="21"/>
    <x v="0"/>
    <x v="21"/>
    <x v="0"/>
    <x v="19"/>
    <x v="0"/>
    <x v="19"/>
    <x v="0"/>
    <x v="1"/>
    <x v="0"/>
    <x v="10"/>
  </r>
  <r>
    <x v="22"/>
    <x v="18"/>
    <x v="22"/>
    <x v="22"/>
    <x v="3"/>
    <x v="22"/>
    <x v="3"/>
    <x v="20"/>
    <x v="3"/>
    <x v="20"/>
    <x v="3"/>
    <x v="1"/>
    <x v="1"/>
    <x v="10"/>
  </r>
  <r>
    <x v="23"/>
    <x v="19"/>
    <x v="23"/>
    <x v="23"/>
    <x v="0"/>
    <x v="23"/>
    <x v="0"/>
    <x v="21"/>
    <x v="0"/>
    <x v="21"/>
    <x v="0"/>
    <x v="1"/>
    <x v="0"/>
    <x v="9"/>
  </r>
  <r>
    <x v="24"/>
    <x v="20"/>
    <x v="24"/>
    <x v="24"/>
    <x v="3"/>
    <x v="24"/>
    <x v="3"/>
    <x v="22"/>
    <x v="3"/>
    <x v="22"/>
    <x v="3"/>
    <x v="11"/>
    <x v="1"/>
    <x v="10"/>
  </r>
  <r>
    <x v="25"/>
    <x v="21"/>
    <x v="25"/>
    <x v="25"/>
    <x v="0"/>
    <x v="25"/>
    <x v="0"/>
    <x v="23"/>
    <x v="0"/>
    <x v="23"/>
    <x v="0"/>
    <x v="1"/>
    <x v="0"/>
    <x v="10"/>
  </r>
  <r>
    <x v="26"/>
    <x v="22"/>
    <x v="26"/>
    <x v="26"/>
    <x v="0"/>
    <x v="26"/>
    <x v="0"/>
    <x v="16"/>
    <x v="0"/>
    <x v="16"/>
    <x v="0"/>
    <x v="12"/>
    <x v="0"/>
    <x v="10"/>
  </r>
  <r>
    <x v="27"/>
    <x v="23"/>
    <x v="27"/>
    <x v="27"/>
    <x v="3"/>
    <x v="27"/>
    <x v="3"/>
    <x v="24"/>
    <x v="3"/>
    <x v="24"/>
    <x v="3"/>
    <x v="1"/>
    <x v="1"/>
    <x v="10"/>
  </r>
  <r>
    <x v="28"/>
    <x v="24"/>
    <x v="28"/>
    <x v="13"/>
    <x v="0"/>
    <x v="13"/>
    <x v="0"/>
    <x v="25"/>
    <x v="0"/>
    <x v="25"/>
    <x v="0"/>
    <x v="1"/>
    <x v="0"/>
    <x v="11"/>
  </r>
  <r>
    <x v="29"/>
    <x v="17"/>
    <x v="29"/>
    <x v="28"/>
    <x v="0"/>
    <x v="28"/>
    <x v="0"/>
    <x v="26"/>
    <x v="0"/>
    <x v="26"/>
    <x v="0"/>
    <x v="1"/>
    <x v="0"/>
    <x v="11"/>
  </r>
  <r>
    <x v="30"/>
    <x v="25"/>
    <x v="30"/>
    <x v="29"/>
    <x v="0"/>
    <x v="29"/>
    <x v="0"/>
    <x v="27"/>
    <x v="0"/>
    <x v="27"/>
    <x v="0"/>
    <x v="1"/>
    <x v="0"/>
    <x v="11"/>
  </r>
  <r>
    <x v="31"/>
    <x v="26"/>
    <x v="31"/>
    <x v="30"/>
    <x v="0"/>
    <x v="30"/>
    <x v="0"/>
    <x v="28"/>
    <x v="0"/>
    <x v="28"/>
    <x v="0"/>
    <x v="1"/>
    <x v="0"/>
    <x v="11"/>
  </r>
  <r>
    <x v="32"/>
    <x v="27"/>
    <x v="32"/>
    <x v="31"/>
    <x v="0"/>
    <x v="31"/>
    <x v="0"/>
    <x v="29"/>
    <x v="0"/>
    <x v="29"/>
    <x v="0"/>
    <x v="1"/>
    <x v="0"/>
    <x v="11"/>
  </r>
  <r>
    <x v="33"/>
    <x v="27"/>
    <x v="33"/>
    <x v="24"/>
    <x v="0"/>
    <x v="24"/>
    <x v="0"/>
    <x v="30"/>
    <x v="0"/>
    <x v="30"/>
    <x v="0"/>
    <x v="1"/>
    <x v="0"/>
    <x v="11"/>
  </r>
  <r>
    <x v="34"/>
    <x v="28"/>
    <x v="34"/>
    <x v="28"/>
    <x v="0"/>
    <x v="28"/>
    <x v="0"/>
    <x v="31"/>
    <x v="0"/>
    <x v="31"/>
    <x v="0"/>
    <x v="1"/>
    <x v="0"/>
    <x v="11"/>
  </r>
  <r>
    <x v="35"/>
    <x v="29"/>
    <x v="35"/>
    <x v="32"/>
    <x v="0"/>
    <x v="32"/>
    <x v="0"/>
    <x v="32"/>
    <x v="0"/>
    <x v="32"/>
    <x v="0"/>
    <x v="1"/>
    <x v="0"/>
    <x v="11"/>
  </r>
  <r>
    <x v="36"/>
    <x v="30"/>
    <x v="36"/>
    <x v="33"/>
    <x v="0"/>
    <x v="33"/>
    <x v="0"/>
    <x v="33"/>
    <x v="0"/>
    <x v="33"/>
    <x v="0"/>
    <x v="1"/>
    <x v="0"/>
    <x v="11"/>
  </r>
  <r>
    <x v="37"/>
    <x v="31"/>
    <x v="37"/>
    <x v="34"/>
    <x v="0"/>
    <x v="34"/>
    <x v="0"/>
    <x v="34"/>
    <x v="0"/>
    <x v="34"/>
    <x v="0"/>
    <x v="1"/>
    <x v="0"/>
    <x v="11"/>
  </r>
  <r>
    <x v="38"/>
    <x v="32"/>
    <x v="38"/>
    <x v="17"/>
    <x v="0"/>
    <x v="17"/>
    <x v="0"/>
    <x v="35"/>
    <x v="0"/>
    <x v="35"/>
    <x v="0"/>
    <x v="13"/>
    <x v="0"/>
    <x v="11"/>
  </r>
  <r>
    <x v="39"/>
    <x v="22"/>
    <x v="39"/>
    <x v="35"/>
    <x v="0"/>
    <x v="35"/>
    <x v="0"/>
    <x v="36"/>
    <x v="0"/>
    <x v="36"/>
    <x v="0"/>
    <x v="1"/>
    <x v="0"/>
    <x v="11"/>
  </r>
  <r>
    <x v="40"/>
    <x v="33"/>
    <x v="40"/>
    <x v="24"/>
    <x v="0"/>
    <x v="24"/>
    <x v="0"/>
    <x v="36"/>
    <x v="0"/>
    <x v="36"/>
    <x v="0"/>
    <x v="14"/>
    <x v="0"/>
    <x v="11"/>
  </r>
  <r>
    <x v="41"/>
    <x v="34"/>
    <x v="41"/>
    <x v="23"/>
    <x v="3"/>
    <x v="23"/>
    <x v="3"/>
    <x v="28"/>
    <x v="3"/>
    <x v="28"/>
    <x v="3"/>
    <x v="1"/>
    <x v="1"/>
    <x v="11"/>
  </r>
  <r>
    <x v="42"/>
    <x v="35"/>
    <x v="42"/>
    <x v="36"/>
    <x v="6"/>
    <x v="36"/>
    <x v="6"/>
    <x v="5"/>
    <x v="6"/>
    <x v="5"/>
    <x v="6"/>
    <x v="15"/>
    <x v="1"/>
    <x v="11"/>
  </r>
  <r>
    <x v="43"/>
    <x v="36"/>
    <x v="43"/>
    <x v="37"/>
    <x v="0"/>
    <x v="37"/>
    <x v="0"/>
    <x v="29"/>
    <x v="0"/>
    <x v="29"/>
    <x v="0"/>
    <x v="1"/>
    <x v="0"/>
    <x v="11"/>
  </r>
  <r>
    <x v="44"/>
    <x v="37"/>
    <x v="44"/>
    <x v="38"/>
    <x v="0"/>
    <x v="38"/>
    <x v="0"/>
    <x v="37"/>
    <x v="0"/>
    <x v="37"/>
    <x v="0"/>
    <x v="1"/>
    <x v="0"/>
    <x v="7"/>
  </r>
  <r>
    <x v="45"/>
    <x v="7"/>
    <x v="45"/>
    <x v="14"/>
    <x v="3"/>
    <x v="39"/>
    <x v="7"/>
    <x v="18"/>
    <x v="3"/>
    <x v="38"/>
    <x v="7"/>
    <x v="1"/>
    <x v="1"/>
    <x v="10"/>
  </r>
  <r>
    <x v="46"/>
    <x v="38"/>
    <x v="46"/>
    <x v="33"/>
    <x v="0"/>
    <x v="40"/>
    <x v="0"/>
    <x v="38"/>
    <x v="0"/>
    <x v="39"/>
    <x v="0"/>
    <x v="1"/>
    <x v="0"/>
    <x v="11"/>
  </r>
  <r>
    <x v="47"/>
    <x v="39"/>
    <x v="47"/>
    <x v="26"/>
    <x v="0"/>
    <x v="41"/>
    <x v="0"/>
    <x v="16"/>
    <x v="0"/>
    <x v="40"/>
    <x v="0"/>
    <x v="1"/>
    <x v="0"/>
    <x v="11"/>
  </r>
  <r>
    <x v="48"/>
    <x v="40"/>
    <x v="48"/>
    <x v="39"/>
    <x v="0"/>
    <x v="42"/>
    <x v="0"/>
    <x v="39"/>
    <x v="0"/>
    <x v="41"/>
    <x v="0"/>
    <x v="1"/>
    <x v="0"/>
    <x v="11"/>
  </r>
  <r>
    <x v="49"/>
    <x v="41"/>
    <x v="49"/>
    <x v="40"/>
    <x v="0"/>
    <x v="43"/>
    <x v="0"/>
    <x v="32"/>
    <x v="0"/>
    <x v="42"/>
    <x v="0"/>
    <x v="1"/>
    <x v="0"/>
    <x v="11"/>
  </r>
  <r>
    <x v="50"/>
    <x v="42"/>
    <x v="50"/>
    <x v="41"/>
    <x v="7"/>
    <x v="44"/>
    <x v="8"/>
    <x v="40"/>
    <x v="7"/>
    <x v="43"/>
    <x v="8"/>
    <x v="16"/>
    <x v="2"/>
    <x v="12"/>
  </r>
</pivotCacheRecords>
</file>

<file path=xl/pivotCache/pivotCacheRecords2.xml><?xml version="1.0" encoding="utf-8"?>
<pivotCacheRecords xmlns="http://schemas.openxmlformats.org/spreadsheetml/2006/main" xmlns:r="http://schemas.openxmlformats.org/officeDocument/2006/relationships" count="63">
  <r>
    <x v="0"/>
    <x v="0"/>
    <x v="0"/>
    <x v="0"/>
    <x v="0"/>
    <x v="0"/>
    <x v="0"/>
    <x v="0"/>
    <x v="0"/>
    <x v="0"/>
    <x v="0"/>
    <x v="0"/>
    <x v="0"/>
    <x v="0"/>
  </r>
  <r>
    <x v="1"/>
    <x v="1"/>
    <x v="1"/>
    <x v="1"/>
    <x v="1"/>
    <x v="1"/>
    <x v="1"/>
    <x v="1"/>
    <x v="1"/>
    <x v="1"/>
    <x v="1"/>
    <x v="1"/>
    <x v="0"/>
    <x v="1"/>
  </r>
  <r>
    <x v="2"/>
    <x v="2"/>
    <x v="2"/>
    <x v="2"/>
    <x v="2"/>
    <x v="2"/>
    <x v="2"/>
    <x v="2"/>
    <x v="2"/>
    <x v="2"/>
    <x v="2"/>
    <x v="2"/>
    <x v="0"/>
    <x v="2"/>
  </r>
  <r>
    <x v="3"/>
    <x v="3"/>
    <x v="3"/>
    <x v="3"/>
    <x v="3"/>
    <x v="3"/>
    <x v="3"/>
    <x v="3"/>
    <x v="2"/>
    <x v="3"/>
    <x v="2"/>
    <x v="3"/>
    <x v="0"/>
    <x v="3"/>
  </r>
  <r>
    <x v="4"/>
    <x v="4"/>
    <x v="4"/>
    <x v="4"/>
    <x v="4"/>
    <x v="4"/>
    <x v="4"/>
    <x v="4"/>
    <x v="3"/>
    <x v="4"/>
    <x v="3"/>
    <x v="4"/>
    <x v="0"/>
    <x v="4"/>
  </r>
  <r>
    <x v="5"/>
    <x v="5"/>
    <x v="5"/>
    <x v="5"/>
    <x v="5"/>
    <x v="5"/>
    <x v="5"/>
    <x v="5"/>
    <x v="4"/>
    <x v="5"/>
    <x v="4"/>
    <x v="3"/>
    <x v="0"/>
    <x v="5"/>
  </r>
  <r>
    <x v="6"/>
    <x v="6"/>
    <x v="6"/>
    <x v="6"/>
    <x v="6"/>
    <x v="6"/>
    <x v="6"/>
    <x v="6"/>
    <x v="5"/>
    <x v="6"/>
    <x v="5"/>
    <x v="5"/>
    <x v="0"/>
    <x v="6"/>
  </r>
  <r>
    <x v="7"/>
    <x v="7"/>
    <x v="7"/>
    <x v="7"/>
    <x v="7"/>
    <x v="7"/>
    <x v="7"/>
    <x v="7"/>
    <x v="1"/>
    <x v="7"/>
    <x v="1"/>
    <x v="6"/>
    <x v="0"/>
    <x v="7"/>
  </r>
  <r>
    <x v="8"/>
    <x v="8"/>
    <x v="8"/>
    <x v="8"/>
    <x v="4"/>
    <x v="8"/>
    <x v="4"/>
    <x v="8"/>
    <x v="6"/>
    <x v="8"/>
    <x v="6"/>
    <x v="7"/>
    <x v="0"/>
    <x v="8"/>
  </r>
  <r>
    <x v="9"/>
    <x v="9"/>
    <x v="9"/>
    <x v="9"/>
    <x v="5"/>
    <x v="9"/>
    <x v="5"/>
    <x v="9"/>
    <x v="3"/>
    <x v="9"/>
    <x v="3"/>
    <x v="8"/>
    <x v="0"/>
    <x v="9"/>
  </r>
  <r>
    <x v="10"/>
    <x v="10"/>
    <x v="10"/>
    <x v="10"/>
    <x v="5"/>
    <x v="10"/>
    <x v="5"/>
    <x v="10"/>
    <x v="4"/>
    <x v="10"/>
    <x v="4"/>
    <x v="3"/>
    <x v="0"/>
    <x v="9"/>
  </r>
  <r>
    <x v="11"/>
    <x v="11"/>
    <x v="11"/>
    <x v="11"/>
    <x v="7"/>
    <x v="11"/>
    <x v="7"/>
    <x v="11"/>
    <x v="7"/>
    <x v="11"/>
    <x v="7"/>
    <x v="9"/>
    <x v="1"/>
    <x v="10"/>
  </r>
  <r>
    <x v="12"/>
    <x v="12"/>
    <x v="12"/>
    <x v="12"/>
    <x v="7"/>
    <x v="12"/>
    <x v="7"/>
    <x v="12"/>
    <x v="7"/>
    <x v="12"/>
    <x v="7"/>
    <x v="3"/>
    <x v="0"/>
    <x v="11"/>
  </r>
  <r>
    <x v="13"/>
    <x v="13"/>
    <x v="13"/>
    <x v="13"/>
    <x v="7"/>
    <x v="13"/>
    <x v="7"/>
    <x v="13"/>
    <x v="1"/>
    <x v="13"/>
    <x v="1"/>
    <x v="3"/>
    <x v="0"/>
    <x v="12"/>
  </r>
  <r>
    <x v="14"/>
    <x v="14"/>
    <x v="14"/>
    <x v="14"/>
    <x v="8"/>
    <x v="14"/>
    <x v="8"/>
    <x v="14"/>
    <x v="8"/>
    <x v="14"/>
    <x v="8"/>
    <x v="3"/>
    <x v="1"/>
    <x v="13"/>
  </r>
  <r>
    <x v="15"/>
    <x v="15"/>
    <x v="15"/>
    <x v="15"/>
    <x v="8"/>
    <x v="15"/>
    <x v="8"/>
    <x v="15"/>
    <x v="8"/>
    <x v="15"/>
    <x v="8"/>
    <x v="10"/>
    <x v="1"/>
    <x v="14"/>
  </r>
  <r>
    <x v="16"/>
    <x v="16"/>
    <x v="16"/>
    <x v="16"/>
    <x v="8"/>
    <x v="16"/>
    <x v="8"/>
    <x v="16"/>
    <x v="8"/>
    <x v="16"/>
    <x v="8"/>
    <x v="11"/>
    <x v="1"/>
    <x v="14"/>
  </r>
  <r>
    <x v="17"/>
    <x v="15"/>
    <x v="17"/>
    <x v="17"/>
    <x v="1"/>
    <x v="17"/>
    <x v="1"/>
    <x v="17"/>
    <x v="1"/>
    <x v="17"/>
    <x v="1"/>
    <x v="12"/>
    <x v="0"/>
    <x v="15"/>
  </r>
  <r>
    <x v="18"/>
    <x v="16"/>
    <x v="18"/>
    <x v="18"/>
    <x v="8"/>
    <x v="18"/>
    <x v="8"/>
    <x v="18"/>
    <x v="8"/>
    <x v="18"/>
    <x v="8"/>
    <x v="13"/>
    <x v="1"/>
    <x v="15"/>
  </r>
  <r>
    <x v="19"/>
    <x v="17"/>
    <x v="19"/>
    <x v="19"/>
    <x v="7"/>
    <x v="19"/>
    <x v="7"/>
    <x v="19"/>
    <x v="1"/>
    <x v="19"/>
    <x v="1"/>
    <x v="3"/>
    <x v="0"/>
    <x v="14"/>
  </r>
  <r>
    <x v="20"/>
    <x v="18"/>
    <x v="20"/>
    <x v="20"/>
    <x v="7"/>
    <x v="20"/>
    <x v="7"/>
    <x v="20"/>
    <x v="7"/>
    <x v="20"/>
    <x v="7"/>
    <x v="14"/>
    <x v="0"/>
    <x v="16"/>
  </r>
  <r>
    <x v="21"/>
    <x v="13"/>
    <x v="21"/>
    <x v="21"/>
    <x v="7"/>
    <x v="21"/>
    <x v="7"/>
    <x v="21"/>
    <x v="7"/>
    <x v="21"/>
    <x v="7"/>
    <x v="15"/>
    <x v="0"/>
    <x v="16"/>
  </r>
  <r>
    <x v="22"/>
    <x v="19"/>
    <x v="22"/>
    <x v="22"/>
    <x v="7"/>
    <x v="22"/>
    <x v="7"/>
    <x v="22"/>
    <x v="4"/>
    <x v="22"/>
    <x v="4"/>
    <x v="3"/>
    <x v="0"/>
    <x v="16"/>
  </r>
  <r>
    <x v="23"/>
    <x v="20"/>
    <x v="23"/>
    <x v="23"/>
    <x v="7"/>
    <x v="23"/>
    <x v="7"/>
    <x v="23"/>
    <x v="7"/>
    <x v="23"/>
    <x v="7"/>
    <x v="16"/>
    <x v="0"/>
    <x v="15"/>
  </r>
  <r>
    <x v="24"/>
    <x v="21"/>
    <x v="24"/>
    <x v="24"/>
    <x v="8"/>
    <x v="24"/>
    <x v="8"/>
    <x v="23"/>
    <x v="8"/>
    <x v="23"/>
    <x v="8"/>
    <x v="17"/>
    <x v="1"/>
    <x v="16"/>
  </r>
  <r>
    <x v="25"/>
    <x v="22"/>
    <x v="25"/>
    <x v="25"/>
    <x v="8"/>
    <x v="25"/>
    <x v="8"/>
    <x v="24"/>
    <x v="8"/>
    <x v="24"/>
    <x v="8"/>
    <x v="18"/>
    <x v="1"/>
    <x v="17"/>
  </r>
  <r>
    <x v="26"/>
    <x v="23"/>
    <x v="26"/>
    <x v="26"/>
    <x v="1"/>
    <x v="26"/>
    <x v="1"/>
    <x v="25"/>
    <x v="1"/>
    <x v="25"/>
    <x v="1"/>
    <x v="3"/>
    <x v="0"/>
    <x v="17"/>
  </r>
  <r>
    <x v="27"/>
    <x v="15"/>
    <x v="27"/>
    <x v="27"/>
    <x v="8"/>
    <x v="27"/>
    <x v="8"/>
    <x v="26"/>
    <x v="8"/>
    <x v="26"/>
    <x v="8"/>
    <x v="19"/>
    <x v="1"/>
    <x v="16"/>
  </r>
  <r>
    <x v="28"/>
    <x v="24"/>
    <x v="28"/>
    <x v="28"/>
    <x v="7"/>
    <x v="28"/>
    <x v="7"/>
    <x v="27"/>
    <x v="7"/>
    <x v="27"/>
    <x v="7"/>
    <x v="20"/>
    <x v="0"/>
    <x v="17"/>
  </r>
  <r>
    <x v="29"/>
    <x v="25"/>
    <x v="29"/>
    <x v="29"/>
    <x v="8"/>
    <x v="29"/>
    <x v="8"/>
    <x v="28"/>
    <x v="8"/>
    <x v="28"/>
    <x v="8"/>
    <x v="3"/>
    <x v="1"/>
    <x v="16"/>
  </r>
  <r>
    <x v="30"/>
    <x v="26"/>
    <x v="30"/>
    <x v="30"/>
    <x v="8"/>
    <x v="30"/>
    <x v="8"/>
    <x v="29"/>
    <x v="8"/>
    <x v="29"/>
    <x v="8"/>
    <x v="21"/>
    <x v="1"/>
    <x v="17"/>
  </r>
  <r>
    <x v="31"/>
    <x v="27"/>
    <x v="31"/>
    <x v="31"/>
    <x v="8"/>
    <x v="31"/>
    <x v="8"/>
    <x v="30"/>
    <x v="8"/>
    <x v="30"/>
    <x v="8"/>
    <x v="22"/>
    <x v="1"/>
    <x v="17"/>
  </r>
  <r>
    <x v="32"/>
    <x v="28"/>
    <x v="32"/>
    <x v="32"/>
    <x v="7"/>
    <x v="32"/>
    <x v="7"/>
    <x v="31"/>
    <x v="7"/>
    <x v="31"/>
    <x v="7"/>
    <x v="3"/>
    <x v="0"/>
    <x v="17"/>
  </r>
  <r>
    <x v="33"/>
    <x v="29"/>
    <x v="33"/>
    <x v="33"/>
    <x v="7"/>
    <x v="33"/>
    <x v="7"/>
    <x v="32"/>
    <x v="7"/>
    <x v="32"/>
    <x v="7"/>
    <x v="23"/>
    <x v="0"/>
    <x v="17"/>
  </r>
  <r>
    <x v="34"/>
    <x v="30"/>
    <x v="34"/>
    <x v="34"/>
    <x v="7"/>
    <x v="34"/>
    <x v="7"/>
    <x v="33"/>
    <x v="7"/>
    <x v="33"/>
    <x v="7"/>
    <x v="3"/>
    <x v="0"/>
    <x v="17"/>
  </r>
  <r>
    <x v="35"/>
    <x v="26"/>
    <x v="35"/>
    <x v="35"/>
    <x v="8"/>
    <x v="35"/>
    <x v="8"/>
    <x v="34"/>
    <x v="8"/>
    <x v="34"/>
    <x v="8"/>
    <x v="3"/>
    <x v="1"/>
    <x v="18"/>
  </r>
  <r>
    <x v="36"/>
    <x v="31"/>
    <x v="36"/>
    <x v="36"/>
    <x v="8"/>
    <x v="36"/>
    <x v="8"/>
    <x v="35"/>
    <x v="8"/>
    <x v="35"/>
    <x v="8"/>
    <x v="24"/>
    <x v="1"/>
    <x v="18"/>
  </r>
  <r>
    <x v="37"/>
    <x v="32"/>
    <x v="37"/>
    <x v="37"/>
    <x v="8"/>
    <x v="37"/>
    <x v="8"/>
    <x v="36"/>
    <x v="8"/>
    <x v="36"/>
    <x v="8"/>
    <x v="25"/>
    <x v="1"/>
    <x v="18"/>
  </r>
  <r>
    <x v="38"/>
    <x v="32"/>
    <x v="38"/>
    <x v="38"/>
    <x v="8"/>
    <x v="38"/>
    <x v="8"/>
    <x v="37"/>
    <x v="8"/>
    <x v="37"/>
    <x v="8"/>
    <x v="3"/>
    <x v="1"/>
    <x v="18"/>
  </r>
  <r>
    <x v="39"/>
    <x v="33"/>
    <x v="39"/>
    <x v="39"/>
    <x v="8"/>
    <x v="39"/>
    <x v="8"/>
    <x v="38"/>
    <x v="8"/>
    <x v="38"/>
    <x v="8"/>
    <x v="26"/>
    <x v="1"/>
    <x v="18"/>
  </r>
  <r>
    <x v="40"/>
    <x v="34"/>
    <x v="40"/>
    <x v="40"/>
    <x v="8"/>
    <x v="40"/>
    <x v="8"/>
    <x v="22"/>
    <x v="8"/>
    <x v="22"/>
    <x v="8"/>
    <x v="3"/>
    <x v="1"/>
    <x v="18"/>
  </r>
  <r>
    <x v="41"/>
    <x v="35"/>
    <x v="41"/>
    <x v="41"/>
    <x v="8"/>
    <x v="41"/>
    <x v="8"/>
    <x v="39"/>
    <x v="8"/>
    <x v="39"/>
    <x v="8"/>
    <x v="27"/>
    <x v="1"/>
    <x v="18"/>
  </r>
  <r>
    <x v="42"/>
    <x v="36"/>
    <x v="42"/>
    <x v="42"/>
    <x v="7"/>
    <x v="42"/>
    <x v="7"/>
    <x v="21"/>
    <x v="7"/>
    <x v="21"/>
    <x v="7"/>
    <x v="3"/>
    <x v="0"/>
    <x v="18"/>
  </r>
  <r>
    <x v="43"/>
    <x v="37"/>
    <x v="43"/>
    <x v="42"/>
    <x v="8"/>
    <x v="42"/>
    <x v="8"/>
    <x v="40"/>
    <x v="8"/>
    <x v="40"/>
    <x v="8"/>
    <x v="3"/>
    <x v="1"/>
    <x v="18"/>
  </r>
  <r>
    <x v="44"/>
    <x v="22"/>
    <x v="44"/>
    <x v="43"/>
    <x v="8"/>
    <x v="43"/>
    <x v="8"/>
    <x v="41"/>
    <x v="8"/>
    <x v="41"/>
    <x v="8"/>
    <x v="3"/>
    <x v="1"/>
    <x v="19"/>
  </r>
  <r>
    <x v="45"/>
    <x v="38"/>
    <x v="45"/>
    <x v="44"/>
    <x v="7"/>
    <x v="44"/>
    <x v="7"/>
    <x v="42"/>
    <x v="7"/>
    <x v="42"/>
    <x v="7"/>
    <x v="3"/>
    <x v="1"/>
    <x v="19"/>
  </r>
  <r>
    <x v="46"/>
    <x v="39"/>
    <x v="46"/>
    <x v="33"/>
    <x v="8"/>
    <x v="33"/>
    <x v="8"/>
    <x v="32"/>
    <x v="8"/>
    <x v="32"/>
    <x v="8"/>
    <x v="3"/>
    <x v="1"/>
    <x v="19"/>
  </r>
  <r>
    <x v="47"/>
    <x v="40"/>
    <x v="47"/>
    <x v="45"/>
    <x v="8"/>
    <x v="45"/>
    <x v="8"/>
    <x v="43"/>
    <x v="8"/>
    <x v="43"/>
    <x v="8"/>
    <x v="3"/>
    <x v="1"/>
    <x v="19"/>
  </r>
  <r>
    <x v="48"/>
    <x v="41"/>
    <x v="48"/>
    <x v="46"/>
    <x v="8"/>
    <x v="46"/>
    <x v="8"/>
    <x v="44"/>
    <x v="8"/>
    <x v="44"/>
    <x v="8"/>
    <x v="28"/>
    <x v="1"/>
    <x v="19"/>
  </r>
  <r>
    <x v="49"/>
    <x v="42"/>
    <x v="49"/>
    <x v="47"/>
    <x v="8"/>
    <x v="47"/>
    <x v="8"/>
    <x v="45"/>
    <x v="8"/>
    <x v="45"/>
    <x v="8"/>
    <x v="3"/>
    <x v="1"/>
    <x v="19"/>
  </r>
  <r>
    <x v="50"/>
    <x v="29"/>
    <x v="50"/>
    <x v="48"/>
    <x v="8"/>
    <x v="48"/>
    <x v="8"/>
    <x v="43"/>
    <x v="8"/>
    <x v="43"/>
    <x v="8"/>
    <x v="3"/>
    <x v="1"/>
    <x v="19"/>
  </r>
  <r>
    <x v="51"/>
    <x v="43"/>
    <x v="51"/>
    <x v="43"/>
    <x v="8"/>
    <x v="43"/>
    <x v="8"/>
    <x v="46"/>
    <x v="8"/>
    <x v="46"/>
    <x v="8"/>
    <x v="3"/>
    <x v="1"/>
    <x v="19"/>
  </r>
  <r>
    <x v="52"/>
    <x v="44"/>
    <x v="52"/>
    <x v="48"/>
    <x v="8"/>
    <x v="48"/>
    <x v="8"/>
    <x v="47"/>
    <x v="8"/>
    <x v="47"/>
    <x v="8"/>
    <x v="3"/>
    <x v="1"/>
    <x v="19"/>
  </r>
  <r>
    <x v="53"/>
    <x v="45"/>
    <x v="53"/>
    <x v="49"/>
    <x v="7"/>
    <x v="49"/>
    <x v="7"/>
    <x v="48"/>
    <x v="7"/>
    <x v="48"/>
    <x v="7"/>
    <x v="3"/>
    <x v="0"/>
    <x v="19"/>
  </r>
  <r>
    <x v="54"/>
    <x v="16"/>
    <x v="54"/>
    <x v="50"/>
    <x v="7"/>
    <x v="50"/>
    <x v="7"/>
    <x v="30"/>
    <x v="7"/>
    <x v="30"/>
    <x v="7"/>
    <x v="29"/>
    <x v="1"/>
    <x v="19"/>
  </r>
  <r>
    <x v="55"/>
    <x v="9"/>
    <x v="55"/>
    <x v="51"/>
    <x v="7"/>
    <x v="51"/>
    <x v="9"/>
    <x v="49"/>
    <x v="7"/>
    <x v="49"/>
    <x v="9"/>
    <x v="30"/>
    <x v="0"/>
    <x v="12"/>
  </r>
  <r>
    <x v="56"/>
    <x v="33"/>
    <x v="56"/>
    <x v="42"/>
    <x v="8"/>
    <x v="52"/>
    <x v="8"/>
    <x v="50"/>
    <x v="8"/>
    <x v="50"/>
    <x v="8"/>
    <x v="3"/>
    <x v="1"/>
    <x v="20"/>
  </r>
  <r>
    <x v="57"/>
    <x v="46"/>
    <x v="57"/>
    <x v="36"/>
    <x v="7"/>
    <x v="53"/>
    <x v="9"/>
    <x v="51"/>
    <x v="7"/>
    <x v="51"/>
    <x v="9"/>
    <x v="3"/>
    <x v="1"/>
    <x v="18"/>
  </r>
  <r>
    <x v="44"/>
    <x v="47"/>
    <x v="44"/>
    <x v="52"/>
    <x v="8"/>
    <x v="54"/>
    <x v="8"/>
    <x v="32"/>
    <x v="8"/>
    <x v="52"/>
    <x v="8"/>
    <x v="3"/>
    <x v="1"/>
    <x v="19"/>
  </r>
  <r>
    <x v="58"/>
    <x v="48"/>
    <x v="58"/>
    <x v="53"/>
    <x v="8"/>
    <x v="55"/>
    <x v="8"/>
    <x v="52"/>
    <x v="8"/>
    <x v="53"/>
    <x v="8"/>
    <x v="3"/>
    <x v="1"/>
    <x v="19"/>
  </r>
  <r>
    <x v="59"/>
    <x v="49"/>
    <x v="59"/>
    <x v="52"/>
    <x v="8"/>
    <x v="54"/>
    <x v="8"/>
    <x v="53"/>
    <x v="8"/>
    <x v="54"/>
    <x v="8"/>
    <x v="3"/>
    <x v="1"/>
    <x v="19"/>
  </r>
  <r>
    <x v="34"/>
    <x v="50"/>
    <x v="34"/>
    <x v="54"/>
    <x v="8"/>
    <x v="56"/>
    <x v="8"/>
    <x v="44"/>
    <x v="8"/>
    <x v="55"/>
    <x v="8"/>
    <x v="3"/>
    <x v="1"/>
    <x v="19"/>
  </r>
  <r>
    <x v="60"/>
    <x v="51"/>
    <x v="60"/>
    <x v="55"/>
    <x v="9"/>
    <x v="57"/>
    <x v="10"/>
    <x v="54"/>
    <x v="9"/>
    <x v="56"/>
    <x v="10"/>
    <x v="31"/>
    <x v="2"/>
    <x v="21"/>
  </r>
</pivotCacheRecords>
</file>

<file path=xl/pivotCache/pivotCacheRecords3.xml><?xml version="1.0" encoding="utf-8"?>
<pivotCacheRecords xmlns="http://schemas.openxmlformats.org/spreadsheetml/2006/main" xmlns:r="http://schemas.openxmlformats.org/officeDocument/2006/relationships" count="84">
  <r>
    <x v="0"/>
    <x v="0"/>
    <x v="0"/>
    <x v="0"/>
    <x v="0"/>
    <x v="0"/>
    <x v="0"/>
    <x v="0"/>
    <x v="0"/>
    <x v="0"/>
    <x v="0"/>
    <x v="0"/>
    <x v="0"/>
    <x v="0"/>
  </r>
  <r>
    <x v="1"/>
    <x v="1"/>
    <x v="1"/>
    <x v="1"/>
    <x v="1"/>
    <x v="1"/>
    <x v="1"/>
    <x v="1"/>
    <x v="1"/>
    <x v="1"/>
    <x v="1"/>
    <x v="1"/>
    <x v="0"/>
    <x v="1"/>
  </r>
  <r>
    <x v="2"/>
    <x v="2"/>
    <x v="2"/>
    <x v="2"/>
    <x v="2"/>
    <x v="2"/>
    <x v="2"/>
    <x v="2"/>
    <x v="2"/>
    <x v="2"/>
    <x v="2"/>
    <x v="2"/>
    <x v="0"/>
    <x v="2"/>
  </r>
  <r>
    <x v="3"/>
    <x v="3"/>
    <x v="3"/>
    <x v="3"/>
    <x v="3"/>
    <x v="3"/>
    <x v="3"/>
    <x v="3"/>
    <x v="1"/>
    <x v="3"/>
    <x v="1"/>
    <x v="3"/>
    <x v="0"/>
    <x v="3"/>
  </r>
  <r>
    <x v="4"/>
    <x v="4"/>
    <x v="4"/>
    <x v="4"/>
    <x v="4"/>
    <x v="4"/>
    <x v="4"/>
    <x v="4"/>
    <x v="3"/>
    <x v="4"/>
    <x v="3"/>
    <x v="4"/>
    <x v="0"/>
    <x v="4"/>
  </r>
  <r>
    <x v="5"/>
    <x v="5"/>
    <x v="5"/>
    <x v="5"/>
    <x v="5"/>
    <x v="5"/>
    <x v="5"/>
    <x v="5"/>
    <x v="3"/>
    <x v="5"/>
    <x v="3"/>
    <x v="5"/>
    <x v="0"/>
    <x v="5"/>
  </r>
  <r>
    <x v="6"/>
    <x v="6"/>
    <x v="6"/>
    <x v="6"/>
    <x v="6"/>
    <x v="6"/>
    <x v="6"/>
    <x v="6"/>
    <x v="4"/>
    <x v="6"/>
    <x v="4"/>
    <x v="6"/>
    <x v="0"/>
    <x v="6"/>
  </r>
  <r>
    <x v="7"/>
    <x v="7"/>
    <x v="7"/>
    <x v="7"/>
    <x v="7"/>
    <x v="7"/>
    <x v="7"/>
    <x v="7"/>
    <x v="2"/>
    <x v="7"/>
    <x v="2"/>
    <x v="7"/>
    <x v="0"/>
    <x v="7"/>
  </r>
  <r>
    <x v="8"/>
    <x v="8"/>
    <x v="8"/>
    <x v="8"/>
    <x v="8"/>
    <x v="8"/>
    <x v="8"/>
    <x v="8"/>
    <x v="5"/>
    <x v="8"/>
    <x v="5"/>
    <x v="8"/>
    <x v="0"/>
    <x v="8"/>
  </r>
  <r>
    <x v="9"/>
    <x v="9"/>
    <x v="9"/>
    <x v="9"/>
    <x v="2"/>
    <x v="9"/>
    <x v="2"/>
    <x v="9"/>
    <x v="2"/>
    <x v="9"/>
    <x v="2"/>
    <x v="9"/>
    <x v="0"/>
    <x v="9"/>
  </r>
  <r>
    <x v="10"/>
    <x v="10"/>
    <x v="10"/>
    <x v="10"/>
    <x v="1"/>
    <x v="10"/>
    <x v="1"/>
    <x v="10"/>
    <x v="1"/>
    <x v="10"/>
    <x v="1"/>
    <x v="10"/>
    <x v="1"/>
    <x v="10"/>
  </r>
  <r>
    <x v="11"/>
    <x v="11"/>
    <x v="11"/>
    <x v="11"/>
    <x v="9"/>
    <x v="11"/>
    <x v="9"/>
    <x v="11"/>
    <x v="5"/>
    <x v="11"/>
    <x v="5"/>
    <x v="11"/>
    <x v="0"/>
    <x v="11"/>
  </r>
  <r>
    <x v="12"/>
    <x v="12"/>
    <x v="12"/>
    <x v="12"/>
    <x v="10"/>
    <x v="12"/>
    <x v="10"/>
    <x v="12"/>
    <x v="6"/>
    <x v="12"/>
    <x v="6"/>
    <x v="12"/>
    <x v="0"/>
    <x v="12"/>
  </r>
  <r>
    <x v="13"/>
    <x v="13"/>
    <x v="13"/>
    <x v="13"/>
    <x v="8"/>
    <x v="13"/>
    <x v="8"/>
    <x v="13"/>
    <x v="6"/>
    <x v="13"/>
    <x v="6"/>
    <x v="12"/>
    <x v="0"/>
    <x v="13"/>
  </r>
  <r>
    <x v="14"/>
    <x v="14"/>
    <x v="14"/>
    <x v="14"/>
    <x v="8"/>
    <x v="14"/>
    <x v="8"/>
    <x v="14"/>
    <x v="6"/>
    <x v="14"/>
    <x v="6"/>
    <x v="13"/>
    <x v="2"/>
    <x v="14"/>
  </r>
  <r>
    <x v="15"/>
    <x v="15"/>
    <x v="15"/>
    <x v="15"/>
    <x v="10"/>
    <x v="15"/>
    <x v="10"/>
    <x v="15"/>
    <x v="6"/>
    <x v="15"/>
    <x v="6"/>
    <x v="14"/>
    <x v="0"/>
    <x v="14"/>
  </r>
  <r>
    <x v="16"/>
    <x v="11"/>
    <x v="16"/>
    <x v="16"/>
    <x v="11"/>
    <x v="16"/>
    <x v="11"/>
    <x v="16"/>
    <x v="7"/>
    <x v="16"/>
    <x v="7"/>
    <x v="15"/>
    <x v="2"/>
    <x v="15"/>
  </r>
  <r>
    <x v="17"/>
    <x v="16"/>
    <x v="17"/>
    <x v="17"/>
    <x v="10"/>
    <x v="17"/>
    <x v="10"/>
    <x v="17"/>
    <x v="8"/>
    <x v="17"/>
    <x v="8"/>
    <x v="16"/>
    <x v="0"/>
    <x v="16"/>
  </r>
  <r>
    <x v="18"/>
    <x v="11"/>
    <x v="18"/>
    <x v="18"/>
    <x v="11"/>
    <x v="18"/>
    <x v="11"/>
    <x v="18"/>
    <x v="7"/>
    <x v="18"/>
    <x v="7"/>
    <x v="17"/>
    <x v="2"/>
    <x v="17"/>
  </r>
  <r>
    <x v="19"/>
    <x v="17"/>
    <x v="19"/>
    <x v="19"/>
    <x v="11"/>
    <x v="19"/>
    <x v="11"/>
    <x v="19"/>
    <x v="7"/>
    <x v="19"/>
    <x v="7"/>
    <x v="18"/>
    <x v="2"/>
    <x v="17"/>
  </r>
  <r>
    <x v="20"/>
    <x v="17"/>
    <x v="20"/>
    <x v="20"/>
    <x v="9"/>
    <x v="20"/>
    <x v="9"/>
    <x v="20"/>
    <x v="9"/>
    <x v="20"/>
    <x v="9"/>
    <x v="19"/>
    <x v="3"/>
    <x v="17"/>
  </r>
  <r>
    <x v="21"/>
    <x v="18"/>
    <x v="21"/>
    <x v="21"/>
    <x v="10"/>
    <x v="21"/>
    <x v="10"/>
    <x v="21"/>
    <x v="8"/>
    <x v="21"/>
    <x v="8"/>
    <x v="20"/>
    <x v="0"/>
    <x v="16"/>
  </r>
  <r>
    <x v="22"/>
    <x v="12"/>
    <x v="22"/>
    <x v="22"/>
    <x v="10"/>
    <x v="22"/>
    <x v="10"/>
    <x v="22"/>
    <x v="8"/>
    <x v="22"/>
    <x v="8"/>
    <x v="21"/>
    <x v="0"/>
    <x v="18"/>
  </r>
  <r>
    <x v="23"/>
    <x v="19"/>
    <x v="23"/>
    <x v="23"/>
    <x v="8"/>
    <x v="23"/>
    <x v="8"/>
    <x v="23"/>
    <x v="6"/>
    <x v="23"/>
    <x v="6"/>
    <x v="22"/>
    <x v="0"/>
    <x v="18"/>
  </r>
  <r>
    <x v="24"/>
    <x v="20"/>
    <x v="24"/>
    <x v="24"/>
    <x v="10"/>
    <x v="24"/>
    <x v="10"/>
    <x v="24"/>
    <x v="8"/>
    <x v="24"/>
    <x v="8"/>
    <x v="23"/>
    <x v="0"/>
    <x v="17"/>
  </r>
  <r>
    <x v="25"/>
    <x v="21"/>
    <x v="25"/>
    <x v="25"/>
    <x v="11"/>
    <x v="25"/>
    <x v="11"/>
    <x v="22"/>
    <x v="7"/>
    <x v="22"/>
    <x v="7"/>
    <x v="12"/>
    <x v="2"/>
    <x v="18"/>
  </r>
  <r>
    <x v="26"/>
    <x v="22"/>
    <x v="26"/>
    <x v="18"/>
    <x v="9"/>
    <x v="18"/>
    <x v="9"/>
    <x v="25"/>
    <x v="5"/>
    <x v="25"/>
    <x v="5"/>
    <x v="24"/>
    <x v="0"/>
    <x v="19"/>
  </r>
  <r>
    <x v="27"/>
    <x v="23"/>
    <x v="27"/>
    <x v="26"/>
    <x v="11"/>
    <x v="26"/>
    <x v="11"/>
    <x v="26"/>
    <x v="7"/>
    <x v="26"/>
    <x v="7"/>
    <x v="25"/>
    <x v="2"/>
    <x v="20"/>
  </r>
  <r>
    <x v="28"/>
    <x v="24"/>
    <x v="28"/>
    <x v="27"/>
    <x v="10"/>
    <x v="27"/>
    <x v="10"/>
    <x v="27"/>
    <x v="8"/>
    <x v="27"/>
    <x v="8"/>
    <x v="26"/>
    <x v="0"/>
    <x v="20"/>
  </r>
  <r>
    <x v="29"/>
    <x v="25"/>
    <x v="29"/>
    <x v="28"/>
    <x v="8"/>
    <x v="28"/>
    <x v="8"/>
    <x v="28"/>
    <x v="5"/>
    <x v="28"/>
    <x v="5"/>
    <x v="27"/>
    <x v="0"/>
    <x v="20"/>
  </r>
  <r>
    <x v="30"/>
    <x v="26"/>
    <x v="30"/>
    <x v="29"/>
    <x v="9"/>
    <x v="29"/>
    <x v="9"/>
    <x v="29"/>
    <x v="5"/>
    <x v="29"/>
    <x v="5"/>
    <x v="12"/>
    <x v="0"/>
    <x v="20"/>
  </r>
  <r>
    <x v="31"/>
    <x v="27"/>
    <x v="31"/>
    <x v="30"/>
    <x v="11"/>
    <x v="30"/>
    <x v="11"/>
    <x v="30"/>
    <x v="7"/>
    <x v="30"/>
    <x v="7"/>
    <x v="28"/>
    <x v="2"/>
    <x v="21"/>
  </r>
  <r>
    <x v="32"/>
    <x v="28"/>
    <x v="32"/>
    <x v="30"/>
    <x v="10"/>
    <x v="30"/>
    <x v="10"/>
    <x v="31"/>
    <x v="5"/>
    <x v="31"/>
    <x v="5"/>
    <x v="12"/>
    <x v="0"/>
    <x v="21"/>
  </r>
  <r>
    <x v="33"/>
    <x v="29"/>
    <x v="33"/>
    <x v="31"/>
    <x v="11"/>
    <x v="31"/>
    <x v="11"/>
    <x v="32"/>
    <x v="7"/>
    <x v="32"/>
    <x v="7"/>
    <x v="29"/>
    <x v="2"/>
    <x v="21"/>
  </r>
  <r>
    <x v="34"/>
    <x v="30"/>
    <x v="34"/>
    <x v="32"/>
    <x v="8"/>
    <x v="32"/>
    <x v="8"/>
    <x v="33"/>
    <x v="6"/>
    <x v="33"/>
    <x v="6"/>
    <x v="12"/>
    <x v="0"/>
    <x v="21"/>
  </r>
  <r>
    <x v="35"/>
    <x v="17"/>
    <x v="35"/>
    <x v="33"/>
    <x v="8"/>
    <x v="33"/>
    <x v="8"/>
    <x v="34"/>
    <x v="6"/>
    <x v="34"/>
    <x v="6"/>
    <x v="30"/>
    <x v="0"/>
    <x v="21"/>
  </r>
  <r>
    <x v="36"/>
    <x v="31"/>
    <x v="36"/>
    <x v="34"/>
    <x v="11"/>
    <x v="34"/>
    <x v="11"/>
    <x v="35"/>
    <x v="7"/>
    <x v="35"/>
    <x v="7"/>
    <x v="31"/>
    <x v="2"/>
    <x v="21"/>
  </r>
  <r>
    <x v="37"/>
    <x v="32"/>
    <x v="37"/>
    <x v="35"/>
    <x v="10"/>
    <x v="35"/>
    <x v="10"/>
    <x v="36"/>
    <x v="6"/>
    <x v="36"/>
    <x v="6"/>
    <x v="32"/>
    <x v="0"/>
    <x v="22"/>
  </r>
  <r>
    <x v="38"/>
    <x v="33"/>
    <x v="38"/>
    <x v="36"/>
    <x v="11"/>
    <x v="36"/>
    <x v="11"/>
    <x v="37"/>
    <x v="7"/>
    <x v="37"/>
    <x v="7"/>
    <x v="33"/>
    <x v="2"/>
    <x v="22"/>
  </r>
  <r>
    <x v="39"/>
    <x v="34"/>
    <x v="39"/>
    <x v="37"/>
    <x v="11"/>
    <x v="37"/>
    <x v="11"/>
    <x v="38"/>
    <x v="7"/>
    <x v="38"/>
    <x v="7"/>
    <x v="12"/>
    <x v="2"/>
    <x v="22"/>
  </r>
  <r>
    <x v="40"/>
    <x v="34"/>
    <x v="40"/>
    <x v="37"/>
    <x v="8"/>
    <x v="37"/>
    <x v="8"/>
    <x v="35"/>
    <x v="5"/>
    <x v="35"/>
    <x v="5"/>
    <x v="34"/>
    <x v="0"/>
    <x v="22"/>
  </r>
  <r>
    <x v="41"/>
    <x v="35"/>
    <x v="41"/>
    <x v="38"/>
    <x v="11"/>
    <x v="38"/>
    <x v="11"/>
    <x v="30"/>
    <x v="7"/>
    <x v="30"/>
    <x v="7"/>
    <x v="12"/>
    <x v="2"/>
    <x v="22"/>
  </r>
  <r>
    <x v="42"/>
    <x v="36"/>
    <x v="42"/>
    <x v="39"/>
    <x v="10"/>
    <x v="39"/>
    <x v="10"/>
    <x v="39"/>
    <x v="8"/>
    <x v="39"/>
    <x v="8"/>
    <x v="35"/>
    <x v="0"/>
    <x v="21"/>
  </r>
  <r>
    <x v="43"/>
    <x v="37"/>
    <x v="43"/>
    <x v="40"/>
    <x v="11"/>
    <x v="40"/>
    <x v="11"/>
    <x v="40"/>
    <x v="7"/>
    <x v="40"/>
    <x v="7"/>
    <x v="12"/>
    <x v="2"/>
    <x v="21"/>
  </r>
  <r>
    <x v="44"/>
    <x v="38"/>
    <x v="44"/>
    <x v="41"/>
    <x v="11"/>
    <x v="41"/>
    <x v="11"/>
    <x v="29"/>
    <x v="7"/>
    <x v="29"/>
    <x v="7"/>
    <x v="36"/>
    <x v="2"/>
    <x v="22"/>
  </r>
  <r>
    <x v="45"/>
    <x v="32"/>
    <x v="45"/>
    <x v="27"/>
    <x v="10"/>
    <x v="27"/>
    <x v="10"/>
    <x v="27"/>
    <x v="8"/>
    <x v="27"/>
    <x v="8"/>
    <x v="37"/>
    <x v="0"/>
    <x v="23"/>
  </r>
  <r>
    <x v="46"/>
    <x v="39"/>
    <x v="46"/>
    <x v="42"/>
    <x v="8"/>
    <x v="42"/>
    <x v="8"/>
    <x v="41"/>
    <x v="6"/>
    <x v="13"/>
    <x v="6"/>
    <x v="12"/>
    <x v="0"/>
    <x v="23"/>
  </r>
  <r>
    <x v="47"/>
    <x v="40"/>
    <x v="47"/>
    <x v="43"/>
    <x v="11"/>
    <x v="43"/>
    <x v="11"/>
    <x v="42"/>
    <x v="7"/>
    <x v="41"/>
    <x v="7"/>
    <x v="12"/>
    <x v="2"/>
    <x v="23"/>
  </r>
  <r>
    <x v="48"/>
    <x v="41"/>
    <x v="48"/>
    <x v="34"/>
    <x v="11"/>
    <x v="34"/>
    <x v="11"/>
    <x v="43"/>
    <x v="7"/>
    <x v="42"/>
    <x v="7"/>
    <x v="38"/>
    <x v="2"/>
    <x v="23"/>
  </r>
  <r>
    <x v="49"/>
    <x v="41"/>
    <x v="49"/>
    <x v="44"/>
    <x v="11"/>
    <x v="44"/>
    <x v="11"/>
    <x v="44"/>
    <x v="7"/>
    <x v="43"/>
    <x v="7"/>
    <x v="39"/>
    <x v="2"/>
    <x v="23"/>
  </r>
  <r>
    <x v="50"/>
    <x v="42"/>
    <x v="50"/>
    <x v="45"/>
    <x v="11"/>
    <x v="45"/>
    <x v="11"/>
    <x v="45"/>
    <x v="7"/>
    <x v="44"/>
    <x v="7"/>
    <x v="40"/>
    <x v="2"/>
    <x v="23"/>
  </r>
  <r>
    <x v="51"/>
    <x v="24"/>
    <x v="51"/>
    <x v="26"/>
    <x v="11"/>
    <x v="26"/>
    <x v="11"/>
    <x v="46"/>
    <x v="7"/>
    <x v="45"/>
    <x v="7"/>
    <x v="12"/>
    <x v="2"/>
    <x v="23"/>
  </r>
  <r>
    <x v="52"/>
    <x v="43"/>
    <x v="52"/>
    <x v="46"/>
    <x v="11"/>
    <x v="46"/>
    <x v="11"/>
    <x v="47"/>
    <x v="7"/>
    <x v="44"/>
    <x v="7"/>
    <x v="12"/>
    <x v="2"/>
    <x v="23"/>
  </r>
  <r>
    <x v="53"/>
    <x v="44"/>
    <x v="53"/>
    <x v="37"/>
    <x v="10"/>
    <x v="37"/>
    <x v="10"/>
    <x v="35"/>
    <x v="8"/>
    <x v="35"/>
    <x v="8"/>
    <x v="12"/>
    <x v="0"/>
    <x v="23"/>
  </r>
  <r>
    <x v="54"/>
    <x v="44"/>
    <x v="54"/>
    <x v="47"/>
    <x v="8"/>
    <x v="47"/>
    <x v="8"/>
    <x v="48"/>
    <x v="6"/>
    <x v="46"/>
    <x v="6"/>
    <x v="12"/>
    <x v="0"/>
    <x v="23"/>
  </r>
  <r>
    <x v="55"/>
    <x v="45"/>
    <x v="55"/>
    <x v="38"/>
    <x v="11"/>
    <x v="38"/>
    <x v="11"/>
    <x v="31"/>
    <x v="7"/>
    <x v="31"/>
    <x v="7"/>
    <x v="41"/>
    <x v="2"/>
    <x v="23"/>
  </r>
  <r>
    <x v="56"/>
    <x v="46"/>
    <x v="56"/>
    <x v="48"/>
    <x v="10"/>
    <x v="48"/>
    <x v="10"/>
    <x v="49"/>
    <x v="8"/>
    <x v="47"/>
    <x v="8"/>
    <x v="12"/>
    <x v="0"/>
    <x v="23"/>
  </r>
  <r>
    <x v="57"/>
    <x v="47"/>
    <x v="57"/>
    <x v="30"/>
    <x v="10"/>
    <x v="30"/>
    <x v="10"/>
    <x v="31"/>
    <x v="6"/>
    <x v="31"/>
    <x v="6"/>
    <x v="12"/>
    <x v="0"/>
    <x v="24"/>
  </r>
  <r>
    <x v="58"/>
    <x v="48"/>
    <x v="58"/>
    <x v="49"/>
    <x v="11"/>
    <x v="49"/>
    <x v="11"/>
    <x v="50"/>
    <x v="7"/>
    <x v="48"/>
    <x v="7"/>
    <x v="12"/>
    <x v="2"/>
    <x v="24"/>
  </r>
  <r>
    <x v="59"/>
    <x v="33"/>
    <x v="59"/>
    <x v="50"/>
    <x v="11"/>
    <x v="50"/>
    <x v="11"/>
    <x v="51"/>
    <x v="7"/>
    <x v="49"/>
    <x v="7"/>
    <x v="31"/>
    <x v="2"/>
    <x v="24"/>
  </r>
  <r>
    <x v="60"/>
    <x v="49"/>
    <x v="60"/>
    <x v="45"/>
    <x v="11"/>
    <x v="45"/>
    <x v="11"/>
    <x v="27"/>
    <x v="7"/>
    <x v="27"/>
    <x v="7"/>
    <x v="12"/>
    <x v="2"/>
    <x v="24"/>
  </r>
  <r>
    <x v="61"/>
    <x v="50"/>
    <x v="61"/>
    <x v="26"/>
    <x v="11"/>
    <x v="26"/>
    <x v="11"/>
    <x v="52"/>
    <x v="7"/>
    <x v="50"/>
    <x v="7"/>
    <x v="42"/>
    <x v="2"/>
    <x v="24"/>
  </r>
  <r>
    <x v="62"/>
    <x v="50"/>
    <x v="62"/>
    <x v="51"/>
    <x v="11"/>
    <x v="51"/>
    <x v="11"/>
    <x v="53"/>
    <x v="7"/>
    <x v="41"/>
    <x v="7"/>
    <x v="43"/>
    <x v="2"/>
    <x v="24"/>
  </r>
  <r>
    <x v="63"/>
    <x v="51"/>
    <x v="63"/>
    <x v="52"/>
    <x v="11"/>
    <x v="52"/>
    <x v="11"/>
    <x v="54"/>
    <x v="7"/>
    <x v="51"/>
    <x v="7"/>
    <x v="28"/>
    <x v="2"/>
    <x v="24"/>
  </r>
  <r>
    <x v="64"/>
    <x v="52"/>
    <x v="64"/>
    <x v="26"/>
    <x v="11"/>
    <x v="26"/>
    <x v="11"/>
    <x v="46"/>
    <x v="7"/>
    <x v="45"/>
    <x v="7"/>
    <x v="44"/>
    <x v="2"/>
    <x v="24"/>
  </r>
  <r>
    <x v="65"/>
    <x v="41"/>
    <x v="65"/>
    <x v="53"/>
    <x v="11"/>
    <x v="53"/>
    <x v="11"/>
    <x v="55"/>
    <x v="7"/>
    <x v="52"/>
    <x v="7"/>
    <x v="12"/>
    <x v="2"/>
    <x v="23"/>
  </r>
  <r>
    <x v="66"/>
    <x v="41"/>
    <x v="66"/>
    <x v="54"/>
    <x v="10"/>
    <x v="54"/>
    <x v="10"/>
    <x v="56"/>
    <x v="8"/>
    <x v="51"/>
    <x v="8"/>
    <x v="12"/>
    <x v="0"/>
    <x v="24"/>
  </r>
  <r>
    <x v="67"/>
    <x v="53"/>
    <x v="67"/>
    <x v="51"/>
    <x v="11"/>
    <x v="51"/>
    <x v="11"/>
    <x v="57"/>
    <x v="7"/>
    <x v="53"/>
    <x v="7"/>
    <x v="45"/>
    <x v="2"/>
    <x v="24"/>
  </r>
  <r>
    <x v="68"/>
    <x v="54"/>
    <x v="68"/>
    <x v="50"/>
    <x v="11"/>
    <x v="50"/>
    <x v="11"/>
    <x v="58"/>
    <x v="7"/>
    <x v="54"/>
    <x v="7"/>
    <x v="46"/>
    <x v="2"/>
    <x v="24"/>
  </r>
  <r>
    <x v="69"/>
    <x v="55"/>
    <x v="69"/>
    <x v="39"/>
    <x v="11"/>
    <x v="39"/>
    <x v="11"/>
    <x v="59"/>
    <x v="7"/>
    <x v="40"/>
    <x v="7"/>
    <x v="47"/>
    <x v="2"/>
    <x v="24"/>
  </r>
  <r>
    <x v="70"/>
    <x v="56"/>
    <x v="70"/>
    <x v="55"/>
    <x v="11"/>
    <x v="55"/>
    <x v="11"/>
    <x v="45"/>
    <x v="7"/>
    <x v="44"/>
    <x v="7"/>
    <x v="12"/>
    <x v="2"/>
    <x v="24"/>
  </r>
  <r>
    <x v="71"/>
    <x v="57"/>
    <x v="71"/>
    <x v="45"/>
    <x v="11"/>
    <x v="45"/>
    <x v="11"/>
    <x v="60"/>
    <x v="7"/>
    <x v="55"/>
    <x v="7"/>
    <x v="12"/>
    <x v="2"/>
    <x v="24"/>
  </r>
  <r>
    <x v="72"/>
    <x v="58"/>
    <x v="72"/>
    <x v="56"/>
    <x v="10"/>
    <x v="56"/>
    <x v="10"/>
    <x v="61"/>
    <x v="8"/>
    <x v="56"/>
    <x v="8"/>
    <x v="12"/>
    <x v="0"/>
    <x v="24"/>
  </r>
  <r>
    <x v="72"/>
    <x v="58"/>
    <x v="72"/>
    <x v="52"/>
    <x v="11"/>
    <x v="52"/>
    <x v="11"/>
    <x v="62"/>
    <x v="7"/>
    <x v="57"/>
    <x v="7"/>
    <x v="12"/>
    <x v="2"/>
    <x v="24"/>
  </r>
  <r>
    <x v="73"/>
    <x v="59"/>
    <x v="73"/>
    <x v="57"/>
    <x v="11"/>
    <x v="44"/>
    <x v="11"/>
    <x v="63"/>
    <x v="7"/>
    <x v="43"/>
    <x v="7"/>
    <x v="12"/>
    <x v="2"/>
    <x v="24"/>
  </r>
  <r>
    <x v="74"/>
    <x v="7"/>
    <x v="74"/>
    <x v="33"/>
    <x v="8"/>
    <x v="57"/>
    <x v="12"/>
    <x v="64"/>
    <x v="6"/>
    <x v="58"/>
    <x v="10"/>
    <x v="48"/>
    <x v="0"/>
    <x v="25"/>
  </r>
  <r>
    <x v="75"/>
    <x v="25"/>
    <x v="75"/>
    <x v="58"/>
    <x v="11"/>
    <x v="58"/>
    <x v="11"/>
    <x v="65"/>
    <x v="7"/>
    <x v="59"/>
    <x v="7"/>
    <x v="49"/>
    <x v="2"/>
    <x v="26"/>
  </r>
  <r>
    <x v="76"/>
    <x v="36"/>
    <x v="76"/>
    <x v="59"/>
    <x v="8"/>
    <x v="59"/>
    <x v="12"/>
    <x v="66"/>
    <x v="6"/>
    <x v="60"/>
    <x v="10"/>
    <x v="12"/>
    <x v="0"/>
    <x v="22"/>
  </r>
  <r>
    <x v="45"/>
    <x v="60"/>
    <x v="45"/>
    <x v="60"/>
    <x v="11"/>
    <x v="60"/>
    <x v="11"/>
    <x v="67"/>
    <x v="7"/>
    <x v="61"/>
    <x v="7"/>
    <x v="12"/>
    <x v="2"/>
    <x v="24"/>
  </r>
  <r>
    <x v="77"/>
    <x v="61"/>
    <x v="77"/>
    <x v="61"/>
    <x v="11"/>
    <x v="61"/>
    <x v="11"/>
    <x v="68"/>
    <x v="7"/>
    <x v="43"/>
    <x v="7"/>
    <x v="12"/>
    <x v="2"/>
    <x v="24"/>
  </r>
  <r>
    <x v="78"/>
    <x v="62"/>
    <x v="78"/>
    <x v="62"/>
    <x v="10"/>
    <x v="62"/>
    <x v="13"/>
    <x v="27"/>
    <x v="8"/>
    <x v="62"/>
    <x v="11"/>
    <x v="12"/>
    <x v="2"/>
    <x v="24"/>
  </r>
  <r>
    <x v="79"/>
    <x v="54"/>
    <x v="79"/>
    <x v="63"/>
    <x v="11"/>
    <x v="63"/>
    <x v="11"/>
    <x v="42"/>
    <x v="7"/>
    <x v="63"/>
    <x v="7"/>
    <x v="12"/>
    <x v="2"/>
    <x v="24"/>
  </r>
  <r>
    <x v="30"/>
    <x v="63"/>
    <x v="30"/>
    <x v="64"/>
    <x v="11"/>
    <x v="64"/>
    <x v="11"/>
    <x v="69"/>
    <x v="7"/>
    <x v="64"/>
    <x v="7"/>
    <x v="12"/>
    <x v="2"/>
    <x v="24"/>
  </r>
  <r>
    <x v="80"/>
    <x v="64"/>
    <x v="80"/>
    <x v="65"/>
    <x v="12"/>
    <x v="65"/>
    <x v="14"/>
    <x v="70"/>
    <x v="10"/>
    <x v="65"/>
    <x v="12"/>
    <x v="50"/>
    <x v="4"/>
    <x v="27"/>
  </r>
</pivotCacheRecords>
</file>

<file path=xl/pivotCache/pivotCacheRecords4.xml><?xml version="1.0" encoding="utf-8"?>
<pivotCacheRecords xmlns="http://schemas.openxmlformats.org/spreadsheetml/2006/main" xmlns:r="http://schemas.openxmlformats.org/officeDocument/2006/relationships" count="83">
  <r>
    <x v="0"/>
    <x v="0"/>
    <x v="0"/>
    <x v="0"/>
    <x v="0"/>
    <x v="0"/>
    <x v="0"/>
    <x v="0"/>
    <x v="0"/>
    <x v="0"/>
    <x v="0"/>
    <x v="0"/>
    <x v="0"/>
    <x v="0"/>
    <x v="0"/>
    <x v="0"/>
    <x v="0"/>
  </r>
  <r>
    <x v="1"/>
    <x v="1"/>
    <x v="1"/>
    <x v="1"/>
    <x v="1"/>
    <x v="1"/>
    <x v="1"/>
    <x v="1"/>
    <x v="1"/>
    <x v="1"/>
    <x v="1"/>
    <x v="1"/>
    <x v="1"/>
    <x v="1"/>
    <x v="1"/>
    <x v="1"/>
    <x v="1"/>
  </r>
  <r>
    <x v="2"/>
    <x v="2"/>
    <x v="2"/>
    <x v="2"/>
    <x v="2"/>
    <x v="2"/>
    <x v="2"/>
    <x v="2"/>
    <x v="2"/>
    <x v="2"/>
    <x v="2"/>
    <x v="2"/>
    <x v="2"/>
    <x v="1"/>
    <x v="0"/>
    <x v="1"/>
    <x v="0"/>
  </r>
  <r>
    <x v="3"/>
    <x v="3"/>
    <x v="3"/>
    <x v="3"/>
    <x v="3"/>
    <x v="3"/>
    <x v="3"/>
    <x v="3"/>
    <x v="3"/>
    <x v="3"/>
    <x v="1"/>
    <x v="1"/>
    <x v="3"/>
    <x v="2"/>
    <x v="0"/>
    <x v="2"/>
    <x v="0"/>
  </r>
  <r>
    <x v="4"/>
    <x v="4"/>
    <x v="4"/>
    <x v="4"/>
    <x v="4"/>
    <x v="4"/>
    <x v="4"/>
    <x v="4"/>
    <x v="4"/>
    <x v="4"/>
    <x v="3"/>
    <x v="3"/>
    <x v="4"/>
    <x v="3"/>
    <x v="0"/>
    <x v="3"/>
    <x v="0"/>
  </r>
  <r>
    <x v="5"/>
    <x v="5"/>
    <x v="5"/>
    <x v="5"/>
    <x v="5"/>
    <x v="5"/>
    <x v="5"/>
    <x v="5"/>
    <x v="5"/>
    <x v="5"/>
    <x v="1"/>
    <x v="1"/>
    <x v="5"/>
    <x v="2"/>
    <x v="0"/>
    <x v="4"/>
    <x v="0"/>
  </r>
  <r>
    <x v="2"/>
    <x v="2"/>
    <x v="6"/>
    <x v="4"/>
    <x v="6"/>
    <x v="6"/>
    <x v="6"/>
    <x v="4"/>
    <x v="4"/>
    <x v="4"/>
    <x v="3"/>
    <x v="3"/>
    <x v="4"/>
    <x v="3"/>
    <x v="0"/>
    <x v="3"/>
    <x v="0"/>
  </r>
  <r>
    <x v="6"/>
    <x v="6"/>
    <x v="7"/>
    <x v="6"/>
    <x v="7"/>
    <x v="7"/>
    <x v="7"/>
    <x v="4"/>
    <x v="4"/>
    <x v="6"/>
    <x v="3"/>
    <x v="3"/>
    <x v="6"/>
    <x v="3"/>
    <x v="0"/>
    <x v="3"/>
    <x v="0"/>
  </r>
  <r>
    <x v="3"/>
    <x v="3"/>
    <x v="8"/>
    <x v="7"/>
    <x v="8"/>
    <x v="8"/>
    <x v="8"/>
    <x v="6"/>
    <x v="6"/>
    <x v="7"/>
    <x v="1"/>
    <x v="1"/>
    <x v="7"/>
    <x v="1"/>
    <x v="1"/>
    <x v="5"/>
    <x v="2"/>
  </r>
  <r>
    <x v="7"/>
    <x v="7"/>
    <x v="9"/>
    <x v="4"/>
    <x v="9"/>
    <x v="9"/>
    <x v="9"/>
    <x v="4"/>
    <x v="4"/>
    <x v="4"/>
    <x v="3"/>
    <x v="3"/>
    <x v="4"/>
    <x v="3"/>
    <x v="0"/>
    <x v="3"/>
    <x v="0"/>
  </r>
  <r>
    <x v="8"/>
    <x v="8"/>
    <x v="10"/>
    <x v="4"/>
    <x v="10"/>
    <x v="10"/>
    <x v="10"/>
    <x v="4"/>
    <x v="4"/>
    <x v="4"/>
    <x v="3"/>
    <x v="3"/>
    <x v="4"/>
    <x v="3"/>
    <x v="0"/>
    <x v="3"/>
    <x v="0"/>
  </r>
  <r>
    <x v="9"/>
    <x v="9"/>
    <x v="11"/>
    <x v="4"/>
    <x v="11"/>
    <x v="10"/>
    <x v="10"/>
    <x v="4"/>
    <x v="4"/>
    <x v="4"/>
    <x v="3"/>
    <x v="3"/>
    <x v="4"/>
    <x v="3"/>
    <x v="0"/>
    <x v="3"/>
    <x v="0"/>
  </r>
  <r>
    <x v="10"/>
    <x v="10"/>
    <x v="12"/>
    <x v="6"/>
    <x v="7"/>
    <x v="7"/>
    <x v="7"/>
    <x v="4"/>
    <x v="4"/>
    <x v="6"/>
    <x v="3"/>
    <x v="3"/>
    <x v="6"/>
    <x v="3"/>
    <x v="0"/>
    <x v="3"/>
    <x v="0"/>
  </r>
  <r>
    <x v="6"/>
    <x v="6"/>
    <x v="13"/>
    <x v="4"/>
    <x v="12"/>
    <x v="11"/>
    <x v="11"/>
    <x v="4"/>
    <x v="4"/>
    <x v="4"/>
    <x v="3"/>
    <x v="3"/>
    <x v="4"/>
    <x v="3"/>
    <x v="0"/>
    <x v="3"/>
    <x v="0"/>
  </r>
  <r>
    <x v="9"/>
    <x v="9"/>
    <x v="14"/>
    <x v="6"/>
    <x v="7"/>
    <x v="7"/>
    <x v="7"/>
    <x v="4"/>
    <x v="4"/>
    <x v="6"/>
    <x v="3"/>
    <x v="3"/>
    <x v="6"/>
    <x v="3"/>
    <x v="0"/>
    <x v="3"/>
    <x v="0"/>
  </r>
  <r>
    <x v="10"/>
    <x v="10"/>
    <x v="15"/>
    <x v="6"/>
    <x v="7"/>
    <x v="7"/>
    <x v="7"/>
    <x v="4"/>
    <x v="4"/>
    <x v="6"/>
    <x v="3"/>
    <x v="3"/>
    <x v="6"/>
    <x v="3"/>
    <x v="0"/>
    <x v="3"/>
    <x v="0"/>
  </r>
  <r>
    <x v="7"/>
    <x v="7"/>
    <x v="16"/>
    <x v="8"/>
    <x v="13"/>
    <x v="12"/>
    <x v="12"/>
    <x v="3"/>
    <x v="7"/>
    <x v="8"/>
    <x v="1"/>
    <x v="1"/>
    <x v="8"/>
    <x v="1"/>
    <x v="1"/>
    <x v="5"/>
    <x v="3"/>
  </r>
  <r>
    <x v="0"/>
    <x v="0"/>
    <x v="17"/>
    <x v="9"/>
    <x v="14"/>
    <x v="13"/>
    <x v="13"/>
    <x v="4"/>
    <x v="4"/>
    <x v="4"/>
    <x v="3"/>
    <x v="3"/>
    <x v="4"/>
    <x v="3"/>
    <x v="0"/>
    <x v="3"/>
    <x v="0"/>
  </r>
  <r>
    <x v="11"/>
    <x v="11"/>
    <x v="18"/>
    <x v="10"/>
    <x v="15"/>
    <x v="14"/>
    <x v="14"/>
    <x v="7"/>
    <x v="8"/>
    <x v="9"/>
    <x v="2"/>
    <x v="2"/>
    <x v="7"/>
    <x v="3"/>
    <x v="1"/>
    <x v="3"/>
    <x v="4"/>
  </r>
  <r>
    <x v="5"/>
    <x v="5"/>
    <x v="19"/>
    <x v="11"/>
    <x v="16"/>
    <x v="15"/>
    <x v="15"/>
    <x v="8"/>
    <x v="9"/>
    <x v="10"/>
    <x v="4"/>
    <x v="4"/>
    <x v="9"/>
    <x v="4"/>
    <x v="2"/>
    <x v="6"/>
    <x v="5"/>
  </r>
  <r>
    <x v="12"/>
    <x v="12"/>
    <x v="20"/>
    <x v="6"/>
    <x v="7"/>
    <x v="7"/>
    <x v="7"/>
    <x v="4"/>
    <x v="4"/>
    <x v="6"/>
    <x v="3"/>
    <x v="3"/>
    <x v="6"/>
    <x v="3"/>
    <x v="0"/>
    <x v="3"/>
    <x v="0"/>
  </r>
  <r>
    <x v="8"/>
    <x v="8"/>
    <x v="20"/>
    <x v="6"/>
    <x v="7"/>
    <x v="7"/>
    <x v="7"/>
    <x v="4"/>
    <x v="4"/>
    <x v="6"/>
    <x v="3"/>
    <x v="3"/>
    <x v="6"/>
    <x v="3"/>
    <x v="0"/>
    <x v="3"/>
    <x v="0"/>
  </r>
  <r>
    <x v="13"/>
    <x v="13"/>
    <x v="21"/>
    <x v="12"/>
    <x v="17"/>
    <x v="16"/>
    <x v="16"/>
    <x v="2"/>
    <x v="10"/>
    <x v="11"/>
    <x v="2"/>
    <x v="2"/>
    <x v="0"/>
    <x v="1"/>
    <x v="0"/>
    <x v="1"/>
    <x v="0"/>
  </r>
  <r>
    <x v="14"/>
    <x v="14"/>
    <x v="22"/>
    <x v="13"/>
    <x v="18"/>
    <x v="17"/>
    <x v="17"/>
    <x v="4"/>
    <x v="4"/>
    <x v="4"/>
    <x v="3"/>
    <x v="3"/>
    <x v="4"/>
    <x v="3"/>
    <x v="0"/>
    <x v="3"/>
    <x v="0"/>
  </r>
  <r>
    <x v="15"/>
    <x v="15"/>
    <x v="23"/>
    <x v="14"/>
    <x v="19"/>
    <x v="18"/>
    <x v="18"/>
    <x v="9"/>
    <x v="11"/>
    <x v="12"/>
    <x v="5"/>
    <x v="5"/>
    <x v="10"/>
    <x v="5"/>
    <x v="0"/>
    <x v="7"/>
    <x v="0"/>
  </r>
  <r>
    <x v="16"/>
    <x v="16"/>
    <x v="24"/>
    <x v="6"/>
    <x v="7"/>
    <x v="7"/>
    <x v="7"/>
    <x v="4"/>
    <x v="4"/>
    <x v="6"/>
    <x v="3"/>
    <x v="3"/>
    <x v="6"/>
    <x v="3"/>
    <x v="0"/>
    <x v="3"/>
    <x v="0"/>
  </r>
  <r>
    <x v="17"/>
    <x v="17"/>
    <x v="25"/>
    <x v="15"/>
    <x v="20"/>
    <x v="19"/>
    <x v="19"/>
    <x v="10"/>
    <x v="12"/>
    <x v="13"/>
    <x v="2"/>
    <x v="2"/>
    <x v="11"/>
    <x v="3"/>
    <x v="1"/>
    <x v="3"/>
    <x v="3"/>
  </r>
  <r>
    <x v="18"/>
    <x v="18"/>
    <x v="26"/>
    <x v="15"/>
    <x v="21"/>
    <x v="20"/>
    <x v="20"/>
    <x v="11"/>
    <x v="13"/>
    <x v="14"/>
    <x v="2"/>
    <x v="2"/>
    <x v="11"/>
    <x v="1"/>
    <x v="0"/>
    <x v="8"/>
    <x v="0"/>
  </r>
  <r>
    <x v="19"/>
    <x v="19"/>
    <x v="27"/>
    <x v="16"/>
    <x v="22"/>
    <x v="21"/>
    <x v="21"/>
    <x v="12"/>
    <x v="14"/>
    <x v="15"/>
    <x v="0"/>
    <x v="0"/>
    <x v="12"/>
    <x v="0"/>
    <x v="0"/>
    <x v="9"/>
    <x v="0"/>
  </r>
  <r>
    <x v="13"/>
    <x v="13"/>
    <x v="28"/>
    <x v="17"/>
    <x v="23"/>
    <x v="22"/>
    <x v="22"/>
    <x v="13"/>
    <x v="15"/>
    <x v="16"/>
    <x v="6"/>
    <x v="6"/>
    <x v="13"/>
    <x v="0"/>
    <x v="1"/>
    <x v="10"/>
    <x v="2"/>
  </r>
  <r>
    <x v="20"/>
    <x v="20"/>
    <x v="29"/>
    <x v="18"/>
    <x v="24"/>
    <x v="23"/>
    <x v="23"/>
    <x v="14"/>
    <x v="16"/>
    <x v="17"/>
    <x v="2"/>
    <x v="2"/>
    <x v="14"/>
    <x v="3"/>
    <x v="1"/>
    <x v="3"/>
    <x v="6"/>
  </r>
  <r>
    <x v="15"/>
    <x v="15"/>
    <x v="30"/>
    <x v="16"/>
    <x v="25"/>
    <x v="24"/>
    <x v="24"/>
    <x v="15"/>
    <x v="17"/>
    <x v="18"/>
    <x v="1"/>
    <x v="1"/>
    <x v="15"/>
    <x v="2"/>
    <x v="0"/>
    <x v="11"/>
    <x v="0"/>
  </r>
  <r>
    <x v="21"/>
    <x v="21"/>
    <x v="31"/>
    <x v="6"/>
    <x v="7"/>
    <x v="7"/>
    <x v="7"/>
    <x v="4"/>
    <x v="4"/>
    <x v="6"/>
    <x v="3"/>
    <x v="3"/>
    <x v="6"/>
    <x v="3"/>
    <x v="0"/>
    <x v="3"/>
    <x v="0"/>
  </r>
  <r>
    <x v="22"/>
    <x v="22"/>
    <x v="32"/>
    <x v="6"/>
    <x v="7"/>
    <x v="7"/>
    <x v="7"/>
    <x v="4"/>
    <x v="4"/>
    <x v="6"/>
    <x v="3"/>
    <x v="3"/>
    <x v="6"/>
    <x v="3"/>
    <x v="0"/>
    <x v="3"/>
    <x v="0"/>
  </r>
  <r>
    <x v="18"/>
    <x v="18"/>
    <x v="33"/>
    <x v="19"/>
    <x v="26"/>
    <x v="25"/>
    <x v="25"/>
    <x v="4"/>
    <x v="4"/>
    <x v="4"/>
    <x v="3"/>
    <x v="3"/>
    <x v="4"/>
    <x v="3"/>
    <x v="0"/>
    <x v="3"/>
    <x v="0"/>
  </r>
  <r>
    <x v="23"/>
    <x v="23"/>
    <x v="21"/>
    <x v="20"/>
    <x v="27"/>
    <x v="26"/>
    <x v="26"/>
    <x v="16"/>
    <x v="18"/>
    <x v="19"/>
    <x v="1"/>
    <x v="1"/>
    <x v="16"/>
    <x v="2"/>
    <x v="0"/>
    <x v="12"/>
    <x v="0"/>
  </r>
  <r>
    <x v="19"/>
    <x v="19"/>
    <x v="34"/>
    <x v="21"/>
    <x v="28"/>
    <x v="27"/>
    <x v="27"/>
    <x v="17"/>
    <x v="19"/>
    <x v="20"/>
    <x v="2"/>
    <x v="2"/>
    <x v="17"/>
    <x v="1"/>
    <x v="0"/>
    <x v="13"/>
    <x v="0"/>
  </r>
  <r>
    <x v="24"/>
    <x v="24"/>
    <x v="35"/>
    <x v="4"/>
    <x v="29"/>
    <x v="28"/>
    <x v="28"/>
    <x v="4"/>
    <x v="4"/>
    <x v="4"/>
    <x v="3"/>
    <x v="3"/>
    <x v="4"/>
    <x v="3"/>
    <x v="0"/>
    <x v="3"/>
    <x v="0"/>
  </r>
  <r>
    <x v="23"/>
    <x v="23"/>
    <x v="36"/>
    <x v="22"/>
    <x v="30"/>
    <x v="29"/>
    <x v="29"/>
    <x v="4"/>
    <x v="4"/>
    <x v="4"/>
    <x v="3"/>
    <x v="3"/>
    <x v="4"/>
    <x v="3"/>
    <x v="0"/>
    <x v="3"/>
    <x v="0"/>
  </r>
  <r>
    <x v="25"/>
    <x v="25"/>
    <x v="37"/>
    <x v="23"/>
    <x v="31"/>
    <x v="30"/>
    <x v="30"/>
    <x v="18"/>
    <x v="20"/>
    <x v="21"/>
    <x v="0"/>
    <x v="0"/>
    <x v="18"/>
    <x v="1"/>
    <x v="3"/>
    <x v="14"/>
    <x v="7"/>
  </r>
  <r>
    <x v="26"/>
    <x v="26"/>
    <x v="38"/>
    <x v="9"/>
    <x v="32"/>
    <x v="31"/>
    <x v="31"/>
    <x v="14"/>
    <x v="21"/>
    <x v="22"/>
    <x v="2"/>
    <x v="2"/>
    <x v="19"/>
    <x v="3"/>
    <x v="1"/>
    <x v="3"/>
    <x v="6"/>
  </r>
  <r>
    <x v="27"/>
    <x v="27"/>
    <x v="39"/>
    <x v="1"/>
    <x v="33"/>
    <x v="23"/>
    <x v="32"/>
    <x v="4"/>
    <x v="4"/>
    <x v="4"/>
    <x v="3"/>
    <x v="3"/>
    <x v="4"/>
    <x v="3"/>
    <x v="0"/>
    <x v="3"/>
    <x v="0"/>
  </r>
  <r>
    <x v="28"/>
    <x v="28"/>
    <x v="40"/>
    <x v="1"/>
    <x v="34"/>
    <x v="32"/>
    <x v="33"/>
    <x v="4"/>
    <x v="4"/>
    <x v="4"/>
    <x v="3"/>
    <x v="3"/>
    <x v="4"/>
    <x v="3"/>
    <x v="0"/>
    <x v="3"/>
    <x v="0"/>
  </r>
  <r>
    <x v="4"/>
    <x v="4"/>
    <x v="41"/>
    <x v="6"/>
    <x v="7"/>
    <x v="7"/>
    <x v="7"/>
    <x v="4"/>
    <x v="4"/>
    <x v="6"/>
    <x v="3"/>
    <x v="3"/>
    <x v="6"/>
    <x v="3"/>
    <x v="0"/>
    <x v="3"/>
    <x v="0"/>
  </r>
  <r>
    <x v="15"/>
    <x v="15"/>
    <x v="42"/>
    <x v="24"/>
    <x v="35"/>
    <x v="33"/>
    <x v="34"/>
    <x v="19"/>
    <x v="22"/>
    <x v="23"/>
    <x v="1"/>
    <x v="1"/>
    <x v="20"/>
    <x v="1"/>
    <x v="1"/>
    <x v="15"/>
    <x v="8"/>
  </r>
  <r>
    <x v="23"/>
    <x v="23"/>
    <x v="43"/>
    <x v="25"/>
    <x v="36"/>
    <x v="34"/>
    <x v="35"/>
    <x v="20"/>
    <x v="23"/>
    <x v="24"/>
    <x v="5"/>
    <x v="7"/>
    <x v="21"/>
    <x v="0"/>
    <x v="3"/>
    <x v="9"/>
    <x v="9"/>
  </r>
  <r>
    <x v="29"/>
    <x v="29"/>
    <x v="44"/>
    <x v="6"/>
    <x v="7"/>
    <x v="7"/>
    <x v="7"/>
    <x v="4"/>
    <x v="4"/>
    <x v="6"/>
    <x v="3"/>
    <x v="3"/>
    <x v="6"/>
    <x v="3"/>
    <x v="0"/>
    <x v="3"/>
    <x v="0"/>
  </r>
  <r>
    <x v="14"/>
    <x v="14"/>
    <x v="45"/>
    <x v="3"/>
    <x v="37"/>
    <x v="35"/>
    <x v="36"/>
    <x v="15"/>
    <x v="24"/>
    <x v="25"/>
    <x v="1"/>
    <x v="1"/>
    <x v="3"/>
    <x v="2"/>
    <x v="0"/>
    <x v="11"/>
    <x v="0"/>
  </r>
  <r>
    <x v="19"/>
    <x v="19"/>
    <x v="46"/>
    <x v="26"/>
    <x v="38"/>
    <x v="36"/>
    <x v="37"/>
    <x v="21"/>
    <x v="25"/>
    <x v="26"/>
    <x v="7"/>
    <x v="5"/>
    <x v="22"/>
    <x v="2"/>
    <x v="4"/>
    <x v="12"/>
    <x v="10"/>
  </r>
  <r>
    <x v="13"/>
    <x v="13"/>
    <x v="47"/>
    <x v="16"/>
    <x v="39"/>
    <x v="37"/>
    <x v="38"/>
    <x v="22"/>
    <x v="26"/>
    <x v="27"/>
    <x v="6"/>
    <x v="6"/>
    <x v="23"/>
    <x v="6"/>
    <x v="0"/>
    <x v="16"/>
    <x v="0"/>
  </r>
  <r>
    <x v="30"/>
    <x v="30"/>
    <x v="48"/>
    <x v="0"/>
    <x v="40"/>
    <x v="38"/>
    <x v="39"/>
    <x v="23"/>
    <x v="27"/>
    <x v="28"/>
    <x v="6"/>
    <x v="6"/>
    <x v="2"/>
    <x v="2"/>
    <x v="3"/>
    <x v="11"/>
    <x v="11"/>
  </r>
  <r>
    <x v="18"/>
    <x v="18"/>
    <x v="49"/>
    <x v="21"/>
    <x v="41"/>
    <x v="39"/>
    <x v="40"/>
    <x v="4"/>
    <x v="4"/>
    <x v="4"/>
    <x v="3"/>
    <x v="3"/>
    <x v="4"/>
    <x v="3"/>
    <x v="0"/>
    <x v="3"/>
    <x v="0"/>
  </r>
  <r>
    <x v="0"/>
    <x v="0"/>
    <x v="50"/>
    <x v="19"/>
    <x v="42"/>
    <x v="40"/>
    <x v="41"/>
    <x v="24"/>
    <x v="28"/>
    <x v="29"/>
    <x v="2"/>
    <x v="2"/>
    <x v="24"/>
    <x v="1"/>
    <x v="0"/>
    <x v="17"/>
    <x v="0"/>
  </r>
  <r>
    <x v="0"/>
    <x v="0"/>
    <x v="51"/>
    <x v="4"/>
    <x v="43"/>
    <x v="41"/>
    <x v="42"/>
    <x v="4"/>
    <x v="4"/>
    <x v="4"/>
    <x v="3"/>
    <x v="3"/>
    <x v="4"/>
    <x v="3"/>
    <x v="0"/>
    <x v="3"/>
    <x v="0"/>
  </r>
  <r>
    <x v="5"/>
    <x v="5"/>
    <x v="52"/>
    <x v="4"/>
    <x v="44"/>
    <x v="42"/>
    <x v="43"/>
    <x v="4"/>
    <x v="4"/>
    <x v="4"/>
    <x v="3"/>
    <x v="3"/>
    <x v="4"/>
    <x v="3"/>
    <x v="0"/>
    <x v="3"/>
    <x v="0"/>
  </r>
  <r>
    <x v="31"/>
    <x v="31"/>
    <x v="53"/>
    <x v="1"/>
    <x v="45"/>
    <x v="43"/>
    <x v="44"/>
    <x v="4"/>
    <x v="4"/>
    <x v="4"/>
    <x v="3"/>
    <x v="3"/>
    <x v="4"/>
    <x v="3"/>
    <x v="0"/>
    <x v="3"/>
    <x v="0"/>
  </r>
  <r>
    <x v="32"/>
    <x v="32"/>
    <x v="54"/>
    <x v="1"/>
    <x v="46"/>
    <x v="43"/>
    <x v="44"/>
    <x v="25"/>
    <x v="29"/>
    <x v="30"/>
    <x v="1"/>
    <x v="1"/>
    <x v="1"/>
    <x v="2"/>
    <x v="0"/>
    <x v="18"/>
    <x v="0"/>
  </r>
  <r>
    <x v="30"/>
    <x v="30"/>
    <x v="55"/>
    <x v="1"/>
    <x v="47"/>
    <x v="44"/>
    <x v="25"/>
    <x v="4"/>
    <x v="4"/>
    <x v="4"/>
    <x v="3"/>
    <x v="3"/>
    <x v="4"/>
    <x v="3"/>
    <x v="0"/>
    <x v="3"/>
    <x v="0"/>
  </r>
  <r>
    <x v="33"/>
    <x v="33"/>
    <x v="56"/>
    <x v="6"/>
    <x v="7"/>
    <x v="7"/>
    <x v="7"/>
    <x v="4"/>
    <x v="4"/>
    <x v="6"/>
    <x v="3"/>
    <x v="3"/>
    <x v="6"/>
    <x v="3"/>
    <x v="0"/>
    <x v="3"/>
    <x v="0"/>
  </r>
  <r>
    <x v="34"/>
    <x v="34"/>
    <x v="57"/>
    <x v="4"/>
    <x v="48"/>
    <x v="45"/>
    <x v="45"/>
    <x v="4"/>
    <x v="4"/>
    <x v="4"/>
    <x v="3"/>
    <x v="3"/>
    <x v="4"/>
    <x v="3"/>
    <x v="0"/>
    <x v="3"/>
    <x v="0"/>
  </r>
  <r>
    <x v="35"/>
    <x v="35"/>
    <x v="58"/>
    <x v="6"/>
    <x v="7"/>
    <x v="7"/>
    <x v="7"/>
    <x v="4"/>
    <x v="4"/>
    <x v="6"/>
    <x v="3"/>
    <x v="3"/>
    <x v="6"/>
    <x v="3"/>
    <x v="0"/>
    <x v="3"/>
    <x v="0"/>
  </r>
  <r>
    <x v="36"/>
    <x v="36"/>
    <x v="59"/>
    <x v="6"/>
    <x v="7"/>
    <x v="7"/>
    <x v="7"/>
    <x v="4"/>
    <x v="4"/>
    <x v="6"/>
    <x v="3"/>
    <x v="3"/>
    <x v="6"/>
    <x v="3"/>
    <x v="0"/>
    <x v="3"/>
    <x v="0"/>
  </r>
  <r>
    <x v="37"/>
    <x v="37"/>
    <x v="60"/>
    <x v="4"/>
    <x v="46"/>
    <x v="46"/>
    <x v="46"/>
    <x v="4"/>
    <x v="4"/>
    <x v="4"/>
    <x v="3"/>
    <x v="3"/>
    <x v="4"/>
    <x v="3"/>
    <x v="0"/>
    <x v="3"/>
    <x v="0"/>
  </r>
  <r>
    <x v="2"/>
    <x v="2"/>
    <x v="61"/>
    <x v="6"/>
    <x v="7"/>
    <x v="7"/>
    <x v="7"/>
    <x v="4"/>
    <x v="4"/>
    <x v="6"/>
    <x v="3"/>
    <x v="3"/>
    <x v="6"/>
    <x v="3"/>
    <x v="0"/>
    <x v="3"/>
    <x v="0"/>
  </r>
  <r>
    <x v="4"/>
    <x v="4"/>
    <x v="62"/>
    <x v="6"/>
    <x v="7"/>
    <x v="7"/>
    <x v="7"/>
    <x v="4"/>
    <x v="4"/>
    <x v="6"/>
    <x v="3"/>
    <x v="3"/>
    <x v="6"/>
    <x v="3"/>
    <x v="0"/>
    <x v="3"/>
    <x v="0"/>
  </r>
  <r>
    <x v="38"/>
    <x v="38"/>
    <x v="63"/>
    <x v="9"/>
    <x v="49"/>
    <x v="47"/>
    <x v="47"/>
    <x v="4"/>
    <x v="4"/>
    <x v="4"/>
    <x v="3"/>
    <x v="3"/>
    <x v="4"/>
    <x v="3"/>
    <x v="0"/>
    <x v="3"/>
    <x v="0"/>
  </r>
  <r>
    <x v="39"/>
    <x v="39"/>
    <x v="64"/>
    <x v="3"/>
    <x v="50"/>
    <x v="48"/>
    <x v="48"/>
    <x v="4"/>
    <x v="4"/>
    <x v="4"/>
    <x v="3"/>
    <x v="3"/>
    <x v="4"/>
    <x v="3"/>
    <x v="0"/>
    <x v="3"/>
    <x v="0"/>
  </r>
  <r>
    <x v="39"/>
    <x v="39"/>
    <x v="65"/>
    <x v="21"/>
    <x v="51"/>
    <x v="49"/>
    <x v="49"/>
    <x v="4"/>
    <x v="4"/>
    <x v="4"/>
    <x v="3"/>
    <x v="3"/>
    <x v="4"/>
    <x v="3"/>
    <x v="0"/>
    <x v="3"/>
    <x v="0"/>
  </r>
  <r>
    <x v="38"/>
    <x v="38"/>
    <x v="66"/>
    <x v="15"/>
    <x v="52"/>
    <x v="50"/>
    <x v="50"/>
    <x v="4"/>
    <x v="4"/>
    <x v="4"/>
    <x v="3"/>
    <x v="3"/>
    <x v="4"/>
    <x v="3"/>
    <x v="0"/>
    <x v="3"/>
    <x v="0"/>
  </r>
  <r>
    <x v="39"/>
    <x v="39"/>
    <x v="35"/>
    <x v="6"/>
    <x v="7"/>
    <x v="7"/>
    <x v="7"/>
    <x v="4"/>
    <x v="4"/>
    <x v="6"/>
    <x v="3"/>
    <x v="3"/>
    <x v="6"/>
    <x v="3"/>
    <x v="0"/>
    <x v="3"/>
    <x v="0"/>
  </r>
  <r>
    <x v="40"/>
    <x v="40"/>
    <x v="67"/>
    <x v="19"/>
    <x v="53"/>
    <x v="51"/>
    <x v="51"/>
    <x v="4"/>
    <x v="4"/>
    <x v="4"/>
    <x v="3"/>
    <x v="3"/>
    <x v="4"/>
    <x v="3"/>
    <x v="0"/>
    <x v="3"/>
    <x v="0"/>
  </r>
  <r>
    <x v="41"/>
    <x v="41"/>
    <x v="68"/>
    <x v="6"/>
    <x v="54"/>
    <x v="7"/>
    <x v="7"/>
    <x v="4"/>
    <x v="4"/>
    <x v="6"/>
    <x v="3"/>
    <x v="3"/>
    <x v="6"/>
    <x v="3"/>
    <x v="0"/>
    <x v="3"/>
    <x v="0"/>
  </r>
  <r>
    <x v="1"/>
    <x v="1"/>
    <x v="69"/>
    <x v="6"/>
    <x v="7"/>
    <x v="7"/>
    <x v="7"/>
    <x v="4"/>
    <x v="4"/>
    <x v="6"/>
    <x v="3"/>
    <x v="3"/>
    <x v="6"/>
    <x v="3"/>
    <x v="0"/>
    <x v="3"/>
    <x v="0"/>
  </r>
  <r>
    <x v="42"/>
    <x v="42"/>
    <x v="70"/>
    <x v="18"/>
    <x v="55"/>
    <x v="52"/>
    <x v="52"/>
    <x v="4"/>
    <x v="4"/>
    <x v="4"/>
    <x v="3"/>
    <x v="3"/>
    <x v="4"/>
    <x v="3"/>
    <x v="0"/>
    <x v="3"/>
    <x v="0"/>
  </r>
  <r>
    <x v="42"/>
    <x v="42"/>
    <x v="71"/>
    <x v="4"/>
    <x v="56"/>
    <x v="53"/>
    <x v="53"/>
    <x v="4"/>
    <x v="4"/>
    <x v="4"/>
    <x v="3"/>
    <x v="3"/>
    <x v="4"/>
    <x v="3"/>
    <x v="0"/>
    <x v="3"/>
    <x v="0"/>
  </r>
  <r>
    <x v="43"/>
    <x v="43"/>
    <x v="72"/>
    <x v="6"/>
    <x v="7"/>
    <x v="7"/>
    <x v="7"/>
    <x v="4"/>
    <x v="4"/>
    <x v="6"/>
    <x v="3"/>
    <x v="3"/>
    <x v="6"/>
    <x v="3"/>
    <x v="0"/>
    <x v="3"/>
    <x v="0"/>
  </r>
  <r>
    <x v="42"/>
    <x v="42"/>
    <x v="58"/>
    <x v="6"/>
    <x v="7"/>
    <x v="7"/>
    <x v="7"/>
    <x v="4"/>
    <x v="4"/>
    <x v="6"/>
    <x v="3"/>
    <x v="3"/>
    <x v="6"/>
    <x v="3"/>
    <x v="0"/>
    <x v="3"/>
    <x v="0"/>
  </r>
  <r>
    <x v="43"/>
    <x v="43"/>
    <x v="73"/>
    <x v="6"/>
    <x v="7"/>
    <x v="7"/>
    <x v="7"/>
    <x v="4"/>
    <x v="4"/>
    <x v="6"/>
    <x v="3"/>
    <x v="3"/>
    <x v="6"/>
    <x v="3"/>
    <x v="0"/>
    <x v="3"/>
    <x v="0"/>
  </r>
  <r>
    <x v="44"/>
    <x v="44"/>
    <x v="74"/>
    <x v="6"/>
    <x v="7"/>
    <x v="7"/>
    <x v="7"/>
    <x v="4"/>
    <x v="4"/>
    <x v="6"/>
    <x v="3"/>
    <x v="3"/>
    <x v="6"/>
    <x v="3"/>
    <x v="0"/>
    <x v="3"/>
    <x v="0"/>
  </r>
  <r>
    <x v="41"/>
    <x v="41"/>
    <x v="75"/>
    <x v="19"/>
    <x v="57"/>
    <x v="54"/>
    <x v="54"/>
    <x v="4"/>
    <x v="4"/>
    <x v="4"/>
    <x v="3"/>
    <x v="3"/>
    <x v="4"/>
    <x v="3"/>
    <x v="0"/>
    <x v="3"/>
    <x v="0"/>
  </r>
  <r>
    <x v="45"/>
    <x v="45"/>
    <x v="76"/>
    <x v="5"/>
    <x v="58"/>
    <x v="55"/>
    <x v="55"/>
    <x v="26"/>
    <x v="30"/>
    <x v="31"/>
    <x v="0"/>
    <x v="6"/>
    <x v="25"/>
    <x v="6"/>
    <x v="0"/>
    <x v="19"/>
    <x v="0"/>
  </r>
  <r>
    <x v="46"/>
    <x v="46"/>
    <x v="77"/>
    <x v="27"/>
    <x v="59"/>
    <x v="56"/>
    <x v="56"/>
    <x v="27"/>
    <x v="31"/>
    <x v="32"/>
    <x v="1"/>
    <x v="1"/>
    <x v="17"/>
    <x v="1"/>
    <x v="1"/>
    <x v="20"/>
    <x v="12"/>
  </r>
  <r>
    <x v="47"/>
    <x v="47"/>
    <x v="78"/>
    <x v="28"/>
    <x v="54"/>
    <x v="7"/>
    <x v="57"/>
    <x v="28"/>
    <x v="4"/>
    <x v="6"/>
    <x v="8"/>
    <x v="8"/>
    <x v="6"/>
    <x v="7"/>
    <x v="5"/>
    <x v="21"/>
    <x v="13"/>
  </r>
</pivotCacheRecords>
</file>

<file path=xl/pivotCache/pivotCacheRecords5.xml><?xml version="1.0" encoding="utf-8"?>
<pivotCacheRecords xmlns="http://schemas.openxmlformats.org/spreadsheetml/2006/main" xmlns:r="http://schemas.openxmlformats.org/officeDocument/2006/relationships" count="93">
  <r>
    <x v="0"/>
    <x v="0"/>
    <x v="0"/>
    <x v="0"/>
    <x v="0"/>
    <x v="0"/>
    <x v="0"/>
    <x v="0"/>
    <x v="0"/>
    <x v="0"/>
    <x v="0"/>
    <x v="0"/>
    <x v="0"/>
    <x v="0"/>
    <x v="0"/>
    <x v="0"/>
    <x v="0"/>
  </r>
  <r>
    <x v="1"/>
    <x v="1"/>
    <x v="1"/>
    <x v="1"/>
    <x v="1"/>
    <x v="1"/>
    <x v="1"/>
    <x v="1"/>
    <x v="1"/>
    <x v="1"/>
    <x v="1"/>
    <x v="1"/>
    <x v="1"/>
    <x v="1"/>
    <x v="1"/>
    <x v="1"/>
    <x v="1"/>
  </r>
  <r>
    <x v="2"/>
    <x v="2"/>
    <x v="2"/>
    <x v="2"/>
    <x v="2"/>
    <x v="2"/>
    <x v="2"/>
    <x v="2"/>
    <x v="2"/>
    <x v="2"/>
    <x v="2"/>
    <x v="2"/>
    <x v="2"/>
    <x v="1"/>
    <x v="0"/>
    <x v="1"/>
    <x v="0"/>
  </r>
  <r>
    <x v="3"/>
    <x v="3"/>
    <x v="3"/>
    <x v="3"/>
    <x v="3"/>
    <x v="3"/>
    <x v="3"/>
    <x v="3"/>
    <x v="3"/>
    <x v="3"/>
    <x v="1"/>
    <x v="1"/>
    <x v="3"/>
    <x v="2"/>
    <x v="0"/>
    <x v="2"/>
    <x v="0"/>
  </r>
  <r>
    <x v="4"/>
    <x v="4"/>
    <x v="4"/>
    <x v="4"/>
    <x v="4"/>
    <x v="4"/>
    <x v="4"/>
    <x v="4"/>
    <x v="4"/>
    <x v="4"/>
    <x v="3"/>
    <x v="3"/>
    <x v="4"/>
    <x v="3"/>
    <x v="0"/>
    <x v="3"/>
    <x v="0"/>
  </r>
  <r>
    <x v="5"/>
    <x v="5"/>
    <x v="5"/>
    <x v="5"/>
    <x v="5"/>
    <x v="5"/>
    <x v="5"/>
    <x v="5"/>
    <x v="5"/>
    <x v="5"/>
    <x v="4"/>
    <x v="4"/>
    <x v="5"/>
    <x v="0"/>
    <x v="2"/>
    <x v="4"/>
    <x v="2"/>
  </r>
  <r>
    <x v="1"/>
    <x v="1"/>
    <x v="6"/>
    <x v="6"/>
    <x v="6"/>
    <x v="6"/>
    <x v="6"/>
    <x v="4"/>
    <x v="4"/>
    <x v="4"/>
    <x v="3"/>
    <x v="3"/>
    <x v="4"/>
    <x v="3"/>
    <x v="0"/>
    <x v="3"/>
    <x v="0"/>
  </r>
  <r>
    <x v="2"/>
    <x v="2"/>
    <x v="7"/>
    <x v="7"/>
    <x v="7"/>
    <x v="7"/>
    <x v="7"/>
    <x v="6"/>
    <x v="6"/>
    <x v="6"/>
    <x v="1"/>
    <x v="1"/>
    <x v="6"/>
    <x v="2"/>
    <x v="0"/>
    <x v="5"/>
    <x v="0"/>
  </r>
  <r>
    <x v="6"/>
    <x v="6"/>
    <x v="8"/>
    <x v="8"/>
    <x v="8"/>
    <x v="8"/>
    <x v="8"/>
    <x v="4"/>
    <x v="4"/>
    <x v="4"/>
    <x v="3"/>
    <x v="3"/>
    <x v="4"/>
    <x v="3"/>
    <x v="0"/>
    <x v="3"/>
    <x v="0"/>
  </r>
  <r>
    <x v="3"/>
    <x v="3"/>
    <x v="9"/>
    <x v="9"/>
    <x v="9"/>
    <x v="9"/>
    <x v="9"/>
    <x v="7"/>
    <x v="7"/>
    <x v="7"/>
    <x v="4"/>
    <x v="5"/>
    <x v="7"/>
    <x v="4"/>
    <x v="1"/>
    <x v="6"/>
    <x v="3"/>
  </r>
  <r>
    <x v="7"/>
    <x v="7"/>
    <x v="10"/>
    <x v="2"/>
    <x v="10"/>
    <x v="10"/>
    <x v="10"/>
    <x v="4"/>
    <x v="4"/>
    <x v="4"/>
    <x v="3"/>
    <x v="3"/>
    <x v="4"/>
    <x v="3"/>
    <x v="0"/>
    <x v="3"/>
    <x v="0"/>
  </r>
  <r>
    <x v="8"/>
    <x v="8"/>
    <x v="11"/>
    <x v="8"/>
    <x v="11"/>
    <x v="8"/>
    <x v="8"/>
    <x v="4"/>
    <x v="4"/>
    <x v="4"/>
    <x v="3"/>
    <x v="3"/>
    <x v="4"/>
    <x v="3"/>
    <x v="0"/>
    <x v="3"/>
    <x v="0"/>
  </r>
  <r>
    <x v="9"/>
    <x v="9"/>
    <x v="12"/>
    <x v="8"/>
    <x v="12"/>
    <x v="8"/>
    <x v="8"/>
    <x v="4"/>
    <x v="4"/>
    <x v="4"/>
    <x v="3"/>
    <x v="3"/>
    <x v="4"/>
    <x v="3"/>
    <x v="0"/>
    <x v="3"/>
    <x v="0"/>
  </r>
  <r>
    <x v="10"/>
    <x v="10"/>
    <x v="13"/>
    <x v="8"/>
    <x v="13"/>
    <x v="8"/>
    <x v="8"/>
    <x v="4"/>
    <x v="4"/>
    <x v="4"/>
    <x v="3"/>
    <x v="3"/>
    <x v="4"/>
    <x v="3"/>
    <x v="0"/>
    <x v="3"/>
    <x v="0"/>
  </r>
  <r>
    <x v="6"/>
    <x v="6"/>
    <x v="14"/>
    <x v="8"/>
    <x v="14"/>
    <x v="11"/>
    <x v="11"/>
    <x v="4"/>
    <x v="4"/>
    <x v="4"/>
    <x v="3"/>
    <x v="3"/>
    <x v="4"/>
    <x v="3"/>
    <x v="0"/>
    <x v="3"/>
    <x v="0"/>
  </r>
  <r>
    <x v="9"/>
    <x v="9"/>
    <x v="15"/>
    <x v="10"/>
    <x v="15"/>
    <x v="12"/>
    <x v="12"/>
    <x v="4"/>
    <x v="4"/>
    <x v="8"/>
    <x v="3"/>
    <x v="3"/>
    <x v="8"/>
    <x v="3"/>
    <x v="0"/>
    <x v="3"/>
    <x v="0"/>
  </r>
  <r>
    <x v="10"/>
    <x v="10"/>
    <x v="16"/>
    <x v="10"/>
    <x v="15"/>
    <x v="12"/>
    <x v="12"/>
    <x v="4"/>
    <x v="4"/>
    <x v="8"/>
    <x v="3"/>
    <x v="3"/>
    <x v="8"/>
    <x v="3"/>
    <x v="0"/>
    <x v="3"/>
    <x v="0"/>
  </r>
  <r>
    <x v="7"/>
    <x v="7"/>
    <x v="17"/>
    <x v="11"/>
    <x v="16"/>
    <x v="13"/>
    <x v="13"/>
    <x v="8"/>
    <x v="8"/>
    <x v="9"/>
    <x v="0"/>
    <x v="0"/>
    <x v="9"/>
    <x v="1"/>
    <x v="3"/>
    <x v="7"/>
    <x v="4"/>
  </r>
  <r>
    <x v="0"/>
    <x v="0"/>
    <x v="18"/>
    <x v="12"/>
    <x v="17"/>
    <x v="14"/>
    <x v="14"/>
    <x v="4"/>
    <x v="4"/>
    <x v="4"/>
    <x v="3"/>
    <x v="3"/>
    <x v="4"/>
    <x v="3"/>
    <x v="0"/>
    <x v="3"/>
    <x v="0"/>
  </r>
  <r>
    <x v="11"/>
    <x v="11"/>
    <x v="19"/>
    <x v="13"/>
    <x v="18"/>
    <x v="15"/>
    <x v="15"/>
    <x v="9"/>
    <x v="9"/>
    <x v="10"/>
    <x v="1"/>
    <x v="1"/>
    <x v="10"/>
    <x v="3"/>
    <x v="3"/>
    <x v="3"/>
    <x v="5"/>
  </r>
  <r>
    <x v="5"/>
    <x v="5"/>
    <x v="20"/>
    <x v="14"/>
    <x v="19"/>
    <x v="16"/>
    <x v="16"/>
    <x v="10"/>
    <x v="10"/>
    <x v="11"/>
    <x v="5"/>
    <x v="6"/>
    <x v="11"/>
    <x v="5"/>
    <x v="4"/>
    <x v="8"/>
    <x v="6"/>
  </r>
  <r>
    <x v="12"/>
    <x v="12"/>
    <x v="21"/>
    <x v="10"/>
    <x v="15"/>
    <x v="12"/>
    <x v="12"/>
    <x v="4"/>
    <x v="4"/>
    <x v="8"/>
    <x v="3"/>
    <x v="3"/>
    <x v="8"/>
    <x v="3"/>
    <x v="0"/>
    <x v="3"/>
    <x v="0"/>
  </r>
  <r>
    <x v="8"/>
    <x v="8"/>
    <x v="22"/>
    <x v="10"/>
    <x v="15"/>
    <x v="12"/>
    <x v="12"/>
    <x v="4"/>
    <x v="4"/>
    <x v="8"/>
    <x v="3"/>
    <x v="3"/>
    <x v="8"/>
    <x v="3"/>
    <x v="0"/>
    <x v="3"/>
    <x v="0"/>
  </r>
  <r>
    <x v="13"/>
    <x v="13"/>
    <x v="23"/>
    <x v="5"/>
    <x v="20"/>
    <x v="17"/>
    <x v="17"/>
    <x v="1"/>
    <x v="11"/>
    <x v="12"/>
    <x v="1"/>
    <x v="1"/>
    <x v="12"/>
    <x v="2"/>
    <x v="0"/>
    <x v="9"/>
    <x v="0"/>
  </r>
  <r>
    <x v="14"/>
    <x v="14"/>
    <x v="24"/>
    <x v="15"/>
    <x v="21"/>
    <x v="18"/>
    <x v="18"/>
    <x v="11"/>
    <x v="12"/>
    <x v="13"/>
    <x v="1"/>
    <x v="1"/>
    <x v="13"/>
    <x v="1"/>
    <x v="1"/>
    <x v="10"/>
    <x v="7"/>
  </r>
  <r>
    <x v="15"/>
    <x v="15"/>
    <x v="25"/>
    <x v="16"/>
    <x v="22"/>
    <x v="19"/>
    <x v="19"/>
    <x v="12"/>
    <x v="13"/>
    <x v="14"/>
    <x v="6"/>
    <x v="7"/>
    <x v="14"/>
    <x v="6"/>
    <x v="0"/>
    <x v="11"/>
    <x v="0"/>
  </r>
  <r>
    <x v="16"/>
    <x v="16"/>
    <x v="26"/>
    <x v="1"/>
    <x v="23"/>
    <x v="20"/>
    <x v="20"/>
    <x v="4"/>
    <x v="4"/>
    <x v="4"/>
    <x v="3"/>
    <x v="3"/>
    <x v="4"/>
    <x v="3"/>
    <x v="0"/>
    <x v="3"/>
    <x v="0"/>
  </r>
  <r>
    <x v="17"/>
    <x v="17"/>
    <x v="27"/>
    <x v="17"/>
    <x v="24"/>
    <x v="21"/>
    <x v="21"/>
    <x v="13"/>
    <x v="14"/>
    <x v="15"/>
    <x v="2"/>
    <x v="2"/>
    <x v="15"/>
    <x v="3"/>
    <x v="1"/>
    <x v="3"/>
    <x v="8"/>
  </r>
  <r>
    <x v="18"/>
    <x v="18"/>
    <x v="28"/>
    <x v="18"/>
    <x v="25"/>
    <x v="22"/>
    <x v="22"/>
    <x v="14"/>
    <x v="15"/>
    <x v="16"/>
    <x v="2"/>
    <x v="2"/>
    <x v="16"/>
    <x v="1"/>
    <x v="0"/>
    <x v="12"/>
    <x v="0"/>
  </r>
  <r>
    <x v="19"/>
    <x v="19"/>
    <x v="29"/>
    <x v="19"/>
    <x v="26"/>
    <x v="23"/>
    <x v="23"/>
    <x v="15"/>
    <x v="16"/>
    <x v="17"/>
    <x v="7"/>
    <x v="7"/>
    <x v="17"/>
    <x v="7"/>
    <x v="2"/>
    <x v="13"/>
    <x v="9"/>
  </r>
  <r>
    <x v="13"/>
    <x v="13"/>
    <x v="30"/>
    <x v="18"/>
    <x v="27"/>
    <x v="24"/>
    <x v="24"/>
    <x v="16"/>
    <x v="17"/>
    <x v="18"/>
    <x v="8"/>
    <x v="8"/>
    <x v="18"/>
    <x v="0"/>
    <x v="1"/>
    <x v="14"/>
    <x v="3"/>
  </r>
  <r>
    <x v="20"/>
    <x v="20"/>
    <x v="31"/>
    <x v="20"/>
    <x v="28"/>
    <x v="25"/>
    <x v="25"/>
    <x v="17"/>
    <x v="18"/>
    <x v="19"/>
    <x v="1"/>
    <x v="1"/>
    <x v="19"/>
    <x v="3"/>
    <x v="3"/>
    <x v="3"/>
    <x v="10"/>
  </r>
  <r>
    <x v="15"/>
    <x v="15"/>
    <x v="32"/>
    <x v="21"/>
    <x v="29"/>
    <x v="26"/>
    <x v="26"/>
    <x v="18"/>
    <x v="19"/>
    <x v="20"/>
    <x v="9"/>
    <x v="9"/>
    <x v="20"/>
    <x v="8"/>
    <x v="1"/>
    <x v="15"/>
    <x v="7"/>
  </r>
  <r>
    <x v="21"/>
    <x v="21"/>
    <x v="33"/>
    <x v="8"/>
    <x v="30"/>
    <x v="27"/>
    <x v="27"/>
    <x v="4"/>
    <x v="4"/>
    <x v="4"/>
    <x v="3"/>
    <x v="3"/>
    <x v="4"/>
    <x v="3"/>
    <x v="0"/>
    <x v="3"/>
    <x v="0"/>
  </r>
  <r>
    <x v="22"/>
    <x v="22"/>
    <x v="34"/>
    <x v="10"/>
    <x v="15"/>
    <x v="12"/>
    <x v="12"/>
    <x v="4"/>
    <x v="4"/>
    <x v="8"/>
    <x v="3"/>
    <x v="3"/>
    <x v="8"/>
    <x v="3"/>
    <x v="0"/>
    <x v="3"/>
    <x v="0"/>
  </r>
  <r>
    <x v="18"/>
    <x v="18"/>
    <x v="35"/>
    <x v="4"/>
    <x v="31"/>
    <x v="28"/>
    <x v="28"/>
    <x v="4"/>
    <x v="4"/>
    <x v="4"/>
    <x v="3"/>
    <x v="3"/>
    <x v="4"/>
    <x v="3"/>
    <x v="0"/>
    <x v="3"/>
    <x v="0"/>
  </r>
  <r>
    <x v="23"/>
    <x v="23"/>
    <x v="36"/>
    <x v="22"/>
    <x v="32"/>
    <x v="29"/>
    <x v="29"/>
    <x v="19"/>
    <x v="20"/>
    <x v="21"/>
    <x v="1"/>
    <x v="1"/>
    <x v="21"/>
    <x v="2"/>
    <x v="0"/>
    <x v="16"/>
    <x v="0"/>
  </r>
  <r>
    <x v="19"/>
    <x v="19"/>
    <x v="37"/>
    <x v="23"/>
    <x v="33"/>
    <x v="30"/>
    <x v="30"/>
    <x v="20"/>
    <x v="21"/>
    <x v="22"/>
    <x v="0"/>
    <x v="0"/>
    <x v="22"/>
    <x v="1"/>
    <x v="3"/>
    <x v="17"/>
    <x v="11"/>
  </r>
  <r>
    <x v="24"/>
    <x v="24"/>
    <x v="38"/>
    <x v="24"/>
    <x v="34"/>
    <x v="31"/>
    <x v="31"/>
    <x v="4"/>
    <x v="4"/>
    <x v="4"/>
    <x v="3"/>
    <x v="3"/>
    <x v="4"/>
    <x v="3"/>
    <x v="0"/>
    <x v="3"/>
    <x v="0"/>
  </r>
  <r>
    <x v="23"/>
    <x v="23"/>
    <x v="39"/>
    <x v="25"/>
    <x v="35"/>
    <x v="32"/>
    <x v="32"/>
    <x v="21"/>
    <x v="22"/>
    <x v="23"/>
    <x v="1"/>
    <x v="1"/>
    <x v="23"/>
    <x v="2"/>
    <x v="0"/>
    <x v="18"/>
    <x v="0"/>
  </r>
  <r>
    <x v="25"/>
    <x v="25"/>
    <x v="40"/>
    <x v="26"/>
    <x v="36"/>
    <x v="33"/>
    <x v="33"/>
    <x v="22"/>
    <x v="23"/>
    <x v="24"/>
    <x v="9"/>
    <x v="9"/>
    <x v="24"/>
    <x v="2"/>
    <x v="5"/>
    <x v="19"/>
    <x v="12"/>
  </r>
  <r>
    <x v="26"/>
    <x v="26"/>
    <x v="41"/>
    <x v="27"/>
    <x v="37"/>
    <x v="34"/>
    <x v="34"/>
    <x v="23"/>
    <x v="24"/>
    <x v="25"/>
    <x v="2"/>
    <x v="2"/>
    <x v="25"/>
    <x v="3"/>
    <x v="1"/>
    <x v="3"/>
    <x v="13"/>
  </r>
  <r>
    <x v="27"/>
    <x v="27"/>
    <x v="42"/>
    <x v="28"/>
    <x v="38"/>
    <x v="35"/>
    <x v="35"/>
    <x v="4"/>
    <x v="4"/>
    <x v="4"/>
    <x v="3"/>
    <x v="3"/>
    <x v="4"/>
    <x v="3"/>
    <x v="0"/>
    <x v="3"/>
    <x v="0"/>
  </r>
  <r>
    <x v="28"/>
    <x v="28"/>
    <x v="43"/>
    <x v="2"/>
    <x v="39"/>
    <x v="36"/>
    <x v="36"/>
    <x v="4"/>
    <x v="4"/>
    <x v="4"/>
    <x v="3"/>
    <x v="3"/>
    <x v="4"/>
    <x v="3"/>
    <x v="0"/>
    <x v="3"/>
    <x v="0"/>
  </r>
  <r>
    <x v="4"/>
    <x v="4"/>
    <x v="44"/>
    <x v="10"/>
    <x v="15"/>
    <x v="12"/>
    <x v="12"/>
    <x v="4"/>
    <x v="4"/>
    <x v="8"/>
    <x v="3"/>
    <x v="3"/>
    <x v="8"/>
    <x v="3"/>
    <x v="0"/>
    <x v="3"/>
    <x v="0"/>
  </r>
  <r>
    <x v="15"/>
    <x v="15"/>
    <x v="45"/>
    <x v="29"/>
    <x v="40"/>
    <x v="37"/>
    <x v="37"/>
    <x v="24"/>
    <x v="25"/>
    <x v="26"/>
    <x v="10"/>
    <x v="4"/>
    <x v="26"/>
    <x v="0"/>
    <x v="2"/>
    <x v="20"/>
    <x v="14"/>
  </r>
  <r>
    <x v="23"/>
    <x v="23"/>
    <x v="46"/>
    <x v="30"/>
    <x v="41"/>
    <x v="38"/>
    <x v="38"/>
    <x v="25"/>
    <x v="26"/>
    <x v="27"/>
    <x v="11"/>
    <x v="10"/>
    <x v="27"/>
    <x v="0"/>
    <x v="4"/>
    <x v="21"/>
    <x v="15"/>
  </r>
  <r>
    <x v="29"/>
    <x v="29"/>
    <x v="47"/>
    <x v="10"/>
    <x v="15"/>
    <x v="12"/>
    <x v="12"/>
    <x v="4"/>
    <x v="4"/>
    <x v="8"/>
    <x v="3"/>
    <x v="3"/>
    <x v="8"/>
    <x v="3"/>
    <x v="0"/>
    <x v="3"/>
    <x v="0"/>
  </r>
  <r>
    <x v="14"/>
    <x v="14"/>
    <x v="48"/>
    <x v="31"/>
    <x v="42"/>
    <x v="39"/>
    <x v="39"/>
    <x v="26"/>
    <x v="27"/>
    <x v="28"/>
    <x v="0"/>
    <x v="0"/>
    <x v="28"/>
    <x v="0"/>
    <x v="0"/>
    <x v="20"/>
    <x v="0"/>
  </r>
  <r>
    <x v="19"/>
    <x v="19"/>
    <x v="49"/>
    <x v="32"/>
    <x v="43"/>
    <x v="40"/>
    <x v="40"/>
    <x v="27"/>
    <x v="28"/>
    <x v="29"/>
    <x v="7"/>
    <x v="7"/>
    <x v="29"/>
    <x v="4"/>
    <x v="6"/>
    <x v="22"/>
    <x v="16"/>
  </r>
  <r>
    <x v="13"/>
    <x v="13"/>
    <x v="50"/>
    <x v="33"/>
    <x v="44"/>
    <x v="41"/>
    <x v="41"/>
    <x v="28"/>
    <x v="29"/>
    <x v="30"/>
    <x v="11"/>
    <x v="10"/>
    <x v="30"/>
    <x v="7"/>
    <x v="0"/>
    <x v="23"/>
    <x v="0"/>
  </r>
  <r>
    <x v="30"/>
    <x v="30"/>
    <x v="51"/>
    <x v="20"/>
    <x v="45"/>
    <x v="42"/>
    <x v="42"/>
    <x v="29"/>
    <x v="30"/>
    <x v="31"/>
    <x v="12"/>
    <x v="11"/>
    <x v="31"/>
    <x v="9"/>
    <x v="7"/>
    <x v="24"/>
    <x v="17"/>
  </r>
  <r>
    <x v="18"/>
    <x v="18"/>
    <x v="52"/>
    <x v="34"/>
    <x v="46"/>
    <x v="43"/>
    <x v="43"/>
    <x v="30"/>
    <x v="31"/>
    <x v="32"/>
    <x v="1"/>
    <x v="1"/>
    <x v="32"/>
    <x v="3"/>
    <x v="3"/>
    <x v="3"/>
    <x v="18"/>
  </r>
  <r>
    <x v="0"/>
    <x v="0"/>
    <x v="53"/>
    <x v="27"/>
    <x v="47"/>
    <x v="44"/>
    <x v="44"/>
    <x v="31"/>
    <x v="32"/>
    <x v="33"/>
    <x v="2"/>
    <x v="2"/>
    <x v="25"/>
    <x v="1"/>
    <x v="0"/>
    <x v="25"/>
    <x v="0"/>
  </r>
  <r>
    <x v="31"/>
    <x v="31"/>
    <x v="54"/>
    <x v="10"/>
    <x v="15"/>
    <x v="12"/>
    <x v="12"/>
    <x v="4"/>
    <x v="4"/>
    <x v="8"/>
    <x v="3"/>
    <x v="3"/>
    <x v="8"/>
    <x v="3"/>
    <x v="0"/>
    <x v="3"/>
    <x v="0"/>
  </r>
  <r>
    <x v="0"/>
    <x v="0"/>
    <x v="55"/>
    <x v="4"/>
    <x v="48"/>
    <x v="45"/>
    <x v="45"/>
    <x v="4"/>
    <x v="4"/>
    <x v="4"/>
    <x v="3"/>
    <x v="3"/>
    <x v="4"/>
    <x v="3"/>
    <x v="0"/>
    <x v="3"/>
    <x v="0"/>
  </r>
  <r>
    <x v="5"/>
    <x v="5"/>
    <x v="56"/>
    <x v="8"/>
    <x v="49"/>
    <x v="46"/>
    <x v="46"/>
    <x v="4"/>
    <x v="4"/>
    <x v="4"/>
    <x v="3"/>
    <x v="3"/>
    <x v="4"/>
    <x v="3"/>
    <x v="0"/>
    <x v="3"/>
    <x v="0"/>
  </r>
  <r>
    <x v="32"/>
    <x v="32"/>
    <x v="57"/>
    <x v="1"/>
    <x v="50"/>
    <x v="47"/>
    <x v="47"/>
    <x v="4"/>
    <x v="4"/>
    <x v="4"/>
    <x v="3"/>
    <x v="3"/>
    <x v="4"/>
    <x v="3"/>
    <x v="0"/>
    <x v="3"/>
    <x v="0"/>
  </r>
  <r>
    <x v="33"/>
    <x v="33"/>
    <x v="58"/>
    <x v="8"/>
    <x v="51"/>
    <x v="48"/>
    <x v="48"/>
    <x v="4"/>
    <x v="4"/>
    <x v="4"/>
    <x v="3"/>
    <x v="3"/>
    <x v="4"/>
    <x v="3"/>
    <x v="0"/>
    <x v="3"/>
    <x v="0"/>
  </r>
  <r>
    <x v="34"/>
    <x v="34"/>
    <x v="59"/>
    <x v="7"/>
    <x v="52"/>
    <x v="49"/>
    <x v="49"/>
    <x v="32"/>
    <x v="33"/>
    <x v="34"/>
    <x v="0"/>
    <x v="0"/>
    <x v="33"/>
    <x v="0"/>
    <x v="0"/>
    <x v="26"/>
    <x v="0"/>
  </r>
  <r>
    <x v="30"/>
    <x v="30"/>
    <x v="60"/>
    <x v="11"/>
    <x v="53"/>
    <x v="50"/>
    <x v="50"/>
    <x v="33"/>
    <x v="34"/>
    <x v="35"/>
    <x v="2"/>
    <x v="2"/>
    <x v="34"/>
    <x v="1"/>
    <x v="0"/>
    <x v="27"/>
    <x v="0"/>
  </r>
  <r>
    <x v="35"/>
    <x v="35"/>
    <x v="61"/>
    <x v="10"/>
    <x v="15"/>
    <x v="12"/>
    <x v="12"/>
    <x v="4"/>
    <x v="4"/>
    <x v="8"/>
    <x v="3"/>
    <x v="3"/>
    <x v="8"/>
    <x v="3"/>
    <x v="0"/>
    <x v="3"/>
    <x v="0"/>
  </r>
  <r>
    <x v="36"/>
    <x v="36"/>
    <x v="62"/>
    <x v="10"/>
    <x v="15"/>
    <x v="12"/>
    <x v="12"/>
    <x v="4"/>
    <x v="4"/>
    <x v="8"/>
    <x v="3"/>
    <x v="3"/>
    <x v="8"/>
    <x v="3"/>
    <x v="0"/>
    <x v="3"/>
    <x v="0"/>
  </r>
  <r>
    <x v="37"/>
    <x v="37"/>
    <x v="63"/>
    <x v="4"/>
    <x v="54"/>
    <x v="51"/>
    <x v="51"/>
    <x v="4"/>
    <x v="4"/>
    <x v="4"/>
    <x v="3"/>
    <x v="3"/>
    <x v="4"/>
    <x v="3"/>
    <x v="0"/>
    <x v="3"/>
    <x v="0"/>
  </r>
  <r>
    <x v="38"/>
    <x v="38"/>
    <x v="15"/>
    <x v="10"/>
    <x v="15"/>
    <x v="12"/>
    <x v="12"/>
    <x v="4"/>
    <x v="4"/>
    <x v="8"/>
    <x v="3"/>
    <x v="3"/>
    <x v="8"/>
    <x v="3"/>
    <x v="0"/>
    <x v="3"/>
    <x v="0"/>
  </r>
  <r>
    <x v="39"/>
    <x v="39"/>
    <x v="64"/>
    <x v="8"/>
    <x v="55"/>
    <x v="52"/>
    <x v="52"/>
    <x v="4"/>
    <x v="4"/>
    <x v="4"/>
    <x v="3"/>
    <x v="3"/>
    <x v="4"/>
    <x v="3"/>
    <x v="0"/>
    <x v="3"/>
    <x v="0"/>
  </r>
  <r>
    <x v="40"/>
    <x v="40"/>
    <x v="65"/>
    <x v="24"/>
    <x v="56"/>
    <x v="52"/>
    <x v="53"/>
    <x v="23"/>
    <x v="35"/>
    <x v="36"/>
    <x v="2"/>
    <x v="2"/>
    <x v="35"/>
    <x v="1"/>
    <x v="0"/>
    <x v="28"/>
    <x v="0"/>
  </r>
  <r>
    <x v="38"/>
    <x v="38"/>
    <x v="66"/>
    <x v="10"/>
    <x v="15"/>
    <x v="12"/>
    <x v="12"/>
    <x v="4"/>
    <x v="4"/>
    <x v="8"/>
    <x v="3"/>
    <x v="3"/>
    <x v="8"/>
    <x v="3"/>
    <x v="0"/>
    <x v="3"/>
    <x v="0"/>
  </r>
  <r>
    <x v="41"/>
    <x v="41"/>
    <x v="67"/>
    <x v="10"/>
    <x v="15"/>
    <x v="12"/>
    <x v="12"/>
    <x v="4"/>
    <x v="4"/>
    <x v="8"/>
    <x v="3"/>
    <x v="3"/>
    <x v="8"/>
    <x v="3"/>
    <x v="0"/>
    <x v="3"/>
    <x v="0"/>
  </r>
  <r>
    <x v="2"/>
    <x v="2"/>
    <x v="68"/>
    <x v="24"/>
    <x v="57"/>
    <x v="53"/>
    <x v="54"/>
    <x v="6"/>
    <x v="36"/>
    <x v="37"/>
    <x v="1"/>
    <x v="1"/>
    <x v="36"/>
    <x v="2"/>
    <x v="0"/>
    <x v="5"/>
    <x v="0"/>
  </r>
  <r>
    <x v="6"/>
    <x v="6"/>
    <x v="69"/>
    <x v="10"/>
    <x v="15"/>
    <x v="12"/>
    <x v="12"/>
    <x v="4"/>
    <x v="4"/>
    <x v="8"/>
    <x v="3"/>
    <x v="3"/>
    <x v="8"/>
    <x v="3"/>
    <x v="0"/>
    <x v="3"/>
    <x v="0"/>
  </r>
  <r>
    <x v="9"/>
    <x v="9"/>
    <x v="70"/>
    <x v="10"/>
    <x v="15"/>
    <x v="12"/>
    <x v="12"/>
    <x v="4"/>
    <x v="4"/>
    <x v="8"/>
    <x v="3"/>
    <x v="3"/>
    <x v="8"/>
    <x v="3"/>
    <x v="0"/>
    <x v="3"/>
    <x v="0"/>
  </r>
  <r>
    <x v="4"/>
    <x v="4"/>
    <x v="71"/>
    <x v="10"/>
    <x v="15"/>
    <x v="12"/>
    <x v="12"/>
    <x v="4"/>
    <x v="4"/>
    <x v="8"/>
    <x v="3"/>
    <x v="3"/>
    <x v="8"/>
    <x v="3"/>
    <x v="0"/>
    <x v="3"/>
    <x v="0"/>
  </r>
  <r>
    <x v="42"/>
    <x v="42"/>
    <x v="72"/>
    <x v="12"/>
    <x v="58"/>
    <x v="45"/>
    <x v="55"/>
    <x v="34"/>
    <x v="37"/>
    <x v="38"/>
    <x v="2"/>
    <x v="2"/>
    <x v="37"/>
    <x v="1"/>
    <x v="0"/>
    <x v="29"/>
    <x v="0"/>
  </r>
  <r>
    <x v="43"/>
    <x v="43"/>
    <x v="73"/>
    <x v="26"/>
    <x v="59"/>
    <x v="54"/>
    <x v="56"/>
    <x v="35"/>
    <x v="38"/>
    <x v="39"/>
    <x v="1"/>
    <x v="1"/>
    <x v="38"/>
    <x v="1"/>
    <x v="1"/>
    <x v="25"/>
    <x v="19"/>
  </r>
  <r>
    <x v="43"/>
    <x v="43"/>
    <x v="74"/>
    <x v="12"/>
    <x v="60"/>
    <x v="55"/>
    <x v="57"/>
    <x v="36"/>
    <x v="39"/>
    <x v="40"/>
    <x v="2"/>
    <x v="2"/>
    <x v="37"/>
    <x v="3"/>
    <x v="1"/>
    <x v="3"/>
    <x v="20"/>
  </r>
  <r>
    <x v="42"/>
    <x v="42"/>
    <x v="75"/>
    <x v="35"/>
    <x v="61"/>
    <x v="56"/>
    <x v="58"/>
    <x v="37"/>
    <x v="40"/>
    <x v="41"/>
    <x v="0"/>
    <x v="0"/>
    <x v="39"/>
    <x v="0"/>
    <x v="0"/>
    <x v="30"/>
    <x v="0"/>
  </r>
  <r>
    <x v="43"/>
    <x v="43"/>
    <x v="76"/>
    <x v="8"/>
    <x v="62"/>
    <x v="57"/>
    <x v="59"/>
    <x v="4"/>
    <x v="4"/>
    <x v="4"/>
    <x v="3"/>
    <x v="3"/>
    <x v="4"/>
    <x v="3"/>
    <x v="0"/>
    <x v="3"/>
    <x v="0"/>
  </r>
  <r>
    <x v="44"/>
    <x v="44"/>
    <x v="77"/>
    <x v="10"/>
    <x v="15"/>
    <x v="12"/>
    <x v="12"/>
    <x v="4"/>
    <x v="4"/>
    <x v="8"/>
    <x v="3"/>
    <x v="3"/>
    <x v="8"/>
    <x v="3"/>
    <x v="0"/>
    <x v="3"/>
    <x v="0"/>
  </r>
  <r>
    <x v="45"/>
    <x v="45"/>
    <x v="78"/>
    <x v="1"/>
    <x v="63"/>
    <x v="58"/>
    <x v="60"/>
    <x v="38"/>
    <x v="41"/>
    <x v="42"/>
    <x v="2"/>
    <x v="2"/>
    <x v="6"/>
    <x v="1"/>
    <x v="0"/>
    <x v="31"/>
    <x v="0"/>
  </r>
  <r>
    <x v="46"/>
    <x v="46"/>
    <x v="79"/>
    <x v="4"/>
    <x v="64"/>
    <x v="59"/>
    <x v="61"/>
    <x v="4"/>
    <x v="4"/>
    <x v="4"/>
    <x v="3"/>
    <x v="3"/>
    <x v="4"/>
    <x v="3"/>
    <x v="0"/>
    <x v="3"/>
    <x v="0"/>
  </r>
  <r>
    <x v="1"/>
    <x v="1"/>
    <x v="80"/>
    <x v="8"/>
    <x v="65"/>
    <x v="60"/>
    <x v="62"/>
    <x v="4"/>
    <x v="4"/>
    <x v="4"/>
    <x v="3"/>
    <x v="3"/>
    <x v="4"/>
    <x v="3"/>
    <x v="0"/>
    <x v="3"/>
    <x v="0"/>
  </r>
  <r>
    <x v="47"/>
    <x v="47"/>
    <x v="81"/>
    <x v="36"/>
    <x v="66"/>
    <x v="61"/>
    <x v="63"/>
    <x v="39"/>
    <x v="42"/>
    <x v="43"/>
    <x v="4"/>
    <x v="5"/>
    <x v="40"/>
    <x v="10"/>
    <x v="0"/>
    <x v="32"/>
    <x v="0"/>
  </r>
  <r>
    <x v="48"/>
    <x v="48"/>
    <x v="82"/>
    <x v="4"/>
    <x v="67"/>
    <x v="62"/>
    <x v="64"/>
    <x v="4"/>
    <x v="4"/>
    <x v="4"/>
    <x v="3"/>
    <x v="3"/>
    <x v="4"/>
    <x v="3"/>
    <x v="0"/>
    <x v="3"/>
    <x v="0"/>
  </r>
  <r>
    <x v="47"/>
    <x v="47"/>
    <x v="83"/>
    <x v="28"/>
    <x v="68"/>
    <x v="63"/>
    <x v="65"/>
    <x v="40"/>
    <x v="43"/>
    <x v="44"/>
    <x v="2"/>
    <x v="2"/>
    <x v="12"/>
    <x v="1"/>
    <x v="0"/>
    <x v="33"/>
    <x v="0"/>
  </r>
  <r>
    <x v="48"/>
    <x v="48"/>
    <x v="84"/>
    <x v="24"/>
    <x v="69"/>
    <x v="64"/>
    <x v="66"/>
    <x v="4"/>
    <x v="4"/>
    <x v="4"/>
    <x v="3"/>
    <x v="3"/>
    <x v="4"/>
    <x v="3"/>
    <x v="0"/>
    <x v="3"/>
    <x v="0"/>
  </r>
  <r>
    <x v="47"/>
    <x v="47"/>
    <x v="85"/>
    <x v="6"/>
    <x v="70"/>
    <x v="65"/>
    <x v="67"/>
    <x v="4"/>
    <x v="4"/>
    <x v="4"/>
    <x v="3"/>
    <x v="3"/>
    <x v="4"/>
    <x v="3"/>
    <x v="0"/>
    <x v="3"/>
    <x v="0"/>
  </r>
  <r>
    <x v="48"/>
    <x v="48"/>
    <x v="86"/>
    <x v="24"/>
    <x v="71"/>
    <x v="66"/>
    <x v="68"/>
    <x v="40"/>
    <x v="44"/>
    <x v="45"/>
    <x v="2"/>
    <x v="2"/>
    <x v="35"/>
    <x v="3"/>
    <x v="1"/>
    <x v="3"/>
    <x v="19"/>
  </r>
  <r>
    <x v="31"/>
    <x v="31"/>
    <x v="87"/>
    <x v="10"/>
    <x v="15"/>
    <x v="12"/>
    <x v="12"/>
    <x v="4"/>
    <x v="4"/>
    <x v="8"/>
    <x v="3"/>
    <x v="3"/>
    <x v="8"/>
    <x v="3"/>
    <x v="0"/>
    <x v="3"/>
    <x v="0"/>
  </r>
  <r>
    <x v="46"/>
    <x v="46"/>
    <x v="88"/>
    <x v="4"/>
    <x v="72"/>
    <x v="67"/>
    <x v="69"/>
    <x v="4"/>
    <x v="4"/>
    <x v="4"/>
    <x v="3"/>
    <x v="3"/>
    <x v="4"/>
    <x v="3"/>
    <x v="0"/>
    <x v="3"/>
    <x v="0"/>
  </r>
  <r>
    <x v="49"/>
    <x v="49"/>
    <x v="89"/>
    <x v="37"/>
    <x v="73"/>
    <x v="68"/>
    <x v="70"/>
    <x v="41"/>
    <x v="45"/>
    <x v="46"/>
    <x v="8"/>
    <x v="5"/>
    <x v="41"/>
    <x v="10"/>
    <x v="0"/>
    <x v="34"/>
    <x v="0"/>
  </r>
  <r>
    <x v="50"/>
    <x v="50"/>
    <x v="90"/>
    <x v="17"/>
    <x v="74"/>
    <x v="69"/>
    <x v="71"/>
    <x v="42"/>
    <x v="46"/>
    <x v="47"/>
    <x v="0"/>
    <x v="0"/>
    <x v="42"/>
    <x v="2"/>
    <x v="1"/>
    <x v="5"/>
    <x v="21"/>
  </r>
  <r>
    <x v="51"/>
    <x v="51"/>
    <x v="91"/>
    <x v="38"/>
    <x v="75"/>
    <x v="12"/>
    <x v="72"/>
    <x v="43"/>
    <x v="4"/>
    <x v="8"/>
    <x v="13"/>
    <x v="12"/>
    <x v="8"/>
    <x v="11"/>
    <x v="8"/>
    <x v="35"/>
    <x v="22"/>
  </r>
</pivotCacheRecords>
</file>

<file path=xl/pivotCache/pivotCacheRecords6.xml><?xml version="1.0" encoding="utf-8"?>
<pivotCacheRecords xmlns="http://schemas.openxmlformats.org/spreadsheetml/2006/main" xmlns:r="http://schemas.openxmlformats.org/officeDocument/2006/relationships" count="97">
  <r>
    <x v="0"/>
    <x v="0"/>
    <x v="0"/>
    <x v="0"/>
    <x v="0"/>
    <x v="0"/>
    <x v="0"/>
    <x v="0"/>
    <x v="0"/>
    <x v="0"/>
    <x v="0"/>
    <x v="0"/>
    <x v="0"/>
    <x v="0"/>
    <x v="0"/>
    <x v="0"/>
    <x v="0"/>
  </r>
  <r>
    <x v="1"/>
    <x v="1"/>
    <x v="1"/>
    <x v="1"/>
    <x v="1"/>
    <x v="1"/>
    <x v="1"/>
    <x v="1"/>
    <x v="1"/>
    <x v="1"/>
    <x v="1"/>
    <x v="1"/>
    <x v="1"/>
    <x v="1"/>
    <x v="1"/>
    <x v="1"/>
    <x v="1"/>
  </r>
  <r>
    <x v="2"/>
    <x v="2"/>
    <x v="2"/>
    <x v="1"/>
    <x v="2"/>
    <x v="2"/>
    <x v="2"/>
    <x v="2"/>
    <x v="2"/>
    <x v="2"/>
    <x v="2"/>
    <x v="2"/>
    <x v="2"/>
    <x v="1"/>
    <x v="2"/>
    <x v="1"/>
    <x v="2"/>
  </r>
  <r>
    <x v="3"/>
    <x v="3"/>
    <x v="3"/>
    <x v="2"/>
    <x v="3"/>
    <x v="3"/>
    <x v="3"/>
    <x v="3"/>
    <x v="3"/>
    <x v="3"/>
    <x v="3"/>
    <x v="3"/>
    <x v="3"/>
    <x v="2"/>
    <x v="1"/>
    <x v="2"/>
    <x v="3"/>
  </r>
  <r>
    <x v="4"/>
    <x v="4"/>
    <x v="4"/>
    <x v="3"/>
    <x v="4"/>
    <x v="4"/>
    <x v="4"/>
    <x v="4"/>
    <x v="4"/>
    <x v="4"/>
    <x v="4"/>
    <x v="4"/>
    <x v="4"/>
    <x v="3"/>
    <x v="2"/>
    <x v="3"/>
    <x v="2"/>
  </r>
  <r>
    <x v="5"/>
    <x v="5"/>
    <x v="5"/>
    <x v="4"/>
    <x v="5"/>
    <x v="5"/>
    <x v="5"/>
    <x v="5"/>
    <x v="5"/>
    <x v="5"/>
    <x v="5"/>
    <x v="0"/>
    <x v="5"/>
    <x v="2"/>
    <x v="3"/>
    <x v="4"/>
    <x v="4"/>
  </r>
  <r>
    <x v="1"/>
    <x v="1"/>
    <x v="6"/>
    <x v="5"/>
    <x v="6"/>
    <x v="6"/>
    <x v="6"/>
    <x v="6"/>
    <x v="6"/>
    <x v="6"/>
    <x v="1"/>
    <x v="1"/>
    <x v="6"/>
    <x v="4"/>
    <x v="2"/>
    <x v="5"/>
    <x v="2"/>
  </r>
  <r>
    <x v="2"/>
    <x v="2"/>
    <x v="7"/>
    <x v="6"/>
    <x v="7"/>
    <x v="7"/>
    <x v="7"/>
    <x v="7"/>
    <x v="7"/>
    <x v="7"/>
    <x v="6"/>
    <x v="5"/>
    <x v="7"/>
    <x v="5"/>
    <x v="1"/>
    <x v="6"/>
    <x v="5"/>
  </r>
  <r>
    <x v="6"/>
    <x v="6"/>
    <x v="8"/>
    <x v="7"/>
    <x v="8"/>
    <x v="8"/>
    <x v="8"/>
    <x v="8"/>
    <x v="8"/>
    <x v="8"/>
    <x v="2"/>
    <x v="2"/>
    <x v="8"/>
    <x v="3"/>
    <x v="1"/>
    <x v="3"/>
    <x v="6"/>
  </r>
  <r>
    <x v="3"/>
    <x v="3"/>
    <x v="9"/>
    <x v="8"/>
    <x v="9"/>
    <x v="9"/>
    <x v="9"/>
    <x v="9"/>
    <x v="9"/>
    <x v="9"/>
    <x v="7"/>
    <x v="6"/>
    <x v="9"/>
    <x v="6"/>
    <x v="4"/>
    <x v="7"/>
    <x v="7"/>
  </r>
  <r>
    <x v="7"/>
    <x v="7"/>
    <x v="10"/>
    <x v="9"/>
    <x v="10"/>
    <x v="10"/>
    <x v="10"/>
    <x v="4"/>
    <x v="4"/>
    <x v="4"/>
    <x v="4"/>
    <x v="4"/>
    <x v="4"/>
    <x v="3"/>
    <x v="2"/>
    <x v="3"/>
    <x v="2"/>
  </r>
  <r>
    <x v="8"/>
    <x v="8"/>
    <x v="11"/>
    <x v="10"/>
    <x v="11"/>
    <x v="8"/>
    <x v="11"/>
    <x v="4"/>
    <x v="4"/>
    <x v="4"/>
    <x v="4"/>
    <x v="4"/>
    <x v="4"/>
    <x v="3"/>
    <x v="2"/>
    <x v="3"/>
    <x v="2"/>
  </r>
  <r>
    <x v="9"/>
    <x v="9"/>
    <x v="12"/>
    <x v="11"/>
    <x v="12"/>
    <x v="11"/>
    <x v="12"/>
    <x v="10"/>
    <x v="10"/>
    <x v="10"/>
    <x v="2"/>
    <x v="2"/>
    <x v="10"/>
    <x v="1"/>
    <x v="2"/>
    <x v="8"/>
    <x v="2"/>
  </r>
  <r>
    <x v="10"/>
    <x v="10"/>
    <x v="13"/>
    <x v="12"/>
    <x v="13"/>
    <x v="12"/>
    <x v="13"/>
    <x v="8"/>
    <x v="11"/>
    <x v="11"/>
    <x v="2"/>
    <x v="2"/>
    <x v="11"/>
    <x v="1"/>
    <x v="2"/>
    <x v="9"/>
    <x v="2"/>
  </r>
  <r>
    <x v="6"/>
    <x v="6"/>
    <x v="14"/>
    <x v="10"/>
    <x v="14"/>
    <x v="13"/>
    <x v="14"/>
    <x v="4"/>
    <x v="4"/>
    <x v="4"/>
    <x v="4"/>
    <x v="4"/>
    <x v="4"/>
    <x v="3"/>
    <x v="2"/>
    <x v="3"/>
    <x v="2"/>
  </r>
  <r>
    <x v="9"/>
    <x v="9"/>
    <x v="15"/>
    <x v="13"/>
    <x v="15"/>
    <x v="14"/>
    <x v="15"/>
    <x v="4"/>
    <x v="4"/>
    <x v="12"/>
    <x v="4"/>
    <x v="4"/>
    <x v="12"/>
    <x v="3"/>
    <x v="2"/>
    <x v="3"/>
    <x v="2"/>
  </r>
  <r>
    <x v="10"/>
    <x v="10"/>
    <x v="16"/>
    <x v="13"/>
    <x v="15"/>
    <x v="14"/>
    <x v="15"/>
    <x v="4"/>
    <x v="4"/>
    <x v="12"/>
    <x v="4"/>
    <x v="4"/>
    <x v="12"/>
    <x v="3"/>
    <x v="2"/>
    <x v="3"/>
    <x v="2"/>
  </r>
  <r>
    <x v="7"/>
    <x v="7"/>
    <x v="17"/>
    <x v="14"/>
    <x v="16"/>
    <x v="15"/>
    <x v="16"/>
    <x v="11"/>
    <x v="12"/>
    <x v="13"/>
    <x v="8"/>
    <x v="7"/>
    <x v="13"/>
    <x v="1"/>
    <x v="0"/>
    <x v="10"/>
    <x v="8"/>
  </r>
  <r>
    <x v="0"/>
    <x v="0"/>
    <x v="18"/>
    <x v="15"/>
    <x v="17"/>
    <x v="16"/>
    <x v="17"/>
    <x v="12"/>
    <x v="13"/>
    <x v="14"/>
    <x v="2"/>
    <x v="2"/>
    <x v="14"/>
    <x v="1"/>
    <x v="2"/>
    <x v="11"/>
    <x v="2"/>
  </r>
  <r>
    <x v="11"/>
    <x v="11"/>
    <x v="19"/>
    <x v="16"/>
    <x v="18"/>
    <x v="17"/>
    <x v="18"/>
    <x v="13"/>
    <x v="14"/>
    <x v="15"/>
    <x v="3"/>
    <x v="3"/>
    <x v="15"/>
    <x v="7"/>
    <x v="3"/>
    <x v="12"/>
    <x v="9"/>
  </r>
  <r>
    <x v="5"/>
    <x v="5"/>
    <x v="20"/>
    <x v="17"/>
    <x v="19"/>
    <x v="18"/>
    <x v="19"/>
    <x v="14"/>
    <x v="15"/>
    <x v="16"/>
    <x v="9"/>
    <x v="8"/>
    <x v="16"/>
    <x v="8"/>
    <x v="5"/>
    <x v="13"/>
    <x v="10"/>
  </r>
  <r>
    <x v="12"/>
    <x v="12"/>
    <x v="21"/>
    <x v="13"/>
    <x v="15"/>
    <x v="14"/>
    <x v="15"/>
    <x v="4"/>
    <x v="4"/>
    <x v="12"/>
    <x v="4"/>
    <x v="4"/>
    <x v="12"/>
    <x v="3"/>
    <x v="2"/>
    <x v="3"/>
    <x v="2"/>
  </r>
  <r>
    <x v="8"/>
    <x v="8"/>
    <x v="22"/>
    <x v="13"/>
    <x v="15"/>
    <x v="14"/>
    <x v="15"/>
    <x v="4"/>
    <x v="4"/>
    <x v="12"/>
    <x v="4"/>
    <x v="4"/>
    <x v="12"/>
    <x v="3"/>
    <x v="2"/>
    <x v="3"/>
    <x v="2"/>
  </r>
  <r>
    <x v="13"/>
    <x v="13"/>
    <x v="23"/>
    <x v="18"/>
    <x v="20"/>
    <x v="19"/>
    <x v="20"/>
    <x v="1"/>
    <x v="16"/>
    <x v="17"/>
    <x v="1"/>
    <x v="1"/>
    <x v="17"/>
    <x v="4"/>
    <x v="2"/>
    <x v="14"/>
    <x v="2"/>
  </r>
  <r>
    <x v="14"/>
    <x v="14"/>
    <x v="24"/>
    <x v="19"/>
    <x v="21"/>
    <x v="20"/>
    <x v="21"/>
    <x v="15"/>
    <x v="17"/>
    <x v="18"/>
    <x v="8"/>
    <x v="7"/>
    <x v="18"/>
    <x v="4"/>
    <x v="1"/>
    <x v="15"/>
    <x v="11"/>
  </r>
  <r>
    <x v="15"/>
    <x v="15"/>
    <x v="25"/>
    <x v="17"/>
    <x v="22"/>
    <x v="21"/>
    <x v="22"/>
    <x v="16"/>
    <x v="18"/>
    <x v="19"/>
    <x v="10"/>
    <x v="9"/>
    <x v="19"/>
    <x v="9"/>
    <x v="2"/>
    <x v="16"/>
    <x v="2"/>
  </r>
  <r>
    <x v="16"/>
    <x v="16"/>
    <x v="26"/>
    <x v="20"/>
    <x v="23"/>
    <x v="22"/>
    <x v="23"/>
    <x v="17"/>
    <x v="19"/>
    <x v="20"/>
    <x v="1"/>
    <x v="1"/>
    <x v="20"/>
    <x v="4"/>
    <x v="2"/>
    <x v="17"/>
    <x v="2"/>
  </r>
  <r>
    <x v="17"/>
    <x v="17"/>
    <x v="27"/>
    <x v="21"/>
    <x v="24"/>
    <x v="23"/>
    <x v="24"/>
    <x v="18"/>
    <x v="20"/>
    <x v="21"/>
    <x v="1"/>
    <x v="1"/>
    <x v="21"/>
    <x v="3"/>
    <x v="0"/>
    <x v="3"/>
    <x v="12"/>
  </r>
  <r>
    <x v="18"/>
    <x v="18"/>
    <x v="28"/>
    <x v="22"/>
    <x v="25"/>
    <x v="24"/>
    <x v="25"/>
    <x v="19"/>
    <x v="21"/>
    <x v="22"/>
    <x v="11"/>
    <x v="10"/>
    <x v="22"/>
    <x v="7"/>
    <x v="1"/>
    <x v="18"/>
    <x v="13"/>
  </r>
  <r>
    <x v="19"/>
    <x v="19"/>
    <x v="29"/>
    <x v="23"/>
    <x v="26"/>
    <x v="25"/>
    <x v="26"/>
    <x v="20"/>
    <x v="22"/>
    <x v="23"/>
    <x v="12"/>
    <x v="11"/>
    <x v="23"/>
    <x v="6"/>
    <x v="6"/>
    <x v="19"/>
    <x v="14"/>
  </r>
  <r>
    <x v="13"/>
    <x v="13"/>
    <x v="30"/>
    <x v="24"/>
    <x v="27"/>
    <x v="26"/>
    <x v="27"/>
    <x v="21"/>
    <x v="23"/>
    <x v="24"/>
    <x v="13"/>
    <x v="12"/>
    <x v="24"/>
    <x v="10"/>
    <x v="1"/>
    <x v="20"/>
    <x v="3"/>
  </r>
  <r>
    <x v="20"/>
    <x v="20"/>
    <x v="31"/>
    <x v="3"/>
    <x v="28"/>
    <x v="27"/>
    <x v="28"/>
    <x v="4"/>
    <x v="4"/>
    <x v="4"/>
    <x v="4"/>
    <x v="4"/>
    <x v="4"/>
    <x v="3"/>
    <x v="2"/>
    <x v="3"/>
    <x v="2"/>
  </r>
  <r>
    <x v="21"/>
    <x v="21"/>
    <x v="32"/>
    <x v="25"/>
    <x v="29"/>
    <x v="28"/>
    <x v="29"/>
    <x v="22"/>
    <x v="24"/>
    <x v="25"/>
    <x v="1"/>
    <x v="1"/>
    <x v="25"/>
    <x v="3"/>
    <x v="0"/>
    <x v="3"/>
    <x v="15"/>
  </r>
  <r>
    <x v="15"/>
    <x v="15"/>
    <x v="33"/>
    <x v="26"/>
    <x v="30"/>
    <x v="29"/>
    <x v="30"/>
    <x v="23"/>
    <x v="25"/>
    <x v="26"/>
    <x v="14"/>
    <x v="13"/>
    <x v="26"/>
    <x v="11"/>
    <x v="1"/>
    <x v="21"/>
    <x v="11"/>
  </r>
  <r>
    <x v="22"/>
    <x v="22"/>
    <x v="34"/>
    <x v="1"/>
    <x v="31"/>
    <x v="30"/>
    <x v="31"/>
    <x v="4"/>
    <x v="4"/>
    <x v="4"/>
    <x v="4"/>
    <x v="4"/>
    <x v="4"/>
    <x v="3"/>
    <x v="2"/>
    <x v="3"/>
    <x v="2"/>
  </r>
  <r>
    <x v="23"/>
    <x v="23"/>
    <x v="35"/>
    <x v="13"/>
    <x v="15"/>
    <x v="14"/>
    <x v="15"/>
    <x v="4"/>
    <x v="4"/>
    <x v="12"/>
    <x v="4"/>
    <x v="4"/>
    <x v="12"/>
    <x v="3"/>
    <x v="2"/>
    <x v="3"/>
    <x v="2"/>
  </r>
  <r>
    <x v="18"/>
    <x v="18"/>
    <x v="36"/>
    <x v="3"/>
    <x v="32"/>
    <x v="31"/>
    <x v="32"/>
    <x v="4"/>
    <x v="4"/>
    <x v="4"/>
    <x v="4"/>
    <x v="4"/>
    <x v="4"/>
    <x v="3"/>
    <x v="2"/>
    <x v="3"/>
    <x v="2"/>
  </r>
  <r>
    <x v="24"/>
    <x v="24"/>
    <x v="37"/>
    <x v="27"/>
    <x v="33"/>
    <x v="32"/>
    <x v="33"/>
    <x v="24"/>
    <x v="26"/>
    <x v="27"/>
    <x v="8"/>
    <x v="7"/>
    <x v="27"/>
    <x v="4"/>
    <x v="1"/>
    <x v="22"/>
    <x v="16"/>
  </r>
  <r>
    <x v="19"/>
    <x v="19"/>
    <x v="38"/>
    <x v="28"/>
    <x v="34"/>
    <x v="33"/>
    <x v="34"/>
    <x v="25"/>
    <x v="27"/>
    <x v="28"/>
    <x v="13"/>
    <x v="12"/>
    <x v="28"/>
    <x v="7"/>
    <x v="0"/>
    <x v="23"/>
    <x v="17"/>
  </r>
  <r>
    <x v="25"/>
    <x v="25"/>
    <x v="39"/>
    <x v="3"/>
    <x v="35"/>
    <x v="34"/>
    <x v="35"/>
    <x v="4"/>
    <x v="4"/>
    <x v="4"/>
    <x v="4"/>
    <x v="4"/>
    <x v="4"/>
    <x v="3"/>
    <x v="2"/>
    <x v="3"/>
    <x v="2"/>
  </r>
  <r>
    <x v="24"/>
    <x v="24"/>
    <x v="40"/>
    <x v="29"/>
    <x v="36"/>
    <x v="35"/>
    <x v="36"/>
    <x v="26"/>
    <x v="28"/>
    <x v="29"/>
    <x v="8"/>
    <x v="7"/>
    <x v="29"/>
    <x v="7"/>
    <x v="2"/>
    <x v="24"/>
    <x v="2"/>
  </r>
  <r>
    <x v="26"/>
    <x v="26"/>
    <x v="41"/>
    <x v="30"/>
    <x v="37"/>
    <x v="36"/>
    <x v="37"/>
    <x v="27"/>
    <x v="29"/>
    <x v="30"/>
    <x v="15"/>
    <x v="14"/>
    <x v="30"/>
    <x v="4"/>
    <x v="3"/>
    <x v="25"/>
    <x v="18"/>
  </r>
  <r>
    <x v="27"/>
    <x v="27"/>
    <x v="42"/>
    <x v="31"/>
    <x v="38"/>
    <x v="37"/>
    <x v="38"/>
    <x v="28"/>
    <x v="30"/>
    <x v="31"/>
    <x v="2"/>
    <x v="2"/>
    <x v="31"/>
    <x v="3"/>
    <x v="1"/>
    <x v="3"/>
    <x v="19"/>
  </r>
  <r>
    <x v="28"/>
    <x v="28"/>
    <x v="43"/>
    <x v="32"/>
    <x v="39"/>
    <x v="38"/>
    <x v="39"/>
    <x v="4"/>
    <x v="4"/>
    <x v="4"/>
    <x v="4"/>
    <x v="4"/>
    <x v="4"/>
    <x v="3"/>
    <x v="2"/>
    <x v="3"/>
    <x v="2"/>
  </r>
  <r>
    <x v="29"/>
    <x v="29"/>
    <x v="44"/>
    <x v="33"/>
    <x v="40"/>
    <x v="39"/>
    <x v="40"/>
    <x v="4"/>
    <x v="4"/>
    <x v="4"/>
    <x v="4"/>
    <x v="4"/>
    <x v="4"/>
    <x v="3"/>
    <x v="2"/>
    <x v="3"/>
    <x v="2"/>
  </r>
  <r>
    <x v="4"/>
    <x v="4"/>
    <x v="45"/>
    <x v="3"/>
    <x v="41"/>
    <x v="40"/>
    <x v="41"/>
    <x v="4"/>
    <x v="4"/>
    <x v="4"/>
    <x v="4"/>
    <x v="4"/>
    <x v="4"/>
    <x v="3"/>
    <x v="2"/>
    <x v="3"/>
    <x v="2"/>
  </r>
  <r>
    <x v="15"/>
    <x v="15"/>
    <x v="46"/>
    <x v="34"/>
    <x v="42"/>
    <x v="41"/>
    <x v="42"/>
    <x v="29"/>
    <x v="31"/>
    <x v="32"/>
    <x v="5"/>
    <x v="15"/>
    <x v="32"/>
    <x v="2"/>
    <x v="7"/>
    <x v="26"/>
    <x v="20"/>
  </r>
  <r>
    <x v="24"/>
    <x v="24"/>
    <x v="47"/>
    <x v="35"/>
    <x v="43"/>
    <x v="42"/>
    <x v="43"/>
    <x v="30"/>
    <x v="32"/>
    <x v="33"/>
    <x v="0"/>
    <x v="0"/>
    <x v="33"/>
    <x v="7"/>
    <x v="8"/>
    <x v="23"/>
    <x v="21"/>
  </r>
  <r>
    <x v="30"/>
    <x v="30"/>
    <x v="48"/>
    <x v="13"/>
    <x v="15"/>
    <x v="14"/>
    <x v="15"/>
    <x v="4"/>
    <x v="4"/>
    <x v="12"/>
    <x v="4"/>
    <x v="4"/>
    <x v="12"/>
    <x v="3"/>
    <x v="2"/>
    <x v="3"/>
    <x v="2"/>
  </r>
  <r>
    <x v="14"/>
    <x v="14"/>
    <x v="49"/>
    <x v="36"/>
    <x v="44"/>
    <x v="43"/>
    <x v="44"/>
    <x v="31"/>
    <x v="33"/>
    <x v="34"/>
    <x v="15"/>
    <x v="14"/>
    <x v="34"/>
    <x v="10"/>
    <x v="9"/>
    <x v="27"/>
    <x v="22"/>
  </r>
  <r>
    <x v="19"/>
    <x v="19"/>
    <x v="50"/>
    <x v="37"/>
    <x v="45"/>
    <x v="39"/>
    <x v="45"/>
    <x v="32"/>
    <x v="34"/>
    <x v="35"/>
    <x v="16"/>
    <x v="16"/>
    <x v="35"/>
    <x v="12"/>
    <x v="5"/>
    <x v="28"/>
    <x v="23"/>
  </r>
  <r>
    <x v="13"/>
    <x v="13"/>
    <x v="51"/>
    <x v="38"/>
    <x v="46"/>
    <x v="44"/>
    <x v="46"/>
    <x v="33"/>
    <x v="35"/>
    <x v="36"/>
    <x v="17"/>
    <x v="17"/>
    <x v="36"/>
    <x v="13"/>
    <x v="0"/>
    <x v="29"/>
    <x v="24"/>
  </r>
  <r>
    <x v="31"/>
    <x v="31"/>
    <x v="52"/>
    <x v="39"/>
    <x v="47"/>
    <x v="45"/>
    <x v="47"/>
    <x v="34"/>
    <x v="36"/>
    <x v="37"/>
    <x v="0"/>
    <x v="17"/>
    <x v="37"/>
    <x v="2"/>
    <x v="10"/>
    <x v="30"/>
    <x v="25"/>
  </r>
  <r>
    <x v="18"/>
    <x v="18"/>
    <x v="53"/>
    <x v="32"/>
    <x v="48"/>
    <x v="46"/>
    <x v="48"/>
    <x v="35"/>
    <x v="37"/>
    <x v="38"/>
    <x v="11"/>
    <x v="10"/>
    <x v="38"/>
    <x v="1"/>
    <x v="9"/>
    <x v="31"/>
    <x v="26"/>
  </r>
  <r>
    <x v="0"/>
    <x v="0"/>
    <x v="54"/>
    <x v="40"/>
    <x v="49"/>
    <x v="47"/>
    <x v="49"/>
    <x v="36"/>
    <x v="38"/>
    <x v="39"/>
    <x v="1"/>
    <x v="1"/>
    <x v="39"/>
    <x v="4"/>
    <x v="2"/>
    <x v="32"/>
    <x v="2"/>
  </r>
  <r>
    <x v="32"/>
    <x v="32"/>
    <x v="55"/>
    <x v="13"/>
    <x v="15"/>
    <x v="14"/>
    <x v="15"/>
    <x v="4"/>
    <x v="4"/>
    <x v="12"/>
    <x v="4"/>
    <x v="4"/>
    <x v="12"/>
    <x v="3"/>
    <x v="2"/>
    <x v="3"/>
    <x v="2"/>
  </r>
  <r>
    <x v="0"/>
    <x v="0"/>
    <x v="56"/>
    <x v="3"/>
    <x v="50"/>
    <x v="47"/>
    <x v="50"/>
    <x v="4"/>
    <x v="4"/>
    <x v="4"/>
    <x v="4"/>
    <x v="4"/>
    <x v="4"/>
    <x v="3"/>
    <x v="2"/>
    <x v="3"/>
    <x v="2"/>
  </r>
  <r>
    <x v="5"/>
    <x v="5"/>
    <x v="57"/>
    <x v="10"/>
    <x v="51"/>
    <x v="48"/>
    <x v="51"/>
    <x v="4"/>
    <x v="4"/>
    <x v="4"/>
    <x v="4"/>
    <x v="4"/>
    <x v="4"/>
    <x v="3"/>
    <x v="2"/>
    <x v="3"/>
    <x v="2"/>
  </r>
  <r>
    <x v="33"/>
    <x v="33"/>
    <x v="58"/>
    <x v="20"/>
    <x v="52"/>
    <x v="49"/>
    <x v="52"/>
    <x v="12"/>
    <x v="39"/>
    <x v="40"/>
    <x v="2"/>
    <x v="2"/>
    <x v="40"/>
    <x v="1"/>
    <x v="2"/>
    <x v="11"/>
    <x v="2"/>
  </r>
  <r>
    <x v="34"/>
    <x v="34"/>
    <x v="59"/>
    <x v="7"/>
    <x v="53"/>
    <x v="50"/>
    <x v="53"/>
    <x v="4"/>
    <x v="4"/>
    <x v="4"/>
    <x v="4"/>
    <x v="4"/>
    <x v="4"/>
    <x v="3"/>
    <x v="2"/>
    <x v="3"/>
    <x v="2"/>
  </r>
  <r>
    <x v="20"/>
    <x v="20"/>
    <x v="60"/>
    <x v="7"/>
    <x v="54"/>
    <x v="51"/>
    <x v="54"/>
    <x v="37"/>
    <x v="40"/>
    <x v="41"/>
    <x v="2"/>
    <x v="2"/>
    <x v="8"/>
    <x v="1"/>
    <x v="2"/>
    <x v="33"/>
    <x v="2"/>
  </r>
  <r>
    <x v="35"/>
    <x v="35"/>
    <x v="61"/>
    <x v="41"/>
    <x v="55"/>
    <x v="52"/>
    <x v="55"/>
    <x v="38"/>
    <x v="41"/>
    <x v="42"/>
    <x v="11"/>
    <x v="10"/>
    <x v="41"/>
    <x v="7"/>
    <x v="1"/>
    <x v="34"/>
    <x v="27"/>
  </r>
  <r>
    <x v="36"/>
    <x v="36"/>
    <x v="62"/>
    <x v="13"/>
    <x v="15"/>
    <x v="14"/>
    <x v="15"/>
    <x v="4"/>
    <x v="4"/>
    <x v="12"/>
    <x v="4"/>
    <x v="4"/>
    <x v="12"/>
    <x v="3"/>
    <x v="2"/>
    <x v="3"/>
    <x v="2"/>
  </r>
  <r>
    <x v="31"/>
    <x v="31"/>
    <x v="63"/>
    <x v="42"/>
    <x v="56"/>
    <x v="53"/>
    <x v="56"/>
    <x v="39"/>
    <x v="42"/>
    <x v="43"/>
    <x v="1"/>
    <x v="1"/>
    <x v="42"/>
    <x v="1"/>
    <x v="1"/>
    <x v="35"/>
    <x v="11"/>
  </r>
  <r>
    <x v="37"/>
    <x v="37"/>
    <x v="64"/>
    <x v="3"/>
    <x v="57"/>
    <x v="54"/>
    <x v="57"/>
    <x v="4"/>
    <x v="4"/>
    <x v="4"/>
    <x v="4"/>
    <x v="4"/>
    <x v="4"/>
    <x v="3"/>
    <x v="2"/>
    <x v="3"/>
    <x v="2"/>
  </r>
  <r>
    <x v="38"/>
    <x v="38"/>
    <x v="65"/>
    <x v="13"/>
    <x v="15"/>
    <x v="14"/>
    <x v="15"/>
    <x v="4"/>
    <x v="4"/>
    <x v="12"/>
    <x v="4"/>
    <x v="4"/>
    <x v="12"/>
    <x v="3"/>
    <x v="2"/>
    <x v="3"/>
    <x v="2"/>
  </r>
  <r>
    <x v="39"/>
    <x v="39"/>
    <x v="66"/>
    <x v="3"/>
    <x v="58"/>
    <x v="55"/>
    <x v="58"/>
    <x v="4"/>
    <x v="4"/>
    <x v="4"/>
    <x v="4"/>
    <x v="4"/>
    <x v="4"/>
    <x v="3"/>
    <x v="2"/>
    <x v="3"/>
    <x v="2"/>
  </r>
  <r>
    <x v="40"/>
    <x v="40"/>
    <x v="67"/>
    <x v="13"/>
    <x v="15"/>
    <x v="14"/>
    <x v="15"/>
    <x v="4"/>
    <x v="4"/>
    <x v="12"/>
    <x v="4"/>
    <x v="4"/>
    <x v="12"/>
    <x v="3"/>
    <x v="2"/>
    <x v="3"/>
    <x v="2"/>
  </r>
  <r>
    <x v="34"/>
    <x v="34"/>
    <x v="68"/>
    <x v="13"/>
    <x v="59"/>
    <x v="14"/>
    <x v="15"/>
    <x v="4"/>
    <x v="4"/>
    <x v="12"/>
    <x v="4"/>
    <x v="4"/>
    <x v="12"/>
    <x v="3"/>
    <x v="2"/>
    <x v="3"/>
    <x v="2"/>
  </r>
  <r>
    <x v="41"/>
    <x v="41"/>
    <x v="69"/>
    <x v="43"/>
    <x v="60"/>
    <x v="56"/>
    <x v="59"/>
    <x v="4"/>
    <x v="4"/>
    <x v="4"/>
    <x v="4"/>
    <x v="4"/>
    <x v="4"/>
    <x v="3"/>
    <x v="2"/>
    <x v="3"/>
    <x v="2"/>
  </r>
  <r>
    <x v="42"/>
    <x v="42"/>
    <x v="70"/>
    <x v="7"/>
    <x v="61"/>
    <x v="27"/>
    <x v="60"/>
    <x v="28"/>
    <x v="43"/>
    <x v="44"/>
    <x v="2"/>
    <x v="2"/>
    <x v="8"/>
    <x v="1"/>
    <x v="2"/>
    <x v="36"/>
    <x v="2"/>
  </r>
  <r>
    <x v="40"/>
    <x v="40"/>
    <x v="71"/>
    <x v="44"/>
    <x v="62"/>
    <x v="57"/>
    <x v="61"/>
    <x v="4"/>
    <x v="4"/>
    <x v="4"/>
    <x v="4"/>
    <x v="4"/>
    <x v="4"/>
    <x v="3"/>
    <x v="2"/>
    <x v="3"/>
    <x v="2"/>
  </r>
  <r>
    <x v="43"/>
    <x v="43"/>
    <x v="72"/>
    <x v="3"/>
    <x v="63"/>
    <x v="58"/>
    <x v="62"/>
    <x v="4"/>
    <x v="4"/>
    <x v="4"/>
    <x v="4"/>
    <x v="4"/>
    <x v="4"/>
    <x v="3"/>
    <x v="2"/>
    <x v="3"/>
    <x v="2"/>
  </r>
  <r>
    <x v="2"/>
    <x v="2"/>
    <x v="73"/>
    <x v="7"/>
    <x v="64"/>
    <x v="59"/>
    <x v="48"/>
    <x v="6"/>
    <x v="44"/>
    <x v="45"/>
    <x v="1"/>
    <x v="1"/>
    <x v="43"/>
    <x v="4"/>
    <x v="2"/>
    <x v="5"/>
    <x v="2"/>
  </r>
  <r>
    <x v="6"/>
    <x v="6"/>
    <x v="74"/>
    <x v="10"/>
    <x v="65"/>
    <x v="60"/>
    <x v="63"/>
    <x v="4"/>
    <x v="4"/>
    <x v="4"/>
    <x v="4"/>
    <x v="4"/>
    <x v="4"/>
    <x v="3"/>
    <x v="2"/>
    <x v="3"/>
    <x v="2"/>
  </r>
  <r>
    <x v="9"/>
    <x v="9"/>
    <x v="75"/>
    <x v="33"/>
    <x v="66"/>
    <x v="61"/>
    <x v="64"/>
    <x v="4"/>
    <x v="4"/>
    <x v="4"/>
    <x v="4"/>
    <x v="4"/>
    <x v="4"/>
    <x v="3"/>
    <x v="2"/>
    <x v="3"/>
    <x v="2"/>
  </r>
  <r>
    <x v="4"/>
    <x v="4"/>
    <x v="76"/>
    <x v="13"/>
    <x v="15"/>
    <x v="14"/>
    <x v="15"/>
    <x v="4"/>
    <x v="4"/>
    <x v="12"/>
    <x v="4"/>
    <x v="4"/>
    <x v="12"/>
    <x v="3"/>
    <x v="2"/>
    <x v="3"/>
    <x v="2"/>
  </r>
  <r>
    <x v="44"/>
    <x v="44"/>
    <x v="77"/>
    <x v="45"/>
    <x v="67"/>
    <x v="62"/>
    <x v="65"/>
    <x v="40"/>
    <x v="45"/>
    <x v="46"/>
    <x v="1"/>
    <x v="1"/>
    <x v="44"/>
    <x v="4"/>
    <x v="2"/>
    <x v="37"/>
    <x v="2"/>
  </r>
  <r>
    <x v="45"/>
    <x v="45"/>
    <x v="78"/>
    <x v="46"/>
    <x v="68"/>
    <x v="63"/>
    <x v="66"/>
    <x v="41"/>
    <x v="46"/>
    <x v="47"/>
    <x v="11"/>
    <x v="12"/>
    <x v="13"/>
    <x v="4"/>
    <x v="9"/>
    <x v="32"/>
    <x v="28"/>
  </r>
  <r>
    <x v="45"/>
    <x v="45"/>
    <x v="79"/>
    <x v="40"/>
    <x v="69"/>
    <x v="64"/>
    <x v="67"/>
    <x v="37"/>
    <x v="47"/>
    <x v="48"/>
    <x v="2"/>
    <x v="2"/>
    <x v="45"/>
    <x v="3"/>
    <x v="1"/>
    <x v="3"/>
    <x v="29"/>
  </r>
  <r>
    <x v="44"/>
    <x v="44"/>
    <x v="80"/>
    <x v="47"/>
    <x v="70"/>
    <x v="65"/>
    <x v="68"/>
    <x v="42"/>
    <x v="48"/>
    <x v="49"/>
    <x v="11"/>
    <x v="10"/>
    <x v="46"/>
    <x v="10"/>
    <x v="2"/>
    <x v="38"/>
    <x v="2"/>
  </r>
  <r>
    <x v="45"/>
    <x v="45"/>
    <x v="81"/>
    <x v="10"/>
    <x v="63"/>
    <x v="66"/>
    <x v="69"/>
    <x v="4"/>
    <x v="4"/>
    <x v="4"/>
    <x v="4"/>
    <x v="4"/>
    <x v="4"/>
    <x v="3"/>
    <x v="2"/>
    <x v="3"/>
    <x v="2"/>
  </r>
  <r>
    <x v="46"/>
    <x v="46"/>
    <x v="82"/>
    <x v="43"/>
    <x v="71"/>
    <x v="54"/>
    <x v="28"/>
    <x v="4"/>
    <x v="4"/>
    <x v="4"/>
    <x v="4"/>
    <x v="4"/>
    <x v="4"/>
    <x v="3"/>
    <x v="2"/>
    <x v="3"/>
    <x v="2"/>
  </r>
  <r>
    <x v="47"/>
    <x v="47"/>
    <x v="83"/>
    <x v="1"/>
    <x v="72"/>
    <x v="67"/>
    <x v="70"/>
    <x v="43"/>
    <x v="49"/>
    <x v="50"/>
    <x v="2"/>
    <x v="2"/>
    <x v="2"/>
    <x v="1"/>
    <x v="2"/>
    <x v="39"/>
    <x v="2"/>
  </r>
  <r>
    <x v="48"/>
    <x v="48"/>
    <x v="84"/>
    <x v="3"/>
    <x v="73"/>
    <x v="68"/>
    <x v="71"/>
    <x v="4"/>
    <x v="4"/>
    <x v="4"/>
    <x v="4"/>
    <x v="4"/>
    <x v="4"/>
    <x v="3"/>
    <x v="2"/>
    <x v="3"/>
    <x v="2"/>
  </r>
  <r>
    <x v="1"/>
    <x v="1"/>
    <x v="85"/>
    <x v="10"/>
    <x v="74"/>
    <x v="69"/>
    <x v="72"/>
    <x v="4"/>
    <x v="4"/>
    <x v="4"/>
    <x v="4"/>
    <x v="4"/>
    <x v="4"/>
    <x v="3"/>
    <x v="2"/>
    <x v="3"/>
    <x v="2"/>
  </r>
  <r>
    <x v="49"/>
    <x v="49"/>
    <x v="86"/>
    <x v="48"/>
    <x v="75"/>
    <x v="70"/>
    <x v="73"/>
    <x v="44"/>
    <x v="50"/>
    <x v="51"/>
    <x v="3"/>
    <x v="3"/>
    <x v="47"/>
    <x v="14"/>
    <x v="2"/>
    <x v="40"/>
    <x v="2"/>
  </r>
  <r>
    <x v="50"/>
    <x v="50"/>
    <x v="87"/>
    <x v="30"/>
    <x v="76"/>
    <x v="71"/>
    <x v="74"/>
    <x v="45"/>
    <x v="51"/>
    <x v="52"/>
    <x v="1"/>
    <x v="1"/>
    <x v="48"/>
    <x v="4"/>
    <x v="2"/>
    <x v="41"/>
    <x v="2"/>
  </r>
  <r>
    <x v="49"/>
    <x v="49"/>
    <x v="88"/>
    <x v="9"/>
    <x v="77"/>
    <x v="72"/>
    <x v="75"/>
    <x v="8"/>
    <x v="52"/>
    <x v="53"/>
    <x v="2"/>
    <x v="2"/>
    <x v="49"/>
    <x v="1"/>
    <x v="2"/>
    <x v="9"/>
    <x v="2"/>
  </r>
  <r>
    <x v="50"/>
    <x v="50"/>
    <x v="89"/>
    <x v="49"/>
    <x v="78"/>
    <x v="73"/>
    <x v="76"/>
    <x v="45"/>
    <x v="53"/>
    <x v="54"/>
    <x v="1"/>
    <x v="1"/>
    <x v="45"/>
    <x v="1"/>
    <x v="1"/>
    <x v="9"/>
    <x v="6"/>
  </r>
  <r>
    <x v="49"/>
    <x v="49"/>
    <x v="90"/>
    <x v="50"/>
    <x v="79"/>
    <x v="74"/>
    <x v="77"/>
    <x v="4"/>
    <x v="4"/>
    <x v="4"/>
    <x v="4"/>
    <x v="4"/>
    <x v="4"/>
    <x v="3"/>
    <x v="2"/>
    <x v="3"/>
    <x v="2"/>
  </r>
  <r>
    <x v="50"/>
    <x v="50"/>
    <x v="91"/>
    <x v="12"/>
    <x v="80"/>
    <x v="75"/>
    <x v="78"/>
    <x v="8"/>
    <x v="54"/>
    <x v="55"/>
    <x v="2"/>
    <x v="2"/>
    <x v="11"/>
    <x v="3"/>
    <x v="1"/>
    <x v="3"/>
    <x v="6"/>
  </r>
  <r>
    <x v="32"/>
    <x v="32"/>
    <x v="92"/>
    <x v="13"/>
    <x v="15"/>
    <x v="14"/>
    <x v="15"/>
    <x v="4"/>
    <x v="4"/>
    <x v="12"/>
    <x v="4"/>
    <x v="4"/>
    <x v="12"/>
    <x v="3"/>
    <x v="2"/>
    <x v="3"/>
    <x v="2"/>
  </r>
  <r>
    <x v="48"/>
    <x v="48"/>
    <x v="93"/>
    <x v="43"/>
    <x v="81"/>
    <x v="76"/>
    <x v="79"/>
    <x v="4"/>
    <x v="4"/>
    <x v="4"/>
    <x v="4"/>
    <x v="4"/>
    <x v="4"/>
    <x v="3"/>
    <x v="2"/>
    <x v="3"/>
    <x v="2"/>
  </r>
  <r>
    <x v="51"/>
    <x v="51"/>
    <x v="94"/>
    <x v="18"/>
    <x v="82"/>
    <x v="77"/>
    <x v="80"/>
    <x v="46"/>
    <x v="55"/>
    <x v="56"/>
    <x v="13"/>
    <x v="5"/>
    <x v="50"/>
    <x v="15"/>
    <x v="2"/>
    <x v="42"/>
    <x v="2"/>
  </r>
  <r>
    <x v="52"/>
    <x v="52"/>
    <x v="95"/>
    <x v="51"/>
    <x v="83"/>
    <x v="78"/>
    <x v="81"/>
    <x v="47"/>
    <x v="56"/>
    <x v="57"/>
    <x v="15"/>
    <x v="14"/>
    <x v="51"/>
    <x v="5"/>
    <x v="0"/>
    <x v="6"/>
    <x v="30"/>
  </r>
  <r>
    <x v="53"/>
    <x v="53"/>
    <x v="96"/>
    <x v="52"/>
    <x v="59"/>
    <x v="14"/>
    <x v="82"/>
    <x v="48"/>
    <x v="4"/>
    <x v="12"/>
    <x v="18"/>
    <x v="18"/>
    <x v="12"/>
    <x v="16"/>
    <x v="11"/>
    <x v="43"/>
    <x v="31"/>
  </r>
</pivotCacheRecords>
</file>

<file path=xl/pivotCache/pivotCacheRecords7.xml><?xml version="1.0" encoding="utf-8"?>
<pivotCacheRecords xmlns="http://schemas.openxmlformats.org/spreadsheetml/2006/main" xmlns:r="http://schemas.openxmlformats.org/officeDocument/2006/relationships" count="143">
  <r>
    <x v="0"/>
    <x v="0"/>
    <x v="0"/>
    <x v="0"/>
    <x v="0"/>
    <x v="0"/>
    <x v="0"/>
    <x v="0"/>
    <x v="0"/>
    <x v="0"/>
    <x v="0"/>
    <x v="0"/>
    <x v="0"/>
    <x v="0"/>
    <x v="0"/>
    <x v="0"/>
    <x v="0"/>
    <x v="0"/>
    <x v="0"/>
    <x v="0"/>
    <x v="0"/>
    <x v="0"/>
    <x v="0"/>
    <x v="0"/>
    <x v="0"/>
    <x v="0"/>
  </r>
  <r>
    <x v="1"/>
    <x v="1"/>
    <x v="0"/>
    <x v="0"/>
    <x v="0"/>
    <x v="0"/>
    <x v="0"/>
    <x v="0"/>
    <x v="0"/>
    <x v="0"/>
    <x v="0"/>
    <x v="0"/>
    <x v="0"/>
    <x v="0"/>
    <x v="0"/>
    <x v="0"/>
    <x v="0"/>
    <x v="0"/>
    <x v="0"/>
    <x v="0"/>
    <x v="0"/>
    <x v="0"/>
    <x v="0"/>
    <x v="0"/>
    <x v="0"/>
    <x v="0"/>
  </r>
  <r>
    <x v="2"/>
    <x v="2"/>
    <x v="0"/>
    <x v="0"/>
    <x v="0"/>
    <x v="0"/>
    <x v="0"/>
    <x v="0"/>
    <x v="0"/>
    <x v="0"/>
    <x v="0"/>
    <x v="0"/>
    <x v="0"/>
    <x v="0"/>
    <x v="0"/>
    <x v="0"/>
    <x v="0"/>
    <x v="0"/>
    <x v="0"/>
    <x v="0"/>
    <x v="0"/>
    <x v="0"/>
    <x v="0"/>
    <x v="0"/>
    <x v="0"/>
    <x v="0"/>
  </r>
  <r>
    <x v="3"/>
    <x v="3"/>
    <x v="1"/>
    <x v="0"/>
    <x v="0"/>
    <x v="1"/>
    <x v="0"/>
    <x v="0"/>
    <x v="0"/>
    <x v="0"/>
    <x v="0"/>
    <x v="0"/>
    <x v="0"/>
    <x v="0"/>
    <x v="0"/>
    <x v="0"/>
    <x v="0"/>
    <x v="0"/>
    <x v="0"/>
    <x v="0"/>
    <x v="0"/>
    <x v="0"/>
    <x v="0"/>
    <x v="0"/>
    <x v="0"/>
    <x v="0"/>
  </r>
  <r>
    <x v="4"/>
    <x v="4"/>
    <x v="2"/>
    <x v="0"/>
    <x v="0"/>
    <x v="1"/>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9"/>
    <x v="9"/>
    <x v="3"/>
    <x v="0"/>
    <x v="0"/>
    <x v="1"/>
    <x v="0"/>
    <x v="0"/>
    <x v="0"/>
    <x v="0"/>
    <x v="0"/>
    <x v="0"/>
    <x v="0"/>
    <x v="0"/>
    <x v="0"/>
    <x v="0"/>
    <x v="0"/>
    <x v="0"/>
    <x v="0"/>
    <x v="0"/>
    <x v="0"/>
    <x v="0"/>
    <x v="0"/>
    <x v="0"/>
    <x v="0"/>
    <x v="0"/>
  </r>
  <r>
    <x v="10"/>
    <x v="10"/>
    <x v="4"/>
    <x v="0"/>
    <x v="0"/>
    <x v="1"/>
    <x v="0"/>
    <x v="0"/>
    <x v="0"/>
    <x v="0"/>
    <x v="0"/>
    <x v="0"/>
    <x v="0"/>
    <x v="0"/>
    <x v="0"/>
    <x v="0"/>
    <x v="0"/>
    <x v="0"/>
    <x v="0"/>
    <x v="0"/>
    <x v="0"/>
    <x v="0"/>
    <x v="0"/>
    <x v="0"/>
    <x v="0"/>
    <x v="0"/>
  </r>
  <r>
    <x v="11"/>
    <x v="11"/>
    <x v="3"/>
    <x v="0"/>
    <x v="0"/>
    <x v="1"/>
    <x v="0"/>
    <x v="0"/>
    <x v="0"/>
    <x v="0"/>
    <x v="0"/>
    <x v="0"/>
    <x v="0"/>
    <x v="0"/>
    <x v="0"/>
    <x v="0"/>
    <x v="0"/>
    <x v="0"/>
    <x v="0"/>
    <x v="0"/>
    <x v="0"/>
    <x v="0"/>
    <x v="0"/>
    <x v="0"/>
    <x v="0"/>
    <x v="0"/>
  </r>
  <r>
    <x v="12"/>
    <x v="12"/>
    <x v="2"/>
    <x v="0"/>
    <x v="0"/>
    <x v="1"/>
    <x v="0"/>
    <x v="0"/>
    <x v="0"/>
    <x v="0"/>
    <x v="0"/>
    <x v="0"/>
    <x v="0"/>
    <x v="0"/>
    <x v="0"/>
    <x v="0"/>
    <x v="0"/>
    <x v="0"/>
    <x v="0"/>
    <x v="0"/>
    <x v="0"/>
    <x v="0"/>
    <x v="0"/>
    <x v="0"/>
    <x v="0"/>
    <x v="0"/>
  </r>
  <r>
    <x v="13"/>
    <x v="13"/>
    <x v="4"/>
    <x v="0"/>
    <x v="0"/>
    <x v="1"/>
    <x v="0"/>
    <x v="0"/>
    <x v="0"/>
    <x v="0"/>
    <x v="0"/>
    <x v="0"/>
    <x v="0"/>
    <x v="0"/>
    <x v="0"/>
    <x v="0"/>
    <x v="0"/>
    <x v="0"/>
    <x v="0"/>
    <x v="0"/>
    <x v="0"/>
    <x v="0"/>
    <x v="0"/>
    <x v="0"/>
    <x v="0"/>
    <x v="0"/>
  </r>
  <r>
    <x v="14"/>
    <x v="14"/>
    <x v="5"/>
    <x v="0"/>
    <x v="0"/>
    <x v="1"/>
    <x v="0"/>
    <x v="0"/>
    <x v="0"/>
    <x v="0"/>
    <x v="0"/>
    <x v="0"/>
    <x v="0"/>
    <x v="0"/>
    <x v="0"/>
    <x v="0"/>
    <x v="0"/>
    <x v="0"/>
    <x v="0"/>
    <x v="0"/>
    <x v="0"/>
    <x v="0"/>
    <x v="0"/>
    <x v="0"/>
    <x v="0"/>
    <x v="0"/>
  </r>
  <r>
    <x v="15"/>
    <x v="15"/>
    <x v="6"/>
    <x v="0"/>
    <x v="0"/>
    <x v="1"/>
    <x v="0"/>
    <x v="0"/>
    <x v="0"/>
    <x v="0"/>
    <x v="0"/>
    <x v="0"/>
    <x v="0"/>
    <x v="0"/>
    <x v="0"/>
    <x v="0"/>
    <x v="0"/>
    <x v="0"/>
    <x v="0"/>
    <x v="0"/>
    <x v="0"/>
    <x v="0"/>
    <x v="0"/>
    <x v="0"/>
    <x v="0"/>
    <x v="0"/>
  </r>
  <r>
    <x v="9"/>
    <x v="9"/>
    <x v="7"/>
    <x v="1"/>
    <x v="0"/>
    <x v="1"/>
    <x v="1"/>
    <x v="1"/>
    <x v="0"/>
    <x v="1"/>
    <x v="1"/>
    <x v="1"/>
    <x v="1"/>
    <x v="1"/>
    <x v="1"/>
    <x v="1"/>
    <x v="1"/>
    <x v="1"/>
    <x v="0"/>
    <x v="1"/>
    <x v="0"/>
    <x v="0"/>
    <x v="0"/>
    <x v="0"/>
    <x v="0"/>
    <x v="0"/>
  </r>
  <r>
    <x v="10"/>
    <x v="10"/>
    <x v="8"/>
    <x v="2"/>
    <x v="0"/>
    <x v="1"/>
    <x v="2"/>
    <x v="2"/>
    <x v="0"/>
    <x v="2"/>
    <x v="2"/>
    <x v="2"/>
    <x v="1"/>
    <x v="1"/>
    <x v="2"/>
    <x v="1"/>
    <x v="2"/>
    <x v="1"/>
    <x v="0"/>
    <x v="1"/>
    <x v="0"/>
    <x v="0"/>
    <x v="0"/>
    <x v="0"/>
    <x v="0"/>
    <x v="0"/>
  </r>
  <r>
    <x v="11"/>
    <x v="11"/>
    <x v="9"/>
    <x v="3"/>
    <x v="1"/>
    <x v="2"/>
    <x v="3"/>
    <x v="3"/>
    <x v="1"/>
    <x v="3"/>
    <x v="3"/>
    <x v="3"/>
    <x v="2"/>
    <x v="2"/>
    <x v="3"/>
    <x v="2"/>
    <x v="3"/>
    <x v="2"/>
    <x v="0"/>
    <x v="1"/>
    <x v="0"/>
    <x v="0"/>
    <x v="0"/>
    <x v="0"/>
    <x v="0"/>
    <x v="0"/>
  </r>
  <r>
    <x v="12"/>
    <x v="12"/>
    <x v="10"/>
    <x v="4"/>
    <x v="0"/>
    <x v="1"/>
    <x v="4"/>
    <x v="4"/>
    <x v="0"/>
    <x v="4"/>
    <x v="0"/>
    <x v="4"/>
    <x v="0"/>
    <x v="0"/>
    <x v="0"/>
    <x v="0"/>
    <x v="0"/>
    <x v="0"/>
    <x v="0"/>
    <x v="1"/>
    <x v="0"/>
    <x v="0"/>
    <x v="0"/>
    <x v="0"/>
    <x v="0"/>
    <x v="0"/>
  </r>
  <r>
    <x v="16"/>
    <x v="16"/>
    <x v="0"/>
    <x v="0"/>
    <x v="0"/>
    <x v="0"/>
    <x v="0"/>
    <x v="0"/>
    <x v="0"/>
    <x v="0"/>
    <x v="0"/>
    <x v="0"/>
    <x v="0"/>
    <x v="0"/>
    <x v="0"/>
    <x v="0"/>
    <x v="0"/>
    <x v="0"/>
    <x v="0"/>
    <x v="0"/>
    <x v="0"/>
    <x v="0"/>
    <x v="0"/>
    <x v="0"/>
    <x v="0"/>
    <x v="0"/>
  </r>
  <r>
    <x v="13"/>
    <x v="13"/>
    <x v="11"/>
    <x v="5"/>
    <x v="1"/>
    <x v="3"/>
    <x v="5"/>
    <x v="5"/>
    <x v="2"/>
    <x v="5"/>
    <x v="4"/>
    <x v="5"/>
    <x v="1"/>
    <x v="1"/>
    <x v="4"/>
    <x v="1"/>
    <x v="4"/>
    <x v="1"/>
    <x v="0"/>
    <x v="1"/>
    <x v="0"/>
    <x v="0"/>
    <x v="0"/>
    <x v="0"/>
    <x v="0"/>
    <x v="0"/>
  </r>
  <r>
    <x v="0"/>
    <x v="0"/>
    <x v="0"/>
    <x v="0"/>
    <x v="0"/>
    <x v="0"/>
    <x v="0"/>
    <x v="0"/>
    <x v="0"/>
    <x v="0"/>
    <x v="0"/>
    <x v="0"/>
    <x v="0"/>
    <x v="0"/>
    <x v="0"/>
    <x v="0"/>
    <x v="0"/>
    <x v="0"/>
    <x v="0"/>
    <x v="0"/>
    <x v="0"/>
    <x v="0"/>
    <x v="0"/>
    <x v="0"/>
    <x v="0"/>
    <x v="0"/>
  </r>
  <r>
    <x v="3"/>
    <x v="3"/>
    <x v="12"/>
    <x v="6"/>
    <x v="1"/>
    <x v="4"/>
    <x v="6"/>
    <x v="6"/>
    <x v="3"/>
    <x v="6"/>
    <x v="5"/>
    <x v="6"/>
    <x v="3"/>
    <x v="3"/>
    <x v="5"/>
    <x v="0"/>
    <x v="0"/>
    <x v="0"/>
    <x v="0"/>
    <x v="1"/>
    <x v="0"/>
    <x v="0"/>
    <x v="0"/>
    <x v="0"/>
    <x v="0"/>
    <x v="0"/>
  </r>
  <r>
    <x v="2"/>
    <x v="2"/>
    <x v="0"/>
    <x v="0"/>
    <x v="0"/>
    <x v="0"/>
    <x v="0"/>
    <x v="0"/>
    <x v="0"/>
    <x v="0"/>
    <x v="0"/>
    <x v="0"/>
    <x v="0"/>
    <x v="0"/>
    <x v="0"/>
    <x v="0"/>
    <x v="0"/>
    <x v="0"/>
    <x v="0"/>
    <x v="0"/>
    <x v="0"/>
    <x v="0"/>
    <x v="0"/>
    <x v="0"/>
    <x v="0"/>
    <x v="0"/>
  </r>
  <r>
    <x v="14"/>
    <x v="14"/>
    <x v="13"/>
    <x v="7"/>
    <x v="0"/>
    <x v="1"/>
    <x v="7"/>
    <x v="7"/>
    <x v="0"/>
    <x v="7"/>
    <x v="6"/>
    <x v="7"/>
    <x v="3"/>
    <x v="3"/>
    <x v="6"/>
    <x v="3"/>
    <x v="5"/>
    <x v="3"/>
    <x v="0"/>
    <x v="1"/>
    <x v="0"/>
    <x v="0"/>
    <x v="0"/>
    <x v="0"/>
    <x v="0"/>
    <x v="0"/>
  </r>
  <r>
    <x v="4"/>
    <x v="4"/>
    <x v="14"/>
    <x v="1"/>
    <x v="0"/>
    <x v="1"/>
    <x v="8"/>
    <x v="8"/>
    <x v="0"/>
    <x v="8"/>
    <x v="0"/>
    <x v="4"/>
    <x v="0"/>
    <x v="0"/>
    <x v="0"/>
    <x v="0"/>
    <x v="0"/>
    <x v="0"/>
    <x v="0"/>
    <x v="1"/>
    <x v="0"/>
    <x v="0"/>
    <x v="0"/>
    <x v="0"/>
    <x v="0"/>
    <x v="0"/>
  </r>
  <r>
    <x v="15"/>
    <x v="15"/>
    <x v="15"/>
    <x v="2"/>
    <x v="0"/>
    <x v="1"/>
    <x v="1"/>
    <x v="9"/>
    <x v="0"/>
    <x v="9"/>
    <x v="7"/>
    <x v="8"/>
    <x v="1"/>
    <x v="1"/>
    <x v="7"/>
    <x v="1"/>
    <x v="6"/>
    <x v="1"/>
    <x v="0"/>
    <x v="1"/>
    <x v="0"/>
    <x v="0"/>
    <x v="0"/>
    <x v="0"/>
    <x v="0"/>
    <x v="0"/>
  </r>
  <r>
    <x v="8"/>
    <x v="8"/>
    <x v="16"/>
    <x v="8"/>
    <x v="0"/>
    <x v="1"/>
    <x v="2"/>
    <x v="10"/>
    <x v="0"/>
    <x v="10"/>
    <x v="8"/>
    <x v="9"/>
    <x v="3"/>
    <x v="3"/>
    <x v="5"/>
    <x v="3"/>
    <x v="7"/>
    <x v="3"/>
    <x v="0"/>
    <x v="1"/>
    <x v="0"/>
    <x v="0"/>
    <x v="0"/>
    <x v="0"/>
    <x v="0"/>
    <x v="0"/>
  </r>
  <r>
    <x v="5"/>
    <x v="5"/>
    <x v="17"/>
    <x v="9"/>
    <x v="0"/>
    <x v="1"/>
    <x v="9"/>
    <x v="11"/>
    <x v="0"/>
    <x v="11"/>
    <x v="9"/>
    <x v="10"/>
    <x v="3"/>
    <x v="3"/>
    <x v="8"/>
    <x v="3"/>
    <x v="8"/>
    <x v="3"/>
    <x v="0"/>
    <x v="1"/>
    <x v="0"/>
    <x v="0"/>
    <x v="0"/>
    <x v="0"/>
    <x v="0"/>
    <x v="0"/>
  </r>
  <r>
    <x v="17"/>
    <x v="17"/>
    <x v="3"/>
    <x v="10"/>
    <x v="0"/>
    <x v="1"/>
    <x v="10"/>
    <x v="12"/>
    <x v="0"/>
    <x v="12"/>
    <x v="0"/>
    <x v="4"/>
    <x v="0"/>
    <x v="0"/>
    <x v="0"/>
    <x v="0"/>
    <x v="0"/>
    <x v="0"/>
    <x v="0"/>
    <x v="1"/>
    <x v="0"/>
    <x v="0"/>
    <x v="0"/>
    <x v="0"/>
    <x v="0"/>
    <x v="0"/>
  </r>
  <r>
    <x v="18"/>
    <x v="18"/>
    <x v="18"/>
    <x v="10"/>
    <x v="0"/>
    <x v="1"/>
    <x v="10"/>
    <x v="13"/>
    <x v="0"/>
    <x v="13"/>
    <x v="0"/>
    <x v="4"/>
    <x v="0"/>
    <x v="0"/>
    <x v="0"/>
    <x v="0"/>
    <x v="0"/>
    <x v="0"/>
    <x v="0"/>
    <x v="1"/>
    <x v="0"/>
    <x v="0"/>
    <x v="0"/>
    <x v="0"/>
    <x v="0"/>
    <x v="0"/>
  </r>
  <r>
    <x v="19"/>
    <x v="19"/>
    <x v="0"/>
    <x v="0"/>
    <x v="0"/>
    <x v="0"/>
    <x v="0"/>
    <x v="0"/>
    <x v="0"/>
    <x v="0"/>
    <x v="0"/>
    <x v="0"/>
    <x v="0"/>
    <x v="0"/>
    <x v="0"/>
    <x v="0"/>
    <x v="0"/>
    <x v="0"/>
    <x v="0"/>
    <x v="0"/>
    <x v="0"/>
    <x v="0"/>
    <x v="0"/>
    <x v="0"/>
    <x v="0"/>
    <x v="0"/>
  </r>
  <r>
    <x v="20"/>
    <x v="20"/>
    <x v="19"/>
    <x v="0"/>
    <x v="0"/>
    <x v="1"/>
    <x v="0"/>
    <x v="0"/>
    <x v="0"/>
    <x v="0"/>
    <x v="0"/>
    <x v="0"/>
    <x v="0"/>
    <x v="0"/>
    <x v="0"/>
    <x v="0"/>
    <x v="0"/>
    <x v="0"/>
    <x v="0"/>
    <x v="0"/>
    <x v="0"/>
    <x v="0"/>
    <x v="0"/>
    <x v="0"/>
    <x v="0"/>
    <x v="0"/>
  </r>
  <r>
    <x v="21"/>
    <x v="21"/>
    <x v="0"/>
    <x v="0"/>
    <x v="0"/>
    <x v="0"/>
    <x v="0"/>
    <x v="0"/>
    <x v="0"/>
    <x v="0"/>
    <x v="0"/>
    <x v="0"/>
    <x v="0"/>
    <x v="0"/>
    <x v="0"/>
    <x v="0"/>
    <x v="0"/>
    <x v="0"/>
    <x v="0"/>
    <x v="0"/>
    <x v="0"/>
    <x v="0"/>
    <x v="0"/>
    <x v="0"/>
    <x v="0"/>
    <x v="0"/>
  </r>
  <r>
    <x v="22"/>
    <x v="22"/>
    <x v="0"/>
    <x v="0"/>
    <x v="0"/>
    <x v="0"/>
    <x v="0"/>
    <x v="0"/>
    <x v="0"/>
    <x v="0"/>
    <x v="0"/>
    <x v="0"/>
    <x v="0"/>
    <x v="0"/>
    <x v="0"/>
    <x v="0"/>
    <x v="0"/>
    <x v="0"/>
    <x v="0"/>
    <x v="0"/>
    <x v="0"/>
    <x v="0"/>
    <x v="0"/>
    <x v="0"/>
    <x v="0"/>
    <x v="0"/>
  </r>
  <r>
    <x v="23"/>
    <x v="23"/>
    <x v="0"/>
    <x v="0"/>
    <x v="0"/>
    <x v="0"/>
    <x v="0"/>
    <x v="0"/>
    <x v="0"/>
    <x v="0"/>
    <x v="0"/>
    <x v="0"/>
    <x v="0"/>
    <x v="0"/>
    <x v="0"/>
    <x v="0"/>
    <x v="0"/>
    <x v="0"/>
    <x v="0"/>
    <x v="0"/>
    <x v="0"/>
    <x v="0"/>
    <x v="0"/>
    <x v="0"/>
    <x v="0"/>
    <x v="0"/>
  </r>
  <r>
    <x v="24"/>
    <x v="24"/>
    <x v="0"/>
    <x v="0"/>
    <x v="0"/>
    <x v="0"/>
    <x v="0"/>
    <x v="0"/>
    <x v="0"/>
    <x v="0"/>
    <x v="0"/>
    <x v="0"/>
    <x v="0"/>
    <x v="0"/>
    <x v="0"/>
    <x v="0"/>
    <x v="0"/>
    <x v="0"/>
    <x v="0"/>
    <x v="0"/>
    <x v="0"/>
    <x v="0"/>
    <x v="0"/>
    <x v="0"/>
    <x v="0"/>
    <x v="0"/>
  </r>
  <r>
    <x v="25"/>
    <x v="25"/>
    <x v="0"/>
    <x v="0"/>
    <x v="0"/>
    <x v="0"/>
    <x v="0"/>
    <x v="0"/>
    <x v="0"/>
    <x v="0"/>
    <x v="0"/>
    <x v="0"/>
    <x v="0"/>
    <x v="0"/>
    <x v="0"/>
    <x v="0"/>
    <x v="0"/>
    <x v="0"/>
    <x v="0"/>
    <x v="0"/>
    <x v="0"/>
    <x v="0"/>
    <x v="0"/>
    <x v="0"/>
    <x v="0"/>
    <x v="0"/>
  </r>
  <r>
    <x v="26"/>
    <x v="26"/>
    <x v="20"/>
    <x v="11"/>
    <x v="0"/>
    <x v="1"/>
    <x v="11"/>
    <x v="14"/>
    <x v="0"/>
    <x v="14"/>
    <x v="0"/>
    <x v="4"/>
    <x v="0"/>
    <x v="0"/>
    <x v="0"/>
    <x v="0"/>
    <x v="0"/>
    <x v="0"/>
    <x v="0"/>
    <x v="1"/>
    <x v="0"/>
    <x v="0"/>
    <x v="0"/>
    <x v="0"/>
    <x v="0"/>
    <x v="0"/>
  </r>
  <r>
    <x v="27"/>
    <x v="27"/>
    <x v="21"/>
    <x v="12"/>
    <x v="0"/>
    <x v="1"/>
    <x v="12"/>
    <x v="15"/>
    <x v="0"/>
    <x v="15"/>
    <x v="0"/>
    <x v="4"/>
    <x v="0"/>
    <x v="0"/>
    <x v="0"/>
    <x v="0"/>
    <x v="0"/>
    <x v="0"/>
    <x v="0"/>
    <x v="1"/>
    <x v="0"/>
    <x v="0"/>
    <x v="0"/>
    <x v="0"/>
    <x v="0"/>
    <x v="0"/>
  </r>
  <r>
    <x v="28"/>
    <x v="28"/>
    <x v="5"/>
    <x v="13"/>
    <x v="0"/>
    <x v="1"/>
    <x v="13"/>
    <x v="16"/>
    <x v="0"/>
    <x v="16"/>
    <x v="0"/>
    <x v="4"/>
    <x v="0"/>
    <x v="0"/>
    <x v="0"/>
    <x v="0"/>
    <x v="0"/>
    <x v="0"/>
    <x v="0"/>
    <x v="1"/>
    <x v="0"/>
    <x v="0"/>
    <x v="0"/>
    <x v="0"/>
    <x v="0"/>
    <x v="0"/>
  </r>
  <r>
    <x v="29"/>
    <x v="29"/>
    <x v="22"/>
    <x v="12"/>
    <x v="0"/>
    <x v="1"/>
    <x v="14"/>
    <x v="17"/>
    <x v="0"/>
    <x v="17"/>
    <x v="0"/>
    <x v="4"/>
    <x v="0"/>
    <x v="0"/>
    <x v="0"/>
    <x v="0"/>
    <x v="0"/>
    <x v="0"/>
    <x v="0"/>
    <x v="1"/>
    <x v="0"/>
    <x v="0"/>
    <x v="0"/>
    <x v="0"/>
    <x v="0"/>
    <x v="0"/>
  </r>
  <r>
    <x v="30"/>
    <x v="30"/>
    <x v="23"/>
    <x v="14"/>
    <x v="0"/>
    <x v="1"/>
    <x v="15"/>
    <x v="18"/>
    <x v="0"/>
    <x v="18"/>
    <x v="10"/>
    <x v="11"/>
    <x v="1"/>
    <x v="1"/>
    <x v="9"/>
    <x v="3"/>
    <x v="9"/>
    <x v="3"/>
    <x v="0"/>
    <x v="1"/>
    <x v="0"/>
    <x v="0"/>
    <x v="0"/>
    <x v="0"/>
    <x v="0"/>
    <x v="0"/>
  </r>
  <r>
    <x v="31"/>
    <x v="31"/>
    <x v="19"/>
    <x v="0"/>
    <x v="0"/>
    <x v="1"/>
    <x v="0"/>
    <x v="0"/>
    <x v="0"/>
    <x v="0"/>
    <x v="0"/>
    <x v="0"/>
    <x v="0"/>
    <x v="0"/>
    <x v="0"/>
    <x v="0"/>
    <x v="0"/>
    <x v="0"/>
    <x v="0"/>
    <x v="0"/>
    <x v="0"/>
    <x v="0"/>
    <x v="0"/>
    <x v="0"/>
    <x v="0"/>
    <x v="0"/>
  </r>
  <r>
    <x v="32"/>
    <x v="32"/>
    <x v="19"/>
    <x v="15"/>
    <x v="0"/>
    <x v="1"/>
    <x v="0"/>
    <x v="19"/>
    <x v="0"/>
    <x v="19"/>
    <x v="0"/>
    <x v="4"/>
    <x v="0"/>
    <x v="0"/>
    <x v="0"/>
    <x v="0"/>
    <x v="0"/>
    <x v="0"/>
    <x v="0"/>
    <x v="1"/>
    <x v="0"/>
    <x v="0"/>
    <x v="0"/>
    <x v="0"/>
    <x v="0"/>
    <x v="0"/>
  </r>
  <r>
    <x v="33"/>
    <x v="33"/>
    <x v="0"/>
    <x v="0"/>
    <x v="0"/>
    <x v="0"/>
    <x v="0"/>
    <x v="0"/>
    <x v="0"/>
    <x v="0"/>
    <x v="0"/>
    <x v="0"/>
    <x v="0"/>
    <x v="0"/>
    <x v="0"/>
    <x v="0"/>
    <x v="0"/>
    <x v="0"/>
    <x v="0"/>
    <x v="0"/>
    <x v="0"/>
    <x v="0"/>
    <x v="0"/>
    <x v="0"/>
    <x v="0"/>
    <x v="0"/>
  </r>
  <r>
    <x v="34"/>
    <x v="34"/>
    <x v="19"/>
    <x v="0"/>
    <x v="0"/>
    <x v="1"/>
    <x v="0"/>
    <x v="0"/>
    <x v="0"/>
    <x v="0"/>
    <x v="0"/>
    <x v="0"/>
    <x v="0"/>
    <x v="0"/>
    <x v="0"/>
    <x v="0"/>
    <x v="0"/>
    <x v="0"/>
    <x v="0"/>
    <x v="0"/>
    <x v="0"/>
    <x v="0"/>
    <x v="0"/>
    <x v="0"/>
    <x v="0"/>
    <x v="0"/>
  </r>
  <r>
    <x v="35"/>
    <x v="35"/>
    <x v="24"/>
    <x v="15"/>
    <x v="0"/>
    <x v="1"/>
    <x v="0"/>
    <x v="20"/>
    <x v="0"/>
    <x v="20"/>
    <x v="0"/>
    <x v="4"/>
    <x v="0"/>
    <x v="0"/>
    <x v="0"/>
    <x v="0"/>
    <x v="0"/>
    <x v="0"/>
    <x v="0"/>
    <x v="1"/>
    <x v="0"/>
    <x v="0"/>
    <x v="0"/>
    <x v="0"/>
    <x v="0"/>
    <x v="0"/>
  </r>
  <r>
    <x v="36"/>
    <x v="36"/>
    <x v="24"/>
    <x v="15"/>
    <x v="0"/>
    <x v="1"/>
    <x v="13"/>
    <x v="21"/>
    <x v="0"/>
    <x v="21"/>
    <x v="0"/>
    <x v="4"/>
    <x v="0"/>
    <x v="0"/>
    <x v="0"/>
    <x v="0"/>
    <x v="0"/>
    <x v="0"/>
    <x v="0"/>
    <x v="1"/>
    <x v="0"/>
    <x v="0"/>
    <x v="0"/>
    <x v="0"/>
    <x v="0"/>
    <x v="0"/>
  </r>
  <r>
    <x v="37"/>
    <x v="37"/>
    <x v="0"/>
    <x v="0"/>
    <x v="0"/>
    <x v="0"/>
    <x v="0"/>
    <x v="0"/>
    <x v="0"/>
    <x v="0"/>
    <x v="0"/>
    <x v="0"/>
    <x v="0"/>
    <x v="0"/>
    <x v="0"/>
    <x v="0"/>
    <x v="0"/>
    <x v="0"/>
    <x v="0"/>
    <x v="0"/>
    <x v="0"/>
    <x v="0"/>
    <x v="0"/>
    <x v="0"/>
    <x v="0"/>
    <x v="0"/>
  </r>
  <r>
    <x v="38"/>
    <x v="38"/>
    <x v="19"/>
    <x v="0"/>
    <x v="0"/>
    <x v="1"/>
    <x v="0"/>
    <x v="0"/>
    <x v="0"/>
    <x v="0"/>
    <x v="0"/>
    <x v="0"/>
    <x v="0"/>
    <x v="0"/>
    <x v="0"/>
    <x v="0"/>
    <x v="0"/>
    <x v="0"/>
    <x v="0"/>
    <x v="0"/>
    <x v="0"/>
    <x v="0"/>
    <x v="0"/>
    <x v="0"/>
    <x v="0"/>
    <x v="0"/>
  </r>
  <r>
    <x v="39"/>
    <x v="39"/>
    <x v="2"/>
    <x v="15"/>
    <x v="0"/>
    <x v="1"/>
    <x v="0"/>
    <x v="22"/>
    <x v="0"/>
    <x v="22"/>
    <x v="0"/>
    <x v="4"/>
    <x v="0"/>
    <x v="0"/>
    <x v="0"/>
    <x v="0"/>
    <x v="0"/>
    <x v="0"/>
    <x v="0"/>
    <x v="1"/>
    <x v="0"/>
    <x v="0"/>
    <x v="0"/>
    <x v="0"/>
    <x v="0"/>
    <x v="0"/>
  </r>
  <r>
    <x v="40"/>
    <x v="40"/>
    <x v="18"/>
    <x v="16"/>
    <x v="0"/>
    <x v="1"/>
    <x v="13"/>
    <x v="23"/>
    <x v="0"/>
    <x v="23"/>
    <x v="0"/>
    <x v="4"/>
    <x v="0"/>
    <x v="0"/>
    <x v="0"/>
    <x v="0"/>
    <x v="0"/>
    <x v="0"/>
    <x v="0"/>
    <x v="1"/>
    <x v="0"/>
    <x v="0"/>
    <x v="0"/>
    <x v="0"/>
    <x v="0"/>
    <x v="0"/>
  </r>
  <r>
    <x v="41"/>
    <x v="41"/>
    <x v="2"/>
    <x v="0"/>
    <x v="0"/>
    <x v="1"/>
    <x v="0"/>
    <x v="0"/>
    <x v="0"/>
    <x v="0"/>
    <x v="0"/>
    <x v="0"/>
    <x v="0"/>
    <x v="0"/>
    <x v="0"/>
    <x v="0"/>
    <x v="0"/>
    <x v="0"/>
    <x v="0"/>
    <x v="0"/>
    <x v="0"/>
    <x v="0"/>
    <x v="0"/>
    <x v="0"/>
    <x v="0"/>
    <x v="0"/>
  </r>
  <r>
    <x v="42"/>
    <x v="42"/>
    <x v="0"/>
    <x v="0"/>
    <x v="0"/>
    <x v="0"/>
    <x v="0"/>
    <x v="0"/>
    <x v="0"/>
    <x v="0"/>
    <x v="0"/>
    <x v="0"/>
    <x v="0"/>
    <x v="0"/>
    <x v="0"/>
    <x v="0"/>
    <x v="0"/>
    <x v="0"/>
    <x v="0"/>
    <x v="0"/>
    <x v="0"/>
    <x v="0"/>
    <x v="0"/>
    <x v="0"/>
    <x v="0"/>
    <x v="0"/>
  </r>
  <r>
    <x v="43"/>
    <x v="43"/>
    <x v="0"/>
    <x v="0"/>
    <x v="0"/>
    <x v="0"/>
    <x v="0"/>
    <x v="0"/>
    <x v="0"/>
    <x v="0"/>
    <x v="0"/>
    <x v="0"/>
    <x v="0"/>
    <x v="0"/>
    <x v="0"/>
    <x v="0"/>
    <x v="0"/>
    <x v="0"/>
    <x v="0"/>
    <x v="0"/>
    <x v="0"/>
    <x v="0"/>
    <x v="0"/>
    <x v="0"/>
    <x v="0"/>
    <x v="0"/>
  </r>
  <r>
    <x v="44"/>
    <x v="44"/>
    <x v="0"/>
    <x v="0"/>
    <x v="0"/>
    <x v="0"/>
    <x v="0"/>
    <x v="0"/>
    <x v="0"/>
    <x v="0"/>
    <x v="0"/>
    <x v="0"/>
    <x v="0"/>
    <x v="0"/>
    <x v="0"/>
    <x v="0"/>
    <x v="0"/>
    <x v="0"/>
    <x v="0"/>
    <x v="0"/>
    <x v="0"/>
    <x v="0"/>
    <x v="0"/>
    <x v="0"/>
    <x v="0"/>
    <x v="0"/>
  </r>
  <r>
    <x v="45"/>
    <x v="45"/>
    <x v="0"/>
    <x v="0"/>
    <x v="0"/>
    <x v="0"/>
    <x v="0"/>
    <x v="0"/>
    <x v="0"/>
    <x v="0"/>
    <x v="0"/>
    <x v="0"/>
    <x v="0"/>
    <x v="0"/>
    <x v="0"/>
    <x v="0"/>
    <x v="0"/>
    <x v="0"/>
    <x v="0"/>
    <x v="0"/>
    <x v="0"/>
    <x v="0"/>
    <x v="0"/>
    <x v="0"/>
    <x v="0"/>
    <x v="0"/>
  </r>
  <r>
    <x v="46"/>
    <x v="46"/>
    <x v="25"/>
    <x v="0"/>
    <x v="2"/>
    <x v="5"/>
    <x v="16"/>
    <x v="24"/>
    <x v="4"/>
    <x v="0"/>
    <x v="11"/>
    <x v="12"/>
    <x v="3"/>
    <x v="3"/>
    <x v="10"/>
    <x v="3"/>
    <x v="10"/>
    <x v="3"/>
    <x v="1"/>
    <x v="2"/>
    <x v="1"/>
    <x v="1"/>
    <x v="1"/>
    <x v="1"/>
    <x v="1"/>
    <x v="1"/>
  </r>
  <r>
    <x v="47"/>
    <x v="47"/>
    <x v="0"/>
    <x v="0"/>
    <x v="0"/>
    <x v="0"/>
    <x v="0"/>
    <x v="0"/>
    <x v="0"/>
    <x v="0"/>
    <x v="0"/>
    <x v="0"/>
    <x v="0"/>
    <x v="0"/>
    <x v="0"/>
    <x v="0"/>
    <x v="0"/>
    <x v="0"/>
    <x v="0"/>
    <x v="0"/>
    <x v="0"/>
    <x v="0"/>
    <x v="0"/>
    <x v="0"/>
    <x v="0"/>
    <x v="0"/>
  </r>
  <r>
    <x v="3"/>
    <x v="3"/>
    <x v="0"/>
    <x v="0"/>
    <x v="0"/>
    <x v="0"/>
    <x v="0"/>
    <x v="0"/>
    <x v="0"/>
    <x v="0"/>
    <x v="0"/>
    <x v="0"/>
    <x v="0"/>
    <x v="0"/>
    <x v="0"/>
    <x v="0"/>
    <x v="0"/>
    <x v="0"/>
    <x v="0"/>
    <x v="0"/>
    <x v="0"/>
    <x v="0"/>
    <x v="0"/>
    <x v="0"/>
    <x v="0"/>
    <x v="0"/>
  </r>
  <r>
    <x v="48"/>
    <x v="48"/>
    <x v="0"/>
    <x v="0"/>
    <x v="0"/>
    <x v="0"/>
    <x v="0"/>
    <x v="0"/>
    <x v="0"/>
    <x v="0"/>
    <x v="0"/>
    <x v="0"/>
    <x v="0"/>
    <x v="0"/>
    <x v="0"/>
    <x v="0"/>
    <x v="0"/>
    <x v="0"/>
    <x v="0"/>
    <x v="0"/>
    <x v="0"/>
    <x v="0"/>
    <x v="0"/>
    <x v="0"/>
    <x v="0"/>
    <x v="0"/>
  </r>
  <r>
    <x v="11"/>
    <x v="11"/>
    <x v="0"/>
    <x v="0"/>
    <x v="0"/>
    <x v="0"/>
    <x v="0"/>
    <x v="0"/>
    <x v="0"/>
    <x v="0"/>
    <x v="0"/>
    <x v="0"/>
    <x v="0"/>
    <x v="0"/>
    <x v="0"/>
    <x v="0"/>
    <x v="0"/>
    <x v="0"/>
    <x v="0"/>
    <x v="0"/>
    <x v="0"/>
    <x v="0"/>
    <x v="0"/>
    <x v="0"/>
    <x v="0"/>
    <x v="0"/>
  </r>
  <r>
    <x v="49"/>
    <x v="49"/>
    <x v="0"/>
    <x v="0"/>
    <x v="0"/>
    <x v="0"/>
    <x v="0"/>
    <x v="0"/>
    <x v="0"/>
    <x v="0"/>
    <x v="0"/>
    <x v="0"/>
    <x v="0"/>
    <x v="0"/>
    <x v="0"/>
    <x v="0"/>
    <x v="0"/>
    <x v="0"/>
    <x v="0"/>
    <x v="0"/>
    <x v="0"/>
    <x v="0"/>
    <x v="0"/>
    <x v="0"/>
    <x v="0"/>
    <x v="0"/>
  </r>
  <r>
    <x v="1"/>
    <x v="1"/>
    <x v="0"/>
    <x v="0"/>
    <x v="0"/>
    <x v="0"/>
    <x v="0"/>
    <x v="0"/>
    <x v="0"/>
    <x v="0"/>
    <x v="0"/>
    <x v="0"/>
    <x v="0"/>
    <x v="0"/>
    <x v="0"/>
    <x v="0"/>
    <x v="0"/>
    <x v="0"/>
    <x v="0"/>
    <x v="0"/>
    <x v="0"/>
    <x v="0"/>
    <x v="0"/>
    <x v="0"/>
    <x v="0"/>
    <x v="0"/>
  </r>
  <r>
    <x v="50"/>
    <x v="50"/>
    <x v="0"/>
    <x v="0"/>
    <x v="0"/>
    <x v="0"/>
    <x v="0"/>
    <x v="0"/>
    <x v="0"/>
    <x v="0"/>
    <x v="0"/>
    <x v="0"/>
    <x v="0"/>
    <x v="0"/>
    <x v="0"/>
    <x v="0"/>
    <x v="0"/>
    <x v="0"/>
    <x v="0"/>
    <x v="0"/>
    <x v="0"/>
    <x v="0"/>
    <x v="0"/>
    <x v="0"/>
    <x v="0"/>
    <x v="0"/>
  </r>
  <r>
    <x v="51"/>
    <x v="51"/>
    <x v="0"/>
    <x v="0"/>
    <x v="0"/>
    <x v="0"/>
    <x v="0"/>
    <x v="0"/>
    <x v="0"/>
    <x v="0"/>
    <x v="0"/>
    <x v="0"/>
    <x v="0"/>
    <x v="0"/>
    <x v="0"/>
    <x v="0"/>
    <x v="0"/>
    <x v="0"/>
    <x v="0"/>
    <x v="0"/>
    <x v="0"/>
    <x v="0"/>
    <x v="0"/>
    <x v="0"/>
    <x v="0"/>
    <x v="0"/>
  </r>
  <r>
    <x v="6"/>
    <x v="6"/>
    <x v="0"/>
    <x v="0"/>
    <x v="0"/>
    <x v="0"/>
    <x v="0"/>
    <x v="0"/>
    <x v="0"/>
    <x v="0"/>
    <x v="0"/>
    <x v="0"/>
    <x v="0"/>
    <x v="0"/>
    <x v="0"/>
    <x v="0"/>
    <x v="0"/>
    <x v="0"/>
    <x v="0"/>
    <x v="0"/>
    <x v="0"/>
    <x v="0"/>
    <x v="0"/>
    <x v="0"/>
    <x v="0"/>
    <x v="0"/>
  </r>
  <r>
    <x v="52"/>
    <x v="52"/>
    <x v="0"/>
    <x v="0"/>
    <x v="0"/>
    <x v="0"/>
    <x v="0"/>
    <x v="0"/>
    <x v="0"/>
    <x v="0"/>
    <x v="0"/>
    <x v="0"/>
    <x v="0"/>
    <x v="0"/>
    <x v="0"/>
    <x v="0"/>
    <x v="0"/>
    <x v="0"/>
    <x v="0"/>
    <x v="0"/>
    <x v="0"/>
    <x v="0"/>
    <x v="0"/>
    <x v="0"/>
    <x v="0"/>
    <x v="0"/>
  </r>
  <r>
    <x v="9"/>
    <x v="9"/>
    <x v="0"/>
    <x v="0"/>
    <x v="0"/>
    <x v="0"/>
    <x v="0"/>
    <x v="0"/>
    <x v="0"/>
    <x v="0"/>
    <x v="0"/>
    <x v="0"/>
    <x v="0"/>
    <x v="0"/>
    <x v="0"/>
    <x v="0"/>
    <x v="0"/>
    <x v="0"/>
    <x v="0"/>
    <x v="0"/>
    <x v="0"/>
    <x v="0"/>
    <x v="0"/>
    <x v="0"/>
    <x v="0"/>
    <x v="0"/>
  </r>
  <r>
    <x v="8"/>
    <x v="8"/>
    <x v="0"/>
    <x v="0"/>
    <x v="0"/>
    <x v="0"/>
    <x v="0"/>
    <x v="0"/>
    <x v="0"/>
    <x v="0"/>
    <x v="0"/>
    <x v="0"/>
    <x v="0"/>
    <x v="0"/>
    <x v="0"/>
    <x v="0"/>
    <x v="0"/>
    <x v="0"/>
    <x v="0"/>
    <x v="0"/>
    <x v="0"/>
    <x v="0"/>
    <x v="0"/>
    <x v="0"/>
    <x v="0"/>
    <x v="0"/>
  </r>
  <r>
    <x v="12"/>
    <x v="12"/>
    <x v="0"/>
    <x v="0"/>
    <x v="0"/>
    <x v="0"/>
    <x v="0"/>
    <x v="0"/>
    <x v="0"/>
    <x v="0"/>
    <x v="0"/>
    <x v="0"/>
    <x v="0"/>
    <x v="0"/>
    <x v="0"/>
    <x v="0"/>
    <x v="0"/>
    <x v="0"/>
    <x v="0"/>
    <x v="0"/>
    <x v="0"/>
    <x v="0"/>
    <x v="0"/>
    <x v="0"/>
    <x v="0"/>
    <x v="0"/>
  </r>
  <r>
    <x v="53"/>
    <x v="53"/>
    <x v="26"/>
    <x v="17"/>
    <x v="0"/>
    <x v="1"/>
    <x v="17"/>
    <x v="25"/>
    <x v="0"/>
    <x v="24"/>
    <x v="12"/>
    <x v="13"/>
    <x v="4"/>
    <x v="4"/>
    <x v="11"/>
    <x v="3"/>
    <x v="11"/>
    <x v="3"/>
    <x v="0"/>
    <x v="1"/>
    <x v="0"/>
    <x v="0"/>
    <x v="0"/>
    <x v="0"/>
    <x v="0"/>
    <x v="0"/>
  </r>
  <r>
    <x v="54"/>
    <x v="54"/>
    <x v="0"/>
    <x v="0"/>
    <x v="0"/>
    <x v="0"/>
    <x v="0"/>
    <x v="0"/>
    <x v="0"/>
    <x v="0"/>
    <x v="0"/>
    <x v="0"/>
    <x v="0"/>
    <x v="0"/>
    <x v="0"/>
    <x v="0"/>
    <x v="0"/>
    <x v="0"/>
    <x v="0"/>
    <x v="0"/>
    <x v="0"/>
    <x v="0"/>
    <x v="0"/>
    <x v="0"/>
    <x v="0"/>
    <x v="0"/>
  </r>
  <r>
    <x v="55"/>
    <x v="55"/>
    <x v="0"/>
    <x v="0"/>
    <x v="0"/>
    <x v="0"/>
    <x v="0"/>
    <x v="0"/>
    <x v="0"/>
    <x v="0"/>
    <x v="0"/>
    <x v="0"/>
    <x v="0"/>
    <x v="0"/>
    <x v="0"/>
    <x v="0"/>
    <x v="0"/>
    <x v="0"/>
    <x v="0"/>
    <x v="0"/>
    <x v="0"/>
    <x v="0"/>
    <x v="0"/>
    <x v="0"/>
    <x v="0"/>
    <x v="0"/>
  </r>
  <r>
    <x v="56"/>
    <x v="56"/>
    <x v="0"/>
    <x v="0"/>
    <x v="0"/>
    <x v="0"/>
    <x v="0"/>
    <x v="0"/>
    <x v="0"/>
    <x v="0"/>
    <x v="0"/>
    <x v="0"/>
    <x v="0"/>
    <x v="0"/>
    <x v="0"/>
    <x v="0"/>
    <x v="0"/>
    <x v="0"/>
    <x v="0"/>
    <x v="0"/>
    <x v="0"/>
    <x v="0"/>
    <x v="0"/>
    <x v="0"/>
    <x v="0"/>
    <x v="0"/>
  </r>
  <r>
    <x v="57"/>
    <x v="57"/>
    <x v="0"/>
    <x v="0"/>
    <x v="0"/>
    <x v="0"/>
    <x v="0"/>
    <x v="0"/>
    <x v="0"/>
    <x v="0"/>
    <x v="0"/>
    <x v="0"/>
    <x v="0"/>
    <x v="0"/>
    <x v="0"/>
    <x v="0"/>
    <x v="0"/>
    <x v="0"/>
    <x v="0"/>
    <x v="0"/>
    <x v="0"/>
    <x v="0"/>
    <x v="0"/>
    <x v="0"/>
    <x v="0"/>
    <x v="0"/>
  </r>
  <r>
    <x v="58"/>
    <x v="58"/>
    <x v="0"/>
    <x v="0"/>
    <x v="0"/>
    <x v="0"/>
    <x v="0"/>
    <x v="0"/>
    <x v="0"/>
    <x v="0"/>
    <x v="0"/>
    <x v="0"/>
    <x v="0"/>
    <x v="0"/>
    <x v="0"/>
    <x v="0"/>
    <x v="0"/>
    <x v="0"/>
    <x v="0"/>
    <x v="0"/>
    <x v="0"/>
    <x v="0"/>
    <x v="0"/>
    <x v="0"/>
    <x v="0"/>
    <x v="0"/>
  </r>
  <r>
    <x v="59"/>
    <x v="59"/>
    <x v="0"/>
    <x v="0"/>
    <x v="0"/>
    <x v="0"/>
    <x v="0"/>
    <x v="0"/>
    <x v="0"/>
    <x v="0"/>
    <x v="0"/>
    <x v="0"/>
    <x v="0"/>
    <x v="0"/>
    <x v="0"/>
    <x v="0"/>
    <x v="0"/>
    <x v="0"/>
    <x v="0"/>
    <x v="0"/>
    <x v="0"/>
    <x v="0"/>
    <x v="0"/>
    <x v="0"/>
    <x v="0"/>
    <x v="0"/>
  </r>
  <r>
    <x v="48"/>
    <x v="48"/>
    <x v="0"/>
    <x v="0"/>
    <x v="0"/>
    <x v="0"/>
    <x v="0"/>
    <x v="0"/>
    <x v="0"/>
    <x v="0"/>
    <x v="0"/>
    <x v="0"/>
    <x v="0"/>
    <x v="0"/>
    <x v="0"/>
    <x v="0"/>
    <x v="0"/>
    <x v="0"/>
    <x v="0"/>
    <x v="0"/>
    <x v="0"/>
    <x v="0"/>
    <x v="0"/>
    <x v="0"/>
    <x v="0"/>
    <x v="0"/>
  </r>
  <r>
    <x v="60"/>
    <x v="60"/>
    <x v="27"/>
    <x v="18"/>
    <x v="3"/>
    <x v="6"/>
    <x v="18"/>
    <x v="26"/>
    <x v="5"/>
    <x v="25"/>
    <x v="0"/>
    <x v="4"/>
    <x v="0"/>
    <x v="0"/>
    <x v="0"/>
    <x v="0"/>
    <x v="0"/>
    <x v="0"/>
    <x v="0"/>
    <x v="1"/>
    <x v="0"/>
    <x v="0"/>
    <x v="0"/>
    <x v="0"/>
    <x v="0"/>
    <x v="0"/>
  </r>
  <r>
    <x v="61"/>
    <x v="61"/>
    <x v="0"/>
    <x v="0"/>
    <x v="0"/>
    <x v="0"/>
    <x v="0"/>
    <x v="0"/>
    <x v="0"/>
    <x v="0"/>
    <x v="0"/>
    <x v="0"/>
    <x v="0"/>
    <x v="0"/>
    <x v="0"/>
    <x v="0"/>
    <x v="0"/>
    <x v="0"/>
    <x v="0"/>
    <x v="0"/>
    <x v="0"/>
    <x v="0"/>
    <x v="0"/>
    <x v="0"/>
    <x v="0"/>
    <x v="0"/>
  </r>
  <r>
    <x v="60"/>
    <x v="60"/>
    <x v="28"/>
    <x v="19"/>
    <x v="0"/>
    <x v="1"/>
    <x v="8"/>
    <x v="27"/>
    <x v="0"/>
    <x v="26"/>
    <x v="13"/>
    <x v="14"/>
    <x v="3"/>
    <x v="3"/>
    <x v="5"/>
    <x v="3"/>
    <x v="7"/>
    <x v="3"/>
    <x v="0"/>
    <x v="1"/>
    <x v="0"/>
    <x v="0"/>
    <x v="0"/>
    <x v="0"/>
    <x v="0"/>
    <x v="0"/>
  </r>
  <r>
    <x v="62"/>
    <x v="62"/>
    <x v="29"/>
    <x v="17"/>
    <x v="0"/>
    <x v="1"/>
    <x v="19"/>
    <x v="28"/>
    <x v="0"/>
    <x v="27"/>
    <x v="0"/>
    <x v="4"/>
    <x v="0"/>
    <x v="0"/>
    <x v="0"/>
    <x v="0"/>
    <x v="0"/>
    <x v="0"/>
    <x v="0"/>
    <x v="1"/>
    <x v="0"/>
    <x v="0"/>
    <x v="0"/>
    <x v="0"/>
    <x v="0"/>
    <x v="0"/>
  </r>
  <r>
    <x v="63"/>
    <x v="63"/>
    <x v="30"/>
    <x v="20"/>
    <x v="0"/>
    <x v="1"/>
    <x v="20"/>
    <x v="29"/>
    <x v="0"/>
    <x v="28"/>
    <x v="14"/>
    <x v="15"/>
    <x v="4"/>
    <x v="5"/>
    <x v="12"/>
    <x v="3"/>
    <x v="5"/>
    <x v="3"/>
    <x v="0"/>
    <x v="1"/>
    <x v="0"/>
    <x v="0"/>
    <x v="0"/>
    <x v="0"/>
    <x v="0"/>
    <x v="0"/>
  </r>
  <r>
    <x v="64"/>
    <x v="64"/>
    <x v="31"/>
    <x v="21"/>
    <x v="0"/>
    <x v="1"/>
    <x v="21"/>
    <x v="30"/>
    <x v="0"/>
    <x v="29"/>
    <x v="0"/>
    <x v="4"/>
    <x v="0"/>
    <x v="0"/>
    <x v="0"/>
    <x v="0"/>
    <x v="0"/>
    <x v="0"/>
    <x v="0"/>
    <x v="1"/>
    <x v="0"/>
    <x v="0"/>
    <x v="0"/>
    <x v="0"/>
    <x v="0"/>
    <x v="0"/>
  </r>
  <r>
    <x v="65"/>
    <x v="65"/>
    <x v="32"/>
    <x v="22"/>
    <x v="0"/>
    <x v="1"/>
    <x v="22"/>
    <x v="31"/>
    <x v="0"/>
    <x v="30"/>
    <x v="15"/>
    <x v="16"/>
    <x v="2"/>
    <x v="6"/>
    <x v="13"/>
    <x v="2"/>
    <x v="12"/>
    <x v="4"/>
    <x v="0"/>
    <x v="1"/>
    <x v="0"/>
    <x v="0"/>
    <x v="0"/>
    <x v="0"/>
    <x v="0"/>
    <x v="0"/>
  </r>
  <r>
    <x v="66"/>
    <x v="66"/>
    <x v="33"/>
    <x v="23"/>
    <x v="0"/>
    <x v="1"/>
    <x v="23"/>
    <x v="32"/>
    <x v="0"/>
    <x v="31"/>
    <x v="16"/>
    <x v="17"/>
    <x v="3"/>
    <x v="3"/>
    <x v="14"/>
    <x v="3"/>
    <x v="13"/>
    <x v="3"/>
    <x v="0"/>
    <x v="1"/>
    <x v="0"/>
    <x v="0"/>
    <x v="0"/>
    <x v="0"/>
    <x v="0"/>
    <x v="0"/>
  </r>
  <r>
    <x v="52"/>
    <x v="52"/>
    <x v="34"/>
    <x v="24"/>
    <x v="1"/>
    <x v="7"/>
    <x v="24"/>
    <x v="33"/>
    <x v="6"/>
    <x v="32"/>
    <x v="0"/>
    <x v="4"/>
    <x v="0"/>
    <x v="0"/>
    <x v="0"/>
    <x v="0"/>
    <x v="0"/>
    <x v="0"/>
    <x v="0"/>
    <x v="1"/>
    <x v="0"/>
    <x v="0"/>
    <x v="0"/>
    <x v="0"/>
    <x v="0"/>
    <x v="0"/>
  </r>
  <r>
    <x v="1"/>
    <x v="1"/>
    <x v="35"/>
    <x v="25"/>
    <x v="0"/>
    <x v="1"/>
    <x v="25"/>
    <x v="34"/>
    <x v="0"/>
    <x v="33"/>
    <x v="0"/>
    <x v="4"/>
    <x v="0"/>
    <x v="0"/>
    <x v="0"/>
    <x v="0"/>
    <x v="0"/>
    <x v="0"/>
    <x v="0"/>
    <x v="1"/>
    <x v="0"/>
    <x v="0"/>
    <x v="0"/>
    <x v="0"/>
    <x v="0"/>
    <x v="0"/>
  </r>
  <r>
    <x v="50"/>
    <x v="50"/>
    <x v="0"/>
    <x v="0"/>
    <x v="0"/>
    <x v="0"/>
    <x v="0"/>
    <x v="0"/>
    <x v="0"/>
    <x v="0"/>
    <x v="0"/>
    <x v="0"/>
    <x v="0"/>
    <x v="0"/>
    <x v="0"/>
    <x v="0"/>
    <x v="0"/>
    <x v="0"/>
    <x v="0"/>
    <x v="0"/>
    <x v="0"/>
    <x v="0"/>
    <x v="0"/>
    <x v="0"/>
    <x v="0"/>
    <x v="0"/>
  </r>
  <r>
    <x v="7"/>
    <x v="7"/>
    <x v="12"/>
    <x v="3"/>
    <x v="0"/>
    <x v="1"/>
    <x v="26"/>
    <x v="35"/>
    <x v="0"/>
    <x v="34"/>
    <x v="17"/>
    <x v="18"/>
    <x v="3"/>
    <x v="3"/>
    <x v="6"/>
    <x v="3"/>
    <x v="5"/>
    <x v="3"/>
    <x v="0"/>
    <x v="1"/>
    <x v="0"/>
    <x v="0"/>
    <x v="0"/>
    <x v="0"/>
    <x v="0"/>
    <x v="0"/>
  </r>
  <r>
    <x v="12"/>
    <x v="12"/>
    <x v="0"/>
    <x v="0"/>
    <x v="0"/>
    <x v="0"/>
    <x v="0"/>
    <x v="0"/>
    <x v="0"/>
    <x v="0"/>
    <x v="0"/>
    <x v="0"/>
    <x v="0"/>
    <x v="0"/>
    <x v="0"/>
    <x v="0"/>
    <x v="0"/>
    <x v="0"/>
    <x v="0"/>
    <x v="0"/>
    <x v="0"/>
    <x v="0"/>
    <x v="0"/>
    <x v="0"/>
    <x v="0"/>
    <x v="0"/>
  </r>
  <r>
    <x v="13"/>
    <x v="13"/>
    <x v="0"/>
    <x v="0"/>
    <x v="0"/>
    <x v="0"/>
    <x v="0"/>
    <x v="0"/>
    <x v="0"/>
    <x v="0"/>
    <x v="0"/>
    <x v="0"/>
    <x v="0"/>
    <x v="0"/>
    <x v="0"/>
    <x v="0"/>
    <x v="0"/>
    <x v="0"/>
    <x v="0"/>
    <x v="0"/>
    <x v="0"/>
    <x v="0"/>
    <x v="0"/>
    <x v="0"/>
    <x v="0"/>
    <x v="0"/>
  </r>
  <r>
    <x v="3"/>
    <x v="3"/>
    <x v="0"/>
    <x v="0"/>
    <x v="0"/>
    <x v="0"/>
    <x v="0"/>
    <x v="0"/>
    <x v="0"/>
    <x v="0"/>
    <x v="0"/>
    <x v="0"/>
    <x v="0"/>
    <x v="0"/>
    <x v="0"/>
    <x v="0"/>
    <x v="0"/>
    <x v="0"/>
    <x v="0"/>
    <x v="0"/>
    <x v="0"/>
    <x v="0"/>
    <x v="0"/>
    <x v="0"/>
    <x v="0"/>
    <x v="0"/>
  </r>
  <r>
    <x v="48"/>
    <x v="48"/>
    <x v="0"/>
    <x v="0"/>
    <x v="0"/>
    <x v="0"/>
    <x v="0"/>
    <x v="0"/>
    <x v="0"/>
    <x v="0"/>
    <x v="0"/>
    <x v="0"/>
    <x v="0"/>
    <x v="0"/>
    <x v="0"/>
    <x v="0"/>
    <x v="0"/>
    <x v="0"/>
    <x v="0"/>
    <x v="0"/>
    <x v="0"/>
    <x v="0"/>
    <x v="0"/>
    <x v="0"/>
    <x v="0"/>
    <x v="0"/>
  </r>
  <r>
    <x v="9"/>
    <x v="9"/>
    <x v="0"/>
    <x v="0"/>
    <x v="0"/>
    <x v="0"/>
    <x v="0"/>
    <x v="0"/>
    <x v="0"/>
    <x v="0"/>
    <x v="0"/>
    <x v="0"/>
    <x v="0"/>
    <x v="0"/>
    <x v="0"/>
    <x v="0"/>
    <x v="0"/>
    <x v="0"/>
    <x v="0"/>
    <x v="0"/>
    <x v="0"/>
    <x v="0"/>
    <x v="0"/>
    <x v="0"/>
    <x v="0"/>
    <x v="0"/>
  </r>
  <r>
    <x v="11"/>
    <x v="11"/>
    <x v="0"/>
    <x v="0"/>
    <x v="0"/>
    <x v="0"/>
    <x v="0"/>
    <x v="0"/>
    <x v="0"/>
    <x v="0"/>
    <x v="0"/>
    <x v="0"/>
    <x v="0"/>
    <x v="0"/>
    <x v="0"/>
    <x v="0"/>
    <x v="0"/>
    <x v="0"/>
    <x v="0"/>
    <x v="0"/>
    <x v="0"/>
    <x v="0"/>
    <x v="0"/>
    <x v="0"/>
    <x v="0"/>
    <x v="0"/>
  </r>
  <r>
    <x v="49"/>
    <x v="49"/>
    <x v="0"/>
    <x v="0"/>
    <x v="0"/>
    <x v="0"/>
    <x v="0"/>
    <x v="0"/>
    <x v="0"/>
    <x v="0"/>
    <x v="0"/>
    <x v="0"/>
    <x v="0"/>
    <x v="0"/>
    <x v="0"/>
    <x v="0"/>
    <x v="0"/>
    <x v="0"/>
    <x v="0"/>
    <x v="0"/>
    <x v="0"/>
    <x v="0"/>
    <x v="0"/>
    <x v="0"/>
    <x v="0"/>
    <x v="0"/>
  </r>
  <r>
    <x v="51"/>
    <x v="51"/>
    <x v="0"/>
    <x v="0"/>
    <x v="0"/>
    <x v="0"/>
    <x v="0"/>
    <x v="0"/>
    <x v="0"/>
    <x v="0"/>
    <x v="0"/>
    <x v="0"/>
    <x v="0"/>
    <x v="0"/>
    <x v="0"/>
    <x v="0"/>
    <x v="0"/>
    <x v="0"/>
    <x v="0"/>
    <x v="0"/>
    <x v="0"/>
    <x v="0"/>
    <x v="0"/>
    <x v="0"/>
    <x v="0"/>
    <x v="0"/>
  </r>
  <r>
    <x v="50"/>
    <x v="50"/>
    <x v="0"/>
    <x v="0"/>
    <x v="0"/>
    <x v="0"/>
    <x v="0"/>
    <x v="0"/>
    <x v="0"/>
    <x v="0"/>
    <x v="0"/>
    <x v="0"/>
    <x v="0"/>
    <x v="0"/>
    <x v="0"/>
    <x v="0"/>
    <x v="0"/>
    <x v="0"/>
    <x v="0"/>
    <x v="0"/>
    <x v="0"/>
    <x v="0"/>
    <x v="0"/>
    <x v="0"/>
    <x v="0"/>
    <x v="0"/>
  </r>
  <r>
    <x v="14"/>
    <x v="14"/>
    <x v="0"/>
    <x v="0"/>
    <x v="0"/>
    <x v="0"/>
    <x v="0"/>
    <x v="0"/>
    <x v="0"/>
    <x v="0"/>
    <x v="0"/>
    <x v="0"/>
    <x v="0"/>
    <x v="0"/>
    <x v="0"/>
    <x v="0"/>
    <x v="0"/>
    <x v="0"/>
    <x v="0"/>
    <x v="0"/>
    <x v="0"/>
    <x v="0"/>
    <x v="0"/>
    <x v="0"/>
    <x v="0"/>
    <x v="0"/>
  </r>
  <r>
    <x v="4"/>
    <x v="4"/>
    <x v="0"/>
    <x v="0"/>
    <x v="0"/>
    <x v="0"/>
    <x v="0"/>
    <x v="0"/>
    <x v="0"/>
    <x v="0"/>
    <x v="0"/>
    <x v="0"/>
    <x v="0"/>
    <x v="0"/>
    <x v="0"/>
    <x v="0"/>
    <x v="0"/>
    <x v="0"/>
    <x v="0"/>
    <x v="0"/>
    <x v="0"/>
    <x v="0"/>
    <x v="0"/>
    <x v="0"/>
    <x v="0"/>
    <x v="0"/>
  </r>
  <r>
    <x v="15"/>
    <x v="15"/>
    <x v="0"/>
    <x v="0"/>
    <x v="0"/>
    <x v="0"/>
    <x v="0"/>
    <x v="0"/>
    <x v="0"/>
    <x v="0"/>
    <x v="0"/>
    <x v="0"/>
    <x v="0"/>
    <x v="0"/>
    <x v="0"/>
    <x v="0"/>
    <x v="0"/>
    <x v="0"/>
    <x v="0"/>
    <x v="0"/>
    <x v="0"/>
    <x v="0"/>
    <x v="0"/>
    <x v="0"/>
    <x v="0"/>
    <x v="0"/>
  </r>
  <r>
    <x v="67"/>
    <x v="67"/>
    <x v="0"/>
    <x v="0"/>
    <x v="0"/>
    <x v="0"/>
    <x v="0"/>
    <x v="0"/>
    <x v="0"/>
    <x v="0"/>
    <x v="0"/>
    <x v="0"/>
    <x v="0"/>
    <x v="0"/>
    <x v="0"/>
    <x v="0"/>
    <x v="0"/>
    <x v="0"/>
    <x v="0"/>
    <x v="0"/>
    <x v="0"/>
    <x v="0"/>
    <x v="0"/>
    <x v="0"/>
    <x v="0"/>
    <x v="0"/>
  </r>
  <r>
    <x v="60"/>
    <x v="60"/>
    <x v="0"/>
    <x v="0"/>
    <x v="0"/>
    <x v="0"/>
    <x v="0"/>
    <x v="0"/>
    <x v="0"/>
    <x v="0"/>
    <x v="0"/>
    <x v="0"/>
    <x v="0"/>
    <x v="0"/>
    <x v="0"/>
    <x v="0"/>
    <x v="0"/>
    <x v="0"/>
    <x v="0"/>
    <x v="0"/>
    <x v="0"/>
    <x v="0"/>
    <x v="0"/>
    <x v="0"/>
    <x v="0"/>
    <x v="0"/>
  </r>
  <r>
    <x v="64"/>
    <x v="64"/>
    <x v="0"/>
    <x v="0"/>
    <x v="0"/>
    <x v="0"/>
    <x v="0"/>
    <x v="0"/>
    <x v="0"/>
    <x v="0"/>
    <x v="0"/>
    <x v="0"/>
    <x v="0"/>
    <x v="0"/>
    <x v="0"/>
    <x v="0"/>
    <x v="0"/>
    <x v="0"/>
    <x v="0"/>
    <x v="0"/>
    <x v="0"/>
    <x v="0"/>
    <x v="0"/>
    <x v="0"/>
    <x v="0"/>
    <x v="0"/>
  </r>
  <r>
    <x v="53"/>
    <x v="53"/>
    <x v="0"/>
    <x v="0"/>
    <x v="0"/>
    <x v="0"/>
    <x v="0"/>
    <x v="0"/>
    <x v="0"/>
    <x v="0"/>
    <x v="0"/>
    <x v="0"/>
    <x v="0"/>
    <x v="0"/>
    <x v="0"/>
    <x v="0"/>
    <x v="0"/>
    <x v="0"/>
    <x v="0"/>
    <x v="0"/>
    <x v="0"/>
    <x v="0"/>
    <x v="0"/>
    <x v="0"/>
    <x v="0"/>
    <x v="0"/>
  </r>
  <r>
    <x v="13"/>
    <x v="13"/>
    <x v="0"/>
    <x v="0"/>
    <x v="0"/>
    <x v="0"/>
    <x v="0"/>
    <x v="0"/>
    <x v="0"/>
    <x v="0"/>
    <x v="0"/>
    <x v="0"/>
    <x v="0"/>
    <x v="0"/>
    <x v="0"/>
    <x v="0"/>
    <x v="0"/>
    <x v="0"/>
    <x v="0"/>
    <x v="0"/>
    <x v="0"/>
    <x v="0"/>
    <x v="0"/>
    <x v="0"/>
    <x v="0"/>
    <x v="0"/>
  </r>
  <r>
    <x v="68"/>
    <x v="68"/>
    <x v="0"/>
    <x v="0"/>
    <x v="0"/>
    <x v="0"/>
    <x v="0"/>
    <x v="0"/>
    <x v="0"/>
    <x v="0"/>
    <x v="0"/>
    <x v="0"/>
    <x v="0"/>
    <x v="0"/>
    <x v="0"/>
    <x v="0"/>
    <x v="0"/>
    <x v="0"/>
    <x v="0"/>
    <x v="0"/>
    <x v="0"/>
    <x v="0"/>
    <x v="0"/>
    <x v="0"/>
    <x v="0"/>
    <x v="0"/>
  </r>
  <r>
    <x v="10"/>
    <x v="10"/>
    <x v="0"/>
    <x v="0"/>
    <x v="0"/>
    <x v="0"/>
    <x v="0"/>
    <x v="0"/>
    <x v="0"/>
    <x v="0"/>
    <x v="0"/>
    <x v="0"/>
    <x v="0"/>
    <x v="0"/>
    <x v="0"/>
    <x v="0"/>
    <x v="0"/>
    <x v="0"/>
    <x v="0"/>
    <x v="0"/>
    <x v="0"/>
    <x v="0"/>
    <x v="0"/>
    <x v="0"/>
    <x v="0"/>
    <x v="0"/>
  </r>
  <r>
    <x v="5"/>
    <x v="5"/>
    <x v="0"/>
    <x v="0"/>
    <x v="0"/>
    <x v="0"/>
    <x v="0"/>
    <x v="0"/>
    <x v="0"/>
    <x v="0"/>
    <x v="0"/>
    <x v="0"/>
    <x v="0"/>
    <x v="0"/>
    <x v="0"/>
    <x v="0"/>
    <x v="0"/>
    <x v="0"/>
    <x v="0"/>
    <x v="0"/>
    <x v="0"/>
    <x v="0"/>
    <x v="0"/>
    <x v="0"/>
    <x v="0"/>
    <x v="0"/>
  </r>
  <r>
    <x v="7"/>
    <x v="7"/>
    <x v="0"/>
    <x v="0"/>
    <x v="0"/>
    <x v="0"/>
    <x v="0"/>
    <x v="0"/>
    <x v="0"/>
    <x v="0"/>
    <x v="0"/>
    <x v="0"/>
    <x v="0"/>
    <x v="0"/>
    <x v="0"/>
    <x v="0"/>
    <x v="0"/>
    <x v="0"/>
    <x v="0"/>
    <x v="0"/>
    <x v="0"/>
    <x v="0"/>
    <x v="0"/>
    <x v="0"/>
    <x v="0"/>
    <x v="0"/>
  </r>
  <r>
    <x v="2"/>
    <x v="2"/>
    <x v="0"/>
    <x v="0"/>
    <x v="0"/>
    <x v="0"/>
    <x v="0"/>
    <x v="0"/>
    <x v="0"/>
    <x v="0"/>
    <x v="0"/>
    <x v="0"/>
    <x v="0"/>
    <x v="0"/>
    <x v="0"/>
    <x v="0"/>
    <x v="0"/>
    <x v="0"/>
    <x v="0"/>
    <x v="0"/>
    <x v="0"/>
    <x v="0"/>
    <x v="0"/>
    <x v="0"/>
    <x v="0"/>
    <x v="0"/>
  </r>
  <r>
    <x v="14"/>
    <x v="14"/>
    <x v="0"/>
    <x v="0"/>
    <x v="0"/>
    <x v="0"/>
    <x v="0"/>
    <x v="0"/>
    <x v="0"/>
    <x v="0"/>
    <x v="0"/>
    <x v="0"/>
    <x v="0"/>
    <x v="0"/>
    <x v="0"/>
    <x v="0"/>
    <x v="0"/>
    <x v="0"/>
    <x v="0"/>
    <x v="0"/>
    <x v="0"/>
    <x v="0"/>
    <x v="0"/>
    <x v="0"/>
    <x v="0"/>
    <x v="0"/>
  </r>
  <r>
    <x v="4"/>
    <x v="4"/>
    <x v="0"/>
    <x v="0"/>
    <x v="0"/>
    <x v="0"/>
    <x v="0"/>
    <x v="0"/>
    <x v="0"/>
    <x v="0"/>
    <x v="0"/>
    <x v="0"/>
    <x v="0"/>
    <x v="0"/>
    <x v="0"/>
    <x v="0"/>
    <x v="0"/>
    <x v="0"/>
    <x v="0"/>
    <x v="0"/>
    <x v="0"/>
    <x v="0"/>
    <x v="0"/>
    <x v="0"/>
    <x v="0"/>
    <x v="0"/>
  </r>
  <r>
    <x v="15"/>
    <x v="15"/>
    <x v="0"/>
    <x v="0"/>
    <x v="0"/>
    <x v="0"/>
    <x v="0"/>
    <x v="0"/>
    <x v="0"/>
    <x v="0"/>
    <x v="0"/>
    <x v="0"/>
    <x v="0"/>
    <x v="0"/>
    <x v="0"/>
    <x v="0"/>
    <x v="0"/>
    <x v="0"/>
    <x v="0"/>
    <x v="0"/>
    <x v="0"/>
    <x v="0"/>
    <x v="0"/>
    <x v="0"/>
    <x v="0"/>
    <x v="0"/>
  </r>
  <r>
    <x v="67"/>
    <x v="67"/>
    <x v="0"/>
    <x v="0"/>
    <x v="0"/>
    <x v="0"/>
    <x v="0"/>
    <x v="0"/>
    <x v="0"/>
    <x v="0"/>
    <x v="0"/>
    <x v="0"/>
    <x v="0"/>
    <x v="0"/>
    <x v="0"/>
    <x v="0"/>
    <x v="0"/>
    <x v="0"/>
    <x v="0"/>
    <x v="0"/>
    <x v="0"/>
    <x v="0"/>
    <x v="0"/>
    <x v="0"/>
    <x v="0"/>
    <x v="0"/>
  </r>
  <r>
    <x v="61"/>
    <x v="61"/>
    <x v="0"/>
    <x v="0"/>
    <x v="0"/>
    <x v="0"/>
    <x v="0"/>
    <x v="0"/>
    <x v="0"/>
    <x v="0"/>
    <x v="0"/>
    <x v="0"/>
    <x v="0"/>
    <x v="0"/>
    <x v="0"/>
    <x v="0"/>
    <x v="0"/>
    <x v="0"/>
    <x v="0"/>
    <x v="0"/>
    <x v="0"/>
    <x v="0"/>
    <x v="0"/>
    <x v="0"/>
    <x v="0"/>
    <x v="0"/>
  </r>
  <r>
    <x v="65"/>
    <x v="65"/>
    <x v="18"/>
    <x v="0"/>
    <x v="0"/>
    <x v="1"/>
    <x v="0"/>
    <x v="0"/>
    <x v="0"/>
    <x v="0"/>
    <x v="0"/>
    <x v="0"/>
    <x v="0"/>
    <x v="0"/>
    <x v="0"/>
    <x v="0"/>
    <x v="0"/>
    <x v="0"/>
    <x v="0"/>
    <x v="0"/>
    <x v="0"/>
    <x v="0"/>
    <x v="0"/>
    <x v="0"/>
    <x v="0"/>
    <x v="0"/>
  </r>
  <r>
    <x v="63"/>
    <x v="63"/>
    <x v="3"/>
    <x v="0"/>
    <x v="0"/>
    <x v="1"/>
    <x v="0"/>
    <x v="0"/>
    <x v="0"/>
    <x v="0"/>
    <x v="0"/>
    <x v="0"/>
    <x v="0"/>
    <x v="0"/>
    <x v="0"/>
    <x v="0"/>
    <x v="0"/>
    <x v="0"/>
    <x v="0"/>
    <x v="0"/>
    <x v="0"/>
    <x v="0"/>
    <x v="0"/>
    <x v="0"/>
    <x v="0"/>
    <x v="0"/>
  </r>
  <r>
    <x v="66"/>
    <x v="66"/>
    <x v="3"/>
    <x v="0"/>
    <x v="0"/>
    <x v="1"/>
    <x v="0"/>
    <x v="0"/>
    <x v="0"/>
    <x v="0"/>
    <x v="0"/>
    <x v="0"/>
    <x v="0"/>
    <x v="0"/>
    <x v="0"/>
    <x v="0"/>
    <x v="0"/>
    <x v="0"/>
    <x v="0"/>
    <x v="0"/>
    <x v="0"/>
    <x v="0"/>
    <x v="0"/>
    <x v="0"/>
    <x v="0"/>
    <x v="0"/>
  </r>
  <r>
    <x v="64"/>
    <x v="64"/>
    <x v="0"/>
    <x v="0"/>
    <x v="0"/>
    <x v="0"/>
    <x v="0"/>
    <x v="0"/>
    <x v="0"/>
    <x v="0"/>
    <x v="0"/>
    <x v="0"/>
    <x v="0"/>
    <x v="0"/>
    <x v="0"/>
    <x v="0"/>
    <x v="0"/>
    <x v="0"/>
    <x v="0"/>
    <x v="0"/>
    <x v="0"/>
    <x v="0"/>
    <x v="0"/>
    <x v="0"/>
    <x v="0"/>
    <x v="0"/>
  </r>
  <r>
    <x v="60"/>
    <x v="60"/>
    <x v="36"/>
    <x v="0"/>
    <x v="0"/>
    <x v="1"/>
    <x v="0"/>
    <x v="0"/>
    <x v="0"/>
    <x v="0"/>
    <x v="0"/>
    <x v="0"/>
    <x v="0"/>
    <x v="0"/>
    <x v="0"/>
    <x v="0"/>
    <x v="0"/>
    <x v="0"/>
    <x v="0"/>
    <x v="0"/>
    <x v="0"/>
    <x v="0"/>
    <x v="0"/>
    <x v="0"/>
    <x v="0"/>
    <x v="0"/>
  </r>
  <r>
    <x v="53"/>
    <x v="53"/>
    <x v="5"/>
    <x v="0"/>
    <x v="1"/>
    <x v="8"/>
    <x v="27"/>
    <x v="36"/>
    <x v="7"/>
    <x v="0"/>
    <x v="0"/>
    <x v="4"/>
    <x v="0"/>
    <x v="0"/>
    <x v="0"/>
    <x v="0"/>
    <x v="0"/>
    <x v="0"/>
    <x v="0"/>
    <x v="1"/>
    <x v="0"/>
    <x v="0"/>
    <x v="0"/>
    <x v="0"/>
    <x v="0"/>
    <x v="0"/>
  </r>
  <r>
    <x v="68"/>
    <x v="68"/>
    <x v="0"/>
    <x v="0"/>
    <x v="0"/>
    <x v="0"/>
    <x v="0"/>
    <x v="0"/>
    <x v="0"/>
    <x v="0"/>
    <x v="0"/>
    <x v="0"/>
    <x v="0"/>
    <x v="0"/>
    <x v="0"/>
    <x v="0"/>
    <x v="0"/>
    <x v="0"/>
    <x v="0"/>
    <x v="0"/>
    <x v="0"/>
    <x v="0"/>
    <x v="0"/>
    <x v="0"/>
    <x v="0"/>
    <x v="0"/>
  </r>
  <r>
    <x v="48"/>
    <x v="48"/>
    <x v="0"/>
    <x v="0"/>
    <x v="0"/>
    <x v="0"/>
    <x v="0"/>
    <x v="0"/>
    <x v="0"/>
    <x v="0"/>
    <x v="0"/>
    <x v="0"/>
    <x v="0"/>
    <x v="0"/>
    <x v="0"/>
    <x v="0"/>
    <x v="0"/>
    <x v="0"/>
    <x v="0"/>
    <x v="0"/>
    <x v="0"/>
    <x v="0"/>
    <x v="0"/>
    <x v="0"/>
    <x v="0"/>
    <x v="0"/>
  </r>
  <r>
    <x v="48"/>
    <x v="48"/>
    <x v="37"/>
    <x v="26"/>
    <x v="1"/>
    <x v="9"/>
    <x v="28"/>
    <x v="37"/>
    <x v="8"/>
    <x v="35"/>
    <x v="18"/>
    <x v="19"/>
    <x v="3"/>
    <x v="3"/>
    <x v="8"/>
    <x v="3"/>
    <x v="8"/>
    <x v="3"/>
    <x v="0"/>
    <x v="1"/>
    <x v="0"/>
    <x v="0"/>
    <x v="0"/>
    <x v="0"/>
    <x v="0"/>
    <x v="0"/>
  </r>
  <r>
    <x v="68"/>
    <x v="68"/>
    <x v="9"/>
    <x v="27"/>
    <x v="0"/>
    <x v="1"/>
    <x v="29"/>
    <x v="38"/>
    <x v="0"/>
    <x v="36"/>
    <x v="0"/>
    <x v="4"/>
    <x v="0"/>
    <x v="0"/>
    <x v="0"/>
    <x v="0"/>
    <x v="0"/>
    <x v="0"/>
    <x v="0"/>
    <x v="1"/>
    <x v="0"/>
    <x v="0"/>
    <x v="0"/>
    <x v="0"/>
    <x v="0"/>
    <x v="0"/>
  </r>
  <r>
    <x v="51"/>
    <x v="51"/>
    <x v="38"/>
    <x v="3"/>
    <x v="1"/>
    <x v="10"/>
    <x v="30"/>
    <x v="39"/>
    <x v="9"/>
    <x v="37"/>
    <x v="19"/>
    <x v="20"/>
    <x v="5"/>
    <x v="5"/>
    <x v="15"/>
    <x v="1"/>
    <x v="14"/>
    <x v="1"/>
    <x v="0"/>
    <x v="1"/>
    <x v="0"/>
    <x v="0"/>
    <x v="0"/>
    <x v="0"/>
    <x v="0"/>
    <x v="0"/>
  </r>
  <r>
    <x v="67"/>
    <x v="67"/>
    <x v="39"/>
    <x v="28"/>
    <x v="1"/>
    <x v="11"/>
    <x v="4"/>
    <x v="40"/>
    <x v="10"/>
    <x v="38"/>
    <x v="20"/>
    <x v="21"/>
    <x v="3"/>
    <x v="3"/>
    <x v="6"/>
    <x v="3"/>
    <x v="5"/>
    <x v="3"/>
    <x v="0"/>
    <x v="1"/>
    <x v="0"/>
    <x v="0"/>
    <x v="0"/>
    <x v="0"/>
    <x v="0"/>
    <x v="0"/>
  </r>
  <r>
    <x v="6"/>
    <x v="6"/>
    <x v="40"/>
    <x v="3"/>
    <x v="0"/>
    <x v="1"/>
    <x v="31"/>
    <x v="41"/>
    <x v="0"/>
    <x v="39"/>
    <x v="21"/>
    <x v="22"/>
    <x v="4"/>
    <x v="4"/>
    <x v="16"/>
    <x v="4"/>
    <x v="15"/>
    <x v="5"/>
    <x v="0"/>
    <x v="1"/>
    <x v="0"/>
    <x v="0"/>
    <x v="0"/>
    <x v="0"/>
    <x v="0"/>
    <x v="0"/>
  </r>
  <r>
    <x v="69"/>
    <x v="69"/>
    <x v="31"/>
    <x v="29"/>
    <x v="0"/>
    <x v="1"/>
    <x v="32"/>
    <x v="42"/>
    <x v="0"/>
    <x v="40"/>
    <x v="22"/>
    <x v="23"/>
    <x v="1"/>
    <x v="1"/>
    <x v="17"/>
    <x v="1"/>
    <x v="16"/>
    <x v="1"/>
    <x v="0"/>
    <x v="1"/>
    <x v="0"/>
    <x v="0"/>
    <x v="0"/>
    <x v="0"/>
    <x v="0"/>
    <x v="0"/>
  </r>
  <r>
    <x v="70"/>
    <x v="70"/>
    <x v="22"/>
    <x v="30"/>
    <x v="0"/>
    <x v="1"/>
    <x v="33"/>
    <x v="43"/>
    <x v="0"/>
    <x v="41"/>
    <x v="0"/>
    <x v="4"/>
    <x v="0"/>
    <x v="0"/>
    <x v="0"/>
    <x v="0"/>
    <x v="0"/>
    <x v="0"/>
    <x v="0"/>
    <x v="1"/>
    <x v="0"/>
    <x v="0"/>
    <x v="0"/>
    <x v="0"/>
    <x v="0"/>
    <x v="0"/>
  </r>
  <r>
    <x v="71"/>
    <x v="71"/>
    <x v="21"/>
    <x v="14"/>
    <x v="0"/>
    <x v="1"/>
    <x v="34"/>
    <x v="44"/>
    <x v="0"/>
    <x v="42"/>
    <x v="0"/>
    <x v="4"/>
    <x v="0"/>
    <x v="0"/>
    <x v="0"/>
    <x v="0"/>
    <x v="0"/>
    <x v="0"/>
    <x v="0"/>
    <x v="1"/>
    <x v="0"/>
    <x v="0"/>
    <x v="0"/>
    <x v="0"/>
    <x v="0"/>
    <x v="0"/>
  </r>
  <r>
    <x v="72"/>
    <x v="72"/>
    <x v="41"/>
    <x v="31"/>
    <x v="0"/>
    <x v="1"/>
    <x v="14"/>
    <x v="45"/>
    <x v="0"/>
    <x v="43"/>
    <x v="0"/>
    <x v="4"/>
    <x v="0"/>
    <x v="0"/>
    <x v="0"/>
    <x v="0"/>
    <x v="0"/>
    <x v="0"/>
    <x v="0"/>
    <x v="1"/>
    <x v="0"/>
    <x v="0"/>
    <x v="0"/>
    <x v="0"/>
    <x v="0"/>
    <x v="0"/>
  </r>
  <r>
    <x v="73"/>
    <x v="73"/>
    <x v="36"/>
    <x v="16"/>
    <x v="0"/>
    <x v="1"/>
    <x v="35"/>
    <x v="46"/>
    <x v="0"/>
    <x v="44"/>
    <x v="0"/>
    <x v="4"/>
    <x v="0"/>
    <x v="0"/>
    <x v="0"/>
    <x v="0"/>
    <x v="0"/>
    <x v="0"/>
    <x v="0"/>
    <x v="1"/>
    <x v="0"/>
    <x v="0"/>
    <x v="0"/>
    <x v="0"/>
    <x v="0"/>
    <x v="0"/>
  </r>
  <r>
    <x v="74"/>
    <x v="74"/>
    <x v="42"/>
    <x v="16"/>
    <x v="0"/>
    <x v="1"/>
    <x v="13"/>
    <x v="47"/>
    <x v="0"/>
    <x v="45"/>
    <x v="0"/>
    <x v="4"/>
    <x v="0"/>
    <x v="0"/>
    <x v="0"/>
    <x v="0"/>
    <x v="0"/>
    <x v="0"/>
    <x v="0"/>
    <x v="1"/>
    <x v="0"/>
    <x v="0"/>
    <x v="0"/>
    <x v="0"/>
    <x v="0"/>
    <x v="0"/>
  </r>
  <r>
    <x v="75"/>
    <x v="75"/>
    <x v="3"/>
    <x v="0"/>
    <x v="0"/>
    <x v="1"/>
    <x v="0"/>
    <x v="0"/>
    <x v="0"/>
    <x v="0"/>
    <x v="0"/>
    <x v="0"/>
    <x v="0"/>
    <x v="0"/>
    <x v="0"/>
    <x v="0"/>
    <x v="0"/>
    <x v="0"/>
    <x v="0"/>
    <x v="0"/>
    <x v="0"/>
    <x v="0"/>
    <x v="0"/>
    <x v="0"/>
    <x v="0"/>
    <x v="0"/>
  </r>
  <r>
    <x v="76"/>
    <x v="76"/>
    <x v="43"/>
    <x v="32"/>
    <x v="3"/>
    <x v="12"/>
    <x v="36"/>
    <x v="48"/>
    <x v="11"/>
    <x v="46"/>
    <x v="0"/>
    <x v="4"/>
    <x v="0"/>
    <x v="0"/>
    <x v="0"/>
    <x v="0"/>
    <x v="0"/>
    <x v="0"/>
    <x v="0"/>
    <x v="1"/>
    <x v="0"/>
    <x v="0"/>
    <x v="0"/>
    <x v="0"/>
    <x v="0"/>
    <x v="0"/>
  </r>
  <r>
    <x v="77"/>
    <x v="77"/>
    <x v="44"/>
    <x v="33"/>
    <x v="0"/>
    <x v="1"/>
    <x v="0"/>
    <x v="49"/>
    <x v="0"/>
    <x v="47"/>
    <x v="0"/>
    <x v="4"/>
    <x v="0"/>
    <x v="0"/>
    <x v="0"/>
    <x v="0"/>
    <x v="0"/>
    <x v="0"/>
    <x v="0"/>
    <x v="1"/>
    <x v="0"/>
    <x v="0"/>
    <x v="0"/>
    <x v="0"/>
    <x v="0"/>
    <x v="0"/>
  </r>
  <r>
    <x v="78"/>
    <x v="78"/>
    <x v="45"/>
    <x v="34"/>
    <x v="4"/>
    <x v="0"/>
    <x v="37"/>
    <x v="50"/>
    <x v="0"/>
    <x v="0"/>
    <x v="0"/>
    <x v="0"/>
    <x v="6"/>
    <x v="7"/>
    <x v="18"/>
    <x v="5"/>
    <x v="17"/>
    <x v="6"/>
    <x v="0"/>
    <x v="0"/>
    <x v="2"/>
    <x v="2"/>
    <x v="2"/>
    <x v="2"/>
    <x v="2"/>
    <x v="2"/>
  </r>
</pivotCacheRecords>
</file>

<file path=xl/pivotCache/pivotCacheRecords8.xml><?xml version="1.0" encoding="utf-8"?>
<pivotCacheRecords xmlns="http://schemas.openxmlformats.org/spreadsheetml/2006/main" xmlns:r="http://schemas.openxmlformats.org/officeDocument/2006/relationships" count="143">
  <r>
    <x v="0"/>
    <x v="0"/>
    <x v="0"/>
    <x v="0"/>
    <x v="0"/>
    <x v="0"/>
    <x v="0"/>
    <x v="0"/>
    <x v="0"/>
    <x v="0"/>
    <x v="0"/>
    <x v="0"/>
    <x v="0"/>
    <x v="0"/>
    <x v="0"/>
    <x v="0"/>
    <x v="0"/>
    <x v="0"/>
    <x v="0"/>
    <x v="0"/>
    <x v="0"/>
    <x v="0"/>
    <x v="0"/>
    <x v="0"/>
    <x v="0"/>
    <x v="0"/>
  </r>
  <r>
    <x v="1"/>
    <x v="1"/>
    <x v="1"/>
    <x v="0"/>
    <x v="0"/>
    <x v="1"/>
    <x v="0"/>
    <x v="0"/>
    <x v="0"/>
    <x v="0"/>
    <x v="0"/>
    <x v="0"/>
    <x v="0"/>
    <x v="0"/>
    <x v="0"/>
    <x v="0"/>
    <x v="0"/>
    <x v="0"/>
    <x v="0"/>
    <x v="0"/>
    <x v="0"/>
    <x v="0"/>
    <x v="0"/>
    <x v="0"/>
    <x v="0"/>
    <x v="0"/>
  </r>
  <r>
    <x v="2"/>
    <x v="2"/>
    <x v="0"/>
    <x v="0"/>
    <x v="0"/>
    <x v="0"/>
    <x v="0"/>
    <x v="0"/>
    <x v="0"/>
    <x v="0"/>
    <x v="0"/>
    <x v="0"/>
    <x v="0"/>
    <x v="0"/>
    <x v="0"/>
    <x v="0"/>
    <x v="0"/>
    <x v="0"/>
    <x v="0"/>
    <x v="0"/>
    <x v="0"/>
    <x v="0"/>
    <x v="0"/>
    <x v="0"/>
    <x v="0"/>
    <x v="0"/>
  </r>
  <r>
    <x v="3"/>
    <x v="3"/>
    <x v="2"/>
    <x v="0"/>
    <x v="0"/>
    <x v="1"/>
    <x v="0"/>
    <x v="0"/>
    <x v="0"/>
    <x v="0"/>
    <x v="0"/>
    <x v="0"/>
    <x v="0"/>
    <x v="0"/>
    <x v="0"/>
    <x v="0"/>
    <x v="0"/>
    <x v="0"/>
    <x v="0"/>
    <x v="0"/>
    <x v="0"/>
    <x v="0"/>
    <x v="0"/>
    <x v="0"/>
    <x v="0"/>
    <x v="0"/>
  </r>
  <r>
    <x v="4"/>
    <x v="4"/>
    <x v="3"/>
    <x v="0"/>
    <x v="0"/>
    <x v="1"/>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9"/>
    <x v="9"/>
    <x v="4"/>
    <x v="0"/>
    <x v="0"/>
    <x v="1"/>
    <x v="0"/>
    <x v="0"/>
    <x v="0"/>
    <x v="0"/>
    <x v="0"/>
    <x v="0"/>
    <x v="0"/>
    <x v="0"/>
    <x v="0"/>
    <x v="0"/>
    <x v="0"/>
    <x v="0"/>
    <x v="0"/>
    <x v="0"/>
    <x v="0"/>
    <x v="0"/>
    <x v="0"/>
    <x v="0"/>
    <x v="0"/>
    <x v="0"/>
  </r>
  <r>
    <x v="10"/>
    <x v="10"/>
    <x v="5"/>
    <x v="0"/>
    <x v="0"/>
    <x v="1"/>
    <x v="0"/>
    <x v="0"/>
    <x v="0"/>
    <x v="0"/>
    <x v="0"/>
    <x v="0"/>
    <x v="0"/>
    <x v="0"/>
    <x v="0"/>
    <x v="0"/>
    <x v="0"/>
    <x v="0"/>
    <x v="0"/>
    <x v="0"/>
    <x v="0"/>
    <x v="0"/>
    <x v="0"/>
    <x v="0"/>
    <x v="0"/>
    <x v="0"/>
  </r>
  <r>
    <x v="11"/>
    <x v="11"/>
    <x v="6"/>
    <x v="0"/>
    <x v="0"/>
    <x v="1"/>
    <x v="0"/>
    <x v="0"/>
    <x v="0"/>
    <x v="0"/>
    <x v="0"/>
    <x v="0"/>
    <x v="0"/>
    <x v="0"/>
    <x v="0"/>
    <x v="0"/>
    <x v="0"/>
    <x v="0"/>
    <x v="0"/>
    <x v="0"/>
    <x v="0"/>
    <x v="0"/>
    <x v="0"/>
    <x v="0"/>
    <x v="0"/>
    <x v="0"/>
  </r>
  <r>
    <x v="12"/>
    <x v="12"/>
    <x v="3"/>
    <x v="0"/>
    <x v="0"/>
    <x v="1"/>
    <x v="0"/>
    <x v="0"/>
    <x v="0"/>
    <x v="0"/>
    <x v="0"/>
    <x v="0"/>
    <x v="0"/>
    <x v="0"/>
    <x v="0"/>
    <x v="0"/>
    <x v="0"/>
    <x v="0"/>
    <x v="0"/>
    <x v="0"/>
    <x v="0"/>
    <x v="0"/>
    <x v="0"/>
    <x v="0"/>
    <x v="0"/>
    <x v="0"/>
  </r>
  <r>
    <x v="13"/>
    <x v="13"/>
    <x v="7"/>
    <x v="0"/>
    <x v="0"/>
    <x v="1"/>
    <x v="0"/>
    <x v="0"/>
    <x v="0"/>
    <x v="0"/>
    <x v="0"/>
    <x v="0"/>
    <x v="0"/>
    <x v="0"/>
    <x v="0"/>
    <x v="0"/>
    <x v="0"/>
    <x v="0"/>
    <x v="0"/>
    <x v="0"/>
    <x v="0"/>
    <x v="0"/>
    <x v="0"/>
    <x v="0"/>
    <x v="0"/>
    <x v="0"/>
  </r>
  <r>
    <x v="14"/>
    <x v="14"/>
    <x v="8"/>
    <x v="0"/>
    <x v="0"/>
    <x v="1"/>
    <x v="0"/>
    <x v="0"/>
    <x v="0"/>
    <x v="0"/>
    <x v="0"/>
    <x v="0"/>
    <x v="0"/>
    <x v="0"/>
    <x v="0"/>
    <x v="0"/>
    <x v="0"/>
    <x v="0"/>
    <x v="0"/>
    <x v="0"/>
    <x v="0"/>
    <x v="0"/>
    <x v="0"/>
    <x v="0"/>
    <x v="0"/>
    <x v="0"/>
  </r>
  <r>
    <x v="15"/>
    <x v="15"/>
    <x v="7"/>
    <x v="0"/>
    <x v="0"/>
    <x v="1"/>
    <x v="0"/>
    <x v="0"/>
    <x v="0"/>
    <x v="0"/>
    <x v="0"/>
    <x v="0"/>
    <x v="0"/>
    <x v="0"/>
    <x v="0"/>
    <x v="0"/>
    <x v="0"/>
    <x v="0"/>
    <x v="0"/>
    <x v="0"/>
    <x v="0"/>
    <x v="0"/>
    <x v="0"/>
    <x v="0"/>
    <x v="0"/>
    <x v="0"/>
  </r>
  <r>
    <x v="9"/>
    <x v="9"/>
    <x v="9"/>
    <x v="1"/>
    <x v="0"/>
    <x v="1"/>
    <x v="1"/>
    <x v="1"/>
    <x v="0"/>
    <x v="1"/>
    <x v="1"/>
    <x v="1"/>
    <x v="1"/>
    <x v="1"/>
    <x v="1"/>
    <x v="1"/>
    <x v="1"/>
    <x v="1"/>
    <x v="0"/>
    <x v="1"/>
    <x v="0"/>
    <x v="0"/>
    <x v="0"/>
    <x v="0"/>
    <x v="0"/>
    <x v="0"/>
  </r>
  <r>
    <x v="10"/>
    <x v="10"/>
    <x v="10"/>
    <x v="2"/>
    <x v="0"/>
    <x v="1"/>
    <x v="2"/>
    <x v="2"/>
    <x v="0"/>
    <x v="2"/>
    <x v="2"/>
    <x v="2"/>
    <x v="2"/>
    <x v="2"/>
    <x v="2"/>
    <x v="1"/>
    <x v="2"/>
    <x v="1"/>
    <x v="0"/>
    <x v="1"/>
    <x v="0"/>
    <x v="0"/>
    <x v="0"/>
    <x v="0"/>
    <x v="0"/>
    <x v="0"/>
  </r>
  <r>
    <x v="11"/>
    <x v="11"/>
    <x v="11"/>
    <x v="3"/>
    <x v="1"/>
    <x v="2"/>
    <x v="3"/>
    <x v="3"/>
    <x v="1"/>
    <x v="3"/>
    <x v="3"/>
    <x v="3"/>
    <x v="3"/>
    <x v="3"/>
    <x v="3"/>
    <x v="2"/>
    <x v="3"/>
    <x v="2"/>
    <x v="0"/>
    <x v="1"/>
    <x v="0"/>
    <x v="0"/>
    <x v="0"/>
    <x v="0"/>
    <x v="0"/>
    <x v="0"/>
  </r>
  <r>
    <x v="12"/>
    <x v="12"/>
    <x v="12"/>
    <x v="4"/>
    <x v="1"/>
    <x v="3"/>
    <x v="4"/>
    <x v="4"/>
    <x v="2"/>
    <x v="4"/>
    <x v="4"/>
    <x v="4"/>
    <x v="1"/>
    <x v="1"/>
    <x v="4"/>
    <x v="3"/>
    <x v="4"/>
    <x v="3"/>
    <x v="0"/>
    <x v="1"/>
    <x v="0"/>
    <x v="0"/>
    <x v="0"/>
    <x v="0"/>
    <x v="0"/>
    <x v="0"/>
  </r>
  <r>
    <x v="16"/>
    <x v="16"/>
    <x v="0"/>
    <x v="0"/>
    <x v="0"/>
    <x v="0"/>
    <x v="0"/>
    <x v="0"/>
    <x v="0"/>
    <x v="0"/>
    <x v="0"/>
    <x v="0"/>
    <x v="0"/>
    <x v="0"/>
    <x v="0"/>
    <x v="0"/>
    <x v="0"/>
    <x v="0"/>
    <x v="0"/>
    <x v="0"/>
    <x v="0"/>
    <x v="0"/>
    <x v="0"/>
    <x v="0"/>
    <x v="0"/>
    <x v="0"/>
  </r>
  <r>
    <x v="13"/>
    <x v="13"/>
    <x v="13"/>
    <x v="5"/>
    <x v="2"/>
    <x v="4"/>
    <x v="5"/>
    <x v="5"/>
    <x v="3"/>
    <x v="5"/>
    <x v="5"/>
    <x v="5"/>
    <x v="4"/>
    <x v="4"/>
    <x v="5"/>
    <x v="4"/>
    <x v="5"/>
    <x v="4"/>
    <x v="0"/>
    <x v="1"/>
    <x v="0"/>
    <x v="0"/>
    <x v="0"/>
    <x v="0"/>
    <x v="0"/>
    <x v="0"/>
  </r>
  <r>
    <x v="0"/>
    <x v="0"/>
    <x v="0"/>
    <x v="0"/>
    <x v="0"/>
    <x v="0"/>
    <x v="0"/>
    <x v="0"/>
    <x v="0"/>
    <x v="0"/>
    <x v="0"/>
    <x v="0"/>
    <x v="0"/>
    <x v="0"/>
    <x v="0"/>
    <x v="0"/>
    <x v="0"/>
    <x v="0"/>
    <x v="0"/>
    <x v="0"/>
    <x v="0"/>
    <x v="0"/>
    <x v="0"/>
    <x v="0"/>
    <x v="0"/>
    <x v="0"/>
  </r>
  <r>
    <x v="3"/>
    <x v="3"/>
    <x v="14"/>
    <x v="6"/>
    <x v="1"/>
    <x v="5"/>
    <x v="6"/>
    <x v="6"/>
    <x v="4"/>
    <x v="6"/>
    <x v="6"/>
    <x v="6"/>
    <x v="5"/>
    <x v="5"/>
    <x v="6"/>
    <x v="4"/>
    <x v="6"/>
    <x v="5"/>
    <x v="0"/>
    <x v="1"/>
    <x v="0"/>
    <x v="0"/>
    <x v="0"/>
    <x v="0"/>
    <x v="0"/>
    <x v="0"/>
  </r>
  <r>
    <x v="2"/>
    <x v="2"/>
    <x v="0"/>
    <x v="0"/>
    <x v="0"/>
    <x v="0"/>
    <x v="0"/>
    <x v="0"/>
    <x v="0"/>
    <x v="0"/>
    <x v="0"/>
    <x v="0"/>
    <x v="0"/>
    <x v="0"/>
    <x v="0"/>
    <x v="0"/>
    <x v="0"/>
    <x v="0"/>
    <x v="0"/>
    <x v="0"/>
    <x v="0"/>
    <x v="0"/>
    <x v="0"/>
    <x v="0"/>
    <x v="0"/>
    <x v="0"/>
  </r>
  <r>
    <x v="14"/>
    <x v="14"/>
    <x v="15"/>
    <x v="7"/>
    <x v="2"/>
    <x v="6"/>
    <x v="4"/>
    <x v="7"/>
    <x v="5"/>
    <x v="7"/>
    <x v="7"/>
    <x v="7"/>
    <x v="6"/>
    <x v="3"/>
    <x v="7"/>
    <x v="5"/>
    <x v="7"/>
    <x v="2"/>
    <x v="0"/>
    <x v="1"/>
    <x v="0"/>
    <x v="0"/>
    <x v="0"/>
    <x v="0"/>
    <x v="0"/>
    <x v="0"/>
  </r>
  <r>
    <x v="4"/>
    <x v="4"/>
    <x v="16"/>
    <x v="6"/>
    <x v="0"/>
    <x v="1"/>
    <x v="7"/>
    <x v="8"/>
    <x v="0"/>
    <x v="8"/>
    <x v="8"/>
    <x v="8"/>
    <x v="1"/>
    <x v="1"/>
    <x v="1"/>
    <x v="1"/>
    <x v="1"/>
    <x v="1"/>
    <x v="0"/>
    <x v="1"/>
    <x v="0"/>
    <x v="0"/>
    <x v="0"/>
    <x v="0"/>
    <x v="0"/>
    <x v="0"/>
  </r>
  <r>
    <x v="15"/>
    <x v="15"/>
    <x v="17"/>
    <x v="8"/>
    <x v="0"/>
    <x v="1"/>
    <x v="8"/>
    <x v="9"/>
    <x v="0"/>
    <x v="9"/>
    <x v="9"/>
    <x v="9"/>
    <x v="7"/>
    <x v="6"/>
    <x v="8"/>
    <x v="6"/>
    <x v="8"/>
    <x v="6"/>
    <x v="0"/>
    <x v="1"/>
    <x v="0"/>
    <x v="0"/>
    <x v="0"/>
    <x v="0"/>
    <x v="0"/>
    <x v="0"/>
  </r>
  <r>
    <x v="8"/>
    <x v="8"/>
    <x v="18"/>
    <x v="9"/>
    <x v="0"/>
    <x v="1"/>
    <x v="9"/>
    <x v="10"/>
    <x v="0"/>
    <x v="10"/>
    <x v="10"/>
    <x v="10"/>
    <x v="4"/>
    <x v="4"/>
    <x v="9"/>
    <x v="4"/>
    <x v="9"/>
    <x v="4"/>
    <x v="0"/>
    <x v="1"/>
    <x v="0"/>
    <x v="0"/>
    <x v="0"/>
    <x v="0"/>
    <x v="0"/>
    <x v="0"/>
  </r>
  <r>
    <x v="5"/>
    <x v="5"/>
    <x v="19"/>
    <x v="10"/>
    <x v="1"/>
    <x v="7"/>
    <x v="10"/>
    <x v="11"/>
    <x v="6"/>
    <x v="11"/>
    <x v="11"/>
    <x v="11"/>
    <x v="2"/>
    <x v="2"/>
    <x v="10"/>
    <x v="7"/>
    <x v="10"/>
    <x v="7"/>
    <x v="0"/>
    <x v="1"/>
    <x v="0"/>
    <x v="0"/>
    <x v="0"/>
    <x v="0"/>
    <x v="0"/>
    <x v="0"/>
  </r>
  <r>
    <x v="17"/>
    <x v="17"/>
    <x v="20"/>
    <x v="11"/>
    <x v="0"/>
    <x v="1"/>
    <x v="11"/>
    <x v="12"/>
    <x v="0"/>
    <x v="12"/>
    <x v="0"/>
    <x v="12"/>
    <x v="0"/>
    <x v="0"/>
    <x v="0"/>
    <x v="0"/>
    <x v="0"/>
    <x v="0"/>
    <x v="0"/>
    <x v="1"/>
    <x v="0"/>
    <x v="0"/>
    <x v="0"/>
    <x v="0"/>
    <x v="0"/>
    <x v="0"/>
  </r>
  <r>
    <x v="18"/>
    <x v="18"/>
    <x v="21"/>
    <x v="12"/>
    <x v="0"/>
    <x v="1"/>
    <x v="12"/>
    <x v="13"/>
    <x v="0"/>
    <x v="13"/>
    <x v="0"/>
    <x v="12"/>
    <x v="0"/>
    <x v="0"/>
    <x v="0"/>
    <x v="0"/>
    <x v="0"/>
    <x v="0"/>
    <x v="0"/>
    <x v="1"/>
    <x v="0"/>
    <x v="0"/>
    <x v="0"/>
    <x v="0"/>
    <x v="0"/>
    <x v="0"/>
  </r>
  <r>
    <x v="19"/>
    <x v="19"/>
    <x v="22"/>
    <x v="13"/>
    <x v="0"/>
    <x v="1"/>
    <x v="12"/>
    <x v="14"/>
    <x v="0"/>
    <x v="14"/>
    <x v="0"/>
    <x v="12"/>
    <x v="0"/>
    <x v="0"/>
    <x v="0"/>
    <x v="0"/>
    <x v="0"/>
    <x v="0"/>
    <x v="0"/>
    <x v="1"/>
    <x v="0"/>
    <x v="0"/>
    <x v="0"/>
    <x v="0"/>
    <x v="0"/>
    <x v="0"/>
  </r>
  <r>
    <x v="20"/>
    <x v="20"/>
    <x v="23"/>
    <x v="14"/>
    <x v="0"/>
    <x v="1"/>
    <x v="13"/>
    <x v="15"/>
    <x v="0"/>
    <x v="15"/>
    <x v="0"/>
    <x v="12"/>
    <x v="0"/>
    <x v="0"/>
    <x v="0"/>
    <x v="0"/>
    <x v="0"/>
    <x v="0"/>
    <x v="0"/>
    <x v="1"/>
    <x v="0"/>
    <x v="0"/>
    <x v="0"/>
    <x v="0"/>
    <x v="0"/>
    <x v="0"/>
  </r>
  <r>
    <x v="21"/>
    <x v="21"/>
    <x v="24"/>
    <x v="14"/>
    <x v="0"/>
    <x v="1"/>
    <x v="14"/>
    <x v="16"/>
    <x v="0"/>
    <x v="16"/>
    <x v="0"/>
    <x v="12"/>
    <x v="0"/>
    <x v="0"/>
    <x v="0"/>
    <x v="0"/>
    <x v="0"/>
    <x v="0"/>
    <x v="0"/>
    <x v="1"/>
    <x v="0"/>
    <x v="0"/>
    <x v="0"/>
    <x v="0"/>
    <x v="0"/>
    <x v="0"/>
  </r>
  <r>
    <x v="22"/>
    <x v="22"/>
    <x v="0"/>
    <x v="0"/>
    <x v="0"/>
    <x v="0"/>
    <x v="0"/>
    <x v="0"/>
    <x v="0"/>
    <x v="0"/>
    <x v="0"/>
    <x v="0"/>
    <x v="0"/>
    <x v="0"/>
    <x v="0"/>
    <x v="0"/>
    <x v="0"/>
    <x v="0"/>
    <x v="0"/>
    <x v="0"/>
    <x v="0"/>
    <x v="0"/>
    <x v="0"/>
    <x v="0"/>
    <x v="0"/>
    <x v="0"/>
  </r>
  <r>
    <x v="23"/>
    <x v="23"/>
    <x v="0"/>
    <x v="0"/>
    <x v="0"/>
    <x v="0"/>
    <x v="0"/>
    <x v="0"/>
    <x v="0"/>
    <x v="0"/>
    <x v="0"/>
    <x v="0"/>
    <x v="0"/>
    <x v="0"/>
    <x v="0"/>
    <x v="0"/>
    <x v="0"/>
    <x v="0"/>
    <x v="0"/>
    <x v="0"/>
    <x v="0"/>
    <x v="0"/>
    <x v="0"/>
    <x v="0"/>
    <x v="0"/>
    <x v="0"/>
  </r>
  <r>
    <x v="24"/>
    <x v="24"/>
    <x v="25"/>
    <x v="15"/>
    <x v="0"/>
    <x v="1"/>
    <x v="13"/>
    <x v="17"/>
    <x v="0"/>
    <x v="17"/>
    <x v="0"/>
    <x v="12"/>
    <x v="0"/>
    <x v="0"/>
    <x v="0"/>
    <x v="0"/>
    <x v="0"/>
    <x v="0"/>
    <x v="0"/>
    <x v="1"/>
    <x v="0"/>
    <x v="0"/>
    <x v="0"/>
    <x v="0"/>
    <x v="0"/>
    <x v="0"/>
  </r>
  <r>
    <x v="25"/>
    <x v="25"/>
    <x v="0"/>
    <x v="0"/>
    <x v="0"/>
    <x v="0"/>
    <x v="0"/>
    <x v="0"/>
    <x v="0"/>
    <x v="0"/>
    <x v="0"/>
    <x v="0"/>
    <x v="0"/>
    <x v="0"/>
    <x v="0"/>
    <x v="0"/>
    <x v="0"/>
    <x v="0"/>
    <x v="0"/>
    <x v="0"/>
    <x v="0"/>
    <x v="0"/>
    <x v="0"/>
    <x v="0"/>
    <x v="0"/>
    <x v="0"/>
  </r>
  <r>
    <x v="26"/>
    <x v="26"/>
    <x v="26"/>
    <x v="16"/>
    <x v="1"/>
    <x v="8"/>
    <x v="15"/>
    <x v="18"/>
    <x v="7"/>
    <x v="18"/>
    <x v="0"/>
    <x v="12"/>
    <x v="0"/>
    <x v="0"/>
    <x v="0"/>
    <x v="0"/>
    <x v="0"/>
    <x v="0"/>
    <x v="0"/>
    <x v="1"/>
    <x v="0"/>
    <x v="0"/>
    <x v="0"/>
    <x v="0"/>
    <x v="0"/>
    <x v="0"/>
  </r>
  <r>
    <x v="27"/>
    <x v="27"/>
    <x v="4"/>
    <x v="17"/>
    <x v="0"/>
    <x v="1"/>
    <x v="16"/>
    <x v="19"/>
    <x v="0"/>
    <x v="19"/>
    <x v="0"/>
    <x v="12"/>
    <x v="0"/>
    <x v="0"/>
    <x v="0"/>
    <x v="0"/>
    <x v="0"/>
    <x v="0"/>
    <x v="0"/>
    <x v="1"/>
    <x v="0"/>
    <x v="0"/>
    <x v="0"/>
    <x v="0"/>
    <x v="0"/>
    <x v="0"/>
  </r>
  <r>
    <x v="28"/>
    <x v="28"/>
    <x v="7"/>
    <x v="18"/>
    <x v="0"/>
    <x v="1"/>
    <x v="17"/>
    <x v="20"/>
    <x v="0"/>
    <x v="20"/>
    <x v="0"/>
    <x v="12"/>
    <x v="0"/>
    <x v="0"/>
    <x v="0"/>
    <x v="0"/>
    <x v="0"/>
    <x v="0"/>
    <x v="0"/>
    <x v="1"/>
    <x v="0"/>
    <x v="0"/>
    <x v="0"/>
    <x v="0"/>
    <x v="0"/>
    <x v="0"/>
  </r>
  <r>
    <x v="29"/>
    <x v="29"/>
    <x v="27"/>
    <x v="19"/>
    <x v="0"/>
    <x v="1"/>
    <x v="18"/>
    <x v="21"/>
    <x v="0"/>
    <x v="21"/>
    <x v="0"/>
    <x v="12"/>
    <x v="0"/>
    <x v="0"/>
    <x v="0"/>
    <x v="0"/>
    <x v="0"/>
    <x v="0"/>
    <x v="0"/>
    <x v="1"/>
    <x v="0"/>
    <x v="0"/>
    <x v="0"/>
    <x v="0"/>
    <x v="0"/>
    <x v="0"/>
  </r>
  <r>
    <x v="30"/>
    <x v="30"/>
    <x v="28"/>
    <x v="20"/>
    <x v="0"/>
    <x v="1"/>
    <x v="19"/>
    <x v="22"/>
    <x v="0"/>
    <x v="22"/>
    <x v="12"/>
    <x v="13"/>
    <x v="1"/>
    <x v="1"/>
    <x v="11"/>
    <x v="3"/>
    <x v="11"/>
    <x v="3"/>
    <x v="0"/>
    <x v="1"/>
    <x v="0"/>
    <x v="0"/>
    <x v="0"/>
    <x v="0"/>
    <x v="0"/>
    <x v="0"/>
  </r>
  <r>
    <x v="31"/>
    <x v="31"/>
    <x v="21"/>
    <x v="11"/>
    <x v="0"/>
    <x v="1"/>
    <x v="20"/>
    <x v="23"/>
    <x v="0"/>
    <x v="23"/>
    <x v="0"/>
    <x v="12"/>
    <x v="0"/>
    <x v="0"/>
    <x v="0"/>
    <x v="0"/>
    <x v="0"/>
    <x v="0"/>
    <x v="0"/>
    <x v="1"/>
    <x v="0"/>
    <x v="0"/>
    <x v="0"/>
    <x v="0"/>
    <x v="0"/>
    <x v="0"/>
  </r>
  <r>
    <x v="32"/>
    <x v="32"/>
    <x v="25"/>
    <x v="21"/>
    <x v="0"/>
    <x v="1"/>
    <x v="21"/>
    <x v="24"/>
    <x v="0"/>
    <x v="24"/>
    <x v="0"/>
    <x v="12"/>
    <x v="0"/>
    <x v="0"/>
    <x v="0"/>
    <x v="0"/>
    <x v="0"/>
    <x v="0"/>
    <x v="0"/>
    <x v="1"/>
    <x v="0"/>
    <x v="0"/>
    <x v="0"/>
    <x v="0"/>
    <x v="0"/>
    <x v="0"/>
  </r>
  <r>
    <x v="33"/>
    <x v="33"/>
    <x v="24"/>
    <x v="13"/>
    <x v="0"/>
    <x v="1"/>
    <x v="13"/>
    <x v="25"/>
    <x v="0"/>
    <x v="25"/>
    <x v="0"/>
    <x v="12"/>
    <x v="0"/>
    <x v="0"/>
    <x v="0"/>
    <x v="0"/>
    <x v="0"/>
    <x v="0"/>
    <x v="0"/>
    <x v="1"/>
    <x v="0"/>
    <x v="0"/>
    <x v="0"/>
    <x v="0"/>
    <x v="0"/>
    <x v="0"/>
  </r>
  <r>
    <x v="34"/>
    <x v="34"/>
    <x v="22"/>
    <x v="14"/>
    <x v="0"/>
    <x v="1"/>
    <x v="17"/>
    <x v="26"/>
    <x v="0"/>
    <x v="26"/>
    <x v="0"/>
    <x v="12"/>
    <x v="0"/>
    <x v="0"/>
    <x v="0"/>
    <x v="0"/>
    <x v="0"/>
    <x v="0"/>
    <x v="0"/>
    <x v="1"/>
    <x v="0"/>
    <x v="0"/>
    <x v="0"/>
    <x v="0"/>
    <x v="0"/>
    <x v="0"/>
  </r>
  <r>
    <x v="35"/>
    <x v="35"/>
    <x v="23"/>
    <x v="18"/>
    <x v="0"/>
    <x v="1"/>
    <x v="17"/>
    <x v="27"/>
    <x v="0"/>
    <x v="27"/>
    <x v="0"/>
    <x v="12"/>
    <x v="0"/>
    <x v="0"/>
    <x v="0"/>
    <x v="0"/>
    <x v="0"/>
    <x v="0"/>
    <x v="0"/>
    <x v="1"/>
    <x v="0"/>
    <x v="0"/>
    <x v="0"/>
    <x v="0"/>
    <x v="0"/>
    <x v="0"/>
  </r>
  <r>
    <x v="36"/>
    <x v="36"/>
    <x v="29"/>
    <x v="17"/>
    <x v="0"/>
    <x v="1"/>
    <x v="14"/>
    <x v="28"/>
    <x v="0"/>
    <x v="28"/>
    <x v="0"/>
    <x v="12"/>
    <x v="0"/>
    <x v="0"/>
    <x v="0"/>
    <x v="0"/>
    <x v="0"/>
    <x v="0"/>
    <x v="0"/>
    <x v="1"/>
    <x v="0"/>
    <x v="0"/>
    <x v="0"/>
    <x v="0"/>
    <x v="0"/>
    <x v="0"/>
  </r>
  <r>
    <x v="37"/>
    <x v="37"/>
    <x v="7"/>
    <x v="18"/>
    <x v="0"/>
    <x v="1"/>
    <x v="22"/>
    <x v="29"/>
    <x v="0"/>
    <x v="29"/>
    <x v="0"/>
    <x v="12"/>
    <x v="0"/>
    <x v="0"/>
    <x v="0"/>
    <x v="0"/>
    <x v="0"/>
    <x v="0"/>
    <x v="0"/>
    <x v="1"/>
    <x v="0"/>
    <x v="0"/>
    <x v="0"/>
    <x v="0"/>
    <x v="0"/>
    <x v="0"/>
  </r>
  <r>
    <x v="38"/>
    <x v="38"/>
    <x v="1"/>
    <x v="0"/>
    <x v="0"/>
    <x v="1"/>
    <x v="0"/>
    <x v="0"/>
    <x v="0"/>
    <x v="0"/>
    <x v="0"/>
    <x v="0"/>
    <x v="0"/>
    <x v="0"/>
    <x v="0"/>
    <x v="0"/>
    <x v="0"/>
    <x v="0"/>
    <x v="0"/>
    <x v="0"/>
    <x v="0"/>
    <x v="0"/>
    <x v="0"/>
    <x v="0"/>
    <x v="0"/>
    <x v="0"/>
  </r>
  <r>
    <x v="39"/>
    <x v="39"/>
    <x v="29"/>
    <x v="18"/>
    <x v="0"/>
    <x v="1"/>
    <x v="23"/>
    <x v="30"/>
    <x v="0"/>
    <x v="30"/>
    <x v="0"/>
    <x v="12"/>
    <x v="0"/>
    <x v="0"/>
    <x v="0"/>
    <x v="0"/>
    <x v="0"/>
    <x v="0"/>
    <x v="0"/>
    <x v="1"/>
    <x v="0"/>
    <x v="0"/>
    <x v="0"/>
    <x v="0"/>
    <x v="0"/>
    <x v="0"/>
  </r>
  <r>
    <x v="40"/>
    <x v="40"/>
    <x v="22"/>
    <x v="13"/>
    <x v="0"/>
    <x v="1"/>
    <x v="13"/>
    <x v="31"/>
    <x v="0"/>
    <x v="31"/>
    <x v="0"/>
    <x v="12"/>
    <x v="0"/>
    <x v="0"/>
    <x v="0"/>
    <x v="0"/>
    <x v="0"/>
    <x v="0"/>
    <x v="0"/>
    <x v="1"/>
    <x v="0"/>
    <x v="0"/>
    <x v="0"/>
    <x v="0"/>
    <x v="0"/>
    <x v="0"/>
  </r>
  <r>
    <x v="41"/>
    <x v="41"/>
    <x v="7"/>
    <x v="14"/>
    <x v="0"/>
    <x v="1"/>
    <x v="14"/>
    <x v="32"/>
    <x v="0"/>
    <x v="32"/>
    <x v="0"/>
    <x v="12"/>
    <x v="0"/>
    <x v="0"/>
    <x v="0"/>
    <x v="0"/>
    <x v="0"/>
    <x v="0"/>
    <x v="0"/>
    <x v="1"/>
    <x v="0"/>
    <x v="0"/>
    <x v="0"/>
    <x v="0"/>
    <x v="0"/>
    <x v="0"/>
  </r>
  <r>
    <x v="42"/>
    <x v="42"/>
    <x v="1"/>
    <x v="22"/>
    <x v="0"/>
    <x v="1"/>
    <x v="0"/>
    <x v="33"/>
    <x v="0"/>
    <x v="33"/>
    <x v="0"/>
    <x v="12"/>
    <x v="0"/>
    <x v="0"/>
    <x v="0"/>
    <x v="0"/>
    <x v="0"/>
    <x v="0"/>
    <x v="0"/>
    <x v="1"/>
    <x v="0"/>
    <x v="0"/>
    <x v="0"/>
    <x v="0"/>
    <x v="0"/>
    <x v="0"/>
  </r>
  <r>
    <x v="43"/>
    <x v="43"/>
    <x v="30"/>
    <x v="14"/>
    <x v="0"/>
    <x v="1"/>
    <x v="24"/>
    <x v="34"/>
    <x v="0"/>
    <x v="34"/>
    <x v="0"/>
    <x v="12"/>
    <x v="0"/>
    <x v="0"/>
    <x v="0"/>
    <x v="0"/>
    <x v="0"/>
    <x v="0"/>
    <x v="0"/>
    <x v="1"/>
    <x v="0"/>
    <x v="0"/>
    <x v="0"/>
    <x v="0"/>
    <x v="0"/>
    <x v="0"/>
  </r>
  <r>
    <x v="44"/>
    <x v="44"/>
    <x v="25"/>
    <x v="14"/>
    <x v="0"/>
    <x v="1"/>
    <x v="25"/>
    <x v="35"/>
    <x v="0"/>
    <x v="35"/>
    <x v="0"/>
    <x v="12"/>
    <x v="0"/>
    <x v="0"/>
    <x v="0"/>
    <x v="0"/>
    <x v="0"/>
    <x v="0"/>
    <x v="0"/>
    <x v="1"/>
    <x v="0"/>
    <x v="0"/>
    <x v="0"/>
    <x v="0"/>
    <x v="0"/>
    <x v="0"/>
  </r>
  <r>
    <x v="45"/>
    <x v="45"/>
    <x v="0"/>
    <x v="0"/>
    <x v="0"/>
    <x v="0"/>
    <x v="0"/>
    <x v="0"/>
    <x v="0"/>
    <x v="0"/>
    <x v="0"/>
    <x v="0"/>
    <x v="0"/>
    <x v="0"/>
    <x v="0"/>
    <x v="0"/>
    <x v="0"/>
    <x v="0"/>
    <x v="0"/>
    <x v="0"/>
    <x v="0"/>
    <x v="0"/>
    <x v="0"/>
    <x v="0"/>
    <x v="0"/>
    <x v="0"/>
  </r>
  <r>
    <x v="46"/>
    <x v="46"/>
    <x v="31"/>
    <x v="0"/>
    <x v="3"/>
    <x v="9"/>
    <x v="26"/>
    <x v="36"/>
    <x v="8"/>
    <x v="0"/>
    <x v="13"/>
    <x v="14"/>
    <x v="4"/>
    <x v="4"/>
    <x v="12"/>
    <x v="4"/>
    <x v="12"/>
    <x v="4"/>
    <x v="1"/>
    <x v="2"/>
    <x v="1"/>
    <x v="1"/>
    <x v="1"/>
    <x v="1"/>
    <x v="1"/>
    <x v="1"/>
  </r>
  <r>
    <x v="47"/>
    <x v="47"/>
    <x v="25"/>
    <x v="14"/>
    <x v="0"/>
    <x v="1"/>
    <x v="12"/>
    <x v="37"/>
    <x v="0"/>
    <x v="36"/>
    <x v="0"/>
    <x v="12"/>
    <x v="0"/>
    <x v="0"/>
    <x v="0"/>
    <x v="0"/>
    <x v="0"/>
    <x v="0"/>
    <x v="0"/>
    <x v="1"/>
    <x v="0"/>
    <x v="0"/>
    <x v="0"/>
    <x v="0"/>
    <x v="0"/>
    <x v="0"/>
  </r>
  <r>
    <x v="3"/>
    <x v="3"/>
    <x v="0"/>
    <x v="0"/>
    <x v="0"/>
    <x v="0"/>
    <x v="0"/>
    <x v="0"/>
    <x v="0"/>
    <x v="0"/>
    <x v="0"/>
    <x v="0"/>
    <x v="0"/>
    <x v="0"/>
    <x v="0"/>
    <x v="0"/>
    <x v="0"/>
    <x v="0"/>
    <x v="0"/>
    <x v="0"/>
    <x v="0"/>
    <x v="0"/>
    <x v="0"/>
    <x v="0"/>
    <x v="0"/>
    <x v="0"/>
  </r>
  <r>
    <x v="48"/>
    <x v="48"/>
    <x v="0"/>
    <x v="0"/>
    <x v="0"/>
    <x v="0"/>
    <x v="0"/>
    <x v="0"/>
    <x v="0"/>
    <x v="0"/>
    <x v="0"/>
    <x v="0"/>
    <x v="0"/>
    <x v="0"/>
    <x v="0"/>
    <x v="0"/>
    <x v="0"/>
    <x v="0"/>
    <x v="0"/>
    <x v="0"/>
    <x v="0"/>
    <x v="0"/>
    <x v="0"/>
    <x v="0"/>
    <x v="0"/>
    <x v="0"/>
  </r>
  <r>
    <x v="11"/>
    <x v="11"/>
    <x v="0"/>
    <x v="0"/>
    <x v="0"/>
    <x v="0"/>
    <x v="0"/>
    <x v="0"/>
    <x v="0"/>
    <x v="0"/>
    <x v="0"/>
    <x v="0"/>
    <x v="0"/>
    <x v="0"/>
    <x v="0"/>
    <x v="0"/>
    <x v="0"/>
    <x v="0"/>
    <x v="0"/>
    <x v="0"/>
    <x v="0"/>
    <x v="0"/>
    <x v="0"/>
    <x v="0"/>
    <x v="0"/>
    <x v="0"/>
  </r>
  <r>
    <x v="49"/>
    <x v="49"/>
    <x v="0"/>
    <x v="0"/>
    <x v="0"/>
    <x v="0"/>
    <x v="0"/>
    <x v="0"/>
    <x v="0"/>
    <x v="0"/>
    <x v="0"/>
    <x v="0"/>
    <x v="0"/>
    <x v="0"/>
    <x v="0"/>
    <x v="0"/>
    <x v="0"/>
    <x v="0"/>
    <x v="0"/>
    <x v="0"/>
    <x v="0"/>
    <x v="0"/>
    <x v="0"/>
    <x v="0"/>
    <x v="0"/>
    <x v="0"/>
  </r>
  <r>
    <x v="1"/>
    <x v="1"/>
    <x v="0"/>
    <x v="0"/>
    <x v="0"/>
    <x v="0"/>
    <x v="0"/>
    <x v="0"/>
    <x v="0"/>
    <x v="0"/>
    <x v="0"/>
    <x v="0"/>
    <x v="0"/>
    <x v="0"/>
    <x v="0"/>
    <x v="0"/>
    <x v="0"/>
    <x v="0"/>
    <x v="0"/>
    <x v="0"/>
    <x v="0"/>
    <x v="0"/>
    <x v="0"/>
    <x v="0"/>
    <x v="0"/>
    <x v="0"/>
  </r>
  <r>
    <x v="50"/>
    <x v="50"/>
    <x v="0"/>
    <x v="0"/>
    <x v="0"/>
    <x v="0"/>
    <x v="0"/>
    <x v="0"/>
    <x v="0"/>
    <x v="0"/>
    <x v="0"/>
    <x v="0"/>
    <x v="0"/>
    <x v="0"/>
    <x v="0"/>
    <x v="0"/>
    <x v="0"/>
    <x v="0"/>
    <x v="0"/>
    <x v="0"/>
    <x v="0"/>
    <x v="0"/>
    <x v="0"/>
    <x v="0"/>
    <x v="0"/>
    <x v="0"/>
  </r>
  <r>
    <x v="51"/>
    <x v="51"/>
    <x v="0"/>
    <x v="0"/>
    <x v="0"/>
    <x v="0"/>
    <x v="0"/>
    <x v="0"/>
    <x v="0"/>
    <x v="0"/>
    <x v="0"/>
    <x v="0"/>
    <x v="0"/>
    <x v="0"/>
    <x v="0"/>
    <x v="0"/>
    <x v="0"/>
    <x v="0"/>
    <x v="0"/>
    <x v="0"/>
    <x v="0"/>
    <x v="0"/>
    <x v="0"/>
    <x v="0"/>
    <x v="0"/>
    <x v="0"/>
  </r>
  <r>
    <x v="6"/>
    <x v="6"/>
    <x v="0"/>
    <x v="0"/>
    <x v="0"/>
    <x v="0"/>
    <x v="0"/>
    <x v="0"/>
    <x v="0"/>
    <x v="0"/>
    <x v="0"/>
    <x v="0"/>
    <x v="0"/>
    <x v="0"/>
    <x v="0"/>
    <x v="0"/>
    <x v="0"/>
    <x v="0"/>
    <x v="0"/>
    <x v="0"/>
    <x v="0"/>
    <x v="0"/>
    <x v="0"/>
    <x v="0"/>
    <x v="0"/>
    <x v="0"/>
  </r>
  <r>
    <x v="52"/>
    <x v="52"/>
    <x v="0"/>
    <x v="0"/>
    <x v="0"/>
    <x v="0"/>
    <x v="0"/>
    <x v="0"/>
    <x v="0"/>
    <x v="0"/>
    <x v="0"/>
    <x v="0"/>
    <x v="0"/>
    <x v="0"/>
    <x v="0"/>
    <x v="0"/>
    <x v="0"/>
    <x v="0"/>
    <x v="0"/>
    <x v="0"/>
    <x v="0"/>
    <x v="0"/>
    <x v="0"/>
    <x v="0"/>
    <x v="0"/>
    <x v="0"/>
  </r>
  <r>
    <x v="9"/>
    <x v="9"/>
    <x v="0"/>
    <x v="0"/>
    <x v="0"/>
    <x v="0"/>
    <x v="0"/>
    <x v="0"/>
    <x v="0"/>
    <x v="0"/>
    <x v="0"/>
    <x v="0"/>
    <x v="0"/>
    <x v="0"/>
    <x v="0"/>
    <x v="0"/>
    <x v="0"/>
    <x v="0"/>
    <x v="0"/>
    <x v="0"/>
    <x v="0"/>
    <x v="0"/>
    <x v="0"/>
    <x v="0"/>
    <x v="0"/>
    <x v="0"/>
  </r>
  <r>
    <x v="8"/>
    <x v="8"/>
    <x v="0"/>
    <x v="0"/>
    <x v="0"/>
    <x v="0"/>
    <x v="0"/>
    <x v="0"/>
    <x v="0"/>
    <x v="0"/>
    <x v="0"/>
    <x v="0"/>
    <x v="0"/>
    <x v="0"/>
    <x v="0"/>
    <x v="0"/>
    <x v="0"/>
    <x v="0"/>
    <x v="0"/>
    <x v="0"/>
    <x v="0"/>
    <x v="0"/>
    <x v="0"/>
    <x v="0"/>
    <x v="0"/>
    <x v="0"/>
  </r>
  <r>
    <x v="12"/>
    <x v="12"/>
    <x v="0"/>
    <x v="0"/>
    <x v="0"/>
    <x v="0"/>
    <x v="0"/>
    <x v="0"/>
    <x v="0"/>
    <x v="0"/>
    <x v="0"/>
    <x v="0"/>
    <x v="0"/>
    <x v="0"/>
    <x v="0"/>
    <x v="0"/>
    <x v="0"/>
    <x v="0"/>
    <x v="0"/>
    <x v="0"/>
    <x v="0"/>
    <x v="0"/>
    <x v="0"/>
    <x v="0"/>
    <x v="0"/>
    <x v="0"/>
  </r>
  <r>
    <x v="53"/>
    <x v="53"/>
    <x v="32"/>
    <x v="23"/>
    <x v="0"/>
    <x v="1"/>
    <x v="27"/>
    <x v="38"/>
    <x v="0"/>
    <x v="37"/>
    <x v="14"/>
    <x v="15"/>
    <x v="6"/>
    <x v="7"/>
    <x v="13"/>
    <x v="2"/>
    <x v="13"/>
    <x v="8"/>
    <x v="0"/>
    <x v="1"/>
    <x v="0"/>
    <x v="0"/>
    <x v="0"/>
    <x v="0"/>
    <x v="0"/>
    <x v="0"/>
  </r>
  <r>
    <x v="54"/>
    <x v="54"/>
    <x v="0"/>
    <x v="0"/>
    <x v="0"/>
    <x v="0"/>
    <x v="0"/>
    <x v="0"/>
    <x v="0"/>
    <x v="0"/>
    <x v="0"/>
    <x v="0"/>
    <x v="0"/>
    <x v="0"/>
    <x v="0"/>
    <x v="0"/>
    <x v="0"/>
    <x v="0"/>
    <x v="0"/>
    <x v="0"/>
    <x v="0"/>
    <x v="0"/>
    <x v="0"/>
    <x v="0"/>
    <x v="0"/>
    <x v="0"/>
  </r>
  <r>
    <x v="55"/>
    <x v="55"/>
    <x v="0"/>
    <x v="0"/>
    <x v="0"/>
    <x v="0"/>
    <x v="0"/>
    <x v="0"/>
    <x v="0"/>
    <x v="0"/>
    <x v="0"/>
    <x v="0"/>
    <x v="0"/>
    <x v="0"/>
    <x v="0"/>
    <x v="0"/>
    <x v="0"/>
    <x v="0"/>
    <x v="0"/>
    <x v="0"/>
    <x v="0"/>
    <x v="0"/>
    <x v="0"/>
    <x v="0"/>
    <x v="0"/>
    <x v="0"/>
  </r>
  <r>
    <x v="56"/>
    <x v="56"/>
    <x v="0"/>
    <x v="0"/>
    <x v="0"/>
    <x v="0"/>
    <x v="0"/>
    <x v="0"/>
    <x v="0"/>
    <x v="0"/>
    <x v="0"/>
    <x v="0"/>
    <x v="0"/>
    <x v="0"/>
    <x v="0"/>
    <x v="0"/>
    <x v="0"/>
    <x v="0"/>
    <x v="0"/>
    <x v="0"/>
    <x v="0"/>
    <x v="0"/>
    <x v="0"/>
    <x v="0"/>
    <x v="0"/>
    <x v="0"/>
  </r>
  <r>
    <x v="57"/>
    <x v="57"/>
    <x v="0"/>
    <x v="0"/>
    <x v="0"/>
    <x v="0"/>
    <x v="0"/>
    <x v="0"/>
    <x v="0"/>
    <x v="0"/>
    <x v="0"/>
    <x v="0"/>
    <x v="0"/>
    <x v="0"/>
    <x v="0"/>
    <x v="0"/>
    <x v="0"/>
    <x v="0"/>
    <x v="0"/>
    <x v="0"/>
    <x v="0"/>
    <x v="0"/>
    <x v="0"/>
    <x v="0"/>
    <x v="0"/>
    <x v="0"/>
  </r>
  <r>
    <x v="58"/>
    <x v="58"/>
    <x v="0"/>
    <x v="0"/>
    <x v="0"/>
    <x v="0"/>
    <x v="0"/>
    <x v="0"/>
    <x v="0"/>
    <x v="0"/>
    <x v="0"/>
    <x v="0"/>
    <x v="0"/>
    <x v="0"/>
    <x v="0"/>
    <x v="0"/>
    <x v="0"/>
    <x v="0"/>
    <x v="0"/>
    <x v="0"/>
    <x v="0"/>
    <x v="0"/>
    <x v="0"/>
    <x v="0"/>
    <x v="0"/>
    <x v="0"/>
  </r>
  <r>
    <x v="59"/>
    <x v="59"/>
    <x v="0"/>
    <x v="0"/>
    <x v="0"/>
    <x v="0"/>
    <x v="0"/>
    <x v="0"/>
    <x v="0"/>
    <x v="0"/>
    <x v="0"/>
    <x v="0"/>
    <x v="0"/>
    <x v="0"/>
    <x v="0"/>
    <x v="0"/>
    <x v="0"/>
    <x v="0"/>
    <x v="0"/>
    <x v="0"/>
    <x v="0"/>
    <x v="0"/>
    <x v="0"/>
    <x v="0"/>
    <x v="0"/>
    <x v="0"/>
  </r>
  <r>
    <x v="48"/>
    <x v="48"/>
    <x v="0"/>
    <x v="0"/>
    <x v="0"/>
    <x v="0"/>
    <x v="0"/>
    <x v="0"/>
    <x v="0"/>
    <x v="0"/>
    <x v="0"/>
    <x v="0"/>
    <x v="0"/>
    <x v="0"/>
    <x v="0"/>
    <x v="0"/>
    <x v="0"/>
    <x v="0"/>
    <x v="0"/>
    <x v="0"/>
    <x v="0"/>
    <x v="0"/>
    <x v="0"/>
    <x v="0"/>
    <x v="0"/>
    <x v="0"/>
  </r>
  <r>
    <x v="60"/>
    <x v="60"/>
    <x v="33"/>
    <x v="24"/>
    <x v="4"/>
    <x v="10"/>
    <x v="28"/>
    <x v="39"/>
    <x v="9"/>
    <x v="38"/>
    <x v="0"/>
    <x v="12"/>
    <x v="0"/>
    <x v="0"/>
    <x v="0"/>
    <x v="0"/>
    <x v="0"/>
    <x v="0"/>
    <x v="0"/>
    <x v="1"/>
    <x v="0"/>
    <x v="0"/>
    <x v="0"/>
    <x v="0"/>
    <x v="0"/>
    <x v="0"/>
  </r>
  <r>
    <x v="61"/>
    <x v="61"/>
    <x v="0"/>
    <x v="0"/>
    <x v="0"/>
    <x v="0"/>
    <x v="0"/>
    <x v="0"/>
    <x v="0"/>
    <x v="0"/>
    <x v="0"/>
    <x v="0"/>
    <x v="0"/>
    <x v="0"/>
    <x v="0"/>
    <x v="0"/>
    <x v="0"/>
    <x v="0"/>
    <x v="0"/>
    <x v="0"/>
    <x v="0"/>
    <x v="0"/>
    <x v="0"/>
    <x v="0"/>
    <x v="0"/>
    <x v="0"/>
  </r>
  <r>
    <x v="60"/>
    <x v="60"/>
    <x v="34"/>
    <x v="9"/>
    <x v="1"/>
    <x v="11"/>
    <x v="29"/>
    <x v="40"/>
    <x v="10"/>
    <x v="39"/>
    <x v="15"/>
    <x v="16"/>
    <x v="4"/>
    <x v="4"/>
    <x v="14"/>
    <x v="4"/>
    <x v="14"/>
    <x v="4"/>
    <x v="0"/>
    <x v="1"/>
    <x v="0"/>
    <x v="0"/>
    <x v="0"/>
    <x v="0"/>
    <x v="0"/>
    <x v="0"/>
  </r>
  <r>
    <x v="62"/>
    <x v="62"/>
    <x v="35"/>
    <x v="25"/>
    <x v="0"/>
    <x v="1"/>
    <x v="30"/>
    <x v="41"/>
    <x v="0"/>
    <x v="40"/>
    <x v="0"/>
    <x v="12"/>
    <x v="0"/>
    <x v="0"/>
    <x v="0"/>
    <x v="0"/>
    <x v="0"/>
    <x v="0"/>
    <x v="0"/>
    <x v="1"/>
    <x v="0"/>
    <x v="0"/>
    <x v="0"/>
    <x v="0"/>
    <x v="0"/>
    <x v="0"/>
  </r>
  <r>
    <x v="63"/>
    <x v="63"/>
    <x v="36"/>
    <x v="4"/>
    <x v="1"/>
    <x v="12"/>
    <x v="31"/>
    <x v="42"/>
    <x v="11"/>
    <x v="41"/>
    <x v="16"/>
    <x v="17"/>
    <x v="5"/>
    <x v="5"/>
    <x v="15"/>
    <x v="7"/>
    <x v="15"/>
    <x v="7"/>
    <x v="0"/>
    <x v="1"/>
    <x v="0"/>
    <x v="0"/>
    <x v="0"/>
    <x v="0"/>
    <x v="0"/>
    <x v="0"/>
  </r>
  <r>
    <x v="64"/>
    <x v="64"/>
    <x v="37"/>
    <x v="26"/>
    <x v="0"/>
    <x v="1"/>
    <x v="32"/>
    <x v="43"/>
    <x v="0"/>
    <x v="42"/>
    <x v="17"/>
    <x v="18"/>
    <x v="8"/>
    <x v="8"/>
    <x v="16"/>
    <x v="3"/>
    <x v="16"/>
    <x v="3"/>
    <x v="0"/>
    <x v="1"/>
    <x v="0"/>
    <x v="0"/>
    <x v="0"/>
    <x v="0"/>
    <x v="0"/>
    <x v="0"/>
  </r>
  <r>
    <x v="65"/>
    <x v="65"/>
    <x v="38"/>
    <x v="27"/>
    <x v="1"/>
    <x v="13"/>
    <x v="33"/>
    <x v="44"/>
    <x v="12"/>
    <x v="43"/>
    <x v="18"/>
    <x v="19"/>
    <x v="9"/>
    <x v="3"/>
    <x v="17"/>
    <x v="8"/>
    <x v="17"/>
    <x v="2"/>
    <x v="0"/>
    <x v="1"/>
    <x v="0"/>
    <x v="0"/>
    <x v="0"/>
    <x v="0"/>
    <x v="0"/>
    <x v="0"/>
  </r>
  <r>
    <x v="66"/>
    <x v="66"/>
    <x v="39"/>
    <x v="28"/>
    <x v="0"/>
    <x v="1"/>
    <x v="34"/>
    <x v="45"/>
    <x v="0"/>
    <x v="44"/>
    <x v="19"/>
    <x v="20"/>
    <x v="3"/>
    <x v="5"/>
    <x v="18"/>
    <x v="9"/>
    <x v="18"/>
    <x v="5"/>
    <x v="0"/>
    <x v="1"/>
    <x v="0"/>
    <x v="0"/>
    <x v="0"/>
    <x v="0"/>
    <x v="0"/>
    <x v="0"/>
  </r>
  <r>
    <x v="52"/>
    <x v="52"/>
    <x v="40"/>
    <x v="29"/>
    <x v="1"/>
    <x v="14"/>
    <x v="35"/>
    <x v="46"/>
    <x v="13"/>
    <x v="45"/>
    <x v="20"/>
    <x v="21"/>
    <x v="8"/>
    <x v="8"/>
    <x v="19"/>
    <x v="3"/>
    <x v="19"/>
    <x v="3"/>
    <x v="0"/>
    <x v="1"/>
    <x v="0"/>
    <x v="0"/>
    <x v="0"/>
    <x v="0"/>
    <x v="0"/>
    <x v="0"/>
  </r>
  <r>
    <x v="1"/>
    <x v="1"/>
    <x v="41"/>
    <x v="30"/>
    <x v="0"/>
    <x v="1"/>
    <x v="36"/>
    <x v="47"/>
    <x v="0"/>
    <x v="46"/>
    <x v="0"/>
    <x v="12"/>
    <x v="0"/>
    <x v="0"/>
    <x v="0"/>
    <x v="0"/>
    <x v="0"/>
    <x v="0"/>
    <x v="0"/>
    <x v="1"/>
    <x v="0"/>
    <x v="0"/>
    <x v="0"/>
    <x v="0"/>
    <x v="0"/>
    <x v="0"/>
  </r>
  <r>
    <x v="50"/>
    <x v="50"/>
    <x v="0"/>
    <x v="0"/>
    <x v="0"/>
    <x v="0"/>
    <x v="0"/>
    <x v="0"/>
    <x v="0"/>
    <x v="0"/>
    <x v="0"/>
    <x v="0"/>
    <x v="0"/>
    <x v="0"/>
    <x v="0"/>
    <x v="0"/>
    <x v="0"/>
    <x v="0"/>
    <x v="0"/>
    <x v="0"/>
    <x v="0"/>
    <x v="0"/>
    <x v="0"/>
    <x v="0"/>
    <x v="0"/>
    <x v="0"/>
  </r>
  <r>
    <x v="7"/>
    <x v="7"/>
    <x v="42"/>
    <x v="7"/>
    <x v="1"/>
    <x v="15"/>
    <x v="37"/>
    <x v="48"/>
    <x v="14"/>
    <x v="47"/>
    <x v="21"/>
    <x v="22"/>
    <x v="5"/>
    <x v="9"/>
    <x v="20"/>
    <x v="9"/>
    <x v="20"/>
    <x v="5"/>
    <x v="2"/>
    <x v="3"/>
    <x v="2"/>
    <x v="2"/>
    <x v="2"/>
    <x v="2"/>
    <x v="2"/>
    <x v="2"/>
  </r>
  <r>
    <x v="12"/>
    <x v="12"/>
    <x v="0"/>
    <x v="0"/>
    <x v="0"/>
    <x v="0"/>
    <x v="0"/>
    <x v="0"/>
    <x v="0"/>
    <x v="0"/>
    <x v="0"/>
    <x v="0"/>
    <x v="0"/>
    <x v="0"/>
    <x v="0"/>
    <x v="0"/>
    <x v="0"/>
    <x v="0"/>
    <x v="0"/>
    <x v="0"/>
    <x v="0"/>
    <x v="0"/>
    <x v="0"/>
    <x v="0"/>
    <x v="0"/>
    <x v="0"/>
  </r>
  <r>
    <x v="13"/>
    <x v="13"/>
    <x v="0"/>
    <x v="0"/>
    <x v="0"/>
    <x v="0"/>
    <x v="0"/>
    <x v="0"/>
    <x v="0"/>
    <x v="0"/>
    <x v="0"/>
    <x v="0"/>
    <x v="0"/>
    <x v="0"/>
    <x v="0"/>
    <x v="0"/>
    <x v="0"/>
    <x v="0"/>
    <x v="0"/>
    <x v="0"/>
    <x v="0"/>
    <x v="0"/>
    <x v="0"/>
    <x v="0"/>
    <x v="0"/>
    <x v="0"/>
  </r>
  <r>
    <x v="3"/>
    <x v="3"/>
    <x v="0"/>
    <x v="0"/>
    <x v="0"/>
    <x v="0"/>
    <x v="0"/>
    <x v="0"/>
    <x v="0"/>
    <x v="0"/>
    <x v="0"/>
    <x v="0"/>
    <x v="0"/>
    <x v="0"/>
    <x v="0"/>
    <x v="0"/>
    <x v="0"/>
    <x v="0"/>
    <x v="0"/>
    <x v="0"/>
    <x v="0"/>
    <x v="0"/>
    <x v="0"/>
    <x v="0"/>
    <x v="0"/>
    <x v="0"/>
  </r>
  <r>
    <x v="48"/>
    <x v="48"/>
    <x v="0"/>
    <x v="0"/>
    <x v="0"/>
    <x v="0"/>
    <x v="0"/>
    <x v="0"/>
    <x v="0"/>
    <x v="0"/>
    <x v="0"/>
    <x v="0"/>
    <x v="0"/>
    <x v="0"/>
    <x v="0"/>
    <x v="0"/>
    <x v="0"/>
    <x v="0"/>
    <x v="0"/>
    <x v="0"/>
    <x v="0"/>
    <x v="0"/>
    <x v="0"/>
    <x v="0"/>
    <x v="0"/>
    <x v="0"/>
  </r>
  <r>
    <x v="9"/>
    <x v="9"/>
    <x v="0"/>
    <x v="0"/>
    <x v="0"/>
    <x v="0"/>
    <x v="0"/>
    <x v="0"/>
    <x v="0"/>
    <x v="0"/>
    <x v="0"/>
    <x v="0"/>
    <x v="0"/>
    <x v="0"/>
    <x v="0"/>
    <x v="0"/>
    <x v="0"/>
    <x v="0"/>
    <x v="0"/>
    <x v="0"/>
    <x v="0"/>
    <x v="0"/>
    <x v="0"/>
    <x v="0"/>
    <x v="0"/>
    <x v="0"/>
  </r>
  <r>
    <x v="11"/>
    <x v="11"/>
    <x v="0"/>
    <x v="0"/>
    <x v="0"/>
    <x v="0"/>
    <x v="0"/>
    <x v="0"/>
    <x v="0"/>
    <x v="0"/>
    <x v="0"/>
    <x v="0"/>
    <x v="0"/>
    <x v="0"/>
    <x v="0"/>
    <x v="0"/>
    <x v="0"/>
    <x v="0"/>
    <x v="0"/>
    <x v="0"/>
    <x v="0"/>
    <x v="0"/>
    <x v="0"/>
    <x v="0"/>
    <x v="0"/>
    <x v="0"/>
  </r>
  <r>
    <x v="49"/>
    <x v="49"/>
    <x v="0"/>
    <x v="0"/>
    <x v="0"/>
    <x v="0"/>
    <x v="0"/>
    <x v="0"/>
    <x v="0"/>
    <x v="0"/>
    <x v="0"/>
    <x v="0"/>
    <x v="0"/>
    <x v="0"/>
    <x v="0"/>
    <x v="0"/>
    <x v="0"/>
    <x v="0"/>
    <x v="0"/>
    <x v="0"/>
    <x v="0"/>
    <x v="0"/>
    <x v="0"/>
    <x v="0"/>
    <x v="0"/>
    <x v="0"/>
  </r>
  <r>
    <x v="51"/>
    <x v="51"/>
    <x v="0"/>
    <x v="0"/>
    <x v="0"/>
    <x v="0"/>
    <x v="0"/>
    <x v="0"/>
    <x v="0"/>
    <x v="0"/>
    <x v="0"/>
    <x v="0"/>
    <x v="0"/>
    <x v="0"/>
    <x v="0"/>
    <x v="0"/>
    <x v="0"/>
    <x v="0"/>
    <x v="0"/>
    <x v="0"/>
    <x v="0"/>
    <x v="0"/>
    <x v="0"/>
    <x v="0"/>
    <x v="0"/>
    <x v="0"/>
  </r>
  <r>
    <x v="50"/>
    <x v="50"/>
    <x v="0"/>
    <x v="0"/>
    <x v="0"/>
    <x v="0"/>
    <x v="0"/>
    <x v="0"/>
    <x v="0"/>
    <x v="0"/>
    <x v="0"/>
    <x v="0"/>
    <x v="0"/>
    <x v="0"/>
    <x v="0"/>
    <x v="0"/>
    <x v="0"/>
    <x v="0"/>
    <x v="0"/>
    <x v="0"/>
    <x v="0"/>
    <x v="0"/>
    <x v="0"/>
    <x v="0"/>
    <x v="0"/>
    <x v="0"/>
  </r>
  <r>
    <x v="14"/>
    <x v="14"/>
    <x v="0"/>
    <x v="0"/>
    <x v="0"/>
    <x v="0"/>
    <x v="0"/>
    <x v="0"/>
    <x v="0"/>
    <x v="0"/>
    <x v="0"/>
    <x v="0"/>
    <x v="0"/>
    <x v="0"/>
    <x v="0"/>
    <x v="0"/>
    <x v="0"/>
    <x v="0"/>
    <x v="0"/>
    <x v="0"/>
    <x v="0"/>
    <x v="0"/>
    <x v="0"/>
    <x v="0"/>
    <x v="0"/>
    <x v="0"/>
  </r>
  <r>
    <x v="4"/>
    <x v="4"/>
    <x v="0"/>
    <x v="0"/>
    <x v="0"/>
    <x v="0"/>
    <x v="0"/>
    <x v="0"/>
    <x v="0"/>
    <x v="0"/>
    <x v="0"/>
    <x v="0"/>
    <x v="0"/>
    <x v="0"/>
    <x v="0"/>
    <x v="0"/>
    <x v="0"/>
    <x v="0"/>
    <x v="0"/>
    <x v="0"/>
    <x v="0"/>
    <x v="0"/>
    <x v="0"/>
    <x v="0"/>
    <x v="0"/>
    <x v="0"/>
  </r>
  <r>
    <x v="15"/>
    <x v="15"/>
    <x v="0"/>
    <x v="0"/>
    <x v="0"/>
    <x v="0"/>
    <x v="0"/>
    <x v="0"/>
    <x v="0"/>
    <x v="0"/>
    <x v="0"/>
    <x v="0"/>
    <x v="0"/>
    <x v="0"/>
    <x v="0"/>
    <x v="0"/>
    <x v="0"/>
    <x v="0"/>
    <x v="0"/>
    <x v="0"/>
    <x v="0"/>
    <x v="0"/>
    <x v="0"/>
    <x v="0"/>
    <x v="0"/>
    <x v="0"/>
  </r>
  <r>
    <x v="67"/>
    <x v="67"/>
    <x v="0"/>
    <x v="0"/>
    <x v="0"/>
    <x v="0"/>
    <x v="0"/>
    <x v="0"/>
    <x v="0"/>
    <x v="0"/>
    <x v="0"/>
    <x v="0"/>
    <x v="0"/>
    <x v="0"/>
    <x v="0"/>
    <x v="0"/>
    <x v="0"/>
    <x v="0"/>
    <x v="0"/>
    <x v="0"/>
    <x v="0"/>
    <x v="0"/>
    <x v="0"/>
    <x v="0"/>
    <x v="0"/>
    <x v="0"/>
  </r>
  <r>
    <x v="60"/>
    <x v="60"/>
    <x v="0"/>
    <x v="0"/>
    <x v="0"/>
    <x v="0"/>
    <x v="0"/>
    <x v="0"/>
    <x v="0"/>
    <x v="0"/>
    <x v="0"/>
    <x v="0"/>
    <x v="0"/>
    <x v="0"/>
    <x v="0"/>
    <x v="0"/>
    <x v="0"/>
    <x v="0"/>
    <x v="0"/>
    <x v="0"/>
    <x v="0"/>
    <x v="0"/>
    <x v="0"/>
    <x v="0"/>
    <x v="0"/>
    <x v="0"/>
  </r>
  <r>
    <x v="64"/>
    <x v="64"/>
    <x v="0"/>
    <x v="0"/>
    <x v="0"/>
    <x v="0"/>
    <x v="0"/>
    <x v="0"/>
    <x v="0"/>
    <x v="0"/>
    <x v="0"/>
    <x v="0"/>
    <x v="0"/>
    <x v="0"/>
    <x v="0"/>
    <x v="0"/>
    <x v="0"/>
    <x v="0"/>
    <x v="0"/>
    <x v="0"/>
    <x v="0"/>
    <x v="0"/>
    <x v="0"/>
    <x v="0"/>
    <x v="0"/>
    <x v="0"/>
  </r>
  <r>
    <x v="53"/>
    <x v="53"/>
    <x v="0"/>
    <x v="0"/>
    <x v="0"/>
    <x v="0"/>
    <x v="0"/>
    <x v="0"/>
    <x v="0"/>
    <x v="0"/>
    <x v="0"/>
    <x v="0"/>
    <x v="0"/>
    <x v="0"/>
    <x v="0"/>
    <x v="0"/>
    <x v="0"/>
    <x v="0"/>
    <x v="0"/>
    <x v="0"/>
    <x v="0"/>
    <x v="0"/>
    <x v="0"/>
    <x v="0"/>
    <x v="0"/>
    <x v="0"/>
  </r>
  <r>
    <x v="13"/>
    <x v="13"/>
    <x v="0"/>
    <x v="0"/>
    <x v="0"/>
    <x v="0"/>
    <x v="0"/>
    <x v="0"/>
    <x v="0"/>
    <x v="0"/>
    <x v="0"/>
    <x v="0"/>
    <x v="0"/>
    <x v="0"/>
    <x v="0"/>
    <x v="0"/>
    <x v="0"/>
    <x v="0"/>
    <x v="0"/>
    <x v="0"/>
    <x v="0"/>
    <x v="0"/>
    <x v="0"/>
    <x v="0"/>
    <x v="0"/>
    <x v="0"/>
  </r>
  <r>
    <x v="68"/>
    <x v="68"/>
    <x v="0"/>
    <x v="0"/>
    <x v="0"/>
    <x v="0"/>
    <x v="0"/>
    <x v="0"/>
    <x v="0"/>
    <x v="0"/>
    <x v="0"/>
    <x v="0"/>
    <x v="0"/>
    <x v="0"/>
    <x v="0"/>
    <x v="0"/>
    <x v="0"/>
    <x v="0"/>
    <x v="0"/>
    <x v="0"/>
    <x v="0"/>
    <x v="0"/>
    <x v="0"/>
    <x v="0"/>
    <x v="0"/>
    <x v="0"/>
  </r>
  <r>
    <x v="10"/>
    <x v="10"/>
    <x v="0"/>
    <x v="0"/>
    <x v="0"/>
    <x v="0"/>
    <x v="0"/>
    <x v="0"/>
    <x v="0"/>
    <x v="0"/>
    <x v="0"/>
    <x v="0"/>
    <x v="0"/>
    <x v="0"/>
    <x v="0"/>
    <x v="0"/>
    <x v="0"/>
    <x v="0"/>
    <x v="0"/>
    <x v="0"/>
    <x v="0"/>
    <x v="0"/>
    <x v="0"/>
    <x v="0"/>
    <x v="0"/>
    <x v="0"/>
  </r>
  <r>
    <x v="5"/>
    <x v="5"/>
    <x v="0"/>
    <x v="0"/>
    <x v="0"/>
    <x v="0"/>
    <x v="0"/>
    <x v="0"/>
    <x v="0"/>
    <x v="0"/>
    <x v="0"/>
    <x v="0"/>
    <x v="0"/>
    <x v="0"/>
    <x v="0"/>
    <x v="0"/>
    <x v="0"/>
    <x v="0"/>
    <x v="0"/>
    <x v="0"/>
    <x v="0"/>
    <x v="0"/>
    <x v="0"/>
    <x v="0"/>
    <x v="0"/>
    <x v="0"/>
  </r>
  <r>
    <x v="7"/>
    <x v="7"/>
    <x v="0"/>
    <x v="0"/>
    <x v="0"/>
    <x v="0"/>
    <x v="0"/>
    <x v="0"/>
    <x v="0"/>
    <x v="0"/>
    <x v="0"/>
    <x v="0"/>
    <x v="0"/>
    <x v="0"/>
    <x v="0"/>
    <x v="0"/>
    <x v="0"/>
    <x v="0"/>
    <x v="0"/>
    <x v="0"/>
    <x v="0"/>
    <x v="0"/>
    <x v="0"/>
    <x v="0"/>
    <x v="0"/>
    <x v="0"/>
  </r>
  <r>
    <x v="2"/>
    <x v="2"/>
    <x v="0"/>
    <x v="0"/>
    <x v="0"/>
    <x v="0"/>
    <x v="0"/>
    <x v="0"/>
    <x v="0"/>
    <x v="0"/>
    <x v="0"/>
    <x v="0"/>
    <x v="0"/>
    <x v="0"/>
    <x v="0"/>
    <x v="0"/>
    <x v="0"/>
    <x v="0"/>
    <x v="0"/>
    <x v="0"/>
    <x v="0"/>
    <x v="0"/>
    <x v="0"/>
    <x v="0"/>
    <x v="0"/>
    <x v="0"/>
  </r>
  <r>
    <x v="14"/>
    <x v="14"/>
    <x v="0"/>
    <x v="0"/>
    <x v="0"/>
    <x v="0"/>
    <x v="0"/>
    <x v="0"/>
    <x v="0"/>
    <x v="0"/>
    <x v="0"/>
    <x v="0"/>
    <x v="0"/>
    <x v="0"/>
    <x v="0"/>
    <x v="0"/>
    <x v="0"/>
    <x v="0"/>
    <x v="0"/>
    <x v="0"/>
    <x v="0"/>
    <x v="0"/>
    <x v="0"/>
    <x v="0"/>
    <x v="0"/>
    <x v="0"/>
  </r>
  <r>
    <x v="4"/>
    <x v="4"/>
    <x v="0"/>
    <x v="0"/>
    <x v="0"/>
    <x v="0"/>
    <x v="0"/>
    <x v="0"/>
    <x v="0"/>
    <x v="0"/>
    <x v="0"/>
    <x v="0"/>
    <x v="0"/>
    <x v="0"/>
    <x v="0"/>
    <x v="0"/>
    <x v="0"/>
    <x v="0"/>
    <x v="0"/>
    <x v="0"/>
    <x v="0"/>
    <x v="0"/>
    <x v="0"/>
    <x v="0"/>
    <x v="0"/>
    <x v="0"/>
  </r>
  <r>
    <x v="15"/>
    <x v="15"/>
    <x v="0"/>
    <x v="0"/>
    <x v="0"/>
    <x v="0"/>
    <x v="0"/>
    <x v="0"/>
    <x v="0"/>
    <x v="0"/>
    <x v="0"/>
    <x v="0"/>
    <x v="0"/>
    <x v="0"/>
    <x v="0"/>
    <x v="0"/>
    <x v="0"/>
    <x v="0"/>
    <x v="0"/>
    <x v="0"/>
    <x v="0"/>
    <x v="0"/>
    <x v="0"/>
    <x v="0"/>
    <x v="0"/>
    <x v="0"/>
  </r>
  <r>
    <x v="67"/>
    <x v="67"/>
    <x v="0"/>
    <x v="0"/>
    <x v="0"/>
    <x v="0"/>
    <x v="0"/>
    <x v="0"/>
    <x v="0"/>
    <x v="0"/>
    <x v="0"/>
    <x v="0"/>
    <x v="0"/>
    <x v="0"/>
    <x v="0"/>
    <x v="0"/>
    <x v="0"/>
    <x v="0"/>
    <x v="0"/>
    <x v="0"/>
    <x v="0"/>
    <x v="0"/>
    <x v="0"/>
    <x v="0"/>
    <x v="0"/>
    <x v="0"/>
  </r>
  <r>
    <x v="61"/>
    <x v="61"/>
    <x v="0"/>
    <x v="0"/>
    <x v="0"/>
    <x v="0"/>
    <x v="0"/>
    <x v="0"/>
    <x v="0"/>
    <x v="0"/>
    <x v="0"/>
    <x v="0"/>
    <x v="0"/>
    <x v="0"/>
    <x v="0"/>
    <x v="0"/>
    <x v="0"/>
    <x v="0"/>
    <x v="0"/>
    <x v="0"/>
    <x v="0"/>
    <x v="0"/>
    <x v="0"/>
    <x v="0"/>
    <x v="0"/>
    <x v="0"/>
  </r>
  <r>
    <x v="65"/>
    <x v="65"/>
    <x v="21"/>
    <x v="0"/>
    <x v="0"/>
    <x v="1"/>
    <x v="0"/>
    <x v="0"/>
    <x v="0"/>
    <x v="0"/>
    <x v="0"/>
    <x v="0"/>
    <x v="0"/>
    <x v="0"/>
    <x v="0"/>
    <x v="0"/>
    <x v="0"/>
    <x v="0"/>
    <x v="0"/>
    <x v="0"/>
    <x v="0"/>
    <x v="0"/>
    <x v="0"/>
    <x v="0"/>
    <x v="0"/>
    <x v="0"/>
  </r>
  <r>
    <x v="63"/>
    <x v="63"/>
    <x v="24"/>
    <x v="0"/>
    <x v="0"/>
    <x v="1"/>
    <x v="0"/>
    <x v="0"/>
    <x v="0"/>
    <x v="0"/>
    <x v="0"/>
    <x v="0"/>
    <x v="0"/>
    <x v="0"/>
    <x v="0"/>
    <x v="0"/>
    <x v="0"/>
    <x v="0"/>
    <x v="0"/>
    <x v="0"/>
    <x v="0"/>
    <x v="0"/>
    <x v="0"/>
    <x v="0"/>
    <x v="0"/>
    <x v="0"/>
  </r>
  <r>
    <x v="66"/>
    <x v="66"/>
    <x v="25"/>
    <x v="0"/>
    <x v="0"/>
    <x v="1"/>
    <x v="0"/>
    <x v="0"/>
    <x v="0"/>
    <x v="0"/>
    <x v="0"/>
    <x v="0"/>
    <x v="0"/>
    <x v="0"/>
    <x v="0"/>
    <x v="0"/>
    <x v="0"/>
    <x v="0"/>
    <x v="0"/>
    <x v="0"/>
    <x v="0"/>
    <x v="0"/>
    <x v="0"/>
    <x v="0"/>
    <x v="0"/>
    <x v="0"/>
  </r>
  <r>
    <x v="64"/>
    <x v="64"/>
    <x v="5"/>
    <x v="0"/>
    <x v="0"/>
    <x v="1"/>
    <x v="0"/>
    <x v="0"/>
    <x v="0"/>
    <x v="0"/>
    <x v="0"/>
    <x v="0"/>
    <x v="0"/>
    <x v="0"/>
    <x v="0"/>
    <x v="0"/>
    <x v="0"/>
    <x v="0"/>
    <x v="0"/>
    <x v="0"/>
    <x v="0"/>
    <x v="0"/>
    <x v="0"/>
    <x v="0"/>
    <x v="0"/>
    <x v="0"/>
  </r>
  <r>
    <x v="60"/>
    <x v="60"/>
    <x v="23"/>
    <x v="0"/>
    <x v="0"/>
    <x v="1"/>
    <x v="0"/>
    <x v="0"/>
    <x v="0"/>
    <x v="0"/>
    <x v="0"/>
    <x v="0"/>
    <x v="0"/>
    <x v="0"/>
    <x v="0"/>
    <x v="0"/>
    <x v="0"/>
    <x v="0"/>
    <x v="0"/>
    <x v="0"/>
    <x v="0"/>
    <x v="0"/>
    <x v="0"/>
    <x v="0"/>
    <x v="0"/>
    <x v="0"/>
  </r>
  <r>
    <x v="53"/>
    <x v="53"/>
    <x v="43"/>
    <x v="0"/>
    <x v="1"/>
    <x v="16"/>
    <x v="14"/>
    <x v="49"/>
    <x v="15"/>
    <x v="0"/>
    <x v="0"/>
    <x v="12"/>
    <x v="0"/>
    <x v="0"/>
    <x v="0"/>
    <x v="0"/>
    <x v="0"/>
    <x v="0"/>
    <x v="0"/>
    <x v="1"/>
    <x v="0"/>
    <x v="0"/>
    <x v="0"/>
    <x v="0"/>
    <x v="0"/>
    <x v="0"/>
  </r>
  <r>
    <x v="68"/>
    <x v="68"/>
    <x v="0"/>
    <x v="0"/>
    <x v="0"/>
    <x v="0"/>
    <x v="0"/>
    <x v="0"/>
    <x v="0"/>
    <x v="0"/>
    <x v="0"/>
    <x v="0"/>
    <x v="0"/>
    <x v="0"/>
    <x v="0"/>
    <x v="0"/>
    <x v="0"/>
    <x v="0"/>
    <x v="0"/>
    <x v="0"/>
    <x v="0"/>
    <x v="0"/>
    <x v="0"/>
    <x v="0"/>
    <x v="0"/>
    <x v="0"/>
  </r>
  <r>
    <x v="48"/>
    <x v="48"/>
    <x v="44"/>
    <x v="0"/>
    <x v="0"/>
    <x v="1"/>
    <x v="0"/>
    <x v="0"/>
    <x v="0"/>
    <x v="0"/>
    <x v="0"/>
    <x v="0"/>
    <x v="0"/>
    <x v="0"/>
    <x v="0"/>
    <x v="0"/>
    <x v="0"/>
    <x v="0"/>
    <x v="0"/>
    <x v="0"/>
    <x v="0"/>
    <x v="0"/>
    <x v="0"/>
    <x v="0"/>
    <x v="0"/>
    <x v="0"/>
  </r>
  <r>
    <x v="48"/>
    <x v="48"/>
    <x v="45"/>
    <x v="31"/>
    <x v="1"/>
    <x v="17"/>
    <x v="10"/>
    <x v="50"/>
    <x v="16"/>
    <x v="48"/>
    <x v="22"/>
    <x v="23"/>
    <x v="8"/>
    <x v="8"/>
    <x v="21"/>
    <x v="3"/>
    <x v="21"/>
    <x v="3"/>
    <x v="0"/>
    <x v="1"/>
    <x v="0"/>
    <x v="0"/>
    <x v="0"/>
    <x v="0"/>
    <x v="0"/>
    <x v="0"/>
  </r>
  <r>
    <x v="68"/>
    <x v="68"/>
    <x v="36"/>
    <x v="32"/>
    <x v="0"/>
    <x v="1"/>
    <x v="38"/>
    <x v="51"/>
    <x v="0"/>
    <x v="49"/>
    <x v="0"/>
    <x v="12"/>
    <x v="0"/>
    <x v="0"/>
    <x v="0"/>
    <x v="0"/>
    <x v="0"/>
    <x v="0"/>
    <x v="0"/>
    <x v="1"/>
    <x v="0"/>
    <x v="0"/>
    <x v="0"/>
    <x v="0"/>
    <x v="0"/>
    <x v="0"/>
  </r>
  <r>
    <x v="51"/>
    <x v="51"/>
    <x v="46"/>
    <x v="33"/>
    <x v="2"/>
    <x v="18"/>
    <x v="9"/>
    <x v="52"/>
    <x v="17"/>
    <x v="50"/>
    <x v="23"/>
    <x v="24"/>
    <x v="9"/>
    <x v="10"/>
    <x v="22"/>
    <x v="10"/>
    <x v="22"/>
    <x v="2"/>
    <x v="0"/>
    <x v="1"/>
    <x v="0"/>
    <x v="0"/>
    <x v="0"/>
    <x v="0"/>
    <x v="0"/>
    <x v="0"/>
  </r>
  <r>
    <x v="67"/>
    <x v="67"/>
    <x v="47"/>
    <x v="34"/>
    <x v="1"/>
    <x v="19"/>
    <x v="39"/>
    <x v="53"/>
    <x v="18"/>
    <x v="51"/>
    <x v="24"/>
    <x v="25"/>
    <x v="5"/>
    <x v="9"/>
    <x v="23"/>
    <x v="9"/>
    <x v="23"/>
    <x v="5"/>
    <x v="0"/>
    <x v="1"/>
    <x v="0"/>
    <x v="0"/>
    <x v="0"/>
    <x v="0"/>
    <x v="0"/>
    <x v="0"/>
  </r>
  <r>
    <x v="6"/>
    <x v="6"/>
    <x v="48"/>
    <x v="35"/>
    <x v="0"/>
    <x v="1"/>
    <x v="40"/>
    <x v="54"/>
    <x v="0"/>
    <x v="52"/>
    <x v="25"/>
    <x v="26"/>
    <x v="5"/>
    <x v="9"/>
    <x v="24"/>
    <x v="9"/>
    <x v="24"/>
    <x v="5"/>
    <x v="0"/>
    <x v="1"/>
    <x v="0"/>
    <x v="0"/>
    <x v="0"/>
    <x v="0"/>
    <x v="0"/>
    <x v="0"/>
  </r>
  <r>
    <x v="69"/>
    <x v="69"/>
    <x v="49"/>
    <x v="26"/>
    <x v="0"/>
    <x v="1"/>
    <x v="41"/>
    <x v="55"/>
    <x v="0"/>
    <x v="53"/>
    <x v="26"/>
    <x v="27"/>
    <x v="6"/>
    <x v="7"/>
    <x v="25"/>
    <x v="10"/>
    <x v="25"/>
    <x v="9"/>
    <x v="0"/>
    <x v="1"/>
    <x v="0"/>
    <x v="0"/>
    <x v="0"/>
    <x v="0"/>
    <x v="0"/>
    <x v="0"/>
  </r>
  <r>
    <x v="70"/>
    <x v="70"/>
    <x v="50"/>
    <x v="36"/>
    <x v="0"/>
    <x v="1"/>
    <x v="42"/>
    <x v="56"/>
    <x v="0"/>
    <x v="54"/>
    <x v="27"/>
    <x v="28"/>
    <x v="8"/>
    <x v="8"/>
    <x v="26"/>
    <x v="3"/>
    <x v="26"/>
    <x v="3"/>
    <x v="0"/>
    <x v="1"/>
    <x v="0"/>
    <x v="0"/>
    <x v="0"/>
    <x v="0"/>
    <x v="0"/>
    <x v="0"/>
  </r>
  <r>
    <x v="71"/>
    <x v="71"/>
    <x v="51"/>
    <x v="16"/>
    <x v="0"/>
    <x v="1"/>
    <x v="43"/>
    <x v="57"/>
    <x v="0"/>
    <x v="55"/>
    <x v="0"/>
    <x v="12"/>
    <x v="0"/>
    <x v="0"/>
    <x v="0"/>
    <x v="0"/>
    <x v="0"/>
    <x v="0"/>
    <x v="0"/>
    <x v="1"/>
    <x v="0"/>
    <x v="0"/>
    <x v="0"/>
    <x v="0"/>
    <x v="0"/>
    <x v="0"/>
  </r>
  <r>
    <x v="72"/>
    <x v="72"/>
    <x v="28"/>
    <x v="37"/>
    <x v="0"/>
    <x v="1"/>
    <x v="44"/>
    <x v="58"/>
    <x v="0"/>
    <x v="56"/>
    <x v="0"/>
    <x v="12"/>
    <x v="0"/>
    <x v="0"/>
    <x v="0"/>
    <x v="0"/>
    <x v="0"/>
    <x v="0"/>
    <x v="0"/>
    <x v="1"/>
    <x v="0"/>
    <x v="0"/>
    <x v="0"/>
    <x v="0"/>
    <x v="0"/>
    <x v="0"/>
  </r>
  <r>
    <x v="73"/>
    <x v="73"/>
    <x v="52"/>
    <x v="12"/>
    <x v="0"/>
    <x v="1"/>
    <x v="45"/>
    <x v="59"/>
    <x v="0"/>
    <x v="57"/>
    <x v="28"/>
    <x v="29"/>
    <x v="1"/>
    <x v="1"/>
    <x v="27"/>
    <x v="1"/>
    <x v="27"/>
    <x v="1"/>
    <x v="0"/>
    <x v="1"/>
    <x v="0"/>
    <x v="0"/>
    <x v="0"/>
    <x v="0"/>
    <x v="0"/>
    <x v="0"/>
  </r>
  <r>
    <x v="74"/>
    <x v="74"/>
    <x v="53"/>
    <x v="38"/>
    <x v="0"/>
    <x v="1"/>
    <x v="46"/>
    <x v="60"/>
    <x v="0"/>
    <x v="58"/>
    <x v="29"/>
    <x v="30"/>
    <x v="8"/>
    <x v="8"/>
    <x v="26"/>
    <x v="3"/>
    <x v="26"/>
    <x v="3"/>
    <x v="0"/>
    <x v="1"/>
    <x v="0"/>
    <x v="0"/>
    <x v="0"/>
    <x v="0"/>
    <x v="0"/>
    <x v="0"/>
  </r>
  <r>
    <x v="75"/>
    <x v="75"/>
    <x v="8"/>
    <x v="14"/>
    <x v="0"/>
    <x v="1"/>
    <x v="14"/>
    <x v="61"/>
    <x v="0"/>
    <x v="59"/>
    <x v="0"/>
    <x v="12"/>
    <x v="0"/>
    <x v="0"/>
    <x v="0"/>
    <x v="0"/>
    <x v="0"/>
    <x v="0"/>
    <x v="0"/>
    <x v="1"/>
    <x v="0"/>
    <x v="0"/>
    <x v="0"/>
    <x v="0"/>
    <x v="0"/>
    <x v="0"/>
  </r>
  <r>
    <x v="76"/>
    <x v="76"/>
    <x v="54"/>
    <x v="39"/>
    <x v="2"/>
    <x v="20"/>
    <x v="24"/>
    <x v="62"/>
    <x v="19"/>
    <x v="60"/>
    <x v="0"/>
    <x v="12"/>
    <x v="0"/>
    <x v="0"/>
    <x v="0"/>
    <x v="0"/>
    <x v="0"/>
    <x v="0"/>
    <x v="0"/>
    <x v="1"/>
    <x v="0"/>
    <x v="0"/>
    <x v="0"/>
    <x v="0"/>
    <x v="0"/>
    <x v="0"/>
  </r>
  <r>
    <x v="77"/>
    <x v="77"/>
    <x v="55"/>
    <x v="40"/>
    <x v="1"/>
    <x v="21"/>
    <x v="13"/>
    <x v="63"/>
    <x v="20"/>
    <x v="61"/>
    <x v="0"/>
    <x v="12"/>
    <x v="0"/>
    <x v="0"/>
    <x v="0"/>
    <x v="0"/>
    <x v="0"/>
    <x v="0"/>
    <x v="0"/>
    <x v="1"/>
    <x v="0"/>
    <x v="0"/>
    <x v="0"/>
    <x v="0"/>
    <x v="0"/>
    <x v="0"/>
  </r>
  <r>
    <x v="78"/>
    <x v="78"/>
    <x v="56"/>
    <x v="41"/>
    <x v="5"/>
    <x v="0"/>
    <x v="47"/>
    <x v="64"/>
    <x v="0"/>
    <x v="0"/>
    <x v="0"/>
    <x v="0"/>
    <x v="10"/>
    <x v="11"/>
    <x v="28"/>
    <x v="11"/>
    <x v="28"/>
    <x v="10"/>
    <x v="0"/>
    <x v="0"/>
    <x v="3"/>
    <x v="3"/>
    <x v="3"/>
    <x v="3"/>
    <x v="3"/>
    <x v="3"/>
  </r>
</pivotCacheRecords>
</file>

<file path=xl/pivotCache/pivotCacheRecords9.xml><?xml version="1.0" encoding="utf-8"?>
<pivotCacheRecords xmlns="http://schemas.openxmlformats.org/spreadsheetml/2006/main" xmlns:r="http://schemas.openxmlformats.org/officeDocument/2006/relationships" count="145">
  <r>
    <x v="0"/>
    <x v="0"/>
    <x v="0"/>
    <x v="0"/>
    <x v="0"/>
    <x v="0"/>
    <x v="0"/>
    <x v="0"/>
    <x v="0"/>
    <x v="0"/>
    <x v="0"/>
    <x v="0"/>
    <x v="0"/>
    <x v="0"/>
    <x v="0"/>
    <x v="0"/>
    <x v="0"/>
    <x v="0"/>
    <x v="0"/>
    <x v="0"/>
    <x v="0"/>
    <x v="0"/>
    <x v="0"/>
    <x v="0"/>
    <x v="0"/>
    <x v="0"/>
  </r>
  <r>
    <x v="1"/>
    <x v="1"/>
    <x v="1"/>
    <x v="0"/>
    <x v="0"/>
    <x v="1"/>
    <x v="0"/>
    <x v="0"/>
    <x v="0"/>
    <x v="0"/>
    <x v="0"/>
    <x v="0"/>
    <x v="0"/>
    <x v="0"/>
    <x v="0"/>
    <x v="0"/>
    <x v="0"/>
    <x v="0"/>
    <x v="0"/>
    <x v="0"/>
    <x v="0"/>
    <x v="0"/>
    <x v="0"/>
    <x v="0"/>
    <x v="0"/>
    <x v="0"/>
  </r>
  <r>
    <x v="2"/>
    <x v="2"/>
    <x v="0"/>
    <x v="0"/>
    <x v="0"/>
    <x v="0"/>
    <x v="0"/>
    <x v="0"/>
    <x v="0"/>
    <x v="0"/>
    <x v="0"/>
    <x v="0"/>
    <x v="0"/>
    <x v="0"/>
    <x v="0"/>
    <x v="0"/>
    <x v="0"/>
    <x v="0"/>
    <x v="0"/>
    <x v="0"/>
    <x v="0"/>
    <x v="0"/>
    <x v="0"/>
    <x v="0"/>
    <x v="0"/>
    <x v="0"/>
  </r>
  <r>
    <x v="3"/>
    <x v="3"/>
    <x v="2"/>
    <x v="0"/>
    <x v="0"/>
    <x v="1"/>
    <x v="0"/>
    <x v="0"/>
    <x v="0"/>
    <x v="0"/>
    <x v="0"/>
    <x v="0"/>
    <x v="0"/>
    <x v="0"/>
    <x v="0"/>
    <x v="0"/>
    <x v="0"/>
    <x v="0"/>
    <x v="0"/>
    <x v="0"/>
    <x v="0"/>
    <x v="0"/>
    <x v="0"/>
    <x v="0"/>
    <x v="0"/>
    <x v="0"/>
  </r>
  <r>
    <x v="4"/>
    <x v="4"/>
    <x v="3"/>
    <x v="0"/>
    <x v="0"/>
    <x v="1"/>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9"/>
    <x v="9"/>
    <x v="4"/>
    <x v="0"/>
    <x v="0"/>
    <x v="1"/>
    <x v="0"/>
    <x v="0"/>
    <x v="0"/>
    <x v="0"/>
    <x v="0"/>
    <x v="0"/>
    <x v="0"/>
    <x v="0"/>
    <x v="0"/>
    <x v="0"/>
    <x v="0"/>
    <x v="0"/>
    <x v="0"/>
    <x v="0"/>
    <x v="0"/>
    <x v="0"/>
    <x v="0"/>
    <x v="0"/>
    <x v="0"/>
    <x v="0"/>
  </r>
  <r>
    <x v="10"/>
    <x v="10"/>
    <x v="5"/>
    <x v="0"/>
    <x v="0"/>
    <x v="1"/>
    <x v="0"/>
    <x v="0"/>
    <x v="0"/>
    <x v="0"/>
    <x v="0"/>
    <x v="0"/>
    <x v="0"/>
    <x v="0"/>
    <x v="0"/>
    <x v="0"/>
    <x v="0"/>
    <x v="0"/>
    <x v="0"/>
    <x v="0"/>
    <x v="0"/>
    <x v="0"/>
    <x v="0"/>
    <x v="0"/>
    <x v="0"/>
    <x v="0"/>
  </r>
  <r>
    <x v="11"/>
    <x v="11"/>
    <x v="6"/>
    <x v="0"/>
    <x v="0"/>
    <x v="1"/>
    <x v="0"/>
    <x v="0"/>
    <x v="0"/>
    <x v="0"/>
    <x v="0"/>
    <x v="0"/>
    <x v="0"/>
    <x v="0"/>
    <x v="0"/>
    <x v="0"/>
    <x v="0"/>
    <x v="0"/>
    <x v="0"/>
    <x v="0"/>
    <x v="0"/>
    <x v="0"/>
    <x v="0"/>
    <x v="0"/>
    <x v="0"/>
    <x v="0"/>
  </r>
  <r>
    <x v="12"/>
    <x v="12"/>
    <x v="7"/>
    <x v="0"/>
    <x v="0"/>
    <x v="1"/>
    <x v="0"/>
    <x v="0"/>
    <x v="0"/>
    <x v="0"/>
    <x v="0"/>
    <x v="0"/>
    <x v="0"/>
    <x v="0"/>
    <x v="0"/>
    <x v="0"/>
    <x v="0"/>
    <x v="0"/>
    <x v="0"/>
    <x v="0"/>
    <x v="0"/>
    <x v="0"/>
    <x v="0"/>
    <x v="0"/>
    <x v="0"/>
    <x v="0"/>
  </r>
  <r>
    <x v="13"/>
    <x v="13"/>
    <x v="0"/>
    <x v="0"/>
    <x v="0"/>
    <x v="0"/>
    <x v="0"/>
    <x v="0"/>
    <x v="0"/>
    <x v="0"/>
    <x v="0"/>
    <x v="0"/>
    <x v="0"/>
    <x v="0"/>
    <x v="0"/>
    <x v="0"/>
    <x v="0"/>
    <x v="0"/>
    <x v="0"/>
    <x v="0"/>
    <x v="0"/>
    <x v="0"/>
    <x v="0"/>
    <x v="0"/>
    <x v="0"/>
    <x v="0"/>
  </r>
  <r>
    <x v="14"/>
    <x v="14"/>
    <x v="3"/>
    <x v="0"/>
    <x v="0"/>
    <x v="1"/>
    <x v="0"/>
    <x v="0"/>
    <x v="0"/>
    <x v="0"/>
    <x v="0"/>
    <x v="0"/>
    <x v="0"/>
    <x v="0"/>
    <x v="0"/>
    <x v="0"/>
    <x v="0"/>
    <x v="0"/>
    <x v="0"/>
    <x v="0"/>
    <x v="0"/>
    <x v="0"/>
    <x v="0"/>
    <x v="0"/>
    <x v="0"/>
    <x v="0"/>
  </r>
  <r>
    <x v="15"/>
    <x v="15"/>
    <x v="7"/>
    <x v="0"/>
    <x v="0"/>
    <x v="1"/>
    <x v="0"/>
    <x v="0"/>
    <x v="0"/>
    <x v="0"/>
    <x v="0"/>
    <x v="0"/>
    <x v="0"/>
    <x v="0"/>
    <x v="0"/>
    <x v="0"/>
    <x v="0"/>
    <x v="0"/>
    <x v="0"/>
    <x v="0"/>
    <x v="0"/>
    <x v="0"/>
    <x v="0"/>
    <x v="0"/>
    <x v="0"/>
    <x v="0"/>
  </r>
  <r>
    <x v="16"/>
    <x v="16"/>
    <x v="8"/>
    <x v="0"/>
    <x v="0"/>
    <x v="1"/>
    <x v="0"/>
    <x v="0"/>
    <x v="0"/>
    <x v="0"/>
    <x v="0"/>
    <x v="0"/>
    <x v="0"/>
    <x v="0"/>
    <x v="0"/>
    <x v="0"/>
    <x v="0"/>
    <x v="0"/>
    <x v="0"/>
    <x v="0"/>
    <x v="0"/>
    <x v="0"/>
    <x v="0"/>
    <x v="0"/>
    <x v="0"/>
    <x v="0"/>
  </r>
  <r>
    <x v="9"/>
    <x v="9"/>
    <x v="9"/>
    <x v="1"/>
    <x v="0"/>
    <x v="1"/>
    <x v="1"/>
    <x v="1"/>
    <x v="0"/>
    <x v="1"/>
    <x v="1"/>
    <x v="1"/>
    <x v="1"/>
    <x v="1"/>
    <x v="1"/>
    <x v="1"/>
    <x v="1"/>
    <x v="1"/>
    <x v="0"/>
    <x v="1"/>
    <x v="0"/>
    <x v="0"/>
    <x v="0"/>
    <x v="0"/>
    <x v="0"/>
    <x v="0"/>
  </r>
  <r>
    <x v="10"/>
    <x v="10"/>
    <x v="10"/>
    <x v="2"/>
    <x v="0"/>
    <x v="1"/>
    <x v="2"/>
    <x v="2"/>
    <x v="0"/>
    <x v="2"/>
    <x v="2"/>
    <x v="2"/>
    <x v="2"/>
    <x v="2"/>
    <x v="2"/>
    <x v="2"/>
    <x v="2"/>
    <x v="2"/>
    <x v="0"/>
    <x v="1"/>
    <x v="0"/>
    <x v="0"/>
    <x v="0"/>
    <x v="0"/>
    <x v="0"/>
    <x v="0"/>
  </r>
  <r>
    <x v="11"/>
    <x v="11"/>
    <x v="11"/>
    <x v="3"/>
    <x v="1"/>
    <x v="2"/>
    <x v="3"/>
    <x v="3"/>
    <x v="1"/>
    <x v="3"/>
    <x v="3"/>
    <x v="3"/>
    <x v="3"/>
    <x v="3"/>
    <x v="3"/>
    <x v="3"/>
    <x v="3"/>
    <x v="3"/>
    <x v="0"/>
    <x v="1"/>
    <x v="0"/>
    <x v="0"/>
    <x v="0"/>
    <x v="0"/>
    <x v="0"/>
    <x v="0"/>
  </r>
  <r>
    <x v="12"/>
    <x v="12"/>
    <x v="12"/>
    <x v="4"/>
    <x v="1"/>
    <x v="3"/>
    <x v="4"/>
    <x v="4"/>
    <x v="2"/>
    <x v="4"/>
    <x v="4"/>
    <x v="4"/>
    <x v="4"/>
    <x v="4"/>
    <x v="4"/>
    <x v="4"/>
    <x v="4"/>
    <x v="4"/>
    <x v="0"/>
    <x v="1"/>
    <x v="0"/>
    <x v="0"/>
    <x v="0"/>
    <x v="0"/>
    <x v="0"/>
    <x v="0"/>
  </r>
  <r>
    <x v="13"/>
    <x v="13"/>
    <x v="0"/>
    <x v="0"/>
    <x v="0"/>
    <x v="0"/>
    <x v="0"/>
    <x v="0"/>
    <x v="0"/>
    <x v="0"/>
    <x v="0"/>
    <x v="0"/>
    <x v="0"/>
    <x v="0"/>
    <x v="0"/>
    <x v="0"/>
    <x v="0"/>
    <x v="0"/>
    <x v="0"/>
    <x v="0"/>
    <x v="0"/>
    <x v="0"/>
    <x v="0"/>
    <x v="0"/>
    <x v="0"/>
    <x v="0"/>
  </r>
  <r>
    <x v="14"/>
    <x v="14"/>
    <x v="13"/>
    <x v="5"/>
    <x v="2"/>
    <x v="4"/>
    <x v="5"/>
    <x v="5"/>
    <x v="3"/>
    <x v="5"/>
    <x v="5"/>
    <x v="5"/>
    <x v="1"/>
    <x v="5"/>
    <x v="5"/>
    <x v="1"/>
    <x v="5"/>
    <x v="5"/>
    <x v="0"/>
    <x v="1"/>
    <x v="0"/>
    <x v="0"/>
    <x v="0"/>
    <x v="0"/>
    <x v="0"/>
    <x v="0"/>
  </r>
  <r>
    <x v="0"/>
    <x v="0"/>
    <x v="0"/>
    <x v="0"/>
    <x v="0"/>
    <x v="0"/>
    <x v="0"/>
    <x v="0"/>
    <x v="0"/>
    <x v="0"/>
    <x v="0"/>
    <x v="0"/>
    <x v="0"/>
    <x v="0"/>
    <x v="0"/>
    <x v="0"/>
    <x v="0"/>
    <x v="0"/>
    <x v="0"/>
    <x v="0"/>
    <x v="0"/>
    <x v="0"/>
    <x v="0"/>
    <x v="0"/>
    <x v="0"/>
    <x v="0"/>
  </r>
  <r>
    <x v="3"/>
    <x v="3"/>
    <x v="14"/>
    <x v="6"/>
    <x v="2"/>
    <x v="5"/>
    <x v="6"/>
    <x v="6"/>
    <x v="4"/>
    <x v="6"/>
    <x v="6"/>
    <x v="6"/>
    <x v="3"/>
    <x v="6"/>
    <x v="6"/>
    <x v="5"/>
    <x v="6"/>
    <x v="6"/>
    <x v="0"/>
    <x v="1"/>
    <x v="0"/>
    <x v="0"/>
    <x v="0"/>
    <x v="0"/>
    <x v="0"/>
    <x v="0"/>
  </r>
  <r>
    <x v="2"/>
    <x v="2"/>
    <x v="0"/>
    <x v="0"/>
    <x v="0"/>
    <x v="0"/>
    <x v="0"/>
    <x v="0"/>
    <x v="0"/>
    <x v="0"/>
    <x v="0"/>
    <x v="0"/>
    <x v="0"/>
    <x v="0"/>
    <x v="0"/>
    <x v="0"/>
    <x v="0"/>
    <x v="0"/>
    <x v="0"/>
    <x v="0"/>
    <x v="0"/>
    <x v="0"/>
    <x v="0"/>
    <x v="0"/>
    <x v="0"/>
    <x v="0"/>
  </r>
  <r>
    <x v="15"/>
    <x v="15"/>
    <x v="15"/>
    <x v="7"/>
    <x v="2"/>
    <x v="6"/>
    <x v="7"/>
    <x v="7"/>
    <x v="5"/>
    <x v="7"/>
    <x v="7"/>
    <x v="7"/>
    <x v="3"/>
    <x v="6"/>
    <x v="7"/>
    <x v="3"/>
    <x v="7"/>
    <x v="7"/>
    <x v="0"/>
    <x v="1"/>
    <x v="0"/>
    <x v="0"/>
    <x v="0"/>
    <x v="0"/>
    <x v="0"/>
    <x v="0"/>
  </r>
  <r>
    <x v="4"/>
    <x v="4"/>
    <x v="16"/>
    <x v="8"/>
    <x v="0"/>
    <x v="1"/>
    <x v="8"/>
    <x v="8"/>
    <x v="0"/>
    <x v="8"/>
    <x v="8"/>
    <x v="8"/>
    <x v="2"/>
    <x v="2"/>
    <x v="8"/>
    <x v="4"/>
    <x v="8"/>
    <x v="4"/>
    <x v="0"/>
    <x v="1"/>
    <x v="0"/>
    <x v="0"/>
    <x v="0"/>
    <x v="0"/>
    <x v="0"/>
    <x v="0"/>
  </r>
  <r>
    <x v="16"/>
    <x v="16"/>
    <x v="17"/>
    <x v="9"/>
    <x v="0"/>
    <x v="1"/>
    <x v="9"/>
    <x v="9"/>
    <x v="0"/>
    <x v="9"/>
    <x v="9"/>
    <x v="9"/>
    <x v="5"/>
    <x v="7"/>
    <x v="9"/>
    <x v="6"/>
    <x v="9"/>
    <x v="8"/>
    <x v="0"/>
    <x v="1"/>
    <x v="0"/>
    <x v="0"/>
    <x v="0"/>
    <x v="0"/>
    <x v="0"/>
    <x v="0"/>
  </r>
  <r>
    <x v="8"/>
    <x v="8"/>
    <x v="18"/>
    <x v="10"/>
    <x v="0"/>
    <x v="1"/>
    <x v="10"/>
    <x v="10"/>
    <x v="0"/>
    <x v="10"/>
    <x v="10"/>
    <x v="10"/>
    <x v="1"/>
    <x v="5"/>
    <x v="10"/>
    <x v="1"/>
    <x v="10"/>
    <x v="5"/>
    <x v="0"/>
    <x v="1"/>
    <x v="0"/>
    <x v="0"/>
    <x v="0"/>
    <x v="0"/>
    <x v="0"/>
    <x v="0"/>
  </r>
  <r>
    <x v="5"/>
    <x v="5"/>
    <x v="19"/>
    <x v="11"/>
    <x v="1"/>
    <x v="7"/>
    <x v="11"/>
    <x v="11"/>
    <x v="6"/>
    <x v="11"/>
    <x v="11"/>
    <x v="11"/>
    <x v="4"/>
    <x v="4"/>
    <x v="11"/>
    <x v="7"/>
    <x v="11"/>
    <x v="9"/>
    <x v="0"/>
    <x v="1"/>
    <x v="0"/>
    <x v="0"/>
    <x v="0"/>
    <x v="0"/>
    <x v="0"/>
    <x v="0"/>
  </r>
  <r>
    <x v="17"/>
    <x v="17"/>
    <x v="20"/>
    <x v="12"/>
    <x v="0"/>
    <x v="1"/>
    <x v="12"/>
    <x v="12"/>
    <x v="0"/>
    <x v="12"/>
    <x v="0"/>
    <x v="12"/>
    <x v="0"/>
    <x v="0"/>
    <x v="0"/>
    <x v="0"/>
    <x v="0"/>
    <x v="0"/>
    <x v="0"/>
    <x v="1"/>
    <x v="0"/>
    <x v="0"/>
    <x v="0"/>
    <x v="0"/>
    <x v="0"/>
    <x v="0"/>
  </r>
  <r>
    <x v="18"/>
    <x v="18"/>
    <x v="21"/>
    <x v="13"/>
    <x v="0"/>
    <x v="1"/>
    <x v="13"/>
    <x v="13"/>
    <x v="0"/>
    <x v="13"/>
    <x v="0"/>
    <x v="12"/>
    <x v="0"/>
    <x v="0"/>
    <x v="0"/>
    <x v="0"/>
    <x v="0"/>
    <x v="0"/>
    <x v="0"/>
    <x v="1"/>
    <x v="0"/>
    <x v="0"/>
    <x v="0"/>
    <x v="0"/>
    <x v="0"/>
    <x v="0"/>
  </r>
  <r>
    <x v="19"/>
    <x v="19"/>
    <x v="22"/>
    <x v="14"/>
    <x v="0"/>
    <x v="1"/>
    <x v="14"/>
    <x v="14"/>
    <x v="0"/>
    <x v="14"/>
    <x v="0"/>
    <x v="12"/>
    <x v="0"/>
    <x v="0"/>
    <x v="0"/>
    <x v="0"/>
    <x v="0"/>
    <x v="0"/>
    <x v="0"/>
    <x v="1"/>
    <x v="0"/>
    <x v="0"/>
    <x v="0"/>
    <x v="0"/>
    <x v="0"/>
    <x v="0"/>
  </r>
  <r>
    <x v="20"/>
    <x v="20"/>
    <x v="23"/>
    <x v="15"/>
    <x v="0"/>
    <x v="1"/>
    <x v="15"/>
    <x v="15"/>
    <x v="0"/>
    <x v="15"/>
    <x v="0"/>
    <x v="12"/>
    <x v="0"/>
    <x v="0"/>
    <x v="0"/>
    <x v="0"/>
    <x v="0"/>
    <x v="0"/>
    <x v="0"/>
    <x v="1"/>
    <x v="0"/>
    <x v="0"/>
    <x v="0"/>
    <x v="0"/>
    <x v="0"/>
    <x v="0"/>
  </r>
  <r>
    <x v="21"/>
    <x v="21"/>
    <x v="24"/>
    <x v="16"/>
    <x v="0"/>
    <x v="1"/>
    <x v="16"/>
    <x v="16"/>
    <x v="0"/>
    <x v="16"/>
    <x v="0"/>
    <x v="12"/>
    <x v="0"/>
    <x v="0"/>
    <x v="0"/>
    <x v="0"/>
    <x v="0"/>
    <x v="0"/>
    <x v="0"/>
    <x v="1"/>
    <x v="0"/>
    <x v="0"/>
    <x v="0"/>
    <x v="0"/>
    <x v="0"/>
    <x v="0"/>
  </r>
  <r>
    <x v="22"/>
    <x v="22"/>
    <x v="25"/>
    <x v="17"/>
    <x v="0"/>
    <x v="1"/>
    <x v="17"/>
    <x v="17"/>
    <x v="0"/>
    <x v="17"/>
    <x v="0"/>
    <x v="12"/>
    <x v="0"/>
    <x v="0"/>
    <x v="0"/>
    <x v="0"/>
    <x v="0"/>
    <x v="0"/>
    <x v="0"/>
    <x v="1"/>
    <x v="0"/>
    <x v="0"/>
    <x v="0"/>
    <x v="0"/>
    <x v="0"/>
    <x v="0"/>
  </r>
  <r>
    <x v="23"/>
    <x v="23"/>
    <x v="0"/>
    <x v="0"/>
    <x v="0"/>
    <x v="0"/>
    <x v="0"/>
    <x v="0"/>
    <x v="0"/>
    <x v="0"/>
    <x v="0"/>
    <x v="0"/>
    <x v="0"/>
    <x v="0"/>
    <x v="0"/>
    <x v="0"/>
    <x v="0"/>
    <x v="0"/>
    <x v="0"/>
    <x v="0"/>
    <x v="0"/>
    <x v="0"/>
    <x v="0"/>
    <x v="0"/>
    <x v="0"/>
    <x v="0"/>
  </r>
  <r>
    <x v="24"/>
    <x v="24"/>
    <x v="23"/>
    <x v="14"/>
    <x v="0"/>
    <x v="1"/>
    <x v="18"/>
    <x v="18"/>
    <x v="0"/>
    <x v="18"/>
    <x v="12"/>
    <x v="13"/>
    <x v="6"/>
    <x v="8"/>
    <x v="12"/>
    <x v="8"/>
    <x v="12"/>
    <x v="10"/>
    <x v="0"/>
    <x v="1"/>
    <x v="0"/>
    <x v="0"/>
    <x v="0"/>
    <x v="0"/>
    <x v="0"/>
    <x v="0"/>
  </r>
  <r>
    <x v="25"/>
    <x v="25"/>
    <x v="0"/>
    <x v="0"/>
    <x v="0"/>
    <x v="0"/>
    <x v="0"/>
    <x v="0"/>
    <x v="0"/>
    <x v="0"/>
    <x v="0"/>
    <x v="0"/>
    <x v="0"/>
    <x v="0"/>
    <x v="0"/>
    <x v="0"/>
    <x v="0"/>
    <x v="0"/>
    <x v="0"/>
    <x v="0"/>
    <x v="0"/>
    <x v="0"/>
    <x v="0"/>
    <x v="0"/>
    <x v="0"/>
    <x v="0"/>
  </r>
  <r>
    <x v="26"/>
    <x v="26"/>
    <x v="26"/>
    <x v="18"/>
    <x v="1"/>
    <x v="8"/>
    <x v="19"/>
    <x v="19"/>
    <x v="7"/>
    <x v="19"/>
    <x v="0"/>
    <x v="12"/>
    <x v="0"/>
    <x v="0"/>
    <x v="0"/>
    <x v="0"/>
    <x v="0"/>
    <x v="0"/>
    <x v="0"/>
    <x v="1"/>
    <x v="0"/>
    <x v="0"/>
    <x v="0"/>
    <x v="0"/>
    <x v="0"/>
    <x v="0"/>
  </r>
  <r>
    <x v="27"/>
    <x v="27"/>
    <x v="20"/>
    <x v="19"/>
    <x v="0"/>
    <x v="1"/>
    <x v="13"/>
    <x v="20"/>
    <x v="0"/>
    <x v="20"/>
    <x v="0"/>
    <x v="12"/>
    <x v="0"/>
    <x v="0"/>
    <x v="0"/>
    <x v="0"/>
    <x v="0"/>
    <x v="0"/>
    <x v="0"/>
    <x v="1"/>
    <x v="0"/>
    <x v="0"/>
    <x v="0"/>
    <x v="0"/>
    <x v="0"/>
    <x v="0"/>
  </r>
  <r>
    <x v="28"/>
    <x v="28"/>
    <x v="27"/>
    <x v="20"/>
    <x v="0"/>
    <x v="1"/>
    <x v="20"/>
    <x v="21"/>
    <x v="0"/>
    <x v="21"/>
    <x v="0"/>
    <x v="12"/>
    <x v="0"/>
    <x v="0"/>
    <x v="0"/>
    <x v="0"/>
    <x v="0"/>
    <x v="0"/>
    <x v="0"/>
    <x v="1"/>
    <x v="0"/>
    <x v="0"/>
    <x v="0"/>
    <x v="0"/>
    <x v="0"/>
    <x v="0"/>
  </r>
  <r>
    <x v="29"/>
    <x v="29"/>
    <x v="7"/>
    <x v="21"/>
    <x v="0"/>
    <x v="1"/>
    <x v="21"/>
    <x v="22"/>
    <x v="0"/>
    <x v="22"/>
    <x v="0"/>
    <x v="12"/>
    <x v="0"/>
    <x v="0"/>
    <x v="0"/>
    <x v="0"/>
    <x v="0"/>
    <x v="0"/>
    <x v="0"/>
    <x v="1"/>
    <x v="0"/>
    <x v="0"/>
    <x v="0"/>
    <x v="0"/>
    <x v="0"/>
    <x v="0"/>
  </r>
  <r>
    <x v="30"/>
    <x v="30"/>
    <x v="28"/>
    <x v="22"/>
    <x v="0"/>
    <x v="1"/>
    <x v="22"/>
    <x v="23"/>
    <x v="0"/>
    <x v="23"/>
    <x v="13"/>
    <x v="14"/>
    <x v="7"/>
    <x v="9"/>
    <x v="13"/>
    <x v="8"/>
    <x v="13"/>
    <x v="10"/>
    <x v="0"/>
    <x v="1"/>
    <x v="0"/>
    <x v="0"/>
    <x v="0"/>
    <x v="0"/>
    <x v="0"/>
    <x v="0"/>
  </r>
  <r>
    <x v="31"/>
    <x v="31"/>
    <x v="22"/>
    <x v="14"/>
    <x v="0"/>
    <x v="1"/>
    <x v="23"/>
    <x v="24"/>
    <x v="0"/>
    <x v="24"/>
    <x v="0"/>
    <x v="12"/>
    <x v="0"/>
    <x v="0"/>
    <x v="0"/>
    <x v="0"/>
    <x v="0"/>
    <x v="0"/>
    <x v="0"/>
    <x v="1"/>
    <x v="0"/>
    <x v="0"/>
    <x v="0"/>
    <x v="0"/>
    <x v="0"/>
    <x v="0"/>
  </r>
  <r>
    <x v="32"/>
    <x v="32"/>
    <x v="29"/>
    <x v="15"/>
    <x v="0"/>
    <x v="1"/>
    <x v="24"/>
    <x v="25"/>
    <x v="0"/>
    <x v="25"/>
    <x v="0"/>
    <x v="12"/>
    <x v="0"/>
    <x v="0"/>
    <x v="0"/>
    <x v="0"/>
    <x v="0"/>
    <x v="0"/>
    <x v="0"/>
    <x v="1"/>
    <x v="0"/>
    <x v="0"/>
    <x v="0"/>
    <x v="0"/>
    <x v="0"/>
    <x v="0"/>
  </r>
  <r>
    <x v="33"/>
    <x v="33"/>
    <x v="5"/>
    <x v="15"/>
    <x v="0"/>
    <x v="1"/>
    <x v="15"/>
    <x v="26"/>
    <x v="0"/>
    <x v="26"/>
    <x v="0"/>
    <x v="12"/>
    <x v="0"/>
    <x v="0"/>
    <x v="0"/>
    <x v="0"/>
    <x v="0"/>
    <x v="0"/>
    <x v="0"/>
    <x v="1"/>
    <x v="0"/>
    <x v="0"/>
    <x v="0"/>
    <x v="0"/>
    <x v="0"/>
    <x v="0"/>
  </r>
  <r>
    <x v="34"/>
    <x v="34"/>
    <x v="30"/>
    <x v="23"/>
    <x v="0"/>
    <x v="1"/>
    <x v="12"/>
    <x v="27"/>
    <x v="0"/>
    <x v="27"/>
    <x v="0"/>
    <x v="12"/>
    <x v="0"/>
    <x v="0"/>
    <x v="0"/>
    <x v="0"/>
    <x v="0"/>
    <x v="0"/>
    <x v="0"/>
    <x v="1"/>
    <x v="0"/>
    <x v="0"/>
    <x v="0"/>
    <x v="0"/>
    <x v="0"/>
    <x v="0"/>
  </r>
  <r>
    <x v="35"/>
    <x v="35"/>
    <x v="31"/>
    <x v="24"/>
    <x v="0"/>
    <x v="1"/>
    <x v="25"/>
    <x v="28"/>
    <x v="0"/>
    <x v="28"/>
    <x v="0"/>
    <x v="12"/>
    <x v="0"/>
    <x v="0"/>
    <x v="0"/>
    <x v="0"/>
    <x v="0"/>
    <x v="0"/>
    <x v="0"/>
    <x v="1"/>
    <x v="0"/>
    <x v="0"/>
    <x v="0"/>
    <x v="0"/>
    <x v="0"/>
    <x v="0"/>
  </r>
  <r>
    <x v="36"/>
    <x v="36"/>
    <x v="32"/>
    <x v="25"/>
    <x v="0"/>
    <x v="1"/>
    <x v="26"/>
    <x v="29"/>
    <x v="0"/>
    <x v="29"/>
    <x v="14"/>
    <x v="15"/>
    <x v="6"/>
    <x v="8"/>
    <x v="12"/>
    <x v="8"/>
    <x v="12"/>
    <x v="10"/>
    <x v="0"/>
    <x v="1"/>
    <x v="0"/>
    <x v="0"/>
    <x v="0"/>
    <x v="0"/>
    <x v="0"/>
    <x v="0"/>
  </r>
  <r>
    <x v="37"/>
    <x v="37"/>
    <x v="33"/>
    <x v="12"/>
    <x v="0"/>
    <x v="1"/>
    <x v="14"/>
    <x v="30"/>
    <x v="0"/>
    <x v="30"/>
    <x v="0"/>
    <x v="12"/>
    <x v="0"/>
    <x v="0"/>
    <x v="0"/>
    <x v="0"/>
    <x v="0"/>
    <x v="0"/>
    <x v="0"/>
    <x v="1"/>
    <x v="0"/>
    <x v="0"/>
    <x v="0"/>
    <x v="0"/>
    <x v="0"/>
    <x v="0"/>
  </r>
  <r>
    <x v="38"/>
    <x v="38"/>
    <x v="5"/>
    <x v="26"/>
    <x v="0"/>
    <x v="1"/>
    <x v="27"/>
    <x v="31"/>
    <x v="0"/>
    <x v="31"/>
    <x v="0"/>
    <x v="12"/>
    <x v="0"/>
    <x v="0"/>
    <x v="0"/>
    <x v="0"/>
    <x v="0"/>
    <x v="0"/>
    <x v="0"/>
    <x v="1"/>
    <x v="0"/>
    <x v="0"/>
    <x v="0"/>
    <x v="0"/>
    <x v="0"/>
    <x v="0"/>
  </r>
  <r>
    <x v="39"/>
    <x v="39"/>
    <x v="34"/>
    <x v="18"/>
    <x v="1"/>
    <x v="9"/>
    <x v="28"/>
    <x v="32"/>
    <x v="8"/>
    <x v="32"/>
    <x v="15"/>
    <x v="16"/>
    <x v="6"/>
    <x v="8"/>
    <x v="14"/>
    <x v="8"/>
    <x v="14"/>
    <x v="10"/>
    <x v="0"/>
    <x v="1"/>
    <x v="0"/>
    <x v="0"/>
    <x v="0"/>
    <x v="0"/>
    <x v="0"/>
    <x v="0"/>
  </r>
  <r>
    <x v="40"/>
    <x v="40"/>
    <x v="35"/>
    <x v="12"/>
    <x v="0"/>
    <x v="1"/>
    <x v="27"/>
    <x v="33"/>
    <x v="0"/>
    <x v="33"/>
    <x v="0"/>
    <x v="12"/>
    <x v="0"/>
    <x v="0"/>
    <x v="0"/>
    <x v="0"/>
    <x v="0"/>
    <x v="0"/>
    <x v="0"/>
    <x v="1"/>
    <x v="0"/>
    <x v="0"/>
    <x v="0"/>
    <x v="0"/>
    <x v="0"/>
    <x v="0"/>
  </r>
  <r>
    <x v="41"/>
    <x v="41"/>
    <x v="36"/>
    <x v="20"/>
    <x v="0"/>
    <x v="1"/>
    <x v="18"/>
    <x v="34"/>
    <x v="0"/>
    <x v="34"/>
    <x v="16"/>
    <x v="17"/>
    <x v="6"/>
    <x v="8"/>
    <x v="12"/>
    <x v="8"/>
    <x v="12"/>
    <x v="10"/>
    <x v="0"/>
    <x v="1"/>
    <x v="0"/>
    <x v="0"/>
    <x v="0"/>
    <x v="0"/>
    <x v="0"/>
    <x v="0"/>
  </r>
  <r>
    <x v="42"/>
    <x v="42"/>
    <x v="24"/>
    <x v="15"/>
    <x v="0"/>
    <x v="1"/>
    <x v="29"/>
    <x v="35"/>
    <x v="0"/>
    <x v="35"/>
    <x v="17"/>
    <x v="18"/>
    <x v="6"/>
    <x v="8"/>
    <x v="15"/>
    <x v="8"/>
    <x v="15"/>
    <x v="10"/>
    <x v="0"/>
    <x v="1"/>
    <x v="0"/>
    <x v="0"/>
    <x v="0"/>
    <x v="0"/>
    <x v="0"/>
    <x v="0"/>
  </r>
  <r>
    <x v="43"/>
    <x v="43"/>
    <x v="37"/>
    <x v="16"/>
    <x v="0"/>
    <x v="1"/>
    <x v="16"/>
    <x v="36"/>
    <x v="0"/>
    <x v="36"/>
    <x v="0"/>
    <x v="12"/>
    <x v="0"/>
    <x v="0"/>
    <x v="0"/>
    <x v="0"/>
    <x v="0"/>
    <x v="0"/>
    <x v="0"/>
    <x v="1"/>
    <x v="0"/>
    <x v="0"/>
    <x v="0"/>
    <x v="0"/>
    <x v="0"/>
    <x v="0"/>
  </r>
  <r>
    <x v="44"/>
    <x v="44"/>
    <x v="38"/>
    <x v="27"/>
    <x v="0"/>
    <x v="1"/>
    <x v="25"/>
    <x v="37"/>
    <x v="0"/>
    <x v="37"/>
    <x v="0"/>
    <x v="12"/>
    <x v="0"/>
    <x v="0"/>
    <x v="0"/>
    <x v="0"/>
    <x v="0"/>
    <x v="0"/>
    <x v="0"/>
    <x v="1"/>
    <x v="0"/>
    <x v="0"/>
    <x v="0"/>
    <x v="0"/>
    <x v="0"/>
    <x v="0"/>
  </r>
  <r>
    <x v="45"/>
    <x v="45"/>
    <x v="0"/>
    <x v="0"/>
    <x v="0"/>
    <x v="0"/>
    <x v="0"/>
    <x v="0"/>
    <x v="0"/>
    <x v="0"/>
    <x v="0"/>
    <x v="0"/>
    <x v="0"/>
    <x v="0"/>
    <x v="0"/>
    <x v="0"/>
    <x v="0"/>
    <x v="0"/>
    <x v="0"/>
    <x v="0"/>
    <x v="0"/>
    <x v="0"/>
    <x v="0"/>
    <x v="0"/>
    <x v="0"/>
    <x v="0"/>
  </r>
  <r>
    <x v="46"/>
    <x v="46"/>
    <x v="39"/>
    <x v="0"/>
    <x v="3"/>
    <x v="10"/>
    <x v="30"/>
    <x v="38"/>
    <x v="9"/>
    <x v="0"/>
    <x v="18"/>
    <x v="19"/>
    <x v="8"/>
    <x v="10"/>
    <x v="16"/>
    <x v="5"/>
    <x v="16"/>
    <x v="11"/>
    <x v="1"/>
    <x v="2"/>
    <x v="1"/>
    <x v="1"/>
    <x v="1"/>
    <x v="1"/>
    <x v="1"/>
    <x v="1"/>
  </r>
  <r>
    <x v="47"/>
    <x v="47"/>
    <x v="27"/>
    <x v="28"/>
    <x v="0"/>
    <x v="1"/>
    <x v="12"/>
    <x v="39"/>
    <x v="0"/>
    <x v="38"/>
    <x v="0"/>
    <x v="12"/>
    <x v="0"/>
    <x v="0"/>
    <x v="0"/>
    <x v="0"/>
    <x v="0"/>
    <x v="0"/>
    <x v="0"/>
    <x v="1"/>
    <x v="0"/>
    <x v="0"/>
    <x v="0"/>
    <x v="0"/>
    <x v="0"/>
    <x v="0"/>
  </r>
  <r>
    <x v="3"/>
    <x v="3"/>
    <x v="0"/>
    <x v="0"/>
    <x v="0"/>
    <x v="0"/>
    <x v="0"/>
    <x v="0"/>
    <x v="0"/>
    <x v="0"/>
    <x v="0"/>
    <x v="0"/>
    <x v="0"/>
    <x v="0"/>
    <x v="0"/>
    <x v="0"/>
    <x v="0"/>
    <x v="0"/>
    <x v="0"/>
    <x v="0"/>
    <x v="0"/>
    <x v="0"/>
    <x v="0"/>
    <x v="0"/>
    <x v="0"/>
    <x v="0"/>
  </r>
  <r>
    <x v="48"/>
    <x v="48"/>
    <x v="0"/>
    <x v="0"/>
    <x v="0"/>
    <x v="0"/>
    <x v="0"/>
    <x v="0"/>
    <x v="0"/>
    <x v="0"/>
    <x v="0"/>
    <x v="0"/>
    <x v="0"/>
    <x v="0"/>
    <x v="0"/>
    <x v="0"/>
    <x v="0"/>
    <x v="0"/>
    <x v="0"/>
    <x v="0"/>
    <x v="0"/>
    <x v="0"/>
    <x v="0"/>
    <x v="0"/>
    <x v="0"/>
    <x v="0"/>
  </r>
  <r>
    <x v="11"/>
    <x v="11"/>
    <x v="0"/>
    <x v="0"/>
    <x v="0"/>
    <x v="0"/>
    <x v="0"/>
    <x v="0"/>
    <x v="0"/>
    <x v="0"/>
    <x v="0"/>
    <x v="0"/>
    <x v="0"/>
    <x v="0"/>
    <x v="0"/>
    <x v="0"/>
    <x v="0"/>
    <x v="0"/>
    <x v="0"/>
    <x v="0"/>
    <x v="0"/>
    <x v="0"/>
    <x v="0"/>
    <x v="0"/>
    <x v="0"/>
    <x v="0"/>
  </r>
  <r>
    <x v="49"/>
    <x v="49"/>
    <x v="0"/>
    <x v="0"/>
    <x v="0"/>
    <x v="0"/>
    <x v="0"/>
    <x v="0"/>
    <x v="0"/>
    <x v="0"/>
    <x v="0"/>
    <x v="0"/>
    <x v="0"/>
    <x v="0"/>
    <x v="0"/>
    <x v="0"/>
    <x v="0"/>
    <x v="0"/>
    <x v="0"/>
    <x v="0"/>
    <x v="0"/>
    <x v="0"/>
    <x v="0"/>
    <x v="0"/>
    <x v="0"/>
    <x v="0"/>
  </r>
  <r>
    <x v="1"/>
    <x v="1"/>
    <x v="0"/>
    <x v="0"/>
    <x v="0"/>
    <x v="0"/>
    <x v="0"/>
    <x v="0"/>
    <x v="0"/>
    <x v="0"/>
    <x v="0"/>
    <x v="0"/>
    <x v="0"/>
    <x v="0"/>
    <x v="0"/>
    <x v="0"/>
    <x v="0"/>
    <x v="0"/>
    <x v="0"/>
    <x v="0"/>
    <x v="0"/>
    <x v="0"/>
    <x v="0"/>
    <x v="0"/>
    <x v="0"/>
    <x v="0"/>
  </r>
  <r>
    <x v="50"/>
    <x v="50"/>
    <x v="0"/>
    <x v="0"/>
    <x v="0"/>
    <x v="0"/>
    <x v="0"/>
    <x v="0"/>
    <x v="0"/>
    <x v="0"/>
    <x v="0"/>
    <x v="0"/>
    <x v="0"/>
    <x v="0"/>
    <x v="0"/>
    <x v="0"/>
    <x v="0"/>
    <x v="0"/>
    <x v="0"/>
    <x v="0"/>
    <x v="0"/>
    <x v="0"/>
    <x v="0"/>
    <x v="0"/>
    <x v="0"/>
    <x v="0"/>
  </r>
  <r>
    <x v="51"/>
    <x v="51"/>
    <x v="0"/>
    <x v="0"/>
    <x v="0"/>
    <x v="0"/>
    <x v="0"/>
    <x v="0"/>
    <x v="0"/>
    <x v="0"/>
    <x v="0"/>
    <x v="0"/>
    <x v="0"/>
    <x v="0"/>
    <x v="0"/>
    <x v="0"/>
    <x v="0"/>
    <x v="0"/>
    <x v="0"/>
    <x v="0"/>
    <x v="0"/>
    <x v="0"/>
    <x v="0"/>
    <x v="0"/>
    <x v="0"/>
    <x v="0"/>
  </r>
  <r>
    <x v="6"/>
    <x v="6"/>
    <x v="0"/>
    <x v="0"/>
    <x v="0"/>
    <x v="0"/>
    <x v="0"/>
    <x v="0"/>
    <x v="0"/>
    <x v="0"/>
    <x v="0"/>
    <x v="0"/>
    <x v="0"/>
    <x v="0"/>
    <x v="0"/>
    <x v="0"/>
    <x v="0"/>
    <x v="0"/>
    <x v="0"/>
    <x v="0"/>
    <x v="0"/>
    <x v="0"/>
    <x v="0"/>
    <x v="0"/>
    <x v="0"/>
    <x v="0"/>
  </r>
  <r>
    <x v="52"/>
    <x v="52"/>
    <x v="0"/>
    <x v="0"/>
    <x v="0"/>
    <x v="0"/>
    <x v="0"/>
    <x v="0"/>
    <x v="0"/>
    <x v="0"/>
    <x v="0"/>
    <x v="0"/>
    <x v="0"/>
    <x v="0"/>
    <x v="0"/>
    <x v="0"/>
    <x v="0"/>
    <x v="0"/>
    <x v="0"/>
    <x v="0"/>
    <x v="0"/>
    <x v="0"/>
    <x v="0"/>
    <x v="0"/>
    <x v="0"/>
    <x v="0"/>
  </r>
  <r>
    <x v="9"/>
    <x v="9"/>
    <x v="0"/>
    <x v="0"/>
    <x v="0"/>
    <x v="0"/>
    <x v="0"/>
    <x v="0"/>
    <x v="0"/>
    <x v="0"/>
    <x v="0"/>
    <x v="0"/>
    <x v="0"/>
    <x v="0"/>
    <x v="0"/>
    <x v="0"/>
    <x v="0"/>
    <x v="0"/>
    <x v="0"/>
    <x v="0"/>
    <x v="0"/>
    <x v="0"/>
    <x v="0"/>
    <x v="0"/>
    <x v="0"/>
    <x v="0"/>
  </r>
  <r>
    <x v="8"/>
    <x v="8"/>
    <x v="0"/>
    <x v="0"/>
    <x v="0"/>
    <x v="0"/>
    <x v="0"/>
    <x v="0"/>
    <x v="0"/>
    <x v="0"/>
    <x v="0"/>
    <x v="0"/>
    <x v="0"/>
    <x v="0"/>
    <x v="0"/>
    <x v="0"/>
    <x v="0"/>
    <x v="0"/>
    <x v="0"/>
    <x v="0"/>
    <x v="0"/>
    <x v="0"/>
    <x v="0"/>
    <x v="0"/>
    <x v="0"/>
    <x v="0"/>
  </r>
  <r>
    <x v="0"/>
    <x v="0"/>
    <x v="0"/>
    <x v="0"/>
    <x v="0"/>
    <x v="0"/>
    <x v="0"/>
    <x v="0"/>
    <x v="0"/>
    <x v="0"/>
    <x v="0"/>
    <x v="0"/>
    <x v="0"/>
    <x v="0"/>
    <x v="0"/>
    <x v="0"/>
    <x v="0"/>
    <x v="0"/>
    <x v="0"/>
    <x v="0"/>
    <x v="0"/>
    <x v="0"/>
    <x v="0"/>
    <x v="0"/>
    <x v="0"/>
    <x v="0"/>
  </r>
  <r>
    <x v="12"/>
    <x v="12"/>
    <x v="0"/>
    <x v="0"/>
    <x v="0"/>
    <x v="0"/>
    <x v="0"/>
    <x v="0"/>
    <x v="0"/>
    <x v="0"/>
    <x v="0"/>
    <x v="0"/>
    <x v="0"/>
    <x v="0"/>
    <x v="0"/>
    <x v="0"/>
    <x v="0"/>
    <x v="0"/>
    <x v="0"/>
    <x v="0"/>
    <x v="0"/>
    <x v="0"/>
    <x v="0"/>
    <x v="0"/>
    <x v="0"/>
    <x v="0"/>
  </r>
  <r>
    <x v="53"/>
    <x v="53"/>
    <x v="40"/>
    <x v="29"/>
    <x v="0"/>
    <x v="1"/>
    <x v="31"/>
    <x v="40"/>
    <x v="0"/>
    <x v="39"/>
    <x v="19"/>
    <x v="20"/>
    <x v="9"/>
    <x v="6"/>
    <x v="17"/>
    <x v="9"/>
    <x v="17"/>
    <x v="6"/>
    <x v="0"/>
    <x v="1"/>
    <x v="0"/>
    <x v="0"/>
    <x v="0"/>
    <x v="0"/>
    <x v="0"/>
    <x v="0"/>
  </r>
  <r>
    <x v="54"/>
    <x v="54"/>
    <x v="0"/>
    <x v="0"/>
    <x v="0"/>
    <x v="0"/>
    <x v="0"/>
    <x v="0"/>
    <x v="0"/>
    <x v="0"/>
    <x v="0"/>
    <x v="0"/>
    <x v="0"/>
    <x v="0"/>
    <x v="0"/>
    <x v="0"/>
    <x v="0"/>
    <x v="0"/>
    <x v="0"/>
    <x v="0"/>
    <x v="0"/>
    <x v="0"/>
    <x v="0"/>
    <x v="0"/>
    <x v="0"/>
    <x v="0"/>
  </r>
  <r>
    <x v="55"/>
    <x v="55"/>
    <x v="0"/>
    <x v="0"/>
    <x v="0"/>
    <x v="0"/>
    <x v="0"/>
    <x v="0"/>
    <x v="0"/>
    <x v="0"/>
    <x v="0"/>
    <x v="0"/>
    <x v="0"/>
    <x v="0"/>
    <x v="0"/>
    <x v="0"/>
    <x v="0"/>
    <x v="0"/>
    <x v="0"/>
    <x v="0"/>
    <x v="0"/>
    <x v="0"/>
    <x v="0"/>
    <x v="0"/>
    <x v="0"/>
    <x v="0"/>
  </r>
  <r>
    <x v="56"/>
    <x v="56"/>
    <x v="0"/>
    <x v="0"/>
    <x v="0"/>
    <x v="0"/>
    <x v="0"/>
    <x v="0"/>
    <x v="0"/>
    <x v="0"/>
    <x v="0"/>
    <x v="0"/>
    <x v="0"/>
    <x v="0"/>
    <x v="0"/>
    <x v="0"/>
    <x v="0"/>
    <x v="0"/>
    <x v="0"/>
    <x v="0"/>
    <x v="0"/>
    <x v="0"/>
    <x v="0"/>
    <x v="0"/>
    <x v="0"/>
    <x v="0"/>
  </r>
  <r>
    <x v="57"/>
    <x v="57"/>
    <x v="0"/>
    <x v="0"/>
    <x v="0"/>
    <x v="0"/>
    <x v="0"/>
    <x v="0"/>
    <x v="0"/>
    <x v="0"/>
    <x v="0"/>
    <x v="0"/>
    <x v="0"/>
    <x v="0"/>
    <x v="0"/>
    <x v="0"/>
    <x v="0"/>
    <x v="0"/>
    <x v="0"/>
    <x v="0"/>
    <x v="0"/>
    <x v="0"/>
    <x v="0"/>
    <x v="0"/>
    <x v="0"/>
    <x v="0"/>
  </r>
  <r>
    <x v="58"/>
    <x v="58"/>
    <x v="0"/>
    <x v="0"/>
    <x v="0"/>
    <x v="0"/>
    <x v="0"/>
    <x v="0"/>
    <x v="0"/>
    <x v="0"/>
    <x v="0"/>
    <x v="0"/>
    <x v="0"/>
    <x v="0"/>
    <x v="0"/>
    <x v="0"/>
    <x v="0"/>
    <x v="0"/>
    <x v="0"/>
    <x v="0"/>
    <x v="0"/>
    <x v="0"/>
    <x v="0"/>
    <x v="0"/>
    <x v="0"/>
    <x v="0"/>
  </r>
  <r>
    <x v="59"/>
    <x v="59"/>
    <x v="0"/>
    <x v="0"/>
    <x v="0"/>
    <x v="0"/>
    <x v="0"/>
    <x v="0"/>
    <x v="0"/>
    <x v="0"/>
    <x v="0"/>
    <x v="0"/>
    <x v="0"/>
    <x v="0"/>
    <x v="0"/>
    <x v="0"/>
    <x v="0"/>
    <x v="0"/>
    <x v="0"/>
    <x v="0"/>
    <x v="0"/>
    <x v="0"/>
    <x v="0"/>
    <x v="0"/>
    <x v="0"/>
    <x v="0"/>
  </r>
  <r>
    <x v="48"/>
    <x v="48"/>
    <x v="0"/>
    <x v="0"/>
    <x v="0"/>
    <x v="0"/>
    <x v="0"/>
    <x v="0"/>
    <x v="0"/>
    <x v="0"/>
    <x v="0"/>
    <x v="0"/>
    <x v="0"/>
    <x v="0"/>
    <x v="0"/>
    <x v="0"/>
    <x v="0"/>
    <x v="0"/>
    <x v="0"/>
    <x v="0"/>
    <x v="0"/>
    <x v="0"/>
    <x v="0"/>
    <x v="0"/>
    <x v="0"/>
    <x v="0"/>
  </r>
  <r>
    <x v="60"/>
    <x v="60"/>
    <x v="41"/>
    <x v="30"/>
    <x v="4"/>
    <x v="11"/>
    <x v="32"/>
    <x v="41"/>
    <x v="10"/>
    <x v="40"/>
    <x v="0"/>
    <x v="12"/>
    <x v="0"/>
    <x v="0"/>
    <x v="0"/>
    <x v="0"/>
    <x v="0"/>
    <x v="0"/>
    <x v="0"/>
    <x v="1"/>
    <x v="0"/>
    <x v="0"/>
    <x v="0"/>
    <x v="0"/>
    <x v="0"/>
    <x v="0"/>
  </r>
  <r>
    <x v="61"/>
    <x v="61"/>
    <x v="0"/>
    <x v="0"/>
    <x v="0"/>
    <x v="0"/>
    <x v="0"/>
    <x v="0"/>
    <x v="0"/>
    <x v="0"/>
    <x v="0"/>
    <x v="0"/>
    <x v="0"/>
    <x v="0"/>
    <x v="0"/>
    <x v="0"/>
    <x v="0"/>
    <x v="0"/>
    <x v="0"/>
    <x v="0"/>
    <x v="0"/>
    <x v="0"/>
    <x v="0"/>
    <x v="0"/>
    <x v="0"/>
    <x v="0"/>
  </r>
  <r>
    <x v="60"/>
    <x v="60"/>
    <x v="42"/>
    <x v="31"/>
    <x v="1"/>
    <x v="12"/>
    <x v="33"/>
    <x v="42"/>
    <x v="11"/>
    <x v="41"/>
    <x v="20"/>
    <x v="21"/>
    <x v="8"/>
    <x v="10"/>
    <x v="18"/>
    <x v="5"/>
    <x v="18"/>
    <x v="11"/>
    <x v="0"/>
    <x v="1"/>
    <x v="0"/>
    <x v="0"/>
    <x v="0"/>
    <x v="0"/>
    <x v="0"/>
    <x v="0"/>
  </r>
  <r>
    <x v="62"/>
    <x v="62"/>
    <x v="43"/>
    <x v="32"/>
    <x v="1"/>
    <x v="13"/>
    <x v="34"/>
    <x v="43"/>
    <x v="12"/>
    <x v="42"/>
    <x v="21"/>
    <x v="22"/>
    <x v="7"/>
    <x v="9"/>
    <x v="19"/>
    <x v="2"/>
    <x v="19"/>
    <x v="2"/>
    <x v="0"/>
    <x v="1"/>
    <x v="0"/>
    <x v="0"/>
    <x v="0"/>
    <x v="0"/>
    <x v="0"/>
    <x v="0"/>
  </r>
  <r>
    <x v="63"/>
    <x v="63"/>
    <x v="44"/>
    <x v="33"/>
    <x v="5"/>
    <x v="14"/>
    <x v="35"/>
    <x v="44"/>
    <x v="13"/>
    <x v="43"/>
    <x v="22"/>
    <x v="23"/>
    <x v="1"/>
    <x v="10"/>
    <x v="20"/>
    <x v="4"/>
    <x v="20"/>
    <x v="4"/>
    <x v="0"/>
    <x v="1"/>
    <x v="0"/>
    <x v="0"/>
    <x v="0"/>
    <x v="0"/>
    <x v="0"/>
    <x v="0"/>
  </r>
  <r>
    <x v="64"/>
    <x v="64"/>
    <x v="45"/>
    <x v="34"/>
    <x v="1"/>
    <x v="15"/>
    <x v="36"/>
    <x v="45"/>
    <x v="14"/>
    <x v="44"/>
    <x v="23"/>
    <x v="24"/>
    <x v="1"/>
    <x v="5"/>
    <x v="21"/>
    <x v="7"/>
    <x v="21"/>
    <x v="9"/>
    <x v="0"/>
    <x v="1"/>
    <x v="0"/>
    <x v="0"/>
    <x v="0"/>
    <x v="0"/>
    <x v="0"/>
    <x v="0"/>
  </r>
  <r>
    <x v="65"/>
    <x v="65"/>
    <x v="46"/>
    <x v="35"/>
    <x v="5"/>
    <x v="16"/>
    <x v="37"/>
    <x v="46"/>
    <x v="15"/>
    <x v="45"/>
    <x v="24"/>
    <x v="25"/>
    <x v="10"/>
    <x v="11"/>
    <x v="22"/>
    <x v="10"/>
    <x v="22"/>
    <x v="12"/>
    <x v="0"/>
    <x v="1"/>
    <x v="0"/>
    <x v="0"/>
    <x v="0"/>
    <x v="0"/>
    <x v="0"/>
    <x v="0"/>
  </r>
  <r>
    <x v="66"/>
    <x v="66"/>
    <x v="47"/>
    <x v="36"/>
    <x v="1"/>
    <x v="17"/>
    <x v="38"/>
    <x v="47"/>
    <x v="16"/>
    <x v="46"/>
    <x v="25"/>
    <x v="26"/>
    <x v="5"/>
    <x v="12"/>
    <x v="23"/>
    <x v="6"/>
    <x v="23"/>
    <x v="13"/>
    <x v="0"/>
    <x v="1"/>
    <x v="0"/>
    <x v="0"/>
    <x v="0"/>
    <x v="0"/>
    <x v="0"/>
    <x v="0"/>
  </r>
  <r>
    <x v="52"/>
    <x v="52"/>
    <x v="48"/>
    <x v="37"/>
    <x v="1"/>
    <x v="18"/>
    <x v="39"/>
    <x v="48"/>
    <x v="17"/>
    <x v="47"/>
    <x v="26"/>
    <x v="27"/>
    <x v="2"/>
    <x v="2"/>
    <x v="24"/>
    <x v="4"/>
    <x v="24"/>
    <x v="4"/>
    <x v="0"/>
    <x v="1"/>
    <x v="0"/>
    <x v="0"/>
    <x v="0"/>
    <x v="0"/>
    <x v="0"/>
    <x v="0"/>
  </r>
  <r>
    <x v="1"/>
    <x v="1"/>
    <x v="49"/>
    <x v="38"/>
    <x v="0"/>
    <x v="1"/>
    <x v="40"/>
    <x v="49"/>
    <x v="0"/>
    <x v="48"/>
    <x v="27"/>
    <x v="28"/>
    <x v="6"/>
    <x v="8"/>
    <x v="25"/>
    <x v="8"/>
    <x v="25"/>
    <x v="10"/>
    <x v="0"/>
    <x v="1"/>
    <x v="0"/>
    <x v="0"/>
    <x v="0"/>
    <x v="0"/>
    <x v="0"/>
    <x v="0"/>
  </r>
  <r>
    <x v="50"/>
    <x v="50"/>
    <x v="0"/>
    <x v="0"/>
    <x v="0"/>
    <x v="0"/>
    <x v="0"/>
    <x v="0"/>
    <x v="0"/>
    <x v="0"/>
    <x v="0"/>
    <x v="0"/>
    <x v="0"/>
    <x v="0"/>
    <x v="0"/>
    <x v="0"/>
    <x v="0"/>
    <x v="0"/>
    <x v="0"/>
    <x v="0"/>
    <x v="0"/>
    <x v="0"/>
    <x v="0"/>
    <x v="0"/>
    <x v="0"/>
    <x v="0"/>
  </r>
  <r>
    <x v="7"/>
    <x v="7"/>
    <x v="50"/>
    <x v="39"/>
    <x v="1"/>
    <x v="19"/>
    <x v="10"/>
    <x v="50"/>
    <x v="18"/>
    <x v="49"/>
    <x v="28"/>
    <x v="29"/>
    <x v="11"/>
    <x v="13"/>
    <x v="26"/>
    <x v="9"/>
    <x v="26"/>
    <x v="6"/>
    <x v="2"/>
    <x v="3"/>
    <x v="2"/>
    <x v="2"/>
    <x v="2"/>
    <x v="2"/>
    <x v="2"/>
    <x v="2"/>
  </r>
  <r>
    <x v="12"/>
    <x v="12"/>
    <x v="0"/>
    <x v="0"/>
    <x v="0"/>
    <x v="0"/>
    <x v="0"/>
    <x v="0"/>
    <x v="0"/>
    <x v="0"/>
    <x v="0"/>
    <x v="0"/>
    <x v="0"/>
    <x v="0"/>
    <x v="0"/>
    <x v="0"/>
    <x v="0"/>
    <x v="0"/>
    <x v="0"/>
    <x v="0"/>
    <x v="0"/>
    <x v="0"/>
    <x v="0"/>
    <x v="0"/>
    <x v="0"/>
    <x v="0"/>
  </r>
  <r>
    <x v="14"/>
    <x v="14"/>
    <x v="0"/>
    <x v="0"/>
    <x v="0"/>
    <x v="0"/>
    <x v="0"/>
    <x v="0"/>
    <x v="0"/>
    <x v="0"/>
    <x v="0"/>
    <x v="0"/>
    <x v="0"/>
    <x v="0"/>
    <x v="0"/>
    <x v="0"/>
    <x v="0"/>
    <x v="0"/>
    <x v="0"/>
    <x v="0"/>
    <x v="0"/>
    <x v="0"/>
    <x v="0"/>
    <x v="0"/>
    <x v="0"/>
    <x v="0"/>
  </r>
  <r>
    <x v="3"/>
    <x v="3"/>
    <x v="0"/>
    <x v="0"/>
    <x v="0"/>
    <x v="0"/>
    <x v="0"/>
    <x v="0"/>
    <x v="0"/>
    <x v="0"/>
    <x v="0"/>
    <x v="0"/>
    <x v="0"/>
    <x v="0"/>
    <x v="0"/>
    <x v="0"/>
    <x v="0"/>
    <x v="0"/>
    <x v="0"/>
    <x v="0"/>
    <x v="0"/>
    <x v="0"/>
    <x v="0"/>
    <x v="0"/>
    <x v="0"/>
    <x v="0"/>
  </r>
  <r>
    <x v="48"/>
    <x v="48"/>
    <x v="0"/>
    <x v="0"/>
    <x v="0"/>
    <x v="0"/>
    <x v="0"/>
    <x v="0"/>
    <x v="0"/>
    <x v="0"/>
    <x v="0"/>
    <x v="0"/>
    <x v="0"/>
    <x v="0"/>
    <x v="0"/>
    <x v="0"/>
    <x v="0"/>
    <x v="0"/>
    <x v="0"/>
    <x v="0"/>
    <x v="0"/>
    <x v="0"/>
    <x v="0"/>
    <x v="0"/>
    <x v="0"/>
    <x v="0"/>
  </r>
  <r>
    <x v="9"/>
    <x v="9"/>
    <x v="0"/>
    <x v="0"/>
    <x v="0"/>
    <x v="0"/>
    <x v="0"/>
    <x v="0"/>
    <x v="0"/>
    <x v="0"/>
    <x v="0"/>
    <x v="0"/>
    <x v="0"/>
    <x v="0"/>
    <x v="0"/>
    <x v="0"/>
    <x v="0"/>
    <x v="0"/>
    <x v="0"/>
    <x v="0"/>
    <x v="0"/>
    <x v="0"/>
    <x v="0"/>
    <x v="0"/>
    <x v="0"/>
    <x v="0"/>
  </r>
  <r>
    <x v="11"/>
    <x v="11"/>
    <x v="0"/>
    <x v="0"/>
    <x v="0"/>
    <x v="0"/>
    <x v="0"/>
    <x v="0"/>
    <x v="0"/>
    <x v="0"/>
    <x v="0"/>
    <x v="0"/>
    <x v="0"/>
    <x v="0"/>
    <x v="0"/>
    <x v="0"/>
    <x v="0"/>
    <x v="0"/>
    <x v="0"/>
    <x v="0"/>
    <x v="0"/>
    <x v="0"/>
    <x v="0"/>
    <x v="0"/>
    <x v="0"/>
    <x v="0"/>
  </r>
  <r>
    <x v="49"/>
    <x v="49"/>
    <x v="0"/>
    <x v="0"/>
    <x v="0"/>
    <x v="0"/>
    <x v="0"/>
    <x v="0"/>
    <x v="0"/>
    <x v="0"/>
    <x v="0"/>
    <x v="0"/>
    <x v="0"/>
    <x v="0"/>
    <x v="0"/>
    <x v="0"/>
    <x v="0"/>
    <x v="0"/>
    <x v="0"/>
    <x v="0"/>
    <x v="0"/>
    <x v="0"/>
    <x v="0"/>
    <x v="0"/>
    <x v="0"/>
    <x v="0"/>
  </r>
  <r>
    <x v="51"/>
    <x v="51"/>
    <x v="0"/>
    <x v="0"/>
    <x v="0"/>
    <x v="0"/>
    <x v="0"/>
    <x v="0"/>
    <x v="0"/>
    <x v="0"/>
    <x v="0"/>
    <x v="0"/>
    <x v="0"/>
    <x v="0"/>
    <x v="0"/>
    <x v="0"/>
    <x v="0"/>
    <x v="0"/>
    <x v="0"/>
    <x v="0"/>
    <x v="0"/>
    <x v="0"/>
    <x v="0"/>
    <x v="0"/>
    <x v="0"/>
    <x v="0"/>
  </r>
  <r>
    <x v="50"/>
    <x v="50"/>
    <x v="0"/>
    <x v="0"/>
    <x v="0"/>
    <x v="0"/>
    <x v="0"/>
    <x v="0"/>
    <x v="0"/>
    <x v="0"/>
    <x v="0"/>
    <x v="0"/>
    <x v="0"/>
    <x v="0"/>
    <x v="0"/>
    <x v="0"/>
    <x v="0"/>
    <x v="0"/>
    <x v="0"/>
    <x v="0"/>
    <x v="0"/>
    <x v="0"/>
    <x v="0"/>
    <x v="0"/>
    <x v="0"/>
    <x v="0"/>
  </r>
  <r>
    <x v="15"/>
    <x v="15"/>
    <x v="0"/>
    <x v="0"/>
    <x v="0"/>
    <x v="0"/>
    <x v="0"/>
    <x v="0"/>
    <x v="0"/>
    <x v="0"/>
    <x v="0"/>
    <x v="0"/>
    <x v="0"/>
    <x v="0"/>
    <x v="0"/>
    <x v="0"/>
    <x v="0"/>
    <x v="0"/>
    <x v="0"/>
    <x v="0"/>
    <x v="0"/>
    <x v="0"/>
    <x v="0"/>
    <x v="0"/>
    <x v="0"/>
    <x v="0"/>
  </r>
  <r>
    <x v="4"/>
    <x v="4"/>
    <x v="0"/>
    <x v="0"/>
    <x v="0"/>
    <x v="0"/>
    <x v="0"/>
    <x v="0"/>
    <x v="0"/>
    <x v="0"/>
    <x v="0"/>
    <x v="0"/>
    <x v="0"/>
    <x v="0"/>
    <x v="0"/>
    <x v="0"/>
    <x v="0"/>
    <x v="0"/>
    <x v="0"/>
    <x v="0"/>
    <x v="0"/>
    <x v="0"/>
    <x v="0"/>
    <x v="0"/>
    <x v="0"/>
    <x v="0"/>
  </r>
  <r>
    <x v="16"/>
    <x v="16"/>
    <x v="0"/>
    <x v="0"/>
    <x v="0"/>
    <x v="0"/>
    <x v="0"/>
    <x v="0"/>
    <x v="0"/>
    <x v="0"/>
    <x v="0"/>
    <x v="0"/>
    <x v="0"/>
    <x v="0"/>
    <x v="0"/>
    <x v="0"/>
    <x v="0"/>
    <x v="0"/>
    <x v="0"/>
    <x v="0"/>
    <x v="0"/>
    <x v="0"/>
    <x v="0"/>
    <x v="0"/>
    <x v="0"/>
    <x v="0"/>
  </r>
  <r>
    <x v="67"/>
    <x v="67"/>
    <x v="0"/>
    <x v="0"/>
    <x v="0"/>
    <x v="0"/>
    <x v="0"/>
    <x v="0"/>
    <x v="0"/>
    <x v="0"/>
    <x v="0"/>
    <x v="0"/>
    <x v="0"/>
    <x v="0"/>
    <x v="0"/>
    <x v="0"/>
    <x v="0"/>
    <x v="0"/>
    <x v="0"/>
    <x v="0"/>
    <x v="0"/>
    <x v="0"/>
    <x v="0"/>
    <x v="0"/>
    <x v="0"/>
    <x v="0"/>
  </r>
  <r>
    <x v="60"/>
    <x v="60"/>
    <x v="0"/>
    <x v="0"/>
    <x v="0"/>
    <x v="0"/>
    <x v="0"/>
    <x v="0"/>
    <x v="0"/>
    <x v="0"/>
    <x v="0"/>
    <x v="0"/>
    <x v="0"/>
    <x v="0"/>
    <x v="0"/>
    <x v="0"/>
    <x v="0"/>
    <x v="0"/>
    <x v="0"/>
    <x v="0"/>
    <x v="0"/>
    <x v="0"/>
    <x v="0"/>
    <x v="0"/>
    <x v="0"/>
    <x v="0"/>
  </r>
  <r>
    <x v="64"/>
    <x v="64"/>
    <x v="0"/>
    <x v="0"/>
    <x v="0"/>
    <x v="0"/>
    <x v="0"/>
    <x v="0"/>
    <x v="0"/>
    <x v="0"/>
    <x v="0"/>
    <x v="0"/>
    <x v="0"/>
    <x v="0"/>
    <x v="0"/>
    <x v="0"/>
    <x v="0"/>
    <x v="0"/>
    <x v="0"/>
    <x v="0"/>
    <x v="0"/>
    <x v="0"/>
    <x v="0"/>
    <x v="0"/>
    <x v="0"/>
    <x v="0"/>
  </r>
  <r>
    <x v="53"/>
    <x v="53"/>
    <x v="0"/>
    <x v="0"/>
    <x v="0"/>
    <x v="0"/>
    <x v="0"/>
    <x v="0"/>
    <x v="0"/>
    <x v="0"/>
    <x v="0"/>
    <x v="0"/>
    <x v="0"/>
    <x v="0"/>
    <x v="0"/>
    <x v="0"/>
    <x v="0"/>
    <x v="0"/>
    <x v="0"/>
    <x v="0"/>
    <x v="0"/>
    <x v="0"/>
    <x v="0"/>
    <x v="0"/>
    <x v="0"/>
    <x v="0"/>
  </r>
  <r>
    <x v="14"/>
    <x v="14"/>
    <x v="0"/>
    <x v="0"/>
    <x v="0"/>
    <x v="0"/>
    <x v="0"/>
    <x v="0"/>
    <x v="0"/>
    <x v="0"/>
    <x v="0"/>
    <x v="0"/>
    <x v="0"/>
    <x v="0"/>
    <x v="0"/>
    <x v="0"/>
    <x v="0"/>
    <x v="0"/>
    <x v="0"/>
    <x v="0"/>
    <x v="0"/>
    <x v="0"/>
    <x v="0"/>
    <x v="0"/>
    <x v="0"/>
    <x v="0"/>
  </r>
  <r>
    <x v="68"/>
    <x v="68"/>
    <x v="0"/>
    <x v="0"/>
    <x v="0"/>
    <x v="0"/>
    <x v="0"/>
    <x v="0"/>
    <x v="0"/>
    <x v="0"/>
    <x v="0"/>
    <x v="0"/>
    <x v="0"/>
    <x v="0"/>
    <x v="0"/>
    <x v="0"/>
    <x v="0"/>
    <x v="0"/>
    <x v="0"/>
    <x v="0"/>
    <x v="0"/>
    <x v="0"/>
    <x v="0"/>
    <x v="0"/>
    <x v="0"/>
    <x v="0"/>
  </r>
  <r>
    <x v="10"/>
    <x v="10"/>
    <x v="0"/>
    <x v="0"/>
    <x v="0"/>
    <x v="0"/>
    <x v="0"/>
    <x v="0"/>
    <x v="0"/>
    <x v="0"/>
    <x v="0"/>
    <x v="0"/>
    <x v="0"/>
    <x v="0"/>
    <x v="0"/>
    <x v="0"/>
    <x v="0"/>
    <x v="0"/>
    <x v="0"/>
    <x v="0"/>
    <x v="0"/>
    <x v="0"/>
    <x v="0"/>
    <x v="0"/>
    <x v="0"/>
    <x v="0"/>
  </r>
  <r>
    <x v="5"/>
    <x v="5"/>
    <x v="0"/>
    <x v="0"/>
    <x v="0"/>
    <x v="0"/>
    <x v="0"/>
    <x v="0"/>
    <x v="0"/>
    <x v="0"/>
    <x v="0"/>
    <x v="0"/>
    <x v="0"/>
    <x v="0"/>
    <x v="0"/>
    <x v="0"/>
    <x v="0"/>
    <x v="0"/>
    <x v="0"/>
    <x v="0"/>
    <x v="0"/>
    <x v="0"/>
    <x v="0"/>
    <x v="0"/>
    <x v="0"/>
    <x v="0"/>
  </r>
  <r>
    <x v="7"/>
    <x v="7"/>
    <x v="0"/>
    <x v="0"/>
    <x v="0"/>
    <x v="0"/>
    <x v="0"/>
    <x v="0"/>
    <x v="0"/>
    <x v="0"/>
    <x v="0"/>
    <x v="0"/>
    <x v="0"/>
    <x v="0"/>
    <x v="0"/>
    <x v="0"/>
    <x v="0"/>
    <x v="0"/>
    <x v="0"/>
    <x v="0"/>
    <x v="0"/>
    <x v="0"/>
    <x v="0"/>
    <x v="0"/>
    <x v="0"/>
    <x v="0"/>
  </r>
  <r>
    <x v="2"/>
    <x v="2"/>
    <x v="0"/>
    <x v="0"/>
    <x v="0"/>
    <x v="0"/>
    <x v="0"/>
    <x v="0"/>
    <x v="0"/>
    <x v="0"/>
    <x v="0"/>
    <x v="0"/>
    <x v="0"/>
    <x v="0"/>
    <x v="0"/>
    <x v="0"/>
    <x v="0"/>
    <x v="0"/>
    <x v="0"/>
    <x v="0"/>
    <x v="0"/>
    <x v="0"/>
    <x v="0"/>
    <x v="0"/>
    <x v="0"/>
    <x v="0"/>
  </r>
  <r>
    <x v="15"/>
    <x v="15"/>
    <x v="0"/>
    <x v="0"/>
    <x v="0"/>
    <x v="0"/>
    <x v="0"/>
    <x v="0"/>
    <x v="0"/>
    <x v="0"/>
    <x v="0"/>
    <x v="0"/>
    <x v="0"/>
    <x v="0"/>
    <x v="0"/>
    <x v="0"/>
    <x v="0"/>
    <x v="0"/>
    <x v="0"/>
    <x v="0"/>
    <x v="0"/>
    <x v="0"/>
    <x v="0"/>
    <x v="0"/>
    <x v="0"/>
    <x v="0"/>
  </r>
  <r>
    <x v="4"/>
    <x v="4"/>
    <x v="0"/>
    <x v="0"/>
    <x v="0"/>
    <x v="0"/>
    <x v="0"/>
    <x v="0"/>
    <x v="0"/>
    <x v="0"/>
    <x v="0"/>
    <x v="0"/>
    <x v="0"/>
    <x v="0"/>
    <x v="0"/>
    <x v="0"/>
    <x v="0"/>
    <x v="0"/>
    <x v="0"/>
    <x v="0"/>
    <x v="0"/>
    <x v="0"/>
    <x v="0"/>
    <x v="0"/>
    <x v="0"/>
    <x v="0"/>
  </r>
  <r>
    <x v="16"/>
    <x v="16"/>
    <x v="0"/>
    <x v="0"/>
    <x v="0"/>
    <x v="0"/>
    <x v="0"/>
    <x v="0"/>
    <x v="0"/>
    <x v="0"/>
    <x v="0"/>
    <x v="0"/>
    <x v="0"/>
    <x v="0"/>
    <x v="0"/>
    <x v="0"/>
    <x v="0"/>
    <x v="0"/>
    <x v="0"/>
    <x v="0"/>
    <x v="0"/>
    <x v="0"/>
    <x v="0"/>
    <x v="0"/>
    <x v="0"/>
    <x v="0"/>
  </r>
  <r>
    <x v="67"/>
    <x v="67"/>
    <x v="0"/>
    <x v="0"/>
    <x v="0"/>
    <x v="0"/>
    <x v="0"/>
    <x v="0"/>
    <x v="0"/>
    <x v="0"/>
    <x v="0"/>
    <x v="0"/>
    <x v="0"/>
    <x v="0"/>
    <x v="0"/>
    <x v="0"/>
    <x v="0"/>
    <x v="0"/>
    <x v="0"/>
    <x v="0"/>
    <x v="0"/>
    <x v="0"/>
    <x v="0"/>
    <x v="0"/>
    <x v="0"/>
    <x v="0"/>
  </r>
  <r>
    <x v="61"/>
    <x v="61"/>
    <x v="0"/>
    <x v="0"/>
    <x v="0"/>
    <x v="0"/>
    <x v="0"/>
    <x v="0"/>
    <x v="0"/>
    <x v="0"/>
    <x v="0"/>
    <x v="0"/>
    <x v="0"/>
    <x v="0"/>
    <x v="0"/>
    <x v="0"/>
    <x v="0"/>
    <x v="0"/>
    <x v="0"/>
    <x v="0"/>
    <x v="0"/>
    <x v="0"/>
    <x v="0"/>
    <x v="0"/>
    <x v="0"/>
    <x v="0"/>
  </r>
  <r>
    <x v="65"/>
    <x v="65"/>
    <x v="24"/>
    <x v="0"/>
    <x v="0"/>
    <x v="1"/>
    <x v="0"/>
    <x v="0"/>
    <x v="0"/>
    <x v="0"/>
    <x v="0"/>
    <x v="0"/>
    <x v="0"/>
    <x v="0"/>
    <x v="0"/>
    <x v="0"/>
    <x v="0"/>
    <x v="0"/>
    <x v="0"/>
    <x v="0"/>
    <x v="0"/>
    <x v="0"/>
    <x v="0"/>
    <x v="0"/>
    <x v="0"/>
    <x v="0"/>
  </r>
  <r>
    <x v="63"/>
    <x v="63"/>
    <x v="27"/>
    <x v="0"/>
    <x v="0"/>
    <x v="1"/>
    <x v="0"/>
    <x v="0"/>
    <x v="0"/>
    <x v="0"/>
    <x v="0"/>
    <x v="0"/>
    <x v="0"/>
    <x v="0"/>
    <x v="0"/>
    <x v="0"/>
    <x v="0"/>
    <x v="0"/>
    <x v="0"/>
    <x v="0"/>
    <x v="0"/>
    <x v="0"/>
    <x v="0"/>
    <x v="0"/>
    <x v="0"/>
    <x v="0"/>
  </r>
  <r>
    <x v="66"/>
    <x v="66"/>
    <x v="51"/>
    <x v="0"/>
    <x v="0"/>
    <x v="1"/>
    <x v="0"/>
    <x v="0"/>
    <x v="0"/>
    <x v="0"/>
    <x v="0"/>
    <x v="0"/>
    <x v="0"/>
    <x v="0"/>
    <x v="0"/>
    <x v="0"/>
    <x v="0"/>
    <x v="0"/>
    <x v="0"/>
    <x v="0"/>
    <x v="0"/>
    <x v="0"/>
    <x v="0"/>
    <x v="0"/>
    <x v="0"/>
    <x v="0"/>
  </r>
  <r>
    <x v="64"/>
    <x v="64"/>
    <x v="52"/>
    <x v="0"/>
    <x v="0"/>
    <x v="1"/>
    <x v="0"/>
    <x v="0"/>
    <x v="0"/>
    <x v="0"/>
    <x v="0"/>
    <x v="0"/>
    <x v="0"/>
    <x v="0"/>
    <x v="0"/>
    <x v="0"/>
    <x v="0"/>
    <x v="0"/>
    <x v="0"/>
    <x v="0"/>
    <x v="0"/>
    <x v="0"/>
    <x v="0"/>
    <x v="0"/>
    <x v="0"/>
    <x v="0"/>
  </r>
  <r>
    <x v="60"/>
    <x v="60"/>
    <x v="35"/>
    <x v="0"/>
    <x v="0"/>
    <x v="1"/>
    <x v="0"/>
    <x v="0"/>
    <x v="0"/>
    <x v="0"/>
    <x v="0"/>
    <x v="0"/>
    <x v="0"/>
    <x v="0"/>
    <x v="0"/>
    <x v="0"/>
    <x v="0"/>
    <x v="0"/>
    <x v="0"/>
    <x v="0"/>
    <x v="0"/>
    <x v="0"/>
    <x v="0"/>
    <x v="0"/>
    <x v="0"/>
    <x v="0"/>
  </r>
  <r>
    <x v="53"/>
    <x v="53"/>
    <x v="53"/>
    <x v="0"/>
    <x v="1"/>
    <x v="20"/>
    <x v="15"/>
    <x v="51"/>
    <x v="19"/>
    <x v="0"/>
    <x v="0"/>
    <x v="12"/>
    <x v="0"/>
    <x v="0"/>
    <x v="0"/>
    <x v="0"/>
    <x v="0"/>
    <x v="0"/>
    <x v="0"/>
    <x v="1"/>
    <x v="0"/>
    <x v="0"/>
    <x v="0"/>
    <x v="0"/>
    <x v="0"/>
    <x v="0"/>
  </r>
  <r>
    <x v="68"/>
    <x v="68"/>
    <x v="0"/>
    <x v="0"/>
    <x v="0"/>
    <x v="0"/>
    <x v="0"/>
    <x v="0"/>
    <x v="0"/>
    <x v="0"/>
    <x v="0"/>
    <x v="0"/>
    <x v="0"/>
    <x v="0"/>
    <x v="0"/>
    <x v="0"/>
    <x v="0"/>
    <x v="0"/>
    <x v="0"/>
    <x v="0"/>
    <x v="0"/>
    <x v="0"/>
    <x v="0"/>
    <x v="0"/>
    <x v="0"/>
    <x v="0"/>
  </r>
  <r>
    <x v="48"/>
    <x v="48"/>
    <x v="25"/>
    <x v="0"/>
    <x v="0"/>
    <x v="1"/>
    <x v="0"/>
    <x v="0"/>
    <x v="0"/>
    <x v="0"/>
    <x v="0"/>
    <x v="0"/>
    <x v="0"/>
    <x v="0"/>
    <x v="0"/>
    <x v="0"/>
    <x v="0"/>
    <x v="0"/>
    <x v="0"/>
    <x v="0"/>
    <x v="0"/>
    <x v="0"/>
    <x v="0"/>
    <x v="0"/>
    <x v="0"/>
    <x v="0"/>
  </r>
  <r>
    <x v="48"/>
    <x v="48"/>
    <x v="54"/>
    <x v="8"/>
    <x v="5"/>
    <x v="21"/>
    <x v="41"/>
    <x v="52"/>
    <x v="20"/>
    <x v="50"/>
    <x v="29"/>
    <x v="30"/>
    <x v="6"/>
    <x v="8"/>
    <x v="27"/>
    <x v="8"/>
    <x v="27"/>
    <x v="10"/>
    <x v="0"/>
    <x v="1"/>
    <x v="0"/>
    <x v="0"/>
    <x v="0"/>
    <x v="0"/>
    <x v="0"/>
    <x v="0"/>
  </r>
  <r>
    <x v="68"/>
    <x v="68"/>
    <x v="55"/>
    <x v="40"/>
    <x v="0"/>
    <x v="1"/>
    <x v="42"/>
    <x v="53"/>
    <x v="0"/>
    <x v="51"/>
    <x v="30"/>
    <x v="31"/>
    <x v="2"/>
    <x v="2"/>
    <x v="28"/>
    <x v="4"/>
    <x v="28"/>
    <x v="4"/>
    <x v="0"/>
    <x v="1"/>
    <x v="0"/>
    <x v="0"/>
    <x v="0"/>
    <x v="0"/>
    <x v="0"/>
    <x v="0"/>
  </r>
  <r>
    <x v="51"/>
    <x v="51"/>
    <x v="56"/>
    <x v="41"/>
    <x v="2"/>
    <x v="22"/>
    <x v="43"/>
    <x v="54"/>
    <x v="21"/>
    <x v="52"/>
    <x v="31"/>
    <x v="32"/>
    <x v="12"/>
    <x v="12"/>
    <x v="29"/>
    <x v="11"/>
    <x v="29"/>
    <x v="3"/>
    <x v="0"/>
    <x v="1"/>
    <x v="0"/>
    <x v="0"/>
    <x v="0"/>
    <x v="0"/>
    <x v="0"/>
    <x v="0"/>
  </r>
  <r>
    <x v="67"/>
    <x v="67"/>
    <x v="57"/>
    <x v="42"/>
    <x v="2"/>
    <x v="23"/>
    <x v="44"/>
    <x v="55"/>
    <x v="22"/>
    <x v="53"/>
    <x v="32"/>
    <x v="33"/>
    <x v="11"/>
    <x v="13"/>
    <x v="30"/>
    <x v="9"/>
    <x v="30"/>
    <x v="6"/>
    <x v="0"/>
    <x v="1"/>
    <x v="0"/>
    <x v="0"/>
    <x v="0"/>
    <x v="0"/>
    <x v="0"/>
    <x v="0"/>
  </r>
  <r>
    <x v="6"/>
    <x v="6"/>
    <x v="58"/>
    <x v="43"/>
    <x v="0"/>
    <x v="1"/>
    <x v="45"/>
    <x v="56"/>
    <x v="0"/>
    <x v="54"/>
    <x v="33"/>
    <x v="34"/>
    <x v="11"/>
    <x v="13"/>
    <x v="31"/>
    <x v="9"/>
    <x v="31"/>
    <x v="6"/>
    <x v="0"/>
    <x v="1"/>
    <x v="0"/>
    <x v="0"/>
    <x v="0"/>
    <x v="0"/>
    <x v="0"/>
    <x v="0"/>
  </r>
  <r>
    <x v="69"/>
    <x v="69"/>
    <x v="59"/>
    <x v="44"/>
    <x v="1"/>
    <x v="24"/>
    <x v="46"/>
    <x v="57"/>
    <x v="23"/>
    <x v="55"/>
    <x v="34"/>
    <x v="35"/>
    <x v="3"/>
    <x v="1"/>
    <x v="32"/>
    <x v="9"/>
    <x v="32"/>
    <x v="6"/>
    <x v="0"/>
    <x v="1"/>
    <x v="0"/>
    <x v="0"/>
    <x v="0"/>
    <x v="0"/>
    <x v="0"/>
    <x v="0"/>
  </r>
  <r>
    <x v="70"/>
    <x v="70"/>
    <x v="30"/>
    <x v="12"/>
    <x v="0"/>
    <x v="1"/>
    <x v="47"/>
    <x v="58"/>
    <x v="0"/>
    <x v="56"/>
    <x v="35"/>
    <x v="36"/>
    <x v="6"/>
    <x v="8"/>
    <x v="12"/>
    <x v="8"/>
    <x v="12"/>
    <x v="10"/>
    <x v="0"/>
    <x v="1"/>
    <x v="0"/>
    <x v="0"/>
    <x v="0"/>
    <x v="0"/>
    <x v="0"/>
    <x v="0"/>
  </r>
  <r>
    <x v="71"/>
    <x v="71"/>
    <x v="60"/>
    <x v="24"/>
    <x v="0"/>
    <x v="1"/>
    <x v="48"/>
    <x v="59"/>
    <x v="0"/>
    <x v="57"/>
    <x v="0"/>
    <x v="12"/>
    <x v="0"/>
    <x v="0"/>
    <x v="0"/>
    <x v="0"/>
    <x v="0"/>
    <x v="0"/>
    <x v="0"/>
    <x v="1"/>
    <x v="0"/>
    <x v="0"/>
    <x v="0"/>
    <x v="0"/>
    <x v="0"/>
    <x v="0"/>
  </r>
  <r>
    <x v="72"/>
    <x v="72"/>
    <x v="34"/>
    <x v="25"/>
    <x v="0"/>
    <x v="1"/>
    <x v="49"/>
    <x v="60"/>
    <x v="0"/>
    <x v="58"/>
    <x v="0"/>
    <x v="12"/>
    <x v="0"/>
    <x v="0"/>
    <x v="0"/>
    <x v="0"/>
    <x v="0"/>
    <x v="0"/>
    <x v="0"/>
    <x v="1"/>
    <x v="0"/>
    <x v="0"/>
    <x v="0"/>
    <x v="0"/>
    <x v="0"/>
    <x v="0"/>
  </r>
  <r>
    <x v="73"/>
    <x v="73"/>
    <x v="24"/>
    <x v="26"/>
    <x v="0"/>
    <x v="1"/>
    <x v="29"/>
    <x v="61"/>
    <x v="0"/>
    <x v="59"/>
    <x v="36"/>
    <x v="37"/>
    <x v="7"/>
    <x v="9"/>
    <x v="33"/>
    <x v="2"/>
    <x v="33"/>
    <x v="2"/>
    <x v="0"/>
    <x v="1"/>
    <x v="0"/>
    <x v="0"/>
    <x v="0"/>
    <x v="0"/>
    <x v="0"/>
    <x v="0"/>
  </r>
  <r>
    <x v="74"/>
    <x v="74"/>
    <x v="61"/>
    <x v="14"/>
    <x v="0"/>
    <x v="1"/>
    <x v="50"/>
    <x v="62"/>
    <x v="0"/>
    <x v="60"/>
    <x v="37"/>
    <x v="38"/>
    <x v="6"/>
    <x v="8"/>
    <x v="12"/>
    <x v="8"/>
    <x v="12"/>
    <x v="10"/>
    <x v="0"/>
    <x v="1"/>
    <x v="0"/>
    <x v="0"/>
    <x v="0"/>
    <x v="0"/>
    <x v="0"/>
    <x v="0"/>
  </r>
  <r>
    <x v="75"/>
    <x v="75"/>
    <x v="62"/>
    <x v="45"/>
    <x v="0"/>
    <x v="1"/>
    <x v="15"/>
    <x v="63"/>
    <x v="0"/>
    <x v="61"/>
    <x v="0"/>
    <x v="12"/>
    <x v="0"/>
    <x v="0"/>
    <x v="0"/>
    <x v="0"/>
    <x v="0"/>
    <x v="0"/>
    <x v="0"/>
    <x v="1"/>
    <x v="0"/>
    <x v="0"/>
    <x v="0"/>
    <x v="0"/>
    <x v="0"/>
    <x v="0"/>
  </r>
  <r>
    <x v="76"/>
    <x v="76"/>
    <x v="63"/>
    <x v="46"/>
    <x v="2"/>
    <x v="25"/>
    <x v="51"/>
    <x v="64"/>
    <x v="24"/>
    <x v="62"/>
    <x v="0"/>
    <x v="12"/>
    <x v="0"/>
    <x v="0"/>
    <x v="0"/>
    <x v="0"/>
    <x v="0"/>
    <x v="0"/>
    <x v="0"/>
    <x v="1"/>
    <x v="0"/>
    <x v="0"/>
    <x v="0"/>
    <x v="0"/>
    <x v="0"/>
    <x v="0"/>
  </r>
  <r>
    <x v="77"/>
    <x v="77"/>
    <x v="64"/>
    <x v="47"/>
    <x v="1"/>
    <x v="26"/>
    <x v="17"/>
    <x v="65"/>
    <x v="25"/>
    <x v="63"/>
    <x v="0"/>
    <x v="12"/>
    <x v="0"/>
    <x v="0"/>
    <x v="0"/>
    <x v="0"/>
    <x v="0"/>
    <x v="0"/>
    <x v="0"/>
    <x v="1"/>
    <x v="0"/>
    <x v="0"/>
    <x v="0"/>
    <x v="0"/>
    <x v="0"/>
    <x v="0"/>
  </r>
  <r>
    <x v="78"/>
    <x v="78"/>
    <x v="65"/>
    <x v="48"/>
    <x v="6"/>
    <x v="0"/>
    <x v="52"/>
    <x v="66"/>
    <x v="0"/>
    <x v="0"/>
    <x v="0"/>
    <x v="0"/>
    <x v="13"/>
    <x v="14"/>
    <x v="34"/>
    <x v="12"/>
    <x v="34"/>
    <x v="14"/>
    <x v="0"/>
    <x v="0"/>
    <x v="3"/>
    <x v="3"/>
    <x v="3"/>
    <x v="3"/>
    <x v="3"/>
    <x v="3"/>
  </r>
</pivotCacheRecords>
</file>

<file path=xl/pivotCache/pivotCacheRecords10.xml><?xml version="1.0" encoding="utf-8"?>
<pivotCacheRecords xmlns="http://schemas.openxmlformats.org/spreadsheetml/2006/main" xmlns:r="http://schemas.openxmlformats.org/officeDocument/2006/relationships" count="4">
  <r>
    <x v="0"/>
    <x v="0"/>
    <x v="0"/>
    <x v="0"/>
    <x v="0"/>
    <x v="0"/>
    <x v="0"/>
    <x v="0"/>
    <x v="0"/>
    <x v="0"/>
    <x v="0"/>
    <x v="0"/>
    <x v="0"/>
    <x v="0"/>
  </r>
  <r>
    <x v="0"/>
    <x v="0"/>
    <x v="1"/>
    <x v="0"/>
    <x v="0"/>
    <x v="0"/>
    <x v="0"/>
    <x v="0"/>
    <x v="0"/>
    <x v="0"/>
    <x v="0"/>
    <x v="0"/>
    <x v="0"/>
    <x v="0"/>
  </r>
  <r>
    <x v="1"/>
    <x v="1"/>
    <x v="2"/>
    <x v="1"/>
    <x v="1"/>
    <x v="1"/>
    <x v="1"/>
    <x v="1"/>
    <x v="1"/>
    <x v="1"/>
    <x v="1"/>
    <x v="1"/>
    <x v="1"/>
    <x v="1"/>
  </r>
  <r>
    <x v="2"/>
    <x v="2"/>
    <x v="3"/>
    <x v="2"/>
    <x v="2"/>
    <x v="2"/>
    <x v="2"/>
    <x v="2"/>
    <x v="2"/>
    <x v="2"/>
    <x v="2"/>
    <x v="2"/>
    <x v="2"/>
    <x v="2"/>
  </r>
</pivotCacheRecords>
</file>

<file path=xl/pivotCache/pivotCacheRecords11.xml><?xml version="1.0" encoding="utf-8"?>
<pivotCacheRecords xmlns="http://schemas.openxmlformats.org/spreadsheetml/2006/main" xmlns:r="http://schemas.openxmlformats.org/officeDocument/2006/relationships" count="10">
  <r>
    <x v="0"/>
    <x v="0"/>
    <x v="0"/>
    <x v="0"/>
    <x v="0"/>
    <x v="0"/>
    <x v="0"/>
    <x v="0"/>
    <x v="0"/>
    <x v="0"/>
    <x v="0"/>
    <x v="0"/>
    <x v="0"/>
    <x v="0"/>
  </r>
  <r>
    <x v="1"/>
    <x v="1"/>
    <x v="1"/>
    <x v="1"/>
    <x v="1"/>
    <x v="1"/>
    <x v="1"/>
    <x v="1"/>
    <x v="1"/>
    <x v="1"/>
    <x v="1"/>
    <x v="1"/>
    <x v="1"/>
    <x v="1"/>
  </r>
  <r>
    <x v="0"/>
    <x v="0"/>
    <x v="2"/>
    <x v="0"/>
    <x v="0"/>
    <x v="0"/>
    <x v="0"/>
    <x v="0"/>
    <x v="0"/>
    <x v="0"/>
    <x v="0"/>
    <x v="0"/>
    <x v="0"/>
    <x v="1"/>
  </r>
  <r>
    <x v="2"/>
    <x v="2"/>
    <x v="3"/>
    <x v="2"/>
    <x v="1"/>
    <x v="2"/>
    <x v="1"/>
    <x v="2"/>
    <x v="1"/>
    <x v="2"/>
    <x v="1"/>
    <x v="2"/>
    <x v="1"/>
    <x v="2"/>
  </r>
  <r>
    <x v="3"/>
    <x v="3"/>
    <x v="4"/>
    <x v="3"/>
    <x v="1"/>
    <x v="3"/>
    <x v="1"/>
    <x v="3"/>
    <x v="1"/>
    <x v="3"/>
    <x v="1"/>
    <x v="3"/>
    <x v="1"/>
    <x v="2"/>
  </r>
  <r>
    <x v="4"/>
    <x v="4"/>
    <x v="5"/>
    <x v="3"/>
    <x v="1"/>
    <x v="3"/>
    <x v="1"/>
    <x v="4"/>
    <x v="1"/>
    <x v="4"/>
    <x v="1"/>
    <x v="2"/>
    <x v="1"/>
    <x v="2"/>
  </r>
  <r>
    <x v="5"/>
    <x v="5"/>
    <x v="6"/>
    <x v="4"/>
    <x v="1"/>
    <x v="4"/>
    <x v="1"/>
    <x v="3"/>
    <x v="1"/>
    <x v="3"/>
    <x v="1"/>
    <x v="2"/>
    <x v="1"/>
    <x v="2"/>
  </r>
  <r>
    <x v="6"/>
    <x v="6"/>
    <x v="7"/>
    <x v="5"/>
    <x v="1"/>
    <x v="5"/>
    <x v="1"/>
    <x v="5"/>
    <x v="1"/>
    <x v="5"/>
    <x v="1"/>
    <x v="2"/>
    <x v="1"/>
    <x v="2"/>
  </r>
  <r>
    <x v="7"/>
    <x v="7"/>
    <x v="8"/>
    <x v="6"/>
    <x v="1"/>
    <x v="6"/>
    <x v="1"/>
    <x v="6"/>
    <x v="1"/>
    <x v="6"/>
    <x v="1"/>
    <x v="4"/>
    <x v="1"/>
    <x v="2"/>
  </r>
  <r>
    <x v="8"/>
    <x v="8"/>
    <x v="9"/>
    <x v="7"/>
    <x v="2"/>
    <x v="7"/>
    <x v="2"/>
    <x v="7"/>
    <x v="2"/>
    <x v="7"/>
    <x v="2"/>
    <x v="5"/>
    <x v="2"/>
    <x v="3"/>
  </r>
</pivotCacheRecords>
</file>

<file path=xl/pivotCache/pivotCacheRecords12.xml><?xml version="1.0" encoding="utf-8"?>
<pivotCacheRecords xmlns="http://schemas.openxmlformats.org/spreadsheetml/2006/main" xmlns:r="http://schemas.openxmlformats.org/officeDocument/2006/relationships" count="17">
  <r>
    <x v="0"/>
    <x v="0"/>
    <x v="0"/>
    <x v="0"/>
    <x v="0"/>
    <x v="0"/>
    <x v="0"/>
    <x v="0"/>
    <x v="0"/>
    <x v="0"/>
    <x v="0"/>
    <x v="0"/>
    <x v="0"/>
    <x v="0"/>
  </r>
  <r>
    <x v="1"/>
    <x v="1"/>
    <x v="1"/>
    <x v="1"/>
    <x v="1"/>
    <x v="1"/>
    <x v="1"/>
    <x v="1"/>
    <x v="1"/>
    <x v="1"/>
    <x v="1"/>
    <x v="1"/>
    <x v="1"/>
    <x v="1"/>
  </r>
  <r>
    <x v="2"/>
    <x v="2"/>
    <x v="2"/>
    <x v="2"/>
    <x v="2"/>
    <x v="2"/>
    <x v="2"/>
    <x v="2"/>
    <x v="2"/>
    <x v="2"/>
    <x v="2"/>
    <x v="2"/>
    <x v="2"/>
    <x v="1"/>
  </r>
  <r>
    <x v="3"/>
    <x v="3"/>
    <x v="3"/>
    <x v="3"/>
    <x v="2"/>
    <x v="3"/>
    <x v="2"/>
    <x v="3"/>
    <x v="2"/>
    <x v="3"/>
    <x v="2"/>
    <x v="3"/>
    <x v="2"/>
    <x v="2"/>
  </r>
  <r>
    <x v="4"/>
    <x v="4"/>
    <x v="4"/>
    <x v="4"/>
    <x v="2"/>
    <x v="4"/>
    <x v="2"/>
    <x v="4"/>
    <x v="2"/>
    <x v="4"/>
    <x v="2"/>
    <x v="4"/>
    <x v="2"/>
    <x v="2"/>
  </r>
  <r>
    <x v="0"/>
    <x v="0"/>
    <x v="5"/>
    <x v="0"/>
    <x v="0"/>
    <x v="0"/>
    <x v="0"/>
    <x v="0"/>
    <x v="0"/>
    <x v="0"/>
    <x v="0"/>
    <x v="0"/>
    <x v="0"/>
    <x v="2"/>
  </r>
  <r>
    <x v="5"/>
    <x v="5"/>
    <x v="6"/>
    <x v="5"/>
    <x v="2"/>
    <x v="5"/>
    <x v="2"/>
    <x v="5"/>
    <x v="2"/>
    <x v="5"/>
    <x v="2"/>
    <x v="3"/>
    <x v="2"/>
    <x v="3"/>
  </r>
  <r>
    <x v="6"/>
    <x v="6"/>
    <x v="7"/>
    <x v="6"/>
    <x v="2"/>
    <x v="6"/>
    <x v="2"/>
    <x v="1"/>
    <x v="2"/>
    <x v="1"/>
    <x v="2"/>
    <x v="3"/>
    <x v="2"/>
    <x v="3"/>
  </r>
  <r>
    <x v="7"/>
    <x v="7"/>
    <x v="8"/>
    <x v="6"/>
    <x v="2"/>
    <x v="6"/>
    <x v="2"/>
    <x v="6"/>
    <x v="2"/>
    <x v="6"/>
    <x v="2"/>
    <x v="3"/>
    <x v="2"/>
    <x v="3"/>
  </r>
  <r>
    <x v="8"/>
    <x v="8"/>
    <x v="9"/>
    <x v="7"/>
    <x v="2"/>
    <x v="7"/>
    <x v="2"/>
    <x v="7"/>
    <x v="2"/>
    <x v="7"/>
    <x v="2"/>
    <x v="5"/>
    <x v="2"/>
    <x v="3"/>
  </r>
  <r>
    <x v="9"/>
    <x v="9"/>
    <x v="10"/>
    <x v="8"/>
    <x v="2"/>
    <x v="8"/>
    <x v="2"/>
    <x v="8"/>
    <x v="2"/>
    <x v="8"/>
    <x v="2"/>
    <x v="3"/>
    <x v="2"/>
    <x v="3"/>
  </r>
  <r>
    <x v="10"/>
    <x v="10"/>
    <x v="11"/>
    <x v="5"/>
    <x v="2"/>
    <x v="5"/>
    <x v="2"/>
    <x v="9"/>
    <x v="2"/>
    <x v="9"/>
    <x v="2"/>
    <x v="3"/>
    <x v="2"/>
    <x v="3"/>
  </r>
  <r>
    <x v="11"/>
    <x v="11"/>
    <x v="12"/>
    <x v="9"/>
    <x v="2"/>
    <x v="9"/>
    <x v="2"/>
    <x v="10"/>
    <x v="2"/>
    <x v="10"/>
    <x v="2"/>
    <x v="3"/>
    <x v="2"/>
    <x v="3"/>
  </r>
  <r>
    <x v="12"/>
    <x v="12"/>
    <x v="13"/>
    <x v="10"/>
    <x v="2"/>
    <x v="10"/>
    <x v="2"/>
    <x v="11"/>
    <x v="2"/>
    <x v="11"/>
    <x v="2"/>
    <x v="6"/>
    <x v="2"/>
    <x v="3"/>
  </r>
  <r>
    <x v="13"/>
    <x v="13"/>
    <x v="14"/>
    <x v="11"/>
    <x v="2"/>
    <x v="11"/>
    <x v="2"/>
    <x v="12"/>
    <x v="2"/>
    <x v="12"/>
    <x v="2"/>
    <x v="7"/>
    <x v="2"/>
    <x v="3"/>
  </r>
  <r>
    <x v="14"/>
    <x v="2"/>
    <x v="15"/>
    <x v="12"/>
    <x v="2"/>
    <x v="12"/>
    <x v="2"/>
    <x v="13"/>
    <x v="2"/>
    <x v="13"/>
    <x v="2"/>
    <x v="3"/>
    <x v="2"/>
    <x v="3"/>
  </r>
  <r>
    <x v="15"/>
    <x v="14"/>
    <x v="16"/>
    <x v="13"/>
    <x v="3"/>
    <x v="13"/>
    <x v="3"/>
    <x v="14"/>
    <x v="3"/>
    <x v="14"/>
    <x v="3"/>
    <x v="8"/>
    <x v="3"/>
    <x v="4"/>
  </r>
</pivotCacheRecords>
</file>

<file path=xl/pivotCache/pivotCacheRecords13.xml><?xml version="1.0" encoding="utf-8"?>
<pivotCacheRecords xmlns="http://schemas.openxmlformats.org/spreadsheetml/2006/main" xmlns:r="http://schemas.openxmlformats.org/officeDocument/2006/relationships" count="6">
  <r>
    <x v="0"/>
    <x v="0"/>
    <x v="0"/>
    <x v="0"/>
    <x v="0"/>
    <x v="0"/>
    <x v="0"/>
    <x v="0"/>
    <x v="0"/>
    <x v="0"/>
    <x v="0"/>
    <x v="0"/>
    <x v="0"/>
    <x v="0"/>
    <x v="0"/>
    <x v="0"/>
    <x v="0"/>
  </r>
  <r>
    <x v="0"/>
    <x v="0"/>
    <x v="1"/>
    <x v="1"/>
    <x v="1"/>
    <x v="1"/>
    <x v="1"/>
    <x v="1"/>
    <x v="1"/>
    <x v="1"/>
    <x v="1"/>
    <x v="1"/>
    <x v="1"/>
    <x v="1"/>
    <x v="0"/>
    <x v="1"/>
    <x v="0"/>
  </r>
  <r>
    <x v="0"/>
    <x v="0"/>
    <x v="2"/>
    <x v="0"/>
    <x v="2"/>
    <x v="2"/>
    <x v="2"/>
    <x v="0"/>
    <x v="0"/>
    <x v="0"/>
    <x v="0"/>
    <x v="0"/>
    <x v="0"/>
    <x v="0"/>
    <x v="0"/>
    <x v="0"/>
    <x v="0"/>
  </r>
  <r>
    <x v="0"/>
    <x v="0"/>
    <x v="3"/>
    <x v="2"/>
    <x v="3"/>
    <x v="3"/>
    <x v="3"/>
    <x v="0"/>
    <x v="0"/>
    <x v="0"/>
    <x v="0"/>
    <x v="0"/>
    <x v="0"/>
    <x v="0"/>
    <x v="0"/>
    <x v="0"/>
    <x v="0"/>
  </r>
  <r>
    <x v="0"/>
    <x v="0"/>
    <x v="4"/>
    <x v="3"/>
    <x v="4"/>
    <x v="4"/>
    <x v="4"/>
    <x v="0"/>
    <x v="0"/>
    <x v="0"/>
    <x v="0"/>
    <x v="0"/>
    <x v="0"/>
    <x v="0"/>
    <x v="0"/>
    <x v="0"/>
    <x v="0"/>
  </r>
  <r>
    <x v="1"/>
    <x v="1"/>
    <x v="5"/>
    <x v="4"/>
    <x v="5"/>
    <x v="5"/>
    <x v="5"/>
    <x v="2"/>
    <x v="0"/>
    <x v="2"/>
    <x v="2"/>
    <x v="2"/>
    <x v="2"/>
    <x v="2"/>
    <x v="1"/>
    <x v="2"/>
    <x v="1"/>
  </r>
</pivotCacheRecords>
</file>

<file path=xl/pivotCache/pivotCacheRecords14.xml><?xml version="1.0" encoding="utf-8"?>
<pivotCacheRecords xmlns="http://schemas.openxmlformats.org/spreadsheetml/2006/main" xmlns:r="http://schemas.openxmlformats.org/officeDocument/2006/relationships" count="8">
  <r>
    <x v="0"/>
    <x v="0"/>
    <x v="0"/>
    <x v="0"/>
    <x v="0"/>
    <x v="0"/>
    <x v="0"/>
    <x v="0"/>
    <x v="0"/>
    <x v="0"/>
    <x v="0"/>
    <x v="0"/>
    <x v="0"/>
    <x v="0"/>
    <x v="0"/>
    <x v="0"/>
    <x v="0"/>
  </r>
  <r>
    <x v="1"/>
    <x v="1"/>
    <x v="1"/>
    <x v="1"/>
    <x v="1"/>
    <x v="1"/>
    <x v="1"/>
    <x v="1"/>
    <x v="1"/>
    <x v="1"/>
    <x v="0"/>
    <x v="0"/>
    <x v="1"/>
    <x v="0"/>
    <x v="0"/>
    <x v="1"/>
    <x v="0"/>
  </r>
  <r>
    <x v="2"/>
    <x v="2"/>
    <x v="2"/>
    <x v="2"/>
    <x v="2"/>
    <x v="2"/>
    <x v="2"/>
    <x v="2"/>
    <x v="2"/>
    <x v="2"/>
    <x v="1"/>
    <x v="1"/>
    <x v="2"/>
    <x v="1"/>
    <x v="0"/>
    <x v="2"/>
    <x v="0"/>
  </r>
  <r>
    <x v="2"/>
    <x v="2"/>
    <x v="3"/>
    <x v="3"/>
    <x v="3"/>
    <x v="3"/>
    <x v="3"/>
    <x v="3"/>
    <x v="3"/>
    <x v="3"/>
    <x v="0"/>
    <x v="0"/>
    <x v="3"/>
    <x v="0"/>
    <x v="0"/>
    <x v="3"/>
    <x v="0"/>
  </r>
  <r>
    <x v="2"/>
    <x v="2"/>
    <x v="4"/>
    <x v="4"/>
    <x v="4"/>
    <x v="4"/>
    <x v="4"/>
    <x v="2"/>
    <x v="2"/>
    <x v="2"/>
    <x v="1"/>
    <x v="1"/>
    <x v="2"/>
    <x v="1"/>
    <x v="0"/>
    <x v="2"/>
    <x v="0"/>
  </r>
  <r>
    <x v="2"/>
    <x v="2"/>
    <x v="5"/>
    <x v="5"/>
    <x v="5"/>
    <x v="5"/>
    <x v="5"/>
    <x v="4"/>
    <x v="4"/>
    <x v="4"/>
    <x v="2"/>
    <x v="2"/>
    <x v="4"/>
    <x v="2"/>
    <x v="0"/>
    <x v="4"/>
    <x v="0"/>
  </r>
  <r>
    <x v="2"/>
    <x v="2"/>
    <x v="6"/>
    <x v="6"/>
    <x v="6"/>
    <x v="6"/>
    <x v="6"/>
    <x v="5"/>
    <x v="5"/>
    <x v="5"/>
    <x v="0"/>
    <x v="0"/>
    <x v="5"/>
    <x v="0"/>
    <x v="0"/>
    <x v="5"/>
    <x v="0"/>
  </r>
  <r>
    <x v="3"/>
    <x v="3"/>
    <x v="7"/>
    <x v="7"/>
    <x v="7"/>
    <x v="7"/>
    <x v="7"/>
    <x v="6"/>
    <x v="2"/>
    <x v="6"/>
    <x v="3"/>
    <x v="3"/>
    <x v="6"/>
    <x v="3"/>
    <x v="1"/>
    <x v="6"/>
    <x v="1"/>
  </r>
</pivotCacheRecords>
</file>

<file path=xl/pivotCache/pivotCacheRecords15.xml><?xml version="1.0" encoding="utf-8"?>
<pivotCacheRecords xmlns="http://schemas.openxmlformats.org/spreadsheetml/2006/main" xmlns:r="http://schemas.openxmlformats.org/officeDocument/2006/relationships" count="10">
  <r>
    <x v="0"/>
    <x v="0"/>
    <x v="0"/>
    <x v="0"/>
    <x v="0"/>
    <x v="0"/>
    <x v="0"/>
    <x v="0"/>
    <x v="0"/>
    <x v="0"/>
    <x v="0"/>
    <x v="0"/>
    <x v="0"/>
    <x v="0"/>
    <x v="0"/>
    <x v="0"/>
    <x v="0"/>
  </r>
  <r>
    <x v="1"/>
    <x v="1"/>
    <x v="1"/>
    <x v="1"/>
    <x v="1"/>
    <x v="1"/>
    <x v="1"/>
    <x v="1"/>
    <x v="1"/>
    <x v="1"/>
    <x v="1"/>
    <x v="1"/>
    <x v="1"/>
    <x v="1"/>
    <x v="1"/>
    <x v="1"/>
    <x v="1"/>
  </r>
  <r>
    <x v="2"/>
    <x v="2"/>
    <x v="2"/>
    <x v="2"/>
    <x v="2"/>
    <x v="2"/>
    <x v="2"/>
    <x v="2"/>
    <x v="2"/>
    <x v="2"/>
    <x v="2"/>
    <x v="2"/>
    <x v="2"/>
    <x v="2"/>
    <x v="1"/>
    <x v="2"/>
    <x v="2"/>
  </r>
  <r>
    <x v="3"/>
    <x v="3"/>
    <x v="3"/>
    <x v="3"/>
    <x v="3"/>
    <x v="3"/>
    <x v="3"/>
    <x v="3"/>
    <x v="3"/>
    <x v="3"/>
    <x v="3"/>
    <x v="3"/>
    <x v="3"/>
    <x v="1"/>
    <x v="0"/>
    <x v="3"/>
    <x v="0"/>
  </r>
  <r>
    <x v="4"/>
    <x v="4"/>
    <x v="4"/>
    <x v="4"/>
    <x v="4"/>
    <x v="4"/>
    <x v="4"/>
    <x v="0"/>
    <x v="0"/>
    <x v="0"/>
    <x v="0"/>
    <x v="0"/>
    <x v="0"/>
    <x v="0"/>
    <x v="0"/>
    <x v="0"/>
    <x v="0"/>
  </r>
  <r>
    <x v="4"/>
    <x v="4"/>
    <x v="5"/>
    <x v="5"/>
    <x v="5"/>
    <x v="5"/>
    <x v="5"/>
    <x v="4"/>
    <x v="4"/>
    <x v="4"/>
    <x v="1"/>
    <x v="1"/>
    <x v="4"/>
    <x v="2"/>
    <x v="0"/>
    <x v="4"/>
    <x v="0"/>
  </r>
  <r>
    <x v="4"/>
    <x v="4"/>
    <x v="6"/>
    <x v="6"/>
    <x v="6"/>
    <x v="6"/>
    <x v="6"/>
    <x v="0"/>
    <x v="0"/>
    <x v="0"/>
    <x v="0"/>
    <x v="0"/>
    <x v="0"/>
    <x v="0"/>
    <x v="0"/>
    <x v="0"/>
    <x v="0"/>
  </r>
  <r>
    <x v="4"/>
    <x v="4"/>
    <x v="7"/>
    <x v="7"/>
    <x v="7"/>
    <x v="7"/>
    <x v="7"/>
    <x v="5"/>
    <x v="5"/>
    <x v="5"/>
    <x v="4"/>
    <x v="4"/>
    <x v="5"/>
    <x v="3"/>
    <x v="0"/>
    <x v="5"/>
    <x v="0"/>
  </r>
  <r>
    <x v="4"/>
    <x v="4"/>
    <x v="8"/>
    <x v="8"/>
    <x v="8"/>
    <x v="8"/>
    <x v="8"/>
    <x v="6"/>
    <x v="6"/>
    <x v="6"/>
    <x v="1"/>
    <x v="1"/>
    <x v="6"/>
    <x v="2"/>
    <x v="0"/>
    <x v="6"/>
    <x v="0"/>
  </r>
  <r>
    <x v="5"/>
    <x v="5"/>
    <x v="9"/>
    <x v="9"/>
    <x v="9"/>
    <x v="9"/>
    <x v="9"/>
    <x v="7"/>
    <x v="0"/>
    <x v="7"/>
    <x v="5"/>
    <x v="5"/>
    <x v="7"/>
    <x v="4"/>
    <x v="2"/>
    <x v="7"/>
    <x v="3"/>
  </r>
</pivotCacheRecords>
</file>

<file path=xl/pivotCache/pivotCacheRecords16.xml><?xml version="1.0" encoding="utf-8"?>
<pivotCacheRecords xmlns="http://schemas.openxmlformats.org/spreadsheetml/2006/main" xmlns:r="http://schemas.openxmlformats.org/officeDocument/2006/relationships" count="146">
  <r>
    <x v="0"/>
    <x v="0"/>
    <x v="0"/>
    <x v="0"/>
    <x v="0"/>
    <x v="0"/>
    <x v="0"/>
    <x v="0"/>
    <x v="0"/>
    <x v="0"/>
    <x v="0"/>
    <x v="0"/>
    <x v="0"/>
    <x v="0"/>
  </r>
  <r>
    <x v="1"/>
    <x v="1"/>
    <x v="1"/>
    <x v="1"/>
    <x v="1"/>
    <x v="1"/>
    <x v="1"/>
    <x v="1"/>
    <x v="1"/>
    <x v="1"/>
    <x v="1"/>
    <x v="1"/>
    <x v="1"/>
    <x v="1"/>
  </r>
  <r>
    <x v="2"/>
    <x v="2"/>
    <x v="2"/>
    <x v="2"/>
    <x v="2"/>
    <x v="2"/>
    <x v="2"/>
    <x v="2"/>
    <x v="2"/>
    <x v="2"/>
    <x v="2"/>
    <x v="2"/>
    <x v="0"/>
    <x v="2"/>
  </r>
  <r>
    <x v="3"/>
    <x v="3"/>
    <x v="3"/>
    <x v="3"/>
    <x v="3"/>
    <x v="3"/>
    <x v="3"/>
    <x v="3"/>
    <x v="3"/>
    <x v="3"/>
    <x v="3"/>
    <x v="0"/>
    <x v="0"/>
    <x v="3"/>
  </r>
  <r>
    <x v="4"/>
    <x v="4"/>
    <x v="4"/>
    <x v="4"/>
    <x v="4"/>
    <x v="4"/>
    <x v="4"/>
    <x v="4"/>
    <x v="4"/>
    <x v="4"/>
    <x v="4"/>
    <x v="3"/>
    <x v="0"/>
    <x v="4"/>
  </r>
  <r>
    <x v="5"/>
    <x v="5"/>
    <x v="5"/>
    <x v="5"/>
    <x v="5"/>
    <x v="5"/>
    <x v="5"/>
    <x v="5"/>
    <x v="2"/>
    <x v="5"/>
    <x v="2"/>
    <x v="4"/>
    <x v="0"/>
    <x v="5"/>
  </r>
  <r>
    <x v="6"/>
    <x v="6"/>
    <x v="6"/>
    <x v="6"/>
    <x v="6"/>
    <x v="6"/>
    <x v="6"/>
    <x v="6"/>
    <x v="5"/>
    <x v="6"/>
    <x v="5"/>
    <x v="0"/>
    <x v="0"/>
    <x v="6"/>
  </r>
  <r>
    <x v="7"/>
    <x v="7"/>
    <x v="7"/>
    <x v="7"/>
    <x v="7"/>
    <x v="7"/>
    <x v="7"/>
    <x v="7"/>
    <x v="6"/>
    <x v="7"/>
    <x v="6"/>
    <x v="5"/>
    <x v="0"/>
    <x v="7"/>
  </r>
  <r>
    <x v="8"/>
    <x v="8"/>
    <x v="8"/>
    <x v="8"/>
    <x v="8"/>
    <x v="8"/>
    <x v="8"/>
    <x v="8"/>
    <x v="3"/>
    <x v="8"/>
    <x v="3"/>
    <x v="0"/>
    <x v="0"/>
    <x v="8"/>
  </r>
  <r>
    <x v="9"/>
    <x v="9"/>
    <x v="9"/>
    <x v="9"/>
    <x v="9"/>
    <x v="9"/>
    <x v="9"/>
    <x v="9"/>
    <x v="7"/>
    <x v="9"/>
    <x v="7"/>
    <x v="0"/>
    <x v="2"/>
    <x v="8"/>
  </r>
  <r>
    <x v="10"/>
    <x v="10"/>
    <x v="10"/>
    <x v="10"/>
    <x v="3"/>
    <x v="10"/>
    <x v="3"/>
    <x v="10"/>
    <x v="8"/>
    <x v="10"/>
    <x v="8"/>
    <x v="0"/>
    <x v="0"/>
    <x v="9"/>
  </r>
  <r>
    <x v="11"/>
    <x v="11"/>
    <x v="11"/>
    <x v="11"/>
    <x v="3"/>
    <x v="11"/>
    <x v="3"/>
    <x v="11"/>
    <x v="9"/>
    <x v="11"/>
    <x v="9"/>
    <x v="0"/>
    <x v="0"/>
    <x v="9"/>
  </r>
  <r>
    <x v="12"/>
    <x v="12"/>
    <x v="12"/>
    <x v="12"/>
    <x v="10"/>
    <x v="12"/>
    <x v="10"/>
    <x v="12"/>
    <x v="5"/>
    <x v="12"/>
    <x v="5"/>
    <x v="6"/>
    <x v="0"/>
    <x v="10"/>
  </r>
  <r>
    <x v="13"/>
    <x v="13"/>
    <x v="13"/>
    <x v="13"/>
    <x v="4"/>
    <x v="13"/>
    <x v="4"/>
    <x v="13"/>
    <x v="4"/>
    <x v="13"/>
    <x v="4"/>
    <x v="7"/>
    <x v="0"/>
    <x v="11"/>
  </r>
  <r>
    <x v="14"/>
    <x v="14"/>
    <x v="14"/>
    <x v="14"/>
    <x v="11"/>
    <x v="14"/>
    <x v="11"/>
    <x v="14"/>
    <x v="9"/>
    <x v="14"/>
    <x v="9"/>
    <x v="0"/>
    <x v="0"/>
    <x v="12"/>
  </r>
  <r>
    <x v="15"/>
    <x v="15"/>
    <x v="15"/>
    <x v="15"/>
    <x v="3"/>
    <x v="15"/>
    <x v="3"/>
    <x v="15"/>
    <x v="8"/>
    <x v="15"/>
    <x v="8"/>
    <x v="0"/>
    <x v="0"/>
    <x v="13"/>
  </r>
  <r>
    <x v="16"/>
    <x v="16"/>
    <x v="16"/>
    <x v="16"/>
    <x v="3"/>
    <x v="16"/>
    <x v="3"/>
    <x v="16"/>
    <x v="3"/>
    <x v="16"/>
    <x v="3"/>
    <x v="0"/>
    <x v="0"/>
    <x v="14"/>
  </r>
  <r>
    <x v="17"/>
    <x v="17"/>
    <x v="17"/>
    <x v="17"/>
    <x v="12"/>
    <x v="17"/>
    <x v="12"/>
    <x v="17"/>
    <x v="10"/>
    <x v="17"/>
    <x v="10"/>
    <x v="0"/>
    <x v="0"/>
    <x v="13"/>
  </r>
  <r>
    <x v="18"/>
    <x v="18"/>
    <x v="18"/>
    <x v="18"/>
    <x v="3"/>
    <x v="18"/>
    <x v="3"/>
    <x v="18"/>
    <x v="9"/>
    <x v="18"/>
    <x v="9"/>
    <x v="0"/>
    <x v="0"/>
    <x v="15"/>
  </r>
  <r>
    <x v="19"/>
    <x v="19"/>
    <x v="19"/>
    <x v="19"/>
    <x v="3"/>
    <x v="19"/>
    <x v="3"/>
    <x v="19"/>
    <x v="3"/>
    <x v="19"/>
    <x v="3"/>
    <x v="0"/>
    <x v="0"/>
    <x v="13"/>
  </r>
  <r>
    <x v="20"/>
    <x v="20"/>
    <x v="20"/>
    <x v="20"/>
    <x v="8"/>
    <x v="20"/>
    <x v="8"/>
    <x v="20"/>
    <x v="11"/>
    <x v="20"/>
    <x v="11"/>
    <x v="8"/>
    <x v="0"/>
    <x v="15"/>
  </r>
  <r>
    <x v="21"/>
    <x v="21"/>
    <x v="21"/>
    <x v="14"/>
    <x v="13"/>
    <x v="14"/>
    <x v="13"/>
    <x v="21"/>
    <x v="8"/>
    <x v="21"/>
    <x v="8"/>
    <x v="0"/>
    <x v="0"/>
    <x v="16"/>
  </r>
  <r>
    <x v="22"/>
    <x v="22"/>
    <x v="22"/>
    <x v="21"/>
    <x v="8"/>
    <x v="21"/>
    <x v="8"/>
    <x v="22"/>
    <x v="11"/>
    <x v="22"/>
    <x v="11"/>
    <x v="0"/>
    <x v="0"/>
    <x v="14"/>
  </r>
  <r>
    <x v="23"/>
    <x v="23"/>
    <x v="23"/>
    <x v="22"/>
    <x v="9"/>
    <x v="22"/>
    <x v="9"/>
    <x v="23"/>
    <x v="7"/>
    <x v="23"/>
    <x v="7"/>
    <x v="9"/>
    <x v="2"/>
    <x v="16"/>
  </r>
  <r>
    <x v="24"/>
    <x v="24"/>
    <x v="24"/>
    <x v="9"/>
    <x v="14"/>
    <x v="9"/>
    <x v="14"/>
    <x v="24"/>
    <x v="12"/>
    <x v="24"/>
    <x v="12"/>
    <x v="0"/>
    <x v="0"/>
    <x v="16"/>
  </r>
  <r>
    <x v="25"/>
    <x v="25"/>
    <x v="25"/>
    <x v="23"/>
    <x v="13"/>
    <x v="23"/>
    <x v="13"/>
    <x v="25"/>
    <x v="9"/>
    <x v="25"/>
    <x v="9"/>
    <x v="10"/>
    <x v="0"/>
    <x v="16"/>
  </r>
  <r>
    <x v="26"/>
    <x v="26"/>
    <x v="26"/>
    <x v="24"/>
    <x v="9"/>
    <x v="24"/>
    <x v="9"/>
    <x v="26"/>
    <x v="7"/>
    <x v="26"/>
    <x v="7"/>
    <x v="0"/>
    <x v="2"/>
    <x v="17"/>
  </r>
  <r>
    <x v="27"/>
    <x v="27"/>
    <x v="27"/>
    <x v="25"/>
    <x v="14"/>
    <x v="25"/>
    <x v="14"/>
    <x v="27"/>
    <x v="11"/>
    <x v="27"/>
    <x v="11"/>
    <x v="0"/>
    <x v="2"/>
    <x v="16"/>
  </r>
  <r>
    <x v="28"/>
    <x v="28"/>
    <x v="28"/>
    <x v="26"/>
    <x v="14"/>
    <x v="26"/>
    <x v="14"/>
    <x v="23"/>
    <x v="12"/>
    <x v="23"/>
    <x v="12"/>
    <x v="11"/>
    <x v="2"/>
    <x v="17"/>
  </r>
  <r>
    <x v="29"/>
    <x v="29"/>
    <x v="29"/>
    <x v="27"/>
    <x v="3"/>
    <x v="27"/>
    <x v="3"/>
    <x v="28"/>
    <x v="3"/>
    <x v="28"/>
    <x v="3"/>
    <x v="12"/>
    <x v="0"/>
    <x v="17"/>
  </r>
  <r>
    <x v="30"/>
    <x v="30"/>
    <x v="30"/>
    <x v="21"/>
    <x v="9"/>
    <x v="21"/>
    <x v="9"/>
    <x v="29"/>
    <x v="7"/>
    <x v="29"/>
    <x v="7"/>
    <x v="13"/>
    <x v="2"/>
    <x v="18"/>
  </r>
  <r>
    <x v="31"/>
    <x v="31"/>
    <x v="31"/>
    <x v="28"/>
    <x v="8"/>
    <x v="28"/>
    <x v="8"/>
    <x v="30"/>
    <x v="11"/>
    <x v="30"/>
    <x v="11"/>
    <x v="14"/>
    <x v="0"/>
    <x v="18"/>
  </r>
  <r>
    <x v="32"/>
    <x v="32"/>
    <x v="32"/>
    <x v="29"/>
    <x v="11"/>
    <x v="29"/>
    <x v="11"/>
    <x v="31"/>
    <x v="13"/>
    <x v="31"/>
    <x v="13"/>
    <x v="0"/>
    <x v="0"/>
    <x v="18"/>
  </r>
  <r>
    <x v="33"/>
    <x v="33"/>
    <x v="33"/>
    <x v="30"/>
    <x v="14"/>
    <x v="30"/>
    <x v="14"/>
    <x v="32"/>
    <x v="12"/>
    <x v="32"/>
    <x v="12"/>
    <x v="0"/>
    <x v="0"/>
    <x v="18"/>
  </r>
  <r>
    <x v="34"/>
    <x v="34"/>
    <x v="34"/>
    <x v="31"/>
    <x v="14"/>
    <x v="31"/>
    <x v="14"/>
    <x v="33"/>
    <x v="12"/>
    <x v="33"/>
    <x v="12"/>
    <x v="0"/>
    <x v="0"/>
    <x v="18"/>
  </r>
  <r>
    <x v="35"/>
    <x v="35"/>
    <x v="35"/>
    <x v="32"/>
    <x v="9"/>
    <x v="32"/>
    <x v="9"/>
    <x v="22"/>
    <x v="7"/>
    <x v="22"/>
    <x v="7"/>
    <x v="0"/>
    <x v="2"/>
    <x v="18"/>
  </r>
  <r>
    <x v="36"/>
    <x v="36"/>
    <x v="36"/>
    <x v="15"/>
    <x v="14"/>
    <x v="15"/>
    <x v="14"/>
    <x v="34"/>
    <x v="12"/>
    <x v="34"/>
    <x v="12"/>
    <x v="15"/>
    <x v="0"/>
    <x v="18"/>
  </r>
  <r>
    <x v="37"/>
    <x v="37"/>
    <x v="37"/>
    <x v="33"/>
    <x v="9"/>
    <x v="33"/>
    <x v="9"/>
    <x v="27"/>
    <x v="7"/>
    <x v="27"/>
    <x v="7"/>
    <x v="0"/>
    <x v="2"/>
    <x v="18"/>
  </r>
  <r>
    <x v="38"/>
    <x v="38"/>
    <x v="38"/>
    <x v="27"/>
    <x v="8"/>
    <x v="27"/>
    <x v="8"/>
    <x v="26"/>
    <x v="11"/>
    <x v="26"/>
    <x v="11"/>
    <x v="0"/>
    <x v="0"/>
    <x v="18"/>
  </r>
  <r>
    <x v="39"/>
    <x v="39"/>
    <x v="39"/>
    <x v="34"/>
    <x v="9"/>
    <x v="34"/>
    <x v="9"/>
    <x v="32"/>
    <x v="7"/>
    <x v="32"/>
    <x v="7"/>
    <x v="0"/>
    <x v="2"/>
    <x v="19"/>
  </r>
  <r>
    <x v="40"/>
    <x v="40"/>
    <x v="40"/>
    <x v="29"/>
    <x v="8"/>
    <x v="29"/>
    <x v="8"/>
    <x v="35"/>
    <x v="3"/>
    <x v="35"/>
    <x v="3"/>
    <x v="0"/>
    <x v="0"/>
    <x v="19"/>
  </r>
  <r>
    <x v="41"/>
    <x v="41"/>
    <x v="41"/>
    <x v="35"/>
    <x v="9"/>
    <x v="35"/>
    <x v="9"/>
    <x v="36"/>
    <x v="7"/>
    <x v="36"/>
    <x v="7"/>
    <x v="0"/>
    <x v="2"/>
    <x v="19"/>
  </r>
  <r>
    <x v="42"/>
    <x v="42"/>
    <x v="42"/>
    <x v="36"/>
    <x v="9"/>
    <x v="36"/>
    <x v="9"/>
    <x v="37"/>
    <x v="7"/>
    <x v="37"/>
    <x v="7"/>
    <x v="0"/>
    <x v="2"/>
    <x v="19"/>
  </r>
  <r>
    <x v="43"/>
    <x v="43"/>
    <x v="43"/>
    <x v="34"/>
    <x v="9"/>
    <x v="34"/>
    <x v="9"/>
    <x v="38"/>
    <x v="7"/>
    <x v="38"/>
    <x v="7"/>
    <x v="0"/>
    <x v="2"/>
    <x v="18"/>
  </r>
  <r>
    <x v="44"/>
    <x v="44"/>
    <x v="44"/>
    <x v="27"/>
    <x v="9"/>
    <x v="27"/>
    <x v="9"/>
    <x v="35"/>
    <x v="7"/>
    <x v="35"/>
    <x v="7"/>
    <x v="16"/>
    <x v="2"/>
    <x v="19"/>
  </r>
  <r>
    <x v="45"/>
    <x v="45"/>
    <x v="45"/>
    <x v="37"/>
    <x v="9"/>
    <x v="37"/>
    <x v="9"/>
    <x v="29"/>
    <x v="7"/>
    <x v="29"/>
    <x v="7"/>
    <x v="0"/>
    <x v="2"/>
    <x v="19"/>
  </r>
  <r>
    <x v="46"/>
    <x v="46"/>
    <x v="46"/>
    <x v="38"/>
    <x v="8"/>
    <x v="38"/>
    <x v="8"/>
    <x v="39"/>
    <x v="11"/>
    <x v="39"/>
    <x v="11"/>
    <x v="0"/>
    <x v="0"/>
    <x v="19"/>
  </r>
  <r>
    <x v="47"/>
    <x v="47"/>
    <x v="47"/>
    <x v="39"/>
    <x v="9"/>
    <x v="39"/>
    <x v="9"/>
    <x v="40"/>
    <x v="7"/>
    <x v="40"/>
    <x v="7"/>
    <x v="0"/>
    <x v="2"/>
    <x v="20"/>
  </r>
  <r>
    <x v="48"/>
    <x v="48"/>
    <x v="48"/>
    <x v="40"/>
    <x v="9"/>
    <x v="40"/>
    <x v="9"/>
    <x v="41"/>
    <x v="7"/>
    <x v="41"/>
    <x v="7"/>
    <x v="0"/>
    <x v="2"/>
    <x v="20"/>
  </r>
  <r>
    <x v="49"/>
    <x v="49"/>
    <x v="49"/>
    <x v="21"/>
    <x v="9"/>
    <x v="21"/>
    <x v="9"/>
    <x v="42"/>
    <x v="7"/>
    <x v="42"/>
    <x v="7"/>
    <x v="0"/>
    <x v="2"/>
    <x v="20"/>
  </r>
  <r>
    <x v="50"/>
    <x v="50"/>
    <x v="50"/>
    <x v="32"/>
    <x v="9"/>
    <x v="32"/>
    <x v="9"/>
    <x v="43"/>
    <x v="7"/>
    <x v="43"/>
    <x v="7"/>
    <x v="0"/>
    <x v="2"/>
    <x v="18"/>
  </r>
  <r>
    <x v="51"/>
    <x v="51"/>
    <x v="51"/>
    <x v="41"/>
    <x v="14"/>
    <x v="41"/>
    <x v="14"/>
    <x v="26"/>
    <x v="12"/>
    <x v="26"/>
    <x v="12"/>
    <x v="0"/>
    <x v="2"/>
    <x v="20"/>
  </r>
  <r>
    <x v="52"/>
    <x v="52"/>
    <x v="52"/>
    <x v="42"/>
    <x v="14"/>
    <x v="42"/>
    <x v="14"/>
    <x v="44"/>
    <x v="12"/>
    <x v="44"/>
    <x v="12"/>
    <x v="0"/>
    <x v="2"/>
    <x v="20"/>
  </r>
  <r>
    <x v="53"/>
    <x v="53"/>
    <x v="53"/>
    <x v="43"/>
    <x v="9"/>
    <x v="43"/>
    <x v="9"/>
    <x v="45"/>
    <x v="7"/>
    <x v="45"/>
    <x v="7"/>
    <x v="0"/>
    <x v="2"/>
    <x v="20"/>
  </r>
  <r>
    <x v="54"/>
    <x v="54"/>
    <x v="54"/>
    <x v="21"/>
    <x v="11"/>
    <x v="21"/>
    <x v="11"/>
    <x v="46"/>
    <x v="9"/>
    <x v="46"/>
    <x v="9"/>
    <x v="0"/>
    <x v="0"/>
    <x v="20"/>
  </r>
  <r>
    <x v="55"/>
    <x v="55"/>
    <x v="55"/>
    <x v="36"/>
    <x v="9"/>
    <x v="36"/>
    <x v="9"/>
    <x v="41"/>
    <x v="7"/>
    <x v="41"/>
    <x v="7"/>
    <x v="0"/>
    <x v="2"/>
    <x v="20"/>
  </r>
  <r>
    <x v="56"/>
    <x v="56"/>
    <x v="56"/>
    <x v="44"/>
    <x v="9"/>
    <x v="44"/>
    <x v="9"/>
    <x v="47"/>
    <x v="7"/>
    <x v="47"/>
    <x v="7"/>
    <x v="0"/>
    <x v="2"/>
    <x v="20"/>
  </r>
  <r>
    <x v="57"/>
    <x v="57"/>
    <x v="57"/>
    <x v="45"/>
    <x v="9"/>
    <x v="45"/>
    <x v="9"/>
    <x v="48"/>
    <x v="7"/>
    <x v="48"/>
    <x v="7"/>
    <x v="0"/>
    <x v="2"/>
    <x v="20"/>
  </r>
  <r>
    <x v="58"/>
    <x v="58"/>
    <x v="58"/>
    <x v="46"/>
    <x v="9"/>
    <x v="46"/>
    <x v="9"/>
    <x v="49"/>
    <x v="7"/>
    <x v="49"/>
    <x v="7"/>
    <x v="0"/>
    <x v="2"/>
    <x v="21"/>
  </r>
  <r>
    <x v="59"/>
    <x v="59"/>
    <x v="59"/>
    <x v="47"/>
    <x v="9"/>
    <x v="47"/>
    <x v="9"/>
    <x v="50"/>
    <x v="7"/>
    <x v="50"/>
    <x v="7"/>
    <x v="0"/>
    <x v="2"/>
    <x v="20"/>
  </r>
  <r>
    <x v="60"/>
    <x v="60"/>
    <x v="60"/>
    <x v="34"/>
    <x v="9"/>
    <x v="34"/>
    <x v="9"/>
    <x v="51"/>
    <x v="7"/>
    <x v="51"/>
    <x v="7"/>
    <x v="0"/>
    <x v="2"/>
    <x v="21"/>
  </r>
  <r>
    <x v="61"/>
    <x v="61"/>
    <x v="61"/>
    <x v="48"/>
    <x v="9"/>
    <x v="48"/>
    <x v="9"/>
    <x v="46"/>
    <x v="7"/>
    <x v="46"/>
    <x v="7"/>
    <x v="0"/>
    <x v="2"/>
    <x v="21"/>
  </r>
  <r>
    <x v="62"/>
    <x v="62"/>
    <x v="62"/>
    <x v="49"/>
    <x v="9"/>
    <x v="49"/>
    <x v="9"/>
    <x v="52"/>
    <x v="7"/>
    <x v="52"/>
    <x v="7"/>
    <x v="0"/>
    <x v="2"/>
    <x v="21"/>
  </r>
  <r>
    <x v="63"/>
    <x v="63"/>
    <x v="63"/>
    <x v="50"/>
    <x v="9"/>
    <x v="50"/>
    <x v="9"/>
    <x v="53"/>
    <x v="7"/>
    <x v="53"/>
    <x v="7"/>
    <x v="17"/>
    <x v="2"/>
    <x v="21"/>
  </r>
  <r>
    <x v="64"/>
    <x v="64"/>
    <x v="64"/>
    <x v="34"/>
    <x v="14"/>
    <x v="34"/>
    <x v="14"/>
    <x v="54"/>
    <x v="12"/>
    <x v="54"/>
    <x v="12"/>
    <x v="0"/>
    <x v="0"/>
    <x v="21"/>
  </r>
  <r>
    <x v="65"/>
    <x v="65"/>
    <x v="65"/>
    <x v="49"/>
    <x v="9"/>
    <x v="49"/>
    <x v="9"/>
    <x v="55"/>
    <x v="7"/>
    <x v="55"/>
    <x v="7"/>
    <x v="0"/>
    <x v="2"/>
    <x v="21"/>
  </r>
  <r>
    <x v="66"/>
    <x v="66"/>
    <x v="66"/>
    <x v="18"/>
    <x v="11"/>
    <x v="18"/>
    <x v="11"/>
    <x v="36"/>
    <x v="13"/>
    <x v="36"/>
    <x v="13"/>
    <x v="0"/>
    <x v="0"/>
    <x v="21"/>
  </r>
  <r>
    <x v="67"/>
    <x v="67"/>
    <x v="67"/>
    <x v="51"/>
    <x v="9"/>
    <x v="51"/>
    <x v="9"/>
    <x v="56"/>
    <x v="7"/>
    <x v="56"/>
    <x v="7"/>
    <x v="0"/>
    <x v="2"/>
    <x v="21"/>
  </r>
  <r>
    <x v="68"/>
    <x v="68"/>
    <x v="68"/>
    <x v="52"/>
    <x v="8"/>
    <x v="52"/>
    <x v="8"/>
    <x v="57"/>
    <x v="11"/>
    <x v="57"/>
    <x v="11"/>
    <x v="0"/>
    <x v="0"/>
    <x v="20"/>
  </r>
  <r>
    <x v="69"/>
    <x v="69"/>
    <x v="69"/>
    <x v="24"/>
    <x v="9"/>
    <x v="24"/>
    <x v="9"/>
    <x v="18"/>
    <x v="7"/>
    <x v="18"/>
    <x v="7"/>
    <x v="0"/>
    <x v="2"/>
    <x v="21"/>
  </r>
  <r>
    <x v="70"/>
    <x v="70"/>
    <x v="70"/>
    <x v="53"/>
    <x v="9"/>
    <x v="53"/>
    <x v="9"/>
    <x v="53"/>
    <x v="7"/>
    <x v="53"/>
    <x v="7"/>
    <x v="0"/>
    <x v="2"/>
    <x v="22"/>
  </r>
  <r>
    <x v="71"/>
    <x v="71"/>
    <x v="71"/>
    <x v="35"/>
    <x v="9"/>
    <x v="35"/>
    <x v="9"/>
    <x v="58"/>
    <x v="7"/>
    <x v="58"/>
    <x v="7"/>
    <x v="0"/>
    <x v="2"/>
    <x v="21"/>
  </r>
  <r>
    <x v="72"/>
    <x v="72"/>
    <x v="72"/>
    <x v="54"/>
    <x v="9"/>
    <x v="54"/>
    <x v="9"/>
    <x v="59"/>
    <x v="7"/>
    <x v="59"/>
    <x v="7"/>
    <x v="18"/>
    <x v="2"/>
    <x v="22"/>
  </r>
  <r>
    <x v="73"/>
    <x v="73"/>
    <x v="73"/>
    <x v="50"/>
    <x v="9"/>
    <x v="50"/>
    <x v="9"/>
    <x v="53"/>
    <x v="7"/>
    <x v="53"/>
    <x v="7"/>
    <x v="0"/>
    <x v="2"/>
    <x v="22"/>
  </r>
  <r>
    <x v="74"/>
    <x v="74"/>
    <x v="74"/>
    <x v="45"/>
    <x v="9"/>
    <x v="45"/>
    <x v="9"/>
    <x v="60"/>
    <x v="7"/>
    <x v="60"/>
    <x v="7"/>
    <x v="0"/>
    <x v="2"/>
    <x v="22"/>
  </r>
  <r>
    <x v="75"/>
    <x v="75"/>
    <x v="75"/>
    <x v="55"/>
    <x v="9"/>
    <x v="55"/>
    <x v="9"/>
    <x v="53"/>
    <x v="7"/>
    <x v="53"/>
    <x v="7"/>
    <x v="0"/>
    <x v="2"/>
    <x v="21"/>
  </r>
  <r>
    <x v="76"/>
    <x v="76"/>
    <x v="76"/>
    <x v="51"/>
    <x v="9"/>
    <x v="51"/>
    <x v="9"/>
    <x v="56"/>
    <x v="7"/>
    <x v="56"/>
    <x v="7"/>
    <x v="19"/>
    <x v="2"/>
    <x v="22"/>
  </r>
  <r>
    <x v="77"/>
    <x v="77"/>
    <x v="77"/>
    <x v="56"/>
    <x v="9"/>
    <x v="56"/>
    <x v="9"/>
    <x v="61"/>
    <x v="7"/>
    <x v="61"/>
    <x v="7"/>
    <x v="0"/>
    <x v="2"/>
    <x v="22"/>
  </r>
  <r>
    <x v="78"/>
    <x v="78"/>
    <x v="78"/>
    <x v="37"/>
    <x v="14"/>
    <x v="37"/>
    <x v="14"/>
    <x v="41"/>
    <x v="12"/>
    <x v="41"/>
    <x v="12"/>
    <x v="0"/>
    <x v="0"/>
    <x v="22"/>
  </r>
  <r>
    <x v="79"/>
    <x v="79"/>
    <x v="79"/>
    <x v="51"/>
    <x v="9"/>
    <x v="51"/>
    <x v="9"/>
    <x v="48"/>
    <x v="7"/>
    <x v="48"/>
    <x v="7"/>
    <x v="0"/>
    <x v="2"/>
    <x v="22"/>
  </r>
  <r>
    <x v="80"/>
    <x v="80"/>
    <x v="80"/>
    <x v="57"/>
    <x v="9"/>
    <x v="57"/>
    <x v="9"/>
    <x v="31"/>
    <x v="7"/>
    <x v="31"/>
    <x v="7"/>
    <x v="0"/>
    <x v="2"/>
    <x v="22"/>
  </r>
  <r>
    <x v="81"/>
    <x v="81"/>
    <x v="81"/>
    <x v="39"/>
    <x v="14"/>
    <x v="39"/>
    <x v="14"/>
    <x v="48"/>
    <x v="12"/>
    <x v="48"/>
    <x v="12"/>
    <x v="20"/>
    <x v="2"/>
    <x v="22"/>
  </r>
  <r>
    <x v="82"/>
    <x v="82"/>
    <x v="82"/>
    <x v="21"/>
    <x v="9"/>
    <x v="21"/>
    <x v="9"/>
    <x v="29"/>
    <x v="7"/>
    <x v="29"/>
    <x v="7"/>
    <x v="0"/>
    <x v="2"/>
    <x v="22"/>
  </r>
  <r>
    <x v="83"/>
    <x v="83"/>
    <x v="83"/>
    <x v="51"/>
    <x v="9"/>
    <x v="51"/>
    <x v="9"/>
    <x v="62"/>
    <x v="7"/>
    <x v="62"/>
    <x v="7"/>
    <x v="21"/>
    <x v="2"/>
    <x v="22"/>
  </r>
  <r>
    <x v="84"/>
    <x v="84"/>
    <x v="84"/>
    <x v="58"/>
    <x v="9"/>
    <x v="58"/>
    <x v="9"/>
    <x v="59"/>
    <x v="7"/>
    <x v="59"/>
    <x v="7"/>
    <x v="18"/>
    <x v="2"/>
    <x v="21"/>
  </r>
  <r>
    <x v="85"/>
    <x v="85"/>
    <x v="85"/>
    <x v="56"/>
    <x v="9"/>
    <x v="56"/>
    <x v="9"/>
    <x v="59"/>
    <x v="7"/>
    <x v="59"/>
    <x v="7"/>
    <x v="0"/>
    <x v="2"/>
    <x v="21"/>
  </r>
  <r>
    <x v="86"/>
    <x v="86"/>
    <x v="86"/>
    <x v="46"/>
    <x v="9"/>
    <x v="46"/>
    <x v="9"/>
    <x v="53"/>
    <x v="7"/>
    <x v="53"/>
    <x v="7"/>
    <x v="0"/>
    <x v="2"/>
    <x v="22"/>
  </r>
  <r>
    <x v="87"/>
    <x v="87"/>
    <x v="87"/>
    <x v="59"/>
    <x v="9"/>
    <x v="59"/>
    <x v="9"/>
    <x v="63"/>
    <x v="7"/>
    <x v="63"/>
    <x v="7"/>
    <x v="0"/>
    <x v="2"/>
    <x v="22"/>
  </r>
  <r>
    <x v="88"/>
    <x v="88"/>
    <x v="88"/>
    <x v="53"/>
    <x v="9"/>
    <x v="53"/>
    <x v="9"/>
    <x v="64"/>
    <x v="7"/>
    <x v="64"/>
    <x v="7"/>
    <x v="22"/>
    <x v="2"/>
    <x v="22"/>
  </r>
  <r>
    <x v="89"/>
    <x v="89"/>
    <x v="89"/>
    <x v="60"/>
    <x v="9"/>
    <x v="60"/>
    <x v="9"/>
    <x v="65"/>
    <x v="7"/>
    <x v="65"/>
    <x v="7"/>
    <x v="0"/>
    <x v="2"/>
    <x v="21"/>
  </r>
  <r>
    <x v="90"/>
    <x v="90"/>
    <x v="90"/>
    <x v="32"/>
    <x v="8"/>
    <x v="32"/>
    <x v="8"/>
    <x v="27"/>
    <x v="11"/>
    <x v="27"/>
    <x v="11"/>
    <x v="0"/>
    <x v="0"/>
    <x v="22"/>
  </r>
  <r>
    <x v="91"/>
    <x v="91"/>
    <x v="91"/>
    <x v="61"/>
    <x v="9"/>
    <x v="61"/>
    <x v="9"/>
    <x v="66"/>
    <x v="7"/>
    <x v="66"/>
    <x v="7"/>
    <x v="23"/>
    <x v="2"/>
    <x v="22"/>
  </r>
  <r>
    <x v="92"/>
    <x v="92"/>
    <x v="92"/>
    <x v="21"/>
    <x v="9"/>
    <x v="21"/>
    <x v="9"/>
    <x v="67"/>
    <x v="7"/>
    <x v="67"/>
    <x v="7"/>
    <x v="0"/>
    <x v="2"/>
    <x v="22"/>
  </r>
  <r>
    <x v="93"/>
    <x v="93"/>
    <x v="93"/>
    <x v="37"/>
    <x v="9"/>
    <x v="37"/>
    <x v="9"/>
    <x v="41"/>
    <x v="7"/>
    <x v="41"/>
    <x v="7"/>
    <x v="0"/>
    <x v="2"/>
    <x v="22"/>
  </r>
  <r>
    <x v="94"/>
    <x v="94"/>
    <x v="94"/>
    <x v="62"/>
    <x v="9"/>
    <x v="62"/>
    <x v="9"/>
    <x v="48"/>
    <x v="7"/>
    <x v="48"/>
    <x v="7"/>
    <x v="0"/>
    <x v="2"/>
    <x v="21"/>
  </r>
  <r>
    <x v="95"/>
    <x v="95"/>
    <x v="95"/>
    <x v="55"/>
    <x v="9"/>
    <x v="55"/>
    <x v="9"/>
    <x v="53"/>
    <x v="7"/>
    <x v="53"/>
    <x v="7"/>
    <x v="0"/>
    <x v="2"/>
    <x v="22"/>
  </r>
  <r>
    <x v="96"/>
    <x v="96"/>
    <x v="96"/>
    <x v="34"/>
    <x v="14"/>
    <x v="34"/>
    <x v="14"/>
    <x v="68"/>
    <x v="12"/>
    <x v="68"/>
    <x v="12"/>
    <x v="0"/>
    <x v="0"/>
    <x v="22"/>
  </r>
  <r>
    <x v="97"/>
    <x v="97"/>
    <x v="97"/>
    <x v="63"/>
    <x v="9"/>
    <x v="63"/>
    <x v="9"/>
    <x v="41"/>
    <x v="7"/>
    <x v="41"/>
    <x v="7"/>
    <x v="0"/>
    <x v="2"/>
    <x v="22"/>
  </r>
  <r>
    <x v="98"/>
    <x v="98"/>
    <x v="98"/>
    <x v="53"/>
    <x v="9"/>
    <x v="53"/>
    <x v="9"/>
    <x v="69"/>
    <x v="7"/>
    <x v="69"/>
    <x v="7"/>
    <x v="0"/>
    <x v="2"/>
    <x v="23"/>
  </r>
  <r>
    <x v="99"/>
    <x v="99"/>
    <x v="99"/>
    <x v="54"/>
    <x v="9"/>
    <x v="54"/>
    <x v="9"/>
    <x v="70"/>
    <x v="7"/>
    <x v="70"/>
    <x v="7"/>
    <x v="0"/>
    <x v="2"/>
    <x v="23"/>
  </r>
  <r>
    <x v="100"/>
    <x v="100"/>
    <x v="100"/>
    <x v="46"/>
    <x v="9"/>
    <x v="46"/>
    <x v="9"/>
    <x v="71"/>
    <x v="7"/>
    <x v="71"/>
    <x v="7"/>
    <x v="0"/>
    <x v="2"/>
    <x v="23"/>
  </r>
  <r>
    <x v="101"/>
    <x v="101"/>
    <x v="101"/>
    <x v="64"/>
    <x v="9"/>
    <x v="64"/>
    <x v="9"/>
    <x v="72"/>
    <x v="7"/>
    <x v="72"/>
    <x v="7"/>
    <x v="0"/>
    <x v="2"/>
    <x v="23"/>
  </r>
  <r>
    <x v="102"/>
    <x v="102"/>
    <x v="102"/>
    <x v="55"/>
    <x v="14"/>
    <x v="55"/>
    <x v="14"/>
    <x v="73"/>
    <x v="12"/>
    <x v="73"/>
    <x v="12"/>
    <x v="0"/>
    <x v="0"/>
    <x v="23"/>
  </r>
  <r>
    <x v="103"/>
    <x v="103"/>
    <x v="103"/>
    <x v="65"/>
    <x v="11"/>
    <x v="65"/>
    <x v="11"/>
    <x v="74"/>
    <x v="9"/>
    <x v="74"/>
    <x v="9"/>
    <x v="0"/>
    <x v="0"/>
    <x v="23"/>
  </r>
  <r>
    <x v="104"/>
    <x v="104"/>
    <x v="104"/>
    <x v="66"/>
    <x v="9"/>
    <x v="66"/>
    <x v="9"/>
    <x v="75"/>
    <x v="7"/>
    <x v="75"/>
    <x v="7"/>
    <x v="0"/>
    <x v="2"/>
    <x v="23"/>
  </r>
  <r>
    <x v="105"/>
    <x v="105"/>
    <x v="105"/>
    <x v="43"/>
    <x v="9"/>
    <x v="43"/>
    <x v="9"/>
    <x v="61"/>
    <x v="7"/>
    <x v="61"/>
    <x v="7"/>
    <x v="0"/>
    <x v="2"/>
    <x v="23"/>
  </r>
  <r>
    <x v="106"/>
    <x v="106"/>
    <x v="106"/>
    <x v="67"/>
    <x v="9"/>
    <x v="67"/>
    <x v="9"/>
    <x v="76"/>
    <x v="7"/>
    <x v="76"/>
    <x v="7"/>
    <x v="0"/>
    <x v="2"/>
    <x v="23"/>
  </r>
  <r>
    <x v="107"/>
    <x v="107"/>
    <x v="107"/>
    <x v="51"/>
    <x v="9"/>
    <x v="51"/>
    <x v="9"/>
    <x v="62"/>
    <x v="7"/>
    <x v="62"/>
    <x v="7"/>
    <x v="0"/>
    <x v="2"/>
    <x v="23"/>
  </r>
  <r>
    <x v="108"/>
    <x v="108"/>
    <x v="108"/>
    <x v="67"/>
    <x v="9"/>
    <x v="67"/>
    <x v="9"/>
    <x v="56"/>
    <x v="7"/>
    <x v="56"/>
    <x v="7"/>
    <x v="0"/>
    <x v="2"/>
    <x v="23"/>
  </r>
  <r>
    <x v="109"/>
    <x v="109"/>
    <x v="109"/>
    <x v="50"/>
    <x v="9"/>
    <x v="50"/>
    <x v="9"/>
    <x v="59"/>
    <x v="7"/>
    <x v="59"/>
    <x v="7"/>
    <x v="0"/>
    <x v="2"/>
    <x v="23"/>
  </r>
  <r>
    <x v="110"/>
    <x v="110"/>
    <x v="110"/>
    <x v="43"/>
    <x v="9"/>
    <x v="43"/>
    <x v="9"/>
    <x v="59"/>
    <x v="7"/>
    <x v="59"/>
    <x v="7"/>
    <x v="0"/>
    <x v="2"/>
    <x v="23"/>
  </r>
  <r>
    <x v="111"/>
    <x v="111"/>
    <x v="111"/>
    <x v="67"/>
    <x v="9"/>
    <x v="67"/>
    <x v="9"/>
    <x v="72"/>
    <x v="7"/>
    <x v="72"/>
    <x v="7"/>
    <x v="0"/>
    <x v="2"/>
    <x v="23"/>
  </r>
  <r>
    <x v="112"/>
    <x v="112"/>
    <x v="112"/>
    <x v="61"/>
    <x v="9"/>
    <x v="61"/>
    <x v="9"/>
    <x v="56"/>
    <x v="7"/>
    <x v="56"/>
    <x v="7"/>
    <x v="24"/>
    <x v="2"/>
    <x v="23"/>
  </r>
  <r>
    <x v="113"/>
    <x v="113"/>
    <x v="113"/>
    <x v="53"/>
    <x v="9"/>
    <x v="53"/>
    <x v="9"/>
    <x v="64"/>
    <x v="7"/>
    <x v="64"/>
    <x v="7"/>
    <x v="0"/>
    <x v="2"/>
    <x v="23"/>
  </r>
  <r>
    <x v="114"/>
    <x v="114"/>
    <x v="114"/>
    <x v="45"/>
    <x v="9"/>
    <x v="45"/>
    <x v="9"/>
    <x v="60"/>
    <x v="7"/>
    <x v="60"/>
    <x v="7"/>
    <x v="0"/>
    <x v="2"/>
    <x v="23"/>
  </r>
  <r>
    <x v="115"/>
    <x v="115"/>
    <x v="115"/>
    <x v="53"/>
    <x v="9"/>
    <x v="53"/>
    <x v="9"/>
    <x v="71"/>
    <x v="7"/>
    <x v="71"/>
    <x v="7"/>
    <x v="0"/>
    <x v="2"/>
    <x v="23"/>
  </r>
  <r>
    <x v="116"/>
    <x v="116"/>
    <x v="116"/>
    <x v="68"/>
    <x v="9"/>
    <x v="68"/>
    <x v="9"/>
    <x v="77"/>
    <x v="7"/>
    <x v="77"/>
    <x v="7"/>
    <x v="0"/>
    <x v="2"/>
    <x v="23"/>
  </r>
  <r>
    <x v="117"/>
    <x v="117"/>
    <x v="117"/>
    <x v="40"/>
    <x v="9"/>
    <x v="40"/>
    <x v="9"/>
    <x v="32"/>
    <x v="7"/>
    <x v="32"/>
    <x v="7"/>
    <x v="25"/>
    <x v="2"/>
    <x v="23"/>
  </r>
  <r>
    <x v="118"/>
    <x v="118"/>
    <x v="118"/>
    <x v="62"/>
    <x v="9"/>
    <x v="62"/>
    <x v="9"/>
    <x v="78"/>
    <x v="7"/>
    <x v="78"/>
    <x v="7"/>
    <x v="0"/>
    <x v="2"/>
    <x v="23"/>
  </r>
  <r>
    <x v="119"/>
    <x v="119"/>
    <x v="119"/>
    <x v="40"/>
    <x v="9"/>
    <x v="40"/>
    <x v="9"/>
    <x v="78"/>
    <x v="7"/>
    <x v="78"/>
    <x v="7"/>
    <x v="0"/>
    <x v="2"/>
    <x v="23"/>
  </r>
  <r>
    <x v="120"/>
    <x v="120"/>
    <x v="120"/>
    <x v="58"/>
    <x v="9"/>
    <x v="58"/>
    <x v="9"/>
    <x v="66"/>
    <x v="7"/>
    <x v="66"/>
    <x v="7"/>
    <x v="0"/>
    <x v="2"/>
    <x v="23"/>
  </r>
  <r>
    <x v="121"/>
    <x v="121"/>
    <x v="121"/>
    <x v="55"/>
    <x v="9"/>
    <x v="55"/>
    <x v="9"/>
    <x v="59"/>
    <x v="7"/>
    <x v="59"/>
    <x v="7"/>
    <x v="0"/>
    <x v="2"/>
    <x v="23"/>
  </r>
  <r>
    <x v="122"/>
    <x v="122"/>
    <x v="122"/>
    <x v="69"/>
    <x v="9"/>
    <x v="69"/>
    <x v="9"/>
    <x v="63"/>
    <x v="7"/>
    <x v="63"/>
    <x v="7"/>
    <x v="26"/>
    <x v="2"/>
    <x v="23"/>
  </r>
  <r>
    <x v="123"/>
    <x v="123"/>
    <x v="123"/>
    <x v="61"/>
    <x v="9"/>
    <x v="61"/>
    <x v="9"/>
    <x v="64"/>
    <x v="7"/>
    <x v="64"/>
    <x v="7"/>
    <x v="19"/>
    <x v="2"/>
    <x v="23"/>
  </r>
  <r>
    <x v="124"/>
    <x v="124"/>
    <x v="124"/>
    <x v="56"/>
    <x v="8"/>
    <x v="56"/>
    <x v="8"/>
    <x v="52"/>
    <x v="11"/>
    <x v="52"/>
    <x v="11"/>
    <x v="0"/>
    <x v="0"/>
    <x v="23"/>
  </r>
  <r>
    <x v="125"/>
    <x v="125"/>
    <x v="125"/>
    <x v="67"/>
    <x v="9"/>
    <x v="67"/>
    <x v="9"/>
    <x v="49"/>
    <x v="7"/>
    <x v="49"/>
    <x v="7"/>
    <x v="0"/>
    <x v="2"/>
    <x v="23"/>
  </r>
  <r>
    <x v="126"/>
    <x v="126"/>
    <x v="126"/>
    <x v="37"/>
    <x v="9"/>
    <x v="37"/>
    <x v="9"/>
    <x v="37"/>
    <x v="7"/>
    <x v="37"/>
    <x v="7"/>
    <x v="0"/>
    <x v="2"/>
    <x v="23"/>
  </r>
  <r>
    <x v="127"/>
    <x v="127"/>
    <x v="127"/>
    <x v="50"/>
    <x v="9"/>
    <x v="50"/>
    <x v="9"/>
    <x v="73"/>
    <x v="7"/>
    <x v="73"/>
    <x v="7"/>
    <x v="0"/>
    <x v="2"/>
    <x v="23"/>
  </r>
  <r>
    <x v="128"/>
    <x v="128"/>
    <x v="128"/>
    <x v="59"/>
    <x v="9"/>
    <x v="59"/>
    <x v="9"/>
    <x v="79"/>
    <x v="7"/>
    <x v="79"/>
    <x v="7"/>
    <x v="27"/>
    <x v="2"/>
    <x v="23"/>
  </r>
  <r>
    <x v="129"/>
    <x v="129"/>
    <x v="129"/>
    <x v="70"/>
    <x v="9"/>
    <x v="70"/>
    <x v="9"/>
    <x v="80"/>
    <x v="7"/>
    <x v="80"/>
    <x v="7"/>
    <x v="0"/>
    <x v="2"/>
    <x v="23"/>
  </r>
  <r>
    <x v="130"/>
    <x v="130"/>
    <x v="130"/>
    <x v="59"/>
    <x v="9"/>
    <x v="59"/>
    <x v="9"/>
    <x v="77"/>
    <x v="7"/>
    <x v="77"/>
    <x v="7"/>
    <x v="0"/>
    <x v="2"/>
    <x v="23"/>
  </r>
  <r>
    <x v="131"/>
    <x v="131"/>
    <x v="131"/>
    <x v="43"/>
    <x v="9"/>
    <x v="43"/>
    <x v="9"/>
    <x v="45"/>
    <x v="7"/>
    <x v="45"/>
    <x v="7"/>
    <x v="0"/>
    <x v="2"/>
    <x v="23"/>
  </r>
  <r>
    <x v="132"/>
    <x v="132"/>
    <x v="132"/>
    <x v="24"/>
    <x v="14"/>
    <x v="24"/>
    <x v="14"/>
    <x v="18"/>
    <x v="12"/>
    <x v="18"/>
    <x v="12"/>
    <x v="28"/>
    <x v="0"/>
    <x v="23"/>
  </r>
  <r>
    <x v="133"/>
    <x v="133"/>
    <x v="133"/>
    <x v="54"/>
    <x v="9"/>
    <x v="54"/>
    <x v="9"/>
    <x v="70"/>
    <x v="7"/>
    <x v="70"/>
    <x v="7"/>
    <x v="0"/>
    <x v="2"/>
    <x v="23"/>
  </r>
  <r>
    <x v="134"/>
    <x v="134"/>
    <x v="134"/>
    <x v="51"/>
    <x v="9"/>
    <x v="51"/>
    <x v="9"/>
    <x v="81"/>
    <x v="7"/>
    <x v="81"/>
    <x v="7"/>
    <x v="0"/>
    <x v="2"/>
    <x v="23"/>
  </r>
  <r>
    <x v="135"/>
    <x v="135"/>
    <x v="135"/>
    <x v="15"/>
    <x v="8"/>
    <x v="15"/>
    <x v="8"/>
    <x v="82"/>
    <x v="11"/>
    <x v="82"/>
    <x v="11"/>
    <x v="0"/>
    <x v="0"/>
    <x v="23"/>
  </r>
  <r>
    <x v="136"/>
    <x v="12"/>
    <x v="136"/>
    <x v="33"/>
    <x v="14"/>
    <x v="71"/>
    <x v="15"/>
    <x v="83"/>
    <x v="3"/>
    <x v="83"/>
    <x v="14"/>
    <x v="0"/>
    <x v="0"/>
    <x v="20"/>
  </r>
  <r>
    <x v="11"/>
    <x v="11"/>
    <x v="11"/>
    <x v="69"/>
    <x v="14"/>
    <x v="72"/>
    <x v="15"/>
    <x v="59"/>
    <x v="12"/>
    <x v="84"/>
    <x v="15"/>
    <x v="0"/>
    <x v="0"/>
    <x v="23"/>
  </r>
  <r>
    <x v="137"/>
    <x v="136"/>
    <x v="137"/>
    <x v="70"/>
    <x v="9"/>
    <x v="73"/>
    <x v="9"/>
    <x v="63"/>
    <x v="7"/>
    <x v="85"/>
    <x v="7"/>
    <x v="0"/>
    <x v="2"/>
    <x v="23"/>
  </r>
  <r>
    <x v="138"/>
    <x v="137"/>
    <x v="138"/>
    <x v="68"/>
    <x v="9"/>
    <x v="74"/>
    <x v="9"/>
    <x v="84"/>
    <x v="7"/>
    <x v="86"/>
    <x v="7"/>
    <x v="0"/>
    <x v="2"/>
    <x v="23"/>
  </r>
  <r>
    <x v="29"/>
    <x v="29"/>
    <x v="139"/>
    <x v="64"/>
    <x v="9"/>
    <x v="75"/>
    <x v="9"/>
    <x v="49"/>
    <x v="7"/>
    <x v="87"/>
    <x v="7"/>
    <x v="0"/>
    <x v="2"/>
    <x v="23"/>
  </r>
  <r>
    <x v="139"/>
    <x v="138"/>
    <x v="140"/>
    <x v="62"/>
    <x v="14"/>
    <x v="76"/>
    <x v="15"/>
    <x v="60"/>
    <x v="11"/>
    <x v="88"/>
    <x v="16"/>
    <x v="0"/>
    <x v="0"/>
    <x v="23"/>
  </r>
  <r>
    <x v="140"/>
    <x v="24"/>
    <x v="141"/>
    <x v="67"/>
    <x v="14"/>
    <x v="77"/>
    <x v="15"/>
    <x v="63"/>
    <x v="12"/>
    <x v="85"/>
    <x v="15"/>
    <x v="0"/>
    <x v="2"/>
    <x v="23"/>
  </r>
  <r>
    <x v="141"/>
    <x v="38"/>
    <x v="142"/>
    <x v="53"/>
    <x v="9"/>
    <x v="78"/>
    <x v="9"/>
    <x v="64"/>
    <x v="7"/>
    <x v="89"/>
    <x v="7"/>
    <x v="0"/>
    <x v="2"/>
    <x v="23"/>
  </r>
  <r>
    <x v="142"/>
    <x v="139"/>
    <x v="143"/>
    <x v="70"/>
    <x v="9"/>
    <x v="73"/>
    <x v="9"/>
    <x v="80"/>
    <x v="7"/>
    <x v="90"/>
    <x v="7"/>
    <x v="29"/>
    <x v="2"/>
    <x v="23"/>
  </r>
  <r>
    <x v="143"/>
    <x v="140"/>
    <x v="144"/>
    <x v="71"/>
    <x v="15"/>
    <x v="79"/>
    <x v="16"/>
    <x v="85"/>
    <x v="14"/>
    <x v="91"/>
    <x v="17"/>
    <x v="30"/>
    <x v="3"/>
    <x v="24"/>
  </r>
</pivotCacheRecords>
</file>

<file path=xl/pivotCache/pivotCacheRecords17.xml><?xml version="1.0" encoding="utf-8"?>
<pivotCacheRecords xmlns="http://schemas.openxmlformats.org/spreadsheetml/2006/main" xmlns:r="http://schemas.openxmlformats.org/officeDocument/2006/relationships" count="186">
  <r>
    <x v="0"/>
    <x v="0"/>
    <x v="0"/>
    <x v="0"/>
    <x v="0"/>
    <x v="0"/>
    <x v="0"/>
    <x v="0"/>
    <x v="0"/>
    <x v="0"/>
    <x v="0"/>
    <x v="0"/>
    <x v="0"/>
    <x v="0"/>
  </r>
  <r>
    <x v="1"/>
    <x v="1"/>
    <x v="1"/>
    <x v="1"/>
    <x v="1"/>
    <x v="0"/>
    <x v="1"/>
    <x v="1"/>
    <x v="1"/>
    <x v="1"/>
    <x v="1"/>
    <x v="1"/>
    <x v="1"/>
    <x v="1"/>
  </r>
  <r>
    <x v="2"/>
    <x v="2"/>
    <x v="2"/>
    <x v="2"/>
    <x v="2"/>
    <x v="1"/>
    <x v="2"/>
    <x v="2"/>
    <x v="2"/>
    <x v="2"/>
    <x v="2"/>
    <x v="2"/>
    <x v="0"/>
    <x v="2"/>
  </r>
  <r>
    <x v="3"/>
    <x v="3"/>
    <x v="3"/>
    <x v="3"/>
    <x v="3"/>
    <x v="2"/>
    <x v="3"/>
    <x v="3"/>
    <x v="3"/>
    <x v="3"/>
    <x v="3"/>
    <x v="3"/>
    <x v="0"/>
    <x v="3"/>
  </r>
  <r>
    <x v="4"/>
    <x v="4"/>
    <x v="4"/>
    <x v="4"/>
    <x v="4"/>
    <x v="3"/>
    <x v="4"/>
    <x v="4"/>
    <x v="4"/>
    <x v="4"/>
    <x v="4"/>
    <x v="4"/>
    <x v="0"/>
    <x v="4"/>
  </r>
  <r>
    <x v="5"/>
    <x v="5"/>
    <x v="5"/>
    <x v="5"/>
    <x v="5"/>
    <x v="4"/>
    <x v="5"/>
    <x v="5"/>
    <x v="4"/>
    <x v="5"/>
    <x v="4"/>
    <x v="5"/>
    <x v="2"/>
    <x v="5"/>
  </r>
  <r>
    <x v="6"/>
    <x v="6"/>
    <x v="6"/>
    <x v="6"/>
    <x v="5"/>
    <x v="5"/>
    <x v="5"/>
    <x v="6"/>
    <x v="5"/>
    <x v="6"/>
    <x v="5"/>
    <x v="6"/>
    <x v="3"/>
    <x v="6"/>
  </r>
  <r>
    <x v="7"/>
    <x v="7"/>
    <x v="7"/>
    <x v="7"/>
    <x v="6"/>
    <x v="6"/>
    <x v="6"/>
    <x v="7"/>
    <x v="6"/>
    <x v="7"/>
    <x v="6"/>
    <x v="7"/>
    <x v="0"/>
    <x v="7"/>
  </r>
  <r>
    <x v="8"/>
    <x v="8"/>
    <x v="8"/>
    <x v="8"/>
    <x v="7"/>
    <x v="7"/>
    <x v="7"/>
    <x v="8"/>
    <x v="7"/>
    <x v="8"/>
    <x v="7"/>
    <x v="8"/>
    <x v="0"/>
    <x v="8"/>
  </r>
  <r>
    <x v="9"/>
    <x v="9"/>
    <x v="9"/>
    <x v="9"/>
    <x v="8"/>
    <x v="8"/>
    <x v="8"/>
    <x v="9"/>
    <x v="8"/>
    <x v="9"/>
    <x v="8"/>
    <x v="9"/>
    <x v="4"/>
    <x v="9"/>
  </r>
  <r>
    <x v="10"/>
    <x v="10"/>
    <x v="10"/>
    <x v="10"/>
    <x v="7"/>
    <x v="9"/>
    <x v="7"/>
    <x v="10"/>
    <x v="9"/>
    <x v="10"/>
    <x v="9"/>
    <x v="10"/>
    <x v="0"/>
    <x v="10"/>
  </r>
  <r>
    <x v="11"/>
    <x v="11"/>
    <x v="11"/>
    <x v="11"/>
    <x v="9"/>
    <x v="10"/>
    <x v="9"/>
    <x v="11"/>
    <x v="10"/>
    <x v="11"/>
    <x v="10"/>
    <x v="11"/>
    <x v="0"/>
    <x v="11"/>
  </r>
  <r>
    <x v="12"/>
    <x v="12"/>
    <x v="12"/>
    <x v="12"/>
    <x v="10"/>
    <x v="11"/>
    <x v="10"/>
    <x v="12"/>
    <x v="11"/>
    <x v="12"/>
    <x v="11"/>
    <x v="0"/>
    <x v="0"/>
    <x v="12"/>
  </r>
  <r>
    <x v="13"/>
    <x v="13"/>
    <x v="13"/>
    <x v="13"/>
    <x v="11"/>
    <x v="12"/>
    <x v="11"/>
    <x v="13"/>
    <x v="6"/>
    <x v="13"/>
    <x v="6"/>
    <x v="0"/>
    <x v="0"/>
    <x v="13"/>
  </r>
  <r>
    <x v="14"/>
    <x v="14"/>
    <x v="14"/>
    <x v="14"/>
    <x v="7"/>
    <x v="13"/>
    <x v="7"/>
    <x v="14"/>
    <x v="12"/>
    <x v="8"/>
    <x v="12"/>
    <x v="12"/>
    <x v="5"/>
    <x v="14"/>
  </r>
  <r>
    <x v="15"/>
    <x v="15"/>
    <x v="15"/>
    <x v="15"/>
    <x v="12"/>
    <x v="14"/>
    <x v="12"/>
    <x v="15"/>
    <x v="13"/>
    <x v="14"/>
    <x v="13"/>
    <x v="13"/>
    <x v="0"/>
    <x v="15"/>
  </r>
  <r>
    <x v="16"/>
    <x v="16"/>
    <x v="16"/>
    <x v="16"/>
    <x v="7"/>
    <x v="15"/>
    <x v="7"/>
    <x v="16"/>
    <x v="11"/>
    <x v="15"/>
    <x v="11"/>
    <x v="0"/>
    <x v="0"/>
    <x v="16"/>
  </r>
  <r>
    <x v="17"/>
    <x v="17"/>
    <x v="17"/>
    <x v="17"/>
    <x v="7"/>
    <x v="16"/>
    <x v="7"/>
    <x v="17"/>
    <x v="12"/>
    <x v="16"/>
    <x v="12"/>
    <x v="0"/>
    <x v="0"/>
    <x v="16"/>
  </r>
  <r>
    <x v="18"/>
    <x v="18"/>
    <x v="18"/>
    <x v="18"/>
    <x v="10"/>
    <x v="17"/>
    <x v="10"/>
    <x v="18"/>
    <x v="6"/>
    <x v="17"/>
    <x v="6"/>
    <x v="14"/>
    <x v="0"/>
    <x v="17"/>
  </r>
  <r>
    <x v="19"/>
    <x v="19"/>
    <x v="19"/>
    <x v="19"/>
    <x v="13"/>
    <x v="18"/>
    <x v="13"/>
    <x v="19"/>
    <x v="14"/>
    <x v="18"/>
    <x v="14"/>
    <x v="15"/>
    <x v="6"/>
    <x v="18"/>
  </r>
  <r>
    <x v="20"/>
    <x v="20"/>
    <x v="20"/>
    <x v="20"/>
    <x v="14"/>
    <x v="19"/>
    <x v="14"/>
    <x v="20"/>
    <x v="15"/>
    <x v="19"/>
    <x v="15"/>
    <x v="16"/>
    <x v="0"/>
    <x v="18"/>
  </r>
  <r>
    <x v="21"/>
    <x v="21"/>
    <x v="21"/>
    <x v="21"/>
    <x v="15"/>
    <x v="20"/>
    <x v="15"/>
    <x v="21"/>
    <x v="16"/>
    <x v="20"/>
    <x v="16"/>
    <x v="0"/>
    <x v="0"/>
    <x v="19"/>
  </r>
  <r>
    <x v="22"/>
    <x v="22"/>
    <x v="22"/>
    <x v="22"/>
    <x v="15"/>
    <x v="21"/>
    <x v="15"/>
    <x v="22"/>
    <x v="17"/>
    <x v="21"/>
    <x v="17"/>
    <x v="17"/>
    <x v="0"/>
    <x v="17"/>
  </r>
  <r>
    <x v="23"/>
    <x v="23"/>
    <x v="23"/>
    <x v="23"/>
    <x v="9"/>
    <x v="22"/>
    <x v="9"/>
    <x v="23"/>
    <x v="18"/>
    <x v="22"/>
    <x v="18"/>
    <x v="18"/>
    <x v="0"/>
    <x v="20"/>
  </r>
  <r>
    <x v="24"/>
    <x v="24"/>
    <x v="24"/>
    <x v="24"/>
    <x v="13"/>
    <x v="23"/>
    <x v="13"/>
    <x v="24"/>
    <x v="14"/>
    <x v="23"/>
    <x v="14"/>
    <x v="0"/>
    <x v="0"/>
    <x v="21"/>
  </r>
  <r>
    <x v="25"/>
    <x v="25"/>
    <x v="25"/>
    <x v="25"/>
    <x v="9"/>
    <x v="24"/>
    <x v="9"/>
    <x v="25"/>
    <x v="17"/>
    <x v="24"/>
    <x v="17"/>
    <x v="0"/>
    <x v="0"/>
    <x v="22"/>
  </r>
  <r>
    <x v="26"/>
    <x v="26"/>
    <x v="26"/>
    <x v="26"/>
    <x v="16"/>
    <x v="25"/>
    <x v="16"/>
    <x v="26"/>
    <x v="10"/>
    <x v="25"/>
    <x v="10"/>
    <x v="0"/>
    <x v="0"/>
    <x v="22"/>
  </r>
  <r>
    <x v="27"/>
    <x v="27"/>
    <x v="27"/>
    <x v="27"/>
    <x v="11"/>
    <x v="26"/>
    <x v="11"/>
    <x v="27"/>
    <x v="10"/>
    <x v="26"/>
    <x v="10"/>
    <x v="19"/>
    <x v="0"/>
    <x v="23"/>
  </r>
  <r>
    <x v="28"/>
    <x v="28"/>
    <x v="28"/>
    <x v="28"/>
    <x v="11"/>
    <x v="27"/>
    <x v="11"/>
    <x v="26"/>
    <x v="10"/>
    <x v="25"/>
    <x v="10"/>
    <x v="0"/>
    <x v="0"/>
    <x v="23"/>
  </r>
  <r>
    <x v="29"/>
    <x v="29"/>
    <x v="29"/>
    <x v="29"/>
    <x v="16"/>
    <x v="19"/>
    <x v="16"/>
    <x v="28"/>
    <x v="19"/>
    <x v="27"/>
    <x v="19"/>
    <x v="20"/>
    <x v="0"/>
    <x v="23"/>
  </r>
  <r>
    <x v="30"/>
    <x v="30"/>
    <x v="30"/>
    <x v="30"/>
    <x v="9"/>
    <x v="15"/>
    <x v="9"/>
    <x v="29"/>
    <x v="10"/>
    <x v="28"/>
    <x v="10"/>
    <x v="21"/>
    <x v="0"/>
    <x v="24"/>
  </r>
  <r>
    <x v="31"/>
    <x v="31"/>
    <x v="31"/>
    <x v="31"/>
    <x v="15"/>
    <x v="28"/>
    <x v="15"/>
    <x v="30"/>
    <x v="17"/>
    <x v="29"/>
    <x v="17"/>
    <x v="22"/>
    <x v="0"/>
    <x v="24"/>
  </r>
  <r>
    <x v="32"/>
    <x v="32"/>
    <x v="32"/>
    <x v="32"/>
    <x v="13"/>
    <x v="29"/>
    <x v="13"/>
    <x v="31"/>
    <x v="18"/>
    <x v="30"/>
    <x v="18"/>
    <x v="23"/>
    <x v="0"/>
    <x v="21"/>
  </r>
  <r>
    <x v="33"/>
    <x v="33"/>
    <x v="33"/>
    <x v="21"/>
    <x v="11"/>
    <x v="20"/>
    <x v="11"/>
    <x v="32"/>
    <x v="10"/>
    <x v="31"/>
    <x v="10"/>
    <x v="24"/>
    <x v="0"/>
    <x v="24"/>
  </r>
  <r>
    <x v="34"/>
    <x v="34"/>
    <x v="34"/>
    <x v="33"/>
    <x v="13"/>
    <x v="30"/>
    <x v="13"/>
    <x v="33"/>
    <x v="14"/>
    <x v="32"/>
    <x v="14"/>
    <x v="0"/>
    <x v="0"/>
    <x v="25"/>
  </r>
  <r>
    <x v="35"/>
    <x v="35"/>
    <x v="35"/>
    <x v="34"/>
    <x v="14"/>
    <x v="31"/>
    <x v="14"/>
    <x v="34"/>
    <x v="15"/>
    <x v="33"/>
    <x v="15"/>
    <x v="0"/>
    <x v="0"/>
    <x v="25"/>
  </r>
  <r>
    <x v="36"/>
    <x v="36"/>
    <x v="36"/>
    <x v="35"/>
    <x v="9"/>
    <x v="32"/>
    <x v="9"/>
    <x v="35"/>
    <x v="17"/>
    <x v="34"/>
    <x v="17"/>
    <x v="25"/>
    <x v="0"/>
    <x v="26"/>
  </r>
  <r>
    <x v="37"/>
    <x v="37"/>
    <x v="37"/>
    <x v="36"/>
    <x v="9"/>
    <x v="33"/>
    <x v="9"/>
    <x v="36"/>
    <x v="16"/>
    <x v="31"/>
    <x v="16"/>
    <x v="26"/>
    <x v="0"/>
    <x v="27"/>
  </r>
  <r>
    <x v="38"/>
    <x v="38"/>
    <x v="38"/>
    <x v="37"/>
    <x v="9"/>
    <x v="34"/>
    <x v="9"/>
    <x v="37"/>
    <x v="16"/>
    <x v="32"/>
    <x v="16"/>
    <x v="27"/>
    <x v="0"/>
    <x v="25"/>
  </r>
  <r>
    <x v="39"/>
    <x v="39"/>
    <x v="39"/>
    <x v="38"/>
    <x v="17"/>
    <x v="35"/>
    <x v="17"/>
    <x v="38"/>
    <x v="20"/>
    <x v="30"/>
    <x v="20"/>
    <x v="28"/>
    <x v="6"/>
    <x v="28"/>
  </r>
  <r>
    <x v="40"/>
    <x v="40"/>
    <x v="40"/>
    <x v="39"/>
    <x v="15"/>
    <x v="36"/>
    <x v="15"/>
    <x v="39"/>
    <x v="16"/>
    <x v="35"/>
    <x v="16"/>
    <x v="0"/>
    <x v="0"/>
    <x v="25"/>
  </r>
  <r>
    <x v="41"/>
    <x v="41"/>
    <x v="41"/>
    <x v="40"/>
    <x v="17"/>
    <x v="37"/>
    <x v="17"/>
    <x v="40"/>
    <x v="20"/>
    <x v="36"/>
    <x v="20"/>
    <x v="29"/>
    <x v="6"/>
    <x v="29"/>
  </r>
  <r>
    <x v="42"/>
    <x v="42"/>
    <x v="42"/>
    <x v="41"/>
    <x v="13"/>
    <x v="38"/>
    <x v="13"/>
    <x v="41"/>
    <x v="14"/>
    <x v="37"/>
    <x v="14"/>
    <x v="30"/>
    <x v="0"/>
    <x v="29"/>
  </r>
  <r>
    <x v="43"/>
    <x v="43"/>
    <x v="43"/>
    <x v="42"/>
    <x v="16"/>
    <x v="39"/>
    <x v="16"/>
    <x v="42"/>
    <x v="21"/>
    <x v="38"/>
    <x v="21"/>
    <x v="0"/>
    <x v="0"/>
    <x v="29"/>
  </r>
  <r>
    <x v="44"/>
    <x v="44"/>
    <x v="44"/>
    <x v="43"/>
    <x v="13"/>
    <x v="40"/>
    <x v="13"/>
    <x v="43"/>
    <x v="15"/>
    <x v="39"/>
    <x v="15"/>
    <x v="31"/>
    <x v="0"/>
    <x v="29"/>
  </r>
  <r>
    <x v="45"/>
    <x v="45"/>
    <x v="45"/>
    <x v="44"/>
    <x v="13"/>
    <x v="34"/>
    <x v="13"/>
    <x v="44"/>
    <x v="18"/>
    <x v="40"/>
    <x v="18"/>
    <x v="0"/>
    <x v="0"/>
    <x v="20"/>
  </r>
  <r>
    <x v="46"/>
    <x v="46"/>
    <x v="46"/>
    <x v="37"/>
    <x v="13"/>
    <x v="34"/>
    <x v="13"/>
    <x v="45"/>
    <x v="14"/>
    <x v="41"/>
    <x v="14"/>
    <x v="32"/>
    <x v="0"/>
    <x v="30"/>
  </r>
  <r>
    <x v="47"/>
    <x v="47"/>
    <x v="47"/>
    <x v="45"/>
    <x v="13"/>
    <x v="41"/>
    <x v="13"/>
    <x v="46"/>
    <x v="15"/>
    <x v="42"/>
    <x v="15"/>
    <x v="0"/>
    <x v="0"/>
    <x v="31"/>
  </r>
  <r>
    <x v="48"/>
    <x v="48"/>
    <x v="48"/>
    <x v="44"/>
    <x v="17"/>
    <x v="34"/>
    <x v="17"/>
    <x v="33"/>
    <x v="20"/>
    <x v="32"/>
    <x v="20"/>
    <x v="0"/>
    <x v="6"/>
    <x v="31"/>
  </r>
  <r>
    <x v="49"/>
    <x v="49"/>
    <x v="49"/>
    <x v="46"/>
    <x v="17"/>
    <x v="42"/>
    <x v="17"/>
    <x v="47"/>
    <x v="20"/>
    <x v="43"/>
    <x v="20"/>
    <x v="33"/>
    <x v="6"/>
    <x v="30"/>
  </r>
  <r>
    <x v="50"/>
    <x v="50"/>
    <x v="50"/>
    <x v="47"/>
    <x v="16"/>
    <x v="43"/>
    <x v="16"/>
    <x v="36"/>
    <x v="12"/>
    <x v="31"/>
    <x v="12"/>
    <x v="0"/>
    <x v="0"/>
    <x v="25"/>
  </r>
  <r>
    <x v="51"/>
    <x v="51"/>
    <x v="51"/>
    <x v="42"/>
    <x v="15"/>
    <x v="39"/>
    <x v="15"/>
    <x v="36"/>
    <x v="21"/>
    <x v="31"/>
    <x v="21"/>
    <x v="0"/>
    <x v="0"/>
    <x v="31"/>
  </r>
  <r>
    <x v="52"/>
    <x v="52"/>
    <x v="52"/>
    <x v="48"/>
    <x v="13"/>
    <x v="30"/>
    <x v="13"/>
    <x v="48"/>
    <x v="14"/>
    <x v="37"/>
    <x v="14"/>
    <x v="0"/>
    <x v="0"/>
    <x v="31"/>
  </r>
  <r>
    <x v="53"/>
    <x v="53"/>
    <x v="53"/>
    <x v="49"/>
    <x v="13"/>
    <x v="39"/>
    <x v="13"/>
    <x v="49"/>
    <x v="15"/>
    <x v="44"/>
    <x v="15"/>
    <x v="0"/>
    <x v="0"/>
    <x v="31"/>
  </r>
  <r>
    <x v="54"/>
    <x v="54"/>
    <x v="54"/>
    <x v="50"/>
    <x v="13"/>
    <x v="38"/>
    <x v="13"/>
    <x v="50"/>
    <x v="14"/>
    <x v="45"/>
    <x v="14"/>
    <x v="34"/>
    <x v="6"/>
    <x v="31"/>
  </r>
  <r>
    <x v="55"/>
    <x v="55"/>
    <x v="55"/>
    <x v="51"/>
    <x v="17"/>
    <x v="42"/>
    <x v="17"/>
    <x v="51"/>
    <x v="20"/>
    <x v="46"/>
    <x v="20"/>
    <x v="0"/>
    <x v="6"/>
    <x v="31"/>
  </r>
  <r>
    <x v="56"/>
    <x v="56"/>
    <x v="56"/>
    <x v="52"/>
    <x v="17"/>
    <x v="44"/>
    <x v="17"/>
    <x v="50"/>
    <x v="20"/>
    <x v="45"/>
    <x v="20"/>
    <x v="35"/>
    <x v="6"/>
    <x v="31"/>
  </r>
  <r>
    <x v="57"/>
    <x v="57"/>
    <x v="57"/>
    <x v="53"/>
    <x v="9"/>
    <x v="20"/>
    <x v="9"/>
    <x v="34"/>
    <x v="18"/>
    <x v="33"/>
    <x v="18"/>
    <x v="3"/>
    <x v="7"/>
    <x v="31"/>
  </r>
  <r>
    <x v="58"/>
    <x v="58"/>
    <x v="58"/>
    <x v="41"/>
    <x v="15"/>
    <x v="38"/>
    <x v="15"/>
    <x v="48"/>
    <x v="17"/>
    <x v="37"/>
    <x v="17"/>
    <x v="36"/>
    <x v="0"/>
    <x v="31"/>
  </r>
  <r>
    <x v="59"/>
    <x v="59"/>
    <x v="59"/>
    <x v="44"/>
    <x v="9"/>
    <x v="34"/>
    <x v="9"/>
    <x v="52"/>
    <x v="18"/>
    <x v="47"/>
    <x v="18"/>
    <x v="0"/>
    <x v="0"/>
    <x v="31"/>
  </r>
  <r>
    <x v="60"/>
    <x v="60"/>
    <x v="60"/>
    <x v="54"/>
    <x v="17"/>
    <x v="45"/>
    <x v="17"/>
    <x v="53"/>
    <x v="20"/>
    <x v="48"/>
    <x v="20"/>
    <x v="9"/>
    <x v="6"/>
    <x v="31"/>
  </r>
  <r>
    <x v="61"/>
    <x v="61"/>
    <x v="61"/>
    <x v="40"/>
    <x v="13"/>
    <x v="37"/>
    <x v="13"/>
    <x v="52"/>
    <x v="14"/>
    <x v="47"/>
    <x v="14"/>
    <x v="0"/>
    <x v="0"/>
    <x v="31"/>
  </r>
  <r>
    <x v="62"/>
    <x v="62"/>
    <x v="62"/>
    <x v="55"/>
    <x v="17"/>
    <x v="46"/>
    <x v="17"/>
    <x v="54"/>
    <x v="20"/>
    <x v="49"/>
    <x v="20"/>
    <x v="0"/>
    <x v="6"/>
    <x v="32"/>
  </r>
  <r>
    <x v="63"/>
    <x v="63"/>
    <x v="63"/>
    <x v="56"/>
    <x v="13"/>
    <x v="23"/>
    <x v="13"/>
    <x v="55"/>
    <x v="14"/>
    <x v="50"/>
    <x v="14"/>
    <x v="0"/>
    <x v="0"/>
    <x v="32"/>
  </r>
  <r>
    <x v="64"/>
    <x v="64"/>
    <x v="64"/>
    <x v="57"/>
    <x v="13"/>
    <x v="47"/>
    <x v="13"/>
    <x v="56"/>
    <x v="14"/>
    <x v="51"/>
    <x v="14"/>
    <x v="37"/>
    <x v="0"/>
    <x v="32"/>
  </r>
  <r>
    <x v="65"/>
    <x v="65"/>
    <x v="65"/>
    <x v="58"/>
    <x v="14"/>
    <x v="48"/>
    <x v="14"/>
    <x v="57"/>
    <x v="15"/>
    <x v="52"/>
    <x v="15"/>
    <x v="0"/>
    <x v="0"/>
    <x v="32"/>
  </r>
  <r>
    <x v="66"/>
    <x v="66"/>
    <x v="66"/>
    <x v="59"/>
    <x v="17"/>
    <x v="47"/>
    <x v="17"/>
    <x v="58"/>
    <x v="20"/>
    <x v="53"/>
    <x v="20"/>
    <x v="0"/>
    <x v="6"/>
    <x v="32"/>
  </r>
  <r>
    <x v="67"/>
    <x v="67"/>
    <x v="67"/>
    <x v="60"/>
    <x v="17"/>
    <x v="46"/>
    <x v="17"/>
    <x v="59"/>
    <x v="20"/>
    <x v="54"/>
    <x v="20"/>
    <x v="0"/>
    <x v="6"/>
    <x v="31"/>
  </r>
  <r>
    <x v="68"/>
    <x v="68"/>
    <x v="68"/>
    <x v="61"/>
    <x v="13"/>
    <x v="49"/>
    <x v="13"/>
    <x v="31"/>
    <x v="14"/>
    <x v="30"/>
    <x v="14"/>
    <x v="0"/>
    <x v="0"/>
    <x v="32"/>
  </r>
  <r>
    <x v="69"/>
    <x v="69"/>
    <x v="69"/>
    <x v="57"/>
    <x v="17"/>
    <x v="47"/>
    <x v="17"/>
    <x v="48"/>
    <x v="20"/>
    <x v="37"/>
    <x v="20"/>
    <x v="0"/>
    <x v="6"/>
    <x v="32"/>
  </r>
  <r>
    <x v="70"/>
    <x v="70"/>
    <x v="70"/>
    <x v="62"/>
    <x v="13"/>
    <x v="50"/>
    <x v="13"/>
    <x v="60"/>
    <x v="14"/>
    <x v="55"/>
    <x v="14"/>
    <x v="38"/>
    <x v="0"/>
    <x v="32"/>
  </r>
  <r>
    <x v="71"/>
    <x v="71"/>
    <x v="71"/>
    <x v="58"/>
    <x v="17"/>
    <x v="48"/>
    <x v="17"/>
    <x v="61"/>
    <x v="20"/>
    <x v="56"/>
    <x v="20"/>
    <x v="0"/>
    <x v="6"/>
    <x v="32"/>
  </r>
  <r>
    <x v="72"/>
    <x v="72"/>
    <x v="72"/>
    <x v="63"/>
    <x v="15"/>
    <x v="51"/>
    <x v="15"/>
    <x v="62"/>
    <x v="16"/>
    <x v="57"/>
    <x v="16"/>
    <x v="39"/>
    <x v="8"/>
    <x v="32"/>
  </r>
  <r>
    <x v="73"/>
    <x v="73"/>
    <x v="73"/>
    <x v="64"/>
    <x v="17"/>
    <x v="52"/>
    <x v="17"/>
    <x v="63"/>
    <x v="20"/>
    <x v="58"/>
    <x v="20"/>
    <x v="0"/>
    <x v="6"/>
    <x v="33"/>
  </r>
  <r>
    <x v="74"/>
    <x v="74"/>
    <x v="74"/>
    <x v="65"/>
    <x v="9"/>
    <x v="53"/>
    <x v="9"/>
    <x v="64"/>
    <x v="18"/>
    <x v="27"/>
    <x v="18"/>
    <x v="0"/>
    <x v="0"/>
    <x v="33"/>
  </r>
  <r>
    <x v="75"/>
    <x v="75"/>
    <x v="75"/>
    <x v="66"/>
    <x v="13"/>
    <x v="54"/>
    <x v="13"/>
    <x v="65"/>
    <x v="14"/>
    <x v="59"/>
    <x v="14"/>
    <x v="40"/>
    <x v="0"/>
    <x v="33"/>
  </r>
  <r>
    <x v="76"/>
    <x v="76"/>
    <x v="76"/>
    <x v="67"/>
    <x v="13"/>
    <x v="29"/>
    <x v="13"/>
    <x v="31"/>
    <x v="14"/>
    <x v="30"/>
    <x v="14"/>
    <x v="0"/>
    <x v="0"/>
    <x v="33"/>
  </r>
  <r>
    <x v="77"/>
    <x v="77"/>
    <x v="77"/>
    <x v="68"/>
    <x v="17"/>
    <x v="55"/>
    <x v="17"/>
    <x v="66"/>
    <x v="20"/>
    <x v="60"/>
    <x v="20"/>
    <x v="0"/>
    <x v="6"/>
    <x v="32"/>
  </r>
  <r>
    <x v="78"/>
    <x v="78"/>
    <x v="78"/>
    <x v="69"/>
    <x v="13"/>
    <x v="56"/>
    <x v="13"/>
    <x v="61"/>
    <x v="14"/>
    <x v="56"/>
    <x v="14"/>
    <x v="41"/>
    <x v="0"/>
    <x v="33"/>
  </r>
  <r>
    <x v="79"/>
    <x v="79"/>
    <x v="79"/>
    <x v="56"/>
    <x v="11"/>
    <x v="23"/>
    <x v="11"/>
    <x v="67"/>
    <x v="10"/>
    <x v="24"/>
    <x v="10"/>
    <x v="0"/>
    <x v="0"/>
    <x v="33"/>
  </r>
  <r>
    <x v="80"/>
    <x v="80"/>
    <x v="80"/>
    <x v="70"/>
    <x v="17"/>
    <x v="57"/>
    <x v="17"/>
    <x v="68"/>
    <x v="20"/>
    <x v="61"/>
    <x v="20"/>
    <x v="0"/>
    <x v="6"/>
    <x v="33"/>
  </r>
  <r>
    <x v="81"/>
    <x v="81"/>
    <x v="81"/>
    <x v="41"/>
    <x v="17"/>
    <x v="38"/>
    <x v="17"/>
    <x v="69"/>
    <x v="20"/>
    <x v="62"/>
    <x v="20"/>
    <x v="0"/>
    <x v="6"/>
    <x v="32"/>
  </r>
  <r>
    <x v="82"/>
    <x v="82"/>
    <x v="82"/>
    <x v="66"/>
    <x v="13"/>
    <x v="54"/>
    <x v="13"/>
    <x v="48"/>
    <x v="14"/>
    <x v="37"/>
    <x v="14"/>
    <x v="0"/>
    <x v="0"/>
    <x v="33"/>
  </r>
  <r>
    <x v="83"/>
    <x v="83"/>
    <x v="83"/>
    <x v="56"/>
    <x v="14"/>
    <x v="23"/>
    <x v="14"/>
    <x v="70"/>
    <x v="15"/>
    <x v="63"/>
    <x v="15"/>
    <x v="0"/>
    <x v="0"/>
    <x v="33"/>
  </r>
  <r>
    <x v="84"/>
    <x v="84"/>
    <x v="84"/>
    <x v="71"/>
    <x v="17"/>
    <x v="58"/>
    <x v="17"/>
    <x v="71"/>
    <x v="20"/>
    <x v="51"/>
    <x v="20"/>
    <x v="0"/>
    <x v="6"/>
    <x v="34"/>
  </r>
  <r>
    <x v="85"/>
    <x v="85"/>
    <x v="85"/>
    <x v="72"/>
    <x v="17"/>
    <x v="59"/>
    <x v="17"/>
    <x v="72"/>
    <x v="20"/>
    <x v="64"/>
    <x v="20"/>
    <x v="0"/>
    <x v="6"/>
    <x v="33"/>
  </r>
  <r>
    <x v="86"/>
    <x v="86"/>
    <x v="86"/>
    <x v="72"/>
    <x v="17"/>
    <x v="59"/>
    <x v="17"/>
    <x v="59"/>
    <x v="20"/>
    <x v="54"/>
    <x v="20"/>
    <x v="0"/>
    <x v="6"/>
    <x v="34"/>
  </r>
  <r>
    <x v="87"/>
    <x v="87"/>
    <x v="87"/>
    <x v="73"/>
    <x v="17"/>
    <x v="60"/>
    <x v="17"/>
    <x v="73"/>
    <x v="20"/>
    <x v="65"/>
    <x v="20"/>
    <x v="0"/>
    <x v="6"/>
    <x v="34"/>
  </r>
  <r>
    <x v="88"/>
    <x v="88"/>
    <x v="88"/>
    <x v="73"/>
    <x v="17"/>
    <x v="60"/>
    <x v="17"/>
    <x v="72"/>
    <x v="20"/>
    <x v="64"/>
    <x v="20"/>
    <x v="42"/>
    <x v="6"/>
    <x v="34"/>
  </r>
  <r>
    <x v="89"/>
    <x v="89"/>
    <x v="89"/>
    <x v="74"/>
    <x v="17"/>
    <x v="52"/>
    <x v="17"/>
    <x v="74"/>
    <x v="20"/>
    <x v="58"/>
    <x v="20"/>
    <x v="37"/>
    <x v="6"/>
    <x v="34"/>
  </r>
  <r>
    <x v="90"/>
    <x v="90"/>
    <x v="90"/>
    <x v="75"/>
    <x v="17"/>
    <x v="61"/>
    <x v="17"/>
    <x v="75"/>
    <x v="20"/>
    <x v="66"/>
    <x v="20"/>
    <x v="43"/>
    <x v="6"/>
    <x v="34"/>
  </r>
  <r>
    <x v="91"/>
    <x v="91"/>
    <x v="91"/>
    <x v="76"/>
    <x v="17"/>
    <x v="62"/>
    <x v="17"/>
    <x v="76"/>
    <x v="20"/>
    <x v="67"/>
    <x v="20"/>
    <x v="0"/>
    <x v="6"/>
    <x v="34"/>
  </r>
  <r>
    <x v="92"/>
    <x v="92"/>
    <x v="92"/>
    <x v="77"/>
    <x v="13"/>
    <x v="63"/>
    <x v="13"/>
    <x v="77"/>
    <x v="14"/>
    <x v="52"/>
    <x v="14"/>
    <x v="0"/>
    <x v="0"/>
    <x v="34"/>
  </r>
  <r>
    <x v="93"/>
    <x v="93"/>
    <x v="93"/>
    <x v="78"/>
    <x v="17"/>
    <x v="58"/>
    <x v="17"/>
    <x v="78"/>
    <x v="20"/>
    <x v="65"/>
    <x v="20"/>
    <x v="44"/>
    <x v="6"/>
    <x v="34"/>
  </r>
  <r>
    <x v="94"/>
    <x v="94"/>
    <x v="94"/>
    <x v="58"/>
    <x v="17"/>
    <x v="48"/>
    <x v="17"/>
    <x v="57"/>
    <x v="20"/>
    <x v="52"/>
    <x v="20"/>
    <x v="45"/>
    <x v="6"/>
    <x v="33"/>
  </r>
  <r>
    <x v="95"/>
    <x v="95"/>
    <x v="95"/>
    <x v="79"/>
    <x v="13"/>
    <x v="64"/>
    <x v="13"/>
    <x v="79"/>
    <x v="14"/>
    <x v="68"/>
    <x v="14"/>
    <x v="0"/>
    <x v="0"/>
    <x v="34"/>
  </r>
  <r>
    <x v="96"/>
    <x v="96"/>
    <x v="96"/>
    <x v="80"/>
    <x v="15"/>
    <x v="33"/>
    <x v="15"/>
    <x v="80"/>
    <x v="16"/>
    <x v="69"/>
    <x v="16"/>
    <x v="46"/>
    <x v="0"/>
    <x v="33"/>
  </r>
  <r>
    <x v="97"/>
    <x v="97"/>
    <x v="97"/>
    <x v="79"/>
    <x v="17"/>
    <x v="64"/>
    <x v="17"/>
    <x v="81"/>
    <x v="20"/>
    <x v="70"/>
    <x v="20"/>
    <x v="47"/>
    <x v="6"/>
    <x v="34"/>
  </r>
  <r>
    <x v="98"/>
    <x v="98"/>
    <x v="98"/>
    <x v="72"/>
    <x v="17"/>
    <x v="59"/>
    <x v="17"/>
    <x v="59"/>
    <x v="20"/>
    <x v="54"/>
    <x v="20"/>
    <x v="48"/>
    <x v="6"/>
    <x v="34"/>
  </r>
  <r>
    <x v="99"/>
    <x v="99"/>
    <x v="99"/>
    <x v="81"/>
    <x v="10"/>
    <x v="65"/>
    <x v="10"/>
    <x v="82"/>
    <x v="21"/>
    <x v="71"/>
    <x v="21"/>
    <x v="49"/>
    <x v="0"/>
    <x v="34"/>
  </r>
  <r>
    <x v="100"/>
    <x v="100"/>
    <x v="100"/>
    <x v="82"/>
    <x v="17"/>
    <x v="66"/>
    <x v="17"/>
    <x v="76"/>
    <x v="20"/>
    <x v="67"/>
    <x v="20"/>
    <x v="0"/>
    <x v="6"/>
    <x v="35"/>
  </r>
  <r>
    <x v="101"/>
    <x v="101"/>
    <x v="101"/>
    <x v="83"/>
    <x v="17"/>
    <x v="67"/>
    <x v="17"/>
    <x v="51"/>
    <x v="20"/>
    <x v="46"/>
    <x v="20"/>
    <x v="50"/>
    <x v="6"/>
    <x v="34"/>
  </r>
  <r>
    <x v="102"/>
    <x v="102"/>
    <x v="102"/>
    <x v="84"/>
    <x v="13"/>
    <x v="60"/>
    <x v="13"/>
    <x v="59"/>
    <x v="14"/>
    <x v="54"/>
    <x v="14"/>
    <x v="0"/>
    <x v="0"/>
    <x v="35"/>
  </r>
  <r>
    <x v="103"/>
    <x v="103"/>
    <x v="103"/>
    <x v="68"/>
    <x v="17"/>
    <x v="55"/>
    <x v="17"/>
    <x v="83"/>
    <x v="20"/>
    <x v="60"/>
    <x v="20"/>
    <x v="0"/>
    <x v="6"/>
    <x v="35"/>
  </r>
  <r>
    <x v="104"/>
    <x v="104"/>
    <x v="104"/>
    <x v="76"/>
    <x v="13"/>
    <x v="62"/>
    <x v="13"/>
    <x v="57"/>
    <x v="14"/>
    <x v="52"/>
    <x v="14"/>
    <x v="0"/>
    <x v="0"/>
    <x v="35"/>
  </r>
  <r>
    <x v="105"/>
    <x v="105"/>
    <x v="105"/>
    <x v="60"/>
    <x v="17"/>
    <x v="46"/>
    <x v="17"/>
    <x v="84"/>
    <x v="20"/>
    <x v="64"/>
    <x v="20"/>
    <x v="43"/>
    <x v="6"/>
    <x v="35"/>
  </r>
  <r>
    <x v="106"/>
    <x v="106"/>
    <x v="106"/>
    <x v="60"/>
    <x v="13"/>
    <x v="46"/>
    <x v="13"/>
    <x v="85"/>
    <x v="15"/>
    <x v="67"/>
    <x v="15"/>
    <x v="27"/>
    <x v="0"/>
    <x v="35"/>
  </r>
  <r>
    <x v="107"/>
    <x v="107"/>
    <x v="107"/>
    <x v="52"/>
    <x v="17"/>
    <x v="44"/>
    <x v="17"/>
    <x v="86"/>
    <x v="20"/>
    <x v="72"/>
    <x v="20"/>
    <x v="0"/>
    <x v="6"/>
    <x v="35"/>
  </r>
  <r>
    <x v="108"/>
    <x v="108"/>
    <x v="108"/>
    <x v="58"/>
    <x v="17"/>
    <x v="48"/>
    <x v="17"/>
    <x v="87"/>
    <x v="20"/>
    <x v="42"/>
    <x v="20"/>
    <x v="51"/>
    <x v="6"/>
    <x v="35"/>
  </r>
  <r>
    <x v="109"/>
    <x v="109"/>
    <x v="109"/>
    <x v="85"/>
    <x v="17"/>
    <x v="68"/>
    <x v="17"/>
    <x v="88"/>
    <x v="20"/>
    <x v="73"/>
    <x v="20"/>
    <x v="52"/>
    <x v="6"/>
    <x v="35"/>
  </r>
  <r>
    <x v="110"/>
    <x v="110"/>
    <x v="110"/>
    <x v="58"/>
    <x v="14"/>
    <x v="48"/>
    <x v="14"/>
    <x v="89"/>
    <x v="15"/>
    <x v="65"/>
    <x v="15"/>
    <x v="53"/>
    <x v="9"/>
    <x v="35"/>
  </r>
  <r>
    <x v="111"/>
    <x v="111"/>
    <x v="111"/>
    <x v="83"/>
    <x v="15"/>
    <x v="67"/>
    <x v="15"/>
    <x v="90"/>
    <x v="17"/>
    <x v="36"/>
    <x v="17"/>
    <x v="54"/>
    <x v="0"/>
    <x v="35"/>
  </r>
  <r>
    <x v="112"/>
    <x v="112"/>
    <x v="112"/>
    <x v="86"/>
    <x v="14"/>
    <x v="69"/>
    <x v="14"/>
    <x v="91"/>
    <x v="18"/>
    <x v="56"/>
    <x v="18"/>
    <x v="55"/>
    <x v="0"/>
    <x v="35"/>
  </r>
  <r>
    <x v="113"/>
    <x v="113"/>
    <x v="113"/>
    <x v="87"/>
    <x v="13"/>
    <x v="64"/>
    <x v="13"/>
    <x v="92"/>
    <x v="15"/>
    <x v="68"/>
    <x v="15"/>
    <x v="56"/>
    <x v="6"/>
    <x v="25"/>
  </r>
  <r>
    <x v="114"/>
    <x v="114"/>
    <x v="114"/>
    <x v="88"/>
    <x v="13"/>
    <x v="70"/>
    <x v="13"/>
    <x v="93"/>
    <x v="14"/>
    <x v="74"/>
    <x v="14"/>
    <x v="0"/>
    <x v="0"/>
    <x v="33"/>
  </r>
  <r>
    <x v="115"/>
    <x v="115"/>
    <x v="115"/>
    <x v="32"/>
    <x v="11"/>
    <x v="29"/>
    <x v="11"/>
    <x v="94"/>
    <x v="10"/>
    <x v="75"/>
    <x v="10"/>
    <x v="0"/>
    <x v="0"/>
    <x v="36"/>
  </r>
  <r>
    <x v="116"/>
    <x v="116"/>
    <x v="116"/>
    <x v="84"/>
    <x v="17"/>
    <x v="60"/>
    <x v="17"/>
    <x v="73"/>
    <x v="20"/>
    <x v="65"/>
    <x v="20"/>
    <x v="57"/>
    <x v="6"/>
    <x v="36"/>
  </r>
  <r>
    <x v="117"/>
    <x v="117"/>
    <x v="117"/>
    <x v="78"/>
    <x v="17"/>
    <x v="58"/>
    <x v="17"/>
    <x v="76"/>
    <x v="20"/>
    <x v="67"/>
    <x v="20"/>
    <x v="27"/>
    <x v="6"/>
    <x v="36"/>
  </r>
  <r>
    <x v="118"/>
    <x v="118"/>
    <x v="118"/>
    <x v="54"/>
    <x v="14"/>
    <x v="45"/>
    <x v="14"/>
    <x v="51"/>
    <x v="15"/>
    <x v="46"/>
    <x v="15"/>
    <x v="0"/>
    <x v="0"/>
    <x v="36"/>
  </r>
  <r>
    <x v="119"/>
    <x v="119"/>
    <x v="119"/>
    <x v="75"/>
    <x v="17"/>
    <x v="61"/>
    <x v="17"/>
    <x v="66"/>
    <x v="20"/>
    <x v="60"/>
    <x v="20"/>
    <x v="0"/>
    <x v="6"/>
    <x v="36"/>
  </r>
  <r>
    <x v="120"/>
    <x v="120"/>
    <x v="120"/>
    <x v="76"/>
    <x v="13"/>
    <x v="62"/>
    <x v="13"/>
    <x v="95"/>
    <x v="14"/>
    <x v="70"/>
    <x v="14"/>
    <x v="0"/>
    <x v="0"/>
    <x v="36"/>
  </r>
  <r>
    <x v="121"/>
    <x v="121"/>
    <x v="121"/>
    <x v="89"/>
    <x v="17"/>
    <x v="71"/>
    <x v="17"/>
    <x v="96"/>
    <x v="20"/>
    <x v="76"/>
    <x v="20"/>
    <x v="58"/>
    <x v="6"/>
    <x v="36"/>
  </r>
  <r>
    <x v="122"/>
    <x v="122"/>
    <x v="122"/>
    <x v="87"/>
    <x v="17"/>
    <x v="64"/>
    <x v="17"/>
    <x v="97"/>
    <x v="20"/>
    <x v="76"/>
    <x v="20"/>
    <x v="59"/>
    <x v="6"/>
    <x v="36"/>
  </r>
  <r>
    <x v="123"/>
    <x v="123"/>
    <x v="123"/>
    <x v="89"/>
    <x v="17"/>
    <x v="71"/>
    <x v="17"/>
    <x v="97"/>
    <x v="20"/>
    <x v="76"/>
    <x v="20"/>
    <x v="0"/>
    <x v="6"/>
    <x v="36"/>
  </r>
  <r>
    <x v="124"/>
    <x v="124"/>
    <x v="124"/>
    <x v="90"/>
    <x v="17"/>
    <x v="71"/>
    <x v="17"/>
    <x v="96"/>
    <x v="20"/>
    <x v="76"/>
    <x v="20"/>
    <x v="60"/>
    <x v="6"/>
    <x v="36"/>
  </r>
  <r>
    <x v="125"/>
    <x v="125"/>
    <x v="125"/>
    <x v="90"/>
    <x v="17"/>
    <x v="71"/>
    <x v="17"/>
    <x v="97"/>
    <x v="20"/>
    <x v="76"/>
    <x v="20"/>
    <x v="0"/>
    <x v="6"/>
    <x v="36"/>
  </r>
  <r>
    <x v="126"/>
    <x v="126"/>
    <x v="126"/>
    <x v="91"/>
    <x v="17"/>
    <x v="72"/>
    <x v="17"/>
    <x v="98"/>
    <x v="20"/>
    <x v="74"/>
    <x v="20"/>
    <x v="0"/>
    <x v="6"/>
    <x v="36"/>
  </r>
  <r>
    <x v="127"/>
    <x v="127"/>
    <x v="127"/>
    <x v="79"/>
    <x v="17"/>
    <x v="64"/>
    <x v="17"/>
    <x v="99"/>
    <x v="20"/>
    <x v="66"/>
    <x v="20"/>
    <x v="56"/>
    <x v="6"/>
    <x v="36"/>
  </r>
  <r>
    <x v="128"/>
    <x v="128"/>
    <x v="128"/>
    <x v="72"/>
    <x v="17"/>
    <x v="59"/>
    <x v="17"/>
    <x v="65"/>
    <x v="20"/>
    <x v="59"/>
    <x v="20"/>
    <x v="40"/>
    <x v="6"/>
    <x v="36"/>
  </r>
  <r>
    <x v="129"/>
    <x v="129"/>
    <x v="129"/>
    <x v="90"/>
    <x v="17"/>
    <x v="71"/>
    <x v="17"/>
    <x v="75"/>
    <x v="20"/>
    <x v="66"/>
    <x v="20"/>
    <x v="61"/>
    <x v="6"/>
    <x v="36"/>
  </r>
  <r>
    <x v="130"/>
    <x v="130"/>
    <x v="130"/>
    <x v="92"/>
    <x v="17"/>
    <x v="73"/>
    <x v="17"/>
    <x v="100"/>
    <x v="20"/>
    <x v="77"/>
    <x v="20"/>
    <x v="62"/>
    <x v="6"/>
    <x v="36"/>
  </r>
  <r>
    <x v="131"/>
    <x v="131"/>
    <x v="131"/>
    <x v="82"/>
    <x v="17"/>
    <x v="66"/>
    <x v="17"/>
    <x v="95"/>
    <x v="20"/>
    <x v="70"/>
    <x v="20"/>
    <x v="63"/>
    <x v="6"/>
    <x v="35"/>
  </r>
  <r>
    <x v="132"/>
    <x v="132"/>
    <x v="132"/>
    <x v="59"/>
    <x v="14"/>
    <x v="47"/>
    <x v="14"/>
    <x v="86"/>
    <x v="15"/>
    <x v="72"/>
    <x v="15"/>
    <x v="0"/>
    <x v="0"/>
    <x v="36"/>
  </r>
  <r>
    <x v="133"/>
    <x v="133"/>
    <x v="133"/>
    <x v="45"/>
    <x v="17"/>
    <x v="41"/>
    <x v="17"/>
    <x v="72"/>
    <x v="20"/>
    <x v="64"/>
    <x v="20"/>
    <x v="47"/>
    <x v="6"/>
    <x v="36"/>
  </r>
  <r>
    <x v="134"/>
    <x v="134"/>
    <x v="134"/>
    <x v="93"/>
    <x v="13"/>
    <x v="74"/>
    <x v="13"/>
    <x v="101"/>
    <x v="14"/>
    <x v="36"/>
    <x v="14"/>
    <x v="0"/>
    <x v="0"/>
    <x v="36"/>
  </r>
  <r>
    <x v="135"/>
    <x v="135"/>
    <x v="135"/>
    <x v="94"/>
    <x v="17"/>
    <x v="48"/>
    <x v="17"/>
    <x v="89"/>
    <x v="20"/>
    <x v="65"/>
    <x v="20"/>
    <x v="57"/>
    <x v="6"/>
    <x v="35"/>
  </r>
  <r>
    <x v="136"/>
    <x v="136"/>
    <x v="136"/>
    <x v="95"/>
    <x v="17"/>
    <x v="75"/>
    <x v="17"/>
    <x v="102"/>
    <x v="20"/>
    <x v="74"/>
    <x v="20"/>
    <x v="43"/>
    <x v="6"/>
    <x v="36"/>
  </r>
  <r>
    <x v="137"/>
    <x v="137"/>
    <x v="137"/>
    <x v="55"/>
    <x v="13"/>
    <x v="46"/>
    <x v="13"/>
    <x v="76"/>
    <x v="14"/>
    <x v="67"/>
    <x v="14"/>
    <x v="0"/>
    <x v="0"/>
    <x v="36"/>
  </r>
  <r>
    <x v="138"/>
    <x v="138"/>
    <x v="138"/>
    <x v="78"/>
    <x v="17"/>
    <x v="58"/>
    <x v="17"/>
    <x v="63"/>
    <x v="20"/>
    <x v="58"/>
    <x v="20"/>
    <x v="0"/>
    <x v="6"/>
    <x v="36"/>
  </r>
  <r>
    <x v="139"/>
    <x v="139"/>
    <x v="139"/>
    <x v="73"/>
    <x v="17"/>
    <x v="60"/>
    <x v="17"/>
    <x v="57"/>
    <x v="20"/>
    <x v="52"/>
    <x v="20"/>
    <x v="0"/>
    <x v="6"/>
    <x v="37"/>
  </r>
  <r>
    <x v="140"/>
    <x v="140"/>
    <x v="140"/>
    <x v="96"/>
    <x v="14"/>
    <x v="66"/>
    <x v="14"/>
    <x v="103"/>
    <x v="18"/>
    <x v="78"/>
    <x v="18"/>
    <x v="0"/>
    <x v="0"/>
    <x v="37"/>
  </r>
  <r>
    <x v="141"/>
    <x v="141"/>
    <x v="141"/>
    <x v="97"/>
    <x v="17"/>
    <x v="55"/>
    <x v="17"/>
    <x v="79"/>
    <x v="20"/>
    <x v="68"/>
    <x v="20"/>
    <x v="0"/>
    <x v="6"/>
    <x v="37"/>
  </r>
  <r>
    <x v="142"/>
    <x v="142"/>
    <x v="142"/>
    <x v="91"/>
    <x v="17"/>
    <x v="72"/>
    <x v="17"/>
    <x v="104"/>
    <x v="20"/>
    <x v="79"/>
    <x v="20"/>
    <x v="0"/>
    <x v="6"/>
    <x v="37"/>
  </r>
  <r>
    <x v="143"/>
    <x v="143"/>
    <x v="143"/>
    <x v="96"/>
    <x v="17"/>
    <x v="66"/>
    <x v="17"/>
    <x v="105"/>
    <x v="20"/>
    <x v="61"/>
    <x v="20"/>
    <x v="64"/>
    <x v="6"/>
    <x v="37"/>
  </r>
  <r>
    <x v="144"/>
    <x v="144"/>
    <x v="144"/>
    <x v="90"/>
    <x v="17"/>
    <x v="71"/>
    <x v="17"/>
    <x v="106"/>
    <x v="20"/>
    <x v="77"/>
    <x v="20"/>
    <x v="30"/>
    <x v="6"/>
    <x v="37"/>
  </r>
  <r>
    <x v="145"/>
    <x v="145"/>
    <x v="145"/>
    <x v="94"/>
    <x v="17"/>
    <x v="48"/>
    <x v="17"/>
    <x v="78"/>
    <x v="20"/>
    <x v="65"/>
    <x v="20"/>
    <x v="53"/>
    <x v="6"/>
    <x v="37"/>
  </r>
  <r>
    <x v="146"/>
    <x v="146"/>
    <x v="146"/>
    <x v="66"/>
    <x v="17"/>
    <x v="54"/>
    <x v="17"/>
    <x v="84"/>
    <x v="20"/>
    <x v="64"/>
    <x v="20"/>
    <x v="0"/>
    <x v="6"/>
    <x v="37"/>
  </r>
  <r>
    <x v="147"/>
    <x v="147"/>
    <x v="147"/>
    <x v="66"/>
    <x v="17"/>
    <x v="54"/>
    <x v="17"/>
    <x v="65"/>
    <x v="20"/>
    <x v="59"/>
    <x v="20"/>
    <x v="0"/>
    <x v="6"/>
    <x v="37"/>
  </r>
  <r>
    <x v="148"/>
    <x v="148"/>
    <x v="148"/>
    <x v="58"/>
    <x v="17"/>
    <x v="48"/>
    <x v="17"/>
    <x v="107"/>
    <x v="20"/>
    <x v="67"/>
    <x v="20"/>
    <x v="65"/>
    <x v="6"/>
    <x v="37"/>
  </r>
  <r>
    <x v="149"/>
    <x v="149"/>
    <x v="149"/>
    <x v="68"/>
    <x v="17"/>
    <x v="55"/>
    <x v="17"/>
    <x v="92"/>
    <x v="20"/>
    <x v="68"/>
    <x v="20"/>
    <x v="0"/>
    <x v="6"/>
    <x v="37"/>
  </r>
  <r>
    <x v="150"/>
    <x v="150"/>
    <x v="150"/>
    <x v="90"/>
    <x v="13"/>
    <x v="71"/>
    <x v="13"/>
    <x v="106"/>
    <x v="14"/>
    <x v="77"/>
    <x v="14"/>
    <x v="0"/>
    <x v="6"/>
    <x v="37"/>
  </r>
  <r>
    <x v="151"/>
    <x v="151"/>
    <x v="151"/>
    <x v="92"/>
    <x v="14"/>
    <x v="73"/>
    <x v="14"/>
    <x v="108"/>
    <x v="15"/>
    <x v="80"/>
    <x v="15"/>
    <x v="66"/>
    <x v="0"/>
    <x v="37"/>
  </r>
  <r>
    <x v="152"/>
    <x v="152"/>
    <x v="152"/>
    <x v="79"/>
    <x v="17"/>
    <x v="64"/>
    <x v="17"/>
    <x v="97"/>
    <x v="20"/>
    <x v="76"/>
    <x v="20"/>
    <x v="0"/>
    <x v="6"/>
    <x v="37"/>
  </r>
  <r>
    <x v="153"/>
    <x v="153"/>
    <x v="153"/>
    <x v="92"/>
    <x v="17"/>
    <x v="73"/>
    <x v="17"/>
    <x v="109"/>
    <x v="20"/>
    <x v="80"/>
    <x v="20"/>
    <x v="0"/>
    <x v="6"/>
    <x v="37"/>
  </r>
  <r>
    <x v="154"/>
    <x v="154"/>
    <x v="154"/>
    <x v="98"/>
    <x v="13"/>
    <x v="70"/>
    <x v="13"/>
    <x v="108"/>
    <x v="14"/>
    <x v="80"/>
    <x v="14"/>
    <x v="0"/>
    <x v="0"/>
    <x v="37"/>
  </r>
  <r>
    <x v="155"/>
    <x v="155"/>
    <x v="155"/>
    <x v="99"/>
    <x v="17"/>
    <x v="76"/>
    <x v="17"/>
    <x v="110"/>
    <x v="20"/>
    <x v="81"/>
    <x v="20"/>
    <x v="60"/>
    <x v="6"/>
    <x v="37"/>
  </r>
  <r>
    <x v="156"/>
    <x v="156"/>
    <x v="156"/>
    <x v="100"/>
    <x v="17"/>
    <x v="67"/>
    <x v="17"/>
    <x v="47"/>
    <x v="20"/>
    <x v="43"/>
    <x v="20"/>
    <x v="67"/>
    <x v="6"/>
    <x v="37"/>
  </r>
  <r>
    <x v="157"/>
    <x v="157"/>
    <x v="157"/>
    <x v="78"/>
    <x v="17"/>
    <x v="58"/>
    <x v="17"/>
    <x v="111"/>
    <x v="20"/>
    <x v="54"/>
    <x v="20"/>
    <x v="68"/>
    <x v="6"/>
    <x v="37"/>
  </r>
  <r>
    <x v="158"/>
    <x v="158"/>
    <x v="158"/>
    <x v="97"/>
    <x v="17"/>
    <x v="55"/>
    <x v="17"/>
    <x v="75"/>
    <x v="20"/>
    <x v="66"/>
    <x v="20"/>
    <x v="43"/>
    <x v="6"/>
    <x v="37"/>
  </r>
  <r>
    <x v="159"/>
    <x v="159"/>
    <x v="159"/>
    <x v="77"/>
    <x v="17"/>
    <x v="63"/>
    <x v="17"/>
    <x v="79"/>
    <x v="20"/>
    <x v="68"/>
    <x v="20"/>
    <x v="69"/>
    <x v="6"/>
    <x v="37"/>
  </r>
  <r>
    <x v="160"/>
    <x v="160"/>
    <x v="160"/>
    <x v="68"/>
    <x v="14"/>
    <x v="55"/>
    <x v="14"/>
    <x v="105"/>
    <x v="18"/>
    <x v="61"/>
    <x v="18"/>
    <x v="70"/>
    <x v="6"/>
    <x v="37"/>
  </r>
  <r>
    <x v="161"/>
    <x v="161"/>
    <x v="161"/>
    <x v="101"/>
    <x v="13"/>
    <x v="77"/>
    <x v="13"/>
    <x v="112"/>
    <x v="14"/>
    <x v="82"/>
    <x v="14"/>
    <x v="0"/>
    <x v="6"/>
    <x v="36"/>
  </r>
  <r>
    <x v="162"/>
    <x v="162"/>
    <x v="162"/>
    <x v="102"/>
    <x v="17"/>
    <x v="72"/>
    <x v="17"/>
    <x v="102"/>
    <x v="20"/>
    <x v="74"/>
    <x v="20"/>
    <x v="0"/>
    <x v="6"/>
    <x v="37"/>
  </r>
  <r>
    <x v="163"/>
    <x v="163"/>
    <x v="163"/>
    <x v="77"/>
    <x v="13"/>
    <x v="63"/>
    <x v="13"/>
    <x v="79"/>
    <x v="14"/>
    <x v="68"/>
    <x v="14"/>
    <x v="59"/>
    <x v="6"/>
    <x v="37"/>
  </r>
  <r>
    <x v="164"/>
    <x v="164"/>
    <x v="164"/>
    <x v="79"/>
    <x v="13"/>
    <x v="64"/>
    <x v="13"/>
    <x v="106"/>
    <x v="14"/>
    <x v="77"/>
    <x v="14"/>
    <x v="0"/>
    <x v="6"/>
    <x v="37"/>
  </r>
  <r>
    <x v="165"/>
    <x v="165"/>
    <x v="165"/>
    <x v="88"/>
    <x v="17"/>
    <x v="70"/>
    <x v="17"/>
    <x v="102"/>
    <x v="20"/>
    <x v="74"/>
    <x v="20"/>
    <x v="0"/>
    <x v="6"/>
    <x v="37"/>
  </r>
  <r>
    <x v="166"/>
    <x v="166"/>
    <x v="166"/>
    <x v="80"/>
    <x v="9"/>
    <x v="33"/>
    <x v="9"/>
    <x v="113"/>
    <x v="18"/>
    <x v="20"/>
    <x v="18"/>
    <x v="71"/>
    <x v="0"/>
    <x v="37"/>
  </r>
  <r>
    <x v="167"/>
    <x v="167"/>
    <x v="167"/>
    <x v="60"/>
    <x v="17"/>
    <x v="46"/>
    <x v="17"/>
    <x v="78"/>
    <x v="20"/>
    <x v="65"/>
    <x v="20"/>
    <x v="0"/>
    <x v="6"/>
    <x v="37"/>
  </r>
  <r>
    <x v="168"/>
    <x v="168"/>
    <x v="168"/>
    <x v="92"/>
    <x v="17"/>
    <x v="73"/>
    <x v="17"/>
    <x v="109"/>
    <x v="20"/>
    <x v="80"/>
    <x v="20"/>
    <x v="47"/>
    <x v="6"/>
    <x v="37"/>
  </r>
  <r>
    <x v="169"/>
    <x v="169"/>
    <x v="169"/>
    <x v="68"/>
    <x v="17"/>
    <x v="55"/>
    <x v="17"/>
    <x v="83"/>
    <x v="20"/>
    <x v="60"/>
    <x v="20"/>
    <x v="0"/>
    <x v="6"/>
    <x v="37"/>
  </r>
  <r>
    <x v="170"/>
    <x v="170"/>
    <x v="170"/>
    <x v="103"/>
    <x v="14"/>
    <x v="78"/>
    <x v="14"/>
    <x v="114"/>
    <x v="15"/>
    <x v="19"/>
    <x v="15"/>
    <x v="0"/>
    <x v="0"/>
    <x v="37"/>
  </r>
  <r>
    <x v="171"/>
    <x v="9"/>
    <x v="171"/>
    <x v="32"/>
    <x v="13"/>
    <x v="79"/>
    <x v="18"/>
    <x v="36"/>
    <x v="18"/>
    <x v="83"/>
    <x v="22"/>
    <x v="72"/>
    <x v="0"/>
    <x v="32"/>
  </r>
  <r>
    <x v="29"/>
    <x v="29"/>
    <x v="172"/>
    <x v="97"/>
    <x v="17"/>
    <x v="80"/>
    <x v="17"/>
    <x v="115"/>
    <x v="20"/>
    <x v="84"/>
    <x v="20"/>
    <x v="0"/>
    <x v="6"/>
    <x v="36"/>
  </r>
  <r>
    <x v="172"/>
    <x v="171"/>
    <x v="173"/>
    <x v="52"/>
    <x v="14"/>
    <x v="81"/>
    <x v="19"/>
    <x v="48"/>
    <x v="18"/>
    <x v="85"/>
    <x v="22"/>
    <x v="73"/>
    <x v="0"/>
    <x v="36"/>
  </r>
  <r>
    <x v="13"/>
    <x v="13"/>
    <x v="13"/>
    <x v="102"/>
    <x v="13"/>
    <x v="82"/>
    <x v="18"/>
    <x v="79"/>
    <x v="14"/>
    <x v="86"/>
    <x v="23"/>
    <x v="74"/>
    <x v="0"/>
    <x v="37"/>
  </r>
  <r>
    <x v="173"/>
    <x v="172"/>
    <x v="174"/>
    <x v="104"/>
    <x v="17"/>
    <x v="83"/>
    <x v="17"/>
    <x v="116"/>
    <x v="20"/>
    <x v="87"/>
    <x v="20"/>
    <x v="0"/>
    <x v="6"/>
    <x v="37"/>
  </r>
  <r>
    <x v="53"/>
    <x v="53"/>
    <x v="53"/>
    <x v="101"/>
    <x v="17"/>
    <x v="84"/>
    <x v="17"/>
    <x v="117"/>
    <x v="20"/>
    <x v="88"/>
    <x v="20"/>
    <x v="0"/>
    <x v="6"/>
    <x v="37"/>
  </r>
  <r>
    <x v="174"/>
    <x v="173"/>
    <x v="175"/>
    <x v="102"/>
    <x v="17"/>
    <x v="82"/>
    <x v="17"/>
    <x v="104"/>
    <x v="20"/>
    <x v="89"/>
    <x v="20"/>
    <x v="60"/>
    <x v="6"/>
    <x v="37"/>
  </r>
  <r>
    <x v="175"/>
    <x v="174"/>
    <x v="176"/>
    <x v="104"/>
    <x v="17"/>
    <x v="83"/>
    <x v="17"/>
    <x v="117"/>
    <x v="20"/>
    <x v="88"/>
    <x v="20"/>
    <x v="0"/>
    <x v="6"/>
    <x v="37"/>
  </r>
  <r>
    <x v="9"/>
    <x v="9"/>
    <x v="9"/>
    <x v="104"/>
    <x v="17"/>
    <x v="83"/>
    <x v="17"/>
    <x v="110"/>
    <x v="20"/>
    <x v="90"/>
    <x v="20"/>
    <x v="0"/>
    <x v="6"/>
    <x v="37"/>
  </r>
  <r>
    <x v="176"/>
    <x v="175"/>
    <x v="177"/>
    <x v="105"/>
    <x v="17"/>
    <x v="85"/>
    <x v="17"/>
    <x v="98"/>
    <x v="20"/>
    <x v="91"/>
    <x v="20"/>
    <x v="0"/>
    <x v="6"/>
    <x v="37"/>
  </r>
  <r>
    <x v="177"/>
    <x v="28"/>
    <x v="178"/>
    <x v="98"/>
    <x v="13"/>
    <x v="86"/>
    <x v="18"/>
    <x v="102"/>
    <x v="14"/>
    <x v="92"/>
    <x v="23"/>
    <x v="60"/>
    <x v="6"/>
    <x v="37"/>
  </r>
  <r>
    <x v="178"/>
    <x v="37"/>
    <x v="179"/>
    <x v="90"/>
    <x v="17"/>
    <x v="87"/>
    <x v="17"/>
    <x v="97"/>
    <x v="20"/>
    <x v="93"/>
    <x v="20"/>
    <x v="0"/>
    <x v="6"/>
    <x v="37"/>
  </r>
  <r>
    <x v="179"/>
    <x v="68"/>
    <x v="180"/>
    <x v="68"/>
    <x v="17"/>
    <x v="88"/>
    <x v="17"/>
    <x v="66"/>
    <x v="20"/>
    <x v="94"/>
    <x v="20"/>
    <x v="75"/>
    <x v="6"/>
    <x v="37"/>
  </r>
  <r>
    <x v="180"/>
    <x v="176"/>
    <x v="181"/>
    <x v="101"/>
    <x v="17"/>
    <x v="84"/>
    <x v="17"/>
    <x v="112"/>
    <x v="20"/>
    <x v="95"/>
    <x v="20"/>
    <x v="76"/>
    <x v="6"/>
    <x v="37"/>
  </r>
  <r>
    <x v="181"/>
    <x v="177"/>
    <x v="182"/>
    <x v="106"/>
    <x v="18"/>
    <x v="89"/>
    <x v="20"/>
    <x v="118"/>
    <x v="22"/>
    <x v="96"/>
    <x v="24"/>
    <x v="77"/>
    <x v="10"/>
    <x v="38"/>
  </r>
</pivotCacheRecords>
</file>

<file path=xl/pivotCache/pivotCacheRecords18.xml><?xml version="1.0" encoding="utf-8"?>
<pivotCacheRecords xmlns="http://schemas.openxmlformats.org/spreadsheetml/2006/main" xmlns:r="http://schemas.openxmlformats.org/officeDocument/2006/relationships" count="220">
  <r>
    <x v="0"/>
    <x v="0"/>
    <x v="0"/>
    <x v="0"/>
    <x v="0"/>
    <x v="0"/>
    <x v="0"/>
    <x v="0"/>
    <x v="0"/>
    <x v="0"/>
    <x v="0"/>
    <x v="0"/>
    <x v="0"/>
    <x v="0"/>
  </r>
  <r>
    <x v="1"/>
    <x v="1"/>
    <x v="1"/>
    <x v="1"/>
    <x v="1"/>
    <x v="1"/>
    <x v="1"/>
    <x v="1"/>
    <x v="1"/>
    <x v="1"/>
    <x v="1"/>
    <x v="1"/>
    <x v="1"/>
    <x v="1"/>
  </r>
  <r>
    <x v="2"/>
    <x v="2"/>
    <x v="2"/>
    <x v="2"/>
    <x v="2"/>
    <x v="2"/>
    <x v="2"/>
    <x v="2"/>
    <x v="2"/>
    <x v="2"/>
    <x v="2"/>
    <x v="2"/>
    <x v="2"/>
    <x v="2"/>
  </r>
  <r>
    <x v="3"/>
    <x v="3"/>
    <x v="3"/>
    <x v="3"/>
    <x v="3"/>
    <x v="3"/>
    <x v="3"/>
    <x v="3"/>
    <x v="3"/>
    <x v="3"/>
    <x v="3"/>
    <x v="3"/>
    <x v="2"/>
    <x v="3"/>
  </r>
  <r>
    <x v="4"/>
    <x v="4"/>
    <x v="4"/>
    <x v="4"/>
    <x v="4"/>
    <x v="4"/>
    <x v="4"/>
    <x v="4"/>
    <x v="4"/>
    <x v="4"/>
    <x v="4"/>
    <x v="4"/>
    <x v="3"/>
    <x v="4"/>
  </r>
  <r>
    <x v="5"/>
    <x v="5"/>
    <x v="5"/>
    <x v="5"/>
    <x v="5"/>
    <x v="5"/>
    <x v="5"/>
    <x v="5"/>
    <x v="5"/>
    <x v="5"/>
    <x v="5"/>
    <x v="5"/>
    <x v="4"/>
    <x v="5"/>
  </r>
  <r>
    <x v="6"/>
    <x v="6"/>
    <x v="6"/>
    <x v="6"/>
    <x v="5"/>
    <x v="6"/>
    <x v="5"/>
    <x v="6"/>
    <x v="6"/>
    <x v="6"/>
    <x v="6"/>
    <x v="6"/>
    <x v="2"/>
    <x v="6"/>
  </r>
  <r>
    <x v="7"/>
    <x v="7"/>
    <x v="7"/>
    <x v="7"/>
    <x v="6"/>
    <x v="7"/>
    <x v="6"/>
    <x v="7"/>
    <x v="7"/>
    <x v="7"/>
    <x v="7"/>
    <x v="7"/>
    <x v="2"/>
    <x v="7"/>
  </r>
  <r>
    <x v="8"/>
    <x v="8"/>
    <x v="8"/>
    <x v="8"/>
    <x v="7"/>
    <x v="8"/>
    <x v="7"/>
    <x v="8"/>
    <x v="8"/>
    <x v="8"/>
    <x v="8"/>
    <x v="8"/>
    <x v="5"/>
    <x v="8"/>
  </r>
  <r>
    <x v="9"/>
    <x v="9"/>
    <x v="9"/>
    <x v="9"/>
    <x v="8"/>
    <x v="9"/>
    <x v="8"/>
    <x v="9"/>
    <x v="9"/>
    <x v="9"/>
    <x v="9"/>
    <x v="9"/>
    <x v="2"/>
    <x v="9"/>
  </r>
  <r>
    <x v="10"/>
    <x v="10"/>
    <x v="10"/>
    <x v="10"/>
    <x v="9"/>
    <x v="10"/>
    <x v="9"/>
    <x v="10"/>
    <x v="10"/>
    <x v="10"/>
    <x v="10"/>
    <x v="10"/>
    <x v="2"/>
    <x v="10"/>
  </r>
  <r>
    <x v="11"/>
    <x v="11"/>
    <x v="11"/>
    <x v="11"/>
    <x v="10"/>
    <x v="11"/>
    <x v="10"/>
    <x v="11"/>
    <x v="11"/>
    <x v="11"/>
    <x v="11"/>
    <x v="11"/>
    <x v="2"/>
    <x v="11"/>
  </r>
  <r>
    <x v="12"/>
    <x v="12"/>
    <x v="12"/>
    <x v="12"/>
    <x v="9"/>
    <x v="12"/>
    <x v="9"/>
    <x v="12"/>
    <x v="12"/>
    <x v="12"/>
    <x v="12"/>
    <x v="12"/>
    <x v="2"/>
    <x v="12"/>
  </r>
  <r>
    <x v="13"/>
    <x v="13"/>
    <x v="13"/>
    <x v="13"/>
    <x v="11"/>
    <x v="13"/>
    <x v="11"/>
    <x v="13"/>
    <x v="13"/>
    <x v="13"/>
    <x v="13"/>
    <x v="13"/>
    <x v="2"/>
    <x v="13"/>
  </r>
  <r>
    <x v="14"/>
    <x v="14"/>
    <x v="14"/>
    <x v="14"/>
    <x v="9"/>
    <x v="14"/>
    <x v="9"/>
    <x v="14"/>
    <x v="14"/>
    <x v="14"/>
    <x v="14"/>
    <x v="14"/>
    <x v="6"/>
    <x v="14"/>
  </r>
  <r>
    <x v="15"/>
    <x v="15"/>
    <x v="15"/>
    <x v="15"/>
    <x v="12"/>
    <x v="15"/>
    <x v="12"/>
    <x v="15"/>
    <x v="15"/>
    <x v="15"/>
    <x v="15"/>
    <x v="15"/>
    <x v="2"/>
    <x v="15"/>
  </r>
  <r>
    <x v="16"/>
    <x v="16"/>
    <x v="16"/>
    <x v="16"/>
    <x v="6"/>
    <x v="16"/>
    <x v="6"/>
    <x v="16"/>
    <x v="16"/>
    <x v="16"/>
    <x v="16"/>
    <x v="3"/>
    <x v="2"/>
    <x v="16"/>
  </r>
  <r>
    <x v="17"/>
    <x v="17"/>
    <x v="17"/>
    <x v="17"/>
    <x v="13"/>
    <x v="17"/>
    <x v="13"/>
    <x v="17"/>
    <x v="17"/>
    <x v="17"/>
    <x v="17"/>
    <x v="16"/>
    <x v="7"/>
    <x v="17"/>
  </r>
  <r>
    <x v="18"/>
    <x v="18"/>
    <x v="18"/>
    <x v="18"/>
    <x v="14"/>
    <x v="18"/>
    <x v="14"/>
    <x v="15"/>
    <x v="18"/>
    <x v="15"/>
    <x v="18"/>
    <x v="17"/>
    <x v="2"/>
    <x v="18"/>
  </r>
  <r>
    <x v="19"/>
    <x v="19"/>
    <x v="19"/>
    <x v="19"/>
    <x v="15"/>
    <x v="19"/>
    <x v="15"/>
    <x v="18"/>
    <x v="19"/>
    <x v="18"/>
    <x v="19"/>
    <x v="12"/>
    <x v="2"/>
    <x v="19"/>
  </r>
  <r>
    <x v="20"/>
    <x v="20"/>
    <x v="20"/>
    <x v="20"/>
    <x v="11"/>
    <x v="20"/>
    <x v="11"/>
    <x v="19"/>
    <x v="20"/>
    <x v="19"/>
    <x v="20"/>
    <x v="18"/>
    <x v="2"/>
    <x v="20"/>
  </r>
  <r>
    <x v="21"/>
    <x v="21"/>
    <x v="21"/>
    <x v="21"/>
    <x v="16"/>
    <x v="21"/>
    <x v="16"/>
    <x v="20"/>
    <x v="21"/>
    <x v="20"/>
    <x v="21"/>
    <x v="19"/>
    <x v="2"/>
    <x v="21"/>
  </r>
  <r>
    <x v="22"/>
    <x v="22"/>
    <x v="22"/>
    <x v="22"/>
    <x v="14"/>
    <x v="22"/>
    <x v="14"/>
    <x v="21"/>
    <x v="10"/>
    <x v="21"/>
    <x v="10"/>
    <x v="12"/>
    <x v="2"/>
    <x v="22"/>
  </r>
  <r>
    <x v="23"/>
    <x v="23"/>
    <x v="23"/>
    <x v="23"/>
    <x v="11"/>
    <x v="23"/>
    <x v="11"/>
    <x v="22"/>
    <x v="17"/>
    <x v="22"/>
    <x v="17"/>
    <x v="20"/>
    <x v="2"/>
    <x v="23"/>
  </r>
  <r>
    <x v="24"/>
    <x v="24"/>
    <x v="24"/>
    <x v="23"/>
    <x v="17"/>
    <x v="23"/>
    <x v="17"/>
    <x v="23"/>
    <x v="16"/>
    <x v="7"/>
    <x v="16"/>
    <x v="3"/>
    <x v="2"/>
    <x v="19"/>
  </r>
  <r>
    <x v="25"/>
    <x v="25"/>
    <x v="25"/>
    <x v="24"/>
    <x v="12"/>
    <x v="24"/>
    <x v="12"/>
    <x v="24"/>
    <x v="22"/>
    <x v="23"/>
    <x v="22"/>
    <x v="21"/>
    <x v="2"/>
    <x v="24"/>
  </r>
  <r>
    <x v="26"/>
    <x v="26"/>
    <x v="26"/>
    <x v="25"/>
    <x v="11"/>
    <x v="25"/>
    <x v="11"/>
    <x v="25"/>
    <x v="23"/>
    <x v="19"/>
    <x v="23"/>
    <x v="22"/>
    <x v="2"/>
    <x v="25"/>
  </r>
  <r>
    <x v="27"/>
    <x v="27"/>
    <x v="27"/>
    <x v="26"/>
    <x v="6"/>
    <x v="26"/>
    <x v="6"/>
    <x v="26"/>
    <x v="24"/>
    <x v="24"/>
    <x v="24"/>
    <x v="7"/>
    <x v="2"/>
    <x v="13"/>
  </r>
  <r>
    <x v="28"/>
    <x v="28"/>
    <x v="28"/>
    <x v="27"/>
    <x v="13"/>
    <x v="27"/>
    <x v="13"/>
    <x v="27"/>
    <x v="20"/>
    <x v="25"/>
    <x v="20"/>
    <x v="12"/>
    <x v="2"/>
    <x v="21"/>
  </r>
  <r>
    <x v="29"/>
    <x v="29"/>
    <x v="29"/>
    <x v="28"/>
    <x v="13"/>
    <x v="28"/>
    <x v="13"/>
    <x v="28"/>
    <x v="25"/>
    <x v="26"/>
    <x v="25"/>
    <x v="23"/>
    <x v="2"/>
    <x v="21"/>
  </r>
  <r>
    <x v="30"/>
    <x v="30"/>
    <x v="30"/>
    <x v="29"/>
    <x v="18"/>
    <x v="29"/>
    <x v="18"/>
    <x v="29"/>
    <x v="26"/>
    <x v="27"/>
    <x v="26"/>
    <x v="24"/>
    <x v="2"/>
    <x v="26"/>
  </r>
  <r>
    <x v="31"/>
    <x v="31"/>
    <x v="31"/>
    <x v="30"/>
    <x v="19"/>
    <x v="30"/>
    <x v="19"/>
    <x v="30"/>
    <x v="13"/>
    <x v="28"/>
    <x v="13"/>
    <x v="25"/>
    <x v="2"/>
    <x v="27"/>
  </r>
  <r>
    <x v="32"/>
    <x v="32"/>
    <x v="32"/>
    <x v="31"/>
    <x v="17"/>
    <x v="31"/>
    <x v="17"/>
    <x v="31"/>
    <x v="27"/>
    <x v="29"/>
    <x v="27"/>
    <x v="20"/>
    <x v="2"/>
    <x v="27"/>
  </r>
  <r>
    <x v="33"/>
    <x v="33"/>
    <x v="33"/>
    <x v="32"/>
    <x v="13"/>
    <x v="32"/>
    <x v="13"/>
    <x v="32"/>
    <x v="22"/>
    <x v="30"/>
    <x v="22"/>
    <x v="12"/>
    <x v="2"/>
    <x v="28"/>
  </r>
  <r>
    <x v="34"/>
    <x v="34"/>
    <x v="34"/>
    <x v="33"/>
    <x v="17"/>
    <x v="28"/>
    <x v="17"/>
    <x v="33"/>
    <x v="24"/>
    <x v="18"/>
    <x v="24"/>
    <x v="26"/>
    <x v="2"/>
    <x v="19"/>
  </r>
  <r>
    <x v="35"/>
    <x v="35"/>
    <x v="35"/>
    <x v="24"/>
    <x v="13"/>
    <x v="24"/>
    <x v="13"/>
    <x v="34"/>
    <x v="20"/>
    <x v="31"/>
    <x v="20"/>
    <x v="20"/>
    <x v="2"/>
    <x v="29"/>
  </r>
  <r>
    <x v="36"/>
    <x v="36"/>
    <x v="36"/>
    <x v="34"/>
    <x v="17"/>
    <x v="33"/>
    <x v="17"/>
    <x v="35"/>
    <x v="18"/>
    <x v="32"/>
    <x v="18"/>
    <x v="27"/>
    <x v="2"/>
    <x v="26"/>
  </r>
  <r>
    <x v="37"/>
    <x v="37"/>
    <x v="37"/>
    <x v="35"/>
    <x v="20"/>
    <x v="34"/>
    <x v="20"/>
    <x v="36"/>
    <x v="28"/>
    <x v="29"/>
    <x v="28"/>
    <x v="28"/>
    <x v="2"/>
    <x v="30"/>
  </r>
  <r>
    <x v="38"/>
    <x v="38"/>
    <x v="38"/>
    <x v="36"/>
    <x v="21"/>
    <x v="35"/>
    <x v="21"/>
    <x v="37"/>
    <x v="29"/>
    <x v="33"/>
    <x v="29"/>
    <x v="29"/>
    <x v="8"/>
    <x v="31"/>
  </r>
  <r>
    <x v="39"/>
    <x v="39"/>
    <x v="39"/>
    <x v="37"/>
    <x v="13"/>
    <x v="36"/>
    <x v="13"/>
    <x v="38"/>
    <x v="17"/>
    <x v="34"/>
    <x v="17"/>
    <x v="30"/>
    <x v="2"/>
    <x v="31"/>
  </r>
  <r>
    <x v="40"/>
    <x v="40"/>
    <x v="40"/>
    <x v="38"/>
    <x v="6"/>
    <x v="37"/>
    <x v="6"/>
    <x v="39"/>
    <x v="30"/>
    <x v="35"/>
    <x v="30"/>
    <x v="31"/>
    <x v="2"/>
    <x v="32"/>
  </r>
  <r>
    <x v="41"/>
    <x v="41"/>
    <x v="41"/>
    <x v="39"/>
    <x v="21"/>
    <x v="26"/>
    <x v="21"/>
    <x v="40"/>
    <x v="29"/>
    <x v="24"/>
    <x v="29"/>
    <x v="32"/>
    <x v="8"/>
    <x v="33"/>
  </r>
  <r>
    <x v="42"/>
    <x v="42"/>
    <x v="42"/>
    <x v="40"/>
    <x v="11"/>
    <x v="38"/>
    <x v="11"/>
    <x v="41"/>
    <x v="25"/>
    <x v="36"/>
    <x v="25"/>
    <x v="12"/>
    <x v="2"/>
    <x v="34"/>
  </r>
  <r>
    <x v="43"/>
    <x v="43"/>
    <x v="43"/>
    <x v="41"/>
    <x v="22"/>
    <x v="15"/>
    <x v="22"/>
    <x v="42"/>
    <x v="25"/>
    <x v="37"/>
    <x v="25"/>
    <x v="33"/>
    <x v="2"/>
    <x v="33"/>
  </r>
  <r>
    <x v="44"/>
    <x v="44"/>
    <x v="44"/>
    <x v="42"/>
    <x v="15"/>
    <x v="27"/>
    <x v="15"/>
    <x v="43"/>
    <x v="19"/>
    <x v="38"/>
    <x v="19"/>
    <x v="27"/>
    <x v="8"/>
    <x v="35"/>
  </r>
  <r>
    <x v="45"/>
    <x v="45"/>
    <x v="45"/>
    <x v="43"/>
    <x v="13"/>
    <x v="35"/>
    <x v="13"/>
    <x v="44"/>
    <x v="25"/>
    <x v="39"/>
    <x v="25"/>
    <x v="34"/>
    <x v="2"/>
    <x v="31"/>
  </r>
  <r>
    <x v="46"/>
    <x v="46"/>
    <x v="46"/>
    <x v="44"/>
    <x v="16"/>
    <x v="39"/>
    <x v="16"/>
    <x v="45"/>
    <x v="26"/>
    <x v="40"/>
    <x v="26"/>
    <x v="35"/>
    <x v="2"/>
    <x v="36"/>
  </r>
  <r>
    <x v="47"/>
    <x v="47"/>
    <x v="47"/>
    <x v="45"/>
    <x v="22"/>
    <x v="32"/>
    <x v="22"/>
    <x v="46"/>
    <x v="13"/>
    <x v="41"/>
    <x v="13"/>
    <x v="36"/>
    <x v="2"/>
    <x v="37"/>
  </r>
  <r>
    <x v="48"/>
    <x v="48"/>
    <x v="48"/>
    <x v="46"/>
    <x v="11"/>
    <x v="40"/>
    <x v="11"/>
    <x v="47"/>
    <x v="16"/>
    <x v="42"/>
    <x v="16"/>
    <x v="12"/>
    <x v="9"/>
    <x v="35"/>
  </r>
  <r>
    <x v="49"/>
    <x v="49"/>
    <x v="49"/>
    <x v="47"/>
    <x v="15"/>
    <x v="41"/>
    <x v="15"/>
    <x v="45"/>
    <x v="19"/>
    <x v="40"/>
    <x v="19"/>
    <x v="37"/>
    <x v="2"/>
    <x v="38"/>
  </r>
  <r>
    <x v="50"/>
    <x v="50"/>
    <x v="50"/>
    <x v="48"/>
    <x v="11"/>
    <x v="42"/>
    <x v="11"/>
    <x v="48"/>
    <x v="20"/>
    <x v="42"/>
    <x v="20"/>
    <x v="38"/>
    <x v="2"/>
    <x v="38"/>
  </r>
  <r>
    <x v="51"/>
    <x v="51"/>
    <x v="51"/>
    <x v="49"/>
    <x v="17"/>
    <x v="43"/>
    <x v="17"/>
    <x v="49"/>
    <x v="15"/>
    <x v="23"/>
    <x v="15"/>
    <x v="39"/>
    <x v="2"/>
    <x v="38"/>
  </r>
  <r>
    <x v="52"/>
    <x v="52"/>
    <x v="52"/>
    <x v="50"/>
    <x v="15"/>
    <x v="44"/>
    <x v="15"/>
    <x v="50"/>
    <x v="19"/>
    <x v="43"/>
    <x v="19"/>
    <x v="40"/>
    <x v="2"/>
    <x v="39"/>
  </r>
  <r>
    <x v="53"/>
    <x v="53"/>
    <x v="53"/>
    <x v="51"/>
    <x v="13"/>
    <x v="45"/>
    <x v="13"/>
    <x v="51"/>
    <x v="22"/>
    <x v="44"/>
    <x v="22"/>
    <x v="29"/>
    <x v="2"/>
    <x v="39"/>
  </r>
  <r>
    <x v="54"/>
    <x v="54"/>
    <x v="54"/>
    <x v="52"/>
    <x v="15"/>
    <x v="46"/>
    <x v="15"/>
    <x v="52"/>
    <x v="19"/>
    <x v="45"/>
    <x v="19"/>
    <x v="41"/>
    <x v="2"/>
    <x v="39"/>
  </r>
  <r>
    <x v="55"/>
    <x v="55"/>
    <x v="55"/>
    <x v="53"/>
    <x v="16"/>
    <x v="29"/>
    <x v="16"/>
    <x v="53"/>
    <x v="21"/>
    <x v="32"/>
    <x v="21"/>
    <x v="42"/>
    <x v="2"/>
    <x v="39"/>
  </r>
  <r>
    <x v="56"/>
    <x v="56"/>
    <x v="56"/>
    <x v="54"/>
    <x v="15"/>
    <x v="47"/>
    <x v="15"/>
    <x v="54"/>
    <x v="19"/>
    <x v="46"/>
    <x v="19"/>
    <x v="43"/>
    <x v="2"/>
    <x v="38"/>
  </r>
  <r>
    <x v="57"/>
    <x v="57"/>
    <x v="57"/>
    <x v="55"/>
    <x v="6"/>
    <x v="48"/>
    <x v="6"/>
    <x v="55"/>
    <x v="16"/>
    <x v="47"/>
    <x v="16"/>
    <x v="12"/>
    <x v="2"/>
    <x v="35"/>
  </r>
  <r>
    <x v="58"/>
    <x v="58"/>
    <x v="58"/>
    <x v="56"/>
    <x v="11"/>
    <x v="49"/>
    <x v="11"/>
    <x v="56"/>
    <x v="20"/>
    <x v="47"/>
    <x v="20"/>
    <x v="44"/>
    <x v="2"/>
    <x v="40"/>
  </r>
  <r>
    <x v="59"/>
    <x v="59"/>
    <x v="59"/>
    <x v="57"/>
    <x v="11"/>
    <x v="50"/>
    <x v="11"/>
    <x v="57"/>
    <x v="23"/>
    <x v="48"/>
    <x v="23"/>
    <x v="45"/>
    <x v="10"/>
    <x v="40"/>
  </r>
  <r>
    <x v="60"/>
    <x v="60"/>
    <x v="60"/>
    <x v="58"/>
    <x v="12"/>
    <x v="22"/>
    <x v="12"/>
    <x v="58"/>
    <x v="13"/>
    <x v="21"/>
    <x v="13"/>
    <x v="46"/>
    <x v="11"/>
    <x v="40"/>
  </r>
  <r>
    <x v="61"/>
    <x v="61"/>
    <x v="61"/>
    <x v="59"/>
    <x v="16"/>
    <x v="51"/>
    <x v="16"/>
    <x v="59"/>
    <x v="21"/>
    <x v="49"/>
    <x v="21"/>
    <x v="47"/>
    <x v="2"/>
    <x v="41"/>
  </r>
  <r>
    <x v="62"/>
    <x v="62"/>
    <x v="62"/>
    <x v="60"/>
    <x v="16"/>
    <x v="52"/>
    <x v="16"/>
    <x v="60"/>
    <x v="26"/>
    <x v="36"/>
    <x v="26"/>
    <x v="12"/>
    <x v="2"/>
    <x v="41"/>
  </r>
  <r>
    <x v="63"/>
    <x v="63"/>
    <x v="63"/>
    <x v="61"/>
    <x v="15"/>
    <x v="53"/>
    <x v="15"/>
    <x v="61"/>
    <x v="19"/>
    <x v="50"/>
    <x v="19"/>
    <x v="12"/>
    <x v="2"/>
    <x v="40"/>
  </r>
  <r>
    <x v="64"/>
    <x v="64"/>
    <x v="64"/>
    <x v="46"/>
    <x v="21"/>
    <x v="40"/>
    <x v="21"/>
    <x v="62"/>
    <x v="29"/>
    <x v="51"/>
    <x v="29"/>
    <x v="48"/>
    <x v="8"/>
    <x v="41"/>
  </r>
  <r>
    <x v="65"/>
    <x v="65"/>
    <x v="65"/>
    <x v="52"/>
    <x v="21"/>
    <x v="46"/>
    <x v="21"/>
    <x v="52"/>
    <x v="29"/>
    <x v="45"/>
    <x v="29"/>
    <x v="49"/>
    <x v="8"/>
    <x v="40"/>
  </r>
  <r>
    <x v="66"/>
    <x v="66"/>
    <x v="66"/>
    <x v="62"/>
    <x v="15"/>
    <x v="39"/>
    <x v="15"/>
    <x v="27"/>
    <x v="19"/>
    <x v="25"/>
    <x v="19"/>
    <x v="12"/>
    <x v="2"/>
    <x v="39"/>
  </r>
  <r>
    <x v="67"/>
    <x v="67"/>
    <x v="67"/>
    <x v="63"/>
    <x v="15"/>
    <x v="54"/>
    <x v="15"/>
    <x v="62"/>
    <x v="21"/>
    <x v="51"/>
    <x v="21"/>
    <x v="50"/>
    <x v="2"/>
    <x v="42"/>
  </r>
  <r>
    <x v="68"/>
    <x v="68"/>
    <x v="68"/>
    <x v="64"/>
    <x v="15"/>
    <x v="55"/>
    <x v="15"/>
    <x v="63"/>
    <x v="19"/>
    <x v="52"/>
    <x v="19"/>
    <x v="12"/>
    <x v="2"/>
    <x v="42"/>
  </r>
  <r>
    <x v="69"/>
    <x v="69"/>
    <x v="69"/>
    <x v="65"/>
    <x v="15"/>
    <x v="42"/>
    <x v="15"/>
    <x v="64"/>
    <x v="19"/>
    <x v="45"/>
    <x v="19"/>
    <x v="51"/>
    <x v="8"/>
    <x v="42"/>
  </r>
  <r>
    <x v="70"/>
    <x v="70"/>
    <x v="70"/>
    <x v="66"/>
    <x v="22"/>
    <x v="56"/>
    <x v="22"/>
    <x v="65"/>
    <x v="30"/>
    <x v="53"/>
    <x v="30"/>
    <x v="17"/>
    <x v="2"/>
    <x v="42"/>
  </r>
  <r>
    <x v="71"/>
    <x v="71"/>
    <x v="71"/>
    <x v="67"/>
    <x v="11"/>
    <x v="52"/>
    <x v="11"/>
    <x v="66"/>
    <x v="23"/>
    <x v="54"/>
    <x v="23"/>
    <x v="52"/>
    <x v="2"/>
    <x v="41"/>
  </r>
  <r>
    <x v="72"/>
    <x v="72"/>
    <x v="72"/>
    <x v="68"/>
    <x v="15"/>
    <x v="39"/>
    <x v="15"/>
    <x v="67"/>
    <x v="19"/>
    <x v="38"/>
    <x v="19"/>
    <x v="53"/>
    <x v="2"/>
    <x v="42"/>
  </r>
  <r>
    <x v="73"/>
    <x v="73"/>
    <x v="73"/>
    <x v="61"/>
    <x v="16"/>
    <x v="53"/>
    <x v="16"/>
    <x v="68"/>
    <x v="21"/>
    <x v="41"/>
    <x v="21"/>
    <x v="12"/>
    <x v="2"/>
    <x v="43"/>
  </r>
  <r>
    <x v="74"/>
    <x v="74"/>
    <x v="74"/>
    <x v="69"/>
    <x v="15"/>
    <x v="57"/>
    <x v="15"/>
    <x v="69"/>
    <x v="21"/>
    <x v="43"/>
    <x v="21"/>
    <x v="54"/>
    <x v="2"/>
    <x v="43"/>
  </r>
  <r>
    <x v="75"/>
    <x v="75"/>
    <x v="75"/>
    <x v="70"/>
    <x v="16"/>
    <x v="46"/>
    <x v="16"/>
    <x v="64"/>
    <x v="21"/>
    <x v="45"/>
    <x v="21"/>
    <x v="27"/>
    <x v="12"/>
    <x v="43"/>
  </r>
  <r>
    <x v="76"/>
    <x v="76"/>
    <x v="76"/>
    <x v="71"/>
    <x v="22"/>
    <x v="58"/>
    <x v="22"/>
    <x v="70"/>
    <x v="17"/>
    <x v="55"/>
    <x v="17"/>
    <x v="55"/>
    <x v="2"/>
    <x v="42"/>
  </r>
  <r>
    <x v="77"/>
    <x v="77"/>
    <x v="77"/>
    <x v="72"/>
    <x v="21"/>
    <x v="59"/>
    <x v="21"/>
    <x v="69"/>
    <x v="29"/>
    <x v="43"/>
    <x v="29"/>
    <x v="56"/>
    <x v="8"/>
    <x v="44"/>
  </r>
  <r>
    <x v="78"/>
    <x v="78"/>
    <x v="78"/>
    <x v="73"/>
    <x v="21"/>
    <x v="60"/>
    <x v="21"/>
    <x v="71"/>
    <x v="29"/>
    <x v="56"/>
    <x v="29"/>
    <x v="12"/>
    <x v="8"/>
    <x v="44"/>
  </r>
  <r>
    <x v="79"/>
    <x v="79"/>
    <x v="79"/>
    <x v="62"/>
    <x v="21"/>
    <x v="39"/>
    <x v="21"/>
    <x v="72"/>
    <x v="29"/>
    <x v="39"/>
    <x v="29"/>
    <x v="57"/>
    <x v="8"/>
    <x v="43"/>
  </r>
  <r>
    <x v="80"/>
    <x v="80"/>
    <x v="80"/>
    <x v="52"/>
    <x v="21"/>
    <x v="46"/>
    <x v="21"/>
    <x v="73"/>
    <x v="29"/>
    <x v="57"/>
    <x v="29"/>
    <x v="58"/>
    <x v="8"/>
    <x v="44"/>
  </r>
  <r>
    <x v="81"/>
    <x v="81"/>
    <x v="81"/>
    <x v="74"/>
    <x v="15"/>
    <x v="61"/>
    <x v="15"/>
    <x v="74"/>
    <x v="26"/>
    <x v="58"/>
    <x v="26"/>
    <x v="12"/>
    <x v="2"/>
    <x v="33"/>
  </r>
  <r>
    <x v="82"/>
    <x v="82"/>
    <x v="82"/>
    <x v="75"/>
    <x v="15"/>
    <x v="62"/>
    <x v="15"/>
    <x v="75"/>
    <x v="19"/>
    <x v="59"/>
    <x v="19"/>
    <x v="59"/>
    <x v="2"/>
    <x v="44"/>
  </r>
  <r>
    <x v="83"/>
    <x v="83"/>
    <x v="83"/>
    <x v="76"/>
    <x v="16"/>
    <x v="50"/>
    <x v="16"/>
    <x v="76"/>
    <x v="23"/>
    <x v="33"/>
    <x v="23"/>
    <x v="60"/>
    <x v="2"/>
    <x v="44"/>
  </r>
  <r>
    <x v="84"/>
    <x v="84"/>
    <x v="84"/>
    <x v="77"/>
    <x v="21"/>
    <x v="63"/>
    <x v="21"/>
    <x v="77"/>
    <x v="29"/>
    <x v="40"/>
    <x v="29"/>
    <x v="12"/>
    <x v="8"/>
    <x v="44"/>
  </r>
  <r>
    <x v="85"/>
    <x v="85"/>
    <x v="85"/>
    <x v="78"/>
    <x v="15"/>
    <x v="55"/>
    <x v="15"/>
    <x v="78"/>
    <x v="26"/>
    <x v="60"/>
    <x v="26"/>
    <x v="12"/>
    <x v="2"/>
    <x v="44"/>
  </r>
  <r>
    <x v="86"/>
    <x v="86"/>
    <x v="86"/>
    <x v="63"/>
    <x v="16"/>
    <x v="54"/>
    <x v="16"/>
    <x v="79"/>
    <x v="21"/>
    <x v="43"/>
    <x v="21"/>
    <x v="61"/>
    <x v="12"/>
    <x v="44"/>
  </r>
  <r>
    <x v="87"/>
    <x v="87"/>
    <x v="87"/>
    <x v="79"/>
    <x v="21"/>
    <x v="64"/>
    <x v="21"/>
    <x v="80"/>
    <x v="29"/>
    <x v="61"/>
    <x v="29"/>
    <x v="62"/>
    <x v="8"/>
    <x v="45"/>
  </r>
  <r>
    <x v="88"/>
    <x v="88"/>
    <x v="88"/>
    <x v="80"/>
    <x v="21"/>
    <x v="44"/>
    <x v="21"/>
    <x v="81"/>
    <x v="29"/>
    <x v="43"/>
    <x v="29"/>
    <x v="49"/>
    <x v="8"/>
    <x v="45"/>
  </r>
  <r>
    <x v="89"/>
    <x v="89"/>
    <x v="89"/>
    <x v="81"/>
    <x v="15"/>
    <x v="64"/>
    <x v="15"/>
    <x v="82"/>
    <x v="19"/>
    <x v="62"/>
    <x v="19"/>
    <x v="63"/>
    <x v="2"/>
    <x v="45"/>
  </r>
  <r>
    <x v="90"/>
    <x v="90"/>
    <x v="90"/>
    <x v="82"/>
    <x v="15"/>
    <x v="54"/>
    <x v="15"/>
    <x v="73"/>
    <x v="19"/>
    <x v="57"/>
    <x v="19"/>
    <x v="12"/>
    <x v="2"/>
    <x v="45"/>
  </r>
  <r>
    <x v="91"/>
    <x v="91"/>
    <x v="91"/>
    <x v="75"/>
    <x v="15"/>
    <x v="62"/>
    <x v="15"/>
    <x v="83"/>
    <x v="19"/>
    <x v="63"/>
    <x v="19"/>
    <x v="12"/>
    <x v="2"/>
    <x v="45"/>
  </r>
  <r>
    <x v="92"/>
    <x v="92"/>
    <x v="92"/>
    <x v="83"/>
    <x v="21"/>
    <x v="65"/>
    <x v="21"/>
    <x v="84"/>
    <x v="29"/>
    <x v="64"/>
    <x v="29"/>
    <x v="12"/>
    <x v="8"/>
    <x v="45"/>
  </r>
  <r>
    <x v="93"/>
    <x v="93"/>
    <x v="93"/>
    <x v="52"/>
    <x v="21"/>
    <x v="46"/>
    <x v="21"/>
    <x v="85"/>
    <x v="29"/>
    <x v="61"/>
    <x v="29"/>
    <x v="64"/>
    <x v="8"/>
    <x v="46"/>
  </r>
  <r>
    <x v="94"/>
    <x v="94"/>
    <x v="94"/>
    <x v="84"/>
    <x v="15"/>
    <x v="66"/>
    <x v="15"/>
    <x v="86"/>
    <x v="19"/>
    <x v="65"/>
    <x v="19"/>
    <x v="65"/>
    <x v="8"/>
    <x v="45"/>
  </r>
  <r>
    <x v="95"/>
    <x v="95"/>
    <x v="95"/>
    <x v="85"/>
    <x v="15"/>
    <x v="67"/>
    <x v="15"/>
    <x v="67"/>
    <x v="19"/>
    <x v="38"/>
    <x v="19"/>
    <x v="12"/>
    <x v="2"/>
    <x v="46"/>
  </r>
  <r>
    <x v="96"/>
    <x v="96"/>
    <x v="96"/>
    <x v="86"/>
    <x v="12"/>
    <x v="68"/>
    <x v="12"/>
    <x v="87"/>
    <x v="22"/>
    <x v="27"/>
    <x v="22"/>
    <x v="55"/>
    <x v="2"/>
    <x v="46"/>
  </r>
  <r>
    <x v="97"/>
    <x v="97"/>
    <x v="97"/>
    <x v="87"/>
    <x v="21"/>
    <x v="69"/>
    <x v="21"/>
    <x v="88"/>
    <x v="29"/>
    <x v="64"/>
    <x v="29"/>
    <x v="66"/>
    <x v="8"/>
    <x v="47"/>
  </r>
  <r>
    <x v="98"/>
    <x v="98"/>
    <x v="98"/>
    <x v="27"/>
    <x v="15"/>
    <x v="27"/>
    <x v="15"/>
    <x v="39"/>
    <x v="26"/>
    <x v="35"/>
    <x v="26"/>
    <x v="67"/>
    <x v="2"/>
    <x v="46"/>
  </r>
  <r>
    <x v="99"/>
    <x v="99"/>
    <x v="99"/>
    <x v="74"/>
    <x v="15"/>
    <x v="61"/>
    <x v="15"/>
    <x v="89"/>
    <x v="19"/>
    <x v="52"/>
    <x v="19"/>
    <x v="68"/>
    <x v="2"/>
    <x v="47"/>
  </r>
  <r>
    <x v="100"/>
    <x v="100"/>
    <x v="100"/>
    <x v="88"/>
    <x v="16"/>
    <x v="70"/>
    <x v="16"/>
    <x v="82"/>
    <x v="21"/>
    <x v="62"/>
    <x v="21"/>
    <x v="69"/>
    <x v="2"/>
    <x v="47"/>
  </r>
  <r>
    <x v="101"/>
    <x v="101"/>
    <x v="101"/>
    <x v="82"/>
    <x v="16"/>
    <x v="54"/>
    <x v="16"/>
    <x v="90"/>
    <x v="21"/>
    <x v="61"/>
    <x v="21"/>
    <x v="70"/>
    <x v="2"/>
    <x v="45"/>
  </r>
  <r>
    <x v="102"/>
    <x v="102"/>
    <x v="102"/>
    <x v="89"/>
    <x v="15"/>
    <x v="63"/>
    <x v="15"/>
    <x v="91"/>
    <x v="19"/>
    <x v="52"/>
    <x v="19"/>
    <x v="71"/>
    <x v="2"/>
    <x v="46"/>
  </r>
  <r>
    <x v="103"/>
    <x v="103"/>
    <x v="103"/>
    <x v="90"/>
    <x v="15"/>
    <x v="71"/>
    <x v="15"/>
    <x v="92"/>
    <x v="19"/>
    <x v="23"/>
    <x v="19"/>
    <x v="72"/>
    <x v="2"/>
    <x v="47"/>
  </r>
  <r>
    <x v="104"/>
    <x v="104"/>
    <x v="104"/>
    <x v="91"/>
    <x v="21"/>
    <x v="72"/>
    <x v="21"/>
    <x v="93"/>
    <x v="29"/>
    <x v="64"/>
    <x v="29"/>
    <x v="73"/>
    <x v="8"/>
    <x v="47"/>
  </r>
  <r>
    <x v="105"/>
    <x v="105"/>
    <x v="105"/>
    <x v="81"/>
    <x v="15"/>
    <x v="64"/>
    <x v="15"/>
    <x v="94"/>
    <x v="19"/>
    <x v="62"/>
    <x v="19"/>
    <x v="74"/>
    <x v="2"/>
    <x v="47"/>
  </r>
  <r>
    <x v="106"/>
    <x v="106"/>
    <x v="106"/>
    <x v="88"/>
    <x v="21"/>
    <x v="70"/>
    <x v="21"/>
    <x v="71"/>
    <x v="29"/>
    <x v="56"/>
    <x v="29"/>
    <x v="12"/>
    <x v="8"/>
    <x v="48"/>
  </r>
  <r>
    <x v="107"/>
    <x v="107"/>
    <x v="107"/>
    <x v="92"/>
    <x v="15"/>
    <x v="44"/>
    <x v="15"/>
    <x v="81"/>
    <x v="21"/>
    <x v="43"/>
    <x v="21"/>
    <x v="12"/>
    <x v="2"/>
    <x v="48"/>
  </r>
  <r>
    <x v="108"/>
    <x v="108"/>
    <x v="108"/>
    <x v="93"/>
    <x v="21"/>
    <x v="73"/>
    <x v="21"/>
    <x v="95"/>
    <x v="29"/>
    <x v="66"/>
    <x v="29"/>
    <x v="75"/>
    <x v="8"/>
    <x v="48"/>
  </r>
  <r>
    <x v="109"/>
    <x v="109"/>
    <x v="109"/>
    <x v="94"/>
    <x v="15"/>
    <x v="69"/>
    <x v="15"/>
    <x v="93"/>
    <x v="19"/>
    <x v="64"/>
    <x v="19"/>
    <x v="76"/>
    <x v="2"/>
    <x v="48"/>
  </r>
  <r>
    <x v="110"/>
    <x v="110"/>
    <x v="110"/>
    <x v="95"/>
    <x v="21"/>
    <x v="69"/>
    <x v="21"/>
    <x v="96"/>
    <x v="29"/>
    <x v="67"/>
    <x v="29"/>
    <x v="77"/>
    <x v="8"/>
    <x v="48"/>
  </r>
  <r>
    <x v="111"/>
    <x v="111"/>
    <x v="111"/>
    <x v="96"/>
    <x v="21"/>
    <x v="59"/>
    <x v="21"/>
    <x v="97"/>
    <x v="29"/>
    <x v="68"/>
    <x v="29"/>
    <x v="12"/>
    <x v="8"/>
    <x v="48"/>
  </r>
  <r>
    <x v="112"/>
    <x v="112"/>
    <x v="112"/>
    <x v="92"/>
    <x v="16"/>
    <x v="44"/>
    <x v="16"/>
    <x v="98"/>
    <x v="21"/>
    <x v="45"/>
    <x v="21"/>
    <x v="78"/>
    <x v="2"/>
    <x v="48"/>
  </r>
  <r>
    <x v="113"/>
    <x v="113"/>
    <x v="113"/>
    <x v="97"/>
    <x v="16"/>
    <x v="74"/>
    <x v="16"/>
    <x v="99"/>
    <x v="26"/>
    <x v="56"/>
    <x v="26"/>
    <x v="79"/>
    <x v="2"/>
    <x v="48"/>
  </r>
  <r>
    <x v="114"/>
    <x v="114"/>
    <x v="114"/>
    <x v="98"/>
    <x v="15"/>
    <x v="70"/>
    <x v="15"/>
    <x v="99"/>
    <x v="21"/>
    <x v="56"/>
    <x v="21"/>
    <x v="80"/>
    <x v="2"/>
    <x v="48"/>
  </r>
  <r>
    <x v="115"/>
    <x v="115"/>
    <x v="115"/>
    <x v="88"/>
    <x v="21"/>
    <x v="70"/>
    <x v="21"/>
    <x v="97"/>
    <x v="29"/>
    <x v="68"/>
    <x v="29"/>
    <x v="81"/>
    <x v="8"/>
    <x v="48"/>
  </r>
  <r>
    <x v="116"/>
    <x v="116"/>
    <x v="116"/>
    <x v="99"/>
    <x v="21"/>
    <x v="59"/>
    <x v="21"/>
    <x v="69"/>
    <x v="29"/>
    <x v="43"/>
    <x v="29"/>
    <x v="82"/>
    <x v="8"/>
    <x v="48"/>
  </r>
  <r>
    <x v="117"/>
    <x v="117"/>
    <x v="117"/>
    <x v="100"/>
    <x v="18"/>
    <x v="37"/>
    <x v="18"/>
    <x v="57"/>
    <x v="26"/>
    <x v="48"/>
    <x v="26"/>
    <x v="12"/>
    <x v="2"/>
    <x v="48"/>
  </r>
  <r>
    <x v="118"/>
    <x v="118"/>
    <x v="118"/>
    <x v="73"/>
    <x v="15"/>
    <x v="60"/>
    <x v="15"/>
    <x v="100"/>
    <x v="19"/>
    <x v="68"/>
    <x v="19"/>
    <x v="83"/>
    <x v="2"/>
    <x v="49"/>
  </r>
  <r>
    <x v="119"/>
    <x v="119"/>
    <x v="119"/>
    <x v="101"/>
    <x v="21"/>
    <x v="75"/>
    <x v="21"/>
    <x v="101"/>
    <x v="29"/>
    <x v="69"/>
    <x v="29"/>
    <x v="12"/>
    <x v="8"/>
    <x v="49"/>
  </r>
  <r>
    <x v="120"/>
    <x v="120"/>
    <x v="120"/>
    <x v="102"/>
    <x v="21"/>
    <x v="46"/>
    <x v="21"/>
    <x v="90"/>
    <x v="29"/>
    <x v="61"/>
    <x v="29"/>
    <x v="84"/>
    <x v="8"/>
    <x v="48"/>
  </r>
  <r>
    <x v="121"/>
    <x v="121"/>
    <x v="121"/>
    <x v="95"/>
    <x v="21"/>
    <x v="69"/>
    <x v="21"/>
    <x v="102"/>
    <x v="29"/>
    <x v="70"/>
    <x v="29"/>
    <x v="64"/>
    <x v="8"/>
    <x v="49"/>
  </r>
  <r>
    <x v="122"/>
    <x v="122"/>
    <x v="122"/>
    <x v="101"/>
    <x v="15"/>
    <x v="75"/>
    <x v="15"/>
    <x v="84"/>
    <x v="19"/>
    <x v="64"/>
    <x v="19"/>
    <x v="73"/>
    <x v="8"/>
    <x v="49"/>
  </r>
  <r>
    <x v="123"/>
    <x v="123"/>
    <x v="123"/>
    <x v="103"/>
    <x v="21"/>
    <x v="66"/>
    <x v="21"/>
    <x v="71"/>
    <x v="29"/>
    <x v="56"/>
    <x v="29"/>
    <x v="85"/>
    <x v="8"/>
    <x v="48"/>
  </r>
  <r>
    <x v="124"/>
    <x v="124"/>
    <x v="124"/>
    <x v="104"/>
    <x v="15"/>
    <x v="73"/>
    <x v="15"/>
    <x v="103"/>
    <x v="19"/>
    <x v="70"/>
    <x v="19"/>
    <x v="86"/>
    <x v="2"/>
    <x v="49"/>
  </r>
  <r>
    <x v="125"/>
    <x v="125"/>
    <x v="125"/>
    <x v="99"/>
    <x v="21"/>
    <x v="59"/>
    <x v="21"/>
    <x v="104"/>
    <x v="29"/>
    <x v="57"/>
    <x v="29"/>
    <x v="87"/>
    <x v="8"/>
    <x v="49"/>
  </r>
  <r>
    <x v="126"/>
    <x v="126"/>
    <x v="126"/>
    <x v="105"/>
    <x v="15"/>
    <x v="61"/>
    <x v="15"/>
    <x v="105"/>
    <x v="19"/>
    <x v="58"/>
    <x v="19"/>
    <x v="88"/>
    <x v="2"/>
    <x v="49"/>
  </r>
  <r>
    <x v="127"/>
    <x v="127"/>
    <x v="127"/>
    <x v="69"/>
    <x v="16"/>
    <x v="57"/>
    <x v="16"/>
    <x v="106"/>
    <x v="21"/>
    <x v="45"/>
    <x v="21"/>
    <x v="12"/>
    <x v="2"/>
    <x v="49"/>
  </r>
  <r>
    <x v="128"/>
    <x v="128"/>
    <x v="128"/>
    <x v="106"/>
    <x v="16"/>
    <x v="62"/>
    <x v="16"/>
    <x v="64"/>
    <x v="23"/>
    <x v="45"/>
    <x v="23"/>
    <x v="12"/>
    <x v="2"/>
    <x v="50"/>
  </r>
  <r>
    <x v="129"/>
    <x v="129"/>
    <x v="129"/>
    <x v="107"/>
    <x v="15"/>
    <x v="76"/>
    <x v="15"/>
    <x v="107"/>
    <x v="21"/>
    <x v="66"/>
    <x v="21"/>
    <x v="89"/>
    <x v="8"/>
    <x v="41"/>
  </r>
  <r>
    <x v="130"/>
    <x v="130"/>
    <x v="130"/>
    <x v="108"/>
    <x v="15"/>
    <x v="77"/>
    <x v="15"/>
    <x v="108"/>
    <x v="19"/>
    <x v="71"/>
    <x v="19"/>
    <x v="12"/>
    <x v="2"/>
    <x v="47"/>
  </r>
  <r>
    <x v="131"/>
    <x v="131"/>
    <x v="131"/>
    <x v="109"/>
    <x v="16"/>
    <x v="75"/>
    <x v="16"/>
    <x v="96"/>
    <x v="26"/>
    <x v="67"/>
    <x v="26"/>
    <x v="12"/>
    <x v="2"/>
    <x v="50"/>
  </r>
  <r>
    <x v="132"/>
    <x v="132"/>
    <x v="132"/>
    <x v="110"/>
    <x v="13"/>
    <x v="78"/>
    <x v="13"/>
    <x v="109"/>
    <x v="17"/>
    <x v="25"/>
    <x v="17"/>
    <x v="12"/>
    <x v="2"/>
    <x v="50"/>
  </r>
  <r>
    <x v="133"/>
    <x v="133"/>
    <x v="133"/>
    <x v="111"/>
    <x v="21"/>
    <x v="65"/>
    <x v="21"/>
    <x v="110"/>
    <x v="29"/>
    <x v="69"/>
    <x v="29"/>
    <x v="90"/>
    <x v="8"/>
    <x v="50"/>
  </r>
  <r>
    <x v="134"/>
    <x v="134"/>
    <x v="134"/>
    <x v="112"/>
    <x v="21"/>
    <x v="79"/>
    <x v="21"/>
    <x v="111"/>
    <x v="29"/>
    <x v="72"/>
    <x v="29"/>
    <x v="76"/>
    <x v="8"/>
    <x v="50"/>
  </r>
  <r>
    <x v="135"/>
    <x v="135"/>
    <x v="135"/>
    <x v="113"/>
    <x v="21"/>
    <x v="79"/>
    <x v="21"/>
    <x v="103"/>
    <x v="29"/>
    <x v="70"/>
    <x v="29"/>
    <x v="91"/>
    <x v="8"/>
    <x v="49"/>
  </r>
  <r>
    <x v="136"/>
    <x v="136"/>
    <x v="136"/>
    <x v="114"/>
    <x v="18"/>
    <x v="80"/>
    <x v="18"/>
    <x v="112"/>
    <x v="26"/>
    <x v="35"/>
    <x v="26"/>
    <x v="2"/>
    <x v="2"/>
    <x v="50"/>
  </r>
  <r>
    <x v="137"/>
    <x v="137"/>
    <x v="137"/>
    <x v="78"/>
    <x v="21"/>
    <x v="55"/>
    <x v="21"/>
    <x v="113"/>
    <x v="29"/>
    <x v="73"/>
    <x v="29"/>
    <x v="92"/>
    <x v="8"/>
    <x v="50"/>
  </r>
  <r>
    <x v="138"/>
    <x v="138"/>
    <x v="138"/>
    <x v="65"/>
    <x v="18"/>
    <x v="42"/>
    <x v="18"/>
    <x v="114"/>
    <x v="20"/>
    <x v="58"/>
    <x v="20"/>
    <x v="93"/>
    <x v="2"/>
    <x v="50"/>
  </r>
  <r>
    <x v="139"/>
    <x v="139"/>
    <x v="139"/>
    <x v="115"/>
    <x v="21"/>
    <x v="81"/>
    <x v="21"/>
    <x v="115"/>
    <x v="29"/>
    <x v="74"/>
    <x v="29"/>
    <x v="12"/>
    <x v="8"/>
    <x v="50"/>
  </r>
  <r>
    <x v="140"/>
    <x v="140"/>
    <x v="140"/>
    <x v="116"/>
    <x v="21"/>
    <x v="40"/>
    <x v="21"/>
    <x v="47"/>
    <x v="29"/>
    <x v="42"/>
    <x v="29"/>
    <x v="12"/>
    <x v="8"/>
    <x v="50"/>
  </r>
  <r>
    <x v="141"/>
    <x v="141"/>
    <x v="141"/>
    <x v="84"/>
    <x v="21"/>
    <x v="66"/>
    <x v="21"/>
    <x v="94"/>
    <x v="29"/>
    <x v="62"/>
    <x v="29"/>
    <x v="94"/>
    <x v="8"/>
    <x v="50"/>
  </r>
  <r>
    <x v="142"/>
    <x v="142"/>
    <x v="142"/>
    <x v="117"/>
    <x v="15"/>
    <x v="74"/>
    <x v="15"/>
    <x v="116"/>
    <x v="19"/>
    <x v="65"/>
    <x v="19"/>
    <x v="95"/>
    <x v="2"/>
    <x v="50"/>
  </r>
  <r>
    <x v="143"/>
    <x v="143"/>
    <x v="143"/>
    <x v="89"/>
    <x v="21"/>
    <x v="63"/>
    <x v="21"/>
    <x v="117"/>
    <x v="29"/>
    <x v="75"/>
    <x v="29"/>
    <x v="96"/>
    <x v="8"/>
    <x v="49"/>
  </r>
  <r>
    <x v="144"/>
    <x v="144"/>
    <x v="144"/>
    <x v="118"/>
    <x v="11"/>
    <x v="80"/>
    <x v="11"/>
    <x v="118"/>
    <x v="17"/>
    <x v="40"/>
    <x v="17"/>
    <x v="97"/>
    <x v="2"/>
    <x v="50"/>
  </r>
  <r>
    <x v="145"/>
    <x v="145"/>
    <x v="145"/>
    <x v="119"/>
    <x v="21"/>
    <x v="70"/>
    <x v="21"/>
    <x v="119"/>
    <x v="29"/>
    <x v="69"/>
    <x v="29"/>
    <x v="66"/>
    <x v="8"/>
    <x v="51"/>
  </r>
  <r>
    <x v="146"/>
    <x v="146"/>
    <x v="146"/>
    <x v="104"/>
    <x v="21"/>
    <x v="73"/>
    <x v="21"/>
    <x v="95"/>
    <x v="29"/>
    <x v="66"/>
    <x v="29"/>
    <x v="98"/>
    <x v="8"/>
    <x v="51"/>
  </r>
  <r>
    <x v="147"/>
    <x v="147"/>
    <x v="147"/>
    <x v="107"/>
    <x v="21"/>
    <x v="76"/>
    <x v="21"/>
    <x v="120"/>
    <x v="29"/>
    <x v="76"/>
    <x v="29"/>
    <x v="99"/>
    <x v="8"/>
    <x v="51"/>
  </r>
  <r>
    <x v="148"/>
    <x v="148"/>
    <x v="148"/>
    <x v="120"/>
    <x v="21"/>
    <x v="65"/>
    <x v="21"/>
    <x v="88"/>
    <x v="29"/>
    <x v="64"/>
    <x v="29"/>
    <x v="73"/>
    <x v="8"/>
    <x v="51"/>
  </r>
  <r>
    <x v="149"/>
    <x v="149"/>
    <x v="149"/>
    <x v="115"/>
    <x v="21"/>
    <x v="81"/>
    <x v="21"/>
    <x v="121"/>
    <x v="29"/>
    <x v="77"/>
    <x v="29"/>
    <x v="12"/>
    <x v="8"/>
    <x v="51"/>
  </r>
  <r>
    <x v="150"/>
    <x v="150"/>
    <x v="150"/>
    <x v="101"/>
    <x v="21"/>
    <x v="75"/>
    <x v="21"/>
    <x v="103"/>
    <x v="29"/>
    <x v="70"/>
    <x v="29"/>
    <x v="100"/>
    <x v="8"/>
    <x v="51"/>
  </r>
  <r>
    <x v="151"/>
    <x v="151"/>
    <x v="151"/>
    <x v="121"/>
    <x v="21"/>
    <x v="79"/>
    <x v="21"/>
    <x v="122"/>
    <x v="29"/>
    <x v="72"/>
    <x v="29"/>
    <x v="101"/>
    <x v="8"/>
    <x v="51"/>
  </r>
  <r>
    <x v="152"/>
    <x v="152"/>
    <x v="152"/>
    <x v="115"/>
    <x v="15"/>
    <x v="81"/>
    <x v="15"/>
    <x v="123"/>
    <x v="19"/>
    <x v="74"/>
    <x v="19"/>
    <x v="102"/>
    <x v="2"/>
    <x v="51"/>
  </r>
  <r>
    <x v="153"/>
    <x v="153"/>
    <x v="153"/>
    <x v="122"/>
    <x v="21"/>
    <x v="77"/>
    <x v="21"/>
    <x v="124"/>
    <x v="29"/>
    <x v="71"/>
    <x v="29"/>
    <x v="12"/>
    <x v="8"/>
    <x v="51"/>
  </r>
  <r>
    <x v="154"/>
    <x v="154"/>
    <x v="154"/>
    <x v="123"/>
    <x v="21"/>
    <x v="72"/>
    <x v="21"/>
    <x v="122"/>
    <x v="29"/>
    <x v="72"/>
    <x v="29"/>
    <x v="103"/>
    <x v="8"/>
    <x v="51"/>
  </r>
  <r>
    <x v="155"/>
    <x v="155"/>
    <x v="155"/>
    <x v="124"/>
    <x v="21"/>
    <x v="82"/>
    <x v="21"/>
    <x v="125"/>
    <x v="29"/>
    <x v="78"/>
    <x v="29"/>
    <x v="12"/>
    <x v="8"/>
    <x v="51"/>
  </r>
  <r>
    <x v="156"/>
    <x v="156"/>
    <x v="156"/>
    <x v="125"/>
    <x v="21"/>
    <x v="73"/>
    <x v="21"/>
    <x v="126"/>
    <x v="29"/>
    <x v="67"/>
    <x v="29"/>
    <x v="104"/>
    <x v="8"/>
    <x v="51"/>
  </r>
  <r>
    <x v="157"/>
    <x v="157"/>
    <x v="157"/>
    <x v="69"/>
    <x v="16"/>
    <x v="57"/>
    <x v="16"/>
    <x v="47"/>
    <x v="21"/>
    <x v="42"/>
    <x v="21"/>
    <x v="105"/>
    <x v="2"/>
    <x v="51"/>
  </r>
  <r>
    <x v="158"/>
    <x v="158"/>
    <x v="158"/>
    <x v="97"/>
    <x v="18"/>
    <x v="74"/>
    <x v="18"/>
    <x v="119"/>
    <x v="26"/>
    <x v="69"/>
    <x v="26"/>
    <x v="106"/>
    <x v="2"/>
    <x v="51"/>
  </r>
  <r>
    <x v="159"/>
    <x v="159"/>
    <x v="159"/>
    <x v="117"/>
    <x v="15"/>
    <x v="74"/>
    <x v="15"/>
    <x v="119"/>
    <x v="19"/>
    <x v="69"/>
    <x v="19"/>
    <x v="12"/>
    <x v="8"/>
    <x v="51"/>
  </r>
  <r>
    <x v="160"/>
    <x v="160"/>
    <x v="160"/>
    <x v="126"/>
    <x v="21"/>
    <x v="72"/>
    <x v="21"/>
    <x v="127"/>
    <x v="29"/>
    <x v="66"/>
    <x v="29"/>
    <x v="12"/>
    <x v="8"/>
    <x v="51"/>
  </r>
  <r>
    <x v="161"/>
    <x v="161"/>
    <x v="161"/>
    <x v="127"/>
    <x v="21"/>
    <x v="81"/>
    <x v="21"/>
    <x v="128"/>
    <x v="29"/>
    <x v="77"/>
    <x v="29"/>
    <x v="107"/>
    <x v="8"/>
    <x v="51"/>
  </r>
  <r>
    <x v="162"/>
    <x v="162"/>
    <x v="162"/>
    <x v="107"/>
    <x v="15"/>
    <x v="76"/>
    <x v="15"/>
    <x v="129"/>
    <x v="19"/>
    <x v="76"/>
    <x v="19"/>
    <x v="108"/>
    <x v="8"/>
    <x v="52"/>
  </r>
  <r>
    <x v="163"/>
    <x v="163"/>
    <x v="163"/>
    <x v="128"/>
    <x v="18"/>
    <x v="75"/>
    <x v="18"/>
    <x v="130"/>
    <x v="23"/>
    <x v="67"/>
    <x v="23"/>
    <x v="109"/>
    <x v="2"/>
    <x v="52"/>
  </r>
  <r>
    <x v="164"/>
    <x v="164"/>
    <x v="164"/>
    <x v="109"/>
    <x v="15"/>
    <x v="75"/>
    <x v="15"/>
    <x v="103"/>
    <x v="19"/>
    <x v="70"/>
    <x v="19"/>
    <x v="110"/>
    <x v="2"/>
    <x v="52"/>
  </r>
  <r>
    <x v="165"/>
    <x v="165"/>
    <x v="165"/>
    <x v="122"/>
    <x v="21"/>
    <x v="77"/>
    <x v="21"/>
    <x v="131"/>
    <x v="29"/>
    <x v="77"/>
    <x v="29"/>
    <x v="111"/>
    <x v="8"/>
    <x v="52"/>
  </r>
  <r>
    <x v="166"/>
    <x v="166"/>
    <x v="166"/>
    <x v="129"/>
    <x v="21"/>
    <x v="82"/>
    <x v="21"/>
    <x v="131"/>
    <x v="29"/>
    <x v="77"/>
    <x v="29"/>
    <x v="112"/>
    <x v="8"/>
    <x v="52"/>
  </r>
  <r>
    <x v="167"/>
    <x v="167"/>
    <x v="167"/>
    <x v="109"/>
    <x v="16"/>
    <x v="75"/>
    <x v="16"/>
    <x v="96"/>
    <x v="26"/>
    <x v="67"/>
    <x v="26"/>
    <x v="113"/>
    <x v="8"/>
    <x v="52"/>
  </r>
  <r>
    <x v="168"/>
    <x v="168"/>
    <x v="168"/>
    <x v="130"/>
    <x v="11"/>
    <x v="57"/>
    <x v="11"/>
    <x v="81"/>
    <x v="20"/>
    <x v="43"/>
    <x v="20"/>
    <x v="114"/>
    <x v="2"/>
    <x v="52"/>
  </r>
  <r>
    <x v="169"/>
    <x v="169"/>
    <x v="169"/>
    <x v="124"/>
    <x v="21"/>
    <x v="82"/>
    <x v="21"/>
    <x v="132"/>
    <x v="29"/>
    <x v="71"/>
    <x v="29"/>
    <x v="12"/>
    <x v="8"/>
    <x v="52"/>
  </r>
  <r>
    <x v="170"/>
    <x v="170"/>
    <x v="170"/>
    <x v="131"/>
    <x v="21"/>
    <x v="75"/>
    <x v="21"/>
    <x v="102"/>
    <x v="29"/>
    <x v="70"/>
    <x v="29"/>
    <x v="115"/>
    <x v="8"/>
    <x v="52"/>
  </r>
  <r>
    <x v="171"/>
    <x v="171"/>
    <x v="171"/>
    <x v="132"/>
    <x v="21"/>
    <x v="83"/>
    <x v="21"/>
    <x v="133"/>
    <x v="29"/>
    <x v="74"/>
    <x v="29"/>
    <x v="12"/>
    <x v="8"/>
    <x v="52"/>
  </r>
  <r>
    <x v="172"/>
    <x v="172"/>
    <x v="172"/>
    <x v="117"/>
    <x v="21"/>
    <x v="74"/>
    <x v="21"/>
    <x v="134"/>
    <x v="29"/>
    <x v="56"/>
    <x v="29"/>
    <x v="12"/>
    <x v="8"/>
    <x v="52"/>
  </r>
  <r>
    <x v="173"/>
    <x v="173"/>
    <x v="173"/>
    <x v="91"/>
    <x v="15"/>
    <x v="72"/>
    <x v="15"/>
    <x v="107"/>
    <x v="19"/>
    <x v="66"/>
    <x v="19"/>
    <x v="12"/>
    <x v="2"/>
    <x v="52"/>
  </r>
  <r>
    <x v="174"/>
    <x v="174"/>
    <x v="174"/>
    <x v="126"/>
    <x v="21"/>
    <x v="72"/>
    <x v="21"/>
    <x v="129"/>
    <x v="29"/>
    <x v="76"/>
    <x v="29"/>
    <x v="12"/>
    <x v="8"/>
    <x v="52"/>
  </r>
  <r>
    <x v="175"/>
    <x v="175"/>
    <x v="175"/>
    <x v="133"/>
    <x v="21"/>
    <x v="84"/>
    <x v="21"/>
    <x v="135"/>
    <x v="29"/>
    <x v="79"/>
    <x v="29"/>
    <x v="12"/>
    <x v="8"/>
    <x v="53"/>
  </r>
  <r>
    <x v="176"/>
    <x v="176"/>
    <x v="176"/>
    <x v="134"/>
    <x v="21"/>
    <x v="82"/>
    <x v="21"/>
    <x v="136"/>
    <x v="29"/>
    <x v="78"/>
    <x v="29"/>
    <x v="12"/>
    <x v="8"/>
    <x v="53"/>
  </r>
  <r>
    <x v="177"/>
    <x v="177"/>
    <x v="177"/>
    <x v="133"/>
    <x v="21"/>
    <x v="84"/>
    <x v="21"/>
    <x v="137"/>
    <x v="29"/>
    <x v="79"/>
    <x v="29"/>
    <x v="12"/>
    <x v="8"/>
    <x v="53"/>
  </r>
  <r>
    <x v="178"/>
    <x v="178"/>
    <x v="178"/>
    <x v="135"/>
    <x v="21"/>
    <x v="85"/>
    <x v="21"/>
    <x v="136"/>
    <x v="29"/>
    <x v="78"/>
    <x v="29"/>
    <x v="116"/>
    <x v="8"/>
    <x v="53"/>
  </r>
  <r>
    <x v="179"/>
    <x v="179"/>
    <x v="179"/>
    <x v="129"/>
    <x v="21"/>
    <x v="82"/>
    <x v="21"/>
    <x v="138"/>
    <x v="29"/>
    <x v="78"/>
    <x v="29"/>
    <x v="117"/>
    <x v="8"/>
    <x v="53"/>
  </r>
  <r>
    <x v="180"/>
    <x v="180"/>
    <x v="180"/>
    <x v="104"/>
    <x v="21"/>
    <x v="73"/>
    <x v="21"/>
    <x v="122"/>
    <x v="29"/>
    <x v="72"/>
    <x v="29"/>
    <x v="12"/>
    <x v="8"/>
    <x v="53"/>
  </r>
  <r>
    <x v="181"/>
    <x v="181"/>
    <x v="181"/>
    <x v="135"/>
    <x v="21"/>
    <x v="85"/>
    <x v="21"/>
    <x v="139"/>
    <x v="29"/>
    <x v="80"/>
    <x v="29"/>
    <x v="118"/>
    <x v="8"/>
    <x v="53"/>
  </r>
  <r>
    <x v="182"/>
    <x v="182"/>
    <x v="182"/>
    <x v="136"/>
    <x v="21"/>
    <x v="83"/>
    <x v="21"/>
    <x v="121"/>
    <x v="29"/>
    <x v="77"/>
    <x v="29"/>
    <x v="119"/>
    <x v="8"/>
    <x v="53"/>
  </r>
  <r>
    <x v="183"/>
    <x v="183"/>
    <x v="183"/>
    <x v="137"/>
    <x v="21"/>
    <x v="86"/>
    <x v="21"/>
    <x v="140"/>
    <x v="29"/>
    <x v="80"/>
    <x v="29"/>
    <x v="12"/>
    <x v="8"/>
    <x v="53"/>
  </r>
  <r>
    <x v="184"/>
    <x v="184"/>
    <x v="184"/>
    <x v="138"/>
    <x v="21"/>
    <x v="83"/>
    <x v="21"/>
    <x v="127"/>
    <x v="29"/>
    <x v="66"/>
    <x v="29"/>
    <x v="12"/>
    <x v="8"/>
    <x v="53"/>
  </r>
  <r>
    <x v="185"/>
    <x v="185"/>
    <x v="185"/>
    <x v="139"/>
    <x v="21"/>
    <x v="76"/>
    <x v="21"/>
    <x v="141"/>
    <x v="29"/>
    <x v="66"/>
    <x v="29"/>
    <x v="120"/>
    <x v="8"/>
    <x v="53"/>
  </r>
  <r>
    <x v="186"/>
    <x v="186"/>
    <x v="186"/>
    <x v="133"/>
    <x v="15"/>
    <x v="84"/>
    <x v="15"/>
    <x v="137"/>
    <x v="19"/>
    <x v="79"/>
    <x v="19"/>
    <x v="12"/>
    <x v="8"/>
    <x v="52"/>
  </r>
  <r>
    <x v="187"/>
    <x v="187"/>
    <x v="187"/>
    <x v="129"/>
    <x v="21"/>
    <x v="82"/>
    <x v="21"/>
    <x v="142"/>
    <x v="29"/>
    <x v="74"/>
    <x v="29"/>
    <x v="121"/>
    <x v="8"/>
    <x v="53"/>
  </r>
  <r>
    <x v="188"/>
    <x v="188"/>
    <x v="188"/>
    <x v="140"/>
    <x v="21"/>
    <x v="85"/>
    <x v="21"/>
    <x v="125"/>
    <x v="29"/>
    <x v="78"/>
    <x v="29"/>
    <x v="12"/>
    <x v="8"/>
    <x v="53"/>
  </r>
  <r>
    <x v="189"/>
    <x v="189"/>
    <x v="189"/>
    <x v="134"/>
    <x v="21"/>
    <x v="82"/>
    <x v="21"/>
    <x v="107"/>
    <x v="29"/>
    <x v="66"/>
    <x v="29"/>
    <x v="12"/>
    <x v="8"/>
    <x v="53"/>
  </r>
  <r>
    <x v="190"/>
    <x v="190"/>
    <x v="190"/>
    <x v="125"/>
    <x v="21"/>
    <x v="73"/>
    <x v="21"/>
    <x v="122"/>
    <x v="29"/>
    <x v="72"/>
    <x v="29"/>
    <x v="12"/>
    <x v="8"/>
    <x v="53"/>
  </r>
  <r>
    <x v="191"/>
    <x v="191"/>
    <x v="191"/>
    <x v="104"/>
    <x v="16"/>
    <x v="73"/>
    <x v="16"/>
    <x v="143"/>
    <x v="21"/>
    <x v="70"/>
    <x v="21"/>
    <x v="122"/>
    <x v="2"/>
    <x v="53"/>
  </r>
  <r>
    <x v="192"/>
    <x v="192"/>
    <x v="192"/>
    <x v="141"/>
    <x v="15"/>
    <x v="66"/>
    <x v="15"/>
    <x v="144"/>
    <x v="19"/>
    <x v="81"/>
    <x v="19"/>
    <x v="123"/>
    <x v="2"/>
    <x v="53"/>
  </r>
  <r>
    <x v="193"/>
    <x v="193"/>
    <x v="193"/>
    <x v="104"/>
    <x v="16"/>
    <x v="73"/>
    <x v="16"/>
    <x v="145"/>
    <x v="26"/>
    <x v="70"/>
    <x v="26"/>
    <x v="12"/>
    <x v="2"/>
    <x v="53"/>
  </r>
  <r>
    <x v="194"/>
    <x v="194"/>
    <x v="194"/>
    <x v="127"/>
    <x v="21"/>
    <x v="81"/>
    <x v="21"/>
    <x v="128"/>
    <x v="29"/>
    <x v="77"/>
    <x v="29"/>
    <x v="12"/>
    <x v="8"/>
    <x v="53"/>
  </r>
  <r>
    <x v="195"/>
    <x v="195"/>
    <x v="195"/>
    <x v="142"/>
    <x v="16"/>
    <x v="55"/>
    <x v="16"/>
    <x v="91"/>
    <x v="21"/>
    <x v="52"/>
    <x v="21"/>
    <x v="12"/>
    <x v="2"/>
    <x v="53"/>
  </r>
  <r>
    <x v="196"/>
    <x v="4"/>
    <x v="196"/>
    <x v="43"/>
    <x v="13"/>
    <x v="87"/>
    <x v="23"/>
    <x v="146"/>
    <x v="28"/>
    <x v="82"/>
    <x v="31"/>
    <x v="124"/>
    <x v="2"/>
    <x v="38"/>
  </r>
  <r>
    <x v="36"/>
    <x v="36"/>
    <x v="197"/>
    <x v="143"/>
    <x v="21"/>
    <x v="88"/>
    <x v="21"/>
    <x v="122"/>
    <x v="29"/>
    <x v="83"/>
    <x v="29"/>
    <x v="12"/>
    <x v="8"/>
    <x v="50"/>
  </r>
  <r>
    <x v="197"/>
    <x v="196"/>
    <x v="198"/>
    <x v="102"/>
    <x v="18"/>
    <x v="89"/>
    <x v="24"/>
    <x v="147"/>
    <x v="23"/>
    <x v="84"/>
    <x v="32"/>
    <x v="125"/>
    <x v="2"/>
    <x v="51"/>
  </r>
  <r>
    <x v="15"/>
    <x v="15"/>
    <x v="15"/>
    <x v="144"/>
    <x v="15"/>
    <x v="90"/>
    <x v="25"/>
    <x v="142"/>
    <x v="19"/>
    <x v="85"/>
    <x v="33"/>
    <x v="126"/>
    <x v="2"/>
    <x v="52"/>
  </r>
  <r>
    <x v="198"/>
    <x v="197"/>
    <x v="199"/>
    <x v="145"/>
    <x v="21"/>
    <x v="91"/>
    <x v="21"/>
    <x v="148"/>
    <x v="29"/>
    <x v="86"/>
    <x v="29"/>
    <x v="127"/>
    <x v="8"/>
    <x v="52"/>
  </r>
  <r>
    <x v="199"/>
    <x v="29"/>
    <x v="200"/>
    <x v="108"/>
    <x v="21"/>
    <x v="92"/>
    <x v="21"/>
    <x v="131"/>
    <x v="29"/>
    <x v="87"/>
    <x v="29"/>
    <x v="82"/>
    <x v="8"/>
    <x v="52"/>
  </r>
  <r>
    <x v="67"/>
    <x v="67"/>
    <x v="67"/>
    <x v="144"/>
    <x v="21"/>
    <x v="90"/>
    <x v="21"/>
    <x v="138"/>
    <x v="29"/>
    <x v="88"/>
    <x v="29"/>
    <x v="12"/>
    <x v="8"/>
    <x v="53"/>
  </r>
  <r>
    <x v="13"/>
    <x v="13"/>
    <x v="13"/>
    <x v="135"/>
    <x v="21"/>
    <x v="93"/>
    <x v="21"/>
    <x v="149"/>
    <x v="29"/>
    <x v="89"/>
    <x v="29"/>
    <x v="12"/>
    <x v="8"/>
    <x v="53"/>
  </r>
  <r>
    <x v="30"/>
    <x v="30"/>
    <x v="30"/>
    <x v="146"/>
    <x v="21"/>
    <x v="94"/>
    <x v="21"/>
    <x v="149"/>
    <x v="29"/>
    <x v="89"/>
    <x v="29"/>
    <x v="128"/>
    <x v="8"/>
    <x v="51"/>
  </r>
  <r>
    <x v="20"/>
    <x v="20"/>
    <x v="20"/>
    <x v="144"/>
    <x v="21"/>
    <x v="90"/>
    <x v="21"/>
    <x v="125"/>
    <x v="29"/>
    <x v="90"/>
    <x v="29"/>
    <x v="76"/>
    <x v="8"/>
    <x v="53"/>
  </r>
  <r>
    <x v="200"/>
    <x v="198"/>
    <x v="201"/>
    <x v="133"/>
    <x v="15"/>
    <x v="95"/>
    <x v="25"/>
    <x v="138"/>
    <x v="19"/>
    <x v="88"/>
    <x v="33"/>
    <x v="12"/>
    <x v="2"/>
    <x v="53"/>
  </r>
  <r>
    <x v="62"/>
    <x v="62"/>
    <x v="62"/>
    <x v="147"/>
    <x v="21"/>
    <x v="49"/>
    <x v="21"/>
    <x v="150"/>
    <x v="29"/>
    <x v="91"/>
    <x v="29"/>
    <x v="12"/>
    <x v="8"/>
    <x v="53"/>
  </r>
  <r>
    <x v="63"/>
    <x v="63"/>
    <x v="63"/>
    <x v="140"/>
    <x v="15"/>
    <x v="96"/>
    <x v="25"/>
    <x v="151"/>
    <x v="19"/>
    <x v="92"/>
    <x v="33"/>
    <x v="12"/>
    <x v="2"/>
    <x v="53"/>
  </r>
  <r>
    <x v="37"/>
    <x v="199"/>
    <x v="37"/>
    <x v="148"/>
    <x v="21"/>
    <x v="40"/>
    <x v="21"/>
    <x v="152"/>
    <x v="29"/>
    <x v="62"/>
    <x v="29"/>
    <x v="129"/>
    <x v="8"/>
    <x v="53"/>
  </r>
  <r>
    <x v="24"/>
    <x v="24"/>
    <x v="24"/>
    <x v="134"/>
    <x v="21"/>
    <x v="97"/>
    <x v="21"/>
    <x v="108"/>
    <x v="29"/>
    <x v="93"/>
    <x v="29"/>
    <x v="12"/>
    <x v="8"/>
    <x v="53"/>
  </r>
  <r>
    <x v="164"/>
    <x v="164"/>
    <x v="164"/>
    <x v="149"/>
    <x v="21"/>
    <x v="45"/>
    <x v="21"/>
    <x v="150"/>
    <x v="29"/>
    <x v="91"/>
    <x v="29"/>
    <x v="12"/>
    <x v="8"/>
    <x v="53"/>
  </r>
  <r>
    <x v="4"/>
    <x v="4"/>
    <x v="4"/>
    <x v="133"/>
    <x v="15"/>
    <x v="95"/>
    <x v="25"/>
    <x v="140"/>
    <x v="19"/>
    <x v="94"/>
    <x v="33"/>
    <x v="12"/>
    <x v="2"/>
    <x v="53"/>
  </r>
  <r>
    <x v="75"/>
    <x v="75"/>
    <x v="75"/>
    <x v="150"/>
    <x v="15"/>
    <x v="98"/>
    <x v="25"/>
    <x v="125"/>
    <x v="19"/>
    <x v="90"/>
    <x v="33"/>
    <x v="12"/>
    <x v="2"/>
    <x v="53"/>
  </r>
  <r>
    <x v="201"/>
    <x v="200"/>
    <x v="202"/>
    <x v="151"/>
    <x v="21"/>
    <x v="99"/>
    <x v="21"/>
    <x v="148"/>
    <x v="29"/>
    <x v="86"/>
    <x v="29"/>
    <x v="12"/>
    <x v="8"/>
    <x v="53"/>
  </r>
  <r>
    <x v="202"/>
    <x v="201"/>
    <x v="203"/>
    <x v="146"/>
    <x v="21"/>
    <x v="94"/>
    <x v="21"/>
    <x v="151"/>
    <x v="29"/>
    <x v="92"/>
    <x v="29"/>
    <x v="12"/>
    <x v="8"/>
    <x v="53"/>
  </r>
  <r>
    <x v="203"/>
    <x v="31"/>
    <x v="204"/>
    <x v="150"/>
    <x v="15"/>
    <x v="98"/>
    <x v="25"/>
    <x v="151"/>
    <x v="19"/>
    <x v="92"/>
    <x v="33"/>
    <x v="127"/>
    <x v="8"/>
    <x v="53"/>
  </r>
  <r>
    <x v="204"/>
    <x v="58"/>
    <x v="205"/>
    <x v="152"/>
    <x v="21"/>
    <x v="100"/>
    <x v="21"/>
    <x v="153"/>
    <x v="29"/>
    <x v="95"/>
    <x v="29"/>
    <x v="130"/>
    <x v="8"/>
    <x v="53"/>
  </r>
  <r>
    <x v="205"/>
    <x v="185"/>
    <x v="206"/>
    <x v="149"/>
    <x v="21"/>
    <x v="45"/>
    <x v="21"/>
    <x v="150"/>
    <x v="29"/>
    <x v="91"/>
    <x v="29"/>
    <x v="131"/>
    <x v="8"/>
    <x v="53"/>
  </r>
  <r>
    <x v="206"/>
    <x v="202"/>
    <x v="207"/>
    <x v="153"/>
    <x v="23"/>
    <x v="101"/>
    <x v="26"/>
    <x v="154"/>
    <x v="31"/>
    <x v="96"/>
    <x v="34"/>
    <x v="132"/>
    <x v="13"/>
    <x v="54"/>
  </r>
</pivotCacheRecords>
</file>

<file path=xl/pivotCache/pivotCacheRecords19.xml><?xml version="1.0" encoding="utf-8"?>
<pivotCacheRecords xmlns="http://schemas.openxmlformats.org/spreadsheetml/2006/main" xmlns:r="http://schemas.openxmlformats.org/officeDocument/2006/relationships" count="114">
  <r>
    <x v="0"/>
    <x v="0"/>
    <x v="0"/>
    <x v="0"/>
    <x v="0"/>
    <x v="0"/>
    <x v="0"/>
    <x v="0"/>
    <x v="0"/>
    <x v="0"/>
    <x v="0"/>
    <x v="0"/>
    <x v="0"/>
    <x v="0"/>
    <x v="0"/>
    <x v="0"/>
    <x v="0"/>
  </r>
  <r>
    <x v="0"/>
    <x v="0"/>
    <x v="1"/>
    <x v="1"/>
    <x v="1"/>
    <x v="1"/>
    <x v="1"/>
    <x v="1"/>
    <x v="1"/>
    <x v="1"/>
    <x v="1"/>
    <x v="1"/>
    <x v="1"/>
    <x v="1"/>
    <x v="0"/>
    <x v="1"/>
    <x v="0"/>
  </r>
  <r>
    <x v="1"/>
    <x v="1"/>
    <x v="2"/>
    <x v="2"/>
    <x v="2"/>
    <x v="2"/>
    <x v="2"/>
    <x v="2"/>
    <x v="2"/>
    <x v="2"/>
    <x v="2"/>
    <x v="2"/>
    <x v="2"/>
    <x v="2"/>
    <x v="1"/>
    <x v="2"/>
    <x v="1"/>
  </r>
  <r>
    <x v="2"/>
    <x v="2"/>
    <x v="3"/>
    <x v="3"/>
    <x v="3"/>
    <x v="3"/>
    <x v="3"/>
    <x v="3"/>
    <x v="3"/>
    <x v="3"/>
    <x v="3"/>
    <x v="3"/>
    <x v="3"/>
    <x v="0"/>
    <x v="2"/>
    <x v="0"/>
    <x v="2"/>
  </r>
  <r>
    <x v="2"/>
    <x v="2"/>
    <x v="4"/>
    <x v="4"/>
    <x v="4"/>
    <x v="4"/>
    <x v="4"/>
    <x v="4"/>
    <x v="4"/>
    <x v="4"/>
    <x v="4"/>
    <x v="4"/>
    <x v="4"/>
    <x v="1"/>
    <x v="3"/>
    <x v="3"/>
    <x v="3"/>
  </r>
  <r>
    <x v="1"/>
    <x v="1"/>
    <x v="5"/>
    <x v="5"/>
    <x v="5"/>
    <x v="5"/>
    <x v="5"/>
    <x v="5"/>
    <x v="5"/>
    <x v="5"/>
    <x v="5"/>
    <x v="5"/>
    <x v="5"/>
    <x v="3"/>
    <x v="4"/>
    <x v="4"/>
    <x v="4"/>
  </r>
  <r>
    <x v="3"/>
    <x v="3"/>
    <x v="6"/>
    <x v="6"/>
    <x v="6"/>
    <x v="6"/>
    <x v="6"/>
    <x v="0"/>
    <x v="6"/>
    <x v="6"/>
    <x v="0"/>
    <x v="0"/>
    <x v="6"/>
    <x v="4"/>
    <x v="1"/>
    <x v="5"/>
    <x v="1"/>
  </r>
  <r>
    <x v="3"/>
    <x v="3"/>
    <x v="7"/>
    <x v="0"/>
    <x v="7"/>
    <x v="7"/>
    <x v="7"/>
    <x v="3"/>
    <x v="7"/>
    <x v="7"/>
    <x v="3"/>
    <x v="3"/>
    <x v="7"/>
    <x v="0"/>
    <x v="2"/>
    <x v="0"/>
    <x v="2"/>
  </r>
  <r>
    <x v="4"/>
    <x v="4"/>
    <x v="8"/>
    <x v="7"/>
    <x v="8"/>
    <x v="8"/>
    <x v="8"/>
    <x v="6"/>
    <x v="8"/>
    <x v="8"/>
    <x v="3"/>
    <x v="6"/>
    <x v="8"/>
    <x v="5"/>
    <x v="2"/>
    <x v="6"/>
    <x v="2"/>
  </r>
  <r>
    <x v="4"/>
    <x v="4"/>
    <x v="9"/>
    <x v="8"/>
    <x v="9"/>
    <x v="9"/>
    <x v="9"/>
    <x v="0"/>
    <x v="9"/>
    <x v="9"/>
    <x v="0"/>
    <x v="0"/>
    <x v="9"/>
    <x v="0"/>
    <x v="0"/>
    <x v="0"/>
    <x v="0"/>
  </r>
  <r>
    <x v="5"/>
    <x v="5"/>
    <x v="10"/>
    <x v="7"/>
    <x v="10"/>
    <x v="10"/>
    <x v="10"/>
    <x v="7"/>
    <x v="10"/>
    <x v="10"/>
    <x v="6"/>
    <x v="7"/>
    <x v="10"/>
    <x v="1"/>
    <x v="5"/>
    <x v="1"/>
    <x v="5"/>
  </r>
  <r>
    <x v="6"/>
    <x v="6"/>
    <x v="11"/>
    <x v="8"/>
    <x v="11"/>
    <x v="11"/>
    <x v="11"/>
    <x v="7"/>
    <x v="11"/>
    <x v="11"/>
    <x v="6"/>
    <x v="7"/>
    <x v="11"/>
    <x v="5"/>
    <x v="1"/>
    <x v="6"/>
    <x v="1"/>
  </r>
  <r>
    <x v="6"/>
    <x v="6"/>
    <x v="12"/>
    <x v="9"/>
    <x v="12"/>
    <x v="12"/>
    <x v="12"/>
    <x v="8"/>
    <x v="12"/>
    <x v="12"/>
    <x v="7"/>
    <x v="2"/>
    <x v="12"/>
    <x v="6"/>
    <x v="3"/>
    <x v="7"/>
    <x v="3"/>
  </r>
  <r>
    <x v="5"/>
    <x v="5"/>
    <x v="13"/>
    <x v="10"/>
    <x v="13"/>
    <x v="13"/>
    <x v="13"/>
    <x v="0"/>
    <x v="13"/>
    <x v="13"/>
    <x v="0"/>
    <x v="0"/>
    <x v="13"/>
    <x v="5"/>
    <x v="5"/>
    <x v="6"/>
    <x v="5"/>
  </r>
  <r>
    <x v="7"/>
    <x v="7"/>
    <x v="14"/>
    <x v="11"/>
    <x v="14"/>
    <x v="14"/>
    <x v="14"/>
    <x v="9"/>
    <x v="14"/>
    <x v="14"/>
    <x v="8"/>
    <x v="8"/>
    <x v="14"/>
    <x v="4"/>
    <x v="2"/>
    <x v="5"/>
    <x v="2"/>
  </r>
  <r>
    <x v="8"/>
    <x v="8"/>
    <x v="15"/>
    <x v="12"/>
    <x v="15"/>
    <x v="15"/>
    <x v="15"/>
    <x v="7"/>
    <x v="15"/>
    <x v="15"/>
    <x v="6"/>
    <x v="7"/>
    <x v="15"/>
    <x v="7"/>
    <x v="0"/>
    <x v="8"/>
    <x v="0"/>
  </r>
  <r>
    <x v="7"/>
    <x v="7"/>
    <x v="16"/>
    <x v="13"/>
    <x v="16"/>
    <x v="16"/>
    <x v="16"/>
    <x v="9"/>
    <x v="14"/>
    <x v="14"/>
    <x v="8"/>
    <x v="8"/>
    <x v="14"/>
    <x v="4"/>
    <x v="2"/>
    <x v="5"/>
    <x v="2"/>
  </r>
  <r>
    <x v="8"/>
    <x v="8"/>
    <x v="17"/>
    <x v="14"/>
    <x v="17"/>
    <x v="17"/>
    <x v="17"/>
    <x v="0"/>
    <x v="16"/>
    <x v="16"/>
    <x v="0"/>
    <x v="0"/>
    <x v="16"/>
    <x v="4"/>
    <x v="1"/>
    <x v="5"/>
    <x v="1"/>
  </r>
  <r>
    <x v="9"/>
    <x v="9"/>
    <x v="18"/>
    <x v="7"/>
    <x v="18"/>
    <x v="18"/>
    <x v="18"/>
    <x v="10"/>
    <x v="17"/>
    <x v="17"/>
    <x v="4"/>
    <x v="9"/>
    <x v="17"/>
    <x v="7"/>
    <x v="6"/>
    <x v="8"/>
    <x v="6"/>
  </r>
  <r>
    <x v="10"/>
    <x v="10"/>
    <x v="19"/>
    <x v="15"/>
    <x v="19"/>
    <x v="19"/>
    <x v="19"/>
    <x v="9"/>
    <x v="14"/>
    <x v="18"/>
    <x v="8"/>
    <x v="8"/>
    <x v="18"/>
    <x v="4"/>
    <x v="2"/>
    <x v="5"/>
    <x v="2"/>
  </r>
  <r>
    <x v="9"/>
    <x v="9"/>
    <x v="20"/>
    <x v="16"/>
    <x v="20"/>
    <x v="20"/>
    <x v="20"/>
    <x v="2"/>
    <x v="18"/>
    <x v="19"/>
    <x v="2"/>
    <x v="2"/>
    <x v="19"/>
    <x v="8"/>
    <x v="4"/>
    <x v="9"/>
    <x v="4"/>
  </r>
  <r>
    <x v="11"/>
    <x v="11"/>
    <x v="21"/>
    <x v="17"/>
    <x v="21"/>
    <x v="21"/>
    <x v="21"/>
    <x v="11"/>
    <x v="19"/>
    <x v="20"/>
    <x v="9"/>
    <x v="10"/>
    <x v="20"/>
    <x v="5"/>
    <x v="0"/>
    <x v="6"/>
    <x v="0"/>
  </r>
  <r>
    <x v="12"/>
    <x v="12"/>
    <x v="22"/>
    <x v="11"/>
    <x v="22"/>
    <x v="22"/>
    <x v="22"/>
    <x v="12"/>
    <x v="20"/>
    <x v="21"/>
    <x v="1"/>
    <x v="11"/>
    <x v="17"/>
    <x v="9"/>
    <x v="2"/>
    <x v="10"/>
    <x v="2"/>
  </r>
  <r>
    <x v="11"/>
    <x v="11"/>
    <x v="23"/>
    <x v="18"/>
    <x v="23"/>
    <x v="23"/>
    <x v="23"/>
    <x v="11"/>
    <x v="21"/>
    <x v="22"/>
    <x v="9"/>
    <x v="10"/>
    <x v="21"/>
    <x v="5"/>
    <x v="0"/>
    <x v="6"/>
    <x v="0"/>
  </r>
  <r>
    <x v="13"/>
    <x v="13"/>
    <x v="24"/>
    <x v="19"/>
    <x v="24"/>
    <x v="24"/>
    <x v="24"/>
    <x v="0"/>
    <x v="22"/>
    <x v="23"/>
    <x v="0"/>
    <x v="0"/>
    <x v="22"/>
    <x v="5"/>
    <x v="5"/>
    <x v="6"/>
    <x v="5"/>
  </r>
  <r>
    <x v="13"/>
    <x v="13"/>
    <x v="25"/>
    <x v="20"/>
    <x v="25"/>
    <x v="25"/>
    <x v="25"/>
    <x v="13"/>
    <x v="23"/>
    <x v="24"/>
    <x v="7"/>
    <x v="12"/>
    <x v="23"/>
    <x v="9"/>
    <x v="6"/>
    <x v="10"/>
    <x v="6"/>
  </r>
  <r>
    <x v="14"/>
    <x v="14"/>
    <x v="26"/>
    <x v="21"/>
    <x v="26"/>
    <x v="26"/>
    <x v="26"/>
    <x v="9"/>
    <x v="14"/>
    <x v="14"/>
    <x v="8"/>
    <x v="8"/>
    <x v="14"/>
    <x v="4"/>
    <x v="2"/>
    <x v="5"/>
    <x v="2"/>
  </r>
  <r>
    <x v="15"/>
    <x v="15"/>
    <x v="27"/>
    <x v="7"/>
    <x v="27"/>
    <x v="27"/>
    <x v="27"/>
    <x v="3"/>
    <x v="24"/>
    <x v="25"/>
    <x v="3"/>
    <x v="3"/>
    <x v="8"/>
    <x v="0"/>
    <x v="2"/>
    <x v="0"/>
    <x v="2"/>
  </r>
  <r>
    <x v="16"/>
    <x v="16"/>
    <x v="28"/>
    <x v="22"/>
    <x v="28"/>
    <x v="28"/>
    <x v="28"/>
    <x v="1"/>
    <x v="25"/>
    <x v="26"/>
    <x v="1"/>
    <x v="1"/>
    <x v="24"/>
    <x v="1"/>
    <x v="0"/>
    <x v="1"/>
    <x v="0"/>
  </r>
  <r>
    <x v="17"/>
    <x v="17"/>
    <x v="29"/>
    <x v="21"/>
    <x v="29"/>
    <x v="29"/>
    <x v="29"/>
    <x v="9"/>
    <x v="14"/>
    <x v="14"/>
    <x v="8"/>
    <x v="8"/>
    <x v="14"/>
    <x v="4"/>
    <x v="2"/>
    <x v="5"/>
    <x v="2"/>
  </r>
  <r>
    <x v="18"/>
    <x v="18"/>
    <x v="30"/>
    <x v="23"/>
    <x v="30"/>
    <x v="30"/>
    <x v="30"/>
    <x v="3"/>
    <x v="26"/>
    <x v="27"/>
    <x v="3"/>
    <x v="3"/>
    <x v="25"/>
    <x v="0"/>
    <x v="2"/>
    <x v="0"/>
    <x v="2"/>
  </r>
  <r>
    <x v="19"/>
    <x v="19"/>
    <x v="31"/>
    <x v="24"/>
    <x v="31"/>
    <x v="31"/>
    <x v="31"/>
    <x v="3"/>
    <x v="27"/>
    <x v="28"/>
    <x v="3"/>
    <x v="3"/>
    <x v="26"/>
    <x v="0"/>
    <x v="2"/>
    <x v="0"/>
    <x v="2"/>
  </r>
  <r>
    <x v="16"/>
    <x v="16"/>
    <x v="32"/>
    <x v="25"/>
    <x v="32"/>
    <x v="32"/>
    <x v="32"/>
    <x v="11"/>
    <x v="28"/>
    <x v="29"/>
    <x v="9"/>
    <x v="10"/>
    <x v="27"/>
    <x v="7"/>
    <x v="5"/>
    <x v="8"/>
    <x v="5"/>
  </r>
  <r>
    <x v="17"/>
    <x v="17"/>
    <x v="33"/>
    <x v="23"/>
    <x v="33"/>
    <x v="33"/>
    <x v="33"/>
    <x v="9"/>
    <x v="14"/>
    <x v="14"/>
    <x v="8"/>
    <x v="8"/>
    <x v="14"/>
    <x v="4"/>
    <x v="2"/>
    <x v="5"/>
    <x v="2"/>
  </r>
  <r>
    <x v="18"/>
    <x v="18"/>
    <x v="34"/>
    <x v="26"/>
    <x v="34"/>
    <x v="34"/>
    <x v="34"/>
    <x v="11"/>
    <x v="29"/>
    <x v="30"/>
    <x v="9"/>
    <x v="10"/>
    <x v="5"/>
    <x v="5"/>
    <x v="0"/>
    <x v="6"/>
    <x v="0"/>
  </r>
  <r>
    <x v="20"/>
    <x v="20"/>
    <x v="35"/>
    <x v="27"/>
    <x v="35"/>
    <x v="35"/>
    <x v="35"/>
    <x v="12"/>
    <x v="30"/>
    <x v="31"/>
    <x v="1"/>
    <x v="11"/>
    <x v="28"/>
    <x v="7"/>
    <x v="3"/>
    <x v="8"/>
    <x v="3"/>
  </r>
  <r>
    <x v="21"/>
    <x v="21"/>
    <x v="36"/>
    <x v="28"/>
    <x v="36"/>
    <x v="36"/>
    <x v="36"/>
    <x v="9"/>
    <x v="14"/>
    <x v="14"/>
    <x v="8"/>
    <x v="8"/>
    <x v="14"/>
    <x v="4"/>
    <x v="2"/>
    <x v="5"/>
    <x v="2"/>
  </r>
  <r>
    <x v="22"/>
    <x v="22"/>
    <x v="37"/>
    <x v="29"/>
    <x v="37"/>
    <x v="37"/>
    <x v="37"/>
    <x v="3"/>
    <x v="31"/>
    <x v="32"/>
    <x v="3"/>
    <x v="3"/>
    <x v="28"/>
    <x v="0"/>
    <x v="2"/>
    <x v="0"/>
    <x v="2"/>
  </r>
  <r>
    <x v="23"/>
    <x v="23"/>
    <x v="38"/>
    <x v="30"/>
    <x v="38"/>
    <x v="38"/>
    <x v="38"/>
    <x v="1"/>
    <x v="32"/>
    <x v="33"/>
    <x v="6"/>
    <x v="1"/>
    <x v="29"/>
    <x v="7"/>
    <x v="1"/>
    <x v="8"/>
    <x v="1"/>
  </r>
  <r>
    <x v="23"/>
    <x v="23"/>
    <x v="39"/>
    <x v="31"/>
    <x v="39"/>
    <x v="39"/>
    <x v="39"/>
    <x v="14"/>
    <x v="33"/>
    <x v="34"/>
    <x v="10"/>
    <x v="13"/>
    <x v="30"/>
    <x v="10"/>
    <x v="4"/>
    <x v="11"/>
    <x v="7"/>
  </r>
  <r>
    <x v="24"/>
    <x v="24"/>
    <x v="40"/>
    <x v="32"/>
    <x v="40"/>
    <x v="40"/>
    <x v="40"/>
    <x v="3"/>
    <x v="34"/>
    <x v="35"/>
    <x v="3"/>
    <x v="3"/>
    <x v="31"/>
    <x v="4"/>
    <x v="5"/>
    <x v="5"/>
    <x v="5"/>
  </r>
  <r>
    <x v="25"/>
    <x v="25"/>
    <x v="41"/>
    <x v="33"/>
    <x v="41"/>
    <x v="41"/>
    <x v="41"/>
    <x v="9"/>
    <x v="14"/>
    <x v="14"/>
    <x v="8"/>
    <x v="8"/>
    <x v="14"/>
    <x v="4"/>
    <x v="2"/>
    <x v="5"/>
    <x v="2"/>
  </r>
  <r>
    <x v="26"/>
    <x v="26"/>
    <x v="42"/>
    <x v="34"/>
    <x v="42"/>
    <x v="42"/>
    <x v="42"/>
    <x v="11"/>
    <x v="35"/>
    <x v="36"/>
    <x v="9"/>
    <x v="10"/>
    <x v="32"/>
    <x v="0"/>
    <x v="1"/>
    <x v="0"/>
    <x v="1"/>
  </r>
  <r>
    <x v="27"/>
    <x v="27"/>
    <x v="43"/>
    <x v="35"/>
    <x v="43"/>
    <x v="43"/>
    <x v="43"/>
    <x v="11"/>
    <x v="36"/>
    <x v="37"/>
    <x v="9"/>
    <x v="10"/>
    <x v="33"/>
    <x v="0"/>
    <x v="1"/>
    <x v="0"/>
    <x v="1"/>
  </r>
  <r>
    <x v="28"/>
    <x v="28"/>
    <x v="44"/>
    <x v="29"/>
    <x v="44"/>
    <x v="44"/>
    <x v="44"/>
    <x v="9"/>
    <x v="14"/>
    <x v="14"/>
    <x v="8"/>
    <x v="8"/>
    <x v="14"/>
    <x v="4"/>
    <x v="2"/>
    <x v="5"/>
    <x v="2"/>
  </r>
  <r>
    <x v="29"/>
    <x v="29"/>
    <x v="45"/>
    <x v="6"/>
    <x v="45"/>
    <x v="45"/>
    <x v="45"/>
    <x v="0"/>
    <x v="37"/>
    <x v="38"/>
    <x v="0"/>
    <x v="0"/>
    <x v="6"/>
    <x v="5"/>
    <x v="5"/>
    <x v="6"/>
    <x v="5"/>
  </r>
  <r>
    <x v="30"/>
    <x v="30"/>
    <x v="46"/>
    <x v="29"/>
    <x v="46"/>
    <x v="46"/>
    <x v="46"/>
    <x v="9"/>
    <x v="14"/>
    <x v="14"/>
    <x v="8"/>
    <x v="8"/>
    <x v="14"/>
    <x v="4"/>
    <x v="2"/>
    <x v="5"/>
    <x v="2"/>
  </r>
  <r>
    <x v="29"/>
    <x v="29"/>
    <x v="47"/>
    <x v="22"/>
    <x v="47"/>
    <x v="47"/>
    <x v="47"/>
    <x v="10"/>
    <x v="38"/>
    <x v="39"/>
    <x v="4"/>
    <x v="9"/>
    <x v="34"/>
    <x v="5"/>
    <x v="7"/>
    <x v="6"/>
    <x v="8"/>
  </r>
  <r>
    <x v="30"/>
    <x v="30"/>
    <x v="48"/>
    <x v="8"/>
    <x v="48"/>
    <x v="48"/>
    <x v="48"/>
    <x v="9"/>
    <x v="14"/>
    <x v="14"/>
    <x v="8"/>
    <x v="8"/>
    <x v="14"/>
    <x v="4"/>
    <x v="2"/>
    <x v="5"/>
    <x v="2"/>
  </r>
  <r>
    <x v="28"/>
    <x v="28"/>
    <x v="49"/>
    <x v="23"/>
    <x v="49"/>
    <x v="49"/>
    <x v="49"/>
    <x v="9"/>
    <x v="14"/>
    <x v="14"/>
    <x v="8"/>
    <x v="8"/>
    <x v="14"/>
    <x v="4"/>
    <x v="2"/>
    <x v="5"/>
    <x v="2"/>
  </r>
  <r>
    <x v="24"/>
    <x v="24"/>
    <x v="50"/>
    <x v="36"/>
    <x v="50"/>
    <x v="50"/>
    <x v="50"/>
    <x v="7"/>
    <x v="39"/>
    <x v="40"/>
    <x v="9"/>
    <x v="7"/>
    <x v="2"/>
    <x v="7"/>
    <x v="0"/>
    <x v="8"/>
    <x v="0"/>
  </r>
  <r>
    <x v="31"/>
    <x v="31"/>
    <x v="51"/>
    <x v="36"/>
    <x v="51"/>
    <x v="29"/>
    <x v="51"/>
    <x v="9"/>
    <x v="14"/>
    <x v="14"/>
    <x v="8"/>
    <x v="8"/>
    <x v="14"/>
    <x v="4"/>
    <x v="2"/>
    <x v="5"/>
    <x v="2"/>
  </r>
  <r>
    <x v="31"/>
    <x v="31"/>
    <x v="52"/>
    <x v="37"/>
    <x v="52"/>
    <x v="51"/>
    <x v="52"/>
    <x v="11"/>
    <x v="40"/>
    <x v="41"/>
    <x v="9"/>
    <x v="10"/>
    <x v="35"/>
    <x v="1"/>
    <x v="2"/>
    <x v="1"/>
    <x v="2"/>
  </r>
  <r>
    <x v="32"/>
    <x v="32"/>
    <x v="31"/>
    <x v="6"/>
    <x v="53"/>
    <x v="52"/>
    <x v="53"/>
    <x v="3"/>
    <x v="41"/>
    <x v="42"/>
    <x v="3"/>
    <x v="3"/>
    <x v="36"/>
    <x v="4"/>
    <x v="5"/>
    <x v="5"/>
    <x v="5"/>
  </r>
  <r>
    <x v="33"/>
    <x v="33"/>
    <x v="53"/>
    <x v="38"/>
    <x v="54"/>
    <x v="53"/>
    <x v="54"/>
    <x v="1"/>
    <x v="42"/>
    <x v="43"/>
    <x v="1"/>
    <x v="1"/>
    <x v="5"/>
    <x v="1"/>
    <x v="0"/>
    <x v="1"/>
    <x v="0"/>
  </r>
  <r>
    <x v="34"/>
    <x v="34"/>
    <x v="54"/>
    <x v="34"/>
    <x v="55"/>
    <x v="54"/>
    <x v="55"/>
    <x v="6"/>
    <x v="43"/>
    <x v="44"/>
    <x v="11"/>
    <x v="6"/>
    <x v="35"/>
    <x v="4"/>
    <x v="0"/>
    <x v="5"/>
    <x v="0"/>
  </r>
  <r>
    <x v="35"/>
    <x v="35"/>
    <x v="55"/>
    <x v="39"/>
    <x v="56"/>
    <x v="55"/>
    <x v="56"/>
    <x v="3"/>
    <x v="44"/>
    <x v="45"/>
    <x v="3"/>
    <x v="3"/>
    <x v="37"/>
    <x v="4"/>
    <x v="5"/>
    <x v="5"/>
    <x v="5"/>
  </r>
  <r>
    <x v="36"/>
    <x v="36"/>
    <x v="56"/>
    <x v="15"/>
    <x v="57"/>
    <x v="19"/>
    <x v="19"/>
    <x v="9"/>
    <x v="14"/>
    <x v="18"/>
    <x v="8"/>
    <x v="8"/>
    <x v="18"/>
    <x v="4"/>
    <x v="2"/>
    <x v="5"/>
    <x v="2"/>
  </r>
  <r>
    <x v="37"/>
    <x v="37"/>
    <x v="57"/>
    <x v="7"/>
    <x v="58"/>
    <x v="56"/>
    <x v="57"/>
    <x v="15"/>
    <x v="45"/>
    <x v="46"/>
    <x v="0"/>
    <x v="0"/>
    <x v="37"/>
    <x v="4"/>
    <x v="1"/>
    <x v="5"/>
    <x v="9"/>
  </r>
  <r>
    <x v="35"/>
    <x v="35"/>
    <x v="58"/>
    <x v="33"/>
    <x v="59"/>
    <x v="57"/>
    <x v="58"/>
    <x v="9"/>
    <x v="14"/>
    <x v="14"/>
    <x v="8"/>
    <x v="8"/>
    <x v="14"/>
    <x v="4"/>
    <x v="2"/>
    <x v="5"/>
    <x v="2"/>
  </r>
  <r>
    <x v="38"/>
    <x v="38"/>
    <x v="59"/>
    <x v="40"/>
    <x v="60"/>
    <x v="58"/>
    <x v="59"/>
    <x v="7"/>
    <x v="46"/>
    <x v="47"/>
    <x v="6"/>
    <x v="7"/>
    <x v="38"/>
    <x v="4"/>
    <x v="4"/>
    <x v="5"/>
    <x v="4"/>
  </r>
  <r>
    <x v="37"/>
    <x v="37"/>
    <x v="60"/>
    <x v="15"/>
    <x v="57"/>
    <x v="19"/>
    <x v="19"/>
    <x v="9"/>
    <x v="14"/>
    <x v="18"/>
    <x v="8"/>
    <x v="8"/>
    <x v="18"/>
    <x v="4"/>
    <x v="2"/>
    <x v="5"/>
    <x v="2"/>
  </r>
  <r>
    <x v="39"/>
    <x v="39"/>
    <x v="61"/>
    <x v="41"/>
    <x v="61"/>
    <x v="59"/>
    <x v="60"/>
    <x v="1"/>
    <x v="47"/>
    <x v="48"/>
    <x v="1"/>
    <x v="1"/>
    <x v="39"/>
    <x v="0"/>
    <x v="4"/>
    <x v="0"/>
    <x v="4"/>
  </r>
  <r>
    <x v="40"/>
    <x v="40"/>
    <x v="62"/>
    <x v="25"/>
    <x v="62"/>
    <x v="60"/>
    <x v="61"/>
    <x v="3"/>
    <x v="48"/>
    <x v="49"/>
    <x v="3"/>
    <x v="3"/>
    <x v="40"/>
    <x v="0"/>
    <x v="2"/>
    <x v="0"/>
    <x v="2"/>
  </r>
  <r>
    <x v="40"/>
    <x v="40"/>
    <x v="63"/>
    <x v="30"/>
    <x v="63"/>
    <x v="61"/>
    <x v="62"/>
    <x v="11"/>
    <x v="49"/>
    <x v="50"/>
    <x v="9"/>
    <x v="10"/>
    <x v="41"/>
    <x v="1"/>
    <x v="2"/>
    <x v="1"/>
    <x v="2"/>
  </r>
  <r>
    <x v="41"/>
    <x v="41"/>
    <x v="64"/>
    <x v="28"/>
    <x v="64"/>
    <x v="62"/>
    <x v="63"/>
    <x v="9"/>
    <x v="14"/>
    <x v="14"/>
    <x v="8"/>
    <x v="8"/>
    <x v="14"/>
    <x v="4"/>
    <x v="2"/>
    <x v="5"/>
    <x v="2"/>
  </r>
  <r>
    <x v="41"/>
    <x v="41"/>
    <x v="65"/>
    <x v="25"/>
    <x v="65"/>
    <x v="63"/>
    <x v="64"/>
    <x v="9"/>
    <x v="14"/>
    <x v="14"/>
    <x v="8"/>
    <x v="8"/>
    <x v="14"/>
    <x v="4"/>
    <x v="2"/>
    <x v="5"/>
    <x v="2"/>
  </r>
  <r>
    <x v="42"/>
    <x v="42"/>
    <x v="66"/>
    <x v="42"/>
    <x v="66"/>
    <x v="64"/>
    <x v="65"/>
    <x v="3"/>
    <x v="50"/>
    <x v="51"/>
    <x v="3"/>
    <x v="3"/>
    <x v="42"/>
    <x v="4"/>
    <x v="5"/>
    <x v="5"/>
    <x v="5"/>
  </r>
  <r>
    <x v="43"/>
    <x v="43"/>
    <x v="67"/>
    <x v="32"/>
    <x v="67"/>
    <x v="65"/>
    <x v="66"/>
    <x v="3"/>
    <x v="51"/>
    <x v="52"/>
    <x v="3"/>
    <x v="3"/>
    <x v="31"/>
    <x v="4"/>
    <x v="5"/>
    <x v="5"/>
    <x v="5"/>
  </r>
  <r>
    <x v="44"/>
    <x v="44"/>
    <x v="68"/>
    <x v="42"/>
    <x v="68"/>
    <x v="66"/>
    <x v="67"/>
    <x v="3"/>
    <x v="52"/>
    <x v="53"/>
    <x v="3"/>
    <x v="3"/>
    <x v="42"/>
    <x v="4"/>
    <x v="5"/>
    <x v="5"/>
    <x v="5"/>
  </r>
  <r>
    <x v="45"/>
    <x v="45"/>
    <x v="69"/>
    <x v="42"/>
    <x v="69"/>
    <x v="67"/>
    <x v="30"/>
    <x v="9"/>
    <x v="14"/>
    <x v="14"/>
    <x v="8"/>
    <x v="8"/>
    <x v="14"/>
    <x v="4"/>
    <x v="2"/>
    <x v="5"/>
    <x v="2"/>
  </r>
  <r>
    <x v="46"/>
    <x v="46"/>
    <x v="70"/>
    <x v="15"/>
    <x v="57"/>
    <x v="19"/>
    <x v="19"/>
    <x v="9"/>
    <x v="14"/>
    <x v="18"/>
    <x v="8"/>
    <x v="8"/>
    <x v="18"/>
    <x v="4"/>
    <x v="2"/>
    <x v="5"/>
    <x v="2"/>
  </r>
  <r>
    <x v="45"/>
    <x v="45"/>
    <x v="71"/>
    <x v="33"/>
    <x v="70"/>
    <x v="68"/>
    <x v="68"/>
    <x v="9"/>
    <x v="14"/>
    <x v="14"/>
    <x v="8"/>
    <x v="8"/>
    <x v="14"/>
    <x v="4"/>
    <x v="2"/>
    <x v="5"/>
    <x v="2"/>
  </r>
  <r>
    <x v="47"/>
    <x v="47"/>
    <x v="19"/>
    <x v="15"/>
    <x v="19"/>
    <x v="19"/>
    <x v="19"/>
    <x v="9"/>
    <x v="14"/>
    <x v="18"/>
    <x v="8"/>
    <x v="8"/>
    <x v="18"/>
    <x v="4"/>
    <x v="2"/>
    <x v="5"/>
    <x v="2"/>
  </r>
  <r>
    <x v="48"/>
    <x v="48"/>
    <x v="19"/>
    <x v="15"/>
    <x v="19"/>
    <x v="19"/>
    <x v="19"/>
    <x v="9"/>
    <x v="14"/>
    <x v="18"/>
    <x v="8"/>
    <x v="8"/>
    <x v="18"/>
    <x v="4"/>
    <x v="2"/>
    <x v="5"/>
    <x v="2"/>
  </r>
  <r>
    <x v="49"/>
    <x v="49"/>
    <x v="72"/>
    <x v="10"/>
    <x v="71"/>
    <x v="69"/>
    <x v="69"/>
    <x v="1"/>
    <x v="53"/>
    <x v="54"/>
    <x v="1"/>
    <x v="1"/>
    <x v="0"/>
    <x v="0"/>
    <x v="4"/>
    <x v="0"/>
    <x v="4"/>
  </r>
  <r>
    <x v="50"/>
    <x v="50"/>
    <x v="73"/>
    <x v="29"/>
    <x v="72"/>
    <x v="70"/>
    <x v="70"/>
    <x v="0"/>
    <x v="54"/>
    <x v="55"/>
    <x v="0"/>
    <x v="0"/>
    <x v="43"/>
    <x v="4"/>
    <x v="1"/>
    <x v="5"/>
    <x v="1"/>
  </r>
  <r>
    <x v="51"/>
    <x v="51"/>
    <x v="74"/>
    <x v="42"/>
    <x v="73"/>
    <x v="71"/>
    <x v="71"/>
    <x v="9"/>
    <x v="14"/>
    <x v="14"/>
    <x v="8"/>
    <x v="8"/>
    <x v="14"/>
    <x v="4"/>
    <x v="2"/>
    <x v="5"/>
    <x v="2"/>
  </r>
  <r>
    <x v="52"/>
    <x v="52"/>
    <x v="75"/>
    <x v="29"/>
    <x v="74"/>
    <x v="72"/>
    <x v="72"/>
    <x v="9"/>
    <x v="14"/>
    <x v="14"/>
    <x v="8"/>
    <x v="8"/>
    <x v="14"/>
    <x v="4"/>
    <x v="2"/>
    <x v="5"/>
    <x v="2"/>
  </r>
  <r>
    <x v="53"/>
    <x v="53"/>
    <x v="76"/>
    <x v="33"/>
    <x v="75"/>
    <x v="73"/>
    <x v="73"/>
    <x v="9"/>
    <x v="14"/>
    <x v="14"/>
    <x v="8"/>
    <x v="8"/>
    <x v="14"/>
    <x v="4"/>
    <x v="2"/>
    <x v="5"/>
    <x v="2"/>
  </r>
  <r>
    <x v="54"/>
    <x v="54"/>
    <x v="77"/>
    <x v="21"/>
    <x v="76"/>
    <x v="74"/>
    <x v="74"/>
    <x v="9"/>
    <x v="14"/>
    <x v="14"/>
    <x v="8"/>
    <x v="8"/>
    <x v="14"/>
    <x v="4"/>
    <x v="2"/>
    <x v="5"/>
    <x v="2"/>
  </r>
  <r>
    <x v="55"/>
    <x v="55"/>
    <x v="78"/>
    <x v="21"/>
    <x v="77"/>
    <x v="75"/>
    <x v="75"/>
    <x v="9"/>
    <x v="14"/>
    <x v="14"/>
    <x v="8"/>
    <x v="8"/>
    <x v="14"/>
    <x v="4"/>
    <x v="2"/>
    <x v="5"/>
    <x v="2"/>
  </r>
  <r>
    <x v="56"/>
    <x v="56"/>
    <x v="79"/>
    <x v="42"/>
    <x v="78"/>
    <x v="76"/>
    <x v="76"/>
    <x v="3"/>
    <x v="55"/>
    <x v="56"/>
    <x v="3"/>
    <x v="3"/>
    <x v="42"/>
    <x v="4"/>
    <x v="5"/>
    <x v="5"/>
    <x v="5"/>
  </r>
  <r>
    <x v="57"/>
    <x v="57"/>
    <x v="80"/>
    <x v="39"/>
    <x v="79"/>
    <x v="77"/>
    <x v="77"/>
    <x v="6"/>
    <x v="56"/>
    <x v="57"/>
    <x v="11"/>
    <x v="6"/>
    <x v="2"/>
    <x v="0"/>
    <x v="5"/>
    <x v="0"/>
    <x v="5"/>
  </r>
  <r>
    <x v="58"/>
    <x v="58"/>
    <x v="81"/>
    <x v="29"/>
    <x v="80"/>
    <x v="78"/>
    <x v="78"/>
    <x v="9"/>
    <x v="14"/>
    <x v="14"/>
    <x v="8"/>
    <x v="8"/>
    <x v="14"/>
    <x v="4"/>
    <x v="2"/>
    <x v="5"/>
    <x v="2"/>
  </r>
  <r>
    <x v="59"/>
    <x v="59"/>
    <x v="82"/>
    <x v="15"/>
    <x v="57"/>
    <x v="19"/>
    <x v="19"/>
    <x v="9"/>
    <x v="14"/>
    <x v="18"/>
    <x v="8"/>
    <x v="8"/>
    <x v="18"/>
    <x v="4"/>
    <x v="2"/>
    <x v="5"/>
    <x v="2"/>
  </r>
  <r>
    <x v="56"/>
    <x v="56"/>
    <x v="83"/>
    <x v="0"/>
    <x v="81"/>
    <x v="79"/>
    <x v="79"/>
    <x v="9"/>
    <x v="14"/>
    <x v="14"/>
    <x v="8"/>
    <x v="8"/>
    <x v="14"/>
    <x v="4"/>
    <x v="2"/>
    <x v="5"/>
    <x v="2"/>
  </r>
  <r>
    <x v="57"/>
    <x v="57"/>
    <x v="84"/>
    <x v="43"/>
    <x v="82"/>
    <x v="80"/>
    <x v="80"/>
    <x v="9"/>
    <x v="14"/>
    <x v="14"/>
    <x v="8"/>
    <x v="8"/>
    <x v="14"/>
    <x v="4"/>
    <x v="2"/>
    <x v="5"/>
    <x v="2"/>
  </r>
  <r>
    <x v="58"/>
    <x v="58"/>
    <x v="85"/>
    <x v="33"/>
    <x v="83"/>
    <x v="81"/>
    <x v="81"/>
    <x v="9"/>
    <x v="14"/>
    <x v="14"/>
    <x v="8"/>
    <x v="8"/>
    <x v="14"/>
    <x v="4"/>
    <x v="2"/>
    <x v="5"/>
    <x v="2"/>
  </r>
  <r>
    <x v="59"/>
    <x v="59"/>
    <x v="86"/>
    <x v="33"/>
    <x v="84"/>
    <x v="82"/>
    <x v="82"/>
    <x v="6"/>
    <x v="57"/>
    <x v="58"/>
    <x v="3"/>
    <x v="6"/>
    <x v="17"/>
    <x v="4"/>
    <x v="0"/>
    <x v="5"/>
    <x v="0"/>
  </r>
  <r>
    <x v="53"/>
    <x v="53"/>
    <x v="87"/>
    <x v="33"/>
    <x v="85"/>
    <x v="83"/>
    <x v="83"/>
    <x v="3"/>
    <x v="58"/>
    <x v="59"/>
    <x v="3"/>
    <x v="3"/>
    <x v="17"/>
    <x v="4"/>
    <x v="5"/>
    <x v="5"/>
    <x v="5"/>
  </r>
  <r>
    <x v="54"/>
    <x v="54"/>
    <x v="88"/>
    <x v="15"/>
    <x v="57"/>
    <x v="19"/>
    <x v="19"/>
    <x v="9"/>
    <x v="14"/>
    <x v="18"/>
    <x v="8"/>
    <x v="8"/>
    <x v="18"/>
    <x v="4"/>
    <x v="2"/>
    <x v="5"/>
    <x v="2"/>
  </r>
  <r>
    <x v="60"/>
    <x v="60"/>
    <x v="89"/>
    <x v="39"/>
    <x v="86"/>
    <x v="84"/>
    <x v="84"/>
    <x v="6"/>
    <x v="59"/>
    <x v="60"/>
    <x v="11"/>
    <x v="6"/>
    <x v="2"/>
    <x v="5"/>
    <x v="2"/>
    <x v="6"/>
    <x v="2"/>
  </r>
  <r>
    <x v="61"/>
    <x v="61"/>
    <x v="90"/>
    <x v="23"/>
    <x v="87"/>
    <x v="85"/>
    <x v="85"/>
    <x v="9"/>
    <x v="14"/>
    <x v="14"/>
    <x v="8"/>
    <x v="8"/>
    <x v="14"/>
    <x v="4"/>
    <x v="2"/>
    <x v="5"/>
    <x v="2"/>
  </r>
  <r>
    <x v="61"/>
    <x v="61"/>
    <x v="91"/>
    <x v="33"/>
    <x v="88"/>
    <x v="86"/>
    <x v="86"/>
    <x v="9"/>
    <x v="14"/>
    <x v="14"/>
    <x v="8"/>
    <x v="8"/>
    <x v="14"/>
    <x v="4"/>
    <x v="2"/>
    <x v="5"/>
    <x v="2"/>
  </r>
  <r>
    <x v="62"/>
    <x v="62"/>
    <x v="92"/>
    <x v="29"/>
    <x v="89"/>
    <x v="87"/>
    <x v="87"/>
    <x v="9"/>
    <x v="14"/>
    <x v="14"/>
    <x v="8"/>
    <x v="8"/>
    <x v="14"/>
    <x v="4"/>
    <x v="2"/>
    <x v="5"/>
    <x v="2"/>
  </r>
  <r>
    <x v="52"/>
    <x v="52"/>
    <x v="93"/>
    <x v="26"/>
    <x v="90"/>
    <x v="88"/>
    <x v="88"/>
    <x v="6"/>
    <x v="60"/>
    <x v="61"/>
    <x v="11"/>
    <x v="6"/>
    <x v="44"/>
    <x v="5"/>
    <x v="2"/>
    <x v="6"/>
    <x v="2"/>
  </r>
  <r>
    <x v="63"/>
    <x v="63"/>
    <x v="94"/>
    <x v="33"/>
    <x v="91"/>
    <x v="89"/>
    <x v="89"/>
    <x v="9"/>
    <x v="14"/>
    <x v="14"/>
    <x v="8"/>
    <x v="8"/>
    <x v="14"/>
    <x v="4"/>
    <x v="2"/>
    <x v="5"/>
    <x v="2"/>
  </r>
  <r>
    <x v="64"/>
    <x v="64"/>
    <x v="95"/>
    <x v="42"/>
    <x v="92"/>
    <x v="90"/>
    <x v="90"/>
    <x v="3"/>
    <x v="61"/>
    <x v="62"/>
    <x v="3"/>
    <x v="3"/>
    <x v="42"/>
    <x v="4"/>
    <x v="5"/>
    <x v="5"/>
    <x v="5"/>
  </r>
  <r>
    <x v="65"/>
    <x v="65"/>
    <x v="96"/>
    <x v="4"/>
    <x v="93"/>
    <x v="91"/>
    <x v="91"/>
    <x v="3"/>
    <x v="62"/>
    <x v="63"/>
    <x v="3"/>
    <x v="3"/>
    <x v="45"/>
    <x v="0"/>
    <x v="2"/>
    <x v="0"/>
    <x v="2"/>
  </r>
  <r>
    <x v="66"/>
    <x v="66"/>
    <x v="97"/>
    <x v="44"/>
    <x v="94"/>
    <x v="92"/>
    <x v="92"/>
    <x v="0"/>
    <x v="63"/>
    <x v="64"/>
    <x v="0"/>
    <x v="0"/>
    <x v="46"/>
    <x v="5"/>
    <x v="5"/>
    <x v="6"/>
    <x v="5"/>
  </r>
  <r>
    <x v="64"/>
    <x v="64"/>
    <x v="98"/>
    <x v="39"/>
    <x v="95"/>
    <x v="93"/>
    <x v="93"/>
    <x v="3"/>
    <x v="64"/>
    <x v="65"/>
    <x v="3"/>
    <x v="3"/>
    <x v="37"/>
    <x v="0"/>
    <x v="2"/>
    <x v="0"/>
    <x v="2"/>
  </r>
  <r>
    <x v="67"/>
    <x v="67"/>
    <x v="99"/>
    <x v="33"/>
    <x v="96"/>
    <x v="94"/>
    <x v="94"/>
    <x v="9"/>
    <x v="14"/>
    <x v="14"/>
    <x v="8"/>
    <x v="8"/>
    <x v="14"/>
    <x v="4"/>
    <x v="2"/>
    <x v="5"/>
    <x v="2"/>
  </r>
  <r>
    <x v="68"/>
    <x v="68"/>
    <x v="100"/>
    <x v="45"/>
    <x v="97"/>
    <x v="26"/>
    <x v="95"/>
    <x v="6"/>
    <x v="65"/>
    <x v="66"/>
    <x v="11"/>
    <x v="6"/>
    <x v="47"/>
    <x v="0"/>
    <x v="5"/>
    <x v="0"/>
    <x v="5"/>
  </r>
  <r>
    <x v="66"/>
    <x v="66"/>
    <x v="101"/>
    <x v="32"/>
    <x v="98"/>
    <x v="95"/>
    <x v="96"/>
    <x v="9"/>
    <x v="14"/>
    <x v="14"/>
    <x v="8"/>
    <x v="8"/>
    <x v="14"/>
    <x v="4"/>
    <x v="2"/>
    <x v="5"/>
    <x v="2"/>
  </r>
  <r>
    <x v="69"/>
    <x v="43"/>
    <x v="102"/>
    <x v="15"/>
    <x v="57"/>
    <x v="19"/>
    <x v="19"/>
    <x v="9"/>
    <x v="14"/>
    <x v="18"/>
    <x v="8"/>
    <x v="8"/>
    <x v="18"/>
    <x v="4"/>
    <x v="2"/>
    <x v="5"/>
    <x v="2"/>
  </r>
  <r>
    <x v="70"/>
    <x v="69"/>
    <x v="103"/>
    <x v="23"/>
    <x v="99"/>
    <x v="96"/>
    <x v="97"/>
    <x v="16"/>
    <x v="66"/>
    <x v="67"/>
    <x v="3"/>
    <x v="3"/>
    <x v="25"/>
    <x v="0"/>
    <x v="2"/>
    <x v="12"/>
    <x v="2"/>
  </r>
  <r>
    <x v="70"/>
    <x v="69"/>
    <x v="104"/>
    <x v="21"/>
    <x v="100"/>
    <x v="97"/>
    <x v="98"/>
    <x v="16"/>
    <x v="67"/>
    <x v="68"/>
    <x v="3"/>
    <x v="3"/>
    <x v="43"/>
    <x v="4"/>
    <x v="5"/>
    <x v="5"/>
    <x v="10"/>
  </r>
  <r>
    <x v="69"/>
    <x v="43"/>
    <x v="105"/>
    <x v="28"/>
    <x v="101"/>
    <x v="98"/>
    <x v="99"/>
    <x v="17"/>
    <x v="68"/>
    <x v="69"/>
    <x v="3"/>
    <x v="3"/>
    <x v="2"/>
    <x v="4"/>
    <x v="5"/>
    <x v="5"/>
    <x v="11"/>
  </r>
  <r>
    <x v="71"/>
    <x v="44"/>
    <x v="106"/>
    <x v="45"/>
    <x v="102"/>
    <x v="99"/>
    <x v="100"/>
    <x v="16"/>
    <x v="69"/>
    <x v="70"/>
    <x v="3"/>
    <x v="3"/>
    <x v="5"/>
    <x v="0"/>
    <x v="2"/>
    <x v="12"/>
    <x v="2"/>
  </r>
  <r>
    <x v="71"/>
    <x v="44"/>
    <x v="107"/>
    <x v="46"/>
    <x v="103"/>
    <x v="100"/>
    <x v="101"/>
    <x v="9"/>
    <x v="14"/>
    <x v="14"/>
    <x v="8"/>
    <x v="8"/>
    <x v="14"/>
    <x v="4"/>
    <x v="2"/>
    <x v="5"/>
    <x v="2"/>
  </r>
  <r>
    <x v="72"/>
    <x v="70"/>
    <x v="108"/>
    <x v="45"/>
    <x v="104"/>
    <x v="101"/>
    <x v="49"/>
    <x v="9"/>
    <x v="14"/>
    <x v="14"/>
    <x v="8"/>
    <x v="8"/>
    <x v="14"/>
    <x v="4"/>
    <x v="2"/>
    <x v="5"/>
    <x v="2"/>
  </r>
  <r>
    <x v="72"/>
    <x v="70"/>
    <x v="101"/>
    <x v="45"/>
    <x v="105"/>
    <x v="102"/>
    <x v="102"/>
    <x v="18"/>
    <x v="70"/>
    <x v="71"/>
    <x v="3"/>
    <x v="3"/>
    <x v="5"/>
    <x v="0"/>
    <x v="2"/>
    <x v="13"/>
    <x v="2"/>
  </r>
  <r>
    <x v="73"/>
    <x v="71"/>
    <x v="109"/>
    <x v="47"/>
    <x v="19"/>
    <x v="19"/>
    <x v="103"/>
    <x v="19"/>
    <x v="14"/>
    <x v="18"/>
    <x v="12"/>
    <x v="14"/>
    <x v="18"/>
    <x v="11"/>
    <x v="8"/>
    <x v="14"/>
    <x v="12"/>
  </r>
</pivotCacheRecords>
</file>

<file path=xl/pivotCache/pivotCacheRecords20.xml><?xml version="1.0" encoding="utf-8"?>
<pivotCacheRecords xmlns="http://schemas.openxmlformats.org/spreadsheetml/2006/main" xmlns:r="http://schemas.openxmlformats.org/officeDocument/2006/relationships" count="122">
  <r>
    <x v="0"/>
    <x v="0"/>
    <x v="0"/>
    <x v="0"/>
    <x v="0"/>
    <x v="0"/>
    <x v="0"/>
    <x v="0"/>
    <x v="0"/>
    <x v="0"/>
    <x v="0"/>
    <x v="0"/>
    <x v="0"/>
    <x v="0"/>
    <x v="0"/>
    <x v="0"/>
    <x v="0"/>
  </r>
  <r>
    <x v="0"/>
    <x v="0"/>
    <x v="1"/>
    <x v="1"/>
    <x v="1"/>
    <x v="1"/>
    <x v="1"/>
    <x v="1"/>
    <x v="1"/>
    <x v="1"/>
    <x v="1"/>
    <x v="1"/>
    <x v="1"/>
    <x v="1"/>
    <x v="1"/>
    <x v="1"/>
    <x v="1"/>
  </r>
  <r>
    <x v="1"/>
    <x v="1"/>
    <x v="2"/>
    <x v="2"/>
    <x v="2"/>
    <x v="2"/>
    <x v="2"/>
    <x v="2"/>
    <x v="2"/>
    <x v="2"/>
    <x v="2"/>
    <x v="2"/>
    <x v="2"/>
    <x v="2"/>
    <x v="2"/>
    <x v="2"/>
    <x v="2"/>
  </r>
  <r>
    <x v="2"/>
    <x v="2"/>
    <x v="3"/>
    <x v="3"/>
    <x v="3"/>
    <x v="3"/>
    <x v="3"/>
    <x v="3"/>
    <x v="3"/>
    <x v="3"/>
    <x v="3"/>
    <x v="3"/>
    <x v="3"/>
    <x v="3"/>
    <x v="3"/>
    <x v="3"/>
    <x v="3"/>
  </r>
  <r>
    <x v="2"/>
    <x v="2"/>
    <x v="4"/>
    <x v="4"/>
    <x v="4"/>
    <x v="4"/>
    <x v="4"/>
    <x v="4"/>
    <x v="4"/>
    <x v="4"/>
    <x v="1"/>
    <x v="4"/>
    <x v="4"/>
    <x v="4"/>
    <x v="2"/>
    <x v="4"/>
    <x v="2"/>
  </r>
  <r>
    <x v="1"/>
    <x v="1"/>
    <x v="5"/>
    <x v="5"/>
    <x v="5"/>
    <x v="5"/>
    <x v="5"/>
    <x v="5"/>
    <x v="5"/>
    <x v="5"/>
    <x v="4"/>
    <x v="5"/>
    <x v="5"/>
    <x v="5"/>
    <x v="1"/>
    <x v="5"/>
    <x v="1"/>
  </r>
  <r>
    <x v="3"/>
    <x v="3"/>
    <x v="6"/>
    <x v="6"/>
    <x v="6"/>
    <x v="6"/>
    <x v="6"/>
    <x v="6"/>
    <x v="6"/>
    <x v="6"/>
    <x v="5"/>
    <x v="6"/>
    <x v="6"/>
    <x v="3"/>
    <x v="4"/>
    <x v="3"/>
    <x v="4"/>
  </r>
  <r>
    <x v="3"/>
    <x v="3"/>
    <x v="7"/>
    <x v="7"/>
    <x v="7"/>
    <x v="7"/>
    <x v="7"/>
    <x v="7"/>
    <x v="7"/>
    <x v="7"/>
    <x v="6"/>
    <x v="7"/>
    <x v="7"/>
    <x v="6"/>
    <x v="3"/>
    <x v="6"/>
    <x v="3"/>
  </r>
  <r>
    <x v="4"/>
    <x v="4"/>
    <x v="8"/>
    <x v="8"/>
    <x v="8"/>
    <x v="8"/>
    <x v="8"/>
    <x v="8"/>
    <x v="8"/>
    <x v="8"/>
    <x v="0"/>
    <x v="8"/>
    <x v="8"/>
    <x v="7"/>
    <x v="3"/>
    <x v="7"/>
    <x v="3"/>
  </r>
  <r>
    <x v="4"/>
    <x v="4"/>
    <x v="9"/>
    <x v="9"/>
    <x v="9"/>
    <x v="9"/>
    <x v="9"/>
    <x v="9"/>
    <x v="9"/>
    <x v="9"/>
    <x v="7"/>
    <x v="8"/>
    <x v="9"/>
    <x v="3"/>
    <x v="5"/>
    <x v="3"/>
    <x v="5"/>
  </r>
  <r>
    <x v="5"/>
    <x v="5"/>
    <x v="10"/>
    <x v="8"/>
    <x v="10"/>
    <x v="10"/>
    <x v="10"/>
    <x v="10"/>
    <x v="10"/>
    <x v="10"/>
    <x v="8"/>
    <x v="9"/>
    <x v="10"/>
    <x v="7"/>
    <x v="0"/>
    <x v="8"/>
    <x v="6"/>
  </r>
  <r>
    <x v="6"/>
    <x v="6"/>
    <x v="11"/>
    <x v="10"/>
    <x v="11"/>
    <x v="11"/>
    <x v="11"/>
    <x v="11"/>
    <x v="11"/>
    <x v="11"/>
    <x v="9"/>
    <x v="10"/>
    <x v="11"/>
    <x v="7"/>
    <x v="6"/>
    <x v="9"/>
    <x v="7"/>
  </r>
  <r>
    <x v="7"/>
    <x v="7"/>
    <x v="12"/>
    <x v="11"/>
    <x v="12"/>
    <x v="12"/>
    <x v="12"/>
    <x v="12"/>
    <x v="12"/>
    <x v="12"/>
    <x v="6"/>
    <x v="7"/>
    <x v="12"/>
    <x v="8"/>
    <x v="7"/>
    <x v="10"/>
    <x v="8"/>
  </r>
  <r>
    <x v="6"/>
    <x v="6"/>
    <x v="13"/>
    <x v="12"/>
    <x v="13"/>
    <x v="13"/>
    <x v="13"/>
    <x v="13"/>
    <x v="13"/>
    <x v="13"/>
    <x v="10"/>
    <x v="5"/>
    <x v="13"/>
    <x v="5"/>
    <x v="1"/>
    <x v="11"/>
    <x v="9"/>
  </r>
  <r>
    <x v="5"/>
    <x v="5"/>
    <x v="14"/>
    <x v="13"/>
    <x v="14"/>
    <x v="14"/>
    <x v="14"/>
    <x v="11"/>
    <x v="14"/>
    <x v="14"/>
    <x v="11"/>
    <x v="10"/>
    <x v="14"/>
    <x v="9"/>
    <x v="5"/>
    <x v="12"/>
    <x v="5"/>
  </r>
  <r>
    <x v="8"/>
    <x v="8"/>
    <x v="15"/>
    <x v="14"/>
    <x v="15"/>
    <x v="15"/>
    <x v="15"/>
    <x v="14"/>
    <x v="15"/>
    <x v="15"/>
    <x v="12"/>
    <x v="11"/>
    <x v="15"/>
    <x v="6"/>
    <x v="0"/>
    <x v="13"/>
    <x v="10"/>
  </r>
  <r>
    <x v="9"/>
    <x v="9"/>
    <x v="16"/>
    <x v="15"/>
    <x v="16"/>
    <x v="16"/>
    <x v="16"/>
    <x v="15"/>
    <x v="16"/>
    <x v="16"/>
    <x v="7"/>
    <x v="8"/>
    <x v="16"/>
    <x v="10"/>
    <x v="0"/>
    <x v="14"/>
    <x v="0"/>
  </r>
  <r>
    <x v="8"/>
    <x v="8"/>
    <x v="17"/>
    <x v="16"/>
    <x v="17"/>
    <x v="17"/>
    <x v="17"/>
    <x v="7"/>
    <x v="17"/>
    <x v="17"/>
    <x v="6"/>
    <x v="7"/>
    <x v="17"/>
    <x v="6"/>
    <x v="3"/>
    <x v="6"/>
    <x v="3"/>
  </r>
  <r>
    <x v="9"/>
    <x v="9"/>
    <x v="18"/>
    <x v="17"/>
    <x v="18"/>
    <x v="18"/>
    <x v="18"/>
    <x v="16"/>
    <x v="18"/>
    <x v="18"/>
    <x v="5"/>
    <x v="6"/>
    <x v="18"/>
    <x v="6"/>
    <x v="1"/>
    <x v="15"/>
    <x v="11"/>
  </r>
  <r>
    <x v="10"/>
    <x v="10"/>
    <x v="19"/>
    <x v="6"/>
    <x v="19"/>
    <x v="19"/>
    <x v="19"/>
    <x v="17"/>
    <x v="19"/>
    <x v="19"/>
    <x v="13"/>
    <x v="12"/>
    <x v="19"/>
    <x v="11"/>
    <x v="8"/>
    <x v="16"/>
    <x v="12"/>
  </r>
  <r>
    <x v="11"/>
    <x v="11"/>
    <x v="20"/>
    <x v="18"/>
    <x v="20"/>
    <x v="20"/>
    <x v="20"/>
    <x v="18"/>
    <x v="20"/>
    <x v="20"/>
    <x v="14"/>
    <x v="13"/>
    <x v="20"/>
    <x v="12"/>
    <x v="7"/>
    <x v="17"/>
    <x v="8"/>
  </r>
  <r>
    <x v="10"/>
    <x v="10"/>
    <x v="21"/>
    <x v="19"/>
    <x v="21"/>
    <x v="21"/>
    <x v="21"/>
    <x v="19"/>
    <x v="21"/>
    <x v="21"/>
    <x v="15"/>
    <x v="14"/>
    <x v="21"/>
    <x v="13"/>
    <x v="9"/>
    <x v="18"/>
    <x v="13"/>
  </r>
  <r>
    <x v="11"/>
    <x v="11"/>
    <x v="20"/>
    <x v="18"/>
    <x v="20"/>
    <x v="20"/>
    <x v="20"/>
    <x v="18"/>
    <x v="20"/>
    <x v="20"/>
    <x v="14"/>
    <x v="13"/>
    <x v="20"/>
    <x v="12"/>
    <x v="7"/>
    <x v="17"/>
    <x v="8"/>
  </r>
  <r>
    <x v="12"/>
    <x v="12"/>
    <x v="22"/>
    <x v="20"/>
    <x v="22"/>
    <x v="22"/>
    <x v="22"/>
    <x v="0"/>
    <x v="22"/>
    <x v="22"/>
    <x v="0"/>
    <x v="0"/>
    <x v="22"/>
    <x v="3"/>
    <x v="10"/>
    <x v="3"/>
    <x v="14"/>
  </r>
  <r>
    <x v="13"/>
    <x v="13"/>
    <x v="23"/>
    <x v="21"/>
    <x v="23"/>
    <x v="23"/>
    <x v="23"/>
    <x v="20"/>
    <x v="23"/>
    <x v="23"/>
    <x v="0"/>
    <x v="8"/>
    <x v="23"/>
    <x v="9"/>
    <x v="7"/>
    <x v="19"/>
    <x v="8"/>
  </r>
  <r>
    <x v="12"/>
    <x v="12"/>
    <x v="24"/>
    <x v="22"/>
    <x v="24"/>
    <x v="24"/>
    <x v="24"/>
    <x v="21"/>
    <x v="24"/>
    <x v="24"/>
    <x v="16"/>
    <x v="15"/>
    <x v="24"/>
    <x v="14"/>
    <x v="5"/>
    <x v="20"/>
    <x v="5"/>
  </r>
  <r>
    <x v="14"/>
    <x v="14"/>
    <x v="25"/>
    <x v="23"/>
    <x v="25"/>
    <x v="25"/>
    <x v="25"/>
    <x v="20"/>
    <x v="25"/>
    <x v="25"/>
    <x v="0"/>
    <x v="8"/>
    <x v="25"/>
    <x v="10"/>
    <x v="0"/>
    <x v="21"/>
    <x v="0"/>
  </r>
  <r>
    <x v="14"/>
    <x v="14"/>
    <x v="26"/>
    <x v="24"/>
    <x v="26"/>
    <x v="26"/>
    <x v="26"/>
    <x v="22"/>
    <x v="26"/>
    <x v="26"/>
    <x v="2"/>
    <x v="16"/>
    <x v="26"/>
    <x v="15"/>
    <x v="2"/>
    <x v="22"/>
    <x v="15"/>
  </r>
  <r>
    <x v="15"/>
    <x v="15"/>
    <x v="27"/>
    <x v="25"/>
    <x v="27"/>
    <x v="27"/>
    <x v="27"/>
    <x v="18"/>
    <x v="20"/>
    <x v="27"/>
    <x v="14"/>
    <x v="13"/>
    <x v="27"/>
    <x v="12"/>
    <x v="7"/>
    <x v="17"/>
    <x v="8"/>
  </r>
  <r>
    <x v="16"/>
    <x v="16"/>
    <x v="28"/>
    <x v="26"/>
    <x v="28"/>
    <x v="28"/>
    <x v="28"/>
    <x v="18"/>
    <x v="20"/>
    <x v="27"/>
    <x v="14"/>
    <x v="13"/>
    <x v="27"/>
    <x v="12"/>
    <x v="7"/>
    <x v="17"/>
    <x v="8"/>
  </r>
  <r>
    <x v="17"/>
    <x v="17"/>
    <x v="29"/>
    <x v="27"/>
    <x v="29"/>
    <x v="29"/>
    <x v="29"/>
    <x v="18"/>
    <x v="20"/>
    <x v="27"/>
    <x v="14"/>
    <x v="13"/>
    <x v="27"/>
    <x v="12"/>
    <x v="7"/>
    <x v="17"/>
    <x v="8"/>
  </r>
  <r>
    <x v="18"/>
    <x v="18"/>
    <x v="30"/>
    <x v="28"/>
    <x v="30"/>
    <x v="30"/>
    <x v="30"/>
    <x v="23"/>
    <x v="27"/>
    <x v="28"/>
    <x v="12"/>
    <x v="11"/>
    <x v="28"/>
    <x v="3"/>
    <x v="7"/>
    <x v="23"/>
    <x v="8"/>
  </r>
  <r>
    <x v="19"/>
    <x v="19"/>
    <x v="31"/>
    <x v="29"/>
    <x v="31"/>
    <x v="31"/>
    <x v="31"/>
    <x v="24"/>
    <x v="28"/>
    <x v="29"/>
    <x v="17"/>
    <x v="17"/>
    <x v="29"/>
    <x v="16"/>
    <x v="5"/>
    <x v="24"/>
    <x v="5"/>
  </r>
  <r>
    <x v="20"/>
    <x v="20"/>
    <x v="32"/>
    <x v="26"/>
    <x v="32"/>
    <x v="32"/>
    <x v="32"/>
    <x v="18"/>
    <x v="20"/>
    <x v="27"/>
    <x v="14"/>
    <x v="13"/>
    <x v="27"/>
    <x v="12"/>
    <x v="7"/>
    <x v="17"/>
    <x v="8"/>
  </r>
  <r>
    <x v="21"/>
    <x v="21"/>
    <x v="33"/>
    <x v="11"/>
    <x v="33"/>
    <x v="33"/>
    <x v="33"/>
    <x v="25"/>
    <x v="29"/>
    <x v="30"/>
    <x v="3"/>
    <x v="3"/>
    <x v="30"/>
    <x v="0"/>
    <x v="7"/>
    <x v="0"/>
    <x v="8"/>
  </r>
  <r>
    <x v="22"/>
    <x v="22"/>
    <x v="34"/>
    <x v="16"/>
    <x v="34"/>
    <x v="34"/>
    <x v="34"/>
    <x v="26"/>
    <x v="30"/>
    <x v="31"/>
    <x v="18"/>
    <x v="18"/>
    <x v="31"/>
    <x v="6"/>
    <x v="7"/>
    <x v="6"/>
    <x v="8"/>
  </r>
  <r>
    <x v="19"/>
    <x v="19"/>
    <x v="35"/>
    <x v="8"/>
    <x v="35"/>
    <x v="35"/>
    <x v="35"/>
    <x v="20"/>
    <x v="31"/>
    <x v="32"/>
    <x v="7"/>
    <x v="8"/>
    <x v="32"/>
    <x v="7"/>
    <x v="3"/>
    <x v="8"/>
    <x v="3"/>
  </r>
  <r>
    <x v="20"/>
    <x v="20"/>
    <x v="36"/>
    <x v="30"/>
    <x v="36"/>
    <x v="36"/>
    <x v="36"/>
    <x v="18"/>
    <x v="20"/>
    <x v="27"/>
    <x v="14"/>
    <x v="13"/>
    <x v="27"/>
    <x v="12"/>
    <x v="7"/>
    <x v="17"/>
    <x v="8"/>
  </r>
  <r>
    <x v="21"/>
    <x v="21"/>
    <x v="37"/>
    <x v="31"/>
    <x v="37"/>
    <x v="37"/>
    <x v="37"/>
    <x v="0"/>
    <x v="32"/>
    <x v="33"/>
    <x v="0"/>
    <x v="0"/>
    <x v="33"/>
    <x v="3"/>
    <x v="10"/>
    <x v="23"/>
    <x v="16"/>
  </r>
  <r>
    <x v="23"/>
    <x v="23"/>
    <x v="38"/>
    <x v="32"/>
    <x v="38"/>
    <x v="38"/>
    <x v="38"/>
    <x v="27"/>
    <x v="33"/>
    <x v="34"/>
    <x v="7"/>
    <x v="9"/>
    <x v="34"/>
    <x v="0"/>
    <x v="5"/>
    <x v="25"/>
    <x v="17"/>
  </r>
  <r>
    <x v="24"/>
    <x v="24"/>
    <x v="39"/>
    <x v="33"/>
    <x v="39"/>
    <x v="39"/>
    <x v="39"/>
    <x v="28"/>
    <x v="34"/>
    <x v="35"/>
    <x v="18"/>
    <x v="18"/>
    <x v="28"/>
    <x v="6"/>
    <x v="7"/>
    <x v="26"/>
    <x v="8"/>
  </r>
  <r>
    <x v="25"/>
    <x v="25"/>
    <x v="40"/>
    <x v="30"/>
    <x v="40"/>
    <x v="40"/>
    <x v="40"/>
    <x v="26"/>
    <x v="35"/>
    <x v="36"/>
    <x v="18"/>
    <x v="18"/>
    <x v="35"/>
    <x v="6"/>
    <x v="7"/>
    <x v="6"/>
    <x v="8"/>
  </r>
  <r>
    <x v="26"/>
    <x v="26"/>
    <x v="41"/>
    <x v="34"/>
    <x v="41"/>
    <x v="41"/>
    <x v="41"/>
    <x v="29"/>
    <x v="36"/>
    <x v="37"/>
    <x v="11"/>
    <x v="19"/>
    <x v="36"/>
    <x v="17"/>
    <x v="6"/>
    <x v="27"/>
    <x v="7"/>
  </r>
  <r>
    <x v="26"/>
    <x v="26"/>
    <x v="42"/>
    <x v="35"/>
    <x v="42"/>
    <x v="42"/>
    <x v="42"/>
    <x v="30"/>
    <x v="37"/>
    <x v="38"/>
    <x v="19"/>
    <x v="20"/>
    <x v="37"/>
    <x v="18"/>
    <x v="11"/>
    <x v="28"/>
    <x v="18"/>
  </r>
  <r>
    <x v="27"/>
    <x v="27"/>
    <x v="43"/>
    <x v="36"/>
    <x v="43"/>
    <x v="43"/>
    <x v="43"/>
    <x v="26"/>
    <x v="38"/>
    <x v="39"/>
    <x v="18"/>
    <x v="18"/>
    <x v="38"/>
    <x v="12"/>
    <x v="3"/>
    <x v="17"/>
    <x v="3"/>
  </r>
  <r>
    <x v="28"/>
    <x v="28"/>
    <x v="44"/>
    <x v="37"/>
    <x v="44"/>
    <x v="44"/>
    <x v="44"/>
    <x v="18"/>
    <x v="20"/>
    <x v="27"/>
    <x v="14"/>
    <x v="13"/>
    <x v="27"/>
    <x v="12"/>
    <x v="7"/>
    <x v="17"/>
    <x v="8"/>
  </r>
  <r>
    <x v="29"/>
    <x v="29"/>
    <x v="45"/>
    <x v="38"/>
    <x v="45"/>
    <x v="45"/>
    <x v="45"/>
    <x v="0"/>
    <x v="39"/>
    <x v="40"/>
    <x v="0"/>
    <x v="0"/>
    <x v="39"/>
    <x v="6"/>
    <x v="6"/>
    <x v="6"/>
    <x v="7"/>
  </r>
  <r>
    <x v="30"/>
    <x v="30"/>
    <x v="46"/>
    <x v="13"/>
    <x v="46"/>
    <x v="46"/>
    <x v="46"/>
    <x v="3"/>
    <x v="40"/>
    <x v="41"/>
    <x v="3"/>
    <x v="3"/>
    <x v="40"/>
    <x v="6"/>
    <x v="10"/>
    <x v="6"/>
    <x v="16"/>
  </r>
  <r>
    <x v="31"/>
    <x v="31"/>
    <x v="47"/>
    <x v="39"/>
    <x v="47"/>
    <x v="47"/>
    <x v="47"/>
    <x v="31"/>
    <x v="41"/>
    <x v="42"/>
    <x v="18"/>
    <x v="18"/>
    <x v="25"/>
    <x v="6"/>
    <x v="7"/>
    <x v="15"/>
    <x v="8"/>
  </r>
  <r>
    <x v="32"/>
    <x v="32"/>
    <x v="48"/>
    <x v="40"/>
    <x v="48"/>
    <x v="48"/>
    <x v="48"/>
    <x v="32"/>
    <x v="42"/>
    <x v="43"/>
    <x v="0"/>
    <x v="0"/>
    <x v="41"/>
    <x v="3"/>
    <x v="10"/>
    <x v="29"/>
    <x v="19"/>
  </r>
  <r>
    <x v="33"/>
    <x v="33"/>
    <x v="49"/>
    <x v="33"/>
    <x v="49"/>
    <x v="49"/>
    <x v="49"/>
    <x v="18"/>
    <x v="20"/>
    <x v="27"/>
    <x v="14"/>
    <x v="13"/>
    <x v="27"/>
    <x v="12"/>
    <x v="7"/>
    <x v="17"/>
    <x v="8"/>
  </r>
  <r>
    <x v="32"/>
    <x v="32"/>
    <x v="50"/>
    <x v="4"/>
    <x v="50"/>
    <x v="50"/>
    <x v="50"/>
    <x v="33"/>
    <x v="43"/>
    <x v="44"/>
    <x v="20"/>
    <x v="21"/>
    <x v="42"/>
    <x v="0"/>
    <x v="11"/>
    <x v="30"/>
    <x v="20"/>
  </r>
  <r>
    <x v="33"/>
    <x v="33"/>
    <x v="51"/>
    <x v="41"/>
    <x v="51"/>
    <x v="51"/>
    <x v="51"/>
    <x v="34"/>
    <x v="44"/>
    <x v="45"/>
    <x v="12"/>
    <x v="11"/>
    <x v="43"/>
    <x v="8"/>
    <x v="3"/>
    <x v="31"/>
    <x v="3"/>
  </r>
  <r>
    <x v="31"/>
    <x v="31"/>
    <x v="52"/>
    <x v="36"/>
    <x v="52"/>
    <x v="52"/>
    <x v="52"/>
    <x v="7"/>
    <x v="45"/>
    <x v="46"/>
    <x v="6"/>
    <x v="7"/>
    <x v="44"/>
    <x v="6"/>
    <x v="3"/>
    <x v="6"/>
    <x v="3"/>
  </r>
  <r>
    <x v="27"/>
    <x v="27"/>
    <x v="53"/>
    <x v="42"/>
    <x v="53"/>
    <x v="53"/>
    <x v="53"/>
    <x v="9"/>
    <x v="46"/>
    <x v="47"/>
    <x v="0"/>
    <x v="8"/>
    <x v="45"/>
    <x v="3"/>
    <x v="5"/>
    <x v="3"/>
    <x v="5"/>
  </r>
  <r>
    <x v="34"/>
    <x v="34"/>
    <x v="54"/>
    <x v="43"/>
    <x v="54"/>
    <x v="54"/>
    <x v="54"/>
    <x v="35"/>
    <x v="47"/>
    <x v="48"/>
    <x v="0"/>
    <x v="0"/>
    <x v="46"/>
    <x v="8"/>
    <x v="5"/>
    <x v="10"/>
    <x v="21"/>
  </r>
  <r>
    <x v="34"/>
    <x v="34"/>
    <x v="55"/>
    <x v="22"/>
    <x v="55"/>
    <x v="55"/>
    <x v="55"/>
    <x v="36"/>
    <x v="48"/>
    <x v="49"/>
    <x v="21"/>
    <x v="22"/>
    <x v="28"/>
    <x v="10"/>
    <x v="7"/>
    <x v="21"/>
    <x v="8"/>
  </r>
  <r>
    <x v="35"/>
    <x v="35"/>
    <x v="56"/>
    <x v="44"/>
    <x v="56"/>
    <x v="56"/>
    <x v="56"/>
    <x v="15"/>
    <x v="49"/>
    <x v="50"/>
    <x v="7"/>
    <x v="8"/>
    <x v="47"/>
    <x v="6"/>
    <x v="4"/>
    <x v="6"/>
    <x v="22"/>
  </r>
  <r>
    <x v="36"/>
    <x v="36"/>
    <x v="57"/>
    <x v="45"/>
    <x v="57"/>
    <x v="57"/>
    <x v="57"/>
    <x v="11"/>
    <x v="50"/>
    <x v="51"/>
    <x v="11"/>
    <x v="10"/>
    <x v="48"/>
    <x v="17"/>
    <x v="10"/>
    <x v="32"/>
    <x v="14"/>
  </r>
  <r>
    <x v="37"/>
    <x v="37"/>
    <x v="58"/>
    <x v="32"/>
    <x v="58"/>
    <x v="58"/>
    <x v="58"/>
    <x v="37"/>
    <x v="51"/>
    <x v="52"/>
    <x v="0"/>
    <x v="0"/>
    <x v="49"/>
    <x v="12"/>
    <x v="4"/>
    <x v="17"/>
    <x v="23"/>
  </r>
  <r>
    <x v="38"/>
    <x v="38"/>
    <x v="59"/>
    <x v="46"/>
    <x v="59"/>
    <x v="59"/>
    <x v="59"/>
    <x v="26"/>
    <x v="52"/>
    <x v="53"/>
    <x v="18"/>
    <x v="18"/>
    <x v="50"/>
    <x v="12"/>
    <x v="3"/>
    <x v="17"/>
    <x v="3"/>
  </r>
  <r>
    <x v="39"/>
    <x v="39"/>
    <x v="60"/>
    <x v="18"/>
    <x v="60"/>
    <x v="20"/>
    <x v="20"/>
    <x v="18"/>
    <x v="20"/>
    <x v="20"/>
    <x v="14"/>
    <x v="13"/>
    <x v="20"/>
    <x v="12"/>
    <x v="7"/>
    <x v="17"/>
    <x v="8"/>
  </r>
  <r>
    <x v="40"/>
    <x v="40"/>
    <x v="61"/>
    <x v="32"/>
    <x v="61"/>
    <x v="60"/>
    <x v="60"/>
    <x v="38"/>
    <x v="53"/>
    <x v="54"/>
    <x v="21"/>
    <x v="22"/>
    <x v="51"/>
    <x v="6"/>
    <x v="5"/>
    <x v="33"/>
    <x v="24"/>
  </r>
  <r>
    <x v="38"/>
    <x v="38"/>
    <x v="62"/>
    <x v="37"/>
    <x v="62"/>
    <x v="61"/>
    <x v="61"/>
    <x v="18"/>
    <x v="20"/>
    <x v="27"/>
    <x v="14"/>
    <x v="13"/>
    <x v="27"/>
    <x v="12"/>
    <x v="7"/>
    <x v="17"/>
    <x v="8"/>
  </r>
  <r>
    <x v="41"/>
    <x v="41"/>
    <x v="63"/>
    <x v="47"/>
    <x v="63"/>
    <x v="62"/>
    <x v="62"/>
    <x v="39"/>
    <x v="54"/>
    <x v="55"/>
    <x v="6"/>
    <x v="7"/>
    <x v="52"/>
    <x v="6"/>
    <x v="3"/>
    <x v="33"/>
    <x v="25"/>
  </r>
  <r>
    <x v="42"/>
    <x v="42"/>
    <x v="64"/>
    <x v="48"/>
    <x v="64"/>
    <x v="63"/>
    <x v="63"/>
    <x v="40"/>
    <x v="55"/>
    <x v="56"/>
    <x v="9"/>
    <x v="23"/>
    <x v="53"/>
    <x v="8"/>
    <x v="1"/>
    <x v="34"/>
    <x v="26"/>
  </r>
  <r>
    <x v="41"/>
    <x v="41"/>
    <x v="65"/>
    <x v="49"/>
    <x v="65"/>
    <x v="64"/>
    <x v="64"/>
    <x v="18"/>
    <x v="20"/>
    <x v="27"/>
    <x v="14"/>
    <x v="13"/>
    <x v="27"/>
    <x v="12"/>
    <x v="7"/>
    <x v="17"/>
    <x v="8"/>
  </r>
  <r>
    <x v="40"/>
    <x v="40"/>
    <x v="66"/>
    <x v="25"/>
    <x v="66"/>
    <x v="65"/>
    <x v="65"/>
    <x v="18"/>
    <x v="20"/>
    <x v="27"/>
    <x v="14"/>
    <x v="13"/>
    <x v="27"/>
    <x v="12"/>
    <x v="7"/>
    <x v="17"/>
    <x v="8"/>
  </r>
  <r>
    <x v="43"/>
    <x v="43"/>
    <x v="67"/>
    <x v="50"/>
    <x v="67"/>
    <x v="66"/>
    <x v="66"/>
    <x v="41"/>
    <x v="56"/>
    <x v="57"/>
    <x v="22"/>
    <x v="4"/>
    <x v="54"/>
    <x v="0"/>
    <x v="12"/>
    <x v="35"/>
    <x v="13"/>
  </r>
  <r>
    <x v="44"/>
    <x v="44"/>
    <x v="68"/>
    <x v="15"/>
    <x v="68"/>
    <x v="67"/>
    <x v="67"/>
    <x v="25"/>
    <x v="57"/>
    <x v="58"/>
    <x v="12"/>
    <x v="3"/>
    <x v="55"/>
    <x v="0"/>
    <x v="7"/>
    <x v="0"/>
    <x v="8"/>
  </r>
  <r>
    <x v="44"/>
    <x v="44"/>
    <x v="69"/>
    <x v="51"/>
    <x v="69"/>
    <x v="68"/>
    <x v="68"/>
    <x v="42"/>
    <x v="58"/>
    <x v="59"/>
    <x v="23"/>
    <x v="24"/>
    <x v="56"/>
    <x v="19"/>
    <x v="0"/>
    <x v="36"/>
    <x v="0"/>
  </r>
  <r>
    <x v="45"/>
    <x v="45"/>
    <x v="70"/>
    <x v="52"/>
    <x v="43"/>
    <x v="69"/>
    <x v="69"/>
    <x v="7"/>
    <x v="59"/>
    <x v="60"/>
    <x v="18"/>
    <x v="7"/>
    <x v="57"/>
    <x v="12"/>
    <x v="0"/>
    <x v="17"/>
    <x v="0"/>
  </r>
  <r>
    <x v="45"/>
    <x v="45"/>
    <x v="71"/>
    <x v="53"/>
    <x v="70"/>
    <x v="70"/>
    <x v="70"/>
    <x v="18"/>
    <x v="20"/>
    <x v="27"/>
    <x v="14"/>
    <x v="13"/>
    <x v="27"/>
    <x v="12"/>
    <x v="7"/>
    <x v="17"/>
    <x v="8"/>
  </r>
  <r>
    <x v="46"/>
    <x v="46"/>
    <x v="72"/>
    <x v="7"/>
    <x v="71"/>
    <x v="71"/>
    <x v="71"/>
    <x v="43"/>
    <x v="60"/>
    <x v="61"/>
    <x v="6"/>
    <x v="7"/>
    <x v="7"/>
    <x v="12"/>
    <x v="0"/>
    <x v="17"/>
    <x v="27"/>
  </r>
  <r>
    <x v="47"/>
    <x v="47"/>
    <x v="73"/>
    <x v="54"/>
    <x v="72"/>
    <x v="72"/>
    <x v="72"/>
    <x v="7"/>
    <x v="61"/>
    <x v="62"/>
    <x v="6"/>
    <x v="7"/>
    <x v="35"/>
    <x v="12"/>
    <x v="0"/>
    <x v="17"/>
    <x v="0"/>
  </r>
  <r>
    <x v="48"/>
    <x v="48"/>
    <x v="74"/>
    <x v="55"/>
    <x v="73"/>
    <x v="73"/>
    <x v="73"/>
    <x v="44"/>
    <x v="62"/>
    <x v="63"/>
    <x v="7"/>
    <x v="8"/>
    <x v="58"/>
    <x v="3"/>
    <x v="5"/>
    <x v="23"/>
    <x v="28"/>
  </r>
  <r>
    <x v="49"/>
    <x v="49"/>
    <x v="75"/>
    <x v="56"/>
    <x v="74"/>
    <x v="74"/>
    <x v="74"/>
    <x v="18"/>
    <x v="20"/>
    <x v="27"/>
    <x v="14"/>
    <x v="13"/>
    <x v="27"/>
    <x v="12"/>
    <x v="7"/>
    <x v="17"/>
    <x v="8"/>
  </r>
  <r>
    <x v="50"/>
    <x v="50"/>
    <x v="76"/>
    <x v="18"/>
    <x v="60"/>
    <x v="20"/>
    <x v="20"/>
    <x v="18"/>
    <x v="20"/>
    <x v="20"/>
    <x v="14"/>
    <x v="13"/>
    <x v="20"/>
    <x v="12"/>
    <x v="7"/>
    <x v="17"/>
    <x v="8"/>
  </r>
  <r>
    <x v="49"/>
    <x v="49"/>
    <x v="77"/>
    <x v="27"/>
    <x v="75"/>
    <x v="75"/>
    <x v="75"/>
    <x v="31"/>
    <x v="63"/>
    <x v="64"/>
    <x v="18"/>
    <x v="18"/>
    <x v="32"/>
    <x v="6"/>
    <x v="7"/>
    <x v="15"/>
    <x v="8"/>
  </r>
  <r>
    <x v="51"/>
    <x v="51"/>
    <x v="78"/>
    <x v="57"/>
    <x v="76"/>
    <x v="76"/>
    <x v="76"/>
    <x v="45"/>
    <x v="64"/>
    <x v="65"/>
    <x v="6"/>
    <x v="7"/>
    <x v="59"/>
    <x v="8"/>
    <x v="7"/>
    <x v="31"/>
    <x v="8"/>
  </r>
  <r>
    <x v="52"/>
    <x v="52"/>
    <x v="79"/>
    <x v="10"/>
    <x v="77"/>
    <x v="77"/>
    <x v="77"/>
    <x v="28"/>
    <x v="65"/>
    <x v="66"/>
    <x v="18"/>
    <x v="18"/>
    <x v="60"/>
    <x v="12"/>
    <x v="3"/>
    <x v="17"/>
    <x v="29"/>
  </r>
  <r>
    <x v="52"/>
    <x v="52"/>
    <x v="80"/>
    <x v="41"/>
    <x v="78"/>
    <x v="78"/>
    <x v="78"/>
    <x v="46"/>
    <x v="66"/>
    <x v="67"/>
    <x v="23"/>
    <x v="24"/>
    <x v="23"/>
    <x v="10"/>
    <x v="13"/>
    <x v="37"/>
    <x v="30"/>
  </r>
  <r>
    <x v="53"/>
    <x v="53"/>
    <x v="81"/>
    <x v="58"/>
    <x v="79"/>
    <x v="79"/>
    <x v="79"/>
    <x v="0"/>
    <x v="67"/>
    <x v="68"/>
    <x v="0"/>
    <x v="0"/>
    <x v="61"/>
    <x v="6"/>
    <x v="6"/>
    <x v="6"/>
    <x v="7"/>
  </r>
  <r>
    <x v="54"/>
    <x v="54"/>
    <x v="82"/>
    <x v="59"/>
    <x v="80"/>
    <x v="80"/>
    <x v="80"/>
    <x v="47"/>
    <x v="68"/>
    <x v="69"/>
    <x v="21"/>
    <x v="22"/>
    <x v="21"/>
    <x v="6"/>
    <x v="5"/>
    <x v="15"/>
    <x v="17"/>
  </r>
  <r>
    <x v="55"/>
    <x v="55"/>
    <x v="83"/>
    <x v="59"/>
    <x v="81"/>
    <x v="81"/>
    <x v="81"/>
    <x v="18"/>
    <x v="20"/>
    <x v="27"/>
    <x v="14"/>
    <x v="13"/>
    <x v="27"/>
    <x v="12"/>
    <x v="7"/>
    <x v="17"/>
    <x v="8"/>
  </r>
  <r>
    <x v="56"/>
    <x v="56"/>
    <x v="84"/>
    <x v="60"/>
    <x v="82"/>
    <x v="82"/>
    <x v="82"/>
    <x v="18"/>
    <x v="20"/>
    <x v="27"/>
    <x v="14"/>
    <x v="13"/>
    <x v="27"/>
    <x v="12"/>
    <x v="7"/>
    <x v="17"/>
    <x v="8"/>
  </r>
  <r>
    <x v="57"/>
    <x v="57"/>
    <x v="85"/>
    <x v="26"/>
    <x v="83"/>
    <x v="83"/>
    <x v="83"/>
    <x v="18"/>
    <x v="20"/>
    <x v="27"/>
    <x v="14"/>
    <x v="13"/>
    <x v="27"/>
    <x v="12"/>
    <x v="7"/>
    <x v="17"/>
    <x v="8"/>
  </r>
  <r>
    <x v="58"/>
    <x v="58"/>
    <x v="86"/>
    <x v="61"/>
    <x v="84"/>
    <x v="84"/>
    <x v="84"/>
    <x v="45"/>
    <x v="69"/>
    <x v="70"/>
    <x v="6"/>
    <x v="7"/>
    <x v="62"/>
    <x v="6"/>
    <x v="3"/>
    <x v="15"/>
    <x v="31"/>
  </r>
  <r>
    <x v="59"/>
    <x v="59"/>
    <x v="87"/>
    <x v="62"/>
    <x v="85"/>
    <x v="85"/>
    <x v="85"/>
    <x v="18"/>
    <x v="20"/>
    <x v="27"/>
    <x v="14"/>
    <x v="13"/>
    <x v="27"/>
    <x v="12"/>
    <x v="7"/>
    <x v="17"/>
    <x v="8"/>
  </r>
  <r>
    <x v="60"/>
    <x v="60"/>
    <x v="88"/>
    <x v="49"/>
    <x v="86"/>
    <x v="86"/>
    <x v="86"/>
    <x v="26"/>
    <x v="70"/>
    <x v="71"/>
    <x v="18"/>
    <x v="18"/>
    <x v="59"/>
    <x v="12"/>
    <x v="3"/>
    <x v="17"/>
    <x v="3"/>
  </r>
  <r>
    <x v="61"/>
    <x v="61"/>
    <x v="89"/>
    <x v="63"/>
    <x v="87"/>
    <x v="87"/>
    <x v="87"/>
    <x v="7"/>
    <x v="71"/>
    <x v="72"/>
    <x v="6"/>
    <x v="7"/>
    <x v="50"/>
    <x v="6"/>
    <x v="3"/>
    <x v="6"/>
    <x v="3"/>
  </r>
  <r>
    <x v="62"/>
    <x v="62"/>
    <x v="90"/>
    <x v="52"/>
    <x v="88"/>
    <x v="88"/>
    <x v="88"/>
    <x v="7"/>
    <x v="72"/>
    <x v="73"/>
    <x v="6"/>
    <x v="7"/>
    <x v="63"/>
    <x v="12"/>
    <x v="0"/>
    <x v="17"/>
    <x v="0"/>
  </r>
  <r>
    <x v="63"/>
    <x v="63"/>
    <x v="91"/>
    <x v="56"/>
    <x v="89"/>
    <x v="89"/>
    <x v="89"/>
    <x v="18"/>
    <x v="20"/>
    <x v="27"/>
    <x v="14"/>
    <x v="13"/>
    <x v="27"/>
    <x v="12"/>
    <x v="7"/>
    <x v="17"/>
    <x v="8"/>
  </r>
  <r>
    <x v="64"/>
    <x v="64"/>
    <x v="92"/>
    <x v="62"/>
    <x v="90"/>
    <x v="90"/>
    <x v="90"/>
    <x v="18"/>
    <x v="20"/>
    <x v="27"/>
    <x v="14"/>
    <x v="13"/>
    <x v="27"/>
    <x v="12"/>
    <x v="7"/>
    <x v="17"/>
    <x v="8"/>
  </r>
  <r>
    <x v="60"/>
    <x v="60"/>
    <x v="93"/>
    <x v="64"/>
    <x v="91"/>
    <x v="91"/>
    <x v="91"/>
    <x v="31"/>
    <x v="73"/>
    <x v="74"/>
    <x v="18"/>
    <x v="18"/>
    <x v="64"/>
    <x v="12"/>
    <x v="3"/>
    <x v="17"/>
    <x v="31"/>
  </r>
  <r>
    <x v="61"/>
    <x v="61"/>
    <x v="94"/>
    <x v="65"/>
    <x v="92"/>
    <x v="92"/>
    <x v="92"/>
    <x v="18"/>
    <x v="20"/>
    <x v="27"/>
    <x v="14"/>
    <x v="13"/>
    <x v="27"/>
    <x v="12"/>
    <x v="7"/>
    <x v="17"/>
    <x v="8"/>
  </r>
  <r>
    <x v="63"/>
    <x v="63"/>
    <x v="95"/>
    <x v="27"/>
    <x v="93"/>
    <x v="85"/>
    <x v="93"/>
    <x v="18"/>
    <x v="20"/>
    <x v="27"/>
    <x v="14"/>
    <x v="13"/>
    <x v="27"/>
    <x v="12"/>
    <x v="7"/>
    <x v="17"/>
    <x v="8"/>
  </r>
  <r>
    <x v="64"/>
    <x v="64"/>
    <x v="96"/>
    <x v="60"/>
    <x v="94"/>
    <x v="93"/>
    <x v="94"/>
    <x v="7"/>
    <x v="74"/>
    <x v="75"/>
    <x v="18"/>
    <x v="7"/>
    <x v="8"/>
    <x v="12"/>
    <x v="0"/>
    <x v="17"/>
    <x v="0"/>
  </r>
  <r>
    <x v="57"/>
    <x v="57"/>
    <x v="97"/>
    <x v="60"/>
    <x v="95"/>
    <x v="94"/>
    <x v="95"/>
    <x v="26"/>
    <x v="75"/>
    <x v="76"/>
    <x v="18"/>
    <x v="18"/>
    <x v="8"/>
    <x v="12"/>
    <x v="3"/>
    <x v="17"/>
    <x v="3"/>
  </r>
  <r>
    <x v="58"/>
    <x v="58"/>
    <x v="98"/>
    <x v="25"/>
    <x v="96"/>
    <x v="95"/>
    <x v="96"/>
    <x v="18"/>
    <x v="20"/>
    <x v="27"/>
    <x v="14"/>
    <x v="13"/>
    <x v="27"/>
    <x v="12"/>
    <x v="7"/>
    <x v="17"/>
    <x v="8"/>
  </r>
  <r>
    <x v="65"/>
    <x v="65"/>
    <x v="99"/>
    <x v="33"/>
    <x v="97"/>
    <x v="96"/>
    <x v="97"/>
    <x v="7"/>
    <x v="76"/>
    <x v="77"/>
    <x v="6"/>
    <x v="7"/>
    <x v="65"/>
    <x v="8"/>
    <x v="7"/>
    <x v="38"/>
    <x v="8"/>
  </r>
  <r>
    <x v="66"/>
    <x v="66"/>
    <x v="100"/>
    <x v="59"/>
    <x v="98"/>
    <x v="97"/>
    <x v="98"/>
    <x v="45"/>
    <x v="77"/>
    <x v="78"/>
    <x v="6"/>
    <x v="7"/>
    <x v="57"/>
    <x v="6"/>
    <x v="3"/>
    <x v="15"/>
    <x v="31"/>
  </r>
  <r>
    <x v="66"/>
    <x v="66"/>
    <x v="101"/>
    <x v="27"/>
    <x v="99"/>
    <x v="98"/>
    <x v="99"/>
    <x v="18"/>
    <x v="20"/>
    <x v="27"/>
    <x v="14"/>
    <x v="13"/>
    <x v="27"/>
    <x v="12"/>
    <x v="7"/>
    <x v="17"/>
    <x v="8"/>
  </r>
  <r>
    <x v="67"/>
    <x v="67"/>
    <x v="102"/>
    <x v="39"/>
    <x v="100"/>
    <x v="99"/>
    <x v="100"/>
    <x v="26"/>
    <x v="78"/>
    <x v="79"/>
    <x v="18"/>
    <x v="18"/>
    <x v="25"/>
    <x v="12"/>
    <x v="3"/>
    <x v="17"/>
    <x v="3"/>
  </r>
  <r>
    <x v="56"/>
    <x v="56"/>
    <x v="103"/>
    <x v="36"/>
    <x v="101"/>
    <x v="100"/>
    <x v="101"/>
    <x v="7"/>
    <x v="79"/>
    <x v="80"/>
    <x v="6"/>
    <x v="7"/>
    <x v="44"/>
    <x v="8"/>
    <x v="7"/>
    <x v="38"/>
    <x v="8"/>
  </r>
  <r>
    <x v="68"/>
    <x v="68"/>
    <x v="104"/>
    <x v="37"/>
    <x v="102"/>
    <x v="101"/>
    <x v="102"/>
    <x v="18"/>
    <x v="20"/>
    <x v="27"/>
    <x v="14"/>
    <x v="13"/>
    <x v="27"/>
    <x v="12"/>
    <x v="7"/>
    <x v="17"/>
    <x v="8"/>
  </r>
  <r>
    <x v="69"/>
    <x v="69"/>
    <x v="105"/>
    <x v="60"/>
    <x v="103"/>
    <x v="102"/>
    <x v="103"/>
    <x v="26"/>
    <x v="80"/>
    <x v="81"/>
    <x v="18"/>
    <x v="18"/>
    <x v="8"/>
    <x v="12"/>
    <x v="3"/>
    <x v="17"/>
    <x v="3"/>
  </r>
  <r>
    <x v="70"/>
    <x v="70"/>
    <x v="106"/>
    <x v="32"/>
    <x v="104"/>
    <x v="103"/>
    <x v="104"/>
    <x v="26"/>
    <x v="81"/>
    <x v="82"/>
    <x v="18"/>
    <x v="18"/>
    <x v="66"/>
    <x v="6"/>
    <x v="7"/>
    <x v="6"/>
    <x v="8"/>
  </r>
  <r>
    <x v="71"/>
    <x v="71"/>
    <x v="107"/>
    <x v="66"/>
    <x v="105"/>
    <x v="104"/>
    <x v="105"/>
    <x v="48"/>
    <x v="82"/>
    <x v="83"/>
    <x v="12"/>
    <x v="11"/>
    <x v="67"/>
    <x v="8"/>
    <x v="3"/>
    <x v="38"/>
    <x v="3"/>
  </r>
  <r>
    <x v="69"/>
    <x v="69"/>
    <x v="108"/>
    <x v="46"/>
    <x v="106"/>
    <x v="105"/>
    <x v="106"/>
    <x v="26"/>
    <x v="83"/>
    <x v="84"/>
    <x v="18"/>
    <x v="18"/>
    <x v="50"/>
    <x v="6"/>
    <x v="7"/>
    <x v="6"/>
    <x v="8"/>
  </r>
  <r>
    <x v="72"/>
    <x v="72"/>
    <x v="109"/>
    <x v="37"/>
    <x v="107"/>
    <x v="106"/>
    <x v="107"/>
    <x v="18"/>
    <x v="20"/>
    <x v="27"/>
    <x v="14"/>
    <x v="13"/>
    <x v="27"/>
    <x v="12"/>
    <x v="7"/>
    <x v="17"/>
    <x v="8"/>
  </r>
  <r>
    <x v="73"/>
    <x v="73"/>
    <x v="110"/>
    <x v="61"/>
    <x v="108"/>
    <x v="107"/>
    <x v="108"/>
    <x v="7"/>
    <x v="84"/>
    <x v="85"/>
    <x v="6"/>
    <x v="7"/>
    <x v="62"/>
    <x v="6"/>
    <x v="3"/>
    <x v="6"/>
    <x v="3"/>
  </r>
  <r>
    <x v="71"/>
    <x v="71"/>
    <x v="111"/>
    <x v="30"/>
    <x v="109"/>
    <x v="108"/>
    <x v="109"/>
    <x v="18"/>
    <x v="20"/>
    <x v="27"/>
    <x v="14"/>
    <x v="13"/>
    <x v="27"/>
    <x v="12"/>
    <x v="7"/>
    <x v="17"/>
    <x v="8"/>
  </r>
  <r>
    <x v="74"/>
    <x v="47"/>
    <x v="112"/>
    <x v="18"/>
    <x v="60"/>
    <x v="20"/>
    <x v="20"/>
    <x v="18"/>
    <x v="20"/>
    <x v="20"/>
    <x v="14"/>
    <x v="13"/>
    <x v="20"/>
    <x v="12"/>
    <x v="7"/>
    <x v="17"/>
    <x v="8"/>
  </r>
  <r>
    <x v="75"/>
    <x v="74"/>
    <x v="113"/>
    <x v="59"/>
    <x v="110"/>
    <x v="109"/>
    <x v="110"/>
    <x v="49"/>
    <x v="85"/>
    <x v="86"/>
    <x v="6"/>
    <x v="7"/>
    <x v="57"/>
    <x v="8"/>
    <x v="7"/>
    <x v="39"/>
    <x v="8"/>
  </r>
  <r>
    <x v="75"/>
    <x v="74"/>
    <x v="114"/>
    <x v="67"/>
    <x v="111"/>
    <x v="110"/>
    <x v="111"/>
    <x v="50"/>
    <x v="86"/>
    <x v="87"/>
    <x v="6"/>
    <x v="7"/>
    <x v="24"/>
    <x v="12"/>
    <x v="0"/>
    <x v="17"/>
    <x v="32"/>
  </r>
  <r>
    <x v="74"/>
    <x v="47"/>
    <x v="115"/>
    <x v="61"/>
    <x v="112"/>
    <x v="111"/>
    <x v="112"/>
    <x v="51"/>
    <x v="87"/>
    <x v="88"/>
    <x v="18"/>
    <x v="18"/>
    <x v="24"/>
    <x v="12"/>
    <x v="3"/>
    <x v="17"/>
    <x v="33"/>
  </r>
  <r>
    <x v="76"/>
    <x v="48"/>
    <x v="116"/>
    <x v="46"/>
    <x v="113"/>
    <x v="112"/>
    <x v="113"/>
    <x v="52"/>
    <x v="88"/>
    <x v="89"/>
    <x v="18"/>
    <x v="18"/>
    <x v="50"/>
    <x v="6"/>
    <x v="7"/>
    <x v="40"/>
    <x v="8"/>
  </r>
  <r>
    <x v="76"/>
    <x v="48"/>
    <x v="117"/>
    <x v="26"/>
    <x v="114"/>
    <x v="113"/>
    <x v="114"/>
    <x v="18"/>
    <x v="20"/>
    <x v="27"/>
    <x v="14"/>
    <x v="13"/>
    <x v="27"/>
    <x v="12"/>
    <x v="7"/>
    <x v="17"/>
    <x v="8"/>
  </r>
  <r>
    <x v="77"/>
    <x v="75"/>
    <x v="118"/>
    <x v="67"/>
    <x v="115"/>
    <x v="114"/>
    <x v="115"/>
    <x v="18"/>
    <x v="20"/>
    <x v="27"/>
    <x v="14"/>
    <x v="13"/>
    <x v="27"/>
    <x v="12"/>
    <x v="7"/>
    <x v="17"/>
    <x v="8"/>
  </r>
  <r>
    <x v="77"/>
    <x v="75"/>
    <x v="119"/>
    <x v="33"/>
    <x v="116"/>
    <x v="115"/>
    <x v="116"/>
    <x v="53"/>
    <x v="89"/>
    <x v="90"/>
    <x v="6"/>
    <x v="7"/>
    <x v="65"/>
    <x v="6"/>
    <x v="3"/>
    <x v="41"/>
    <x v="34"/>
  </r>
  <r>
    <x v="78"/>
    <x v="76"/>
    <x v="120"/>
    <x v="68"/>
    <x v="20"/>
    <x v="20"/>
    <x v="117"/>
    <x v="54"/>
    <x v="20"/>
    <x v="20"/>
    <x v="24"/>
    <x v="25"/>
    <x v="20"/>
    <x v="20"/>
    <x v="14"/>
    <x v="42"/>
    <x v="35"/>
  </r>
</pivotCacheRecords>
</file>

<file path=xl/pivotCache/pivotCacheRecords21.xml><?xml version="1.0" encoding="utf-8"?>
<pivotCacheRecords xmlns="http://schemas.openxmlformats.org/spreadsheetml/2006/main" xmlns:r="http://schemas.openxmlformats.org/officeDocument/2006/relationships" count="134">
  <r>
    <x v="0"/>
    <x v="0"/>
    <x v="0"/>
    <x v="0"/>
    <x v="0"/>
    <x v="0"/>
    <x v="0"/>
    <x v="0"/>
    <x v="0"/>
    <x v="0"/>
    <x v="0"/>
    <x v="0"/>
    <x v="0"/>
    <x v="0"/>
    <x v="0"/>
    <x v="0"/>
    <x v="0"/>
  </r>
  <r>
    <x v="0"/>
    <x v="0"/>
    <x v="1"/>
    <x v="1"/>
    <x v="1"/>
    <x v="1"/>
    <x v="1"/>
    <x v="1"/>
    <x v="1"/>
    <x v="1"/>
    <x v="1"/>
    <x v="1"/>
    <x v="1"/>
    <x v="1"/>
    <x v="1"/>
    <x v="1"/>
    <x v="1"/>
  </r>
  <r>
    <x v="1"/>
    <x v="1"/>
    <x v="2"/>
    <x v="2"/>
    <x v="2"/>
    <x v="2"/>
    <x v="2"/>
    <x v="2"/>
    <x v="2"/>
    <x v="2"/>
    <x v="2"/>
    <x v="2"/>
    <x v="2"/>
    <x v="2"/>
    <x v="2"/>
    <x v="2"/>
    <x v="2"/>
  </r>
  <r>
    <x v="2"/>
    <x v="2"/>
    <x v="3"/>
    <x v="3"/>
    <x v="3"/>
    <x v="3"/>
    <x v="3"/>
    <x v="3"/>
    <x v="3"/>
    <x v="3"/>
    <x v="3"/>
    <x v="3"/>
    <x v="3"/>
    <x v="3"/>
    <x v="3"/>
    <x v="3"/>
    <x v="3"/>
  </r>
  <r>
    <x v="3"/>
    <x v="3"/>
    <x v="4"/>
    <x v="4"/>
    <x v="4"/>
    <x v="4"/>
    <x v="4"/>
    <x v="4"/>
    <x v="4"/>
    <x v="4"/>
    <x v="4"/>
    <x v="4"/>
    <x v="4"/>
    <x v="4"/>
    <x v="4"/>
    <x v="4"/>
    <x v="4"/>
  </r>
  <r>
    <x v="3"/>
    <x v="3"/>
    <x v="5"/>
    <x v="5"/>
    <x v="5"/>
    <x v="5"/>
    <x v="5"/>
    <x v="5"/>
    <x v="5"/>
    <x v="5"/>
    <x v="5"/>
    <x v="5"/>
    <x v="5"/>
    <x v="5"/>
    <x v="5"/>
    <x v="5"/>
    <x v="5"/>
  </r>
  <r>
    <x v="2"/>
    <x v="2"/>
    <x v="6"/>
    <x v="6"/>
    <x v="6"/>
    <x v="6"/>
    <x v="6"/>
    <x v="6"/>
    <x v="6"/>
    <x v="6"/>
    <x v="6"/>
    <x v="6"/>
    <x v="6"/>
    <x v="6"/>
    <x v="6"/>
    <x v="6"/>
    <x v="6"/>
  </r>
  <r>
    <x v="4"/>
    <x v="4"/>
    <x v="7"/>
    <x v="7"/>
    <x v="7"/>
    <x v="7"/>
    <x v="7"/>
    <x v="7"/>
    <x v="7"/>
    <x v="7"/>
    <x v="7"/>
    <x v="7"/>
    <x v="7"/>
    <x v="4"/>
    <x v="1"/>
    <x v="4"/>
    <x v="7"/>
  </r>
  <r>
    <x v="4"/>
    <x v="4"/>
    <x v="8"/>
    <x v="8"/>
    <x v="8"/>
    <x v="8"/>
    <x v="8"/>
    <x v="8"/>
    <x v="8"/>
    <x v="8"/>
    <x v="8"/>
    <x v="8"/>
    <x v="8"/>
    <x v="7"/>
    <x v="7"/>
    <x v="7"/>
    <x v="8"/>
  </r>
  <r>
    <x v="5"/>
    <x v="5"/>
    <x v="9"/>
    <x v="9"/>
    <x v="9"/>
    <x v="9"/>
    <x v="9"/>
    <x v="9"/>
    <x v="9"/>
    <x v="9"/>
    <x v="9"/>
    <x v="9"/>
    <x v="9"/>
    <x v="8"/>
    <x v="8"/>
    <x v="8"/>
    <x v="9"/>
  </r>
  <r>
    <x v="5"/>
    <x v="5"/>
    <x v="10"/>
    <x v="10"/>
    <x v="10"/>
    <x v="10"/>
    <x v="10"/>
    <x v="10"/>
    <x v="10"/>
    <x v="10"/>
    <x v="10"/>
    <x v="10"/>
    <x v="10"/>
    <x v="9"/>
    <x v="9"/>
    <x v="9"/>
    <x v="10"/>
  </r>
  <r>
    <x v="6"/>
    <x v="6"/>
    <x v="11"/>
    <x v="11"/>
    <x v="11"/>
    <x v="11"/>
    <x v="11"/>
    <x v="11"/>
    <x v="11"/>
    <x v="11"/>
    <x v="11"/>
    <x v="11"/>
    <x v="11"/>
    <x v="9"/>
    <x v="4"/>
    <x v="10"/>
    <x v="11"/>
  </r>
  <r>
    <x v="7"/>
    <x v="7"/>
    <x v="12"/>
    <x v="12"/>
    <x v="12"/>
    <x v="12"/>
    <x v="12"/>
    <x v="12"/>
    <x v="12"/>
    <x v="12"/>
    <x v="10"/>
    <x v="4"/>
    <x v="12"/>
    <x v="8"/>
    <x v="9"/>
    <x v="11"/>
    <x v="12"/>
  </r>
  <r>
    <x v="8"/>
    <x v="8"/>
    <x v="13"/>
    <x v="13"/>
    <x v="13"/>
    <x v="13"/>
    <x v="13"/>
    <x v="13"/>
    <x v="13"/>
    <x v="13"/>
    <x v="12"/>
    <x v="8"/>
    <x v="4"/>
    <x v="10"/>
    <x v="2"/>
    <x v="12"/>
    <x v="2"/>
  </r>
  <r>
    <x v="7"/>
    <x v="7"/>
    <x v="14"/>
    <x v="14"/>
    <x v="14"/>
    <x v="14"/>
    <x v="14"/>
    <x v="14"/>
    <x v="14"/>
    <x v="14"/>
    <x v="13"/>
    <x v="12"/>
    <x v="13"/>
    <x v="11"/>
    <x v="6"/>
    <x v="13"/>
    <x v="13"/>
  </r>
  <r>
    <x v="6"/>
    <x v="6"/>
    <x v="15"/>
    <x v="15"/>
    <x v="15"/>
    <x v="15"/>
    <x v="15"/>
    <x v="15"/>
    <x v="15"/>
    <x v="15"/>
    <x v="14"/>
    <x v="13"/>
    <x v="14"/>
    <x v="12"/>
    <x v="10"/>
    <x v="14"/>
    <x v="14"/>
  </r>
  <r>
    <x v="9"/>
    <x v="9"/>
    <x v="16"/>
    <x v="16"/>
    <x v="16"/>
    <x v="16"/>
    <x v="16"/>
    <x v="16"/>
    <x v="16"/>
    <x v="16"/>
    <x v="15"/>
    <x v="14"/>
    <x v="15"/>
    <x v="13"/>
    <x v="4"/>
    <x v="15"/>
    <x v="15"/>
  </r>
  <r>
    <x v="10"/>
    <x v="10"/>
    <x v="17"/>
    <x v="17"/>
    <x v="17"/>
    <x v="17"/>
    <x v="17"/>
    <x v="17"/>
    <x v="17"/>
    <x v="17"/>
    <x v="11"/>
    <x v="4"/>
    <x v="16"/>
    <x v="14"/>
    <x v="8"/>
    <x v="16"/>
    <x v="9"/>
  </r>
  <r>
    <x v="9"/>
    <x v="9"/>
    <x v="18"/>
    <x v="18"/>
    <x v="18"/>
    <x v="18"/>
    <x v="18"/>
    <x v="18"/>
    <x v="18"/>
    <x v="18"/>
    <x v="15"/>
    <x v="14"/>
    <x v="17"/>
    <x v="15"/>
    <x v="8"/>
    <x v="17"/>
    <x v="9"/>
  </r>
  <r>
    <x v="10"/>
    <x v="10"/>
    <x v="19"/>
    <x v="19"/>
    <x v="19"/>
    <x v="19"/>
    <x v="19"/>
    <x v="0"/>
    <x v="19"/>
    <x v="19"/>
    <x v="0"/>
    <x v="0"/>
    <x v="18"/>
    <x v="15"/>
    <x v="1"/>
    <x v="18"/>
    <x v="16"/>
  </r>
  <r>
    <x v="11"/>
    <x v="11"/>
    <x v="20"/>
    <x v="20"/>
    <x v="20"/>
    <x v="20"/>
    <x v="20"/>
    <x v="19"/>
    <x v="20"/>
    <x v="20"/>
    <x v="16"/>
    <x v="15"/>
    <x v="19"/>
    <x v="16"/>
    <x v="11"/>
    <x v="19"/>
    <x v="17"/>
  </r>
  <r>
    <x v="12"/>
    <x v="12"/>
    <x v="21"/>
    <x v="21"/>
    <x v="21"/>
    <x v="21"/>
    <x v="21"/>
    <x v="20"/>
    <x v="21"/>
    <x v="21"/>
    <x v="17"/>
    <x v="16"/>
    <x v="20"/>
    <x v="13"/>
    <x v="12"/>
    <x v="20"/>
    <x v="18"/>
  </r>
  <r>
    <x v="11"/>
    <x v="11"/>
    <x v="22"/>
    <x v="22"/>
    <x v="22"/>
    <x v="22"/>
    <x v="22"/>
    <x v="21"/>
    <x v="22"/>
    <x v="22"/>
    <x v="18"/>
    <x v="17"/>
    <x v="21"/>
    <x v="3"/>
    <x v="13"/>
    <x v="21"/>
    <x v="19"/>
  </r>
  <r>
    <x v="12"/>
    <x v="12"/>
    <x v="23"/>
    <x v="23"/>
    <x v="23"/>
    <x v="23"/>
    <x v="23"/>
    <x v="22"/>
    <x v="23"/>
    <x v="23"/>
    <x v="19"/>
    <x v="18"/>
    <x v="13"/>
    <x v="13"/>
    <x v="8"/>
    <x v="20"/>
    <x v="20"/>
  </r>
  <r>
    <x v="13"/>
    <x v="13"/>
    <x v="24"/>
    <x v="24"/>
    <x v="24"/>
    <x v="24"/>
    <x v="24"/>
    <x v="23"/>
    <x v="24"/>
    <x v="24"/>
    <x v="9"/>
    <x v="19"/>
    <x v="22"/>
    <x v="15"/>
    <x v="9"/>
    <x v="17"/>
    <x v="10"/>
  </r>
  <r>
    <x v="14"/>
    <x v="14"/>
    <x v="25"/>
    <x v="0"/>
    <x v="25"/>
    <x v="25"/>
    <x v="25"/>
    <x v="24"/>
    <x v="25"/>
    <x v="25"/>
    <x v="20"/>
    <x v="16"/>
    <x v="23"/>
    <x v="14"/>
    <x v="2"/>
    <x v="22"/>
    <x v="2"/>
  </r>
  <r>
    <x v="13"/>
    <x v="13"/>
    <x v="26"/>
    <x v="12"/>
    <x v="26"/>
    <x v="26"/>
    <x v="26"/>
    <x v="25"/>
    <x v="26"/>
    <x v="26"/>
    <x v="1"/>
    <x v="20"/>
    <x v="24"/>
    <x v="17"/>
    <x v="14"/>
    <x v="23"/>
    <x v="21"/>
  </r>
  <r>
    <x v="15"/>
    <x v="15"/>
    <x v="27"/>
    <x v="25"/>
    <x v="27"/>
    <x v="27"/>
    <x v="27"/>
    <x v="26"/>
    <x v="27"/>
    <x v="27"/>
    <x v="4"/>
    <x v="0"/>
    <x v="25"/>
    <x v="14"/>
    <x v="4"/>
    <x v="22"/>
    <x v="4"/>
  </r>
  <r>
    <x v="15"/>
    <x v="15"/>
    <x v="28"/>
    <x v="26"/>
    <x v="28"/>
    <x v="28"/>
    <x v="28"/>
    <x v="27"/>
    <x v="28"/>
    <x v="28"/>
    <x v="21"/>
    <x v="3"/>
    <x v="26"/>
    <x v="18"/>
    <x v="6"/>
    <x v="24"/>
    <x v="22"/>
  </r>
  <r>
    <x v="16"/>
    <x v="16"/>
    <x v="29"/>
    <x v="27"/>
    <x v="29"/>
    <x v="29"/>
    <x v="29"/>
    <x v="2"/>
    <x v="2"/>
    <x v="29"/>
    <x v="2"/>
    <x v="2"/>
    <x v="27"/>
    <x v="2"/>
    <x v="2"/>
    <x v="2"/>
    <x v="2"/>
  </r>
  <r>
    <x v="17"/>
    <x v="17"/>
    <x v="30"/>
    <x v="28"/>
    <x v="30"/>
    <x v="30"/>
    <x v="30"/>
    <x v="28"/>
    <x v="29"/>
    <x v="30"/>
    <x v="22"/>
    <x v="21"/>
    <x v="28"/>
    <x v="13"/>
    <x v="7"/>
    <x v="25"/>
    <x v="23"/>
  </r>
  <r>
    <x v="18"/>
    <x v="18"/>
    <x v="31"/>
    <x v="29"/>
    <x v="31"/>
    <x v="31"/>
    <x v="31"/>
    <x v="2"/>
    <x v="2"/>
    <x v="29"/>
    <x v="2"/>
    <x v="2"/>
    <x v="27"/>
    <x v="2"/>
    <x v="2"/>
    <x v="2"/>
    <x v="2"/>
  </r>
  <r>
    <x v="19"/>
    <x v="19"/>
    <x v="32"/>
    <x v="30"/>
    <x v="32"/>
    <x v="32"/>
    <x v="32"/>
    <x v="28"/>
    <x v="30"/>
    <x v="31"/>
    <x v="22"/>
    <x v="21"/>
    <x v="29"/>
    <x v="13"/>
    <x v="7"/>
    <x v="25"/>
    <x v="23"/>
  </r>
  <r>
    <x v="20"/>
    <x v="20"/>
    <x v="33"/>
    <x v="17"/>
    <x v="33"/>
    <x v="33"/>
    <x v="33"/>
    <x v="29"/>
    <x v="31"/>
    <x v="32"/>
    <x v="12"/>
    <x v="22"/>
    <x v="30"/>
    <x v="15"/>
    <x v="15"/>
    <x v="18"/>
    <x v="24"/>
  </r>
  <r>
    <x v="21"/>
    <x v="21"/>
    <x v="34"/>
    <x v="31"/>
    <x v="34"/>
    <x v="34"/>
    <x v="34"/>
    <x v="30"/>
    <x v="32"/>
    <x v="33"/>
    <x v="23"/>
    <x v="23"/>
    <x v="31"/>
    <x v="19"/>
    <x v="12"/>
    <x v="26"/>
    <x v="25"/>
  </r>
  <r>
    <x v="22"/>
    <x v="22"/>
    <x v="35"/>
    <x v="32"/>
    <x v="35"/>
    <x v="35"/>
    <x v="35"/>
    <x v="2"/>
    <x v="2"/>
    <x v="29"/>
    <x v="2"/>
    <x v="2"/>
    <x v="27"/>
    <x v="2"/>
    <x v="2"/>
    <x v="2"/>
    <x v="2"/>
  </r>
  <r>
    <x v="23"/>
    <x v="23"/>
    <x v="36"/>
    <x v="33"/>
    <x v="36"/>
    <x v="36"/>
    <x v="36"/>
    <x v="31"/>
    <x v="33"/>
    <x v="34"/>
    <x v="24"/>
    <x v="24"/>
    <x v="32"/>
    <x v="13"/>
    <x v="2"/>
    <x v="20"/>
    <x v="2"/>
  </r>
  <r>
    <x v="24"/>
    <x v="24"/>
    <x v="37"/>
    <x v="34"/>
    <x v="37"/>
    <x v="37"/>
    <x v="37"/>
    <x v="13"/>
    <x v="34"/>
    <x v="35"/>
    <x v="8"/>
    <x v="8"/>
    <x v="33"/>
    <x v="20"/>
    <x v="8"/>
    <x v="27"/>
    <x v="9"/>
  </r>
  <r>
    <x v="25"/>
    <x v="25"/>
    <x v="38"/>
    <x v="35"/>
    <x v="38"/>
    <x v="38"/>
    <x v="38"/>
    <x v="32"/>
    <x v="35"/>
    <x v="36"/>
    <x v="19"/>
    <x v="18"/>
    <x v="34"/>
    <x v="13"/>
    <x v="8"/>
    <x v="20"/>
    <x v="26"/>
  </r>
  <r>
    <x v="21"/>
    <x v="21"/>
    <x v="39"/>
    <x v="36"/>
    <x v="39"/>
    <x v="39"/>
    <x v="39"/>
    <x v="33"/>
    <x v="36"/>
    <x v="37"/>
    <x v="10"/>
    <x v="4"/>
    <x v="35"/>
    <x v="14"/>
    <x v="8"/>
    <x v="28"/>
    <x v="9"/>
  </r>
  <r>
    <x v="22"/>
    <x v="22"/>
    <x v="40"/>
    <x v="37"/>
    <x v="40"/>
    <x v="40"/>
    <x v="40"/>
    <x v="2"/>
    <x v="2"/>
    <x v="29"/>
    <x v="2"/>
    <x v="2"/>
    <x v="27"/>
    <x v="2"/>
    <x v="2"/>
    <x v="2"/>
    <x v="2"/>
  </r>
  <r>
    <x v="23"/>
    <x v="23"/>
    <x v="41"/>
    <x v="38"/>
    <x v="41"/>
    <x v="41"/>
    <x v="41"/>
    <x v="34"/>
    <x v="37"/>
    <x v="38"/>
    <x v="22"/>
    <x v="25"/>
    <x v="36"/>
    <x v="21"/>
    <x v="2"/>
    <x v="29"/>
    <x v="2"/>
  </r>
  <r>
    <x v="24"/>
    <x v="24"/>
    <x v="42"/>
    <x v="39"/>
    <x v="42"/>
    <x v="42"/>
    <x v="42"/>
    <x v="35"/>
    <x v="38"/>
    <x v="39"/>
    <x v="11"/>
    <x v="16"/>
    <x v="37"/>
    <x v="10"/>
    <x v="0"/>
    <x v="12"/>
    <x v="0"/>
  </r>
  <r>
    <x v="26"/>
    <x v="26"/>
    <x v="43"/>
    <x v="40"/>
    <x v="43"/>
    <x v="43"/>
    <x v="43"/>
    <x v="36"/>
    <x v="39"/>
    <x v="40"/>
    <x v="25"/>
    <x v="26"/>
    <x v="38"/>
    <x v="21"/>
    <x v="10"/>
    <x v="30"/>
    <x v="27"/>
  </r>
  <r>
    <x v="27"/>
    <x v="27"/>
    <x v="44"/>
    <x v="41"/>
    <x v="44"/>
    <x v="44"/>
    <x v="44"/>
    <x v="37"/>
    <x v="40"/>
    <x v="41"/>
    <x v="22"/>
    <x v="21"/>
    <x v="39"/>
    <x v="13"/>
    <x v="7"/>
    <x v="31"/>
    <x v="26"/>
  </r>
  <r>
    <x v="28"/>
    <x v="28"/>
    <x v="45"/>
    <x v="42"/>
    <x v="45"/>
    <x v="45"/>
    <x v="45"/>
    <x v="38"/>
    <x v="41"/>
    <x v="42"/>
    <x v="15"/>
    <x v="14"/>
    <x v="40"/>
    <x v="21"/>
    <x v="7"/>
    <x v="30"/>
    <x v="8"/>
  </r>
  <r>
    <x v="29"/>
    <x v="29"/>
    <x v="46"/>
    <x v="43"/>
    <x v="46"/>
    <x v="46"/>
    <x v="46"/>
    <x v="39"/>
    <x v="42"/>
    <x v="43"/>
    <x v="26"/>
    <x v="27"/>
    <x v="41"/>
    <x v="22"/>
    <x v="10"/>
    <x v="32"/>
    <x v="14"/>
  </r>
  <r>
    <x v="29"/>
    <x v="29"/>
    <x v="47"/>
    <x v="44"/>
    <x v="47"/>
    <x v="47"/>
    <x v="47"/>
    <x v="40"/>
    <x v="43"/>
    <x v="44"/>
    <x v="27"/>
    <x v="28"/>
    <x v="42"/>
    <x v="23"/>
    <x v="16"/>
    <x v="33"/>
    <x v="28"/>
  </r>
  <r>
    <x v="30"/>
    <x v="30"/>
    <x v="48"/>
    <x v="45"/>
    <x v="48"/>
    <x v="48"/>
    <x v="48"/>
    <x v="34"/>
    <x v="44"/>
    <x v="45"/>
    <x v="28"/>
    <x v="25"/>
    <x v="43"/>
    <x v="13"/>
    <x v="15"/>
    <x v="20"/>
    <x v="29"/>
  </r>
  <r>
    <x v="31"/>
    <x v="31"/>
    <x v="49"/>
    <x v="46"/>
    <x v="49"/>
    <x v="49"/>
    <x v="49"/>
    <x v="2"/>
    <x v="2"/>
    <x v="29"/>
    <x v="2"/>
    <x v="2"/>
    <x v="27"/>
    <x v="2"/>
    <x v="2"/>
    <x v="2"/>
    <x v="2"/>
  </r>
  <r>
    <x v="32"/>
    <x v="32"/>
    <x v="50"/>
    <x v="47"/>
    <x v="50"/>
    <x v="50"/>
    <x v="50"/>
    <x v="41"/>
    <x v="45"/>
    <x v="46"/>
    <x v="29"/>
    <x v="0"/>
    <x v="44"/>
    <x v="4"/>
    <x v="9"/>
    <x v="34"/>
    <x v="10"/>
  </r>
  <r>
    <x v="33"/>
    <x v="33"/>
    <x v="51"/>
    <x v="40"/>
    <x v="51"/>
    <x v="51"/>
    <x v="51"/>
    <x v="42"/>
    <x v="46"/>
    <x v="47"/>
    <x v="12"/>
    <x v="22"/>
    <x v="45"/>
    <x v="13"/>
    <x v="0"/>
    <x v="20"/>
    <x v="0"/>
  </r>
  <r>
    <x v="34"/>
    <x v="34"/>
    <x v="52"/>
    <x v="38"/>
    <x v="52"/>
    <x v="52"/>
    <x v="52"/>
    <x v="37"/>
    <x v="47"/>
    <x v="48"/>
    <x v="22"/>
    <x v="21"/>
    <x v="36"/>
    <x v="24"/>
    <x v="2"/>
    <x v="35"/>
    <x v="2"/>
  </r>
  <r>
    <x v="35"/>
    <x v="35"/>
    <x v="53"/>
    <x v="48"/>
    <x v="53"/>
    <x v="53"/>
    <x v="53"/>
    <x v="43"/>
    <x v="48"/>
    <x v="49"/>
    <x v="25"/>
    <x v="9"/>
    <x v="46"/>
    <x v="20"/>
    <x v="0"/>
    <x v="36"/>
    <x v="30"/>
  </r>
  <r>
    <x v="36"/>
    <x v="36"/>
    <x v="54"/>
    <x v="24"/>
    <x v="54"/>
    <x v="54"/>
    <x v="54"/>
    <x v="44"/>
    <x v="49"/>
    <x v="50"/>
    <x v="28"/>
    <x v="25"/>
    <x v="47"/>
    <x v="21"/>
    <x v="2"/>
    <x v="37"/>
    <x v="2"/>
  </r>
  <r>
    <x v="35"/>
    <x v="35"/>
    <x v="55"/>
    <x v="49"/>
    <x v="55"/>
    <x v="55"/>
    <x v="55"/>
    <x v="45"/>
    <x v="50"/>
    <x v="51"/>
    <x v="30"/>
    <x v="29"/>
    <x v="48"/>
    <x v="10"/>
    <x v="1"/>
    <x v="9"/>
    <x v="31"/>
  </r>
  <r>
    <x v="36"/>
    <x v="36"/>
    <x v="56"/>
    <x v="50"/>
    <x v="56"/>
    <x v="56"/>
    <x v="56"/>
    <x v="46"/>
    <x v="51"/>
    <x v="52"/>
    <x v="29"/>
    <x v="10"/>
    <x v="49"/>
    <x v="7"/>
    <x v="17"/>
    <x v="38"/>
    <x v="32"/>
  </r>
  <r>
    <x v="34"/>
    <x v="34"/>
    <x v="57"/>
    <x v="51"/>
    <x v="57"/>
    <x v="57"/>
    <x v="57"/>
    <x v="18"/>
    <x v="52"/>
    <x v="53"/>
    <x v="15"/>
    <x v="14"/>
    <x v="50"/>
    <x v="15"/>
    <x v="8"/>
    <x v="17"/>
    <x v="9"/>
  </r>
  <r>
    <x v="30"/>
    <x v="30"/>
    <x v="58"/>
    <x v="52"/>
    <x v="58"/>
    <x v="58"/>
    <x v="58"/>
    <x v="47"/>
    <x v="53"/>
    <x v="54"/>
    <x v="8"/>
    <x v="30"/>
    <x v="51"/>
    <x v="21"/>
    <x v="4"/>
    <x v="29"/>
    <x v="33"/>
  </r>
  <r>
    <x v="37"/>
    <x v="37"/>
    <x v="59"/>
    <x v="15"/>
    <x v="59"/>
    <x v="59"/>
    <x v="59"/>
    <x v="48"/>
    <x v="54"/>
    <x v="55"/>
    <x v="29"/>
    <x v="10"/>
    <x v="52"/>
    <x v="21"/>
    <x v="12"/>
    <x v="39"/>
    <x v="34"/>
  </r>
  <r>
    <x v="37"/>
    <x v="37"/>
    <x v="60"/>
    <x v="53"/>
    <x v="60"/>
    <x v="60"/>
    <x v="60"/>
    <x v="49"/>
    <x v="55"/>
    <x v="56"/>
    <x v="31"/>
    <x v="31"/>
    <x v="53"/>
    <x v="9"/>
    <x v="17"/>
    <x v="40"/>
    <x v="32"/>
  </r>
  <r>
    <x v="38"/>
    <x v="38"/>
    <x v="61"/>
    <x v="54"/>
    <x v="61"/>
    <x v="61"/>
    <x v="61"/>
    <x v="50"/>
    <x v="56"/>
    <x v="57"/>
    <x v="29"/>
    <x v="10"/>
    <x v="54"/>
    <x v="15"/>
    <x v="18"/>
    <x v="17"/>
    <x v="35"/>
  </r>
  <r>
    <x v="39"/>
    <x v="39"/>
    <x v="62"/>
    <x v="55"/>
    <x v="62"/>
    <x v="62"/>
    <x v="62"/>
    <x v="51"/>
    <x v="57"/>
    <x v="58"/>
    <x v="31"/>
    <x v="32"/>
    <x v="55"/>
    <x v="14"/>
    <x v="0"/>
    <x v="41"/>
    <x v="36"/>
  </r>
  <r>
    <x v="40"/>
    <x v="40"/>
    <x v="63"/>
    <x v="35"/>
    <x v="63"/>
    <x v="63"/>
    <x v="63"/>
    <x v="52"/>
    <x v="58"/>
    <x v="59"/>
    <x v="9"/>
    <x v="19"/>
    <x v="56"/>
    <x v="13"/>
    <x v="14"/>
    <x v="20"/>
    <x v="37"/>
  </r>
  <r>
    <x v="41"/>
    <x v="41"/>
    <x v="64"/>
    <x v="56"/>
    <x v="64"/>
    <x v="64"/>
    <x v="64"/>
    <x v="31"/>
    <x v="59"/>
    <x v="60"/>
    <x v="24"/>
    <x v="24"/>
    <x v="57"/>
    <x v="2"/>
    <x v="7"/>
    <x v="2"/>
    <x v="8"/>
  </r>
  <r>
    <x v="42"/>
    <x v="42"/>
    <x v="65"/>
    <x v="56"/>
    <x v="65"/>
    <x v="65"/>
    <x v="65"/>
    <x v="53"/>
    <x v="60"/>
    <x v="61"/>
    <x v="24"/>
    <x v="24"/>
    <x v="57"/>
    <x v="13"/>
    <x v="2"/>
    <x v="42"/>
    <x v="2"/>
  </r>
  <r>
    <x v="43"/>
    <x v="43"/>
    <x v="66"/>
    <x v="33"/>
    <x v="66"/>
    <x v="66"/>
    <x v="66"/>
    <x v="2"/>
    <x v="2"/>
    <x v="29"/>
    <x v="2"/>
    <x v="2"/>
    <x v="27"/>
    <x v="2"/>
    <x v="2"/>
    <x v="2"/>
    <x v="2"/>
  </r>
  <r>
    <x v="42"/>
    <x v="42"/>
    <x v="67"/>
    <x v="57"/>
    <x v="67"/>
    <x v="67"/>
    <x v="67"/>
    <x v="54"/>
    <x v="61"/>
    <x v="62"/>
    <x v="17"/>
    <x v="30"/>
    <x v="58"/>
    <x v="21"/>
    <x v="4"/>
    <x v="43"/>
    <x v="38"/>
  </r>
  <r>
    <x v="44"/>
    <x v="44"/>
    <x v="68"/>
    <x v="58"/>
    <x v="68"/>
    <x v="68"/>
    <x v="68"/>
    <x v="55"/>
    <x v="62"/>
    <x v="63"/>
    <x v="15"/>
    <x v="14"/>
    <x v="59"/>
    <x v="13"/>
    <x v="4"/>
    <x v="42"/>
    <x v="39"/>
  </r>
  <r>
    <x v="41"/>
    <x v="41"/>
    <x v="69"/>
    <x v="46"/>
    <x v="69"/>
    <x v="69"/>
    <x v="69"/>
    <x v="2"/>
    <x v="2"/>
    <x v="29"/>
    <x v="2"/>
    <x v="2"/>
    <x v="27"/>
    <x v="2"/>
    <x v="2"/>
    <x v="2"/>
    <x v="2"/>
  </r>
  <r>
    <x v="45"/>
    <x v="45"/>
    <x v="70"/>
    <x v="59"/>
    <x v="70"/>
    <x v="70"/>
    <x v="70"/>
    <x v="56"/>
    <x v="63"/>
    <x v="64"/>
    <x v="15"/>
    <x v="14"/>
    <x v="60"/>
    <x v="24"/>
    <x v="15"/>
    <x v="44"/>
    <x v="40"/>
  </r>
  <r>
    <x v="46"/>
    <x v="46"/>
    <x v="71"/>
    <x v="60"/>
    <x v="71"/>
    <x v="71"/>
    <x v="71"/>
    <x v="57"/>
    <x v="64"/>
    <x v="65"/>
    <x v="14"/>
    <x v="13"/>
    <x v="61"/>
    <x v="20"/>
    <x v="6"/>
    <x v="45"/>
    <x v="31"/>
  </r>
  <r>
    <x v="45"/>
    <x v="45"/>
    <x v="72"/>
    <x v="30"/>
    <x v="72"/>
    <x v="72"/>
    <x v="72"/>
    <x v="2"/>
    <x v="2"/>
    <x v="29"/>
    <x v="2"/>
    <x v="2"/>
    <x v="27"/>
    <x v="2"/>
    <x v="2"/>
    <x v="2"/>
    <x v="2"/>
  </r>
  <r>
    <x v="44"/>
    <x v="44"/>
    <x v="73"/>
    <x v="61"/>
    <x v="73"/>
    <x v="73"/>
    <x v="73"/>
    <x v="2"/>
    <x v="2"/>
    <x v="29"/>
    <x v="2"/>
    <x v="2"/>
    <x v="27"/>
    <x v="2"/>
    <x v="2"/>
    <x v="2"/>
    <x v="2"/>
  </r>
  <r>
    <x v="47"/>
    <x v="47"/>
    <x v="74"/>
    <x v="62"/>
    <x v="74"/>
    <x v="74"/>
    <x v="74"/>
    <x v="58"/>
    <x v="65"/>
    <x v="66"/>
    <x v="32"/>
    <x v="33"/>
    <x v="62"/>
    <x v="4"/>
    <x v="19"/>
    <x v="46"/>
    <x v="41"/>
  </r>
  <r>
    <x v="48"/>
    <x v="48"/>
    <x v="75"/>
    <x v="10"/>
    <x v="75"/>
    <x v="75"/>
    <x v="75"/>
    <x v="59"/>
    <x v="66"/>
    <x v="67"/>
    <x v="12"/>
    <x v="19"/>
    <x v="15"/>
    <x v="8"/>
    <x v="7"/>
    <x v="47"/>
    <x v="8"/>
  </r>
  <r>
    <x v="48"/>
    <x v="48"/>
    <x v="76"/>
    <x v="63"/>
    <x v="76"/>
    <x v="76"/>
    <x v="76"/>
    <x v="60"/>
    <x v="67"/>
    <x v="68"/>
    <x v="33"/>
    <x v="20"/>
    <x v="63"/>
    <x v="5"/>
    <x v="12"/>
    <x v="48"/>
    <x v="42"/>
  </r>
  <r>
    <x v="49"/>
    <x v="49"/>
    <x v="77"/>
    <x v="37"/>
    <x v="77"/>
    <x v="77"/>
    <x v="77"/>
    <x v="61"/>
    <x v="68"/>
    <x v="69"/>
    <x v="24"/>
    <x v="21"/>
    <x v="64"/>
    <x v="2"/>
    <x v="8"/>
    <x v="2"/>
    <x v="9"/>
  </r>
  <r>
    <x v="49"/>
    <x v="49"/>
    <x v="78"/>
    <x v="64"/>
    <x v="78"/>
    <x v="78"/>
    <x v="78"/>
    <x v="2"/>
    <x v="2"/>
    <x v="29"/>
    <x v="2"/>
    <x v="2"/>
    <x v="27"/>
    <x v="2"/>
    <x v="2"/>
    <x v="2"/>
    <x v="2"/>
  </r>
  <r>
    <x v="50"/>
    <x v="50"/>
    <x v="79"/>
    <x v="65"/>
    <x v="79"/>
    <x v="79"/>
    <x v="79"/>
    <x v="62"/>
    <x v="69"/>
    <x v="70"/>
    <x v="28"/>
    <x v="25"/>
    <x v="28"/>
    <x v="2"/>
    <x v="4"/>
    <x v="2"/>
    <x v="43"/>
  </r>
  <r>
    <x v="51"/>
    <x v="51"/>
    <x v="80"/>
    <x v="66"/>
    <x v="80"/>
    <x v="80"/>
    <x v="80"/>
    <x v="63"/>
    <x v="70"/>
    <x v="71"/>
    <x v="19"/>
    <x v="18"/>
    <x v="15"/>
    <x v="13"/>
    <x v="8"/>
    <x v="20"/>
    <x v="9"/>
  </r>
  <r>
    <x v="52"/>
    <x v="52"/>
    <x v="81"/>
    <x v="24"/>
    <x v="81"/>
    <x v="81"/>
    <x v="81"/>
    <x v="64"/>
    <x v="71"/>
    <x v="72"/>
    <x v="20"/>
    <x v="26"/>
    <x v="65"/>
    <x v="20"/>
    <x v="9"/>
    <x v="27"/>
    <x v="44"/>
  </r>
  <r>
    <x v="53"/>
    <x v="53"/>
    <x v="82"/>
    <x v="67"/>
    <x v="82"/>
    <x v="82"/>
    <x v="82"/>
    <x v="61"/>
    <x v="72"/>
    <x v="73"/>
    <x v="22"/>
    <x v="21"/>
    <x v="66"/>
    <x v="13"/>
    <x v="7"/>
    <x v="20"/>
    <x v="8"/>
  </r>
  <r>
    <x v="54"/>
    <x v="54"/>
    <x v="83"/>
    <x v="27"/>
    <x v="83"/>
    <x v="83"/>
    <x v="83"/>
    <x v="2"/>
    <x v="2"/>
    <x v="29"/>
    <x v="2"/>
    <x v="2"/>
    <x v="27"/>
    <x v="2"/>
    <x v="2"/>
    <x v="2"/>
    <x v="2"/>
  </r>
  <r>
    <x v="53"/>
    <x v="53"/>
    <x v="84"/>
    <x v="56"/>
    <x v="84"/>
    <x v="84"/>
    <x v="84"/>
    <x v="65"/>
    <x v="73"/>
    <x v="74"/>
    <x v="24"/>
    <x v="24"/>
    <x v="57"/>
    <x v="13"/>
    <x v="2"/>
    <x v="49"/>
    <x v="2"/>
  </r>
  <r>
    <x v="55"/>
    <x v="55"/>
    <x v="85"/>
    <x v="68"/>
    <x v="85"/>
    <x v="85"/>
    <x v="85"/>
    <x v="66"/>
    <x v="74"/>
    <x v="75"/>
    <x v="19"/>
    <x v="18"/>
    <x v="67"/>
    <x v="24"/>
    <x v="7"/>
    <x v="50"/>
    <x v="8"/>
  </r>
  <r>
    <x v="56"/>
    <x v="56"/>
    <x v="86"/>
    <x v="69"/>
    <x v="86"/>
    <x v="86"/>
    <x v="86"/>
    <x v="67"/>
    <x v="75"/>
    <x v="76"/>
    <x v="25"/>
    <x v="9"/>
    <x v="68"/>
    <x v="21"/>
    <x v="9"/>
    <x v="51"/>
    <x v="45"/>
  </r>
  <r>
    <x v="56"/>
    <x v="56"/>
    <x v="87"/>
    <x v="70"/>
    <x v="87"/>
    <x v="87"/>
    <x v="87"/>
    <x v="68"/>
    <x v="76"/>
    <x v="77"/>
    <x v="31"/>
    <x v="32"/>
    <x v="69"/>
    <x v="10"/>
    <x v="20"/>
    <x v="52"/>
    <x v="46"/>
  </r>
  <r>
    <x v="57"/>
    <x v="57"/>
    <x v="88"/>
    <x v="71"/>
    <x v="88"/>
    <x v="88"/>
    <x v="88"/>
    <x v="10"/>
    <x v="77"/>
    <x v="78"/>
    <x v="10"/>
    <x v="11"/>
    <x v="70"/>
    <x v="24"/>
    <x v="12"/>
    <x v="53"/>
    <x v="25"/>
  </r>
  <r>
    <x v="58"/>
    <x v="58"/>
    <x v="89"/>
    <x v="72"/>
    <x v="89"/>
    <x v="89"/>
    <x v="89"/>
    <x v="13"/>
    <x v="78"/>
    <x v="79"/>
    <x v="8"/>
    <x v="8"/>
    <x v="71"/>
    <x v="24"/>
    <x v="0"/>
    <x v="35"/>
    <x v="0"/>
  </r>
  <r>
    <x v="59"/>
    <x v="59"/>
    <x v="90"/>
    <x v="72"/>
    <x v="90"/>
    <x v="90"/>
    <x v="90"/>
    <x v="37"/>
    <x v="79"/>
    <x v="80"/>
    <x v="19"/>
    <x v="18"/>
    <x v="64"/>
    <x v="24"/>
    <x v="7"/>
    <x v="31"/>
    <x v="26"/>
  </r>
  <r>
    <x v="60"/>
    <x v="60"/>
    <x v="91"/>
    <x v="33"/>
    <x v="91"/>
    <x v="91"/>
    <x v="91"/>
    <x v="2"/>
    <x v="2"/>
    <x v="29"/>
    <x v="2"/>
    <x v="2"/>
    <x v="27"/>
    <x v="2"/>
    <x v="2"/>
    <x v="2"/>
    <x v="2"/>
  </r>
  <r>
    <x v="61"/>
    <x v="61"/>
    <x v="92"/>
    <x v="73"/>
    <x v="92"/>
    <x v="92"/>
    <x v="92"/>
    <x v="2"/>
    <x v="2"/>
    <x v="29"/>
    <x v="2"/>
    <x v="2"/>
    <x v="27"/>
    <x v="2"/>
    <x v="2"/>
    <x v="2"/>
    <x v="2"/>
  </r>
  <r>
    <x v="62"/>
    <x v="62"/>
    <x v="93"/>
    <x v="74"/>
    <x v="93"/>
    <x v="93"/>
    <x v="93"/>
    <x v="69"/>
    <x v="80"/>
    <x v="81"/>
    <x v="22"/>
    <x v="21"/>
    <x v="72"/>
    <x v="13"/>
    <x v="7"/>
    <x v="49"/>
    <x v="47"/>
  </r>
  <r>
    <x v="63"/>
    <x v="63"/>
    <x v="94"/>
    <x v="73"/>
    <x v="94"/>
    <x v="94"/>
    <x v="93"/>
    <x v="70"/>
    <x v="81"/>
    <x v="82"/>
    <x v="19"/>
    <x v="18"/>
    <x v="73"/>
    <x v="13"/>
    <x v="8"/>
    <x v="31"/>
    <x v="9"/>
  </r>
  <r>
    <x v="64"/>
    <x v="64"/>
    <x v="95"/>
    <x v="42"/>
    <x v="95"/>
    <x v="95"/>
    <x v="94"/>
    <x v="63"/>
    <x v="82"/>
    <x v="83"/>
    <x v="22"/>
    <x v="18"/>
    <x v="74"/>
    <x v="24"/>
    <x v="7"/>
    <x v="53"/>
    <x v="8"/>
  </r>
  <r>
    <x v="65"/>
    <x v="65"/>
    <x v="96"/>
    <x v="38"/>
    <x v="96"/>
    <x v="96"/>
    <x v="95"/>
    <x v="63"/>
    <x v="83"/>
    <x v="84"/>
    <x v="19"/>
    <x v="18"/>
    <x v="9"/>
    <x v="24"/>
    <x v="7"/>
    <x v="53"/>
    <x v="8"/>
  </r>
  <r>
    <x v="66"/>
    <x v="66"/>
    <x v="97"/>
    <x v="17"/>
    <x v="97"/>
    <x v="97"/>
    <x v="96"/>
    <x v="71"/>
    <x v="84"/>
    <x v="85"/>
    <x v="25"/>
    <x v="9"/>
    <x v="75"/>
    <x v="13"/>
    <x v="17"/>
    <x v="20"/>
    <x v="48"/>
  </r>
  <r>
    <x v="67"/>
    <x v="67"/>
    <x v="98"/>
    <x v="21"/>
    <x v="98"/>
    <x v="98"/>
    <x v="97"/>
    <x v="2"/>
    <x v="2"/>
    <x v="29"/>
    <x v="2"/>
    <x v="2"/>
    <x v="27"/>
    <x v="2"/>
    <x v="2"/>
    <x v="2"/>
    <x v="2"/>
  </r>
  <r>
    <x v="68"/>
    <x v="68"/>
    <x v="99"/>
    <x v="32"/>
    <x v="99"/>
    <x v="99"/>
    <x v="98"/>
    <x v="2"/>
    <x v="2"/>
    <x v="29"/>
    <x v="2"/>
    <x v="2"/>
    <x v="27"/>
    <x v="2"/>
    <x v="2"/>
    <x v="2"/>
    <x v="2"/>
  </r>
  <r>
    <x v="69"/>
    <x v="69"/>
    <x v="83"/>
    <x v="27"/>
    <x v="83"/>
    <x v="100"/>
    <x v="99"/>
    <x v="2"/>
    <x v="2"/>
    <x v="29"/>
    <x v="2"/>
    <x v="2"/>
    <x v="27"/>
    <x v="2"/>
    <x v="2"/>
    <x v="2"/>
    <x v="2"/>
  </r>
  <r>
    <x v="70"/>
    <x v="70"/>
    <x v="100"/>
    <x v="27"/>
    <x v="100"/>
    <x v="101"/>
    <x v="100"/>
    <x v="2"/>
    <x v="2"/>
    <x v="29"/>
    <x v="2"/>
    <x v="2"/>
    <x v="27"/>
    <x v="2"/>
    <x v="2"/>
    <x v="2"/>
    <x v="2"/>
  </r>
  <r>
    <x v="64"/>
    <x v="64"/>
    <x v="101"/>
    <x v="51"/>
    <x v="101"/>
    <x v="102"/>
    <x v="101"/>
    <x v="72"/>
    <x v="85"/>
    <x v="86"/>
    <x v="15"/>
    <x v="14"/>
    <x v="50"/>
    <x v="15"/>
    <x v="8"/>
    <x v="17"/>
    <x v="49"/>
  </r>
  <r>
    <x v="66"/>
    <x v="66"/>
    <x v="102"/>
    <x v="75"/>
    <x v="102"/>
    <x v="103"/>
    <x v="102"/>
    <x v="2"/>
    <x v="2"/>
    <x v="29"/>
    <x v="2"/>
    <x v="2"/>
    <x v="27"/>
    <x v="2"/>
    <x v="2"/>
    <x v="2"/>
    <x v="2"/>
  </r>
  <r>
    <x v="65"/>
    <x v="65"/>
    <x v="103"/>
    <x v="76"/>
    <x v="103"/>
    <x v="104"/>
    <x v="103"/>
    <x v="42"/>
    <x v="86"/>
    <x v="87"/>
    <x v="15"/>
    <x v="22"/>
    <x v="76"/>
    <x v="21"/>
    <x v="8"/>
    <x v="29"/>
    <x v="9"/>
  </r>
  <r>
    <x v="67"/>
    <x v="67"/>
    <x v="104"/>
    <x v="77"/>
    <x v="104"/>
    <x v="105"/>
    <x v="104"/>
    <x v="61"/>
    <x v="87"/>
    <x v="88"/>
    <x v="22"/>
    <x v="21"/>
    <x v="77"/>
    <x v="2"/>
    <x v="8"/>
    <x v="2"/>
    <x v="9"/>
  </r>
  <r>
    <x v="68"/>
    <x v="68"/>
    <x v="105"/>
    <x v="38"/>
    <x v="105"/>
    <x v="106"/>
    <x v="105"/>
    <x v="18"/>
    <x v="88"/>
    <x v="89"/>
    <x v="28"/>
    <x v="14"/>
    <x v="78"/>
    <x v="24"/>
    <x v="15"/>
    <x v="53"/>
    <x v="29"/>
  </r>
  <r>
    <x v="69"/>
    <x v="69"/>
    <x v="106"/>
    <x v="78"/>
    <x v="106"/>
    <x v="107"/>
    <x v="106"/>
    <x v="2"/>
    <x v="2"/>
    <x v="29"/>
    <x v="2"/>
    <x v="2"/>
    <x v="27"/>
    <x v="2"/>
    <x v="2"/>
    <x v="2"/>
    <x v="2"/>
  </r>
  <r>
    <x v="61"/>
    <x v="61"/>
    <x v="107"/>
    <x v="73"/>
    <x v="107"/>
    <x v="108"/>
    <x v="107"/>
    <x v="31"/>
    <x v="89"/>
    <x v="90"/>
    <x v="24"/>
    <x v="24"/>
    <x v="79"/>
    <x v="2"/>
    <x v="7"/>
    <x v="2"/>
    <x v="8"/>
  </r>
  <r>
    <x v="62"/>
    <x v="62"/>
    <x v="108"/>
    <x v="61"/>
    <x v="108"/>
    <x v="109"/>
    <x v="108"/>
    <x v="31"/>
    <x v="90"/>
    <x v="91"/>
    <x v="24"/>
    <x v="24"/>
    <x v="80"/>
    <x v="2"/>
    <x v="7"/>
    <x v="2"/>
    <x v="8"/>
  </r>
  <r>
    <x v="63"/>
    <x v="63"/>
    <x v="109"/>
    <x v="56"/>
    <x v="109"/>
    <x v="110"/>
    <x v="109"/>
    <x v="2"/>
    <x v="2"/>
    <x v="29"/>
    <x v="2"/>
    <x v="2"/>
    <x v="27"/>
    <x v="2"/>
    <x v="2"/>
    <x v="2"/>
    <x v="2"/>
  </r>
  <r>
    <x v="71"/>
    <x v="71"/>
    <x v="110"/>
    <x v="38"/>
    <x v="110"/>
    <x v="111"/>
    <x v="110"/>
    <x v="63"/>
    <x v="91"/>
    <x v="92"/>
    <x v="19"/>
    <x v="18"/>
    <x v="9"/>
    <x v="15"/>
    <x v="2"/>
    <x v="17"/>
    <x v="2"/>
  </r>
  <r>
    <x v="70"/>
    <x v="70"/>
    <x v="111"/>
    <x v="28"/>
    <x v="111"/>
    <x v="112"/>
    <x v="111"/>
    <x v="69"/>
    <x v="92"/>
    <x v="93"/>
    <x v="22"/>
    <x v="21"/>
    <x v="28"/>
    <x v="13"/>
    <x v="7"/>
    <x v="49"/>
    <x v="47"/>
  </r>
  <r>
    <x v="71"/>
    <x v="71"/>
    <x v="112"/>
    <x v="79"/>
    <x v="112"/>
    <x v="113"/>
    <x v="112"/>
    <x v="31"/>
    <x v="93"/>
    <x v="94"/>
    <x v="24"/>
    <x v="24"/>
    <x v="36"/>
    <x v="13"/>
    <x v="2"/>
    <x v="20"/>
    <x v="2"/>
  </r>
  <r>
    <x v="70"/>
    <x v="70"/>
    <x v="113"/>
    <x v="80"/>
    <x v="113"/>
    <x v="114"/>
    <x v="113"/>
    <x v="33"/>
    <x v="94"/>
    <x v="95"/>
    <x v="10"/>
    <x v="11"/>
    <x v="81"/>
    <x v="21"/>
    <x v="17"/>
    <x v="29"/>
    <x v="32"/>
  </r>
  <r>
    <x v="72"/>
    <x v="72"/>
    <x v="114"/>
    <x v="81"/>
    <x v="114"/>
    <x v="115"/>
    <x v="114"/>
    <x v="18"/>
    <x v="95"/>
    <x v="96"/>
    <x v="28"/>
    <x v="14"/>
    <x v="82"/>
    <x v="2"/>
    <x v="0"/>
    <x v="2"/>
    <x v="0"/>
  </r>
  <r>
    <x v="60"/>
    <x v="60"/>
    <x v="115"/>
    <x v="82"/>
    <x v="115"/>
    <x v="116"/>
    <x v="115"/>
    <x v="61"/>
    <x v="96"/>
    <x v="97"/>
    <x v="22"/>
    <x v="21"/>
    <x v="83"/>
    <x v="24"/>
    <x v="2"/>
    <x v="53"/>
    <x v="2"/>
  </r>
  <r>
    <x v="73"/>
    <x v="73"/>
    <x v="116"/>
    <x v="46"/>
    <x v="116"/>
    <x v="117"/>
    <x v="116"/>
    <x v="2"/>
    <x v="2"/>
    <x v="29"/>
    <x v="2"/>
    <x v="2"/>
    <x v="27"/>
    <x v="2"/>
    <x v="2"/>
    <x v="2"/>
    <x v="2"/>
  </r>
  <r>
    <x v="74"/>
    <x v="74"/>
    <x v="117"/>
    <x v="33"/>
    <x v="117"/>
    <x v="118"/>
    <x v="117"/>
    <x v="31"/>
    <x v="97"/>
    <x v="98"/>
    <x v="24"/>
    <x v="24"/>
    <x v="32"/>
    <x v="2"/>
    <x v="7"/>
    <x v="2"/>
    <x v="8"/>
  </r>
  <r>
    <x v="75"/>
    <x v="75"/>
    <x v="118"/>
    <x v="59"/>
    <x v="118"/>
    <x v="119"/>
    <x v="118"/>
    <x v="31"/>
    <x v="98"/>
    <x v="99"/>
    <x v="24"/>
    <x v="24"/>
    <x v="84"/>
    <x v="13"/>
    <x v="2"/>
    <x v="20"/>
    <x v="2"/>
  </r>
  <r>
    <x v="76"/>
    <x v="76"/>
    <x v="119"/>
    <x v="83"/>
    <x v="119"/>
    <x v="120"/>
    <x v="119"/>
    <x v="63"/>
    <x v="99"/>
    <x v="100"/>
    <x v="19"/>
    <x v="18"/>
    <x v="36"/>
    <x v="24"/>
    <x v="7"/>
    <x v="53"/>
    <x v="8"/>
  </r>
  <r>
    <x v="74"/>
    <x v="74"/>
    <x v="120"/>
    <x v="56"/>
    <x v="120"/>
    <x v="121"/>
    <x v="120"/>
    <x v="31"/>
    <x v="100"/>
    <x v="101"/>
    <x v="24"/>
    <x v="24"/>
    <x v="57"/>
    <x v="13"/>
    <x v="2"/>
    <x v="20"/>
    <x v="2"/>
  </r>
  <r>
    <x v="77"/>
    <x v="77"/>
    <x v="121"/>
    <x v="46"/>
    <x v="121"/>
    <x v="122"/>
    <x v="121"/>
    <x v="2"/>
    <x v="2"/>
    <x v="29"/>
    <x v="2"/>
    <x v="2"/>
    <x v="27"/>
    <x v="2"/>
    <x v="2"/>
    <x v="2"/>
    <x v="2"/>
  </r>
  <r>
    <x v="78"/>
    <x v="78"/>
    <x v="122"/>
    <x v="84"/>
    <x v="122"/>
    <x v="123"/>
    <x v="122"/>
    <x v="61"/>
    <x v="101"/>
    <x v="102"/>
    <x v="22"/>
    <x v="21"/>
    <x v="85"/>
    <x v="13"/>
    <x v="7"/>
    <x v="20"/>
    <x v="8"/>
  </r>
  <r>
    <x v="76"/>
    <x v="76"/>
    <x v="123"/>
    <x v="37"/>
    <x v="123"/>
    <x v="124"/>
    <x v="123"/>
    <x v="2"/>
    <x v="2"/>
    <x v="29"/>
    <x v="2"/>
    <x v="2"/>
    <x v="27"/>
    <x v="2"/>
    <x v="2"/>
    <x v="2"/>
    <x v="2"/>
  </r>
  <r>
    <x v="79"/>
    <x v="51"/>
    <x v="124"/>
    <x v="2"/>
    <x v="2"/>
    <x v="2"/>
    <x v="2"/>
    <x v="2"/>
    <x v="2"/>
    <x v="2"/>
    <x v="2"/>
    <x v="2"/>
    <x v="2"/>
    <x v="2"/>
    <x v="2"/>
    <x v="2"/>
    <x v="2"/>
  </r>
  <r>
    <x v="80"/>
    <x v="79"/>
    <x v="125"/>
    <x v="85"/>
    <x v="124"/>
    <x v="125"/>
    <x v="124"/>
    <x v="73"/>
    <x v="102"/>
    <x v="103"/>
    <x v="22"/>
    <x v="21"/>
    <x v="86"/>
    <x v="24"/>
    <x v="2"/>
    <x v="54"/>
    <x v="2"/>
  </r>
  <r>
    <x v="80"/>
    <x v="79"/>
    <x v="126"/>
    <x v="23"/>
    <x v="125"/>
    <x v="126"/>
    <x v="125"/>
    <x v="74"/>
    <x v="103"/>
    <x v="104"/>
    <x v="19"/>
    <x v="8"/>
    <x v="13"/>
    <x v="20"/>
    <x v="8"/>
    <x v="55"/>
    <x v="50"/>
  </r>
  <r>
    <x v="79"/>
    <x v="51"/>
    <x v="127"/>
    <x v="56"/>
    <x v="126"/>
    <x v="127"/>
    <x v="126"/>
    <x v="75"/>
    <x v="104"/>
    <x v="105"/>
    <x v="24"/>
    <x v="24"/>
    <x v="57"/>
    <x v="2"/>
    <x v="7"/>
    <x v="2"/>
    <x v="51"/>
  </r>
  <r>
    <x v="81"/>
    <x v="52"/>
    <x v="128"/>
    <x v="29"/>
    <x v="127"/>
    <x v="128"/>
    <x v="127"/>
    <x v="73"/>
    <x v="105"/>
    <x v="106"/>
    <x v="22"/>
    <x v="21"/>
    <x v="87"/>
    <x v="24"/>
    <x v="2"/>
    <x v="54"/>
    <x v="2"/>
  </r>
  <r>
    <x v="81"/>
    <x v="52"/>
    <x v="129"/>
    <x v="61"/>
    <x v="128"/>
    <x v="129"/>
    <x v="128"/>
    <x v="2"/>
    <x v="2"/>
    <x v="29"/>
    <x v="2"/>
    <x v="2"/>
    <x v="27"/>
    <x v="2"/>
    <x v="2"/>
    <x v="2"/>
    <x v="2"/>
  </r>
  <r>
    <x v="82"/>
    <x v="80"/>
    <x v="130"/>
    <x v="21"/>
    <x v="129"/>
    <x v="130"/>
    <x v="129"/>
    <x v="2"/>
    <x v="2"/>
    <x v="29"/>
    <x v="2"/>
    <x v="2"/>
    <x v="27"/>
    <x v="2"/>
    <x v="2"/>
    <x v="2"/>
    <x v="2"/>
  </r>
  <r>
    <x v="82"/>
    <x v="80"/>
    <x v="131"/>
    <x v="30"/>
    <x v="130"/>
    <x v="131"/>
    <x v="130"/>
    <x v="76"/>
    <x v="106"/>
    <x v="107"/>
    <x v="19"/>
    <x v="18"/>
    <x v="88"/>
    <x v="13"/>
    <x v="8"/>
    <x v="56"/>
    <x v="52"/>
  </r>
  <r>
    <x v="83"/>
    <x v="81"/>
    <x v="132"/>
    <x v="86"/>
    <x v="131"/>
    <x v="2"/>
    <x v="131"/>
    <x v="77"/>
    <x v="2"/>
    <x v="2"/>
    <x v="34"/>
    <x v="34"/>
    <x v="2"/>
    <x v="25"/>
    <x v="21"/>
    <x v="57"/>
    <x v="53"/>
  </r>
</pivotCacheRecords>
</file>

<file path=xl/pivotCache/pivotCacheRecords22.xml><?xml version="1.0" encoding="utf-8"?>
<pivotCacheRecords xmlns="http://schemas.openxmlformats.org/spreadsheetml/2006/main" xmlns:r="http://schemas.openxmlformats.org/officeDocument/2006/relationships" count="91">
  <r>
    <x v="0"/>
    <x v="0"/>
    <x v="0"/>
    <x v="0"/>
    <x v="0"/>
    <x v="0"/>
    <x v="0"/>
    <x v="0"/>
    <x v="0"/>
    <x v="0"/>
    <x v="0"/>
    <x v="0"/>
    <x v="0"/>
    <x v="0"/>
  </r>
  <r>
    <x v="1"/>
    <x v="1"/>
    <x v="1"/>
    <x v="1"/>
    <x v="0"/>
    <x v="1"/>
    <x v="0"/>
    <x v="1"/>
    <x v="1"/>
    <x v="1"/>
    <x v="1"/>
    <x v="1"/>
    <x v="0"/>
    <x v="1"/>
  </r>
  <r>
    <x v="2"/>
    <x v="2"/>
    <x v="2"/>
    <x v="2"/>
    <x v="1"/>
    <x v="2"/>
    <x v="1"/>
    <x v="2"/>
    <x v="0"/>
    <x v="2"/>
    <x v="0"/>
    <x v="2"/>
    <x v="0"/>
    <x v="2"/>
  </r>
  <r>
    <x v="3"/>
    <x v="3"/>
    <x v="3"/>
    <x v="3"/>
    <x v="2"/>
    <x v="3"/>
    <x v="2"/>
    <x v="3"/>
    <x v="2"/>
    <x v="3"/>
    <x v="2"/>
    <x v="3"/>
    <x v="1"/>
    <x v="2"/>
  </r>
  <r>
    <x v="4"/>
    <x v="4"/>
    <x v="4"/>
    <x v="4"/>
    <x v="2"/>
    <x v="4"/>
    <x v="2"/>
    <x v="4"/>
    <x v="2"/>
    <x v="4"/>
    <x v="2"/>
    <x v="2"/>
    <x v="1"/>
    <x v="3"/>
  </r>
  <r>
    <x v="5"/>
    <x v="5"/>
    <x v="5"/>
    <x v="5"/>
    <x v="3"/>
    <x v="5"/>
    <x v="3"/>
    <x v="5"/>
    <x v="3"/>
    <x v="5"/>
    <x v="3"/>
    <x v="2"/>
    <x v="0"/>
    <x v="4"/>
  </r>
  <r>
    <x v="6"/>
    <x v="6"/>
    <x v="6"/>
    <x v="6"/>
    <x v="0"/>
    <x v="6"/>
    <x v="0"/>
    <x v="6"/>
    <x v="1"/>
    <x v="6"/>
    <x v="1"/>
    <x v="4"/>
    <x v="0"/>
    <x v="4"/>
  </r>
  <r>
    <x v="7"/>
    <x v="7"/>
    <x v="7"/>
    <x v="7"/>
    <x v="2"/>
    <x v="7"/>
    <x v="2"/>
    <x v="7"/>
    <x v="2"/>
    <x v="7"/>
    <x v="2"/>
    <x v="2"/>
    <x v="1"/>
    <x v="4"/>
  </r>
  <r>
    <x v="8"/>
    <x v="8"/>
    <x v="8"/>
    <x v="8"/>
    <x v="3"/>
    <x v="8"/>
    <x v="3"/>
    <x v="8"/>
    <x v="3"/>
    <x v="8"/>
    <x v="3"/>
    <x v="5"/>
    <x v="0"/>
    <x v="5"/>
  </r>
  <r>
    <x v="9"/>
    <x v="9"/>
    <x v="9"/>
    <x v="9"/>
    <x v="3"/>
    <x v="9"/>
    <x v="3"/>
    <x v="9"/>
    <x v="3"/>
    <x v="9"/>
    <x v="3"/>
    <x v="2"/>
    <x v="1"/>
    <x v="5"/>
  </r>
  <r>
    <x v="10"/>
    <x v="10"/>
    <x v="10"/>
    <x v="6"/>
    <x v="4"/>
    <x v="6"/>
    <x v="4"/>
    <x v="10"/>
    <x v="4"/>
    <x v="10"/>
    <x v="4"/>
    <x v="6"/>
    <x v="2"/>
    <x v="5"/>
  </r>
  <r>
    <x v="11"/>
    <x v="11"/>
    <x v="11"/>
    <x v="10"/>
    <x v="1"/>
    <x v="10"/>
    <x v="1"/>
    <x v="11"/>
    <x v="0"/>
    <x v="11"/>
    <x v="0"/>
    <x v="2"/>
    <x v="0"/>
    <x v="5"/>
  </r>
  <r>
    <x v="12"/>
    <x v="12"/>
    <x v="12"/>
    <x v="11"/>
    <x v="2"/>
    <x v="11"/>
    <x v="2"/>
    <x v="12"/>
    <x v="2"/>
    <x v="12"/>
    <x v="2"/>
    <x v="7"/>
    <x v="1"/>
    <x v="5"/>
  </r>
  <r>
    <x v="13"/>
    <x v="13"/>
    <x v="13"/>
    <x v="12"/>
    <x v="3"/>
    <x v="12"/>
    <x v="3"/>
    <x v="13"/>
    <x v="3"/>
    <x v="13"/>
    <x v="3"/>
    <x v="2"/>
    <x v="0"/>
    <x v="5"/>
  </r>
  <r>
    <x v="14"/>
    <x v="14"/>
    <x v="14"/>
    <x v="13"/>
    <x v="2"/>
    <x v="13"/>
    <x v="2"/>
    <x v="5"/>
    <x v="2"/>
    <x v="5"/>
    <x v="2"/>
    <x v="2"/>
    <x v="1"/>
    <x v="6"/>
  </r>
  <r>
    <x v="15"/>
    <x v="15"/>
    <x v="15"/>
    <x v="14"/>
    <x v="1"/>
    <x v="14"/>
    <x v="1"/>
    <x v="14"/>
    <x v="0"/>
    <x v="14"/>
    <x v="0"/>
    <x v="2"/>
    <x v="0"/>
    <x v="6"/>
  </r>
  <r>
    <x v="16"/>
    <x v="16"/>
    <x v="16"/>
    <x v="15"/>
    <x v="5"/>
    <x v="15"/>
    <x v="5"/>
    <x v="15"/>
    <x v="5"/>
    <x v="15"/>
    <x v="5"/>
    <x v="2"/>
    <x v="3"/>
    <x v="6"/>
  </r>
  <r>
    <x v="17"/>
    <x v="17"/>
    <x v="17"/>
    <x v="16"/>
    <x v="2"/>
    <x v="16"/>
    <x v="2"/>
    <x v="16"/>
    <x v="2"/>
    <x v="16"/>
    <x v="2"/>
    <x v="8"/>
    <x v="1"/>
    <x v="6"/>
  </r>
  <r>
    <x v="18"/>
    <x v="18"/>
    <x v="18"/>
    <x v="17"/>
    <x v="3"/>
    <x v="17"/>
    <x v="3"/>
    <x v="17"/>
    <x v="1"/>
    <x v="17"/>
    <x v="1"/>
    <x v="9"/>
    <x v="0"/>
    <x v="5"/>
  </r>
  <r>
    <x v="19"/>
    <x v="19"/>
    <x v="19"/>
    <x v="18"/>
    <x v="2"/>
    <x v="18"/>
    <x v="2"/>
    <x v="18"/>
    <x v="2"/>
    <x v="18"/>
    <x v="2"/>
    <x v="2"/>
    <x v="1"/>
    <x v="6"/>
  </r>
  <r>
    <x v="20"/>
    <x v="20"/>
    <x v="20"/>
    <x v="19"/>
    <x v="2"/>
    <x v="19"/>
    <x v="2"/>
    <x v="19"/>
    <x v="2"/>
    <x v="19"/>
    <x v="2"/>
    <x v="2"/>
    <x v="1"/>
    <x v="6"/>
  </r>
  <r>
    <x v="21"/>
    <x v="21"/>
    <x v="21"/>
    <x v="20"/>
    <x v="4"/>
    <x v="20"/>
    <x v="4"/>
    <x v="20"/>
    <x v="6"/>
    <x v="20"/>
    <x v="6"/>
    <x v="2"/>
    <x v="0"/>
    <x v="7"/>
  </r>
  <r>
    <x v="22"/>
    <x v="22"/>
    <x v="22"/>
    <x v="21"/>
    <x v="2"/>
    <x v="21"/>
    <x v="2"/>
    <x v="21"/>
    <x v="2"/>
    <x v="21"/>
    <x v="2"/>
    <x v="2"/>
    <x v="1"/>
    <x v="8"/>
  </r>
  <r>
    <x v="23"/>
    <x v="23"/>
    <x v="23"/>
    <x v="22"/>
    <x v="3"/>
    <x v="22"/>
    <x v="3"/>
    <x v="17"/>
    <x v="3"/>
    <x v="17"/>
    <x v="3"/>
    <x v="2"/>
    <x v="0"/>
    <x v="9"/>
  </r>
  <r>
    <x v="24"/>
    <x v="24"/>
    <x v="24"/>
    <x v="23"/>
    <x v="0"/>
    <x v="23"/>
    <x v="0"/>
    <x v="20"/>
    <x v="1"/>
    <x v="20"/>
    <x v="1"/>
    <x v="2"/>
    <x v="0"/>
    <x v="8"/>
  </r>
  <r>
    <x v="25"/>
    <x v="25"/>
    <x v="25"/>
    <x v="24"/>
    <x v="2"/>
    <x v="24"/>
    <x v="2"/>
    <x v="22"/>
    <x v="2"/>
    <x v="22"/>
    <x v="2"/>
    <x v="2"/>
    <x v="1"/>
    <x v="8"/>
  </r>
  <r>
    <x v="26"/>
    <x v="26"/>
    <x v="26"/>
    <x v="23"/>
    <x v="1"/>
    <x v="23"/>
    <x v="1"/>
    <x v="23"/>
    <x v="0"/>
    <x v="23"/>
    <x v="0"/>
    <x v="2"/>
    <x v="4"/>
    <x v="8"/>
  </r>
  <r>
    <x v="27"/>
    <x v="27"/>
    <x v="27"/>
    <x v="25"/>
    <x v="0"/>
    <x v="25"/>
    <x v="0"/>
    <x v="24"/>
    <x v="0"/>
    <x v="24"/>
    <x v="0"/>
    <x v="2"/>
    <x v="0"/>
    <x v="8"/>
  </r>
  <r>
    <x v="28"/>
    <x v="28"/>
    <x v="28"/>
    <x v="26"/>
    <x v="3"/>
    <x v="26"/>
    <x v="3"/>
    <x v="25"/>
    <x v="3"/>
    <x v="25"/>
    <x v="3"/>
    <x v="2"/>
    <x v="0"/>
    <x v="8"/>
  </r>
  <r>
    <x v="29"/>
    <x v="29"/>
    <x v="29"/>
    <x v="27"/>
    <x v="2"/>
    <x v="27"/>
    <x v="2"/>
    <x v="26"/>
    <x v="2"/>
    <x v="26"/>
    <x v="2"/>
    <x v="2"/>
    <x v="1"/>
    <x v="8"/>
  </r>
  <r>
    <x v="30"/>
    <x v="30"/>
    <x v="30"/>
    <x v="28"/>
    <x v="3"/>
    <x v="28"/>
    <x v="3"/>
    <x v="27"/>
    <x v="3"/>
    <x v="27"/>
    <x v="3"/>
    <x v="2"/>
    <x v="1"/>
    <x v="8"/>
  </r>
  <r>
    <x v="31"/>
    <x v="31"/>
    <x v="31"/>
    <x v="29"/>
    <x v="2"/>
    <x v="29"/>
    <x v="2"/>
    <x v="28"/>
    <x v="2"/>
    <x v="28"/>
    <x v="2"/>
    <x v="2"/>
    <x v="1"/>
    <x v="8"/>
  </r>
  <r>
    <x v="32"/>
    <x v="32"/>
    <x v="32"/>
    <x v="30"/>
    <x v="0"/>
    <x v="30"/>
    <x v="0"/>
    <x v="29"/>
    <x v="1"/>
    <x v="29"/>
    <x v="1"/>
    <x v="10"/>
    <x v="0"/>
    <x v="8"/>
  </r>
  <r>
    <x v="33"/>
    <x v="33"/>
    <x v="33"/>
    <x v="31"/>
    <x v="0"/>
    <x v="31"/>
    <x v="0"/>
    <x v="30"/>
    <x v="7"/>
    <x v="30"/>
    <x v="7"/>
    <x v="2"/>
    <x v="0"/>
    <x v="8"/>
  </r>
  <r>
    <x v="34"/>
    <x v="34"/>
    <x v="34"/>
    <x v="32"/>
    <x v="2"/>
    <x v="32"/>
    <x v="2"/>
    <x v="31"/>
    <x v="2"/>
    <x v="31"/>
    <x v="2"/>
    <x v="2"/>
    <x v="1"/>
    <x v="8"/>
  </r>
  <r>
    <x v="35"/>
    <x v="35"/>
    <x v="35"/>
    <x v="33"/>
    <x v="3"/>
    <x v="33"/>
    <x v="3"/>
    <x v="32"/>
    <x v="3"/>
    <x v="32"/>
    <x v="3"/>
    <x v="2"/>
    <x v="1"/>
    <x v="8"/>
  </r>
  <r>
    <x v="36"/>
    <x v="36"/>
    <x v="36"/>
    <x v="11"/>
    <x v="2"/>
    <x v="11"/>
    <x v="2"/>
    <x v="33"/>
    <x v="2"/>
    <x v="33"/>
    <x v="2"/>
    <x v="11"/>
    <x v="1"/>
    <x v="10"/>
  </r>
  <r>
    <x v="37"/>
    <x v="37"/>
    <x v="37"/>
    <x v="34"/>
    <x v="0"/>
    <x v="34"/>
    <x v="0"/>
    <x v="34"/>
    <x v="1"/>
    <x v="34"/>
    <x v="1"/>
    <x v="12"/>
    <x v="0"/>
    <x v="10"/>
  </r>
  <r>
    <x v="38"/>
    <x v="38"/>
    <x v="38"/>
    <x v="35"/>
    <x v="3"/>
    <x v="35"/>
    <x v="3"/>
    <x v="27"/>
    <x v="3"/>
    <x v="27"/>
    <x v="3"/>
    <x v="2"/>
    <x v="0"/>
    <x v="8"/>
  </r>
  <r>
    <x v="39"/>
    <x v="39"/>
    <x v="39"/>
    <x v="36"/>
    <x v="3"/>
    <x v="36"/>
    <x v="3"/>
    <x v="35"/>
    <x v="1"/>
    <x v="35"/>
    <x v="1"/>
    <x v="2"/>
    <x v="0"/>
    <x v="10"/>
  </r>
  <r>
    <x v="40"/>
    <x v="40"/>
    <x v="40"/>
    <x v="37"/>
    <x v="3"/>
    <x v="37"/>
    <x v="3"/>
    <x v="36"/>
    <x v="3"/>
    <x v="36"/>
    <x v="3"/>
    <x v="2"/>
    <x v="1"/>
    <x v="10"/>
  </r>
  <r>
    <x v="41"/>
    <x v="41"/>
    <x v="41"/>
    <x v="38"/>
    <x v="2"/>
    <x v="38"/>
    <x v="2"/>
    <x v="37"/>
    <x v="2"/>
    <x v="37"/>
    <x v="2"/>
    <x v="2"/>
    <x v="1"/>
    <x v="10"/>
  </r>
  <r>
    <x v="42"/>
    <x v="42"/>
    <x v="42"/>
    <x v="17"/>
    <x v="0"/>
    <x v="17"/>
    <x v="0"/>
    <x v="26"/>
    <x v="1"/>
    <x v="26"/>
    <x v="1"/>
    <x v="13"/>
    <x v="0"/>
    <x v="10"/>
  </r>
  <r>
    <x v="43"/>
    <x v="43"/>
    <x v="43"/>
    <x v="39"/>
    <x v="2"/>
    <x v="39"/>
    <x v="2"/>
    <x v="38"/>
    <x v="2"/>
    <x v="38"/>
    <x v="2"/>
    <x v="14"/>
    <x v="1"/>
    <x v="10"/>
  </r>
  <r>
    <x v="44"/>
    <x v="44"/>
    <x v="44"/>
    <x v="40"/>
    <x v="2"/>
    <x v="40"/>
    <x v="2"/>
    <x v="39"/>
    <x v="2"/>
    <x v="39"/>
    <x v="2"/>
    <x v="2"/>
    <x v="1"/>
    <x v="10"/>
  </r>
  <r>
    <x v="45"/>
    <x v="45"/>
    <x v="45"/>
    <x v="41"/>
    <x v="2"/>
    <x v="41"/>
    <x v="2"/>
    <x v="40"/>
    <x v="2"/>
    <x v="40"/>
    <x v="2"/>
    <x v="15"/>
    <x v="1"/>
    <x v="10"/>
  </r>
  <r>
    <x v="46"/>
    <x v="46"/>
    <x v="46"/>
    <x v="42"/>
    <x v="2"/>
    <x v="42"/>
    <x v="2"/>
    <x v="12"/>
    <x v="2"/>
    <x v="12"/>
    <x v="2"/>
    <x v="2"/>
    <x v="1"/>
    <x v="10"/>
  </r>
  <r>
    <x v="47"/>
    <x v="47"/>
    <x v="47"/>
    <x v="17"/>
    <x v="1"/>
    <x v="17"/>
    <x v="1"/>
    <x v="41"/>
    <x v="4"/>
    <x v="41"/>
    <x v="4"/>
    <x v="2"/>
    <x v="0"/>
    <x v="10"/>
  </r>
  <r>
    <x v="48"/>
    <x v="48"/>
    <x v="48"/>
    <x v="43"/>
    <x v="3"/>
    <x v="43"/>
    <x v="3"/>
    <x v="42"/>
    <x v="3"/>
    <x v="42"/>
    <x v="3"/>
    <x v="16"/>
    <x v="0"/>
    <x v="11"/>
  </r>
  <r>
    <x v="49"/>
    <x v="49"/>
    <x v="49"/>
    <x v="44"/>
    <x v="2"/>
    <x v="44"/>
    <x v="2"/>
    <x v="37"/>
    <x v="2"/>
    <x v="37"/>
    <x v="2"/>
    <x v="17"/>
    <x v="1"/>
    <x v="11"/>
  </r>
  <r>
    <x v="50"/>
    <x v="50"/>
    <x v="50"/>
    <x v="45"/>
    <x v="3"/>
    <x v="45"/>
    <x v="3"/>
    <x v="43"/>
    <x v="3"/>
    <x v="43"/>
    <x v="3"/>
    <x v="18"/>
    <x v="1"/>
    <x v="11"/>
  </r>
  <r>
    <x v="51"/>
    <x v="51"/>
    <x v="51"/>
    <x v="4"/>
    <x v="0"/>
    <x v="4"/>
    <x v="0"/>
    <x v="44"/>
    <x v="1"/>
    <x v="44"/>
    <x v="1"/>
    <x v="2"/>
    <x v="0"/>
    <x v="11"/>
  </r>
  <r>
    <x v="52"/>
    <x v="52"/>
    <x v="52"/>
    <x v="46"/>
    <x v="2"/>
    <x v="46"/>
    <x v="2"/>
    <x v="45"/>
    <x v="2"/>
    <x v="45"/>
    <x v="2"/>
    <x v="2"/>
    <x v="1"/>
    <x v="11"/>
  </r>
  <r>
    <x v="53"/>
    <x v="53"/>
    <x v="53"/>
    <x v="47"/>
    <x v="3"/>
    <x v="47"/>
    <x v="3"/>
    <x v="28"/>
    <x v="3"/>
    <x v="28"/>
    <x v="3"/>
    <x v="2"/>
    <x v="0"/>
    <x v="11"/>
  </r>
  <r>
    <x v="54"/>
    <x v="54"/>
    <x v="54"/>
    <x v="48"/>
    <x v="2"/>
    <x v="48"/>
    <x v="2"/>
    <x v="46"/>
    <x v="2"/>
    <x v="46"/>
    <x v="2"/>
    <x v="19"/>
    <x v="1"/>
    <x v="11"/>
  </r>
  <r>
    <x v="55"/>
    <x v="55"/>
    <x v="55"/>
    <x v="49"/>
    <x v="2"/>
    <x v="49"/>
    <x v="2"/>
    <x v="47"/>
    <x v="2"/>
    <x v="47"/>
    <x v="2"/>
    <x v="2"/>
    <x v="1"/>
    <x v="11"/>
  </r>
  <r>
    <x v="56"/>
    <x v="56"/>
    <x v="56"/>
    <x v="40"/>
    <x v="2"/>
    <x v="40"/>
    <x v="2"/>
    <x v="48"/>
    <x v="2"/>
    <x v="48"/>
    <x v="2"/>
    <x v="2"/>
    <x v="1"/>
    <x v="11"/>
  </r>
  <r>
    <x v="57"/>
    <x v="57"/>
    <x v="57"/>
    <x v="50"/>
    <x v="3"/>
    <x v="50"/>
    <x v="3"/>
    <x v="39"/>
    <x v="3"/>
    <x v="39"/>
    <x v="3"/>
    <x v="20"/>
    <x v="0"/>
    <x v="11"/>
  </r>
  <r>
    <x v="58"/>
    <x v="58"/>
    <x v="58"/>
    <x v="51"/>
    <x v="2"/>
    <x v="51"/>
    <x v="2"/>
    <x v="39"/>
    <x v="2"/>
    <x v="39"/>
    <x v="2"/>
    <x v="21"/>
    <x v="1"/>
    <x v="11"/>
  </r>
  <r>
    <x v="59"/>
    <x v="59"/>
    <x v="59"/>
    <x v="51"/>
    <x v="2"/>
    <x v="51"/>
    <x v="2"/>
    <x v="39"/>
    <x v="2"/>
    <x v="39"/>
    <x v="2"/>
    <x v="2"/>
    <x v="1"/>
    <x v="11"/>
  </r>
  <r>
    <x v="60"/>
    <x v="60"/>
    <x v="60"/>
    <x v="29"/>
    <x v="2"/>
    <x v="29"/>
    <x v="2"/>
    <x v="49"/>
    <x v="2"/>
    <x v="49"/>
    <x v="2"/>
    <x v="22"/>
    <x v="1"/>
    <x v="12"/>
  </r>
  <r>
    <x v="61"/>
    <x v="61"/>
    <x v="61"/>
    <x v="49"/>
    <x v="2"/>
    <x v="49"/>
    <x v="2"/>
    <x v="48"/>
    <x v="2"/>
    <x v="48"/>
    <x v="2"/>
    <x v="2"/>
    <x v="1"/>
    <x v="12"/>
  </r>
  <r>
    <x v="62"/>
    <x v="62"/>
    <x v="62"/>
    <x v="51"/>
    <x v="2"/>
    <x v="51"/>
    <x v="2"/>
    <x v="43"/>
    <x v="2"/>
    <x v="43"/>
    <x v="2"/>
    <x v="2"/>
    <x v="1"/>
    <x v="12"/>
  </r>
  <r>
    <x v="63"/>
    <x v="63"/>
    <x v="63"/>
    <x v="49"/>
    <x v="3"/>
    <x v="49"/>
    <x v="3"/>
    <x v="50"/>
    <x v="3"/>
    <x v="50"/>
    <x v="3"/>
    <x v="2"/>
    <x v="0"/>
    <x v="12"/>
  </r>
  <r>
    <x v="64"/>
    <x v="64"/>
    <x v="64"/>
    <x v="49"/>
    <x v="2"/>
    <x v="49"/>
    <x v="2"/>
    <x v="39"/>
    <x v="2"/>
    <x v="39"/>
    <x v="2"/>
    <x v="2"/>
    <x v="1"/>
    <x v="12"/>
  </r>
  <r>
    <x v="65"/>
    <x v="65"/>
    <x v="65"/>
    <x v="52"/>
    <x v="2"/>
    <x v="52"/>
    <x v="2"/>
    <x v="51"/>
    <x v="2"/>
    <x v="51"/>
    <x v="2"/>
    <x v="2"/>
    <x v="1"/>
    <x v="12"/>
  </r>
  <r>
    <x v="66"/>
    <x v="66"/>
    <x v="66"/>
    <x v="53"/>
    <x v="2"/>
    <x v="53"/>
    <x v="2"/>
    <x v="52"/>
    <x v="2"/>
    <x v="52"/>
    <x v="2"/>
    <x v="2"/>
    <x v="1"/>
    <x v="12"/>
  </r>
  <r>
    <x v="67"/>
    <x v="67"/>
    <x v="67"/>
    <x v="54"/>
    <x v="3"/>
    <x v="54"/>
    <x v="3"/>
    <x v="53"/>
    <x v="1"/>
    <x v="53"/>
    <x v="1"/>
    <x v="2"/>
    <x v="0"/>
    <x v="12"/>
  </r>
  <r>
    <x v="68"/>
    <x v="68"/>
    <x v="68"/>
    <x v="55"/>
    <x v="2"/>
    <x v="55"/>
    <x v="2"/>
    <x v="54"/>
    <x v="2"/>
    <x v="54"/>
    <x v="2"/>
    <x v="2"/>
    <x v="1"/>
    <x v="12"/>
  </r>
  <r>
    <x v="69"/>
    <x v="69"/>
    <x v="69"/>
    <x v="56"/>
    <x v="0"/>
    <x v="56"/>
    <x v="0"/>
    <x v="40"/>
    <x v="1"/>
    <x v="40"/>
    <x v="1"/>
    <x v="2"/>
    <x v="0"/>
    <x v="12"/>
  </r>
  <r>
    <x v="70"/>
    <x v="70"/>
    <x v="70"/>
    <x v="57"/>
    <x v="2"/>
    <x v="57"/>
    <x v="2"/>
    <x v="51"/>
    <x v="2"/>
    <x v="51"/>
    <x v="2"/>
    <x v="2"/>
    <x v="1"/>
    <x v="12"/>
  </r>
  <r>
    <x v="71"/>
    <x v="71"/>
    <x v="71"/>
    <x v="58"/>
    <x v="2"/>
    <x v="58"/>
    <x v="2"/>
    <x v="55"/>
    <x v="2"/>
    <x v="55"/>
    <x v="2"/>
    <x v="23"/>
    <x v="1"/>
    <x v="12"/>
  </r>
  <r>
    <x v="72"/>
    <x v="72"/>
    <x v="72"/>
    <x v="58"/>
    <x v="2"/>
    <x v="58"/>
    <x v="2"/>
    <x v="56"/>
    <x v="2"/>
    <x v="56"/>
    <x v="2"/>
    <x v="2"/>
    <x v="1"/>
    <x v="12"/>
  </r>
  <r>
    <x v="73"/>
    <x v="73"/>
    <x v="73"/>
    <x v="56"/>
    <x v="2"/>
    <x v="56"/>
    <x v="2"/>
    <x v="38"/>
    <x v="2"/>
    <x v="38"/>
    <x v="2"/>
    <x v="2"/>
    <x v="1"/>
    <x v="12"/>
  </r>
  <r>
    <x v="74"/>
    <x v="74"/>
    <x v="74"/>
    <x v="39"/>
    <x v="2"/>
    <x v="39"/>
    <x v="2"/>
    <x v="56"/>
    <x v="2"/>
    <x v="56"/>
    <x v="2"/>
    <x v="2"/>
    <x v="1"/>
    <x v="12"/>
  </r>
  <r>
    <x v="75"/>
    <x v="75"/>
    <x v="75"/>
    <x v="48"/>
    <x v="2"/>
    <x v="48"/>
    <x v="2"/>
    <x v="40"/>
    <x v="2"/>
    <x v="40"/>
    <x v="2"/>
    <x v="24"/>
    <x v="1"/>
    <x v="12"/>
  </r>
  <r>
    <x v="76"/>
    <x v="76"/>
    <x v="76"/>
    <x v="48"/>
    <x v="3"/>
    <x v="48"/>
    <x v="3"/>
    <x v="47"/>
    <x v="3"/>
    <x v="47"/>
    <x v="3"/>
    <x v="2"/>
    <x v="0"/>
    <x v="12"/>
  </r>
  <r>
    <x v="77"/>
    <x v="77"/>
    <x v="77"/>
    <x v="59"/>
    <x v="2"/>
    <x v="59"/>
    <x v="2"/>
    <x v="57"/>
    <x v="2"/>
    <x v="57"/>
    <x v="2"/>
    <x v="2"/>
    <x v="1"/>
    <x v="12"/>
  </r>
  <r>
    <x v="78"/>
    <x v="78"/>
    <x v="78"/>
    <x v="56"/>
    <x v="2"/>
    <x v="56"/>
    <x v="2"/>
    <x v="47"/>
    <x v="2"/>
    <x v="47"/>
    <x v="2"/>
    <x v="2"/>
    <x v="1"/>
    <x v="12"/>
  </r>
  <r>
    <x v="79"/>
    <x v="79"/>
    <x v="79"/>
    <x v="60"/>
    <x v="2"/>
    <x v="60"/>
    <x v="2"/>
    <x v="58"/>
    <x v="2"/>
    <x v="58"/>
    <x v="2"/>
    <x v="2"/>
    <x v="1"/>
    <x v="12"/>
  </r>
  <r>
    <x v="80"/>
    <x v="80"/>
    <x v="80"/>
    <x v="29"/>
    <x v="2"/>
    <x v="29"/>
    <x v="2"/>
    <x v="28"/>
    <x v="2"/>
    <x v="28"/>
    <x v="2"/>
    <x v="2"/>
    <x v="1"/>
    <x v="12"/>
  </r>
  <r>
    <x v="81"/>
    <x v="81"/>
    <x v="81"/>
    <x v="5"/>
    <x v="2"/>
    <x v="5"/>
    <x v="2"/>
    <x v="59"/>
    <x v="2"/>
    <x v="59"/>
    <x v="2"/>
    <x v="2"/>
    <x v="1"/>
    <x v="12"/>
  </r>
  <r>
    <x v="82"/>
    <x v="82"/>
    <x v="82"/>
    <x v="21"/>
    <x v="2"/>
    <x v="21"/>
    <x v="2"/>
    <x v="60"/>
    <x v="2"/>
    <x v="60"/>
    <x v="2"/>
    <x v="2"/>
    <x v="1"/>
    <x v="12"/>
  </r>
  <r>
    <x v="83"/>
    <x v="83"/>
    <x v="83"/>
    <x v="30"/>
    <x v="3"/>
    <x v="30"/>
    <x v="3"/>
    <x v="61"/>
    <x v="5"/>
    <x v="61"/>
    <x v="5"/>
    <x v="2"/>
    <x v="0"/>
    <x v="12"/>
  </r>
  <r>
    <x v="84"/>
    <x v="84"/>
    <x v="84"/>
    <x v="54"/>
    <x v="3"/>
    <x v="54"/>
    <x v="3"/>
    <x v="62"/>
    <x v="1"/>
    <x v="62"/>
    <x v="1"/>
    <x v="25"/>
    <x v="0"/>
    <x v="12"/>
  </r>
  <r>
    <x v="85"/>
    <x v="85"/>
    <x v="85"/>
    <x v="23"/>
    <x v="1"/>
    <x v="23"/>
    <x v="1"/>
    <x v="63"/>
    <x v="0"/>
    <x v="63"/>
    <x v="0"/>
    <x v="2"/>
    <x v="0"/>
    <x v="12"/>
  </r>
  <r>
    <x v="86"/>
    <x v="86"/>
    <x v="86"/>
    <x v="3"/>
    <x v="3"/>
    <x v="3"/>
    <x v="3"/>
    <x v="64"/>
    <x v="3"/>
    <x v="64"/>
    <x v="3"/>
    <x v="2"/>
    <x v="0"/>
    <x v="10"/>
  </r>
  <r>
    <x v="87"/>
    <x v="87"/>
    <x v="87"/>
    <x v="61"/>
    <x v="2"/>
    <x v="61"/>
    <x v="2"/>
    <x v="65"/>
    <x v="2"/>
    <x v="65"/>
    <x v="2"/>
    <x v="2"/>
    <x v="1"/>
    <x v="12"/>
  </r>
  <r>
    <x v="88"/>
    <x v="88"/>
    <x v="88"/>
    <x v="62"/>
    <x v="2"/>
    <x v="62"/>
    <x v="2"/>
    <x v="66"/>
    <x v="2"/>
    <x v="66"/>
    <x v="2"/>
    <x v="2"/>
    <x v="1"/>
    <x v="12"/>
  </r>
  <r>
    <x v="89"/>
    <x v="89"/>
    <x v="89"/>
    <x v="24"/>
    <x v="2"/>
    <x v="24"/>
    <x v="2"/>
    <x v="22"/>
    <x v="2"/>
    <x v="22"/>
    <x v="2"/>
    <x v="2"/>
    <x v="1"/>
    <x v="12"/>
  </r>
  <r>
    <x v="90"/>
    <x v="90"/>
    <x v="90"/>
    <x v="63"/>
    <x v="6"/>
    <x v="63"/>
    <x v="6"/>
    <x v="67"/>
    <x v="8"/>
    <x v="67"/>
    <x v="8"/>
    <x v="26"/>
    <x v="5"/>
    <x v="13"/>
  </r>
</pivotCacheRecords>
</file>

<file path=xl/pivotCache/pivotCacheRecords23.xml><?xml version="1.0" encoding="utf-8"?>
<pivotCacheRecords xmlns="http://schemas.openxmlformats.org/spreadsheetml/2006/main" xmlns:r="http://schemas.openxmlformats.org/officeDocument/2006/relationships" count="115">
  <r>
    <x v="0"/>
    <x v="0"/>
    <x v="0"/>
    <x v="0"/>
    <x v="0"/>
    <x v="0"/>
    <x v="0"/>
    <x v="0"/>
    <x v="0"/>
    <x v="0"/>
    <x v="0"/>
    <x v="0"/>
    <x v="0"/>
    <x v="0"/>
  </r>
  <r>
    <x v="1"/>
    <x v="1"/>
    <x v="1"/>
    <x v="1"/>
    <x v="1"/>
    <x v="1"/>
    <x v="1"/>
    <x v="1"/>
    <x v="1"/>
    <x v="1"/>
    <x v="1"/>
    <x v="1"/>
    <x v="1"/>
    <x v="1"/>
  </r>
  <r>
    <x v="2"/>
    <x v="2"/>
    <x v="2"/>
    <x v="2"/>
    <x v="2"/>
    <x v="2"/>
    <x v="2"/>
    <x v="2"/>
    <x v="2"/>
    <x v="2"/>
    <x v="2"/>
    <x v="2"/>
    <x v="0"/>
    <x v="2"/>
  </r>
  <r>
    <x v="3"/>
    <x v="3"/>
    <x v="3"/>
    <x v="3"/>
    <x v="3"/>
    <x v="3"/>
    <x v="3"/>
    <x v="3"/>
    <x v="3"/>
    <x v="3"/>
    <x v="3"/>
    <x v="3"/>
    <x v="0"/>
    <x v="3"/>
  </r>
  <r>
    <x v="4"/>
    <x v="4"/>
    <x v="4"/>
    <x v="4"/>
    <x v="0"/>
    <x v="4"/>
    <x v="0"/>
    <x v="4"/>
    <x v="4"/>
    <x v="4"/>
    <x v="4"/>
    <x v="4"/>
    <x v="0"/>
    <x v="3"/>
  </r>
  <r>
    <x v="5"/>
    <x v="5"/>
    <x v="5"/>
    <x v="5"/>
    <x v="4"/>
    <x v="5"/>
    <x v="4"/>
    <x v="5"/>
    <x v="5"/>
    <x v="5"/>
    <x v="5"/>
    <x v="2"/>
    <x v="0"/>
    <x v="2"/>
  </r>
  <r>
    <x v="6"/>
    <x v="6"/>
    <x v="6"/>
    <x v="6"/>
    <x v="1"/>
    <x v="6"/>
    <x v="1"/>
    <x v="6"/>
    <x v="6"/>
    <x v="6"/>
    <x v="6"/>
    <x v="5"/>
    <x v="0"/>
    <x v="4"/>
  </r>
  <r>
    <x v="7"/>
    <x v="7"/>
    <x v="7"/>
    <x v="7"/>
    <x v="5"/>
    <x v="7"/>
    <x v="5"/>
    <x v="7"/>
    <x v="4"/>
    <x v="7"/>
    <x v="4"/>
    <x v="2"/>
    <x v="0"/>
    <x v="5"/>
  </r>
  <r>
    <x v="8"/>
    <x v="8"/>
    <x v="8"/>
    <x v="8"/>
    <x v="6"/>
    <x v="8"/>
    <x v="6"/>
    <x v="8"/>
    <x v="7"/>
    <x v="8"/>
    <x v="7"/>
    <x v="6"/>
    <x v="2"/>
    <x v="6"/>
  </r>
  <r>
    <x v="9"/>
    <x v="9"/>
    <x v="9"/>
    <x v="9"/>
    <x v="2"/>
    <x v="9"/>
    <x v="2"/>
    <x v="9"/>
    <x v="6"/>
    <x v="9"/>
    <x v="6"/>
    <x v="7"/>
    <x v="0"/>
    <x v="7"/>
  </r>
  <r>
    <x v="10"/>
    <x v="10"/>
    <x v="10"/>
    <x v="10"/>
    <x v="6"/>
    <x v="10"/>
    <x v="6"/>
    <x v="10"/>
    <x v="7"/>
    <x v="10"/>
    <x v="7"/>
    <x v="8"/>
    <x v="0"/>
    <x v="8"/>
  </r>
  <r>
    <x v="11"/>
    <x v="11"/>
    <x v="11"/>
    <x v="11"/>
    <x v="4"/>
    <x v="11"/>
    <x v="4"/>
    <x v="11"/>
    <x v="0"/>
    <x v="11"/>
    <x v="0"/>
    <x v="2"/>
    <x v="3"/>
    <x v="7"/>
  </r>
  <r>
    <x v="12"/>
    <x v="12"/>
    <x v="12"/>
    <x v="12"/>
    <x v="7"/>
    <x v="12"/>
    <x v="7"/>
    <x v="12"/>
    <x v="8"/>
    <x v="12"/>
    <x v="8"/>
    <x v="2"/>
    <x v="0"/>
    <x v="8"/>
  </r>
  <r>
    <x v="13"/>
    <x v="13"/>
    <x v="13"/>
    <x v="13"/>
    <x v="8"/>
    <x v="13"/>
    <x v="8"/>
    <x v="13"/>
    <x v="9"/>
    <x v="13"/>
    <x v="9"/>
    <x v="9"/>
    <x v="2"/>
    <x v="7"/>
  </r>
  <r>
    <x v="14"/>
    <x v="14"/>
    <x v="14"/>
    <x v="14"/>
    <x v="4"/>
    <x v="14"/>
    <x v="4"/>
    <x v="14"/>
    <x v="10"/>
    <x v="14"/>
    <x v="10"/>
    <x v="10"/>
    <x v="0"/>
    <x v="9"/>
  </r>
  <r>
    <x v="15"/>
    <x v="15"/>
    <x v="15"/>
    <x v="15"/>
    <x v="6"/>
    <x v="15"/>
    <x v="6"/>
    <x v="15"/>
    <x v="7"/>
    <x v="15"/>
    <x v="7"/>
    <x v="2"/>
    <x v="0"/>
    <x v="7"/>
  </r>
  <r>
    <x v="16"/>
    <x v="16"/>
    <x v="16"/>
    <x v="16"/>
    <x v="0"/>
    <x v="16"/>
    <x v="0"/>
    <x v="16"/>
    <x v="4"/>
    <x v="16"/>
    <x v="4"/>
    <x v="11"/>
    <x v="0"/>
    <x v="10"/>
  </r>
  <r>
    <x v="17"/>
    <x v="17"/>
    <x v="17"/>
    <x v="17"/>
    <x v="6"/>
    <x v="17"/>
    <x v="6"/>
    <x v="17"/>
    <x v="7"/>
    <x v="17"/>
    <x v="7"/>
    <x v="12"/>
    <x v="0"/>
    <x v="11"/>
  </r>
  <r>
    <x v="18"/>
    <x v="18"/>
    <x v="18"/>
    <x v="18"/>
    <x v="8"/>
    <x v="18"/>
    <x v="8"/>
    <x v="18"/>
    <x v="9"/>
    <x v="17"/>
    <x v="9"/>
    <x v="2"/>
    <x v="2"/>
    <x v="11"/>
  </r>
  <r>
    <x v="19"/>
    <x v="19"/>
    <x v="19"/>
    <x v="19"/>
    <x v="4"/>
    <x v="19"/>
    <x v="4"/>
    <x v="19"/>
    <x v="6"/>
    <x v="18"/>
    <x v="6"/>
    <x v="2"/>
    <x v="0"/>
    <x v="11"/>
  </r>
  <r>
    <x v="20"/>
    <x v="20"/>
    <x v="20"/>
    <x v="20"/>
    <x v="7"/>
    <x v="20"/>
    <x v="7"/>
    <x v="20"/>
    <x v="11"/>
    <x v="19"/>
    <x v="11"/>
    <x v="2"/>
    <x v="2"/>
    <x v="11"/>
  </r>
  <r>
    <x v="21"/>
    <x v="21"/>
    <x v="21"/>
    <x v="21"/>
    <x v="5"/>
    <x v="21"/>
    <x v="5"/>
    <x v="21"/>
    <x v="2"/>
    <x v="20"/>
    <x v="2"/>
    <x v="13"/>
    <x v="0"/>
    <x v="7"/>
  </r>
  <r>
    <x v="22"/>
    <x v="22"/>
    <x v="22"/>
    <x v="22"/>
    <x v="5"/>
    <x v="22"/>
    <x v="5"/>
    <x v="22"/>
    <x v="10"/>
    <x v="21"/>
    <x v="10"/>
    <x v="14"/>
    <x v="0"/>
    <x v="11"/>
  </r>
  <r>
    <x v="23"/>
    <x v="23"/>
    <x v="23"/>
    <x v="23"/>
    <x v="2"/>
    <x v="23"/>
    <x v="2"/>
    <x v="23"/>
    <x v="8"/>
    <x v="22"/>
    <x v="8"/>
    <x v="2"/>
    <x v="0"/>
    <x v="9"/>
  </r>
  <r>
    <x v="24"/>
    <x v="24"/>
    <x v="24"/>
    <x v="24"/>
    <x v="2"/>
    <x v="24"/>
    <x v="2"/>
    <x v="24"/>
    <x v="8"/>
    <x v="23"/>
    <x v="8"/>
    <x v="2"/>
    <x v="0"/>
    <x v="12"/>
  </r>
  <r>
    <x v="25"/>
    <x v="25"/>
    <x v="25"/>
    <x v="25"/>
    <x v="7"/>
    <x v="25"/>
    <x v="7"/>
    <x v="25"/>
    <x v="11"/>
    <x v="24"/>
    <x v="11"/>
    <x v="15"/>
    <x v="0"/>
    <x v="11"/>
  </r>
  <r>
    <x v="26"/>
    <x v="26"/>
    <x v="26"/>
    <x v="26"/>
    <x v="5"/>
    <x v="26"/>
    <x v="5"/>
    <x v="26"/>
    <x v="2"/>
    <x v="25"/>
    <x v="2"/>
    <x v="2"/>
    <x v="0"/>
    <x v="13"/>
  </r>
  <r>
    <x v="27"/>
    <x v="27"/>
    <x v="27"/>
    <x v="27"/>
    <x v="5"/>
    <x v="27"/>
    <x v="5"/>
    <x v="27"/>
    <x v="0"/>
    <x v="26"/>
    <x v="0"/>
    <x v="16"/>
    <x v="0"/>
    <x v="13"/>
  </r>
  <r>
    <x v="28"/>
    <x v="28"/>
    <x v="28"/>
    <x v="28"/>
    <x v="6"/>
    <x v="28"/>
    <x v="6"/>
    <x v="28"/>
    <x v="8"/>
    <x v="27"/>
    <x v="8"/>
    <x v="17"/>
    <x v="0"/>
    <x v="14"/>
  </r>
  <r>
    <x v="29"/>
    <x v="29"/>
    <x v="29"/>
    <x v="29"/>
    <x v="2"/>
    <x v="29"/>
    <x v="2"/>
    <x v="29"/>
    <x v="2"/>
    <x v="24"/>
    <x v="2"/>
    <x v="18"/>
    <x v="0"/>
    <x v="13"/>
  </r>
  <r>
    <x v="30"/>
    <x v="30"/>
    <x v="30"/>
    <x v="30"/>
    <x v="6"/>
    <x v="30"/>
    <x v="6"/>
    <x v="13"/>
    <x v="7"/>
    <x v="13"/>
    <x v="7"/>
    <x v="2"/>
    <x v="0"/>
    <x v="14"/>
  </r>
  <r>
    <x v="31"/>
    <x v="31"/>
    <x v="31"/>
    <x v="31"/>
    <x v="2"/>
    <x v="31"/>
    <x v="2"/>
    <x v="21"/>
    <x v="8"/>
    <x v="20"/>
    <x v="8"/>
    <x v="2"/>
    <x v="0"/>
    <x v="14"/>
  </r>
  <r>
    <x v="32"/>
    <x v="32"/>
    <x v="32"/>
    <x v="32"/>
    <x v="5"/>
    <x v="32"/>
    <x v="5"/>
    <x v="30"/>
    <x v="2"/>
    <x v="28"/>
    <x v="2"/>
    <x v="19"/>
    <x v="4"/>
    <x v="15"/>
  </r>
  <r>
    <x v="33"/>
    <x v="33"/>
    <x v="33"/>
    <x v="33"/>
    <x v="2"/>
    <x v="33"/>
    <x v="2"/>
    <x v="31"/>
    <x v="8"/>
    <x v="29"/>
    <x v="8"/>
    <x v="2"/>
    <x v="0"/>
    <x v="15"/>
  </r>
  <r>
    <x v="34"/>
    <x v="34"/>
    <x v="34"/>
    <x v="34"/>
    <x v="6"/>
    <x v="34"/>
    <x v="6"/>
    <x v="32"/>
    <x v="7"/>
    <x v="30"/>
    <x v="7"/>
    <x v="2"/>
    <x v="0"/>
    <x v="14"/>
  </r>
  <r>
    <x v="35"/>
    <x v="35"/>
    <x v="35"/>
    <x v="35"/>
    <x v="6"/>
    <x v="35"/>
    <x v="6"/>
    <x v="33"/>
    <x v="7"/>
    <x v="31"/>
    <x v="7"/>
    <x v="20"/>
    <x v="0"/>
    <x v="15"/>
  </r>
  <r>
    <x v="36"/>
    <x v="36"/>
    <x v="36"/>
    <x v="36"/>
    <x v="8"/>
    <x v="36"/>
    <x v="8"/>
    <x v="34"/>
    <x v="9"/>
    <x v="32"/>
    <x v="9"/>
    <x v="2"/>
    <x v="2"/>
    <x v="15"/>
  </r>
  <r>
    <x v="37"/>
    <x v="37"/>
    <x v="37"/>
    <x v="37"/>
    <x v="7"/>
    <x v="37"/>
    <x v="7"/>
    <x v="35"/>
    <x v="11"/>
    <x v="33"/>
    <x v="11"/>
    <x v="21"/>
    <x v="0"/>
    <x v="16"/>
  </r>
  <r>
    <x v="38"/>
    <x v="38"/>
    <x v="38"/>
    <x v="38"/>
    <x v="8"/>
    <x v="38"/>
    <x v="8"/>
    <x v="36"/>
    <x v="9"/>
    <x v="34"/>
    <x v="9"/>
    <x v="2"/>
    <x v="2"/>
    <x v="15"/>
  </r>
  <r>
    <x v="39"/>
    <x v="39"/>
    <x v="39"/>
    <x v="39"/>
    <x v="2"/>
    <x v="39"/>
    <x v="2"/>
    <x v="37"/>
    <x v="2"/>
    <x v="35"/>
    <x v="2"/>
    <x v="22"/>
    <x v="0"/>
    <x v="15"/>
  </r>
  <r>
    <x v="40"/>
    <x v="40"/>
    <x v="40"/>
    <x v="40"/>
    <x v="5"/>
    <x v="40"/>
    <x v="5"/>
    <x v="38"/>
    <x v="1"/>
    <x v="36"/>
    <x v="1"/>
    <x v="2"/>
    <x v="5"/>
    <x v="16"/>
  </r>
  <r>
    <x v="41"/>
    <x v="41"/>
    <x v="41"/>
    <x v="41"/>
    <x v="6"/>
    <x v="41"/>
    <x v="6"/>
    <x v="39"/>
    <x v="11"/>
    <x v="37"/>
    <x v="11"/>
    <x v="2"/>
    <x v="0"/>
    <x v="14"/>
  </r>
  <r>
    <x v="42"/>
    <x v="42"/>
    <x v="42"/>
    <x v="42"/>
    <x v="2"/>
    <x v="42"/>
    <x v="2"/>
    <x v="20"/>
    <x v="2"/>
    <x v="19"/>
    <x v="2"/>
    <x v="2"/>
    <x v="0"/>
    <x v="16"/>
  </r>
  <r>
    <x v="43"/>
    <x v="43"/>
    <x v="43"/>
    <x v="43"/>
    <x v="6"/>
    <x v="43"/>
    <x v="6"/>
    <x v="40"/>
    <x v="11"/>
    <x v="38"/>
    <x v="11"/>
    <x v="23"/>
    <x v="0"/>
    <x v="17"/>
  </r>
  <r>
    <x v="44"/>
    <x v="44"/>
    <x v="44"/>
    <x v="44"/>
    <x v="7"/>
    <x v="44"/>
    <x v="7"/>
    <x v="41"/>
    <x v="11"/>
    <x v="39"/>
    <x v="11"/>
    <x v="24"/>
    <x v="0"/>
    <x v="17"/>
  </r>
  <r>
    <x v="45"/>
    <x v="45"/>
    <x v="45"/>
    <x v="45"/>
    <x v="8"/>
    <x v="45"/>
    <x v="8"/>
    <x v="42"/>
    <x v="9"/>
    <x v="40"/>
    <x v="9"/>
    <x v="2"/>
    <x v="2"/>
    <x v="17"/>
  </r>
  <r>
    <x v="46"/>
    <x v="46"/>
    <x v="46"/>
    <x v="46"/>
    <x v="8"/>
    <x v="46"/>
    <x v="8"/>
    <x v="43"/>
    <x v="9"/>
    <x v="41"/>
    <x v="9"/>
    <x v="25"/>
    <x v="2"/>
    <x v="18"/>
  </r>
  <r>
    <x v="47"/>
    <x v="47"/>
    <x v="47"/>
    <x v="47"/>
    <x v="1"/>
    <x v="47"/>
    <x v="1"/>
    <x v="44"/>
    <x v="6"/>
    <x v="42"/>
    <x v="6"/>
    <x v="26"/>
    <x v="0"/>
    <x v="18"/>
  </r>
  <r>
    <x v="48"/>
    <x v="48"/>
    <x v="48"/>
    <x v="48"/>
    <x v="6"/>
    <x v="48"/>
    <x v="6"/>
    <x v="45"/>
    <x v="11"/>
    <x v="43"/>
    <x v="11"/>
    <x v="2"/>
    <x v="0"/>
    <x v="18"/>
  </r>
  <r>
    <x v="49"/>
    <x v="49"/>
    <x v="49"/>
    <x v="49"/>
    <x v="2"/>
    <x v="49"/>
    <x v="2"/>
    <x v="46"/>
    <x v="2"/>
    <x v="44"/>
    <x v="2"/>
    <x v="2"/>
    <x v="0"/>
    <x v="18"/>
  </r>
  <r>
    <x v="50"/>
    <x v="50"/>
    <x v="50"/>
    <x v="50"/>
    <x v="6"/>
    <x v="50"/>
    <x v="6"/>
    <x v="47"/>
    <x v="7"/>
    <x v="45"/>
    <x v="7"/>
    <x v="27"/>
    <x v="0"/>
    <x v="18"/>
  </r>
  <r>
    <x v="51"/>
    <x v="51"/>
    <x v="51"/>
    <x v="26"/>
    <x v="7"/>
    <x v="26"/>
    <x v="7"/>
    <x v="48"/>
    <x v="11"/>
    <x v="46"/>
    <x v="11"/>
    <x v="2"/>
    <x v="0"/>
    <x v="18"/>
  </r>
  <r>
    <x v="52"/>
    <x v="52"/>
    <x v="52"/>
    <x v="51"/>
    <x v="7"/>
    <x v="51"/>
    <x v="7"/>
    <x v="49"/>
    <x v="8"/>
    <x v="47"/>
    <x v="8"/>
    <x v="28"/>
    <x v="0"/>
    <x v="18"/>
  </r>
  <r>
    <x v="53"/>
    <x v="53"/>
    <x v="53"/>
    <x v="52"/>
    <x v="2"/>
    <x v="52"/>
    <x v="2"/>
    <x v="40"/>
    <x v="8"/>
    <x v="38"/>
    <x v="8"/>
    <x v="2"/>
    <x v="0"/>
    <x v="18"/>
  </r>
  <r>
    <x v="54"/>
    <x v="54"/>
    <x v="54"/>
    <x v="50"/>
    <x v="7"/>
    <x v="50"/>
    <x v="7"/>
    <x v="50"/>
    <x v="11"/>
    <x v="48"/>
    <x v="11"/>
    <x v="29"/>
    <x v="0"/>
    <x v="18"/>
  </r>
  <r>
    <x v="55"/>
    <x v="55"/>
    <x v="55"/>
    <x v="53"/>
    <x v="8"/>
    <x v="53"/>
    <x v="8"/>
    <x v="51"/>
    <x v="9"/>
    <x v="49"/>
    <x v="9"/>
    <x v="2"/>
    <x v="2"/>
    <x v="19"/>
  </r>
  <r>
    <x v="56"/>
    <x v="56"/>
    <x v="56"/>
    <x v="54"/>
    <x v="6"/>
    <x v="54"/>
    <x v="6"/>
    <x v="52"/>
    <x v="7"/>
    <x v="50"/>
    <x v="7"/>
    <x v="30"/>
    <x v="0"/>
    <x v="19"/>
  </r>
  <r>
    <x v="57"/>
    <x v="57"/>
    <x v="57"/>
    <x v="53"/>
    <x v="6"/>
    <x v="53"/>
    <x v="6"/>
    <x v="53"/>
    <x v="7"/>
    <x v="51"/>
    <x v="7"/>
    <x v="2"/>
    <x v="0"/>
    <x v="19"/>
  </r>
  <r>
    <x v="58"/>
    <x v="58"/>
    <x v="58"/>
    <x v="55"/>
    <x v="8"/>
    <x v="55"/>
    <x v="8"/>
    <x v="54"/>
    <x v="9"/>
    <x v="52"/>
    <x v="9"/>
    <x v="2"/>
    <x v="2"/>
    <x v="19"/>
  </r>
  <r>
    <x v="59"/>
    <x v="59"/>
    <x v="59"/>
    <x v="56"/>
    <x v="8"/>
    <x v="56"/>
    <x v="8"/>
    <x v="55"/>
    <x v="9"/>
    <x v="53"/>
    <x v="9"/>
    <x v="31"/>
    <x v="2"/>
    <x v="19"/>
  </r>
  <r>
    <x v="60"/>
    <x v="60"/>
    <x v="60"/>
    <x v="57"/>
    <x v="6"/>
    <x v="57"/>
    <x v="6"/>
    <x v="46"/>
    <x v="7"/>
    <x v="44"/>
    <x v="7"/>
    <x v="2"/>
    <x v="0"/>
    <x v="19"/>
  </r>
  <r>
    <x v="61"/>
    <x v="61"/>
    <x v="61"/>
    <x v="51"/>
    <x v="7"/>
    <x v="51"/>
    <x v="7"/>
    <x v="34"/>
    <x v="0"/>
    <x v="32"/>
    <x v="0"/>
    <x v="32"/>
    <x v="0"/>
    <x v="19"/>
  </r>
  <r>
    <x v="62"/>
    <x v="62"/>
    <x v="62"/>
    <x v="55"/>
    <x v="8"/>
    <x v="55"/>
    <x v="8"/>
    <x v="56"/>
    <x v="9"/>
    <x v="54"/>
    <x v="9"/>
    <x v="2"/>
    <x v="2"/>
    <x v="20"/>
  </r>
  <r>
    <x v="63"/>
    <x v="63"/>
    <x v="63"/>
    <x v="58"/>
    <x v="6"/>
    <x v="58"/>
    <x v="6"/>
    <x v="57"/>
    <x v="7"/>
    <x v="55"/>
    <x v="7"/>
    <x v="2"/>
    <x v="0"/>
    <x v="20"/>
  </r>
  <r>
    <x v="64"/>
    <x v="64"/>
    <x v="64"/>
    <x v="34"/>
    <x v="7"/>
    <x v="34"/>
    <x v="7"/>
    <x v="28"/>
    <x v="11"/>
    <x v="27"/>
    <x v="11"/>
    <x v="2"/>
    <x v="0"/>
    <x v="19"/>
  </r>
  <r>
    <x v="65"/>
    <x v="65"/>
    <x v="65"/>
    <x v="59"/>
    <x v="6"/>
    <x v="59"/>
    <x v="6"/>
    <x v="58"/>
    <x v="7"/>
    <x v="56"/>
    <x v="7"/>
    <x v="33"/>
    <x v="0"/>
    <x v="19"/>
  </r>
  <r>
    <x v="66"/>
    <x v="66"/>
    <x v="66"/>
    <x v="60"/>
    <x v="6"/>
    <x v="60"/>
    <x v="6"/>
    <x v="59"/>
    <x v="11"/>
    <x v="57"/>
    <x v="11"/>
    <x v="34"/>
    <x v="0"/>
    <x v="20"/>
  </r>
  <r>
    <x v="67"/>
    <x v="67"/>
    <x v="67"/>
    <x v="48"/>
    <x v="8"/>
    <x v="48"/>
    <x v="8"/>
    <x v="42"/>
    <x v="9"/>
    <x v="40"/>
    <x v="9"/>
    <x v="35"/>
    <x v="2"/>
    <x v="20"/>
  </r>
  <r>
    <x v="68"/>
    <x v="68"/>
    <x v="68"/>
    <x v="61"/>
    <x v="8"/>
    <x v="61"/>
    <x v="8"/>
    <x v="60"/>
    <x v="9"/>
    <x v="58"/>
    <x v="9"/>
    <x v="36"/>
    <x v="2"/>
    <x v="20"/>
  </r>
  <r>
    <x v="69"/>
    <x v="69"/>
    <x v="69"/>
    <x v="62"/>
    <x v="8"/>
    <x v="62"/>
    <x v="8"/>
    <x v="61"/>
    <x v="9"/>
    <x v="59"/>
    <x v="9"/>
    <x v="37"/>
    <x v="2"/>
    <x v="20"/>
  </r>
  <r>
    <x v="70"/>
    <x v="70"/>
    <x v="70"/>
    <x v="63"/>
    <x v="8"/>
    <x v="63"/>
    <x v="8"/>
    <x v="62"/>
    <x v="9"/>
    <x v="60"/>
    <x v="9"/>
    <x v="2"/>
    <x v="2"/>
    <x v="20"/>
  </r>
  <r>
    <x v="71"/>
    <x v="71"/>
    <x v="71"/>
    <x v="59"/>
    <x v="8"/>
    <x v="59"/>
    <x v="8"/>
    <x v="63"/>
    <x v="9"/>
    <x v="61"/>
    <x v="9"/>
    <x v="2"/>
    <x v="2"/>
    <x v="20"/>
  </r>
  <r>
    <x v="72"/>
    <x v="72"/>
    <x v="72"/>
    <x v="31"/>
    <x v="8"/>
    <x v="31"/>
    <x v="8"/>
    <x v="64"/>
    <x v="9"/>
    <x v="62"/>
    <x v="9"/>
    <x v="38"/>
    <x v="2"/>
    <x v="20"/>
  </r>
  <r>
    <x v="73"/>
    <x v="73"/>
    <x v="73"/>
    <x v="54"/>
    <x v="8"/>
    <x v="54"/>
    <x v="8"/>
    <x v="25"/>
    <x v="9"/>
    <x v="24"/>
    <x v="9"/>
    <x v="39"/>
    <x v="2"/>
    <x v="20"/>
  </r>
  <r>
    <x v="74"/>
    <x v="74"/>
    <x v="74"/>
    <x v="64"/>
    <x v="6"/>
    <x v="64"/>
    <x v="6"/>
    <x v="65"/>
    <x v="7"/>
    <x v="63"/>
    <x v="7"/>
    <x v="2"/>
    <x v="0"/>
    <x v="20"/>
  </r>
  <r>
    <x v="75"/>
    <x v="75"/>
    <x v="75"/>
    <x v="65"/>
    <x v="6"/>
    <x v="65"/>
    <x v="6"/>
    <x v="66"/>
    <x v="7"/>
    <x v="64"/>
    <x v="7"/>
    <x v="32"/>
    <x v="0"/>
    <x v="20"/>
  </r>
  <r>
    <x v="76"/>
    <x v="76"/>
    <x v="76"/>
    <x v="55"/>
    <x v="7"/>
    <x v="55"/>
    <x v="7"/>
    <x v="67"/>
    <x v="8"/>
    <x v="60"/>
    <x v="8"/>
    <x v="40"/>
    <x v="0"/>
    <x v="21"/>
  </r>
  <r>
    <x v="77"/>
    <x v="77"/>
    <x v="77"/>
    <x v="66"/>
    <x v="8"/>
    <x v="66"/>
    <x v="8"/>
    <x v="68"/>
    <x v="9"/>
    <x v="40"/>
    <x v="9"/>
    <x v="2"/>
    <x v="2"/>
    <x v="21"/>
  </r>
  <r>
    <x v="78"/>
    <x v="78"/>
    <x v="78"/>
    <x v="67"/>
    <x v="8"/>
    <x v="67"/>
    <x v="8"/>
    <x v="34"/>
    <x v="9"/>
    <x v="32"/>
    <x v="9"/>
    <x v="2"/>
    <x v="2"/>
    <x v="21"/>
  </r>
  <r>
    <x v="79"/>
    <x v="79"/>
    <x v="79"/>
    <x v="68"/>
    <x v="8"/>
    <x v="68"/>
    <x v="8"/>
    <x v="69"/>
    <x v="9"/>
    <x v="65"/>
    <x v="9"/>
    <x v="40"/>
    <x v="2"/>
    <x v="21"/>
  </r>
  <r>
    <x v="80"/>
    <x v="80"/>
    <x v="80"/>
    <x v="58"/>
    <x v="8"/>
    <x v="58"/>
    <x v="8"/>
    <x v="70"/>
    <x v="9"/>
    <x v="66"/>
    <x v="9"/>
    <x v="39"/>
    <x v="2"/>
    <x v="21"/>
  </r>
  <r>
    <x v="81"/>
    <x v="81"/>
    <x v="81"/>
    <x v="38"/>
    <x v="8"/>
    <x v="38"/>
    <x v="8"/>
    <x v="71"/>
    <x v="9"/>
    <x v="67"/>
    <x v="9"/>
    <x v="41"/>
    <x v="2"/>
    <x v="21"/>
  </r>
  <r>
    <x v="82"/>
    <x v="82"/>
    <x v="82"/>
    <x v="69"/>
    <x v="6"/>
    <x v="69"/>
    <x v="6"/>
    <x v="61"/>
    <x v="7"/>
    <x v="59"/>
    <x v="7"/>
    <x v="42"/>
    <x v="0"/>
    <x v="21"/>
  </r>
  <r>
    <x v="83"/>
    <x v="83"/>
    <x v="83"/>
    <x v="70"/>
    <x v="8"/>
    <x v="70"/>
    <x v="8"/>
    <x v="72"/>
    <x v="9"/>
    <x v="68"/>
    <x v="9"/>
    <x v="2"/>
    <x v="2"/>
    <x v="21"/>
  </r>
  <r>
    <x v="84"/>
    <x v="84"/>
    <x v="84"/>
    <x v="70"/>
    <x v="8"/>
    <x v="70"/>
    <x v="8"/>
    <x v="73"/>
    <x v="9"/>
    <x v="69"/>
    <x v="9"/>
    <x v="43"/>
    <x v="2"/>
    <x v="21"/>
  </r>
  <r>
    <x v="85"/>
    <x v="85"/>
    <x v="85"/>
    <x v="71"/>
    <x v="6"/>
    <x v="71"/>
    <x v="6"/>
    <x v="74"/>
    <x v="7"/>
    <x v="53"/>
    <x v="7"/>
    <x v="2"/>
    <x v="0"/>
    <x v="21"/>
  </r>
  <r>
    <x v="86"/>
    <x v="86"/>
    <x v="86"/>
    <x v="72"/>
    <x v="8"/>
    <x v="72"/>
    <x v="8"/>
    <x v="75"/>
    <x v="9"/>
    <x v="70"/>
    <x v="9"/>
    <x v="44"/>
    <x v="2"/>
    <x v="21"/>
  </r>
  <r>
    <x v="87"/>
    <x v="87"/>
    <x v="87"/>
    <x v="69"/>
    <x v="6"/>
    <x v="69"/>
    <x v="6"/>
    <x v="43"/>
    <x v="7"/>
    <x v="41"/>
    <x v="7"/>
    <x v="2"/>
    <x v="0"/>
    <x v="21"/>
  </r>
  <r>
    <x v="88"/>
    <x v="88"/>
    <x v="88"/>
    <x v="73"/>
    <x v="8"/>
    <x v="73"/>
    <x v="8"/>
    <x v="76"/>
    <x v="9"/>
    <x v="70"/>
    <x v="9"/>
    <x v="2"/>
    <x v="2"/>
    <x v="21"/>
  </r>
  <r>
    <x v="89"/>
    <x v="89"/>
    <x v="89"/>
    <x v="74"/>
    <x v="8"/>
    <x v="74"/>
    <x v="8"/>
    <x v="77"/>
    <x v="9"/>
    <x v="71"/>
    <x v="9"/>
    <x v="45"/>
    <x v="2"/>
    <x v="21"/>
  </r>
  <r>
    <x v="90"/>
    <x v="90"/>
    <x v="90"/>
    <x v="75"/>
    <x v="8"/>
    <x v="75"/>
    <x v="8"/>
    <x v="75"/>
    <x v="9"/>
    <x v="70"/>
    <x v="9"/>
    <x v="46"/>
    <x v="2"/>
    <x v="22"/>
  </r>
  <r>
    <x v="91"/>
    <x v="91"/>
    <x v="91"/>
    <x v="63"/>
    <x v="8"/>
    <x v="63"/>
    <x v="8"/>
    <x v="78"/>
    <x v="9"/>
    <x v="72"/>
    <x v="9"/>
    <x v="39"/>
    <x v="2"/>
    <x v="22"/>
  </r>
  <r>
    <x v="92"/>
    <x v="92"/>
    <x v="92"/>
    <x v="76"/>
    <x v="8"/>
    <x v="76"/>
    <x v="8"/>
    <x v="79"/>
    <x v="9"/>
    <x v="73"/>
    <x v="9"/>
    <x v="2"/>
    <x v="2"/>
    <x v="22"/>
  </r>
  <r>
    <x v="93"/>
    <x v="93"/>
    <x v="93"/>
    <x v="77"/>
    <x v="8"/>
    <x v="77"/>
    <x v="8"/>
    <x v="80"/>
    <x v="9"/>
    <x v="74"/>
    <x v="9"/>
    <x v="2"/>
    <x v="2"/>
    <x v="22"/>
  </r>
  <r>
    <x v="94"/>
    <x v="94"/>
    <x v="94"/>
    <x v="78"/>
    <x v="6"/>
    <x v="78"/>
    <x v="6"/>
    <x v="81"/>
    <x v="7"/>
    <x v="75"/>
    <x v="7"/>
    <x v="47"/>
    <x v="0"/>
    <x v="22"/>
  </r>
  <r>
    <x v="95"/>
    <x v="95"/>
    <x v="95"/>
    <x v="79"/>
    <x v="8"/>
    <x v="79"/>
    <x v="8"/>
    <x v="82"/>
    <x v="9"/>
    <x v="76"/>
    <x v="9"/>
    <x v="2"/>
    <x v="2"/>
    <x v="22"/>
  </r>
  <r>
    <x v="96"/>
    <x v="96"/>
    <x v="96"/>
    <x v="56"/>
    <x v="8"/>
    <x v="56"/>
    <x v="8"/>
    <x v="62"/>
    <x v="9"/>
    <x v="60"/>
    <x v="9"/>
    <x v="2"/>
    <x v="2"/>
    <x v="22"/>
  </r>
  <r>
    <x v="97"/>
    <x v="97"/>
    <x v="97"/>
    <x v="80"/>
    <x v="8"/>
    <x v="80"/>
    <x v="8"/>
    <x v="83"/>
    <x v="9"/>
    <x v="77"/>
    <x v="9"/>
    <x v="48"/>
    <x v="2"/>
    <x v="22"/>
  </r>
  <r>
    <x v="98"/>
    <x v="98"/>
    <x v="98"/>
    <x v="81"/>
    <x v="8"/>
    <x v="81"/>
    <x v="8"/>
    <x v="84"/>
    <x v="9"/>
    <x v="78"/>
    <x v="9"/>
    <x v="13"/>
    <x v="2"/>
    <x v="22"/>
  </r>
  <r>
    <x v="99"/>
    <x v="99"/>
    <x v="99"/>
    <x v="64"/>
    <x v="8"/>
    <x v="64"/>
    <x v="8"/>
    <x v="85"/>
    <x v="9"/>
    <x v="79"/>
    <x v="9"/>
    <x v="49"/>
    <x v="2"/>
    <x v="22"/>
  </r>
  <r>
    <x v="100"/>
    <x v="100"/>
    <x v="100"/>
    <x v="82"/>
    <x v="8"/>
    <x v="82"/>
    <x v="8"/>
    <x v="65"/>
    <x v="9"/>
    <x v="63"/>
    <x v="9"/>
    <x v="2"/>
    <x v="2"/>
    <x v="22"/>
  </r>
  <r>
    <x v="101"/>
    <x v="101"/>
    <x v="101"/>
    <x v="83"/>
    <x v="8"/>
    <x v="83"/>
    <x v="8"/>
    <x v="82"/>
    <x v="9"/>
    <x v="76"/>
    <x v="9"/>
    <x v="50"/>
    <x v="2"/>
    <x v="22"/>
  </r>
  <r>
    <x v="102"/>
    <x v="102"/>
    <x v="102"/>
    <x v="80"/>
    <x v="8"/>
    <x v="80"/>
    <x v="8"/>
    <x v="86"/>
    <x v="9"/>
    <x v="80"/>
    <x v="9"/>
    <x v="51"/>
    <x v="2"/>
    <x v="22"/>
  </r>
  <r>
    <x v="103"/>
    <x v="103"/>
    <x v="103"/>
    <x v="55"/>
    <x v="8"/>
    <x v="55"/>
    <x v="8"/>
    <x v="56"/>
    <x v="9"/>
    <x v="54"/>
    <x v="9"/>
    <x v="2"/>
    <x v="2"/>
    <x v="22"/>
  </r>
  <r>
    <x v="104"/>
    <x v="104"/>
    <x v="104"/>
    <x v="53"/>
    <x v="8"/>
    <x v="53"/>
    <x v="8"/>
    <x v="50"/>
    <x v="9"/>
    <x v="48"/>
    <x v="9"/>
    <x v="2"/>
    <x v="2"/>
    <x v="22"/>
  </r>
  <r>
    <x v="105"/>
    <x v="105"/>
    <x v="105"/>
    <x v="84"/>
    <x v="8"/>
    <x v="84"/>
    <x v="8"/>
    <x v="87"/>
    <x v="9"/>
    <x v="81"/>
    <x v="9"/>
    <x v="2"/>
    <x v="2"/>
    <x v="22"/>
  </r>
  <r>
    <x v="106"/>
    <x v="106"/>
    <x v="106"/>
    <x v="58"/>
    <x v="8"/>
    <x v="58"/>
    <x v="8"/>
    <x v="77"/>
    <x v="9"/>
    <x v="71"/>
    <x v="9"/>
    <x v="2"/>
    <x v="2"/>
    <x v="22"/>
  </r>
  <r>
    <x v="107"/>
    <x v="107"/>
    <x v="107"/>
    <x v="62"/>
    <x v="8"/>
    <x v="62"/>
    <x v="8"/>
    <x v="88"/>
    <x v="9"/>
    <x v="82"/>
    <x v="9"/>
    <x v="35"/>
    <x v="2"/>
    <x v="22"/>
  </r>
  <r>
    <x v="108"/>
    <x v="108"/>
    <x v="108"/>
    <x v="85"/>
    <x v="8"/>
    <x v="85"/>
    <x v="8"/>
    <x v="62"/>
    <x v="9"/>
    <x v="60"/>
    <x v="9"/>
    <x v="52"/>
    <x v="2"/>
    <x v="22"/>
  </r>
  <r>
    <x v="109"/>
    <x v="109"/>
    <x v="109"/>
    <x v="86"/>
    <x v="8"/>
    <x v="86"/>
    <x v="8"/>
    <x v="89"/>
    <x v="9"/>
    <x v="83"/>
    <x v="9"/>
    <x v="2"/>
    <x v="2"/>
    <x v="22"/>
  </r>
  <r>
    <x v="110"/>
    <x v="110"/>
    <x v="110"/>
    <x v="85"/>
    <x v="8"/>
    <x v="85"/>
    <x v="8"/>
    <x v="90"/>
    <x v="9"/>
    <x v="84"/>
    <x v="9"/>
    <x v="2"/>
    <x v="2"/>
    <x v="22"/>
  </r>
  <r>
    <x v="111"/>
    <x v="111"/>
    <x v="111"/>
    <x v="87"/>
    <x v="8"/>
    <x v="87"/>
    <x v="8"/>
    <x v="46"/>
    <x v="9"/>
    <x v="44"/>
    <x v="9"/>
    <x v="2"/>
    <x v="2"/>
    <x v="22"/>
  </r>
  <r>
    <x v="112"/>
    <x v="112"/>
    <x v="112"/>
    <x v="66"/>
    <x v="6"/>
    <x v="66"/>
    <x v="6"/>
    <x v="88"/>
    <x v="7"/>
    <x v="82"/>
    <x v="7"/>
    <x v="53"/>
    <x v="0"/>
    <x v="22"/>
  </r>
  <r>
    <x v="113"/>
    <x v="113"/>
    <x v="113"/>
    <x v="41"/>
    <x v="8"/>
    <x v="41"/>
    <x v="8"/>
    <x v="91"/>
    <x v="9"/>
    <x v="85"/>
    <x v="9"/>
    <x v="2"/>
    <x v="2"/>
    <x v="22"/>
  </r>
  <r>
    <x v="114"/>
    <x v="114"/>
    <x v="114"/>
    <x v="88"/>
    <x v="9"/>
    <x v="88"/>
    <x v="9"/>
    <x v="92"/>
    <x v="12"/>
    <x v="86"/>
    <x v="12"/>
    <x v="54"/>
    <x v="6"/>
    <x v="23"/>
  </r>
</pivotCacheRecords>
</file>

<file path=xl/pivotCache/pivotCacheRecords24.xml><?xml version="1.0" encoding="utf-8"?>
<pivotCacheRecords xmlns="http://schemas.openxmlformats.org/spreadsheetml/2006/main" xmlns:r="http://schemas.openxmlformats.org/officeDocument/2006/relationships" count="128">
  <r>
    <x v="0"/>
    <x v="0"/>
    <x v="0"/>
    <x v="0"/>
    <x v="0"/>
    <x v="0"/>
    <x v="0"/>
    <x v="0"/>
    <x v="0"/>
    <x v="0"/>
    <x v="0"/>
    <x v="0"/>
    <x v="0"/>
    <x v="0"/>
  </r>
  <r>
    <x v="1"/>
    <x v="1"/>
    <x v="1"/>
    <x v="1"/>
    <x v="1"/>
    <x v="1"/>
    <x v="1"/>
    <x v="1"/>
    <x v="1"/>
    <x v="1"/>
    <x v="1"/>
    <x v="1"/>
    <x v="1"/>
    <x v="1"/>
  </r>
  <r>
    <x v="2"/>
    <x v="2"/>
    <x v="2"/>
    <x v="2"/>
    <x v="2"/>
    <x v="2"/>
    <x v="2"/>
    <x v="2"/>
    <x v="2"/>
    <x v="2"/>
    <x v="2"/>
    <x v="2"/>
    <x v="2"/>
    <x v="2"/>
  </r>
  <r>
    <x v="3"/>
    <x v="3"/>
    <x v="3"/>
    <x v="3"/>
    <x v="3"/>
    <x v="3"/>
    <x v="3"/>
    <x v="3"/>
    <x v="3"/>
    <x v="3"/>
    <x v="3"/>
    <x v="3"/>
    <x v="2"/>
    <x v="3"/>
  </r>
  <r>
    <x v="4"/>
    <x v="4"/>
    <x v="4"/>
    <x v="4"/>
    <x v="4"/>
    <x v="4"/>
    <x v="4"/>
    <x v="4"/>
    <x v="4"/>
    <x v="4"/>
    <x v="4"/>
    <x v="4"/>
    <x v="2"/>
    <x v="4"/>
  </r>
  <r>
    <x v="5"/>
    <x v="5"/>
    <x v="5"/>
    <x v="5"/>
    <x v="5"/>
    <x v="5"/>
    <x v="5"/>
    <x v="5"/>
    <x v="5"/>
    <x v="5"/>
    <x v="5"/>
    <x v="5"/>
    <x v="3"/>
    <x v="5"/>
  </r>
  <r>
    <x v="6"/>
    <x v="6"/>
    <x v="6"/>
    <x v="6"/>
    <x v="6"/>
    <x v="6"/>
    <x v="6"/>
    <x v="6"/>
    <x v="2"/>
    <x v="6"/>
    <x v="2"/>
    <x v="6"/>
    <x v="2"/>
    <x v="6"/>
  </r>
  <r>
    <x v="7"/>
    <x v="7"/>
    <x v="7"/>
    <x v="7"/>
    <x v="6"/>
    <x v="7"/>
    <x v="6"/>
    <x v="7"/>
    <x v="2"/>
    <x v="7"/>
    <x v="2"/>
    <x v="7"/>
    <x v="2"/>
    <x v="7"/>
  </r>
  <r>
    <x v="8"/>
    <x v="8"/>
    <x v="8"/>
    <x v="8"/>
    <x v="7"/>
    <x v="8"/>
    <x v="7"/>
    <x v="8"/>
    <x v="6"/>
    <x v="8"/>
    <x v="6"/>
    <x v="8"/>
    <x v="3"/>
    <x v="8"/>
  </r>
  <r>
    <x v="9"/>
    <x v="9"/>
    <x v="9"/>
    <x v="9"/>
    <x v="2"/>
    <x v="9"/>
    <x v="2"/>
    <x v="9"/>
    <x v="7"/>
    <x v="9"/>
    <x v="7"/>
    <x v="0"/>
    <x v="2"/>
    <x v="9"/>
  </r>
  <r>
    <x v="10"/>
    <x v="10"/>
    <x v="10"/>
    <x v="10"/>
    <x v="7"/>
    <x v="10"/>
    <x v="7"/>
    <x v="10"/>
    <x v="8"/>
    <x v="10"/>
    <x v="8"/>
    <x v="9"/>
    <x v="2"/>
    <x v="10"/>
  </r>
  <r>
    <x v="11"/>
    <x v="11"/>
    <x v="11"/>
    <x v="11"/>
    <x v="8"/>
    <x v="11"/>
    <x v="8"/>
    <x v="11"/>
    <x v="6"/>
    <x v="11"/>
    <x v="6"/>
    <x v="10"/>
    <x v="2"/>
    <x v="11"/>
  </r>
  <r>
    <x v="12"/>
    <x v="12"/>
    <x v="12"/>
    <x v="12"/>
    <x v="0"/>
    <x v="12"/>
    <x v="0"/>
    <x v="12"/>
    <x v="9"/>
    <x v="12"/>
    <x v="9"/>
    <x v="11"/>
    <x v="2"/>
    <x v="12"/>
  </r>
  <r>
    <x v="13"/>
    <x v="13"/>
    <x v="13"/>
    <x v="13"/>
    <x v="0"/>
    <x v="13"/>
    <x v="0"/>
    <x v="13"/>
    <x v="10"/>
    <x v="13"/>
    <x v="10"/>
    <x v="12"/>
    <x v="2"/>
    <x v="10"/>
  </r>
  <r>
    <x v="14"/>
    <x v="14"/>
    <x v="14"/>
    <x v="14"/>
    <x v="9"/>
    <x v="14"/>
    <x v="9"/>
    <x v="14"/>
    <x v="0"/>
    <x v="14"/>
    <x v="0"/>
    <x v="13"/>
    <x v="2"/>
    <x v="13"/>
  </r>
  <r>
    <x v="15"/>
    <x v="15"/>
    <x v="15"/>
    <x v="15"/>
    <x v="10"/>
    <x v="15"/>
    <x v="10"/>
    <x v="15"/>
    <x v="11"/>
    <x v="15"/>
    <x v="11"/>
    <x v="14"/>
    <x v="2"/>
    <x v="14"/>
  </r>
  <r>
    <x v="16"/>
    <x v="16"/>
    <x v="16"/>
    <x v="16"/>
    <x v="10"/>
    <x v="16"/>
    <x v="10"/>
    <x v="16"/>
    <x v="8"/>
    <x v="16"/>
    <x v="8"/>
    <x v="9"/>
    <x v="2"/>
    <x v="14"/>
  </r>
  <r>
    <x v="17"/>
    <x v="17"/>
    <x v="17"/>
    <x v="17"/>
    <x v="8"/>
    <x v="17"/>
    <x v="8"/>
    <x v="17"/>
    <x v="12"/>
    <x v="17"/>
    <x v="12"/>
    <x v="15"/>
    <x v="2"/>
    <x v="15"/>
  </r>
  <r>
    <x v="18"/>
    <x v="18"/>
    <x v="18"/>
    <x v="18"/>
    <x v="10"/>
    <x v="18"/>
    <x v="10"/>
    <x v="18"/>
    <x v="11"/>
    <x v="18"/>
    <x v="11"/>
    <x v="16"/>
    <x v="4"/>
    <x v="16"/>
  </r>
  <r>
    <x v="19"/>
    <x v="19"/>
    <x v="19"/>
    <x v="19"/>
    <x v="4"/>
    <x v="19"/>
    <x v="4"/>
    <x v="19"/>
    <x v="13"/>
    <x v="19"/>
    <x v="13"/>
    <x v="16"/>
    <x v="2"/>
    <x v="16"/>
  </r>
  <r>
    <x v="20"/>
    <x v="20"/>
    <x v="20"/>
    <x v="20"/>
    <x v="8"/>
    <x v="20"/>
    <x v="8"/>
    <x v="20"/>
    <x v="6"/>
    <x v="20"/>
    <x v="6"/>
    <x v="17"/>
    <x v="2"/>
    <x v="16"/>
  </r>
  <r>
    <x v="21"/>
    <x v="21"/>
    <x v="21"/>
    <x v="21"/>
    <x v="8"/>
    <x v="21"/>
    <x v="8"/>
    <x v="21"/>
    <x v="7"/>
    <x v="21"/>
    <x v="7"/>
    <x v="16"/>
    <x v="2"/>
    <x v="17"/>
  </r>
  <r>
    <x v="22"/>
    <x v="22"/>
    <x v="22"/>
    <x v="22"/>
    <x v="8"/>
    <x v="22"/>
    <x v="8"/>
    <x v="22"/>
    <x v="6"/>
    <x v="22"/>
    <x v="6"/>
    <x v="18"/>
    <x v="2"/>
    <x v="17"/>
  </r>
  <r>
    <x v="23"/>
    <x v="23"/>
    <x v="23"/>
    <x v="23"/>
    <x v="2"/>
    <x v="23"/>
    <x v="2"/>
    <x v="23"/>
    <x v="14"/>
    <x v="23"/>
    <x v="14"/>
    <x v="19"/>
    <x v="2"/>
    <x v="15"/>
  </r>
  <r>
    <x v="24"/>
    <x v="24"/>
    <x v="24"/>
    <x v="24"/>
    <x v="11"/>
    <x v="24"/>
    <x v="11"/>
    <x v="24"/>
    <x v="6"/>
    <x v="24"/>
    <x v="6"/>
    <x v="20"/>
    <x v="2"/>
    <x v="17"/>
  </r>
  <r>
    <x v="25"/>
    <x v="25"/>
    <x v="25"/>
    <x v="25"/>
    <x v="2"/>
    <x v="25"/>
    <x v="2"/>
    <x v="25"/>
    <x v="14"/>
    <x v="25"/>
    <x v="14"/>
    <x v="16"/>
    <x v="2"/>
    <x v="18"/>
  </r>
  <r>
    <x v="26"/>
    <x v="26"/>
    <x v="26"/>
    <x v="26"/>
    <x v="5"/>
    <x v="26"/>
    <x v="5"/>
    <x v="24"/>
    <x v="5"/>
    <x v="24"/>
    <x v="5"/>
    <x v="16"/>
    <x v="2"/>
    <x v="19"/>
  </r>
  <r>
    <x v="27"/>
    <x v="27"/>
    <x v="27"/>
    <x v="27"/>
    <x v="4"/>
    <x v="27"/>
    <x v="4"/>
    <x v="26"/>
    <x v="15"/>
    <x v="26"/>
    <x v="15"/>
    <x v="21"/>
    <x v="2"/>
    <x v="18"/>
  </r>
  <r>
    <x v="28"/>
    <x v="28"/>
    <x v="28"/>
    <x v="28"/>
    <x v="11"/>
    <x v="28"/>
    <x v="11"/>
    <x v="27"/>
    <x v="16"/>
    <x v="27"/>
    <x v="16"/>
    <x v="22"/>
    <x v="2"/>
    <x v="20"/>
  </r>
  <r>
    <x v="29"/>
    <x v="29"/>
    <x v="29"/>
    <x v="29"/>
    <x v="7"/>
    <x v="29"/>
    <x v="7"/>
    <x v="28"/>
    <x v="6"/>
    <x v="28"/>
    <x v="6"/>
    <x v="16"/>
    <x v="2"/>
    <x v="21"/>
  </r>
  <r>
    <x v="30"/>
    <x v="30"/>
    <x v="30"/>
    <x v="30"/>
    <x v="12"/>
    <x v="30"/>
    <x v="12"/>
    <x v="29"/>
    <x v="13"/>
    <x v="29"/>
    <x v="13"/>
    <x v="23"/>
    <x v="5"/>
    <x v="22"/>
  </r>
  <r>
    <x v="31"/>
    <x v="31"/>
    <x v="31"/>
    <x v="31"/>
    <x v="7"/>
    <x v="31"/>
    <x v="7"/>
    <x v="30"/>
    <x v="6"/>
    <x v="30"/>
    <x v="6"/>
    <x v="16"/>
    <x v="2"/>
    <x v="22"/>
  </r>
  <r>
    <x v="32"/>
    <x v="32"/>
    <x v="32"/>
    <x v="24"/>
    <x v="5"/>
    <x v="24"/>
    <x v="5"/>
    <x v="31"/>
    <x v="5"/>
    <x v="31"/>
    <x v="5"/>
    <x v="13"/>
    <x v="2"/>
    <x v="22"/>
  </r>
  <r>
    <x v="33"/>
    <x v="33"/>
    <x v="33"/>
    <x v="32"/>
    <x v="13"/>
    <x v="32"/>
    <x v="13"/>
    <x v="32"/>
    <x v="17"/>
    <x v="32"/>
    <x v="17"/>
    <x v="24"/>
    <x v="2"/>
    <x v="22"/>
  </r>
  <r>
    <x v="34"/>
    <x v="34"/>
    <x v="34"/>
    <x v="33"/>
    <x v="2"/>
    <x v="33"/>
    <x v="2"/>
    <x v="17"/>
    <x v="13"/>
    <x v="17"/>
    <x v="13"/>
    <x v="25"/>
    <x v="5"/>
    <x v="23"/>
  </r>
  <r>
    <x v="35"/>
    <x v="35"/>
    <x v="35"/>
    <x v="34"/>
    <x v="8"/>
    <x v="34"/>
    <x v="8"/>
    <x v="33"/>
    <x v="6"/>
    <x v="33"/>
    <x v="6"/>
    <x v="26"/>
    <x v="2"/>
    <x v="23"/>
  </r>
  <r>
    <x v="36"/>
    <x v="36"/>
    <x v="36"/>
    <x v="35"/>
    <x v="6"/>
    <x v="35"/>
    <x v="6"/>
    <x v="34"/>
    <x v="18"/>
    <x v="34"/>
    <x v="18"/>
    <x v="16"/>
    <x v="6"/>
    <x v="24"/>
  </r>
  <r>
    <x v="37"/>
    <x v="37"/>
    <x v="37"/>
    <x v="36"/>
    <x v="12"/>
    <x v="36"/>
    <x v="12"/>
    <x v="2"/>
    <x v="13"/>
    <x v="2"/>
    <x v="13"/>
    <x v="20"/>
    <x v="2"/>
    <x v="24"/>
  </r>
  <r>
    <x v="38"/>
    <x v="38"/>
    <x v="38"/>
    <x v="37"/>
    <x v="11"/>
    <x v="35"/>
    <x v="11"/>
    <x v="35"/>
    <x v="16"/>
    <x v="35"/>
    <x v="16"/>
    <x v="27"/>
    <x v="2"/>
    <x v="25"/>
  </r>
  <r>
    <x v="39"/>
    <x v="39"/>
    <x v="39"/>
    <x v="38"/>
    <x v="11"/>
    <x v="37"/>
    <x v="11"/>
    <x v="36"/>
    <x v="6"/>
    <x v="36"/>
    <x v="6"/>
    <x v="16"/>
    <x v="2"/>
    <x v="26"/>
  </r>
  <r>
    <x v="40"/>
    <x v="40"/>
    <x v="40"/>
    <x v="39"/>
    <x v="8"/>
    <x v="38"/>
    <x v="8"/>
    <x v="37"/>
    <x v="12"/>
    <x v="37"/>
    <x v="12"/>
    <x v="25"/>
    <x v="2"/>
    <x v="25"/>
  </r>
  <r>
    <x v="41"/>
    <x v="41"/>
    <x v="41"/>
    <x v="40"/>
    <x v="7"/>
    <x v="39"/>
    <x v="7"/>
    <x v="38"/>
    <x v="4"/>
    <x v="38"/>
    <x v="4"/>
    <x v="28"/>
    <x v="7"/>
    <x v="26"/>
  </r>
  <r>
    <x v="42"/>
    <x v="42"/>
    <x v="42"/>
    <x v="8"/>
    <x v="2"/>
    <x v="8"/>
    <x v="2"/>
    <x v="39"/>
    <x v="14"/>
    <x v="39"/>
    <x v="14"/>
    <x v="16"/>
    <x v="2"/>
    <x v="24"/>
  </r>
  <r>
    <x v="43"/>
    <x v="43"/>
    <x v="43"/>
    <x v="41"/>
    <x v="11"/>
    <x v="40"/>
    <x v="11"/>
    <x v="40"/>
    <x v="16"/>
    <x v="40"/>
    <x v="16"/>
    <x v="29"/>
    <x v="2"/>
    <x v="27"/>
  </r>
  <r>
    <x v="44"/>
    <x v="44"/>
    <x v="44"/>
    <x v="42"/>
    <x v="11"/>
    <x v="41"/>
    <x v="11"/>
    <x v="41"/>
    <x v="14"/>
    <x v="20"/>
    <x v="14"/>
    <x v="30"/>
    <x v="2"/>
    <x v="27"/>
  </r>
  <r>
    <x v="45"/>
    <x v="45"/>
    <x v="45"/>
    <x v="43"/>
    <x v="7"/>
    <x v="42"/>
    <x v="7"/>
    <x v="42"/>
    <x v="14"/>
    <x v="41"/>
    <x v="14"/>
    <x v="31"/>
    <x v="2"/>
    <x v="25"/>
  </r>
  <r>
    <x v="46"/>
    <x v="46"/>
    <x v="46"/>
    <x v="44"/>
    <x v="12"/>
    <x v="43"/>
    <x v="12"/>
    <x v="43"/>
    <x v="7"/>
    <x v="33"/>
    <x v="7"/>
    <x v="16"/>
    <x v="2"/>
    <x v="28"/>
  </r>
  <r>
    <x v="47"/>
    <x v="47"/>
    <x v="47"/>
    <x v="45"/>
    <x v="7"/>
    <x v="44"/>
    <x v="7"/>
    <x v="44"/>
    <x v="13"/>
    <x v="42"/>
    <x v="13"/>
    <x v="32"/>
    <x v="2"/>
    <x v="29"/>
  </r>
  <r>
    <x v="48"/>
    <x v="48"/>
    <x v="48"/>
    <x v="46"/>
    <x v="14"/>
    <x v="45"/>
    <x v="14"/>
    <x v="45"/>
    <x v="19"/>
    <x v="43"/>
    <x v="19"/>
    <x v="33"/>
    <x v="3"/>
    <x v="30"/>
  </r>
  <r>
    <x v="49"/>
    <x v="49"/>
    <x v="49"/>
    <x v="47"/>
    <x v="8"/>
    <x v="46"/>
    <x v="8"/>
    <x v="46"/>
    <x v="12"/>
    <x v="44"/>
    <x v="12"/>
    <x v="34"/>
    <x v="2"/>
    <x v="29"/>
  </r>
  <r>
    <x v="50"/>
    <x v="50"/>
    <x v="50"/>
    <x v="48"/>
    <x v="7"/>
    <x v="47"/>
    <x v="7"/>
    <x v="47"/>
    <x v="11"/>
    <x v="45"/>
    <x v="11"/>
    <x v="14"/>
    <x v="8"/>
    <x v="30"/>
  </r>
  <r>
    <x v="51"/>
    <x v="51"/>
    <x v="51"/>
    <x v="49"/>
    <x v="5"/>
    <x v="47"/>
    <x v="5"/>
    <x v="48"/>
    <x v="5"/>
    <x v="46"/>
    <x v="5"/>
    <x v="35"/>
    <x v="2"/>
    <x v="30"/>
  </r>
  <r>
    <x v="52"/>
    <x v="52"/>
    <x v="52"/>
    <x v="50"/>
    <x v="7"/>
    <x v="20"/>
    <x v="7"/>
    <x v="49"/>
    <x v="6"/>
    <x v="24"/>
    <x v="6"/>
    <x v="36"/>
    <x v="2"/>
    <x v="30"/>
  </r>
  <r>
    <x v="53"/>
    <x v="53"/>
    <x v="53"/>
    <x v="51"/>
    <x v="11"/>
    <x v="48"/>
    <x v="11"/>
    <x v="50"/>
    <x v="16"/>
    <x v="47"/>
    <x v="16"/>
    <x v="37"/>
    <x v="2"/>
    <x v="29"/>
  </r>
  <r>
    <x v="54"/>
    <x v="54"/>
    <x v="54"/>
    <x v="52"/>
    <x v="5"/>
    <x v="49"/>
    <x v="5"/>
    <x v="51"/>
    <x v="16"/>
    <x v="48"/>
    <x v="16"/>
    <x v="38"/>
    <x v="2"/>
    <x v="31"/>
  </r>
  <r>
    <x v="55"/>
    <x v="55"/>
    <x v="55"/>
    <x v="53"/>
    <x v="14"/>
    <x v="50"/>
    <x v="14"/>
    <x v="52"/>
    <x v="19"/>
    <x v="49"/>
    <x v="19"/>
    <x v="39"/>
    <x v="3"/>
    <x v="31"/>
  </r>
  <r>
    <x v="56"/>
    <x v="56"/>
    <x v="56"/>
    <x v="54"/>
    <x v="5"/>
    <x v="51"/>
    <x v="5"/>
    <x v="53"/>
    <x v="16"/>
    <x v="50"/>
    <x v="16"/>
    <x v="40"/>
    <x v="2"/>
    <x v="29"/>
  </r>
  <r>
    <x v="57"/>
    <x v="57"/>
    <x v="57"/>
    <x v="21"/>
    <x v="8"/>
    <x v="21"/>
    <x v="8"/>
    <x v="54"/>
    <x v="6"/>
    <x v="41"/>
    <x v="6"/>
    <x v="41"/>
    <x v="2"/>
    <x v="31"/>
  </r>
  <r>
    <x v="58"/>
    <x v="58"/>
    <x v="58"/>
    <x v="55"/>
    <x v="14"/>
    <x v="52"/>
    <x v="14"/>
    <x v="55"/>
    <x v="19"/>
    <x v="51"/>
    <x v="19"/>
    <x v="42"/>
    <x v="3"/>
    <x v="32"/>
  </r>
  <r>
    <x v="59"/>
    <x v="59"/>
    <x v="59"/>
    <x v="56"/>
    <x v="11"/>
    <x v="50"/>
    <x v="11"/>
    <x v="56"/>
    <x v="12"/>
    <x v="52"/>
    <x v="12"/>
    <x v="43"/>
    <x v="9"/>
    <x v="32"/>
  </r>
  <r>
    <x v="60"/>
    <x v="60"/>
    <x v="60"/>
    <x v="57"/>
    <x v="11"/>
    <x v="49"/>
    <x v="11"/>
    <x v="57"/>
    <x v="6"/>
    <x v="34"/>
    <x v="6"/>
    <x v="16"/>
    <x v="2"/>
    <x v="33"/>
  </r>
  <r>
    <x v="61"/>
    <x v="61"/>
    <x v="61"/>
    <x v="37"/>
    <x v="14"/>
    <x v="35"/>
    <x v="14"/>
    <x v="58"/>
    <x v="19"/>
    <x v="40"/>
    <x v="19"/>
    <x v="2"/>
    <x v="3"/>
    <x v="33"/>
  </r>
  <r>
    <x v="62"/>
    <x v="62"/>
    <x v="62"/>
    <x v="58"/>
    <x v="14"/>
    <x v="53"/>
    <x v="14"/>
    <x v="59"/>
    <x v="19"/>
    <x v="53"/>
    <x v="19"/>
    <x v="44"/>
    <x v="3"/>
    <x v="33"/>
  </r>
  <r>
    <x v="63"/>
    <x v="63"/>
    <x v="63"/>
    <x v="59"/>
    <x v="14"/>
    <x v="54"/>
    <x v="14"/>
    <x v="60"/>
    <x v="19"/>
    <x v="54"/>
    <x v="19"/>
    <x v="45"/>
    <x v="3"/>
    <x v="33"/>
  </r>
  <r>
    <x v="64"/>
    <x v="64"/>
    <x v="64"/>
    <x v="60"/>
    <x v="5"/>
    <x v="55"/>
    <x v="5"/>
    <x v="61"/>
    <x v="5"/>
    <x v="55"/>
    <x v="5"/>
    <x v="46"/>
    <x v="2"/>
    <x v="33"/>
  </r>
  <r>
    <x v="65"/>
    <x v="65"/>
    <x v="65"/>
    <x v="38"/>
    <x v="11"/>
    <x v="37"/>
    <x v="11"/>
    <x v="62"/>
    <x v="16"/>
    <x v="56"/>
    <x v="16"/>
    <x v="47"/>
    <x v="2"/>
    <x v="33"/>
  </r>
  <r>
    <x v="66"/>
    <x v="66"/>
    <x v="66"/>
    <x v="61"/>
    <x v="2"/>
    <x v="56"/>
    <x v="2"/>
    <x v="63"/>
    <x v="14"/>
    <x v="24"/>
    <x v="14"/>
    <x v="16"/>
    <x v="2"/>
    <x v="33"/>
  </r>
  <r>
    <x v="67"/>
    <x v="67"/>
    <x v="67"/>
    <x v="62"/>
    <x v="11"/>
    <x v="55"/>
    <x v="11"/>
    <x v="64"/>
    <x v="16"/>
    <x v="57"/>
    <x v="16"/>
    <x v="48"/>
    <x v="2"/>
    <x v="33"/>
  </r>
  <r>
    <x v="68"/>
    <x v="68"/>
    <x v="68"/>
    <x v="63"/>
    <x v="11"/>
    <x v="57"/>
    <x v="11"/>
    <x v="64"/>
    <x v="12"/>
    <x v="57"/>
    <x v="12"/>
    <x v="49"/>
    <x v="2"/>
    <x v="34"/>
  </r>
  <r>
    <x v="69"/>
    <x v="69"/>
    <x v="69"/>
    <x v="64"/>
    <x v="14"/>
    <x v="58"/>
    <x v="14"/>
    <x v="65"/>
    <x v="19"/>
    <x v="58"/>
    <x v="19"/>
    <x v="50"/>
    <x v="3"/>
    <x v="34"/>
  </r>
  <r>
    <x v="70"/>
    <x v="70"/>
    <x v="70"/>
    <x v="65"/>
    <x v="14"/>
    <x v="59"/>
    <x v="14"/>
    <x v="66"/>
    <x v="19"/>
    <x v="59"/>
    <x v="19"/>
    <x v="51"/>
    <x v="3"/>
    <x v="34"/>
  </r>
  <r>
    <x v="71"/>
    <x v="71"/>
    <x v="71"/>
    <x v="63"/>
    <x v="14"/>
    <x v="57"/>
    <x v="14"/>
    <x v="67"/>
    <x v="19"/>
    <x v="60"/>
    <x v="19"/>
    <x v="16"/>
    <x v="3"/>
    <x v="34"/>
  </r>
  <r>
    <x v="72"/>
    <x v="72"/>
    <x v="72"/>
    <x v="66"/>
    <x v="14"/>
    <x v="60"/>
    <x v="14"/>
    <x v="68"/>
    <x v="19"/>
    <x v="61"/>
    <x v="19"/>
    <x v="16"/>
    <x v="3"/>
    <x v="34"/>
  </r>
  <r>
    <x v="73"/>
    <x v="73"/>
    <x v="73"/>
    <x v="67"/>
    <x v="7"/>
    <x v="61"/>
    <x v="7"/>
    <x v="69"/>
    <x v="7"/>
    <x v="28"/>
    <x v="7"/>
    <x v="52"/>
    <x v="2"/>
    <x v="34"/>
  </r>
  <r>
    <x v="74"/>
    <x v="74"/>
    <x v="74"/>
    <x v="68"/>
    <x v="8"/>
    <x v="62"/>
    <x v="8"/>
    <x v="70"/>
    <x v="9"/>
    <x v="62"/>
    <x v="9"/>
    <x v="53"/>
    <x v="2"/>
    <x v="34"/>
  </r>
  <r>
    <x v="75"/>
    <x v="75"/>
    <x v="75"/>
    <x v="69"/>
    <x v="5"/>
    <x v="63"/>
    <x v="5"/>
    <x v="71"/>
    <x v="5"/>
    <x v="46"/>
    <x v="5"/>
    <x v="54"/>
    <x v="2"/>
    <x v="34"/>
  </r>
  <r>
    <x v="76"/>
    <x v="76"/>
    <x v="76"/>
    <x v="62"/>
    <x v="14"/>
    <x v="55"/>
    <x v="14"/>
    <x v="72"/>
    <x v="19"/>
    <x v="63"/>
    <x v="19"/>
    <x v="55"/>
    <x v="3"/>
    <x v="35"/>
  </r>
  <r>
    <x v="77"/>
    <x v="77"/>
    <x v="77"/>
    <x v="70"/>
    <x v="14"/>
    <x v="64"/>
    <x v="14"/>
    <x v="73"/>
    <x v="19"/>
    <x v="64"/>
    <x v="19"/>
    <x v="16"/>
    <x v="3"/>
    <x v="35"/>
  </r>
  <r>
    <x v="78"/>
    <x v="78"/>
    <x v="78"/>
    <x v="71"/>
    <x v="5"/>
    <x v="59"/>
    <x v="5"/>
    <x v="74"/>
    <x v="5"/>
    <x v="51"/>
    <x v="5"/>
    <x v="56"/>
    <x v="2"/>
    <x v="35"/>
  </r>
  <r>
    <x v="79"/>
    <x v="79"/>
    <x v="79"/>
    <x v="72"/>
    <x v="14"/>
    <x v="65"/>
    <x v="14"/>
    <x v="75"/>
    <x v="19"/>
    <x v="41"/>
    <x v="19"/>
    <x v="16"/>
    <x v="3"/>
    <x v="34"/>
  </r>
  <r>
    <x v="80"/>
    <x v="80"/>
    <x v="80"/>
    <x v="73"/>
    <x v="14"/>
    <x v="66"/>
    <x v="14"/>
    <x v="76"/>
    <x v="19"/>
    <x v="65"/>
    <x v="19"/>
    <x v="57"/>
    <x v="3"/>
    <x v="35"/>
  </r>
  <r>
    <x v="81"/>
    <x v="81"/>
    <x v="81"/>
    <x v="74"/>
    <x v="14"/>
    <x v="67"/>
    <x v="14"/>
    <x v="77"/>
    <x v="19"/>
    <x v="66"/>
    <x v="19"/>
    <x v="16"/>
    <x v="3"/>
    <x v="35"/>
  </r>
  <r>
    <x v="82"/>
    <x v="82"/>
    <x v="82"/>
    <x v="75"/>
    <x v="14"/>
    <x v="68"/>
    <x v="14"/>
    <x v="78"/>
    <x v="19"/>
    <x v="67"/>
    <x v="19"/>
    <x v="58"/>
    <x v="3"/>
    <x v="35"/>
  </r>
  <r>
    <x v="83"/>
    <x v="83"/>
    <x v="83"/>
    <x v="65"/>
    <x v="14"/>
    <x v="59"/>
    <x v="14"/>
    <x v="79"/>
    <x v="19"/>
    <x v="68"/>
    <x v="19"/>
    <x v="59"/>
    <x v="3"/>
    <x v="36"/>
  </r>
  <r>
    <x v="84"/>
    <x v="84"/>
    <x v="84"/>
    <x v="76"/>
    <x v="14"/>
    <x v="69"/>
    <x v="14"/>
    <x v="80"/>
    <x v="19"/>
    <x v="68"/>
    <x v="19"/>
    <x v="60"/>
    <x v="3"/>
    <x v="36"/>
  </r>
  <r>
    <x v="85"/>
    <x v="85"/>
    <x v="85"/>
    <x v="77"/>
    <x v="5"/>
    <x v="70"/>
    <x v="5"/>
    <x v="81"/>
    <x v="5"/>
    <x v="69"/>
    <x v="5"/>
    <x v="61"/>
    <x v="2"/>
    <x v="36"/>
  </r>
  <r>
    <x v="86"/>
    <x v="86"/>
    <x v="86"/>
    <x v="78"/>
    <x v="14"/>
    <x v="71"/>
    <x v="14"/>
    <x v="82"/>
    <x v="19"/>
    <x v="66"/>
    <x v="19"/>
    <x v="16"/>
    <x v="3"/>
    <x v="36"/>
  </r>
  <r>
    <x v="87"/>
    <x v="87"/>
    <x v="87"/>
    <x v="79"/>
    <x v="8"/>
    <x v="72"/>
    <x v="8"/>
    <x v="83"/>
    <x v="6"/>
    <x v="55"/>
    <x v="6"/>
    <x v="62"/>
    <x v="10"/>
    <x v="36"/>
  </r>
  <r>
    <x v="88"/>
    <x v="88"/>
    <x v="88"/>
    <x v="80"/>
    <x v="14"/>
    <x v="73"/>
    <x v="14"/>
    <x v="84"/>
    <x v="19"/>
    <x v="59"/>
    <x v="19"/>
    <x v="63"/>
    <x v="3"/>
    <x v="36"/>
  </r>
  <r>
    <x v="89"/>
    <x v="89"/>
    <x v="89"/>
    <x v="81"/>
    <x v="14"/>
    <x v="64"/>
    <x v="14"/>
    <x v="85"/>
    <x v="19"/>
    <x v="57"/>
    <x v="19"/>
    <x v="64"/>
    <x v="3"/>
    <x v="36"/>
  </r>
  <r>
    <x v="90"/>
    <x v="90"/>
    <x v="90"/>
    <x v="82"/>
    <x v="5"/>
    <x v="35"/>
    <x v="5"/>
    <x v="86"/>
    <x v="5"/>
    <x v="40"/>
    <x v="5"/>
    <x v="65"/>
    <x v="2"/>
    <x v="36"/>
  </r>
  <r>
    <x v="91"/>
    <x v="91"/>
    <x v="91"/>
    <x v="83"/>
    <x v="5"/>
    <x v="74"/>
    <x v="5"/>
    <x v="87"/>
    <x v="5"/>
    <x v="70"/>
    <x v="5"/>
    <x v="66"/>
    <x v="2"/>
    <x v="36"/>
  </r>
  <r>
    <x v="92"/>
    <x v="92"/>
    <x v="92"/>
    <x v="84"/>
    <x v="5"/>
    <x v="75"/>
    <x v="5"/>
    <x v="88"/>
    <x v="5"/>
    <x v="71"/>
    <x v="5"/>
    <x v="22"/>
    <x v="2"/>
    <x v="36"/>
  </r>
  <r>
    <x v="93"/>
    <x v="93"/>
    <x v="93"/>
    <x v="85"/>
    <x v="5"/>
    <x v="71"/>
    <x v="5"/>
    <x v="81"/>
    <x v="5"/>
    <x v="69"/>
    <x v="5"/>
    <x v="16"/>
    <x v="2"/>
    <x v="36"/>
  </r>
  <r>
    <x v="94"/>
    <x v="94"/>
    <x v="94"/>
    <x v="80"/>
    <x v="14"/>
    <x v="73"/>
    <x v="14"/>
    <x v="89"/>
    <x v="19"/>
    <x v="72"/>
    <x v="19"/>
    <x v="67"/>
    <x v="3"/>
    <x v="36"/>
  </r>
  <r>
    <x v="95"/>
    <x v="95"/>
    <x v="95"/>
    <x v="86"/>
    <x v="5"/>
    <x v="76"/>
    <x v="5"/>
    <x v="90"/>
    <x v="5"/>
    <x v="65"/>
    <x v="5"/>
    <x v="16"/>
    <x v="2"/>
    <x v="36"/>
  </r>
  <r>
    <x v="96"/>
    <x v="96"/>
    <x v="96"/>
    <x v="87"/>
    <x v="11"/>
    <x v="69"/>
    <x v="11"/>
    <x v="91"/>
    <x v="16"/>
    <x v="66"/>
    <x v="16"/>
    <x v="37"/>
    <x v="2"/>
    <x v="36"/>
  </r>
  <r>
    <x v="97"/>
    <x v="97"/>
    <x v="97"/>
    <x v="88"/>
    <x v="14"/>
    <x v="75"/>
    <x v="14"/>
    <x v="92"/>
    <x v="19"/>
    <x v="73"/>
    <x v="19"/>
    <x v="16"/>
    <x v="3"/>
    <x v="37"/>
  </r>
  <r>
    <x v="98"/>
    <x v="98"/>
    <x v="98"/>
    <x v="86"/>
    <x v="14"/>
    <x v="76"/>
    <x v="14"/>
    <x v="88"/>
    <x v="19"/>
    <x v="71"/>
    <x v="19"/>
    <x v="16"/>
    <x v="3"/>
    <x v="37"/>
  </r>
  <r>
    <x v="99"/>
    <x v="99"/>
    <x v="99"/>
    <x v="84"/>
    <x v="14"/>
    <x v="75"/>
    <x v="14"/>
    <x v="93"/>
    <x v="19"/>
    <x v="74"/>
    <x v="19"/>
    <x v="68"/>
    <x v="3"/>
    <x v="37"/>
  </r>
  <r>
    <x v="100"/>
    <x v="100"/>
    <x v="100"/>
    <x v="89"/>
    <x v="14"/>
    <x v="67"/>
    <x v="14"/>
    <x v="94"/>
    <x v="19"/>
    <x v="75"/>
    <x v="19"/>
    <x v="69"/>
    <x v="3"/>
    <x v="37"/>
  </r>
  <r>
    <x v="101"/>
    <x v="101"/>
    <x v="101"/>
    <x v="90"/>
    <x v="14"/>
    <x v="52"/>
    <x v="14"/>
    <x v="95"/>
    <x v="19"/>
    <x v="76"/>
    <x v="19"/>
    <x v="16"/>
    <x v="3"/>
    <x v="37"/>
  </r>
  <r>
    <x v="102"/>
    <x v="102"/>
    <x v="102"/>
    <x v="79"/>
    <x v="5"/>
    <x v="72"/>
    <x v="5"/>
    <x v="96"/>
    <x v="16"/>
    <x v="59"/>
    <x v="16"/>
    <x v="16"/>
    <x v="3"/>
    <x v="37"/>
  </r>
  <r>
    <x v="103"/>
    <x v="103"/>
    <x v="103"/>
    <x v="60"/>
    <x v="14"/>
    <x v="55"/>
    <x v="14"/>
    <x v="97"/>
    <x v="19"/>
    <x v="67"/>
    <x v="19"/>
    <x v="70"/>
    <x v="3"/>
    <x v="37"/>
  </r>
  <r>
    <x v="104"/>
    <x v="104"/>
    <x v="104"/>
    <x v="91"/>
    <x v="11"/>
    <x v="77"/>
    <x v="11"/>
    <x v="67"/>
    <x v="12"/>
    <x v="60"/>
    <x v="12"/>
    <x v="71"/>
    <x v="2"/>
    <x v="37"/>
  </r>
  <r>
    <x v="105"/>
    <x v="105"/>
    <x v="105"/>
    <x v="92"/>
    <x v="14"/>
    <x v="78"/>
    <x v="14"/>
    <x v="98"/>
    <x v="19"/>
    <x v="77"/>
    <x v="19"/>
    <x v="72"/>
    <x v="3"/>
    <x v="37"/>
  </r>
  <r>
    <x v="106"/>
    <x v="106"/>
    <x v="106"/>
    <x v="79"/>
    <x v="5"/>
    <x v="72"/>
    <x v="5"/>
    <x v="99"/>
    <x v="5"/>
    <x v="60"/>
    <x v="5"/>
    <x v="16"/>
    <x v="2"/>
    <x v="37"/>
  </r>
  <r>
    <x v="107"/>
    <x v="107"/>
    <x v="107"/>
    <x v="93"/>
    <x v="14"/>
    <x v="79"/>
    <x v="14"/>
    <x v="100"/>
    <x v="19"/>
    <x v="78"/>
    <x v="19"/>
    <x v="16"/>
    <x v="3"/>
    <x v="37"/>
  </r>
  <r>
    <x v="108"/>
    <x v="108"/>
    <x v="108"/>
    <x v="94"/>
    <x v="14"/>
    <x v="76"/>
    <x v="14"/>
    <x v="101"/>
    <x v="19"/>
    <x v="73"/>
    <x v="19"/>
    <x v="73"/>
    <x v="3"/>
    <x v="37"/>
  </r>
  <r>
    <x v="109"/>
    <x v="109"/>
    <x v="109"/>
    <x v="84"/>
    <x v="5"/>
    <x v="75"/>
    <x v="5"/>
    <x v="101"/>
    <x v="5"/>
    <x v="73"/>
    <x v="5"/>
    <x v="16"/>
    <x v="2"/>
    <x v="38"/>
  </r>
  <r>
    <x v="110"/>
    <x v="110"/>
    <x v="110"/>
    <x v="95"/>
    <x v="5"/>
    <x v="80"/>
    <x v="5"/>
    <x v="102"/>
    <x v="16"/>
    <x v="79"/>
    <x v="16"/>
    <x v="16"/>
    <x v="2"/>
    <x v="38"/>
  </r>
  <r>
    <x v="111"/>
    <x v="111"/>
    <x v="111"/>
    <x v="96"/>
    <x v="5"/>
    <x v="81"/>
    <x v="5"/>
    <x v="103"/>
    <x v="5"/>
    <x v="80"/>
    <x v="5"/>
    <x v="74"/>
    <x v="2"/>
    <x v="38"/>
  </r>
  <r>
    <x v="112"/>
    <x v="112"/>
    <x v="112"/>
    <x v="97"/>
    <x v="14"/>
    <x v="82"/>
    <x v="14"/>
    <x v="104"/>
    <x v="19"/>
    <x v="81"/>
    <x v="19"/>
    <x v="16"/>
    <x v="3"/>
    <x v="38"/>
  </r>
  <r>
    <x v="113"/>
    <x v="113"/>
    <x v="113"/>
    <x v="98"/>
    <x v="14"/>
    <x v="83"/>
    <x v="14"/>
    <x v="103"/>
    <x v="19"/>
    <x v="80"/>
    <x v="19"/>
    <x v="16"/>
    <x v="3"/>
    <x v="38"/>
  </r>
  <r>
    <x v="114"/>
    <x v="114"/>
    <x v="114"/>
    <x v="90"/>
    <x v="5"/>
    <x v="52"/>
    <x v="5"/>
    <x v="105"/>
    <x v="5"/>
    <x v="82"/>
    <x v="5"/>
    <x v="29"/>
    <x v="2"/>
    <x v="38"/>
  </r>
  <r>
    <x v="115"/>
    <x v="114"/>
    <x v="115"/>
    <x v="78"/>
    <x v="5"/>
    <x v="71"/>
    <x v="5"/>
    <x v="106"/>
    <x v="12"/>
    <x v="83"/>
    <x v="12"/>
    <x v="75"/>
    <x v="2"/>
    <x v="38"/>
  </r>
  <r>
    <x v="116"/>
    <x v="115"/>
    <x v="116"/>
    <x v="75"/>
    <x v="14"/>
    <x v="68"/>
    <x v="14"/>
    <x v="61"/>
    <x v="19"/>
    <x v="55"/>
    <x v="19"/>
    <x v="16"/>
    <x v="3"/>
    <x v="38"/>
  </r>
  <r>
    <x v="117"/>
    <x v="116"/>
    <x v="117"/>
    <x v="89"/>
    <x v="14"/>
    <x v="67"/>
    <x v="14"/>
    <x v="79"/>
    <x v="19"/>
    <x v="68"/>
    <x v="19"/>
    <x v="16"/>
    <x v="3"/>
    <x v="38"/>
  </r>
  <r>
    <x v="118"/>
    <x v="117"/>
    <x v="118"/>
    <x v="99"/>
    <x v="14"/>
    <x v="84"/>
    <x v="14"/>
    <x v="107"/>
    <x v="19"/>
    <x v="84"/>
    <x v="19"/>
    <x v="76"/>
    <x v="3"/>
    <x v="38"/>
  </r>
  <r>
    <x v="119"/>
    <x v="118"/>
    <x v="119"/>
    <x v="100"/>
    <x v="8"/>
    <x v="77"/>
    <x v="8"/>
    <x v="53"/>
    <x v="6"/>
    <x v="50"/>
    <x v="6"/>
    <x v="77"/>
    <x v="2"/>
    <x v="38"/>
  </r>
  <r>
    <x v="120"/>
    <x v="119"/>
    <x v="120"/>
    <x v="86"/>
    <x v="14"/>
    <x v="76"/>
    <x v="14"/>
    <x v="108"/>
    <x v="19"/>
    <x v="79"/>
    <x v="19"/>
    <x v="78"/>
    <x v="3"/>
    <x v="38"/>
  </r>
  <r>
    <x v="121"/>
    <x v="120"/>
    <x v="121"/>
    <x v="101"/>
    <x v="14"/>
    <x v="85"/>
    <x v="14"/>
    <x v="109"/>
    <x v="19"/>
    <x v="85"/>
    <x v="19"/>
    <x v="16"/>
    <x v="3"/>
    <x v="38"/>
  </r>
  <r>
    <x v="122"/>
    <x v="121"/>
    <x v="122"/>
    <x v="102"/>
    <x v="14"/>
    <x v="86"/>
    <x v="14"/>
    <x v="102"/>
    <x v="19"/>
    <x v="79"/>
    <x v="19"/>
    <x v="16"/>
    <x v="3"/>
    <x v="38"/>
  </r>
  <r>
    <x v="123"/>
    <x v="122"/>
    <x v="123"/>
    <x v="103"/>
    <x v="5"/>
    <x v="74"/>
    <x v="5"/>
    <x v="65"/>
    <x v="5"/>
    <x v="58"/>
    <x v="5"/>
    <x v="16"/>
    <x v="2"/>
    <x v="38"/>
  </r>
  <r>
    <x v="124"/>
    <x v="123"/>
    <x v="124"/>
    <x v="96"/>
    <x v="14"/>
    <x v="81"/>
    <x v="14"/>
    <x v="110"/>
    <x v="19"/>
    <x v="80"/>
    <x v="19"/>
    <x v="16"/>
    <x v="3"/>
    <x v="38"/>
  </r>
  <r>
    <x v="125"/>
    <x v="124"/>
    <x v="125"/>
    <x v="70"/>
    <x v="14"/>
    <x v="64"/>
    <x v="14"/>
    <x v="61"/>
    <x v="19"/>
    <x v="55"/>
    <x v="19"/>
    <x v="16"/>
    <x v="3"/>
    <x v="38"/>
  </r>
  <r>
    <x v="126"/>
    <x v="125"/>
    <x v="126"/>
    <x v="93"/>
    <x v="14"/>
    <x v="79"/>
    <x v="14"/>
    <x v="111"/>
    <x v="19"/>
    <x v="71"/>
    <x v="19"/>
    <x v="16"/>
    <x v="3"/>
    <x v="38"/>
  </r>
  <r>
    <x v="127"/>
    <x v="126"/>
    <x v="127"/>
    <x v="104"/>
    <x v="15"/>
    <x v="87"/>
    <x v="15"/>
    <x v="112"/>
    <x v="20"/>
    <x v="86"/>
    <x v="20"/>
    <x v="79"/>
    <x v="11"/>
    <x v="39"/>
  </r>
</pivotCacheRecords>
</file>

<file path=xl/pivotCache/pivotCacheRecords25.xml><?xml version="1.0" encoding="utf-8"?>
<pivotCacheRecords xmlns="http://schemas.openxmlformats.org/spreadsheetml/2006/main" xmlns:r="http://schemas.openxmlformats.org/officeDocument/2006/relationships" count="300">
  <r>
    <x v="0"/>
    <x v="0"/>
    <x v="0"/>
    <x v="0"/>
    <x v="0"/>
    <x v="0"/>
    <x v="0"/>
    <x v="0"/>
    <x v="0"/>
    <x v="0"/>
    <x v="0"/>
    <x v="0"/>
    <x v="0"/>
    <x v="0"/>
    <x v="0"/>
    <x v="0"/>
    <x v="0"/>
  </r>
  <r>
    <x v="1"/>
    <x v="1"/>
    <x v="1"/>
    <x v="1"/>
    <x v="1"/>
    <x v="1"/>
    <x v="1"/>
    <x v="1"/>
    <x v="1"/>
    <x v="1"/>
    <x v="1"/>
    <x v="1"/>
    <x v="1"/>
    <x v="1"/>
    <x v="0"/>
    <x v="1"/>
    <x v="0"/>
  </r>
  <r>
    <x v="2"/>
    <x v="2"/>
    <x v="2"/>
    <x v="2"/>
    <x v="2"/>
    <x v="2"/>
    <x v="2"/>
    <x v="0"/>
    <x v="2"/>
    <x v="2"/>
    <x v="0"/>
    <x v="0"/>
    <x v="2"/>
    <x v="1"/>
    <x v="1"/>
    <x v="1"/>
    <x v="1"/>
  </r>
  <r>
    <x v="2"/>
    <x v="2"/>
    <x v="3"/>
    <x v="3"/>
    <x v="3"/>
    <x v="3"/>
    <x v="3"/>
    <x v="1"/>
    <x v="1"/>
    <x v="1"/>
    <x v="1"/>
    <x v="1"/>
    <x v="1"/>
    <x v="1"/>
    <x v="0"/>
    <x v="1"/>
    <x v="0"/>
  </r>
  <r>
    <x v="3"/>
    <x v="3"/>
    <x v="4"/>
    <x v="4"/>
    <x v="4"/>
    <x v="4"/>
    <x v="4"/>
    <x v="1"/>
    <x v="1"/>
    <x v="3"/>
    <x v="1"/>
    <x v="1"/>
    <x v="3"/>
    <x v="1"/>
    <x v="0"/>
    <x v="1"/>
    <x v="0"/>
  </r>
  <r>
    <x v="1"/>
    <x v="1"/>
    <x v="5"/>
    <x v="1"/>
    <x v="5"/>
    <x v="5"/>
    <x v="5"/>
    <x v="1"/>
    <x v="1"/>
    <x v="1"/>
    <x v="1"/>
    <x v="1"/>
    <x v="1"/>
    <x v="1"/>
    <x v="0"/>
    <x v="1"/>
    <x v="0"/>
  </r>
  <r>
    <x v="4"/>
    <x v="4"/>
    <x v="6"/>
    <x v="5"/>
    <x v="6"/>
    <x v="6"/>
    <x v="6"/>
    <x v="1"/>
    <x v="1"/>
    <x v="1"/>
    <x v="1"/>
    <x v="1"/>
    <x v="1"/>
    <x v="1"/>
    <x v="0"/>
    <x v="1"/>
    <x v="0"/>
  </r>
  <r>
    <x v="0"/>
    <x v="0"/>
    <x v="7"/>
    <x v="6"/>
    <x v="7"/>
    <x v="7"/>
    <x v="7"/>
    <x v="2"/>
    <x v="3"/>
    <x v="4"/>
    <x v="2"/>
    <x v="2"/>
    <x v="4"/>
    <x v="2"/>
    <x v="2"/>
    <x v="2"/>
    <x v="2"/>
  </r>
  <r>
    <x v="5"/>
    <x v="5"/>
    <x v="8"/>
    <x v="7"/>
    <x v="8"/>
    <x v="8"/>
    <x v="8"/>
    <x v="0"/>
    <x v="4"/>
    <x v="5"/>
    <x v="0"/>
    <x v="0"/>
    <x v="5"/>
    <x v="0"/>
    <x v="0"/>
    <x v="0"/>
    <x v="0"/>
  </r>
  <r>
    <x v="1"/>
    <x v="1"/>
    <x v="9"/>
    <x v="8"/>
    <x v="9"/>
    <x v="9"/>
    <x v="9"/>
    <x v="3"/>
    <x v="5"/>
    <x v="6"/>
    <x v="3"/>
    <x v="3"/>
    <x v="6"/>
    <x v="3"/>
    <x v="3"/>
    <x v="3"/>
    <x v="3"/>
  </r>
  <r>
    <x v="4"/>
    <x v="4"/>
    <x v="10"/>
    <x v="9"/>
    <x v="10"/>
    <x v="10"/>
    <x v="10"/>
    <x v="1"/>
    <x v="1"/>
    <x v="1"/>
    <x v="1"/>
    <x v="1"/>
    <x v="1"/>
    <x v="1"/>
    <x v="0"/>
    <x v="1"/>
    <x v="0"/>
  </r>
  <r>
    <x v="1"/>
    <x v="1"/>
    <x v="11"/>
    <x v="10"/>
    <x v="11"/>
    <x v="11"/>
    <x v="11"/>
    <x v="4"/>
    <x v="6"/>
    <x v="7"/>
    <x v="4"/>
    <x v="4"/>
    <x v="7"/>
    <x v="0"/>
    <x v="4"/>
    <x v="0"/>
    <x v="4"/>
  </r>
  <r>
    <x v="5"/>
    <x v="5"/>
    <x v="12"/>
    <x v="11"/>
    <x v="12"/>
    <x v="12"/>
    <x v="12"/>
    <x v="1"/>
    <x v="1"/>
    <x v="1"/>
    <x v="1"/>
    <x v="1"/>
    <x v="1"/>
    <x v="1"/>
    <x v="0"/>
    <x v="1"/>
    <x v="0"/>
  </r>
  <r>
    <x v="2"/>
    <x v="2"/>
    <x v="13"/>
    <x v="12"/>
    <x v="13"/>
    <x v="13"/>
    <x v="13"/>
    <x v="1"/>
    <x v="1"/>
    <x v="1"/>
    <x v="1"/>
    <x v="1"/>
    <x v="1"/>
    <x v="1"/>
    <x v="0"/>
    <x v="1"/>
    <x v="0"/>
  </r>
  <r>
    <x v="6"/>
    <x v="6"/>
    <x v="14"/>
    <x v="13"/>
    <x v="14"/>
    <x v="14"/>
    <x v="14"/>
    <x v="5"/>
    <x v="7"/>
    <x v="8"/>
    <x v="0"/>
    <x v="5"/>
    <x v="8"/>
    <x v="3"/>
    <x v="0"/>
    <x v="3"/>
    <x v="0"/>
  </r>
  <r>
    <x v="7"/>
    <x v="7"/>
    <x v="15"/>
    <x v="14"/>
    <x v="15"/>
    <x v="15"/>
    <x v="15"/>
    <x v="1"/>
    <x v="1"/>
    <x v="1"/>
    <x v="1"/>
    <x v="1"/>
    <x v="1"/>
    <x v="1"/>
    <x v="0"/>
    <x v="1"/>
    <x v="0"/>
  </r>
  <r>
    <x v="6"/>
    <x v="6"/>
    <x v="16"/>
    <x v="11"/>
    <x v="16"/>
    <x v="16"/>
    <x v="16"/>
    <x v="1"/>
    <x v="1"/>
    <x v="1"/>
    <x v="1"/>
    <x v="1"/>
    <x v="1"/>
    <x v="1"/>
    <x v="0"/>
    <x v="1"/>
    <x v="0"/>
  </r>
  <r>
    <x v="8"/>
    <x v="8"/>
    <x v="17"/>
    <x v="11"/>
    <x v="17"/>
    <x v="17"/>
    <x v="17"/>
    <x v="1"/>
    <x v="1"/>
    <x v="1"/>
    <x v="1"/>
    <x v="1"/>
    <x v="1"/>
    <x v="1"/>
    <x v="0"/>
    <x v="1"/>
    <x v="0"/>
  </r>
  <r>
    <x v="9"/>
    <x v="9"/>
    <x v="18"/>
    <x v="4"/>
    <x v="4"/>
    <x v="4"/>
    <x v="4"/>
    <x v="1"/>
    <x v="1"/>
    <x v="3"/>
    <x v="1"/>
    <x v="1"/>
    <x v="3"/>
    <x v="1"/>
    <x v="0"/>
    <x v="1"/>
    <x v="0"/>
  </r>
  <r>
    <x v="10"/>
    <x v="10"/>
    <x v="19"/>
    <x v="9"/>
    <x v="18"/>
    <x v="18"/>
    <x v="18"/>
    <x v="1"/>
    <x v="1"/>
    <x v="1"/>
    <x v="1"/>
    <x v="1"/>
    <x v="1"/>
    <x v="1"/>
    <x v="0"/>
    <x v="1"/>
    <x v="0"/>
  </r>
  <r>
    <x v="8"/>
    <x v="8"/>
    <x v="20"/>
    <x v="4"/>
    <x v="4"/>
    <x v="4"/>
    <x v="4"/>
    <x v="1"/>
    <x v="1"/>
    <x v="3"/>
    <x v="1"/>
    <x v="1"/>
    <x v="3"/>
    <x v="1"/>
    <x v="0"/>
    <x v="1"/>
    <x v="0"/>
  </r>
  <r>
    <x v="9"/>
    <x v="9"/>
    <x v="21"/>
    <x v="4"/>
    <x v="4"/>
    <x v="4"/>
    <x v="4"/>
    <x v="1"/>
    <x v="1"/>
    <x v="3"/>
    <x v="1"/>
    <x v="1"/>
    <x v="3"/>
    <x v="1"/>
    <x v="0"/>
    <x v="1"/>
    <x v="0"/>
  </r>
  <r>
    <x v="11"/>
    <x v="11"/>
    <x v="22"/>
    <x v="4"/>
    <x v="4"/>
    <x v="4"/>
    <x v="4"/>
    <x v="1"/>
    <x v="1"/>
    <x v="3"/>
    <x v="1"/>
    <x v="1"/>
    <x v="3"/>
    <x v="1"/>
    <x v="0"/>
    <x v="1"/>
    <x v="0"/>
  </r>
  <r>
    <x v="12"/>
    <x v="12"/>
    <x v="23"/>
    <x v="4"/>
    <x v="4"/>
    <x v="4"/>
    <x v="4"/>
    <x v="1"/>
    <x v="1"/>
    <x v="3"/>
    <x v="1"/>
    <x v="1"/>
    <x v="3"/>
    <x v="1"/>
    <x v="0"/>
    <x v="1"/>
    <x v="0"/>
  </r>
  <r>
    <x v="13"/>
    <x v="13"/>
    <x v="24"/>
    <x v="4"/>
    <x v="4"/>
    <x v="4"/>
    <x v="4"/>
    <x v="1"/>
    <x v="1"/>
    <x v="3"/>
    <x v="1"/>
    <x v="1"/>
    <x v="3"/>
    <x v="1"/>
    <x v="0"/>
    <x v="1"/>
    <x v="0"/>
  </r>
  <r>
    <x v="14"/>
    <x v="14"/>
    <x v="25"/>
    <x v="11"/>
    <x v="19"/>
    <x v="19"/>
    <x v="19"/>
    <x v="1"/>
    <x v="1"/>
    <x v="1"/>
    <x v="1"/>
    <x v="1"/>
    <x v="1"/>
    <x v="1"/>
    <x v="0"/>
    <x v="1"/>
    <x v="0"/>
  </r>
  <r>
    <x v="6"/>
    <x v="6"/>
    <x v="26"/>
    <x v="5"/>
    <x v="20"/>
    <x v="20"/>
    <x v="20"/>
    <x v="1"/>
    <x v="1"/>
    <x v="1"/>
    <x v="1"/>
    <x v="1"/>
    <x v="1"/>
    <x v="1"/>
    <x v="0"/>
    <x v="1"/>
    <x v="0"/>
  </r>
  <r>
    <x v="15"/>
    <x v="15"/>
    <x v="27"/>
    <x v="3"/>
    <x v="21"/>
    <x v="21"/>
    <x v="21"/>
    <x v="1"/>
    <x v="1"/>
    <x v="1"/>
    <x v="1"/>
    <x v="1"/>
    <x v="1"/>
    <x v="1"/>
    <x v="0"/>
    <x v="1"/>
    <x v="0"/>
  </r>
  <r>
    <x v="16"/>
    <x v="16"/>
    <x v="28"/>
    <x v="0"/>
    <x v="22"/>
    <x v="22"/>
    <x v="22"/>
    <x v="0"/>
    <x v="8"/>
    <x v="9"/>
    <x v="0"/>
    <x v="0"/>
    <x v="0"/>
    <x v="0"/>
    <x v="0"/>
    <x v="0"/>
    <x v="0"/>
  </r>
  <r>
    <x v="17"/>
    <x v="17"/>
    <x v="5"/>
    <x v="15"/>
    <x v="23"/>
    <x v="23"/>
    <x v="23"/>
    <x v="1"/>
    <x v="1"/>
    <x v="1"/>
    <x v="1"/>
    <x v="1"/>
    <x v="1"/>
    <x v="1"/>
    <x v="0"/>
    <x v="1"/>
    <x v="0"/>
  </r>
  <r>
    <x v="12"/>
    <x v="12"/>
    <x v="4"/>
    <x v="11"/>
    <x v="24"/>
    <x v="24"/>
    <x v="24"/>
    <x v="1"/>
    <x v="1"/>
    <x v="1"/>
    <x v="1"/>
    <x v="1"/>
    <x v="1"/>
    <x v="1"/>
    <x v="0"/>
    <x v="1"/>
    <x v="0"/>
  </r>
  <r>
    <x v="13"/>
    <x v="13"/>
    <x v="29"/>
    <x v="9"/>
    <x v="25"/>
    <x v="25"/>
    <x v="25"/>
    <x v="0"/>
    <x v="9"/>
    <x v="10"/>
    <x v="0"/>
    <x v="0"/>
    <x v="4"/>
    <x v="0"/>
    <x v="0"/>
    <x v="0"/>
    <x v="0"/>
  </r>
  <r>
    <x v="18"/>
    <x v="18"/>
    <x v="20"/>
    <x v="4"/>
    <x v="4"/>
    <x v="4"/>
    <x v="4"/>
    <x v="1"/>
    <x v="1"/>
    <x v="3"/>
    <x v="1"/>
    <x v="1"/>
    <x v="3"/>
    <x v="1"/>
    <x v="0"/>
    <x v="1"/>
    <x v="0"/>
  </r>
  <r>
    <x v="19"/>
    <x v="19"/>
    <x v="30"/>
    <x v="3"/>
    <x v="26"/>
    <x v="26"/>
    <x v="26"/>
    <x v="1"/>
    <x v="1"/>
    <x v="1"/>
    <x v="1"/>
    <x v="1"/>
    <x v="1"/>
    <x v="1"/>
    <x v="0"/>
    <x v="1"/>
    <x v="0"/>
  </r>
  <r>
    <x v="18"/>
    <x v="18"/>
    <x v="31"/>
    <x v="4"/>
    <x v="4"/>
    <x v="4"/>
    <x v="4"/>
    <x v="1"/>
    <x v="1"/>
    <x v="3"/>
    <x v="1"/>
    <x v="1"/>
    <x v="3"/>
    <x v="1"/>
    <x v="0"/>
    <x v="1"/>
    <x v="0"/>
  </r>
  <r>
    <x v="20"/>
    <x v="20"/>
    <x v="31"/>
    <x v="4"/>
    <x v="4"/>
    <x v="4"/>
    <x v="4"/>
    <x v="1"/>
    <x v="1"/>
    <x v="3"/>
    <x v="1"/>
    <x v="1"/>
    <x v="3"/>
    <x v="1"/>
    <x v="0"/>
    <x v="1"/>
    <x v="0"/>
  </r>
  <r>
    <x v="19"/>
    <x v="19"/>
    <x v="32"/>
    <x v="11"/>
    <x v="27"/>
    <x v="24"/>
    <x v="24"/>
    <x v="1"/>
    <x v="1"/>
    <x v="1"/>
    <x v="1"/>
    <x v="1"/>
    <x v="1"/>
    <x v="1"/>
    <x v="0"/>
    <x v="1"/>
    <x v="0"/>
  </r>
  <r>
    <x v="21"/>
    <x v="21"/>
    <x v="33"/>
    <x v="9"/>
    <x v="28"/>
    <x v="27"/>
    <x v="27"/>
    <x v="1"/>
    <x v="1"/>
    <x v="1"/>
    <x v="1"/>
    <x v="1"/>
    <x v="1"/>
    <x v="1"/>
    <x v="0"/>
    <x v="1"/>
    <x v="0"/>
  </r>
  <r>
    <x v="7"/>
    <x v="7"/>
    <x v="34"/>
    <x v="13"/>
    <x v="29"/>
    <x v="28"/>
    <x v="28"/>
    <x v="1"/>
    <x v="1"/>
    <x v="1"/>
    <x v="1"/>
    <x v="1"/>
    <x v="1"/>
    <x v="1"/>
    <x v="0"/>
    <x v="1"/>
    <x v="0"/>
  </r>
  <r>
    <x v="15"/>
    <x v="15"/>
    <x v="35"/>
    <x v="4"/>
    <x v="30"/>
    <x v="4"/>
    <x v="4"/>
    <x v="1"/>
    <x v="1"/>
    <x v="3"/>
    <x v="1"/>
    <x v="1"/>
    <x v="3"/>
    <x v="1"/>
    <x v="0"/>
    <x v="1"/>
    <x v="0"/>
  </r>
  <r>
    <x v="16"/>
    <x v="16"/>
    <x v="35"/>
    <x v="4"/>
    <x v="30"/>
    <x v="4"/>
    <x v="4"/>
    <x v="1"/>
    <x v="1"/>
    <x v="3"/>
    <x v="1"/>
    <x v="1"/>
    <x v="3"/>
    <x v="1"/>
    <x v="0"/>
    <x v="1"/>
    <x v="0"/>
  </r>
  <r>
    <x v="17"/>
    <x v="17"/>
    <x v="35"/>
    <x v="4"/>
    <x v="30"/>
    <x v="4"/>
    <x v="4"/>
    <x v="1"/>
    <x v="1"/>
    <x v="3"/>
    <x v="1"/>
    <x v="1"/>
    <x v="3"/>
    <x v="1"/>
    <x v="0"/>
    <x v="1"/>
    <x v="0"/>
  </r>
  <r>
    <x v="22"/>
    <x v="22"/>
    <x v="36"/>
    <x v="16"/>
    <x v="31"/>
    <x v="29"/>
    <x v="29"/>
    <x v="5"/>
    <x v="10"/>
    <x v="11"/>
    <x v="5"/>
    <x v="5"/>
    <x v="9"/>
    <x v="0"/>
    <x v="1"/>
    <x v="0"/>
    <x v="1"/>
  </r>
  <r>
    <x v="23"/>
    <x v="23"/>
    <x v="37"/>
    <x v="0"/>
    <x v="32"/>
    <x v="30"/>
    <x v="30"/>
    <x v="1"/>
    <x v="1"/>
    <x v="1"/>
    <x v="1"/>
    <x v="1"/>
    <x v="1"/>
    <x v="1"/>
    <x v="0"/>
    <x v="1"/>
    <x v="0"/>
  </r>
  <r>
    <x v="24"/>
    <x v="24"/>
    <x v="38"/>
    <x v="17"/>
    <x v="33"/>
    <x v="31"/>
    <x v="31"/>
    <x v="5"/>
    <x v="11"/>
    <x v="12"/>
    <x v="5"/>
    <x v="5"/>
    <x v="10"/>
    <x v="3"/>
    <x v="0"/>
    <x v="3"/>
    <x v="0"/>
  </r>
  <r>
    <x v="25"/>
    <x v="25"/>
    <x v="39"/>
    <x v="2"/>
    <x v="34"/>
    <x v="32"/>
    <x v="32"/>
    <x v="5"/>
    <x v="12"/>
    <x v="13"/>
    <x v="5"/>
    <x v="5"/>
    <x v="11"/>
    <x v="3"/>
    <x v="0"/>
    <x v="3"/>
    <x v="0"/>
  </r>
  <r>
    <x v="26"/>
    <x v="26"/>
    <x v="40"/>
    <x v="18"/>
    <x v="35"/>
    <x v="33"/>
    <x v="33"/>
    <x v="5"/>
    <x v="13"/>
    <x v="14"/>
    <x v="5"/>
    <x v="5"/>
    <x v="12"/>
    <x v="0"/>
    <x v="1"/>
    <x v="0"/>
    <x v="1"/>
  </r>
  <r>
    <x v="27"/>
    <x v="27"/>
    <x v="41"/>
    <x v="13"/>
    <x v="36"/>
    <x v="34"/>
    <x v="34"/>
    <x v="0"/>
    <x v="14"/>
    <x v="15"/>
    <x v="0"/>
    <x v="0"/>
    <x v="8"/>
    <x v="0"/>
    <x v="0"/>
    <x v="0"/>
    <x v="0"/>
  </r>
  <r>
    <x v="28"/>
    <x v="28"/>
    <x v="42"/>
    <x v="9"/>
    <x v="37"/>
    <x v="35"/>
    <x v="35"/>
    <x v="1"/>
    <x v="1"/>
    <x v="1"/>
    <x v="1"/>
    <x v="1"/>
    <x v="1"/>
    <x v="1"/>
    <x v="0"/>
    <x v="1"/>
    <x v="0"/>
  </r>
  <r>
    <x v="29"/>
    <x v="29"/>
    <x v="43"/>
    <x v="14"/>
    <x v="38"/>
    <x v="36"/>
    <x v="36"/>
    <x v="1"/>
    <x v="1"/>
    <x v="1"/>
    <x v="1"/>
    <x v="1"/>
    <x v="1"/>
    <x v="1"/>
    <x v="0"/>
    <x v="1"/>
    <x v="0"/>
  </r>
  <r>
    <x v="30"/>
    <x v="30"/>
    <x v="44"/>
    <x v="1"/>
    <x v="8"/>
    <x v="37"/>
    <x v="37"/>
    <x v="0"/>
    <x v="15"/>
    <x v="16"/>
    <x v="0"/>
    <x v="0"/>
    <x v="13"/>
    <x v="1"/>
    <x v="1"/>
    <x v="1"/>
    <x v="1"/>
  </r>
  <r>
    <x v="31"/>
    <x v="31"/>
    <x v="45"/>
    <x v="11"/>
    <x v="39"/>
    <x v="38"/>
    <x v="38"/>
    <x v="1"/>
    <x v="1"/>
    <x v="1"/>
    <x v="1"/>
    <x v="1"/>
    <x v="1"/>
    <x v="1"/>
    <x v="0"/>
    <x v="1"/>
    <x v="0"/>
  </r>
  <r>
    <x v="32"/>
    <x v="32"/>
    <x v="46"/>
    <x v="19"/>
    <x v="40"/>
    <x v="39"/>
    <x v="39"/>
    <x v="5"/>
    <x v="16"/>
    <x v="17"/>
    <x v="5"/>
    <x v="5"/>
    <x v="14"/>
    <x v="1"/>
    <x v="5"/>
    <x v="1"/>
    <x v="5"/>
  </r>
  <r>
    <x v="28"/>
    <x v="28"/>
    <x v="47"/>
    <x v="20"/>
    <x v="41"/>
    <x v="40"/>
    <x v="40"/>
    <x v="6"/>
    <x v="17"/>
    <x v="18"/>
    <x v="4"/>
    <x v="6"/>
    <x v="15"/>
    <x v="2"/>
    <x v="1"/>
    <x v="2"/>
    <x v="1"/>
  </r>
  <r>
    <x v="25"/>
    <x v="25"/>
    <x v="48"/>
    <x v="11"/>
    <x v="42"/>
    <x v="41"/>
    <x v="37"/>
    <x v="0"/>
    <x v="15"/>
    <x v="16"/>
    <x v="0"/>
    <x v="0"/>
    <x v="16"/>
    <x v="0"/>
    <x v="0"/>
    <x v="0"/>
    <x v="0"/>
  </r>
  <r>
    <x v="26"/>
    <x v="26"/>
    <x v="49"/>
    <x v="21"/>
    <x v="43"/>
    <x v="42"/>
    <x v="41"/>
    <x v="0"/>
    <x v="18"/>
    <x v="19"/>
    <x v="0"/>
    <x v="0"/>
    <x v="17"/>
    <x v="0"/>
    <x v="0"/>
    <x v="0"/>
    <x v="0"/>
  </r>
  <r>
    <x v="29"/>
    <x v="29"/>
    <x v="50"/>
    <x v="10"/>
    <x v="44"/>
    <x v="43"/>
    <x v="42"/>
    <x v="5"/>
    <x v="19"/>
    <x v="20"/>
    <x v="5"/>
    <x v="5"/>
    <x v="18"/>
    <x v="0"/>
    <x v="1"/>
    <x v="0"/>
    <x v="1"/>
  </r>
  <r>
    <x v="31"/>
    <x v="31"/>
    <x v="51"/>
    <x v="22"/>
    <x v="45"/>
    <x v="44"/>
    <x v="43"/>
    <x v="0"/>
    <x v="20"/>
    <x v="21"/>
    <x v="0"/>
    <x v="0"/>
    <x v="19"/>
    <x v="0"/>
    <x v="0"/>
    <x v="0"/>
    <x v="0"/>
  </r>
  <r>
    <x v="33"/>
    <x v="33"/>
    <x v="52"/>
    <x v="23"/>
    <x v="46"/>
    <x v="45"/>
    <x v="44"/>
    <x v="1"/>
    <x v="1"/>
    <x v="1"/>
    <x v="1"/>
    <x v="1"/>
    <x v="1"/>
    <x v="1"/>
    <x v="0"/>
    <x v="1"/>
    <x v="0"/>
  </r>
  <r>
    <x v="22"/>
    <x v="22"/>
    <x v="53"/>
    <x v="24"/>
    <x v="47"/>
    <x v="46"/>
    <x v="45"/>
    <x v="5"/>
    <x v="21"/>
    <x v="22"/>
    <x v="5"/>
    <x v="5"/>
    <x v="20"/>
    <x v="0"/>
    <x v="1"/>
    <x v="0"/>
    <x v="1"/>
  </r>
  <r>
    <x v="23"/>
    <x v="23"/>
    <x v="54"/>
    <x v="20"/>
    <x v="48"/>
    <x v="47"/>
    <x v="46"/>
    <x v="5"/>
    <x v="22"/>
    <x v="23"/>
    <x v="5"/>
    <x v="5"/>
    <x v="17"/>
    <x v="3"/>
    <x v="0"/>
    <x v="3"/>
    <x v="0"/>
  </r>
  <r>
    <x v="18"/>
    <x v="18"/>
    <x v="20"/>
    <x v="4"/>
    <x v="4"/>
    <x v="4"/>
    <x v="4"/>
    <x v="1"/>
    <x v="1"/>
    <x v="3"/>
    <x v="1"/>
    <x v="1"/>
    <x v="3"/>
    <x v="1"/>
    <x v="0"/>
    <x v="1"/>
    <x v="0"/>
  </r>
  <r>
    <x v="20"/>
    <x v="20"/>
    <x v="31"/>
    <x v="4"/>
    <x v="4"/>
    <x v="4"/>
    <x v="4"/>
    <x v="1"/>
    <x v="1"/>
    <x v="3"/>
    <x v="1"/>
    <x v="1"/>
    <x v="3"/>
    <x v="1"/>
    <x v="0"/>
    <x v="1"/>
    <x v="0"/>
  </r>
  <r>
    <x v="19"/>
    <x v="19"/>
    <x v="55"/>
    <x v="4"/>
    <x v="4"/>
    <x v="4"/>
    <x v="4"/>
    <x v="1"/>
    <x v="1"/>
    <x v="3"/>
    <x v="1"/>
    <x v="1"/>
    <x v="3"/>
    <x v="1"/>
    <x v="0"/>
    <x v="1"/>
    <x v="0"/>
  </r>
  <r>
    <x v="34"/>
    <x v="34"/>
    <x v="56"/>
    <x v="4"/>
    <x v="4"/>
    <x v="4"/>
    <x v="4"/>
    <x v="1"/>
    <x v="1"/>
    <x v="3"/>
    <x v="1"/>
    <x v="1"/>
    <x v="3"/>
    <x v="1"/>
    <x v="0"/>
    <x v="1"/>
    <x v="0"/>
  </r>
  <r>
    <x v="35"/>
    <x v="35"/>
    <x v="57"/>
    <x v="4"/>
    <x v="4"/>
    <x v="4"/>
    <x v="4"/>
    <x v="1"/>
    <x v="1"/>
    <x v="3"/>
    <x v="1"/>
    <x v="1"/>
    <x v="3"/>
    <x v="1"/>
    <x v="0"/>
    <x v="1"/>
    <x v="0"/>
  </r>
  <r>
    <x v="36"/>
    <x v="36"/>
    <x v="58"/>
    <x v="4"/>
    <x v="4"/>
    <x v="4"/>
    <x v="4"/>
    <x v="1"/>
    <x v="1"/>
    <x v="3"/>
    <x v="1"/>
    <x v="1"/>
    <x v="3"/>
    <x v="1"/>
    <x v="0"/>
    <x v="1"/>
    <x v="0"/>
  </r>
  <r>
    <x v="10"/>
    <x v="10"/>
    <x v="14"/>
    <x v="1"/>
    <x v="49"/>
    <x v="48"/>
    <x v="47"/>
    <x v="1"/>
    <x v="1"/>
    <x v="1"/>
    <x v="1"/>
    <x v="1"/>
    <x v="1"/>
    <x v="1"/>
    <x v="0"/>
    <x v="1"/>
    <x v="0"/>
  </r>
  <r>
    <x v="29"/>
    <x v="29"/>
    <x v="59"/>
    <x v="4"/>
    <x v="4"/>
    <x v="4"/>
    <x v="4"/>
    <x v="1"/>
    <x v="1"/>
    <x v="3"/>
    <x v="1"/>
    <x v="1"/>
    <x v="3"/>
    <x v="1"/>
    <x v="0"/>
    <x v="1"/>
    <x v="0"/>
  </r>
  <r>
    <x v="37"/>
    <x v="37"/>
    <x v="60"/>
    <x v="9"/>
    <x v="50"/>
    <x v="49"/>
    <x v="48"/>
    <x v="0"/>
    <x v="23"/>
    <x v="24"/>
    <x v="0"/>
    <x v="0"/>
    <x v="4"/>
    <x v="1"/>
    <x v="1"/>
    <x v="1"/>
    <x v="1"/>
  </r>
  <r>
    <x v="27"/>
    <x v="27"/>
    <x v="61"/>
    <x v="11"/>
    <x v="51"/>
    <x v="24"/>
    <x v="24"/>
    <x v="1"/>
    <x v="1"/>
    <x v="1"/>
    <x v="1"/>
    <x v="1"/>
    <x v="1"/>
    <x v="1"/>
    <x v="0"/>
    <x v="1"/>
    <x v="0"/>
  </r>
  <r>
    <x v="32"/>
    <x v="32"/>
    <x v="62"/>
    <x v="25"/>
    <x v="52"/>
    <x v="50"/>
    <x v="49"/>
    <x v="5"/>
    <x v="24"/>
    <x v="25"/>
    <x v="5"/>
    <x v="5"/>
    <x v="21"/>
    <x v="1"/>
    <x v="5"/>
    <x v="1"/>
    <x v="5"/>
  </r>
  <r>
    <x v="25"/>
    <x v="25"/>
    <x v="31"/>
    <x v="4"/>
    <x v="4"/>
    <x v="4"/>
    <x v="4"/>
    <x v="1"/>
    <x v="1"/>
    <x v="3"/>
    <x v="1"/>
    <x v="1"/>
    <x v="3"/>
    <x v="1"/>
    <x v="0"/>
    <x v="1"/>
    <x v="0"/>
  </r>
  <r>
    <x v="38"/>
    <x v="38"/>
    <x v="31"/>
    <x v="4"/>
    <x v="4"/>
    <x v="4"/>
    <x v="4"/>
    <x v="1"/>
    <x v="1"/>
    <x v="3"/>
    <x v="1"/>
    <x v="1"/>
    <x v="3"/>
    <x v="1"/>
    <x v="0"/>
    <x v="1"/>
    <x v="0"/>
  </r>
  <r>
    <x v="9"/>
    <x v="9"/>
    <x v="63"/>
    <x v="3"/>
    <x v="53"/>
    <x v="51"/>
    <x v="50"/>
    <x v="1"/>
    <x v="1"/>
    <x v="1"/>
    <x v="1"/>
    <x v="1"/>
    <x v="1"/>
    <x v="1"/>
    <x v="0"/>
    <x v="1"/>
    <x v="0"/>
  </r>
  <r>
    <x v="11"/>
    <x v="11"/>
    <x v="64"/>
    <x v="11"/>
    <x v="54"/>
    <x v="38"/>
    <x v="38"/>
    <x v="1"/>
    <x v="1"/>
    <x v="1"/>
    <x v="1"/>
    <x v="1"/>
    <x v="1"/>
    <x v="1"/>
    <x v="0"/>
    <x v="1"/>
    <x v="0"/>
  </r>
  <r>
    <x v="15"/>
    <x v="15"/>
    <x v="23"/>
    <x v="4"/>
    <x v="4"/>
    <x v="4"/>
    <x v="4"/>
    <x v="1"/>
    <x v="1"/>
    <x v="3"/>
    <x v="1"/>
    <x v="1"/>
    <x v="3"/>
    <x v="1"/>
    <x v="0"/>
    <x v="1"/>
    <x v="0"/>
  </r>
  <r>
    <x v="17"/>
    <x v="17"/>
    <x v="65"/>
    <x v="3"/>
    <x v="55"/>
    <x v="52"/>
    <x v="51"/>
    <x v="1"/>
    <x v="1"/>
    <x v="1"/>
    <x v="1"/>
    <x v="1"/>
    <x v="1"/>
    <x v="1"/>
    <x v="0"/>
    <x v="1"/>
    <x v="0"/>
  </r>
  <r>
    <x v="26"/>
    <x v="26"/>
    <x v="66"/>
    <x v="11"/>
    <x v="56"/>
    <x v="51"/>
    <x v="52"/>
    <x v="1"/>
    <x v="1"/>
    <x v="1"/>
    <x v="1"/>
    <x v="1"/>
    <x v="1"/>
    <x v="1"/>
    <x v="0"/>
    <x v="1"/>
    <x v="0"/>
  </r>
  <r>
    <x v="38"/>
    <x v="38"/>
    <x v="67"/>
    <x v="3"/>
    <x v="57"/>
    <x v="27"/>
    <x v="53"/>
    <x v="1"/>
    <x v="1"/>
    <x v="1"/>
    <x v="1"/>
    <x v="1"/>
    <x v="1"/>
    <x v="1"/>
    <x v="0"/>
    <x v="1"/>
    <x v="0"/>
  </r>
  <r>
    <x v="33"/>
    <x v="33"/>
    <x v="68"/>
    <x v="3"/>
    <x v="58"/>
    <x v="53"/>
    <x v="54"/>
    <x v="1"/>
    <x v="1"/>
    <x v="1"/>
    <x v="1"/>
    <x v="1"/>
    <x v="1"/>
    <x v="1"/>
    <x v="0"/>
    <x v="1"/>
    <x v="0"/>
  </r>
  <r>
    <x v="23"/>
    <x v="23"/>
    <x v="56"/>
    <x v="11"/>
    <x v="59"/>
    <x v="54"/>
    <x v="55"/>
    <x v="1"/>
    <x v="1"/>
    <x v="1"/>
    <x v="1"/>
    <x v="1"/>
    <x v="1"/>
    <x v="1"/>
    <x v="0"/>
    <x v="1"/>
    <x v="0"/>
  </r>
  <r>
    <x v="39"/>
    <x v="39"/>
    <x v="69"/>
    <x v="11"/>
    <x v="60"/>
    <x v="43"/>
    <x v="56"/>
    <x v="1"/>
    <x v="1"/>
    <x v="1"/>
    <x v="1"/>
    <x v="1"/>
    <x v="1"/>
    <x v="1"/>
    <x v="0"/>
    <x v="1"/>
    <x v="0"/>
  </r>
  <r>
    <x v="40"/>
    <x v="40"/>
    <x v="70"/>
    <x v="4"/>
    <x v="4"/>
    <x v="4"/>
    <x v="4"/>
    <x v="1"/>
    <x v="1"/>
    <x v="3"/>
    <x v="1"/>
    <x v="1"/>
    <x v="3"/>
    <x v="1"/>
    <x v="0"/>
    <x v="1"/>
    <x v="0"/>
  </r>
  <r>
    <x v="41"/>
    <x v="41"/>
    <x v="71"/>
    <x v="25"/>
    <x v="61"/>
    <x v="55"/>
    <x v="57"/>
    <x v="1"/>
    <x v="1"/>
    <x v="1"/>
    <x v="1"/>
    <x v="1"/>
    <x v="1"/>
    <x v="1"/>
    <x v="0"/>
    <x v="1"/>
    <x v="0"/>
  </r>
  <r>
    <x v="39"/>
    <x v="39"/>
    <x v="72"/>
    <x v="6"/>
    <x v="62"/>
    <x v="56"/>
    <x v="58"/>
    <x v="7"/>
    <x v="25"/>
    <x v="26"/>
    <x v="6"/>
    <x v="7"/>
    <x v="22"/>
    <x v="4"/>
    <x v="3"/>
    <x v="4"/>
    <x v="3"/>
  </r>
  <r>
    <x v="40"/>
    <x v="40"/>
    <x v="73"/>
    <x v="26"/>
    <x v="63"/>
    <x v="57"/>
    <x v="59"/>
    <x v="0"/>
    <x v="26"/>
    <x v="27"/>
    <x v="0"/>
    <x v="0"/>
    <x v="23"/>
    <x v="1"/>
    <x v="1"/>
    <x v="1"/>
    <x v="1"/>
  </r>
  <r>
    <x v="42"/>
    <x v="42"/>
    <x v="74"/>
    <x v="3"/>
    <x v="64"/>
    <x v="58"/>
    <x v="60"/>
    <x v="1"/>
    <x v="1"/>
    <x v="1"/>
    <x v="1"/>
    <x v="1"/>
    <x v="1"/>
    <x v="1"/>
    <x v="0"/>
    <x v="1"/>
    <x v="0"/>
  </r>
  <r>
    <x v="42"/>
    <x v="42"/>
    <x v="75"/>
    <x v="25"/>
    <x v="65"/>
    <x v="59"/>
    <x v="61"/>
    <x v="8"/>
    <x v="27"/>
    <x v="28"/>
    <x v="7"/>
    <x v="8"/>
    <x v="16"/>
    <x v="0"/>
    <x v="5"/>
    <x v="0"/>
    <x v="5"/>
  </r>
  <r>
    <x v="43"/>
    <x v="43"/>
    <x v="76"/>
    <x v="21"/>
    <x v="66"/>
    <x v="60"/>
    <x v="62"/>
    <x v="5"/>
    <x v="28"/>
    <x v="29"/>
    <x v="5"/>
    <x v="5"/>
    <x v="15"/>
    <x v="0"/>
    <x v="1"/>
    <x v="0"/>
    <x v="1"/>
  </r>
  <r>
    <x v="44"/>
    <x v="44"/>
    <x v="77"/>
    <x v="1"/>
    <x v="67"/>
    <x v="61"/>
    <x v="63"/>
    <x v="1"/>
    <x v="1"/>
    <x v="1"/>
    <x v="1"/>
    <x v="1"/>
    <x v="1"/>
    <x v="1"/>
    <x v="0"/>
    <x v="1"/>
    <x v="0"/>
  </r>
  <r>
    <x v="45"/>
    <x v="45"/>
    <x v="78"/>
    <x v="15"/>
    <x v="68"/>
    <x v="62"/>
    <x v="64"/>
    <x v="1"/>
    <x v="1"/>
    <x v="1"/>
    <x v="1"/>
    <x v="1"/>
    <x v="1"/>
    <x v="1"/>
    <x v="0"/>
    <x v="1"/>
    <x v="0"/>
  </r>
  <r>
    <x v="46"/>
    <x v="46"/>
    <x v="79"/>
    <x v="1"/>
    <x v="69"/>
    <x v="63"/>
    <x v="65"/>
    <x v="0"/>
    <x v="29"/>
    <x v="30"/>
    <x v="0"/>
    <x v="0"/>
    <x v="13"/>
    <x v="1"/>
    <x v="1"/>
    <x v="1"/>
    <x v="1"/>
  </r>
  <r>
    <x v="47"/>
    <x v="47"/>
    <x v="80"/>
    <x v="13"/>
    <x v="70"/>
    <x v="64"/>
    <x v="66"/>
    <x v="0"/>
    <x v="30"/>
    <x v="31"/>
    <x v="0"/>
    <x v="0"/>
    <x v="8"/>
    <x v="1"/>
    <x v="1"/>
    <x v="1"/>
    <x v="1"/>
  </r>
  <r>
    <x v="48"/>
    <x v="48"/>
    <x v="81"/>
    <x v="14"/>
    <x v="71"/>
    <x v="23"/>
    <x v="67"/>
    <x v="1"/>
    <x v="1"/>
    <x v="1"/>
    <x v="1"/>
    <x v="1"/>
    <x v="1"/>
    <x v="1"/>
    <x v="0"/>
    <x v="1"/>
    <x v="0"/>
  </r>
  <r>
    <x v="49"/>
    <x v="49"/>
    <x v="82"/>
    <x v="14"/>
    <x v="72"/>
    <x v="65"/>
    <x v="68"/>
    <x v="0"/>
    <x v="31"/>
    <x v="32"/>
    <x v="0"/>
    <x v="0"/>
    <x v="24"/>
    <x v="1"/>
    <x v="1"/>
    <x v="1"/>
    <x v="1"/>
  </r>
  <r>
    <x v="47"/>
    <x v="47"/>
    <x v="83"/>
    <x v="8"/>
    <x v="73"/>
    <x v="66"/>
    <x v="69"/>
    <x v="8"/>
    <x v="32"/>
    <x v="33"/>
    <x v="7"/>
    <x v="8"/>
    <x v="25"/>
    <x v="1"/>
    <x v="6"/>
    <x v="1"/>
    <x v="6"/>
  </r>
  <r>
    <x v="45"/>
    <x v="45"/>
    <x v="84"/>
    <x v="27"/>
    <x v="74"/>
    <x v="67"/>
    <x v="70"/>
    <x v="5"/>
    <x v="33"/>
    <x v="34"/>
    <x v="5"/>
    <x v="5"/>
    <x v="26"/>
    <x v="3"/>
    <x v="0"/>
    <x v="3"/>
    <x v="0"/>
  </r>
  <r>
    <x v="50"/>
    <x v="50"/>
    <x v="85"/>
    <x v="13"/>
    <x v="75"/>
    <x v="58"/>
    <x v="71"/>
    <x v="1"/>
    <x v="1"/>
    <x v="1"/>
    <x v="1"/>
    <x v="1"/>
    <x v="1"/>
    <x v="1"/>
    <x v="0"/>
    <x v="1"/>
    <x v="0"/>
  </r>
  <r>
    <x v="39"/>
    <x v="39"/>
    <x v="86"/>
    <x v="11"/>
    <x v="76"/>
    <x v="68"/>
    <x v="6"/>
    <x v="1"/>
    <x v="1"/>
    <x v="1"/>
    <x v="1"/>
    <x v="1"/>
    <x v="1"/>
    <x v="1"/>
    <x v="0"/>
    <x v="1"/>
    <x v="0"/>
  </r>
  <r>
    <x v="43"/>
    <x v="43"/>
    <x v="87"/>
    <x v="5"/>
    <x v="77"/>
    <x v="69"/>
    <x v="72"/>
    <x v="1"/>
    <x v="1"/>
    <x v="1"/>
    <x v="1"/>
    <x v="1"/>
    <x v="1"/>
    <x v="1"/>
    <x v="0"/>
    <x v="1"/>
    <x v="0"/>
  </r>
  <r>
    <x v="51"/>
    <x v="51"/>
    <x v="88"/>
    <x v="11"/>
    <x v="78"/>
    <x v="70"/>
    <x v="73"/>
    <x v="0"/>
    <x v="34"/>
    <x v="35"/>
    <x v="0"/>
    <x v="0"/>
    <x v="16"/>
    <x v="1"/>
    <x v="1"/>
    <x v="1"/>
    <x v="1"/>
  </r>
  <r>
    <x v="52"/>
    <x v="52"/>
    <x v="89"/>
    <x v="13"/>
    <x v="79"/>
    <x v="71"/>
    <x v="74"/>
    <x v="1"/>
    <x v="1"/>
    <x v="1"/>
    <x v="1"/>
    <x v="1"/>
    <x v="1"/>
    <x v="1"/>
    <x v="0"/>
    <x v="1"/>
    <x v="0"/>
  </r>
  <r>
    <x v="26"/>
    <x v="26"/>
    <x v="90"/>
    <x v="13"/>
    <x v="80"/>
    <x v="72"/>
    <x v="75"/>
    <x v="1"/>
    <x v="1"/>
    <x v="1"/>
    <x v="1"/>
    <x v="1"/>
    <x v="1"/>
    <x v="1"/>
    <x v="0"/>
    <x v="1"/>
    <x v="0"/>
  </r>
  <r>
    <x v="31"/>
    <x v="31"/>
    <x v="91"/>
    <x v="5"/>
    <x v="81"/>
    <x v="73"/>
    <x v="76"/>
    <x v="1"/>
    <x v="1"/>
    <x v="1"/>
    <x v="1"/>
    <x v="1"/>
    <x v="1"/>
    <x v="1"/>
    <x v="0"/>
    <x v="1"/>
    <x v="0"/>
  </r>
  <r>
    <x v="24"/>
    <x v="24"/>
    <x v="92"/>
    <x v="27"/>
    <x v="82"/>
    <x v="1"/>
    <x v="77"/>
    <x v="0"/>
    <x v="35"/>
    <x v="36"/>
    <x v="0"/>
    <x v="0"/>
    <x v="20"/>
    <x v="0"/>
    <x v="0"/>
    <x v="0"/>
    <x v="0"/>
  </r>
  <r>
    <x v="27"/>
    <x v="27"/>
    <x v="93"/>
    <x v="13"/>
    <x v="83"/>
    <x v="74"/>
    <x v="78"/>
    <x v="0"/>
    <x v="36"/>
    <x v="37"/>
    <x v="0"/>
    <x v="0"/>
    <x v="8"/>
    <x v="0"/>
    <x v="0"/>
    <x v="0"/>
    <x v="0"/>
  </r>
  <r>
    <x v="37"/>
    <x v="37"/>
    <x v="94"/>
    <x v="13"/>
    <x v="84"/>
    <x v="75"/>
    <x v="79"/>
    <x v="0"/>
    <x v="37"/>
    <x v="38"/>
    <x v="0"/>
    <x v="0"/>
    <x v="8"/>
    <x v="1"/>
    <x v="1"/>
    <x v="1"/>
    <x v="1"/>
  </r>
  <r>
    <x v="22"/>
    <x v="22"/>
    <x v="95"/>
    <x v="13"/>
    <x v="85"/>
    <x v="76"/>
    <x v="1"/>
    <x v="1"/>
    <x v="1"/>
    <x v="1"/>
    <x v="1"/>
    <x v="1"/>
    <x v="1"/>
    <x v="1"/>
    <x v="0"/>
    <x v="1"/>
    <x v="0"/>
  </r>
  <r>
    <x v="23"/>
    <x v="23"/>
    <x v="3"/>
    <x v="21"/>
    <x v="86"/>
    <x v="77"/>
    <x v="80"/>
    <x v="1"/>
    <x v="1"/>
    <x v="1"/>
    <x v="1"/>
    <x v="1"/>
    <x v="1"/>
    <x v="1"/>
    <x v="0"/>
    <x v="1"/>
    <x v="0"/>
  </r>
  <r>
    <x v="24"/>
    <x v="24"/>
    <x v="96"/>
    <x v="2"/>
    <x v="87"/>
    <x v="78"/>
    <x v="81"/>
    <x v="0"/>
    <x v="38"/>
    <x v="39"/>
    <x v="0"/>
    <x v="0"/>
    <x v="2"/>
    <x v="1"/>
    <x v="1"/>
    <x v="1"/>
    <x v="1"/>
  </r>
  <r>
    <x v="53"/>
    <x v="53"/>
    <x v="97"/>
    <x v="5"/>
    <x v="88"/>
    <x v="79"/>
    <x v="82"/>
    <x v="1"/>
    <x v="1"/>
    <x v="1"/>
    <x v="1"/>
    <x v="1"/>
    <x v="1"/>
    <x v="1"/>
    <x v="0"/>
    <x v="1"/>
    <x v="0"/>
  </r>
  <r>
    <x v="49"/>
    <x v="49"/>
    <x v="58"/>
    <x v="4"/>
    <x v="4"/>
    <x v="4"/>
    <x v="4"/>
    <x v="1"/>
    <x v="1"/>
    <x v="3"/>
    <x v="1"/>
    <x v="1"/>
    <x v="3"/>
    <x v="1"/>
    <x v="0"/>
    <x v="1"/>
    <x v="0"/>
  </r>
  <r>
    <x v="47"/>
    <x v="47"/>
    <x v="98"/>
    <x v="5"/>
    <x v="89"/>
    <x v="80"/>
    <x v="83"/>
    <x v="1"/>
    <x v="1"/>
    <x v="1"/>
    <x v="1"/>
    <x v="1"/>
    <x v="1"/>
    <x v="1"/>
    <x v="0"/>
    <x v="1"/>
    <x v="0"/>
  </r>
  <r>
    <x v="54"/>
    <x v="54"/>
    <x v="99"/>
    <x v="3"/>
    <x v="90"/>
    <x v="81"/>
    <x v="84"/>
    <x v="1"/>
    <x v="1"/>
    <x v="1"/>
    <x v="1"/>
    <x v="1"/>
    <x v="1"/>
    <x v="1"/>
    <x v="0"/>
    <x v="1"/>
    <x v="0"/>
  </r>
  <r>
    <x v="2"/>
    <x v="2"/>
    <x v="100"/>
    <x v="4"/>
    <x v="4"/>
    <x v="4"/>
    <x v="4"/>
    <x v="1"/>
    <x v="1"/>
    <x v="3"/>
    <x v="1"/>
    <x v="1"/>
    <x v="3"/>
    <x v="1"/>
    <x v="0"/>
    <x v="1"/>
    <x v="0"/>
  </r>
  <r>
    <x v="3"/>
    <x v="3"/>
    <x v="101"/>
    <x v="4"/>
    <x v="4"/>
    <x v="4"/>
    <x v="4"/>
    <x v="1"/>
    <x v="1"/>
    <x v="3"/>
    <x v="1"/>
    <x v="1"/>
    <x v="3"/>
    <x v="1"/>
    <x v="0"/>
    <x v="1"/>
    <x v="0"/>
  </r>
  <r>
    <x v="1"/>
    <x v="1"/>
    <x v="102"/>
    <x v="5"/>
    <x v="91"/>
    <x v="24"/>
    <x v="85"/>
    <x v="1"/>
    <x v="1"/>
    <x v="1"/>
    <x v="1"/>
    <x v="1"/>
    <x v="1"/>
    <x v="1"/>
    <x v="0"/>
    <x v="1"/>
    <x v="0"/>
  </r>
  <r>
    <x v="6"/>
    <x v="6"/>
    <x v="103"/>
    <x v="3"/>
    <x v="92"/>
    <x v="82"/>
    <x v="86"/>
    <x v="1"/>
    <x v="1"/>
    <x v="1"/>
    <x v="1"/>
    <x v="1"/>
    <x v="1"/>
    <x v="1"/>
    <x v="0"/>
    <x v="1"/>
    <x v="0"/>
  </r>
  <r>
    <x v="7"/>
    <x v="7"/>
    <x v="104"/>
    <x v="13"/>
    <x v="93"/>
    <x v="83"/>
    <x v="87"/>
    <x v="1"/>
    <x v="1"/>
    <x v="1"/>
    <x v="1"/>
    <x v="1"/>
    <x v="1"/>
    <x v="1"/>
    <x v="0"/>
    <x v="1"/>
    <x v="0"/>
  </r>
  <r>
    <x v="0"/>
    <x v="0"/>
    <x v="105"/>
    <x v="12"/>
    <x v="94"/>
    <x v="84"/>
    <x v="88"/>
    <x v="1"/>
    <x v="1"/>
    <x v="1"/>
    <x v="1"/>
    <x v="1"/>
    <x v="1"/>
    <x v="1"/>
    <x v="0"/>
    <x v="1"/>
    <x v="0"/>
  </r>
  <r>
    <x v="55"/>
    <x v="55"/>
    <x v="106"/>
    <x v="25"/>
    <x v="95"/>
    <x v="85"/>
    <x v="89"/>
    <x v="0"/>
    <x v="39"/>
    <x v="40"/>
    <x v="0"/>
    <x v="0"/>
    <x v="26"/>
    <x v="0"/>
    <x v="0"/>
    <x v="0"/>
    <x v="0"/>
  </r>
  <r>
    <x v="56"/>
    <x v="56"/>
    <x v="107"/>
    <x v="4"/>
    <x v="4"/>
    <x v="4"/>
    <x v="4"/>
    <x v="1"/>
    <x v="1"/>
    <x v="3"/>
    <x v="1"/>
    <x v="1"/>
    <x v="3"/>
    <x v="1"/>
    <x v="0"/>
    <x v="1"/>
    <x v="0"/>
  </r>
  <r>
    <x v="2"/>
    <x v="2"/>
    <x v="74"/>
    <x v="3"/>
    <x v="64"/>
    <x v="86"/>
    <x v="90"/>
    <x v="1"/>
    <x v="1"/>
    <x v="1"/>
    <x v="1"/>
    <x v="1"/>
    <x v="1"/>
    <x v="1"/>
    <x v="0"/>
    <x v="1"/>
    <x v="0"/>
  </r>
  <r>
    <x v="2"/>
    <x v="2"/>
    <x v="108"/>
    <x v="11"/>
    <x v="96"/>
    <x v="87"/>
    <x v="91"/>
    <x v="0"/>
    <x v="40"/>
    <x v="41"/>
    <x v="0"/>
    <x v="0"/>
    <x v="16"/>
    <x v="0"/>
    <x v="0"/>
    <x v="0"/>
    <x v="0"/>
  </r>
  <r>
    <x v="3"/>
    <x v="3"/>
    <x v="109"/>
    <x v="3"/>
    <x v="97"/>
    <x v="88"/>
    <x v="92"/>
    <x v="1"/>
    <x v="1"/>
    <x v="1"/>
    <x v="1"/>
    <x v="1"/>
    <x v="1"/>
    <x v="1"/>
    <x v="0"/>
    <x v="1"/>
    <x v="0"/>
  </r>
  <r>
    <x v="57"/>
    <x v="57"/>
    <x v="110"/>
    <x v="3"/>
    <x v="98"/>
    <x v="36"/>
    <x v="20"/>
    <x v="1"/>
    <x v="1"/>
    <x v="1"/>
    <x v="1"/>
    <x v="1"/>
    <x v="1"/>
    <x v="1"/>
    <x v="0"/>
    <x v="1"/>
    <x v="0"/>
  </r>
  <r>
    <x v="39"/>
    <x v="39"/>
    <x v="6"/>
    <x v="2"/>
    <x v="99"/>
    <x v="89"/>
    <x v="93"/>
    <x v="0"/>
    <x v="41"/>
    <x v="42"/>
    <x v="0"/>
    <x v="0"/>
    <x v="2"/>
    <x v="1"/>
    <x v="1"/>
    <x v="1"/>
    <x v="1"/>
  </r>
  <r>
    <x v="46"/>
    <x v="46"/>
    <x v="32"/>
    <x v="4"/>
    <x v="4"/>
    <x v="4"/>
    <x v="4"/>
    <x v="1"/>
    <x v="1"/>
    <x v="3"/>
    <x v="1"/>
    <x v="1"/>
    <x v="3"/>
    <x v="1"/>
    <x v="0"/>
    <x v="1"/>
    <x v="0"/>
  </r>
  <r>
    <x v="44"/>
    <x v="44"/>
    <x v="31"/>
    <x v="4"/>
    <x v="4"/>
    <x v="4"/>
    <x v="4"/>
    <x v="1"/>
    <x v="1"/>
    <x v="3"/>
    <x v="1"/>
    <x v="1"/>
    <x v="3"/>
    <x v="1"/>
    <x v="0"/>
    <x v="1"/>
    <x v="0"/>
  </r>
  <r>
    <x v="44"/>
    <x v="44"/>
    <x v="111"/>
    <x v="4"/>
    <x v="4"/>
    <x v="4"/>
    <x v="4"/>
    <x v="1"/>
    <x v="1"/>
    <x v="3"/>
    <x v="1"/>
    <x v="1"/>
    <x v="3"/>
    <x v="1"/>
    <x v="0"/>
    <x v="1"/>
    <x v="0"/>
  </r>
  <r>
    <x v="45"/>
    <x v="45"/>
    <x v="112"/>
    <x v="13"/>
    <x v="100"/>
    <x v="90"/>
    <x v="94"/>
    <x v="1"/>
    <x v="1"/>
    <x v="1"/>
    <x v="1"/>
    <x v="1"/>
    <x v="1"/>
    <x v="1"/>
    <x v="0"/>
    <x v="1"/>
    <x v="0"/>
  </r>
  <r>
    <x v="50"/>
    <x v="50"/>
    <x v="113"/>
    <x v="5"/>
    <x v="101"/>
    <x v="91"/>
    <x v="95"/>
    <x v="1"/>
    <x v="1"/>
    <x v="1"/>
    <x v="1"/>
    <x v="1"/>
    <x v="1"/>
    <x v="1"/>
    <x v="0"/>
    <x v="1"/>
    <x v="0"/>
  </r>
  <r>
    <x v="39"/>
    <x v="39"/>
    <x v="114"/>
    <x v="5"/>
    <x v="102"/>
    <x v="86"/>
    <x v="96"/>
    <x v="1"/>
    <x v="1"/>
    <x v="1"/>
    <x v="1"/>
    <x v="1"/>
    <x v="1"/>
    <x v="1"/>
    <x v="0"/>
    <x v="1"/>
    <x v="0"/>
  </r>
  <r>
    <x v="40"/>
    <x v="40"/>
    <x v="21"/>
    <x v="4"/>
    <x v="4"/>
    <x v="4"/>
    <x v="4"/>
    <x v="1"/>
    <x v="1"/>
    <x v="3"/>
    <x v="1"/>
    <x v="1"/>
    <x v="3"/>
    <x v="1"/>
    <x v="0"/>
    <x v="1"/>
    <x v="0"/>
  </r>
  <r>
    <x v="29"/>
    <x v="29"/>
    <x v="115"/>
    <x v="15"/>
    <x v="103"/>
    <x v="92"/>
    <x v="97"/>
    <x v="1"/>
    <x v="1"/>
    <x v="1"/>
    <x v="1"/>
    <x v="1"/>
    <x v="1"/>
    <x v="1"/>
    <x v="0"/>
    <x v="1"/>
    <x v="0"/>
  </r>
  <r>
    <x v="31"/>
    <x v="31"/>
    <x v="116"/>
    <x v="1"/>
    <x v="104"/>
    <x v="10"/>
    <x v="98"/>
    <x v="1"/>
    <x v="1"/>
    <x v="1"/>
    <x v="1"/>
    <x v="1"/>
    <x v="1"/>
    <x v="1"/>
    <x v="0"/>
    <x v="1"/>
    <x v="0"/>
  </r>
  <r>
    <x v="47"/>
    <x v="47"/>
    <x v="117"/>
    <x v="1"/>
    <x v="105"/>
    <x v="93"/>
    <x v="99"/>
    <x v="1"/>
    <x v="1"/>
    <x v="1"/>
    <x v="1"/>
    <x v="1"/>
    <x v="1"/>
    <x v="1"/>
    <x v="0"/>
    <x v="1"/>
    <x v="0"/>
  </r>
  <r>
    <x v="49"/>
    <x v="49"/>
    <x v="118"/>
    <x v="4"/>
    <x v="4"/>
    <x v="4"/>
    <x v="4"/>
    <x v="1"/>
    <x v="1"/>
    <x v="3"/>
    <x v="1"/>
    <x v="1"/>
    <x v="3"/>
    <x v="1"/>
    <x v="0"/>
    <x v="1"/>
    <x v="0"/>
  </r>
  <r>
    <x v="54"/>
    <x v="54"/>
    <x v="119"/>
    <x v="11"/>
    <x v="106"/>
    <x v="94"/>
    <x v="100"/>
    <x v="1"/>
    <x v="1"/>
    <x v="1"/>
    <x v="1"/>
    <x v="1"/>
    <x v="1"/>
    <x v="1"/>
    <x v="0"/>
    <x v="1"/>
    <x v="0"/>
  </r>
  <r>
    <x v="6"/>
    <x v="6"/>
    <x v="120"/>
    <x v="4"/>
    <x v="4"/>
    <x v="4"/>
    <x v="4"/>
    <x v="1"/>
    <x v="1"/>
    <x v="3"/>
    <x v="1"/>
    <x v="1"/>
    <x v="3"/>
    <x v="1"/>
    <x v="0"/>
    <x v="1"/>
    <x v="0"/>
  </r>
  <r>
    <x v="21"/>
    <x v="21"/>
    <x v="121"/>
    <x v="3"/>
    <x v="107"/>
    <x v="69"/>
    <x v="101"/>
    <x v="1"/>
    <x v="1"/>
    <x v="1"/>
    <x v="1"/>
    <x v="1"/>
    <x v="1"/>
    <x v="1"/>
    <x v="0"/>
    <x v="1"/>
    <x v="0"/>
  </r>
  <r>
    <x v="33"/>
    <x v="33"/>
    <x v="122"/>
    <x v="3"/>
    <x v="108"/>
    <x v="51"/>
    <x v="50"/>
    <x v="1"/>
    <x v="1"/>
    <x v="1"/>
    <x v="1"/>
    <x v="1"/>
    <x v="1"/>
    <x v="1"/>
    <x v="0"/>
    <x v="1"/>
    <x v="0"/>
  </r>
  <r>
    <x v="58"/>
    <x v="58"/>
    <x v="123"/>
    <x v="3"/>
    <x v="109"/>
    <x v="95"/>
    <x v="102"/>
    <x v="1"/>
    <x v="1"/>
    <x v="1"/>
    <x v="1"/>
    <x v="1"/>
    <x v="1"/>
    <x v="1"/>
    <x v="0"/>
    <x v="1"/>
    <x v="0"/>
  </r>
  <r>
    <x v="38"/>
    <x v="38"/>
    <x v="124"/>
    <x v="3"/>
    <x v="110"/>
    <x v="96"/>
    <x v="103"/>
    <x v="1"/>
    <x v="1"/>
    <x v="1"/>
    <x v="1"/>
    <x v="1"/>
    <x v="1"/>
    <x v="1"/>
    <x v="0"/>
    <x v="1"/>
    <x v="0"/>
  </r>
  <r>
    <x v="0"/>
    <x v="0"/>
    <x v="125"/>
    <x v="4"/>
    <x v="4"/>
    <x v="4"/>
    <x v="4"/>
    <x v="1"/>
    <x v="1"/>
    <x v="3"/>
    <x v="1"/>
    <x v="1"/>
    <x v="3"/>
    <x v="1"/>
    <x v="0"/>
    <x v="1"/>
    <x v="0"/>
  </r>
  <r>
    <x v="51"/>
    <x v="51"/>
    <x v="126"/>
    <x v="4"/>
    <x v="4"/>
    <x v="4"/>
    <x v="4"/>
    <x v="1"/>
    <x v="1"/>
    <x v="3"/>
    <x v="1"/>
    <x v="1"/>
    <x v="3"/>
    <x v="1"/>
    <x v="0"/>
    <x v="1"/>
    <x v="0"/>
  </r>
  <r>
    <x v="42"/>
    <x v="42"/>
    <x v="127"/>
    <x v="3"/>
    <x v="111"/>
    <x v="86"/>
    <x v="90"/>
    <x v="1"/>
    <x v="1"/>
    <x v="1"/>
    <x v="1"/>
    <x v="1"/>
    <x v="1"/>
    <x v="1"/>
    <x v="0"/>
    <x v="1"/>
    <x v="0"/>
  </r>
  <r>
    <x v="59"/>
    <x v="59"/>
    <x v="128"/>
    <x v="3"/>
    <x v="112"/>
    <x v="97"/>
    <x v="104"/>
    <x v="5"/>
    <x v="42"/>
    <x v="43"/>
    <x v="5"/>
    <x v="5"/>
    <x v="27"/>
    <x v="1"/>
    <x v="5"/>
    <x v="1"/>
    <x v="5"/>
  </r>
  <r>
    <x v="26"/>
    <x v="26"/>
    <x v="129"/>
    <x v="4"/>
    <x v="4"/>
    <x v="4"/>
    <x v="4"/>
    <x v="1"/>
    <x v="1"/>
    <x v="3"/>
    <x v="1"/>
    <x v="1"/>
    <x v="3"/>
    <x v="1"/>
    <x v="0"/>
    <x v="1"/>
    <x v="0"/>
  </r>
  <r>
    <x v="38"/>
    <x v="38"/>
    <x v="111"/>
    <x v="4"/>
    <x v="4"/>
    <x v="4"/>
    <x v="4"/>
    <x v="1"/>
    <x v="1"/>
    <x v="3"/>
    <x v="1"/>
    <x v="1"/>
    <x v="3"/>
    <x v="1"/>
    <x v="0"/>
    <x v="1"/>
    <x v="0"/>
  </r>
  <r>
    <x v="60"/>
    <x v="60"/>
    <x v="55"/>
    <x v="4"/>
    <x v="4"/>
    <x v="4"/>
    <x v="4"/>
    <x v="1"/>
    <x v="1"/>
    <x v="3"/>
    <x v="1"/>
    <x v="1"/>
    <x v="3"/>
    <x v="1"/>
    <x v="0"/>
    <x v="1"/>
    <x v="0"/>
  </r>
  <r>
    <x v="2"/>
    <x v="2"/>
    <x v="130"/>
    <x v="3"/>
    <x v="49"/>
    <x v="86"/>
    <x v="90"/>
    <x v="1"/>
    <x v="1"/>
    <x v="1"/>
    <x v="1"/>
    <x v="1"/>
    <x v="1"/>
    <x v="1"/>
    <x v="0"/>
    <x v="1"/>
    <x v="0"/>
  </r>
  <r>
    <x v="57"/>
    <x v="57"/>
    <x v="111"/>
    <x v="4"/>
    <x v="4"/>
    <x v="4"/>
    <x v="4"/>
    <x v="1"/>
    <x v="1"/>
    <x v="3"/>
    <x v="1"/>
    <x v="1"/>
    <x v="3"/>
    <x v="1"/>
    <x v="0"/>
    <x v="1"/>
    <x v="0"/>
  </r>
  <r>
    <x v="1"/>
    <x v="1"/>
    <x v="80"/>
    <x v="5"/>
    <x v="113"/>
    <x v="82"/>
    <x v="105"/>
    <x v="9"/>
    <x v="43"/>
    <x v="44"/>
    <x v="0"/>
    <x v="0"/>
    <x v="28"/>
    <x v="0"/>
    <x v="0"/>
    <x v="5"/>
    <x v="0"/>
  </r>
  <r>
    <x v="25"/>
    <x v="25"/>
    <x v="131"/>
    <x v="4"/>
    <x v="4"/>
    <x v="4"/>
    <x v="4"/>
    <x v="1"/>
    <x v="1"/>
    <x v="3"/>
    <x v="1"/>
    <x v="1"/>
    <x v="3"/>
    <x v="1"/>
    <x v="0"/>
    <x v="1"/>
    <x v="0"/>
  </r>
  <r>
    <x v="32"/>
    <x v="32"/>
    <x v="132"/>
    <x v="0"/>
    <x v="114"/>
    <x v="98"/>
    <x v="106"/>
    <x v="5"/>
    <x v="44"/>
    <x v="45"/>
    <x v="5"/>
    <x v="5"/>
    <x v="8"/>
    <x v="1"/>
    <x v="5"/>
    <x v="1"/>
    <x v="5"/>
  </r>
  <r>
    <x v="28"/>
    <x v="28"/>
    <x v="133"/>
    <x v="15"/>
    <x v="115"/>
    <x v="92"/>
    <x v="97"/>
    <x v="1"/>
    <x v="1"/>
    <x v="1"/>
    <x v="1"/>
    <x v="1"/>
    <x v="1"/>
    <x v="1"/>
    <x v="0"/>
    <x v="1"/>
    <x v="0"/>
  </r>
  <r>
    <x v="61"/>
    <x v="61"/>
    <x v="134"/>
    <x v="3"/>
    <x v="116"/>
    <x v="99"/>
    <x v="107"/>
    <x v="1"/>
    <x v="1"/>
    <x v="1"/>
    <x v="1"/>
    <x v="1"/>
    <x v="1"/>
    <x v="1"/>
    <x v="0"/>
    <x v="1"/>
    <x v="0"/>
  </r>
  <r>
    <x v="62"/>
    <x v="62"/>
    <x v="135"/>
    <x v="5"/>
    <x v="117"/>
    <x v="69"/>
    <x v="72"/>
    <x v="1"/>
    <x v="1"/>
    <x v="1"/>
    <x v="1"/>
    <x v="1"/>
    <x v="1"/>
    <x v="1"/>
    <x v="0"/>
    <x v="1"/>
    <x v="0"/>
  </r>
  <r>
    <x v="27"/>
    <x v="27"/>
    <x v="136"/>
    <x v="13"/>
    <x v="118"/>
    <x v="100"/>
    <x v="108"/>
    <x v="0"/>
    <x v="45"/>
    <x v="46"/>
    <x v="0"/>
    <x v="0"/>
    <x v="8"/>
    <x v="0"/>
    <x v="0"/>
    <x v="0"/>
    <x v="0"/>
  </r>
  <r>
    <x v="23"/>
    <x v="23"/>
    <x v="137"/>
    <x v="11"/>
    <x v="119"/>
    <x v="101"/>
    <x v="109"/>
    <x v="1"/>
    <x v="1"/>
    <x v="1"/>
    <x v="1"/>
    <x v="1"/>
    <x v="1"/>
    <x v="1"/>
    <x v="0"/>
    <x v="1"/>
    <x v="0"/>
  </r>
  <r>
    <x v="23"/>
    <x v="23"/>
    <x v="138"/>
    <x v="5"/>
    <x v="120"/>
    <x v="69"/>
    <x v="72"/>
    <x v="1"/>
    <x v="1"/>
    <x v="1"/>
    <x v="1"/>
    <x v="1"/>
    <x v="1"/>
    <x v="1"/>
    <x v="0"/>
    <x v="1"/>
    <x v="0"/>
  </r>
  <r>
    <x v="63"/>
    <x v="63"/>
    <x v="139"/>
    <x v="25"/>
    <x v="121"/>
    <x v="102"/>
    <x v="110"/>
    <x v="1"/>
    <x v="1"/>
    <x v="1"/>
    <x v="1"/>
    <x v="1"/>
    <x v="1"/>
    <x v="1"/>
    <x v="0"/>
    <x v="1"/>
    <x v="0"/>
  </r>
  <r>
    <x v="64"/>
    <x v="64"/>
    <x v="140"/>
    <x v="5"/>
    <x v="122"/>
    <x v="103"/>
    <x v="111"/>
    <x v="1"/>
    <x v="1"/>
    <x v="1"/>
    <x v="1"/>
    <x v="1"/>
    <x v="1"/>
    <x v="1"/>
    <x v="0"/>
    <x v="1"/>
    <x v="0"/>
  </r>
  <r>
    <x v="65"/>
    <x v="65"/>
    <x v="80"/>
    <x v="16"/>
    <x v="123"/>
    <x v="91"/>
    <x v="112"/>
    <x v="5"/>
    <x v="46"/>
    <x v="47"/>
    <x v="5"/>
    <x v="5"/>
    <x v="9"/>
    <x v="0"/>
    <x v="1"/>
    <x v="0"/>
    <x v="1"/>
  </r>
  <r>
    <x v="66"/>
    <x v="66"/>
    <x v="141"/>
    <x v="21"/>
    <x v="124"/>
    <x v="104"/>
    <x v="113"/>
    <x v="0"/>
    <x v="47"/>
    <x v="48"/>
    <x v="5"/>
    <x v="5"/>
    <x v="15"/>
    <x v="3"/>
    <x v="0"/>
    <x v="0"/>
    <x v="0"/>
  </r>
  <r>
    <x v="67"/>
    <x v="67"/>
    <x v="142"/>
    <x v="14"/>
    <x v="125"/>
    <x v="105"/>
    <x v="99"/>
    <x v="1"/>
    <x v="1"/>
    <x v="1"/>
    <x v="1"/>
    <x v="1"/>
    <x v="1"/>
    <x v="1"/>
    <x v="0"/>
    <x v="1"/>
    <x v="0"/>
  </r>
  <r>
    <x v="68"/>
    <x v="68"/>
    <x v="143"/>
    <x v="3"/>
    <x v="126"/>
    <x v="34"/>
    <x v="114"/>
    <x v="1"/>
    <x v="1"/>
    <x v="1"/>
    <x v="1"/>
    <x v="1"/>
    <x v="1"/>
    <x v="1"/>
    <x v="0"/>
    <x v="1"/>
    <x v="0"/>
  </r>
  <r>
    <x v="69"/>
    <x v="69"/>
    <x v="144"/>
    <x v="13"/>
    <x v="127"/>
    <x v="106"/>
    <x v="115"/>
    <x v="1"/>
    <x v="1"/>
    <x v="1"/>
    <x v="1"/>
    <x v="1"/>
    <x v="1"/>
    <x v="1"/>
    <x v="0"/>
    <x v="1"/>
    <x v="0"/>
  </r>
  <r>
    <x v="70"/>
    <x v="70"/>
    <x v="27"/>
    <x v="11"/>
    <x v="97"/>
    <x v="107"/>
    <x v="116"/>
    <x v="0"/>
    <x v="48"/>
    <x v="49"/>
    <x v="0"/>
    <x v="0"/>
    <x v="16"/>
    <x v="1"/>
    <x v="1"/>
    <x v="1"/>
    <x v="1"/>
  </r>
  <r>
    <x v="71"/>
    <x v="71"/>
    <x v="145"/>
    <x v="3"/>
    <x v="128"/>
    <x v="86"/>
    <x v="90"/>
    <x v="1"/>
    <x v="1"/>
    <x v="1"/>
    <x v="1"/>
    <x v="1"/>
    <x v="1"/>
    <x v="1"/>
    <x v="0"/>
    <x v="1"/>
    <x v="0"/>
  </r>
  <r>
    <x v="72"/>
    <x v="72"/>
    <x v="146"/>
    <x v="4"/>
    <x v="4"/>
    <x v="4"/>
    <x v="4"/>
    <x v="1"/>
    <x v="1"/>
    <x v="3"/>
    <x v="1"/>
    <x v="1"/>
    <x v="3"/>
    <x v="1"/>
    <x v="0"/>
    <x v="1"/>
    <x v="0"/>
  </r>
  <r>
    <x v="67"/>
    <x v="67"/>
    <x v="147"/>
    <x v="21"/>
    <x v="129"/>
    <x v="108"/>
    <x v="117"/>
    <x v="0"/>
    <x v="49"/>
    <x v="50"/>
    <x v="0"/>
    <x v="0"/>
    <x v="17"/>
    <x v="0"/>
    <x v="0"/>
    <x v="0"/>
    <x v="0"/>
  </r>
  <r>
    <x v="66"/>
    <x v="66"/>
    <x v="18"/>
    <x v="5"/>
    <x v="130"/>
    <x v="72"/>
    <x v="73"/>
    <x v="1"/>
    <x v="1"/>
    <x v="1"/>
    <x v="1"/>
    <x v="1"/>
    <x v="1"/>
    <x v="1"/>
    <x v="0"/>
    <x v="1"/>
    <x v="0"/>
  </r>
  <r>
    <x v="65"/>
    <x v="65"/>
    <x v="148"/>
    <x v="9"/>
    <x v="131"/>
    <x v="109"/>
    <x v="118"/>
    <x v="0"/>
    <x v="50"/>
    <x v="51"/>
    <x v="0"/>
    <x v="0"/>
    <x v="4"/>
    <x v="0"/>
    <x v="0"/>
    <x v="0"/>
    <x v="0"/>
  </r>
  <r>
    <x v="64"/>
    <x v="64"/>
    <x v="149"/>
    <x v="11"/>
    <x v="132"/>
    <x v="21"/>
    <x v="119"/>
    <x v="0"/>
    <x v="51"/>
    <x v="52"/>
    <x v="0"/>
    <x v="0"/>
    <x v="16"/>
    <x v="1"/>
    <x v="1"/>
    <x v="1"/>
    <x v="1"/>
  </r>
  <r>
    <x v="63"/>
    <x v="63"/>
    <x v="150"/>
    <x v="11"/>
    <x v="133"/>
    <x v="85"/>
    <x v="120"/>
    <x v="1"/>
    <x v="1"/>
    <x v="1"/>
    <x v="1"/>
    <x v="1"/>
    <x v="1"/>
    <x v="1"/>
    <x v="0"/>
    <x v="1"/>
    <x v="0"/>
  </r>
  <r>
    <x v="73"/>
    <x v="73"/>
    <x v="151"/>
    <x v="9"/>
    <x v="134"/>
    <x v="110"/>
    <x v="121"/>
    <x v="1"/>
    <x v="1"/>
    <x v="1"/>
    <x v="1"/>
    <x v="1"/>
    <x v="1"/>
    <x v="1"/>
    <x v="0"/>
    <x v="1"/>
    <x v="0"/>
  </r>
  <r>
    <x v="74"/>
    <x v="74"/>
    <x v="152"/>
    <x v="11"/>
    <x v="135"/>
    <x v="85"/>
    <x v="120"/>
    <x v="1"/>
    <x v="1"/>
    <x v="1"/>
    <x v="1"/>
    <x v="1"/>
    <x v="1"/>
    <x v="1"/>
    <x v="0"/>
    <x v="1"/>
    <x v="0"/>
  </r>
  <r>
    <x v="75"/>
    <x v="75"/>
    <x v="122"/>
    <x v="5"/>
    <x v="136"/>
    <x v="86"/>
    <x v="96"/>
    <x v="1"/>
    <x v="1"/>
    <x v="1"/>
    <x v="1"/>
    <x v="1"/>
    <x v="1"/>
    <x v="1"/>
    <x v="0"/>
    <x v="1"/>
    <x v="0"/>
  </r>
  <r>
    <x v="76"/>
    <x v="76"/>
    <x v="153"/>
    <x v="11"/>
    <x v="137"/>
    <x v="58"/>
    <x v="122"/>
    <x v="1"/>
    <x v="1"/>
    <x v="1"/>
    <x v="1"/>
    <x v="1"/>
    <x v="1"/>
    <x v="1"/>
    <x v="0"/>
    <x v="1"/>
    <x v="0"/>
  </r>
  <r>
    <x v="77"/>
    <x v="77"/>
    <x v="87"/>
    <x v="4"/>
    <x v="4"/>
    <x v="4"/>
    <x v="4"/>
    <x v="1"/>
    <x v="1"/>
    <x v="3"/>
    <x v="1"/>
    <x v="1"/>
    <x v="3"/>
    <x v="1"/>
    <x v="0"/>
    <x v="1"/>
    <x v="0"/>
  </r>
  <r>
    <x v="68"/>
    <x v="68"/>
    <x v="154"/>
    <x v="3"/>
    <x v="138"/>
    <x v="111"/>
    <x v="123"/>
    <x v="1"/>
    <x v="1"/>
    <x v="1"/>
    <x v="1"/>
    <x v="1"/>
    <x v="1"/>
    <x v="1"/>
    <x v="0"/>
    <x v="1"/>
    <x v="0"/>
  </r>
  <r>
    <x v="69"/>
    <x v="69"/>
    <x v="155"/>
    <x v="11"/>
    <x v="139"/>
    <x v="112"/>
    <x v="124"/>
    <x v="1"/>
    <x v="1"/>
    <x v="1"/>
    <x v="1"/>
    <x v="1"/>
    <x v="1"/>
    <x v="1"/>
    <x v="0"/>
    <x v="1"/>
    <x v="0"/>
  </r>
  <r>
    <x v="70"/>
    <x v="70"/>
    <x v="17"/>
    <x v="4"/>
    <x v="4"/>
    <x v="4"/>
    <x v="4"/>
    <x v="1"/>
    <x v="1"/>
    <x v="3"/>
    <x v="1"/>
    <x v="1"/>
    <x v="3"/>
    <x v="1"/>
    <x v="0"/>
    <x v="1"/>
    <x v="0"/>
  </r>
  <r>
    <x v="71"/>
    <x v="71"/>
    <x v="156"/>
    <x v="1"/>
    <x v="102"/>
    <x v="63"/>
    <x v="65"/>
    <x v="1"/>
    <x v="1"/>
    <x v="1"/>
    <x v="1"/>
    <x v="1"/>
    <x v="1"/>
    <x v="1"/>
    <x v="0"/>
    <x v="1"/>
    <x v="0"/>
  </r>
  <r>
    <x v="72"/>
    <x v="72"/>
    <x v="157"/>
    <x v="4"/>
    <x v="4"/>
    <x v="4"/>
    <x v="4"/>
    <x v="1"/>
    <x v="1"/>
    <x v="3"/>
    <x v="1"/>
    <x v="1"/>
    <x v="3"/>
    <x v="1"/>
    <x v="0"/>
    <x v="1"/>
    <x v="0"/>
  </r>
  <r>
    <x v="78"/>
    <x v="78"/>
    <x v="158"/>
    <x v="4"/>
    <x v="4"/>
    <x v="4"/>
    <x v="4"/>
    <x v="1"/>
    <x v="1"/>
    <x v="3"/>
    <x v="1"/>
    <x v="1"/>
    <x v="3"/>
    <x v="1"/>
    <x v="0"/>
    <x v="1"/>
    <x v="0"/>
  </r>
  <r>
    <x v="79"/>
    <x v="79"/>
    <x v="159"/>
    <x v="4"/>
    <x v="4"/>
    <x v="4"/>
    <x v="4"/>
    <x v="1"/>
    <x v="1"/>
    <x v="3"/>
    <x v="1"/>
    <x v="1"/>
    <x v="3"/>
    <x v="1"/>
    <x v="0"/>
    <x v="1"/>
    <x v="0"/>
  </r>
  <r>
    <x v="80"/>
    <x v="80"/>
    <x v="114"/>
    <x v="4"/>
    <x v="4"/>
    <x v="4"/>
    <x v="4"/>
    <x v="1"/>
    <x v="1"/>
    <x v="3"/>
    <x v="1"/>
    <x v="1"/>
    <x v="3"/>
    <x v="1"/>
    <x v="0"/>
    <x v="1"/>
    <x v="0"/>
  </r>
  <r>
    <x v="81"/>
    <x v="81"/>
    <x v="160"/>
    <x v="1"/>
    <x v="140"/>
    <x v="113"/>
    <x v="125"/>
    <x v="0"/>
    <x v="52"/>
    <x v="53"/>
    <x v="0"/>
    <x v="0"/>
    <x v="13"/>
    <x v="1"/>
    <x v="1"/>
    <x v="1"/>
    <x v="1"/>
  </r>
  <r>
    <x v="82"/>
    <x v="82"/>
    <x v="161"/>
    <x v="4"/>
    <x v="4"/>
    <x v="4"/>
    <x v="4"/>
    <x v="1"/>
    <x v="1"/>
    <x v="3"/>
    <x v="1"/>
    <x v="1"/>
    <x v="3"/>
    <x v="1"/>
    <x v="0"/>
    <x v="1"/>
    <x v="0"/>
  </r>
  <r>
    <x v="77"/>
    <x v="77"/>
    <x v="162"/>
    <x v="11"/>
    <x v="141"/>
    <x v="52"/>
    <x v="126"/>
    <x v="0"/>
    <x v="53"/>
    <x v="54"/>
    <x v="0"/>
    <x v="0"/>
    <x v="16"/>
    <x v="1"/>
    <x v="1"/>
    <x v="1"/>
    <x v="1"/>
  </r>
  <r>
    <x v="76"/>
    <x v="76"/>
    <x v="1"/>
    <x v="1"/>
    <x v="1"/>
    <x v="114"/>
    <x v="127"/>
    <x v="1"/>
    <x v="1"/>
    <x v="1"/>
    <x v="1"/>
    <x v="1"/>
    <x v="1"/>
    <x v="1"/>
    <x v="0"/>
    <x v="1"/>
    <x v="0"/>
  </r>
  <r>
    <x v="75"/>
    <x v="75"/>
    <x v="163"/>
    <x v="5"/>
    <x v="142"/>
    <x v="61"/>
    <x v="128"/>
    <x v="1"/>
    <x v="1"/>
    <x v="1"/>
    <x v="1"/>
    <x v="1"/>
    <x v="1"/>
    <x v="1"/>
    <x v="0"/>
    <x v="1"/>
    <x v="0"/>
  </r>
  <r>
    <x v="74"/>
    <x v="74"/>
    <x v="164"/>
    <x v="10"/>
    <x v="143"/>
    <x v="115"/>
    <x v="129"/>
    <x v="5"/>
    <x v="54"/>
    <x v="55"/>
    <x v="5"/>
    <x v="5"/>
    <x v="18"/>
    <x v="0"/>
    <x v="1"/>
    <x v="0"/>
    <x v="1"/>
  </r>
  <r>
    <x v="73"/>
    <x v="73"/>
    <x v="165"/>
    <x v="11"/>
    <x v="144"/>
    <x v="30"/>
    <x v="130"/>
    <x v="1"/>
    <x v="1"/>
    <x v="1"/>
    <x v="1"/>
    <x v="1"/>
    <x v="1"/>
    <x v="1"/>
    <x v="0"/>
    <x v="1"/>
    <x v="0"/>
  </r>
  <r>
    <x v="82"/>
    <x v="82"/>
    <x v="166"/>
    <x v="4"/>
    <x v="4"/>
    <x v="4"/>
    <x v="4"/>
    <x v="1"/>
    <x v="1"/>
    <x v="3"/>
    <x v="1"/>
    <x v="1"/>
    <x v="3"/>
    <x v="1"/>
    <x v="0"/>
    <x v="1"/>
    <x v="0"/>
  </r>
  <r>
    <x v="81"/>
    <x v="81"/>
    <x v="111"/>
    <x v="4"/>
    <x v="4"/>
    <x v="4"/>
    <x v="4"/>
    <x v="1"/>
    <x v="1"/>
    <x v="3"/>
    <x v="1"/>
    <x v="1"/>
    <x v="3"/>
    <x v="1"/>
    <x v="0"/>
    <x v="1"/>
    <x v="0"/>
  </r>
  <r>
    <x v="80"/>
    <x v="80"/>
    <x v="57"/>
    <x v="4"/>
    <x v="4"/>
    <x v="4"/>
    <x v="4"/>
    <x v="1"/>
    <x v="1"/>
    <x v="3"/>
    <x v="1"/>
    <x v="1"/>
    <x v="3"/>
    <x v="1"/>
    <x v="0"/>
    <x v="1"/>
    <x v="0"/>
  </r>
  <r>
    <x v="79"/>
    <x v="79"/>
    <x v="32"/>
    <x v="4"/>
    <x v="4"/>
    <x v="4"/>
    <x v="4"/>
    <x v="1"/>
    <x v="1"/>
    <x v="3"/>
    <x v="1"/>
    <x v="1"/>
    <x v="3"/>
    <x v="1"/>
    <x v="0"/>
    <x v="1"/>
    <x v="0"/>
  </r>
  <r>
    <x v="78"/>
    <x v="78"/>
    <x v="167"/>
    <x v="4"/>
    <x v="4"/>
    <x v="4"/>
    <x v="4"/>
    <x v="1"/>
    <x v="1"/>
    <x v="3"/>
    <x v="1"/>
    <x v="1"/>
    <x v="3"/>
    <x v="1"/>
    <x v="0"/>
    <x v="1"/>
    <x v="0"/>
  </r>
  <r>
    <x v="42"/>
    <x v="42"/>
    <x v="168"/>
    <x v="5"/>
    <x v="145"/>
    <x v="116"/>
    <x v="91"/>
    <x v="1"/>
    <x v="1"/>
    <x v="1"/>
    <x v="1"/>
    <x v="1"/>
    <x v="1"/>
    <x v="1"/>
    <x v="0"/>
    <x v="1"/>
    <x v="0"/>
  </r>
  <r>
    <x v="83"/>
    <x v="83"/>
    <x v="158"/>
    <x v="4"/>
    <x v="4"/>
    <x v="4"/>
    <x v="4"/>
    <x v="1"/>
    <x v="1"/>
    <x v="3"/>
    <x v="1"/>
    <x v="1"/>
    <x v="3"/>
    <x v="1"/>
    <x v="0"/>
    <x v="1"/>
    <x v="0"/>
  </r>
  <r>
    <x v="56"/>
    <x v="56"/>
    <x v="125"/>
    <x v="4"/>
    <x v="4"/>
    <x v="4"/>
    <x v="4"/>
    <x v="1"/>
    <x v="1"/>
    <x v="3"/>
    <x v="1"/>
    <x v="1"/>
    <x v="3"/>
    <x v="1"/>
    <x v="0"/>
    <x v="1"/>
    <x v="0"/>
  </r>
  <r>
    <x v="0"/>
    <x v="0"/>
    <x v="123"/>
    <x v="3"/>
    <x v="109"/>
    <x v="70"/>
    <x v="47"/>
    <x v="1"/>
    <x v="1"/>
    <x v="1"/>
    <x v="1"/>
    <x v="1"/>
    <x v="1"/>
    <x v="1"/>
    <x v="0"/>
    <x v="1"/>
    <x v="0"/>
  </r>
  <r>
    <x v="29"/>
    <x v="29"/>
    <x v="169"/>
    <x v="14"/>
    <x v="146"/>
    <x v="117"/>
    <x v="131"/>
    <x v="1"/>
    <x v="1"/>
    <x v="1"/>
    <x v="1"/>
    <x v="1"/>
    <x v="1"/>
    <x v="1"/>
    <x v="0"/>
    <x v="1"/>
    <x v="0"/>
  </r>
  <r>
    <x v="62"/>
    <x v="62"/>
    <x v="170"/>
    <x v="16"/>
    <x v="147"/>
    <x v="118"/>
    <x v="132"/>
    <x v="1"/>
    <x v="1"/>
    <x v="1"/>
    <x v="1"/>
    <x v="1"/>
    <x v="1"/>
    <x v="1"/>
    <x v="0"/>
    <x v="1"/>
    <x v="0"/>
  </r>
  <r>
    <x v="61"/>
    <x v="61"/>
    <x v="171"/>
    <x v="5"/>
    <x v="148"/>
    <x v="86"/>
    <x v="96"/>
    <x v="1"/>
    <x v="1"/>
    <x v="1"/>
    <x v="1"/>
    <x v="1"/>
    <x v="1"/>
    <x v="1"/>
    <x v="0"/>
    <x v="1"/>
    <x v="0"/>
  </r>
  <r>
    <x v="15"/>
    <x v="15"/>
    <x v="57"/>
    <x v="4"/>
    <x v="4"/>
    <x v="4"/>
    <x v="4"/>
    <x v="1"/>
    <x v="1"/>
    <x v="3"/>
    <x v="1"/>
    <x v="1"/>
    <x v="3"/>
    <x v="1"/>
    <x v="0"/>
    <x v="1"/>
    <x v="0"/>
  </r>
  <r>
    <x v="16"/>
    <x v="16"/>
    <x v="172"/>
    <x v="4"/>
    <x v="4"/>
    <x v="4"/>
    <x v="4"/>
    <x v="1"/>
    <x v="1"/>
    <x v="3"/>
    <x v="1"/>
    <x v="1"/>
    <x v="3"/>
    <x v="1"/>
    <x v="0"/>
    <x v="1"/>
    <x v="0"/>
  </r>
  <r>
    <x v="84"/>
    <x v="84"/>
    <x v="173"/>
    <x v="5"/>
    <x v="149"/>
    <x v="86"/>
    <x v="96"/>
    <x v="1"/>
    <x v="1"/>
    <x v="1"/>
    <x v="1"/>
    <x v="1"/>
    <x v="1"/>
    <x v="1"/>
    <x v="0"/>
    <x v="1"/>
    <x v="0"/>
  </r>
  <r>
    <x v="85"/>
    <x v="85"/>
    <x v="174"/>
    <x v="4"/>
    <x v="4"/>
    <x v="4"/>
    <x v="4"/>
    <x v="1"/>
    <x v="1"/>
    <x v="3"/>
    <x v="1"/>
    <x v="1"/>
    <x v="3"/>
    <x v="1"/>
    <x v="0"/>
    <x v="1"/>
    <x v="0"/>
  </r>
  <r>
    <x v="86"/>
    <x v="86"/>
    <x v="125"/>
    <x v="3"/>
    <x v="150"/>
    <x v="119"/>
    <x v="133"/>
    <x v="1"/>
    <x v="1"/>
    <x v="1"/>
    <x v="1"/>
    <x v="1"/>
    <x v="1"/>
    <x v="1"/>
    <x v="0"/>
    <x v="1"/>
    <x v="0"/>
  </r>
  <r>
    <x v="87"/>
    <x v="87"/>
    <x v="175"/>
    <x v="11"/>
    <x v="151"/>
    <x v="120"/>
    <x v="134"/>
    <x v="1"/>
    <x v="1"/>
    <x v="1"/>
    <x v="1"/>
    <x v="1"/>
    <x v="1"/>
    <x v="1"/>
    <x v="0"/>
    <x v="1"/>
    <x v="0"/>
  </r>
  <r>
    <x v="88"/>
    <x v="88"/>
    <x v="176"/>
    <x v="4"/>
    <x v="4"/>
    <x v="4"/>
    <x v="4"/>
    <x v="1"/>
    <x v="1"/>
    <x v="3"/>
    <x v="1"/>
    <x v="1"/>
    <x v="3"/>
    <x v="1"/>
    <x v="0"/>
    <x v="1"/>
    <x v="0"/>
  </r>
  <r>
    <x v="89"/>
    <x v="89"/>
    <x v="177"/>
    <x v="1"/>
    <x v="152"/>
    <x v="121"/>
    <x v="135"/>
    <x v="1"/>
    <x v="1"/>
    <x v="1"/>
    <x v="1"/>
    <x v="1"/>
    <x v="1"/>
    <x v="1"/>
    <x v="0"/>
    <x v="1"/>
    <x v="0"/>
  </r>
  <r>
    <x v="90"/>
    <x v="90"/>
    <x v="178"/>
    <x v="4"/>
    <x v="4"/>
    <x v="4"/>
    <x v="4"/>
    <x v="1"/>
    <x v="1"/>
    <x v="3"/>
    <x v="1"/>
    <x v="1"/>
    <x v="3"/>
    <x v="1"/>
    <x v="0"/>
    <x v="1"/>
    <x v="0"/>
  </r>
  <r>
    <x v="91"/>
    <x v="91"/>
    <x v="179"/>
    <x v="1"/>
    <x v="153"/>
    <x v="72"/>
    <x v="136"/>
    <x v="0"/>
    <x v="55"/>
    <x v="56"/>
    <x v="0"/>
    <x v="0"/>
    <x v="13"/>
    <x v="1"/>
    <x v="1"/>
    <x v="1"/>
    <x v="1"/>
  </r>
  <r>
    <x v="92"/>
    <x v="92"/>
    <x v="27"/>
    <x v="11"/>
    <x v="97"/>
    <x v="122"/>
    <x v="137"/>
    <x v="1"/>
    <x v="1"/>
    <x v="1"/>
    <x v="1"/>
    <x v="1"/>
    <x v="1"/>
    <x v="1"/>
    <x v="0"/>
    <x v="1"/>
    <x v="0"/>
  </r>
  <r>
    <x v="93"/>
    <x v="93"/>
    <x v="180"/>
    <x v="3"/>
    <x v="154"/>
    <x v="97"/>
    <x v="104"/>
    <x v="1"/>
    <x v="1"/>
    <x v="1"/>
    <x v="1"/>
    <x v="1"/>
    <x v="1"/>
    <x v="1"/>
    <x v="0"/>
    <x v="1"/>
    <x v="0"/>
  </r>
  <r>
    <x v="88"/>
    <x v="88"/>
    <x v="181"/>
    <x v="5"/>
    <x v="155"/>
    <x v="72"/>
    <x v="73"/>
    <x v="1"/>
    <x v="1"/>
    <x v="1"/>
    <x v="1"/>
    <x v="1"/>
    <x v="1"/>
    <x v="1"/>
    <x v="0"/>
    <x v="1"/>
    <x v="0"/>
  </r>
  <r>
    <x v="87"/>
    <x v="87"/>
    <x v="182"/>
    <x v="5"/>
    <x v="156"/>
    <x v="71"/>
    <x v="125"/>
    <x v="1"/>
    <x v="1"/>
    <x v="1"/>
    <x v="1"/>
    <x v="1"/>
    <x v="1"/>
    <x v="1"/>
    <x v="0"/>
    <x v="1"/>
    <x v="0"/>
  </r>
  <r>
    <x v="86"/>
    <x v="86"/>
    <x v="183"/>
    <x v="11"/>
    <x v="157"/>
    <x v="123"/>
    <x v="138"/>
    <x v="1"/>
    <x v="1"/>
    <x v="1"/>
    <x v="1"/>
    <x v="1"/>
    <x v="1"/>
    <x v="1"/>
    <x v="0"/>
    <x v="1"/>
    <x v="0"/>
  </r>
  <r>
    <x v="85"/>
    <x v="85"/>
    <x v="184"/>
    <x v="3"/>
    <x v="158"/>
    <x v="124"/>
    <x v="139"/>
    <x v="1"/>
    <x v="1"/>
    <x v="1"/>
    <x v="1"/>
    <x v="1"/>
    <x v="1"/>
    <x v="1"/>
    <x v="0"/>
    <x v="1"/>
    <x v="0"/>
  </r>
  <r>
    <x v="89"/>
    <x v="89"/>
    <x v="185"/>
    <x v="25"/>
    <x v="159"/>
    <x v="125"/>
    <x v="140"/>
    <x v="1"/>
    <x v="1"/>
    <x v="1"/>
    <x v="1"/>
    <x v="1"/>
    <x v="1"/>
    <x v="1"/>
    <x v="0"/>
    <x v="1"/>
    <x v="0"/>
  </r>
  <r>
    <x v="90"/>
    <x v="90"/>
    <x v="121"/>
    <x v="3"/>
    <x v="107"/>
    <x v="97"/>
    <x v="104"/>
    <x v="1"/>
    <x v="1"/>
    <x v="1"/>
    <x v="1"/>
    <x v="1"/>
    <x v="1"/>
    <x v="1"/>
    <x v="0"/>
    <x v="1"/>
    <x v="0"/>
  </r>
  <r>
    <x v="91"/>
    <x v="91"/>
    <x v="186"/>
    <x v="11"/>
    <x v="160"/>
    <x v="126"/>
    <x v="98"/>
    <x v="1"/>
    <x v="1"/>
    <x v="1"/>
    <x v="1"/>
    <x v="1"/>
    <x v="1"/>
    <x v="1"/>
    <x v="0"/>
    <x v="1"/>
    <x v="0"/>
  </r>
  <r>
    <x v="93"/>
    <x v="93"/>
    <x v="77"/>
    <x v="3"/>
    <x v="161"/>
    <x v="127"/>
    <x v="141"/>
    <x v="1"/>
    <x v="1"/>
    <x v="1"/>
    <x v="1"/>
    <x v="1"/>
    <x v="1"/>
    <x v="1"/>
    <x v="0"/>
    <x v="1"/>
    <x v="0"/>
  </r>
  <r>
    <x v="92"/>
    <x v="92"/>
    <x v="187"/>
    <x v="3"/>
    <x v="162"/>
    <x v="127"/>
    <x v="141"/>
    <x v="1"/>
    <x v="1"/>
    <x v="1"/>
    <x v="1"/>
    <x v="1"/>
    <x v="1"/>
    <x v="1"/>
    <x v="0"/>
    <x v="1"/>
    <x v="0"/>
  </r>
  <r>
    <x v="81"/>
    <x v="81"/>
    <x v="35"/>
    <x v="4"/>
    <x v="30"/>
    <x v="4"/>
    <x v="4"/>
    <x v="1"/>
    <x v="1"/>
    <x v="3"/>
    <x v="1"/>
    <x v="1"/>
    <x v="3"/>
    <x v="1"/>
    <x v="0"/>
    <x v="1"/>
    <x v="0"/>
  </r>
  <r>
    <x v="86"/>
    <x v="86"/>
    <x v="172"/>
    <x v="4"/>
    <x v="4"/>
    <x v="4"/>
    <x v="4"/>
    <x v="1"/>
    <x v="1"/>
    <x v="3"/>
    <x v="1"/>
    <x v="1"/>
    <x v="3"/>
    <x v="1"/>
    <x v="0"/>
    <x v="1"/>
    <x v="0"/>
  </r>
  <r>
    <x v="94"/>
    <x v="94"/>
    <x v="188"/>
    <x v="2"/>
    <x v="163"/>
    <x v="128"/>
    <x v="74"/>
    <x v="0"/>
    <x v="56"/>
    <x v="57"/>
    <x v="0"/>
    <x v="0"/>
    <x v="2"/>
    <x v="0"/>
    <x v="0"/>
    <x v="0"/>
    <x v="0"/>
  </r>
  <r>
    <x v="95"/>
    <x v="95"/>
    <x v="148"/>
    <x v="5"/>
    <x v="164"/>
    <x v="111"/>
    <x v="142"/>
    <x v="1"/>
    <x v="1"/>
    <x v="1"/>
    <x v="1"/>
    <x v="1"/>
    <x v="1"/>
    <x v="1"/>
    <x v="0"/>
    <x v="1"/>
    <x v="0"/>
  </r>
  <r>
    <x v="96"/>
    <x v="96"/>
    <x v="189"/>
    <x v="7"/>
    <x v="165"/>
    <x v="129"/>
    <x v="143"/>
    <x v="1"/>
    <x v="1"/>
    <x v="1"/>
    <x v="1"/>
    <x v="1"/>
    <x v="1"/>
    <x v="1"/>
    <x v="0"/>
    <x v="1"/>
    <x v="0"/>
  </r>
  <r>
    <x v="97"/>
    <x v="97"/>
    <x v="190"/>
    <x v="2"/>
    <x v="166"/>
    <x v="130"/>
    <x v="144"/>
    <x v="0"/>
    <x v="57"/>
    <x v="58"/>
    <x v="0"/>
    <x v="0"/>
    <x v="2"/>
    <x v="1"/>
    <x v="1"/>
    <x v="1"/>
    <x v="1"/>
  </r>
  <r>
    <x v="98"/>
    <x v="98"/>
    <x v="191"/>
    <x v="21"/>
    <x v="167"/>
    <x v="131"/>
    <x v="145"/>
    <x v="1"/>
    <x v="1"/>
    <x v="1"/>
    <x v="1"/>
    <x v="1"/>
    <x v="1"/>
    <x v="1"/>
    <x v="0"/>
    <x v="1"/>
    <x v="0"/>
  </r>
  <r>
    <x v="94"/>
    <x v="94"/>
    <x v="192"/>
    <x v="3"/>
    <x v="168"/>
    <x v="58"/>
    <x v="60"/>
    <x v="1"/>
    <x v="1"/>
    <x v="1"/>
    <x v="1"/>
    <x v="1"/>
    <x v="1"/>
    <x v="1"/>
    <x v="0"/>
    <x v="1"/>
    <x v="0"/>
  </r>
  <r>
    <x v="95"/>
    <x v="95"/>
    <x v="193"/>
    <x v="3"/>
    <x v="1"/>
    <x v="36"/>
    <x v="20"/>
    <x v="1"/>
    <x v="1"/>
    <x v="1"/>
    <x v="1"/>
    <x v="1"/>
    <x v="1"/>
    <x v="1"/>
    <x v="0"/>
    <x v="1"/>
    <x v="0"/>
  </r>
  <r>
    <x v="96"/>
    <x v="96"/>
    <x v="178"/>
    <x v="3"/>
    <x v="101"/>
    <x v="86"/>
    <x v="90"/>
    <x v="1"/>
    <x v="1"/>
    <x v="1"/>
    <x v="1"/>
    <x v="1"/>
    <x v="1"/>
    <x v="1"/>
    <x v="0"/>
    <x v="1"/>
    <x v="0"/>
  </r>
  <r>
    <x v="97"/>
    <x v="97"/>
    <x v="30"/>
    <x v="5"/>
    <x v="169"/>
    <x v="116"/>
    <x v="91"/>
    <x v="1"/>
    <x v="1"/>
    <x v="1"/>
    <x v="1"/>
    <x v="1"/>
    <x v="1"/>
    <x v="1"/>
    <x v="0"/>
    <x v="1"/>
    <x v="0"/>
  </r>
  <r>
    <x v="98"/>
    <x v="98"/>
    <x v="194"/>
    <x v="3"/>
    <x v="170"/>
    <x v="86"/>
    <x v="90"/>
    <x v="1"/>
    <x v="1"/>
    <x v="1"/>
    <x v="1"/>
    <x v="1"/>
    <x v="1"/>
    <x v="1"/>
    <x v="0"/>
    <x v="1"/>
    <x v="0"/>
  </r>
  <r>
    <x v="99"/>
    <x v="99"/>
    <x v="99"/>
    <x v="4"/>
    <x v="4"/>
    <x v="4"/>
    <x v="4"/>
    <x v="1"/>
    <x v="1"/>
    <x v="3"/>
    <x v="1"/>
    <x v="1"/>
    <x v="3"/>
    <x v="1"/>
    <x v="0"/>
    <x v="1"/>
    <x v="0"/>
  </r>
  <r>
    <x v="100"/>
    <x v="100"/>
    <x v="193"/>
    <x v="1"/>
    <x v="171"/>
    <x v="45"/>
    <x v="146"/>
    <x v="1"/>
    <x v="1"/>
    <x v="1"/>
    <x v="1"/>
    <x v="1"/>
    <x v="1"/>
    <x v="1"/>
    <x v="0"/>
    <x v="1"/>
    <x v="0"/>
  </r>
  <r>
    <x v="101"/>
    <x v="101"/>
    <x v="110"/>
    <x v="3"/>
    <x v="98"/>
    <x v="86"/>
    <x v="90"/>
    <x v="5"/>
    <x v="58"/>
    <x v="59"/>
    <x v="5"/>
    <x v="5"/>
    <x v="27"/>
    <x v="1"/>
    <x v="5"/>
    <x v="1"/>
    <x v="5"/>
  </r>
  <r>
    <x v="102"/>
    <x v="102"/>
    <x v="195"/>
    <x v="4"/>
    <x v="4"/>
    <x v="4"/>
    <x v="4"/>
    <x v="1"/>
    <x v="1"/>
    <x v="3"/>
    <x v="1"/>
    <x v="1"/>
    <x v="3"/>
    <x v="1"/>
    <x v="0"/>
    <x v="1"/>
    <x v="0"/>
  </r>
  <r>
    <x v="103"/>
    <x v="103"/>
    <x v="196"/>
    <x v="1"/>
    <x v="98"/>
    <x v="132"/>
    <x v="147"/>
    <x v="1"/>
    <x v="1"/>
    <x v="1"/>
    <x v="1"/>
    <x v="1"/>
    <x v="1"/>
    <x v="1"/>
    <x v="0"/>
    <x v="1"/>
    <x v="0"/>
  </r>
  <r>
    <x v="99"/>
    <x v="99"/>
    <x v="197"/>
    <x v="11"/>
    <x v="172"/>
    <x v="133"/>
    <x v="99"/>
    <x v="0"/>
    <x v="59"/>
    <x v="60"/>
    <x v="0"/>
    <x v="0"/>
    <x v="16"/>
    <x v="1"/>
    <x v="1"/>
    <x v="1"/>
    <x v="1"/>
  </r>
  <r>
    <x v="100"/>
    <x v="100"/>
    <x v="63"/>
    <x v="11"/>
    <x v="173"/>
    <x v="134"/>
    <x v="148"/>
    <x v="1"/>
    <x v="1"/>
    <x v="1"/>
    <x v="1"/>
    <x v="1"/>
    <x v="1"/>
    <x v="1"/>
    <x v="0"/>
    <x v="1"/>
    <x v="0"/>
  </r>
  <r>
    <x v="101"/>
    <x v="101"/>
    <x v="198"/>
    <x v="2"/>
    <x v="174"/>
    <x v="135"/>
    <x v="23"/>
    <x v="10"/>
    <x v="60"/>
    <x v="61"/>
    <x v="8"/>
    <x v="9"/>
    <x v="29"/>
    <x v="3"/>
    <x v="6"/>
    <x v="3"/>
    <x v="6"/>
  </r>
  <r>
    <x v="102"/>
    <x v="102"/>
    <x v="199"/>
    <x v="4"/>
    <x v="4"/>
    <x v="4"/>
    <x v="4"/>
    <x v="1"/>
    <x v="1"/>
    <x v="3"/>
    <x v="1"/>
    <x v="1"/>
    <x v="3"/>
    <x v="1"/>
    <x v="0"/>
    <x v="1"/>
    <x v="0"/>
  </r>
  <r>
    <x v="103"/>
    <x v="103"/>
    <x v="200"/>
    <x v="1"/>
    <x v="175"/>
    <x v="136"/>
    <x v="149"/>
    <x v="1"/>
    <x v="1"/>
    <x v="1"/>
    <x v="1"/>
    <x v="1"/>
    <x v="1"/>
    <x v="1"/>
    <x v="0"/>
    <x v="1"/>
    <x v="0"/>
  </r>
  <r>
    <x v="104"/>
    <x v="104"/>
    <x v="201"/>
    <x v="5"/>
    <x v="176"/>
    <x v="72"/>
    <x v="73"/>
    <x v="1"/>
    <x v="1"/>
    <x v="1"/>
    <x v="1"/>
    <x v="1"/>
    <x v="1"/>
    <x v="1"/>
    <x v="0"/>
    <x v="1"/>
    <x v="0"/>
  </r>
  <r>
    <x v="105"/>
    <x v="105"/>
    <x v="202"/>
    <x v="28"/>
    <x v="177"/>
    <x v="137"/>
    <x v="150"/>
    <x v="1"/>
    <x v="1"/>
    <x v="1"/>
    <x v="1"/>
    <x v="1"/>
    <x v="1"/>
    <x v="1"/>
    <x v="0"/>
    <x v="1"/>
    <x v="0"/>
  </r>
  <r>
    <x v="106"/>
    <x v="106"/>
    <x v="203"/>
    <x v="17"/>
    <x v="178"/>
    <x v="138"/>
    <x v="151"/>
    <x v="11"/>
    <x v="61"/>
    <x v="62"/>
    <x v="0"/>
    <x v="0"/>
    <x v="30"/>
    <x v="1"/>
    <x v="1"/>
    <x v="1"/>
    <x v="7"/>
  </r>
  <r>
    <x v="107"/>
    <x v="107"/>
    <x v="204"/>
    <x v="11"/>
    <x v="179"/>
    <x v="139"/>
    <x v="152"/>
    <x v="1"/>
    <x v="1"/>
    <x v="1"/>
    <x v="1"/>
    <x v="1"/>
    <x v="1"/>
    <x v="1"/>
    <x v="0"/>
    <x v="1"/>
    <x v="0"/>
  </r>
  <r>
    <x v="108"/>
    <x v="108"/>
    <x v="205"/>
    <x v="13"/>
    <x v="180"/>
    <x v="140"/>
    <x v="153"/>
    <x v="1"/>
    <x v="1"/>
    <x v="1"/>
    <x v="1"/>
    <x v="1"/>
    <x v="1"/>
    <x v="1"/>
    <x v="0"/>
    <x v="1"/>
    <x v="0"/>
  </r>
  <r>
    <x v="104"/>
    <x v="104"/>
    <x v="206"/>
    <x v="4"/>
    <x v="4"/>
    <x v="4"/>
    <x v="4"/>
    <x v="1"/>
    <x v="1"/>
    <x v="3"/>
    <x v="1"/>
    <x v="1"/>
    <x v="3"/>
    <x v="1"/>
    <x v="0"/>
    <x v="1"/>
    <x v="0"/>
  </r>
  <r>
    <x v="105"/>
    <x v="105"/>
    <x v="207"/>
    <x v="3"/>
    <x v="181"/>
    <x v="141"/>
    <x v="154"/>
    <x v="1"/>
    <x v="1"/>
    <x v="1"/>
    <x v="1"/>
    <x v="1"/>
    <x v="1"/>
    <x v="1"/>
    <x v="0"/>
    <x v="1"/>
    <x v="0"/>
  </r>
  <r>
    <x v="106"/>
    <x v="106"/>
    <x v="208"/>
    <x v="5"/>
    <x v="182"/>
    <x v="86"/>
    <x v="96"/>
    <x v="1"/>
    <x v="1"/>
    <x v="1"/>
    <x v="1"/>
    <x v="1"/>
    <x v="1"/>
    <x v="1"/>
    <x v="0"/>
    <x v="1"/>
    <x v="0"/>
  </r>
  <r>
    <x v="107"/>
    <x v="107"/>
    <x v="209"/>
    <x v="4"/>
    <x v="4"/>
    <x v="4"/>
    <x v="4"/>
    <x v="1"/>
    <x v="1"/>
    <x v="3"/>
    <x v="1"/>
    <x v="1"/>
    <x v="3"/>
    <x v="1"/>
    <x v="0"/>
    <x v="1"/>
    <x v="0"/>
  </r>
  <r>
    <x v="108"/>
    <x v="108"/>
    <x v="192"/>
    <x v="3"/>
    <x v="168"/>
    <x v="58"/>
    <x v="60"/>
    <x v="1"/>
    <x v="1"/>
    <x v="1"/>
    <x v="1"/>
    <x v="1"/>
    <x v="1"/>
    <x v="1"/>
    <x v="0"/>
    <x v="1"/>
    <x v="0"/>
  </r>
  <r>
    <x v="94"/>
    <x v="94"/>
    <x v="210"/>
    <x v="3"/>
    <x v="183"/>
    <x v="1"/>
    <x v="155"/>
    <x v="1"/>
    <x v="1"/>
    <x v="1"/>
    <x v="1"/>
    <x v="1"/>
    <x v="1"/>
    <x v="1"/>
    <x v="0"/>
    <x v="1"/>
    <x v="0"/>
  </r>
  <r>
    <x v="95"/>
    <x v="95"/>
    <x v="63"/>
    <x v="11"/>
    <x v="173"/>
    <x v="142"/>
    <x v="65"/>
    <x v="1"/>
    <x v="1"/>
    <x v="1"/>
    <x v="1"/>
    <x v="1"/>
    <x v="1"/>
    <x v="1"/>
    <x v="0"/>
    <x v="1"/>
    <x v="0"/>
  </r>
  <r>
    <x v="96"/>
    <x v="96"/>
    <x v="211"/>
    <x v="11"/>
    <x v="184"/>
    <x v="51"/>
    <x v="52"/>
    <x v="1"/>
    <x v="1"/>
    <x v="1"/>
    <x v="1"/>
    <x v="1"/>
    <x v="1"/>
    <x v="1"/>
    <x v="0"/>
    <x v="1"/>
    <x v="0"/>
  </r>
  <r>
    <x v="97"/>
    <x v="97"/>
    <x v="99"/>
    <x v="3"/>
    <x v="90"/>
    <x v="134"/>
    <x v="156"/>
    <x v="1"/>
    <x v="1"/>
    <x v="1"/>
    <x v="1"/>
    <x v="1"/>
    <x v="1"/>
    <x v="1"/>
    <x v="0"/>
    <x v="1"/>
    <x v="0"/>
  </r>
  <r>
    <x v="98"/>
    <x v="98"/>
    <x v="199"/>
    <x v="11"/>
    <x v="185"/>
    <x v="141"/>
    <x v="5"/>
    <x v="1"/>
    <x v="1"/>
    <x v="1"/>
    <x v="1"/>
    <x v="1"/>
    <x v="1"/>
    <x v="1"/>
    <x v="0"/>
    <x v="1"/>
    <x v="0"/>
  </r>
  <r>
    <x v="104"/>
    <x v="104"/>
    <x v="149"/>
    <x v="3"/>
    <x v="81"/>
    <x v="34"/>
    <x v="114"/>
    <x v="1"/>
    <x v="1"/>
    <x v="1"/>
    <x v="1"/>
    <x v="1"/>
    <x v="1"/>
    <x v="1"/>
    <x v="0"/>
    <x v="1"/>
    <x v="0"/>
  </r>
  <r>
    <x v="105"/>
    <x v="105"/>
    <x v="130"/>
    <x v="3"/>
    <x v="49"/>
    <x v="34"/>
    <x v="114"/>
    <x v="1"/>
    <x v="1"/>
    <x v="1"/>
    <x v="1"/>
    <x v="1"/>
    <x v="1"/>
    <x v="1"/>
    <x v="0"/>
    <x v="1"/>
    <x v="0"/>
  </r>
  <r>
    <x v="106"/>
    <x v="106"/>
    <x v="212"/>
    <x v="2"/>
    <x v="186"/>
    <x v="143"/>
    <x v="35"/>
    <x v="1"/>
    <x v="1"/>
    <x v="1"/>
    <x v="1"/>
    <x v="1"/>
    <x v="1"/>
    <x v="1"/>
    <x v="0"/>
    <x v="1"/>
    <x v="0"/>
  </r>
  <r>
    <x v="107"/>
    <x v="107"/>
    <x v="180"/>
    <x v="1"/>
    <x v="187"/>
    <x v="144"/>
    <x v="157"/>
    <x v="1"/>
    <x v="1"/>
    <x v="1"/>
    <x v="1"/>
    <x v="1"/>
    <x v="1"/>
    <x v="1"/>
    <x v="0"/>
    <x v="1"/>
    <x v="0"/>
  </r>
  <r>
    <x v="108"/>
    <x v="108"/>
    <x v="213"/>
    <x v="4"/>
    <x v="4"/>
    <x v="4"/>
    <x v="4"/>
    <x v="1"/>
    <x v="1"/>
    <x v="3"/>
    <x v="1"/>
    <x v="1"/>
    <x v="3"/>
    <x v="1"/>
    <x v="0"/>
    <x v="1"/>
    <x v="0"/>
  </r>
  <r>
    <x v="101"/>
    <x v="101"/>
    <x v="22"/>
    <x v="4"/>
    <x v="4"/>
    <x v="4"/>
    <x v="4"/>
    <x v="1"/>
    <x v="1"/>
    <x v="3"/>
    <x v="1"/>
    <x v="1"/>
    <x v="3"/>
    <x v="1"/>
    <x v="0"/>
    <x v="1"/>
    <x v="0"/>
  </r>
  <r>
    <x v="102"/>
    <x v="102"/>
    <x v="35"/>
    <x v="4"/>
    <x v="30"/>
    <x v="4"/>
    <x v="4"/>
    <x v="1"/>
    <x v="1"/>
    <x v="3"/>
    <x v="1"/>
    <x v="1"/>
    <x v="3"/>
    <x v="1"/>
    <x v="0"/>
    <x v="1"/>
    <x v="0"/>
  </r>
  <r>
    <x v="103"/>
    <x v="103"/>
    <x v="172"/>
    <x v="4"/>
    <x v="4"/>
    <x v="4"/>
    <x v="4"/>
    <x v="1"/>
    <x v="1"/>
    <x v="3"/>
    <x v="1"/>
    <x v="1"/>
    <x v="3"/>
    <x v="1"/>
    <x v="0"/>
    <x v="1"/>
    <x v="0"/>
  </r>
  <r>
    <x v="100"/>
    <x v="100"/>
    <x v="172"/>
    <x v="4"/>
    <x v="4"/>
    <x v="4"/>
    <x v="4"/>
    <x v="1"/>
    <x v="1"/>
    <x v="3"/>
    <x v="1"/>
    <x v="1"/>
    <x v="3"/>
    <x v="1"/>
    <x v="0"/>
    <x v="1"/>
    <x v="0"/>
  </r>
  <r>
    <x v="99"/>
    <x v="99"/>
    <x v="20"/>
    <x v="4"/>
    <x v="4"/>
    <x v="4"/>
    <x v="4"/>
    <x v="1"/>
    <x v="1"/>
    <x v="3"/>
    <x v="1"/>
    <x v="1"/>
    <x v="3"/>
    <x v="1"/>
    <x v="0"/>
    <x v="1"/>
    <x v="0"/>
  </r>
  <r>
    <x v="109"/>
    <x v="109"/>
    <x v="214"/>
    <x v="15"/>
    <x v="188"/>
    <x v="145"/>
    <x v="158"/>
    <x v="1"/>
    <x v="1"/>
    <x v="1"/>
    <x v="1"/>
    <x v="1"/>
    <x v="1"/>
    <x v="1"/>
    <x v="0"/>
    <x v="1"/>
    <x v="0"/>
  </r>
  <r>
    <x v="110"/>
    <x v="110"/>
    <x v="85"/>
    <x v="9"/>
    <x v="189"/>
    <x v="146"/>
    <x v="159"/>
    <x v="1"/>
    <x v="1"/>
    <x v="1"/>
    <x v="1"/>
    <x v="1"/>
    <x v="1"/>
    <x v="1"/>
    <x v="0"/>
    <x v="1"/>
    <x v="0"/>
  </r>
  <r>
    <x v="111"/>
    <x v="111"/>
    <x v="215"/>
    <x v="7"/>
    <x v="190"/>
    <x v="6"/>
    <x v="160"/>
    <x v="0"/>
    <x v="62"/>
    <x v="63"/>
    <x v="0"/>
    <x v="0"/>
    <x v="5"/>
    <x v="1"/>
    <x v="1"/>
    <x v="1"/>
    <x v="1"/>
  </r>
  <r>
    <x v="112"/>
    <x v="112"/>
    <x v="216"/>
    <x v="17"/>
    <x v="191"/>
    <x v="147"/>
    <x v="161"/>
    <x v="0"/>
    <x v="63"/>
    <x v="64"/>
    <x v="0"/>
    <x v="0"/>
    <x v="30"/>
    <x v="1"/>
    <x v="1"/>
    <x v="1"/>
    <x v="1"/>
  </r>
  <r>
    <x v="113"/>
    <x v="113"/>
    <x v="217"/>
    <x v="0"/>
    <x v="192"/>
    <x v="148"/>
    <x v="162"/>
    <x v="1"/>
    <x v="1"/>
    <x v="1"/>
    <x v="1"/>
    <x v="1"/>
    <x v="1"/>
    <x v="1"/>
    <x v="0"/>
    <x v="1"/>
    <x v="0"/>
  </r>
  <r>
    <x v="109"/>
    <x v="109"/>
    <x v="161"/>
    <x v="1"/>
    <x v="193"/>
    <x v="149"/>
    <x v="163"/>
    <x v="1"/>
    <x v="1"/>
    <x v="1"/>
    <x v="1"/>
    <x v="1"/>
    <x v="1"/>
    <x v="1"/>
    <x v="0"/>
    <x v="1"/>
    <x v="0"/>
  </r>
  <r>
    <x v="110"/>
    <x v="110"/>
    <x v="218"/>
    <x v="4"/>
    <x v="4"/>
    <x v="4"/>
    <x v="4"/>
    <x v="1"/>
    <x v="1"/>
    <x v="3"/>
    <x v="1"/>
    <x v="1"/>
    <x v="3"/>
    <x v="1"/>
    <x v="0"/>
    <x v="1"/>
    <x v="0"/>
  </r>
  <r>
    <x v="111"/>
    <x v="111"/>
    <x v="219"/>
    <x v="2"/>
    <x v="194"/>
    <x v="150"/>
    <x v="164"/>
    <x v="0"/>
    <x v="64"/>
    <x v="65"/>
    <x v="0"/>
    <x v="0"/>
    <x v="2"/>
    <x v="1"/>
    <x v="1"/>
    <x v="1"/>
    <x v="1"/>
  </r>
  <r>
    <x v="112"/>
    <x v="112"/>
    <x v="220"/>
    <x v="14"/>
    <x v="195"/>
    <x v="151"/>
    <x v="165"/>
    <x v="0"/>
    <x v="65"/>
    <x v="66"/>
    <x v="0"/>
    <x v="0"/>
    <x v="24"/>
    <x v="0"/>
    <x v="0"/>
    <x v="0"/>
    <x v="0"/>
  </r>
  <r>
    <x v="113"/>
    <x v="113"/>
    <x v="129"/>
    <x v="11"/>
    <x v="196"/>
    <x v="28"/>
    <x v="76"/>
    <x v="1"/>
    <x v="1"/>
    <x v="1"/>
    <x v="1"/>
    <x v="1"/>
    <x v="1"/>
    <x v="1"/>
    <x v="0"/>
    <x v="1"/>
    <x v="0"/>
  </r>
  <r>
    <x v="109"/>
    <x v="109"/>
    <x v="221"/>
    <x v="13"/>
    <x v="168"/>
    <x v="142"/>
    <x v="166"/>
    <x v="1"/>
    <x v="1"/>
    <x v="1"/>
    <x v="1"/>
    <x v="1"/>
    <x v="1"/>
    <x v="1"/>
    <x v="0"/>
    <x v="1"/>
    <x v="0"/>
  </r>
  <r>
    <x v="110"/>
    <x v="110"/>
    <x v="222"/>
    <x v="5"/>
    <x v="197"/>
    <x v="152"/>
    <x v="167"/>
    <x v="1"/>
    <x v="1"/>
    <x v="1"/>
    <x v="1"/>
    <x v="1"/>
    <x v="1"/>
    <x v="1"/>
    <x v="0"/>
    <x v="1"/>
    <x v="0"/>
  </r>
  <r>
    <x v="111"/>
    <x v="111"/>
    <x v="223"/>
    <x v="1"/>
    <x v="198"/>
    <x v="5"/>
    <x v="5"/>
    <x v="1"/>
    <x v="1"/>
    <x v="1"/>
    <x v="1"/>
    <x v="1"/>
    <x v="1"/>
    <x v="1"/>
    <x v="0"/>
    <x v="1"/>
    <x v="0"/>
  </r>
  <r>
    <x v="113"/>
    <x v="113"/>
    <x v="224"/>
    <x v="4"/>
    <x v="4"/>
    <x v="4"/>
    <x v="4"/>
    <x v="1"/>
    <x v="1"/>
    <x v="3"/>
    <x v="1"/>
    <x v="1"/>
    <x v="3"/>
    <x v="1"/>
    <x v="0"/>
    <x v="1"/>
    <x v="0"/>
  </r>
  <r>
    <x v="112"/>
    <x v="112"/>
    <x v="225"/>
    <x v="1"/>
    <x v="199"/>
    <x v="61"/>
    <x v="63"/>
    <x v="1"/>
    <x v="1"/>
    <x v="1"/>
    <x v="1"/>
    <x v="1"/>
    <x v="1"/>
    <x v="1"/>
    <x v="0"/>
    <x v="1"/>
    <x v="0"/>
  </r>
  <r>
    <x v="109"/>
    <x v="109"/>
    <x v="110"/>
    <x v="4"/>
    <x v="4"/>
    <x v="4"/>
    <x v="4"/>
    <x v="1"/>
    <x v="1"/>
    <x v="3"/>
    <x v="1"/>
    <x v="1"/>
    <x v="3"/>
    <x v="1"/>
    <x v="0"/>
    <x v="1"/>
    <x v="0"/>
  </r>
  <r>
    <x v="110"/>
    <x v="110"/>
    <x v="226"/>
    <x v="4"/>
    <x v="4"/>
    <x v="4"/>
    <x v="4"/>
    <x v="1"/>
    <x v="1"/>
    <x v="3"/>
    <x v="1"/>
    <x v="1"/>
    <x v="3"/>
    <x v="1"/>
    <x v="0"/>
    <x v="1"/>
    <x v="0"/>
  </r>
  <r>
    <x v="111"/>
    <x v="111"/>
    <x v="227"/>
    <x v="5"/>
    <x v="187"/>
    <x v="153"/>
    <x v="168"/>
    <x v="1"/>
    <x v="1"/>
    <x v="1"/>
    <x v="1"/>
    <x v="1"/>
    <x v="1"/>
    <x v="1"/>
    <x v="0"/>
    <x v="1"/>
    <x v="0"/>
  </r>
  <r>
    <x v="105"/>
    <x v="105"/>
    <x v="20"/>
    <x v="4"/>
    <x v="4"/>
    <x v="4"/>
    <x v="4"/>
    <x v="1"/>
    <x v="1"/>
    <x v="3"/>
    <x v="1"/>
    <x v="1"/>
    <x v="3"/>
    <x v="1"/>
    <x v="0"/>
    <x v="1"/>
    <x v="0"/>
  </r>
  <r>
    <x v="107"/>
    <x v="107"/>
    <x v="172"/>
    <x v="4"/>
    <x v="4"/>
    <x v="4"/>
    <x v="4"/>
    <x v="1"/>
    <x v="1"/>
    <x v="3"/>
    <x v="1"/>
    <x v="1"/>
    <x v="3"/>
    <x v="1"/>
    <x v="0"/>
    <x v="1"/>
    <x v="0"/>
  </r>
  <r>
    <x v="106"/>
    <x v="106"/>
    <x v="167"/>
    <x v="11"/>
    <x v="200"/>
    <x v="90"/>
    <x v="169"/>
    <x v="1"/>
    <x v="1"/>
    <x v="1"/>
    <x v="1"/>
    <x v="1"/>
    <x v="1"/>
    <x v="1"/>
    <x v="0"/>
    <x v="1"/>
    <x v="0"/>
  </r>
  <r>
    <x v="114"/>
    <x v="114"/>
    <x v="228"/>
    <x v="29"/>
    <x v="30"/>
    <x v="4"/>
    <x v="170"/>
    <x v="12"/>
    <x v="1"/>
    <x v="3"/>
    <x v="9"/>
    <x v="10"/>
    <x v="3"/>
    <x v="5"/>
    <x v="7"/>
    <x v="6"/>
    <x v="8"/>
  </r>
</pivotCacheRecords>
</file>

<file path=xl/pivotCache/pivotCacheRecords26.xml><?xml version="1.0" encoding="utf-8"?>
<pivotCacheRecords xmlns="http://schemas.openxmlformats.org/spreadsheetml/2006/main" xmlns:r="http://schemas.openxmlformats.org/officeDocument/2006/relationships" count="310">
  <r>
    <x v="0"/>
    <x v="0"/>
    <x v="0"/>
    <x v="0"/>
    <x v="0"/>
    <x v="0"/>
    <x v="0"/>
    <x v="0"/>
    <x v="0"/>
    <x v="0"/>
    <x v="0"/>
    <x v="0"/>
    <x v="0"/>
    <x v="0"/>
    <x v="0"/>
    <x v="0"/>
    <x v="0"/>
  </r>
  <r>
    <x v="1"/>
    <x v="1"/>
    <x v="1"/>
    <x v="1"/>
    <x v="1"/>
    <x v="1"/>
    <x v="1"/>
    <x v="1"/>
    <x v="1"/>
    <x v="1"/>
    <x v="1"/>
    <x v="1"/>
    <x v="1"/>
    <x v="1"/>
    <x v="1"/>
    <x v="1"/>
    <x v="1"/>
  </r>
  <r>
    <x v="2"/>
    <x v="2"/>
    <x v="2"/>
    <x v="2"/>
    <x v="2"/>
    <x v="2"/>
    <x v="2"/>
    <x v="2"/>
    <x v="2"/>
    <x v="2"/>
    <x v="0"/>
    <x v="0"/>
    <x v="2"/>
    <x v="2"/>
    <x v="2"/>
    <x v="2"/>
    <x v="2"/>
  </r>
  <r>
    <x v="2"/>
    <x v="2"/>
    <x v="3"/>
    <x v="3"/>
    <x v="3"/>
    <x v="3"/>
    <x v="3"/>
    <x v="3"/>
    <x v="3"/>
    <x v="3"/>
    <x v="2"/>
    <x v="2"/>
    <x v="3"/>
    <x v="0"/>
    <x v="1"/>
    <x v="3"/>
    <x v="1"/>
  </r>
  <r>
    <x v="3"/>
    <x v="3"/>
    <x v="4"/>
    <x v="4"/>
    <x v="4"/>
    <x v="4"/>
    <x v="4"/>
    <x v="1"/>
    <x v="1"/>
    <x v="1"/>
    <x v="1"/>
    <x v="1"/>
    <x v="1"/>
    <x v="1"/>
    <x v="1"/>
    <x v="1"/>
    <x v="1"/>
  </r>
  <r>
    <x v="1"/>
    <x v="1"/>
    <x v="5"/>
    <x v="5"/>
    <x v="5"/>
    <x v="5"/>
    <x v="5"/>
    <x v="1"/>
    <x v="1"/>
    <x v="1"/>
    <x v="1"/>
    <x v="1"/>
    <x v="1"/>
    <x v="1"/>
    <x v="1"/>
    <x v="1"/>
    <x v="1"/>
  </r>
  <r>
    <x v="4"/>
    <x v="4"/>
    <x v="6"/>
    <x v="3"/>
    <x v="6"/>
    <x v="6"/>
    <x v="6"/>
    <x v="4"/>
    <x v="4"/>
    <x v="4"/>
    <x v="2"/>
    <x v="2"/>
    <x v="3"/>
    <x v="0"/>
    <x v="1"/>
    <x v="0"/>
    <x v="1"/>
  </r>
  <r>
    <x v="0"/>
    <x v="0"/>
    <x v="7"/>
    <x v="6"/>
    <x v="7"/>
    <x v="7"/>
    <x v="7"/>
    <x v="5"/>
    <x v="5"/>
    <x v="5"/>
    <x v="3"/>
    <x v="3"/>
    <x v="4"/>
    <x v="3"/>
    <x v="3"/>
    <x v="4"/>
    <x v="3"/>
  </r>
  <r>
    <x v="5"/>
    <x v="5"/>
    <x v="8"/>
    <x v="7"/>
    <x v="8"/>
    <x v="8"/>
    <x v="8"/>
    <x v="6"/>
    <x v="6"/>
    <x v="6"/>
    <x v="4"/>
    <x v="4"/>
    <x v="5"/>
    <x v="0"/>
    <x v="2"/>
    <x v="0"/>
    <x v="4"/>
  </r>
  <r>
    <x v="1"/>
    <x v="1"/>
    <x v="9"/>
    <x v="8"/>
    <x v="9"/>
    <x v="9"/>
    <x v="9"/>
    <x v="7"/>
    <x v="7"/>
    <x v="7"/>
    <x v="5"/>
    <x v="5"/>
    <x v="6"/>
    <x v="4"/>
    <x v="4"/>
    <x v="5"/>
    <x v="5"/>
  </r>
  <r>
    <x v="4"/>
    <x v="4"/>
    <x v="10"/>
    <x v="9"/>
    <x v="10"/>
    <x v="10"/>
    <x v="10"/>
    <x v="8"/>
    <x v="8"/>
    <x v="8"/>
    <x v="4"/>
    <x v="4"/>
    <x v="7"/>
    <x v="2"/>
    <x v="1"/>
    <x v="2"/>
    <x v="1"/>
  </r>
  <r>
    <x v="1"/>
    <x v="1"/>
    <x v="11"/>
    <x v="10"/>
    <x v="11"/>
    <x v="11"/>
    <x v="11"/>
    <x v="9"/>
    <x v="9"/>
    <x v="9"/>
    <x v="6"/>
    <x v="6"/>
    <x v="8"/>
    <x v="5"/>
    <x v="5"/>
    <x v="6"/>
    <x v="6"/>
  </r>
  <r>
    <x v="5"/>
    <x v="5"/>
    <x v="12"/>
    <x v="11"/>
    <x v="12"/>
    <x v="12"/>
    <x v="12"/>
    <x v="4"/>
    <x v="10"/>
    <x v="10"/>
    <x v="2"/>
    <x v="2"/>
    <x v="9"/>
    <x v="0"/>
    <x v="1"/>
    <x v="0"/>
    <x v="1"/>
  </r>
  <r>
    <x v="2"/>
    <x v="2"/>
    <x v="13"/>
    <x v="12"/>
    <x v="13"/>
    <x v="13"/>
    <x v="13"/>
    <x v="10"/>
    <x v="11"/>
    <x v="11"/>
    <x v="7"/>
    <x v="7"/>
    <x v="10"/>
    <x v="0"/>
    <x v="6"/>
    <x v="0"/>
    <x v="7"/>
  </r>
  <r>
    <x v="6"/>
    <x v="6"/>
    <x v="14"/>
    <x v="13"/>
    <x v="14"/>
    <x v="14"/>
    <x v="14"/>
    <x v="2"/>
    <x v="12"/>
    <x v="12"/>
    <x v="4"/>
    <x v="0"/>
    <x v="3"/>
    <x v="5"/>
    <x v="1"/>
    <x v="6"/>
    <x v="1"/>
  </r>
  <r>
    <x v="7"/>
    <x v="7"/>
    <x v="15"/>
    <x v="13"/>
    <x v="15"/>
    <x v="15"/>
    <x v="15"/>
    <x v="1"/>
    <x v="1"/>
    <x v="1"/>
    <x v="1"/>
    <x v="1"/>
    <x v="1"/>
    <x v="1"/>
    <x v="1"/>
    <x v="1"/>
    <x v="1"/>
  </r>
  <r>
    <x v="6"/>
    <x v="6"/>
    <x v="16"/>
    <x v="3"/>
    <x v="16"/>
    <x v="16"/>
    <x v="16"/>
    <x v="1"/>
    <x v="1"/>
    <x v="1"/>
    <x v="1"/>
    <x v="1"/>
    <x v="1"/>
    <x v="1"/>
    <x v="1"/>
    <x v="1"/>
    <x v="1"/>
  </r>
  <r>
    <x v="8"/>
    <x v="8"/>
    <x v="17"/>
    <x v="3"/>
    <x v="17"/>
    <x v="17"/>
    <x v="17"/>
    <x v="1"/>
    <x v="1"/>
    <x v="1"/>
    <x v="1"/>
    <x v="1"/>
    <x v="1"/>
    <x v="1"/>
    <x v="1"/>
    <x v="1"/>
    <x v="1"/>
  </r>
  <r>
    <x v="9"/>
    <x v="9"/>
    <x v="18"/>
    <x v="14"/>
    <x v="18"/>
    <x v="18"/>
    <x v="18"/>
    <x v="1"/>
    <x v="1"/>
    <x v="1"/>
    <x v="1"/>
    <x v="1"/>
    <x v="1"/>
    <x v="1"/>
    <x v="1"/>
    <x v="1"/>
    <x v="1"/>
  </r>
  <r>
    <x v="10"/>
    <x v="10"/>
    <x v="19"/>
    <x v="15"/>
    <x v="19"/>
    <x v="19"/>
    <x v="19"/>
    <x v="4"/>
    <x v="13"/>
    <x v="13"/>
    <x v="2"/>
    <x v="2"/>
    <x v="11"/>
    <x v="0"/>
    <x v="1"/>
    <x v="0"/>
    <x v="1"/>
  </r>
  <r>
    <x v="8"/>
    <x v="8"/>
    <x v="20"/>
    <x v="16"/>
    <x v="20"/>
    <x v="20"/>
    <x v="20"/>
    <x v="1"/>
    <x v="1"/>
    <x v="14"/>
    <x v="1"/>
    <x v="1"/>
    <x v="12"/>
    <x v="1"/>
    <x v="1"/>
    <x v="1"/>
    <x v="1"/>
  </r>
  <r>
    <x v="9"/>
    <x v="9"/>
    <x v="21"/>
    <x v="16"/>
    <x v="20"/>
    <x v="20"/>
    <x v="20"/>
    <x v="1"/>
    <x v="1"/>
    <x v="14"/>
    <x v="1"/>
    <x v="1"/>
    <x v="12"/>
    <x v="1"/>
    <x v="1"/>
    <x v="1"/>
    <x v="1"/>
  </r>
  <r>
    <x v="11"/>
    <x v="11"/>
    <x v="22"/>
    <x v="16"/>
    <x v="20"/>
    <x v="20"/>
    <x v="20"/>
    <x v="1"/>
    <x v="1"/>
    <x v="14"/>
    <x v="1"/>
    <x v="1"/>
    <x v="12"/>
    <x v="1"/>
    <x v="1"/>
    <x v="1"/>
    <x v="1"/>
  </r>
  <r>
    <x v="12"/>
    <x v="12"/>
    <x v="23"/>
    <x v="16"/>
    <x v="20"/>
    <x v="20"/>
    <x v="20"/>
    <x v="1"/>
    <x v="1"/>
    <x v="14"/>
    <x v="1"/>
    <x v="1"/>
    <x v="12"/>
    <x v="1"/>
    <x v="1"/>
    <x v="1"/>
    <x v="1"/>
  </r>
  <r>
    <x v="13"/>
    <x v="13"/>
    <x v="24"/>
    <x v="16"/>
    <x v="20"/>
    <x v="20"/>
    <x v="20"/>
    <x v="1"/>
    <x v="1"/>
    <x v="14"/>
    <x v="1"/>
    <x v="1"/>
    <x v="12"/>
    <x v="1"/>
    <x v="1"/>
    <x v="1"/>
    <x v="1"/>
  </r>
  <r>
    <x v="14"/>
    <x v="14"/>
    <x v="25"/>
    <x v="17"/>
    <x v="21"/>
    <x v="21"/>
    <x v="21"/>
    <x v="1"/>
    <x v="1"/>
    <x v="1"/>
    <x v="1"/>
    <x v="1"/>
    <x v="1"/>
    <x v="1"/>
    <x v="1"/>
    <x v="1"/>
    <x v="1"/>
  </r>
  <r>
    <x v="6"/>
    <x v="6"/>
    <x v="26"/>
    <x v="18"/>
    <x v="22"/>
    <x v="22"/>
    <x v="22"/>
    <x v="1"/>
    <x v="1"/>
    <x v="1"/>
    <x v="1"/>
    <x v="1"/>
    <x v="1"/>
    <x v="1"/>
    <x v="1"/>
    <x v="1"/>
    <x v="1"/>
  </r>
  <r>
    <x v="15"/>
    <x v="15"/>
    <x v="27"/>
    <x v="18"/>
    <x v="23"/>
    <x v="23"/>
    <x v="23"/>
    <x v="1"/>
    <x v="1"/>
    <x v="1"/>
    <x v="1"/>
    <x v="1"/>
    <x v="1"/>
    <x v="1"/>
    <x v="1"/>
    <x v="1"/>
    <x v="1"/>
  </r>
  <r>
    <x v="16"/>
    <x v="16"/>
    <x v="28"/>
    <x v="19"/>
    <x v="24"/>
    <x v="24"/>
    <x v="24"/>
    <x v="4"/>
    <x v="14"/>
    <x v="15"/>
    <x v="2"/>
    <x v="2"/>
    <x v="13"/>
    <x v="0"/>
    <x v="1"/>
    <x v="0"/>
    <x v="1"/>
  </r>
  <r>
    <x v="17"/>
    <x v="17"/>
    <x v="29"/>
    <x v="7"/>
    <x v="25"/>
    <x v="25"/>
    <x v="25"/>
    <x v="4"/>
    <x v="15"/>
    <x v="16"/>
    <x v="2"/>
    <x v="2"/>
    <x v="14"/>
    <x v="1"/>
    <x v="2"/>
    <x v="1"/>
    <x v="2"/>
  </r>
  <r>
    <x v="12"/>
    <x v="12"/>
    <x v="30"/>
    <x v="17"/>
    <x v="26"/>
    <x v="26"/>
    <x v="26"/>
    <x v="1"/>
    <x v="1"/>
    <x v="1"/>
    <x v="1"/>
    <x v="1"/>
    <x v="1"/>
    <x v="1"/>
    <x v="1"/>
    <x v="1"/>
    <x v="1"/>
  </r>
  <r>
    <x v="13"/>
    <x v="13"/>
    <x v="31"/>
    <x v="20"/>
    <x v="27"/>
    <x v="5"/>
    <x v="27"/>
    <x v="4"/>
    <x v="16"/>
    <x v="17"/>
    <x v="2"/>
    <x v="2"/>
    <x v="15"/>
    <x v="0"/>
    <x v="1"/>
    <x v="0"/>
    <x v="1"/>
  </r>
  <r>
    <x v="18"/>
    <x v="18"/>
    <x v="32"/>
    <x v="16"/>
    <x v="20"/>
    <x v="20"/>
    <x v="20"/>
    <x v="1"/>
    <x v="1"/>
    <x v="14"/>
    <x v="1"/>
    <x v="1"/>
    <x v="12"/>
    <x v="1"/>
    <x v="1"/>
    <x v="1"/>
    <x v="1"/>
  </r>
  <r>
    <x v="19"/>
    <x v="19"/>
    <x v="33"/>
    <x v="14"/>
    <x v="28"/>
    <x v="27"/>
    <x v="28"/>
    <x v="1"/>
    <x v="1"/>
    <x v="1"/>
    <x v="1"/>
    <x v="1"/>
    <x v="1"/>
    <x v="1"/>
    <x v="1"/>
    <x v="1"/>
    <x v="1"/>
  </r>
  <r>
    <x v="18"/>
    <x v="18"/>
    <x v="34"/>
    <x v="16"/>
    <x v="20"/>
    <x v="20"/>
    <x v="20"/>
    <x v="1"/>
    <x v="1"/>
    <x v="14"/>
    <x v="1"/>
    <x v="1"/>
    <x v="12"/>
    <x v="1"/>
    <x v="1"/>
    <x v="1"/>
    <x v="1"/>
  </r>
  <r>
    <x v="20"/>
    <x v="20"/>
    <x v="35"/>
    <x v="16"/>
    <x v="20"/>
    <x v="20"/>
    <x v="20"/>
    <x v="1"/>
    <x v="1"/>
    <x v="14"/>
    <x v="1"/>
    <x v="1"/>
    <x v="12"/>
    <x v="1"/>
    <x v="1"/>
    <x v="1"/>
    <x v="1"/>
  </r>
  <r>
    <x v="19"/>
    <x v="19"/>
    <x v="36"/>
    <x v="1"/>
    <x v="29"/>
    <x v="26"/>
    <x v="29"/>
    <x v="1"/>
    <x v="1"/>
    <x v="1"/>
    <x v="1"/>
    <x v="1"/>
    <x v="1"/>
    <x v="1"/>
    <x v="1"/>
    <x v="1"/>
    <x v="1"/>
  </r>
  <r>
    <x v="21"/>
    <x v="21"/>
    <x v="37"/>
    <x v="21"/>
    <x v="30"/>
    <x v="28"/>
    <x v="30"/>
    <x v="8"/>
    <x v="17"/>
    <x v="18"/>
    <x v="4"/>
    <x v="4"/>
    <x v="16"/>
    <x v="0"/>
    <x v="2"/>
    <x v="0"/>
    <x v="2"/>
  </r>
  <r>
    <x v="7"/>
    <x v="7"/>
    <x v="38"/>
    <x v="5"/>
    <x v="31"/>
    <x v="29"/>
    <x v="31"/>
    <x v="1"/>
    <x v="1"/>
    <x v="1"/>
    <x v="1"/>
    <x v="1"/>
    <x v="1"/>
    <x v="1"/>
    <x v="1"/>
    <x v="1"/>
    <x v="1"/>
  </r>
  <r>
    <x v="15"/>
    <x v="15"/>
    <x v="39"/>
    <x v="16"/>
    <x v="32"/>
    <x v="20"/>
    <x v="20"/>
    <x v="1"/>
    <x v="1"/>
    <x v="14"/>
    <x v="1"/>
    <x v="1"/>
    <x v="12"/>
    <x v="1"/>
    <x v="1"/>
    <x v="1"/>
    <x v="1"/>
  </r>
  <r>
    <x v="16"/>
    <x v="16"/>
    <x v="40"/>
    <x v="16"/>
    <x v="20"/>
    <x v="20"/>
    <x v="20"/>
    <x v="1"/>
    <x v="1"/>
    <x v="14"/>
    <x v="1"/>
    <x v="1"/>
    <x v="12"/>
    <x v="1"/>
    <x v="1"/>
    <x v="1"/>
    <x v="1"/>
  </r>
  <r>
    <x v="17"/>
    <x v="17"/>
    <x v="39"/>
    <x v="16"/>
    <x v="32"/>
    <x v="20"/>
    <x v="20"/>
    <x v="1"/>
    <x v="1"/>
    <x v="14"/>
    <x v="1"/>
    <x v="1"/>
    <x v="12"/>
    <x v="1"/>
    <x v="1"/>
    <x v="1"/>
    <x v="1"/>
  </r>
  <r>
    <x v="22"/>
    <x v="22"/>
    <x v="41"/>
    <x v="22"/>
    <x v="33"/>
    <x v="30"/>
    <x v="32"/>
    <x v="11"/>
    <x v="18"/>
    <x v="19"/>
    <x v="8"/>
    <x v="8"/>
    <x v="17"/>
    <x v="2"/>
    <x v="7"/>
    <x v="2"/>
    <x v="8"/>
  </r>
  <r>
    <x v="23"/>
    <x v="23"/>
    <x v="42"/>
    <x v="23"/>
    <x v="34"/>
    <x v="31"/>
    <x v="33"/>
    <x v="1"/>
    <x v="1"/>
    <x v="1"/>
    <x v="1"/>
    <x v="1"/>
    <x v="1"/>
    <x v="1"/>
    <x v="1"/>
    <x v="1"/>
    <x v="1"/>
  </r>
  <r>
    <x v="24"/>
    <x v="24"/>
    <x v="43"/>
    <x v="24"/>
    <x v="35"/>
    <x v="32"/>
    <x v="34"/>
    <x v="12"/>
    <x v="19"/>
    <x v="20"/>
    <x v="8"/>
    <x v="8"/>
    <x v="18"/>
    <x v="5"/>
    <x v="6"/>
    <x v="7"/>
    <x v="9"/>
  </r>
  <r>
    <x v="25"/>
    <x v="25"/>
    <x v="44"/>
    <x v="20"/>
    <x v="36"/>
    <x v="33"/>
    <x v="35"/>
    <x v="13"/>
    <x v="20"/>
    <x v="21"/>
    <x v="9"/>
    <x v="9"/>
    <x v="19"/>
    <x v="6"/>
    <x v="1"/>
    <x v="8"/>
    <x v="1"/>
  </r>
  <r>
    <x v="26"/>
    <x v="26"/>
    <x v="45"/>
    <x v="25"/>
    <x v="37"/>
    <x v="34"/>
    <x v="36"/>
    <x v="2"/>
    <x v="21"/>
    <x v="22"/>
    <x v="0"/>
    <x v="0"/>
    <x v="18"/>
    <x v="0"/>
    <x v="0"/>
    <x v="0"/>
    <x v="10"/>
  </r>
  <r>
    <x v="27"/>
    <x v="27"/>
    <x v="46"/>
    <x v="26"/>
    <x v="38"/>
    <x v="35"/>
    <x v="37"/>
    <x v="0"/>
    <x v="22"/>
    <x v="23"/>
    <x v="0"/>
    <x v="0"/>
    <x v="20"/>
    <x v="2"/>
    <x v="2"/>
    <x v="9"/>
    <x v="2"/>
  </r>
  <r>
    <x v="28"/>
    <x v="28"/>
    <x v="47"/>
    <x v="21"/>
    <x v="39"/>
    <x v="36"/>
    <x v="38"/>
    <x v="1"/>
    <x v="1"/>
    <x v="1"/>
    <x v="1"/>
    <x v="1"/>
    <x v="1"/>
    <x v="1"/>
    <x v="1"/>
    <x v="1"/>
    <x v="1"/>
  </r>
  <r>
    <x v="29"/>
    <x v="29"/>
    <x v="48"/>
    <x v="27"/>
    <x v="40"/>
    <x v="37"/>
    <x v="39"/>
    <x v="8"/>
    <x v="23"/>
    <x v="24"/>
    <x v="2"/>
    <x v="4"/>
    <x v="21"/>
    <x v="2"/>
    <x v="1"/>
    <x v="2"/>
    <x v="1"/>
  </r>
  <r>
    <x v="30"/>
    <x v="30"/>
    <x v="49"/>
    <x v="11"/>
    <x v="41"/>
    <x v="38"/>
    <x v="40"/>
    <x v="4"/>
    <x v="24"/>
    <x v="25"/>
    <x v="2"/>
    <x v="2"/>
    <x v="9"/>
    <x v="1"/>
    <x v="2"/>
    <x v="1"/>
    <x v="2"/>
  </r>
  <r>
    <x v="31"/>
    <x v="31"/>
    <x v="50"/>
    <x v="11"/>
    <x v="42"/>
    <x v="39"/>
    <x v="41"/>
    <x v="1"/>
    <x v="1"/>
    <x v="1"/>
    <x v="1"/>
    <x v="1"/>
    <x v="1"/>
    <x v="1"/>
    <x v="1"/>
    <x v="1"/>
    <x v="1"/>
  </r>
  <r>
    <x v="32"/>
    <x v="32"/>
    <x v="51"/>
    <x v="28"/>
    <x v="43"/>
    <x v="40"/>
    <x v="42"/>
    <x v="10"/>
    <x v="25"/>
    <x v="26"/>
    <x v="7"/>
    <x v="7"/>
    <x v="22"/>
    <x v="0"/>
    <x v="6"/>
    <x v="0"/>
    <x v="7"/>
  </r>
  <r>
    <x v="28"/>
    <x v="28"/>
    <x v="52"/>
    <x v="29"/>
    <x v="44"/>
    <x v="41"/>
    <x v="43"/>
    <x v="11"/>
    <x v="26"/>
    <x v="27"/>
    <x v="8"/>
    <x v="8"/>
    <x v="23"/>
    <x v="7"/>
    <x v="0"/>
    <x v="10"/>
    <x v="10"/>
  </r>
  <r>
    <x v="25"/>
    <x v="25"/>
    <x v="53"/>
    <x v="30"/>
    <x v="45"/>
    <x v="42"/>
    <x v="44"/>
    <x v="4"/>
    <x v="27"/>
    <x v="28"/>
    <x v="2"/>
    <x v="2"/>
    <x v="24"/>
    <x v="0"/>
    <x v="1"/>
    <x v="0"/>
    <x v="1"/>
  </r>
  <r>
    <x v="26"/>
    <x v="26"/>
    <x v="54"/>
    <x v="31"/>
    <x v="46"/>
    <x v="43"/>
    <x v="45"/>
    <x v="0"/>
    <x v="28"/>
    <x v="29"/>
    <x v="0"/>
    <x v="0"/>
    <x v="9"/>
    <x v="2"/>
    <x v="2"/>
    <x v="2"/>
    <x v="4"/>
  </r>
  <r>
    <x v="29"/>
    <x v="29"/>
    <x v="55"/>
    <x v="32"/>
    <x v="47"/>
    <x v="44"/>
    <x v="46"/>
    <x v="2"/>
    <x v="29"/>
    <x v="30"/>
    <x v="0"/>
    <x v="0"/>
    <x v="25"/>
    <x v="0"/>
    <x v="0"/>
    <x v="0"/>
    <x v="10"/>
  </r>
  <r>
    <x v="31"/>
    <x v="31"/>
    <x v="56"/>
    <x v="33"/>
    <x v="48"/>
    <x v="45"/>
    <x v="47"/>
    <x v="2"/>
    <x v="30"/>
    <x v="31"/>
    <x v="0"/>
    <x v="0"/>
    <x v="26"/>
    <x v="5"/>
    <x v="1"/>
    <x v="6"/>
    <x v="1"/>
  </r>
  <r>
    <x v="33"/>
    <x v="33"/>
    <x v="57"/>
    <x v="34"/>
    <x v="49"/>
    <x v="46"/>
    <x v="48"/>
    <x v="4"/>
    <x v="31"/>
    <x v="32"/>
    <x v="2"/>
    <x v="2"/>
    <x v="27"/>
    <x v="0"/>
    <x v="1"/>
    <x v="0"/>
    <x v="1"/>
  </r>
  <r>
    <x v="22"/>
    <x v="22"/>
    <x v="58"/>
    <x v="28"/>
    <x v="50"/>
    <x v="47"/>
    <x v="49"/>
    <x v="2"/>
    <x v="32"/>
    <x v="33"/>
    <x v="0"/>
    <x v="0"/>
    <x v="28"/>
    <x v="0"/>
    <x v="0"/>
    <x v="0"/>
    <x v="10"/>
  </r>
  <r>
    <x v="23"/>
    <x v="23"/>
    <x v="59"/>
    <x v="10"/>
    <x v="51"/>
    <x v="6"/>
    <x v="50"/>
    <x v="0"/>
    <x v="33"/>
    <x v="34"/>
    <x v="0"/>
    <x v="0"/>
    <x v="29"/>
    <x v="2"/>
    <x v="2"/>
    <x v="2"/>
    <x v="4"/>
  </r>
  <r>
    <x v="18"/>
    <x v="18"/>
    <x v="60"/>
    <x v="16"/>
    <x v="20"/>
    <x v="20"/>
    <x v="20"/>
    <x v="1"/>
    <x v="1"/>
    <x v="14"/>
    <x v="1"/>
    <x v="1"/>
    <x v="12"/>
    <x v="1"/>
    <x v="1"/>
    <x v="1"/>
    <x v="1"/>
  </r>
  <r>
    <x v="20"/>
    <x v="20"/>
    <x v="61"/>
    <x v="16"/>
    <x v="20"/>
    <x v="20"/>
    <x v="20"/>
    <x v="1"/>
    <x v="1"/>
    <x v="14"/>
    <x v="1"/>
    <x v="1"/>
    <x v="12"/>
    <x v="1"/>
    <x v="1"/>
    <x v="1"/>
    <x v="1"/>
  </r>
  <r>
    <x v="19"/>
    <x v="19"/>
    <x v="62"/>
    <x v="16"/>
    <x v="20"/>
    <x v="20"/>
    <x v="20"/>
    <x v="1"/>
    <x v="1"/>
    <x v="14"/>
    <x v="1"/>
    <x v="1"/>
    <x v="12"/>
    <x v="1"/>
    <x v="1"/>
    <x v="1"/>
    <x v="1"/>
  </r>
  <r>
    <x v="34"/>
    <x v="34"/>
    <x v="63"/>
    <x v="14"/>
    <x v="52"/>
    <x v="48"/>
    <x v="51"/>
    <x v="1"/>
    <x v="1"/>
    <x v="1"/>
    <x v="1"/>
    <x v="1"/>
    <x v="1"/>
    <x v="1"/>
    <x v="1"/>
    <x v="1"/>
    <x v="1"/>
  </r>
  <r>
    <x v="35"/>
    <x v="35"/>
    <x v="64"/>
    <x v="16"/>
    <x v="20"/>
    <x v="20"/>
    <x v="20"/>
    <x v="1"/>
    <x v="1"/>
    <x v="14"/>
    <x v="1"/>
    <x v="1"/>
    <x v="12"/>
    <x v="1"/>
    <x v="1"/>
    <x v="1"/>
    <x v="1"/>
  </r>
  <r>
    <x v="36"/>
    <x v="36"/>
    <x v="65"/>
    <x v="16"/>
    <x v="20"/>
    <x v="20"/>
    <x v="20"/>
    <x v="1"/>
    <x v="1"/>
    <x v="14"/>
    <x v="1"/>
    <x v="1"/>
    <x v="12"/>
    <x v="1"/>
    <x v="1"/>
    <x v="1"/>
    <x v="1"/>
  </r>
  <r>
    <x v="10"/>
    <x v="10"/>
    <x v="66"/>
    <x v="2"/>
    <x v="53"/>
    <x v="49"/>
    <x v="52"/>
    <x v="4"/>
    <x v="34"/>
    <x v="35"/>
    <x v="2"/>
    <x v="2"/>
    <x v="30"/>
    <x v="0"/>
    <x v="1"/>
    <x v="0"/>
    <x v="1"/>
  </r>
  <r>
    <x v="29"/>
    <x v="29"/>
    <x v="23"/>
    <x v="16"/>
    <x v="20"/>
    <x v="20"/>
    <x v="20"/>
    <x v="1"/>
    <x v="1"/>
    <x v="14"/>
    <x v="1"/>
    <x v="1"/>
    <x v="12"/>
    <x v="1"/>
    <x v="1"/>
    <x v="1"/>
    <x v="1"/>
  </r>
  <r>
    <x v="31"/>
    <x v="31"/>
    <x v="64"/>
    <x v="16"/>
    <x v="20"/>
    <x v="20"/>
    <x v="20"/>
    <x v="1"/>
    <x v="1"/>
    <x v="14"/>
    <x v="1"/>
    <x v="1"/>
    <x v="12"/>
    <x v="1"/>
    <x v="1"/>
    <x v="1"/>
    <x v="1"/>
  </r>
  <r>
    <x v="37"/>
    <x v="37"/>
    <x v="67"/>
    <x v="15"/>
    <x v="54"/>
    <x v="50"/>
    <x v="53"/>
    <x v="4"/>
    <x v="35"/>
    <x v="36"/>
    <x v="2"/>
    <x v="2"/>
    <x v="11"/>
    <x v="1"/>
    <x v="2"/>
    <x v="1"/>
    <x v="2"/>
  </r>
  <r>
    <x v="27"/>
    <x v="27"/>
    <x v="68"/>
    <x v="18"/>
    <x v="55"/>
    <x v="51"/>
    <x v="54"/>
    <x v="1"/>
    <x v="1"/>
    <x v="1"/>
    <x v="1"/>
    <x v="1"/>
    <x v="1"/>
    <x v="1"/>
    <x v="1"/>
    <x v="1"/>
    <x v="1"/>
  </r>
  <r>
    <x v="32"/>
    <x v="32"/>
    <x v="69"/>
    <x v="35"/>
    <x v="56"/>
    <x v="52"/>
    <x v="55"/>
    <x v="0"/>
    <x v="36"/>
    <x v="37"/>
    <x v="0"/>
    <x v="0"/>
    <x v="10"/>
    <x v="1"/>
    <x v="6"/>
    <x v="1"/>
    <x v="9"/>
  </r>
  <r>
    <x v="25"/>
    <x v="25"/>
    <x v="35"/>
    <x v="16"/>
    <x v="20"/>
    <x v="20"/>
    <x v="20"/>
    <x v="1"/>
    <x v="1"/>
    <x v="14"/>
    <x v="1"/>
    <x v="1"/>
    <x v="12"/>
    <x v="1"/>
    <x v="1"/>
    <x v="1"/>
    <x v="1"/>
  </r>
  <r>
    <x v="38"/>
    <x v="38"/>
    <x v="35"/>
    <x v="16"/>
    <x v="20"/>
    <x v="20"/>
    <x v="20"/>
    <x v="1"/>
    <x v="1"/>
    <x v="14"/>
    <x v="1"/>
    <x v="1"/>
    <x v="12"/>
    <x v="1"/>
    <x v="1"/>
    <x v="1"/>
    <x v="1"/>
  </r>
  <r>
    <x v="9"/>
    <x v="9"/>
    <x v="70"/>
    <x v="14"/>
    <x v="57"/>
    <x v="53"/>
    <x v="56"/>
    <x v="1"/>
    <x v="1"/>
    <x v="1"/>
    <x v="1"/>
    <x v="1"/>
    <x v="1"/>
    <x v="1"/>
    <x v="1"/>
    <x v="1"/>
    <x v="1"/>
  </r>
  <r>
    <x v="11"/>
    <x v="11"/>
    <x v="71"/>
    <x v="18"/>
    <x v="58"/>
    <x v="54"/>
    <x v="57"/>
    <x v="1"/>
    <x v="1"/>
    <x v="1"/>
    <x v="1"/>
    <x v="1"/>
    <x v="1"/>
    <x v="1"/>
    <x v="1"/>
    <x v="1"/>
    <x v="1"/>
  </r>
  <r>
    <x v="15"/>
    <x v="15"/>
    <x v="72"/>
    <x v="16"/>
    <x v="20"/>
    <x v="20"/>
    <x v="20"/>
    <x v="1"/>
    <x v="1"/>
    <x v="14"/>
    <x v="1"/>
    <x v="1"/>
    <x v="12"/>
    <x v="1"/>
    <x v="1"/>
    <x v="1"/>
    <x v="1"/>
  </r>
  <r>
    <x v="17"/>
    <x v="17"/>
    <x v="73"/>
    <x v="14"/>
    <x v="59"/>
    <x v="55"/>
    <x v="58"/>
    <x v="1"/>
    <x v="1"/>
    <x v="1"/>
    <x v="1"/>
    <x v="1"/>
    <x v="1"/>
    <x v="1"/>
    <x v="1"/>
    <x v="1"/>
    <x v="1"/>
  </r>
  <r>
    <x v="26"/>
    <x v="26"/>
    <x v="74"/>
    <x v="30"/>
    <x v="60"/>
    <x v="56"/>
    <x v="59"/>
    <x v="4"/>
    <x v="37"/>
    <x v="38"/>
    <x v="2"/>
    <x v="2"/>
    <x v="24"/>
    <x v="0"/>
    <x v="1"/>
    <x v="0"/>
    <x v="1"/>
  </r>
  <r>
    <x v="38"/>
    <x v="38"/>
    <x v="75"/>
    <x v="4"/>
    <x v="61"/>
    <x v="26"/>
    <x v="60"/>
    <x v="1"/>
    <x v="1"/>
    <x v="1"/>
    <x v="1"/>
    <x v="1"/>
    <x v="1"/>
    <x v="1"/>
    <x v="1"/>
    <x v="1"/>
    <x v="1"/>
  </r>
  <r>
    <x v="33"/>
    <x v="33"/>
    <x v="76"/>
    <x v="1"/>
    <x v="62"/>
    <x v="57"/>
    <x v="61"/>
    <x v="1"/>
    <x v="1"/>
    <x v="1"/>
    <x v="1"/>
    <x v="1"/>
    <x v="1"/>
    <x v="1"/>
    <x v="1"/>
    <x v="1"/>
    <x v="1"/>
  </r>
  <r>
    <x v="23"/>
    <x v="23"/>
    <x v="77"/>
    <x v="18"/>
    <x v="63"/>
    <x v="58"/>
    <x v="40"/>
    <x v="1"/>
    <x v="1"/>
    <x v="1"/>
    <x v="1"/>
    <x v="1"/>
    <x v="1"/>
    <x v="1"/>
    <x v="1"/>
    <x v="1"/>
    <x v="1"/>
  </r>
  <r>
    <x v="39"/>
    <x v="39"/>
    <x v="78"/>
    <x v="36"/>
    <x v="64"/>
    <x v="59"/>
    <x v="62"/>
    <x v="4"/>
    <x v="38"/>
    <x v="39"/>
    <x v="2"/>
    <x v="2"/>
    <x v="10"/>
    <x v="1"/>
    <x v="2"/>
    <x v="1"/>
    <x v="2"/>
  </r>
  <r>
    <x v="40"/>
    <x v="40"/>
    <x v="79"/>
    <x v="14"/>
    <x v="65"/>
    <x v="1"/>
    <x v="63"/>
    <x v="4"/>
    <x v="39"/>
    <x v="40"/>
    <x v="2"/>
    <x v="2"/>
    <x v="31"/>
    <x v="1"/>
    <x v="2"/>
    <x v="1"/>
    <x v="2"/>
  </r>
  <r>
    <x v="41"/>
    <x v="41"/>
    <x v="80"/>
    <x v="37"/>
    <x v="66"/>
    <x v="60"/>
    <x v="64"/>
    <x v="1"/>
    <x v="1"/>
    <x v="1"/>
    <x v="1"/>
    <x v="1"/>
    <x v="1"/>
    <x v="1"/>
    <x v="1"/>
    <x v="1"/>
    <x v="1"/>
  </r>
  <r>
    <x v="39"/>
    <x v="39"/>
    <x v="81"/>
    <x v="38"/>
    <x v="67"/>
    <x v="61"/>
    <x v="65"/>
    <x v="14"/>
    <x v="40"/>
    <x v="41"/>
    <x v="10"/>
    <x v="10"/>
    <x v="32"/>
    <x v="8"/>
    <x v="8"/>
    <x v="11"/>
    <x v="11"/>
  </r>
  <r>
    <x v="40"/>
    <x v="40"/>
    <x v="82"/>
    <x v="39"/>
    <x v="68"/>
    <x v="62"/>
    <x v="66"/>
    <x v="15"/>
    <x v="41"/>
    <x v="42"/>
    <x v="9"/>
    <x v="9"/>
    <x v="33"/>
    <x v="1"/>
    <x v="9"/>
    <x v="1"/>
    <x v="12"/>
  </r>
  <r>
    <x v="42"/>
    <x v="42"/>
    <x v="83"/>
    <x v="17"/>
    <x v="69"/>
    <x v="63"/>
    <x v="67"/>
    <x v="1"/>
    <x v="1"/>
    <x v="1"/>
    <x v="1"/>
    <x v="1"/>
    <x v="1"/>
    <x v="1"/>
    <x v="1"/>
    <x v="1"/>
    <x v="1"/>
  </r>
  <r>
    <x v="42"/>
    <x v="42"/>
    <x v="84"/>
    <x v="20"/>
    <x v="70"/>
    <x v="64"/>
    <x v="68"/>
    <x v="2"/>
    <x v="42"/>
    <x v="43"/>
    <x v="0"/>
    <x v="0"/>
    <x v="34"/>
    <x v="0"/>
    <x v="0"/>
    <x v="0"/>
    <x v="10"/>
  </r>
  <r>
    <x v="43"/>
    <x v="43"/>
    <x v="85"/>
    <x v="31"/>
    <x v="71"/>
    <x v="65"/>
    <x v="69"/>
    <x v="8"/>
    <x v="43"/>
    <x v="44"/>
    <x v="4"/>
    <x v="4"/>
    <x v="35"/>
    <x v="0"/>
    <x v="2"/>
    <x v="0"/>
    <x v="2"/>
  </r>
  <r>
    <x v="44"/>
    <x v="44"/>
    <x v="86"/>
    <x v="3"/>
    <x v="72"/>
    <x v="66"/>
    <x v="70"/>
    <x v="1"/>
    <x v="1"/>
    <x v="1"/>
    <x v="1"/>
    <x v="1"/>
    <x v="1"/>
    <x v="1"/>
    <x v="1"/>
    <x v="1"/>
    <x v="1"/>
  </r>
  <r>
    <x v="45"/>
    <x v="45"/>
    <x v="87"/>
    <x v="9"/>
    <x v="73"/>
    <x v="29"/>
    <x v="71"/>
    <x v="1"/>
    <x v="1"/>
    <x v="1"/>
    <x v="1"/>
    <x v="1"/>
    <x v="1"/>
    <x v="1"/>
    <x v="1"/>
    <x v="1"/>
    <x v="1"/>
  </r>
  <r>
    <x v="46"/>
    <x v="46"/>
    <x v="88"/>
    <x v="11"/>
    <x v="74"/>
    <x v="67"/>
    <x v="72"/>
    <x v="4"/>
    <x v="44"/>
    <x v="45"/>
    <x v="2"/>
    <x v="2"/>
    <x v="9"/>
    <x v="1"/>
    <x v="2"/>
    <x v="1"/>
    <x v="2"/>
  </r>
  <r>
    <x v="47"/>
    <x v="47"/>
    <x v="89"/>
    <x v="9"/>
    <x v="75"/>
    <x v="68"/>
    <x v="73"/>
    <x v="2"/>
    <x v="45"/>
    <x v="46"/>
    <x v="0"/>
    <x v="0"/>
    <x v="36"/>
    <x v="0"/>
    <x v="0"/>
    <x v="0"/>
    <x v="10"/>
  </r>
  <r>
    <x v="48"/>
    <x v="48"/>
    <x v="90"/>
    <x v="36"/>
    <x v="76"/>
    <x v="69"/>
    <x v="74"/>
    <x v="1"/>
    <x v="1"/>
    <x v="1"/>
    <x v="1"/>
    <x v="1"/>
    <x v="1"/>
    <x v="1"/>
    <x v="1"/>
    <x v="1"/>
    <x v="1"/>
  </r>
  <r>
    <x v="49"/>
    <x v="49"/>
    <x v="91"/>
    <x v="5"/>
    <x v="77"/>
    <x v="70"/>
    <x v="75"/>
    <x v="16"/>
    <x v="46"/>
    <x v="47"/>
    <x v="0"/>
    <x v="8"/>
    <x v="37"/>
    <x v="6"/>
    <x v="2"/>
    <x v="12"/>
    <x v="2"/>
  </r>
  <r>
    <x v="47"/>
    <x v="47"/>
    <x v="92"/>
    <x v="40"/>
    <x v="78"/>
    <x v="71"/>
    <x v="76"/>
    <x v="17"/>
    <x v="47"/>
    <x v="48"/>
    <x v="11"/>
    <x v="11"/>
    <x v="38"/>
    <x v="5"/>
    <x v="8"/>
    <x v="6"/>
    <x v="11"/>
  </r>
  <r>
    <x v="45"/>
    <x v="45"/>
    <x v="93"/>
    <x v="41"/>
    <x v="79"/>
    <x v="72"/>
    <x v="77"/>
    <x v="0"/>
    <x v="48"/>
    <x v="49"/>
    <x v="0"/>
    <x v="0"/>
    <x v="39"/>
    <x v="5"/>
    <x v="1"/>
    <x v="13"/>
    <x v="1"/>
  </r>
  <r>
    <x v="50"/>
    <x v="50"/>
    <x v="94"/>
    <x v="9"/>
    <x v="80"/>
    <x v="73"/>
    <x v="78"/>
    <x v="4"/>
    <x v="49"/>
    <x v="50"/>
    <x v="2"/>
    <x v="2"/>
    <x v="40"/>
    <x v="1"/>
    <x v="2"/>
    <x v="1"/>
    <x v="2"/>
  </r>
  <r>
    <x v="39"/>
    <x v="39"/>
    <x v="80"/>
    <x v="11"/>
    <x v="81"/>
    <x v="74"/>
    <x v="79"/>
    <x v="1"/>
    <x v="1"/>
    <x v="1"/>
    <x v="1"/>
    <x v="1"/>
    <x v="1"/>
    <x v="1"/>
    <x v="1"/>
    <x v="1"/>
    <x v="1"/>
  </r>
  <r>
    <x v="43"/>
    <x v="43"/>
    <x v="95"/>
    <x v="18"/>
    <x v="82"/>
    <x v="75"/>
    <x v="80"/>
    <x v="1"/>
    <x v="1"/>
    <x v="1"/>
    <x v="1"/>
    <x v="1"/>
    <x v="1"/>
    <x v="1"/>
    <x v="1"/>
    <x v="1"/>
    <x v="1"/>
  </r>
  <r>
    <x v="51"/>
    <x v="51"/>
    <x v="96"/>
    <x v="1"/>
    <x v="83"/>
    <x v="18"/>
    <x v="81"/>
    <x v="4"/>
    <x v="50"/>
    <x v="51"/>
    <x v="2"/>
    <x v="2"/>
    <x v="41"/>
    <x v="1"/>
    <x v="2"/>
    <x v="1"/>
    <x v="2"/>
  </r>
  <r>
    <x v="52"/>
    <x v="52"/>
    <x v="97"/>
    <x v="20"/>
    <x v="84"/>
    <x v="76"/>
    <x v="82"/>
    <x v="2"/>
    <x v="51"/>
    <x v="52"/>
    <x v="0"/>
    <x v="0"/>
    <x v="34"/>
    <x v="2"/>
    <x v="2"/>
    <x v="2"/>
    <x v="2"/>
  </r>
  <r>
    <x v="26"/>
    <x v="26"/>
    <x v="98"/>
    <x v="42"/>
    <x v="85"/>
    <x v="77"/>
    <x v="83"/>
    <x v="18"/>
    <x v="52"/>
    <x v="53"/>
    <x v="4"/>
    <x v="4"/>
    <x v="29"/>
    <x v="2"/>
    <x v="1"/>
    <x v="14"/>
    <x v="1"/>
  </r>
  <r>
    <x v="31"/>
    <x v="31"/>
    <x v="99"/>
    <x v="4"/>
    <x v="86"/>
    <x v="78"/>
    <x v="84"/>
    <x v="1"/>
    <x v="1"/>
    <x v="1"/>
    <x v="1"/>
    <x v="1"/>
    <x v="1"/>
    <x v="1"/>
    <x v="1"/>
    <x v="1"/>
    <x v="1"/>
  </r>
  <r>
    <x v="24"/>
    <x v="24"/>
    <x v="100"/>
    <x v="7"/>
    <x v="87"/>
    <x v="79"/>
    <x v="85"/>
    <x v="4"/>
    <x v="53"/>
    <x v="54"/>
    <x v="2"/>
    <x v="2"/>
    <x v="14"/>
    <x v="0"/>
    <x v="1"/>
    <x v="0"/>
    <x v="1"/>
  </r>
  <r>
    <x v="27"/>
    <x v="27"/>
    <x v="101"/>
    <x v="27"/>
    <x v="88"/>
    <x v="80"/>
    <x v="86"/>
    <x v="4"/>
    <x v="54"/>
    <x v="55"/>
    <x v="2"/>
    <x v="2"/>
    <x v="21"/>
    <x v="0"/>
    <x v="1"/>
    <x v="0"/>
    <x v="1"/>
  </r>
  <r>
    <x v="37"/>
    <x v="37"/>
    <x v="102"/>
    <x v="2"/>
    <x v="89"/>
    <x v="81"/>
    <x v="87"/>
    <x v="0"/>
    <x v="55"/>
    <x v="56"/>
    <x v="0"/>
    <x v="0"/>
    <x v="2"/>
    <x v="2"/>
    <x v="2"/>
    <x v="9"/>
    <x v="2"/>
  </r>
  <r>
    <x v="22"/>
    <x v="22"/>
    <x v="103"/>
    <x v="27"/>
    <x v="90"/>
    <x v="82"/>
    <x v="74"/>
    <x v="1"/>
    <x v="1"/>
    <x v="1"/>
    <x v="1"/>
    <x v="1"/>
    <x v="1"/>
    <x v="1"/>
    <x v="1"/>
    <x v="1"/>
    <x v="1"/>
  </r>
  <r>
    <x v="23"/>
    <x v="23"/>
    <x v="104"/>
    <x v="26"/>
    <x v="91"/>
    <x v="83"/>
    <x v="88"/>
    <x v="1"/>
    <x v="1"/>
    <x v="1"/>
    <x v="1"/>
    <x v="1"/>
    <x v="1"/>
    <x v="1"/>
    <x v="1"/>
    <x v="1"/>
    <x v="1"/>
  </r>
  <r>
    <x v="24"/>
    <x v="24"/>
    <x v="105"/>
    <x v="9"/>
    <x v="92"/>
    <x v="84"/>
    <x v="89"/>
    <x v="8"/>
    <x v="56"/>
    <x v="57"/>
    <x v="4"/>
    <x v="4"/>
    <x v="7"/>
    <x v="0"/>
    <x v="2"/>
    <x v="0"/>
    <x v="2"/>
  </r>
  <r>
    <x v="53"/>
    <x v="53"/>
    <x v="106"/>
    <x v="11"/>
    <x v="93"/>
    <x v="85"/>
    <x v="90"/>
    <x v="1"/>
    <x v="1"/>
    <x v="1"/>
    <x v="1"/>
    <x v="1"/>
    <x v="1"/>
    <x v="1"/>
    <x v="1"/>
    <x v="1"/>
    <x v="1"/>
  </r>
  <r>
    <x v="49"/>
    <x v="49"/>
    <x v="107"/>
    <x v="16"/>
    <x v="20"/>
    <x v="20"/>
    <x v="20"/>
    <x v="1"/>
    <x v="1"/>
    <x v="14"/>
    <x v="1"/>
    <x v="1"/>
    <x v="12"/>
    <x v="1"/>
    <x v="1"/>
    <x v="1"/>
    <x v="1"/>
  </r>
  <r>
    <x v="47"/>
    <x v="47"/>
    <x v="108"/>
    <x v="30"/>
    <x v="94"/>
    <x v="86"/>
    <x v="91"/>
    <x v="1"/>
    <x v="1"/>
    <x v="1"/>
    <x v="1"/>
    <x v="1"/>
    <x v="1"/>
    <x v="1"/>
    <x v="1"/>
    <x v="1"/>
    <x v="1"/>
  </r>
  <r>
    <x v="54"/>
    <x v="54"/>
    <x v="109"/>
    <x v="17"/>
    <x v="95"/>
    <x v="87"/>
    <x v="92"/>
    <x v="1"/>
    <x v="1"/>
    <x v="1"/>
    <x v="1"/>
    <x v="1"/>
    <x v="1"/>
    <x v="1"/>
    <x v="1"/>
    <x v="1"/>
    <x v="1"/>
  </r>
  <r>
    <x v="2"/>
    <x v="2"/>
    <x v="110"/>
    <x v="18"/>
    <x v="96"/>
    <x v="88"/>
    <x v="93"/>
    <x v="3"/>
    <x v="57"/>
    <x v="58"/>
    <x v="2"/>
    <x v="2"/>
    <x v="36"/>
    <x v="0"/>
    <x v="1"/>
    <x v="3"/>
    <x v="1"/>
  </r>
  <r>
    <x v="3"/>
    <x v="3"/>
    <x v="111"/>
    <x v="14"/>
    <x v="97"/>
    <x v="89"/>
    <x v="94"/>
    <x v="4"/>
    <x v="58"/>
    <x v="59"/>
    <x v="2"/>
    <x v="2"/>
    <x v="31"/>
    <x v="1"/>
    <x v="2"/>
    <x v="1"/>
    <x v="2"/>
  </r>
  <r>
    <x v="1"/>
    <x v="1"/>
    <x v="112"/>
    <x v="30"/>
    <x v="98"/>
    <x v="90"/>
    <x v="74"/>
    <x v="4"/>
    <x v="59"/>
    <x v="60"/>
    <x v="2"/>
    <x v="2"/>
    <x v="24"/>
    <x v="1"/>
    <x v="2"/>
    <x v="1"/>
    <x v="2"/>
  </r>
  <r>
    <x v="6"/>
    <x v="6"/>
    <x v="113"/>
    <x v="3"/>
    <x v="99"/>
    <x v="91"/>
    <x v="95"/>
    <x v="4"/>
    <x v="60"/>
    <x v="61"/>
    <x v="2"/>
    <x v="2"/>
    <x v="3"/>
    <x v="0"/>
    <x v="1"/>
    <x v="0"/>
    <x v="1"/>
  </r>
  <r>
    <x v="7"/>
    <x v="7"/>
    <x v="114"/>
    <x v="5"/>
    <x v="100"/>
    <x v="92"/>
    <x v="96"/>
    <x v="1"/>
    <x v="1"/>
    <x v="1"/>
    <x v="1"/>
    <x v="1"/>
    <x v="1"/>
    <x v="1"/>
    <x v="1"/>
    <x v="1"/>
    <x v="1"/>
  </r>
  <r>
    <x v="0"/>
    <x v="0"/>
    <x v="115"/>
    <x v="42"/>
    <x v="101"/>
    <x v="93"/>
    <x v="97"/>
    <x v="8"/>
    <x v="61"/>
    <x v="62"/>
    <x v="4"/>
    <x v="4"/>
    <x v="29"/>
    <x v="2"/>
    <x v="1"/>
    <x v="2"/>
    <x v="1"/>
  </r>
  <r>
    <x v="55"/>
    <x v="55"/>
    <x v="116"/>
    <x v="9"/>
    <x v="102"/>
    <x v="94"/>
    <x v="98"/>
    <x v="8"/>
    <x v="62"/>
    <x v="63"/>
    <x v="4"/>
    <x v="4"/>
    <x v="7"/>
    <x v="0"/>
    <x v="2"/>
    <x v="0"/>
    <x v="2"/>
  </r>
  <r>
    <x v="56"/>
    <x v="56"/>
    <x v="117"/>
    <x v="16"/>
    <x v="20"/>
    <x v="20"/>
    <x v="20"/>
    <x v="1"/>
    <x v="1"/>
    <x v="14"/>
    <x v="1"/>
    <x v="1"/>
    <x v="12"/>
    <x v="1"/>
    <x v="1"/>
    <x v="1"/>
    <x v="1"/>
  </r>
  <r>
    <x v="2"/>
    <x v="2"/>
    <x v="118"/>
    <x v="14"/>
    <x v="103"/>
    <x v="95"/>
    <x v="99"/>
    <x v="1"/>
    <x v="1"/>
    <x v="1"/>
    <x v="1"/>
    <x v="1"/>
    <x v="1"/>
    <x v="1"/>
    <x v="1"/>
    <x v="1"/>
    <x v="1"/>
  </r>
  <r>
    <x v="2"/>
    <x v="2"/>
    <x v="119"/>
    <x v="3"/>
    <x v="104"/>
    <x v="96"/>
    <x v="100"/>
    <x v="6"/>
    <x v="63"/>
    <x v="64"/>
    <x v="4"/>
    <x v="4"/>
    <x v="42"/>
    <x v="2"/>
    <x v="1"/>
    <x v="9"/>
    <x v="1"/>
  </r>
  <r>
    <x v="3"/>
    <x v="3"/>
    <x v="120"/>
    <x v="14"/>
    <x v="105"/>
    <x v="97"/>
    <x v="101"/>
    <x v="1"/>
    <x v="1"/>
    <x v="1"/>
    <x v="1"/>
    <x v="1"/>
    <x v="1"/>
    <x v="1"/>
    <x v="1"/>
    <x v="1"/>
    <x v="1"/>
  </r>
  <r>
    <x v="57"/>
    <x v="57"/>
    <x v="121"/>
    <x v="14"/>
    <x v="106"/>
    <x v="98"/>
    <x v="102"/>
    <x v="1"/>
    <x v="1"/>
    <x v="1"/>
    <x v="1"/>
    <x v="1"/>
    <x v="1"/>
    <x v="1"/>
    <x v="1"/>
    <x v="1"/>
    <x v="1"/>
  </r>
  <r>
    <x v="39"/>
    <x v="39"/>
    <x v="122"/>
    <x v="36"/>
    <x v="107"/>
    <x v="99"/>
    <x v="44"/>
    <x v="4"/>
    <x v="27"/>
    <x v="28"/>
    <x v="2"/>
    <x v="2"/>
    <x v="10"/>
    <x v="1"/>
    <x v="2"/>
    <x v="1"/>
    <x v="2"/>
  </r>
  <r>
    <x v="46"/>
    <x v="46"/>
    <x v="123"/>
    <x v="16"/>
    <x v="20"/>
    <x v="20"/>
    <x v="20"/>
    <x v="1"/>
    <x v="1"/>
    <x v="14"/>
    <x v="1"/>
    <x v="1"/>
    <x v="12"/>
    <x v="1"/>
    <x v="1"/>
    <x v="1"/>
    <x v="1"/>
  </r>
  <r>
    <x v="44"/>
    <x v="44"/>
    <x v="124"/>
    <x v="16"/>
    <x v="20"/>
    <x v="20"/>
    <x v="20"/>
    <x v="1"/>
    <x v="1"/>
    <x v="14"/>
    <x v="1"/>
    <x v="1"/>
    <x v="12"/>
    <x v="1"/>
    <x v="1"/>
    <x v="1"/>
    <x v="1"/>
  </r>
  <r>
    <x v="44"/>
    <x v="44"/>
    <x v="125"/>
    <x v="14"/>
    <x v="108"/>
    <x v="100"/>
    <x v="103"/>
    <x v="1"/>
    <x v="1"/>
    <x v="1"/>
    <x v="1"/>
    <x v="1"/>
    <x v="1"/>
    <x v="1"/>
    <x v="1"/>
    <x v="1"/>
    <x v="1"/>
  </r>
  <r>
    <x v="45"/>
    <x v="45"/>
    <x v="126"/>
    <x v="27"/>
    <x v="109"/>
    <x v="101"/>
    <x v="104"/>
    <x v="3"/>
    <x v="64"/>
    <x v="65"/>
    <x v="2"/>
    <x v="2"/>
    <x v="21"/>
    <x v="0"/>
    <x v="1"/>
    <x v="3"/>
    <x v="1"/>
  </r>
  <r>
    <x v="50"/>
    <x v="50"/>
    <x v="127"/>
    <x v="18"/>
    <x v="110"/>
    <x v="102"/>
    <x v="105"/>
    <x v="1"/>
    <x v="1"/>
    <x v="1"/>
    <x v="1"/>
    <x v="1"/>
    <x v="1"/>
    <x v="1"/>
    <x v="1"/>
    <x v="1"/>
    <x v="1"/>
  </r>
  <r>
    <x v="39"/>
    <x v="39"/>
    <x v="128"/>
    <x v="4"/>
    <x v="111"/>
    <x v="95"/>
    <x v="106"/>
    <x v="1"/>
    <x v="1"/>
    <x v="1"/>
    <x v="1"/>
    <x v="1"/>
    <x v="1"/>
    <x v="1"/>
    <x v="1"/>
    <x v="1"/>
    <x v="1"/>
  </r>
  <r>
    <x v="40"/>
    <x v="40"/>
    <x v="129"/>
    <x v="16"/>
    <x v="20"/>
    <x v="20"/>
    <x v="20"/>
    <x v="1"/>
    <x v="1"/>
    <x v="14"/>
    <x v="1"/>
    <x v="1"/>
    <x v="12"/>
    <x v="1"/>
    <x v="1"/>
    <x v="1"/>
    <x v="1"/>
  </r>
  <r>
    <x v="29"/>
    <x v="29"/>
    <x v="130"/>
    <x v="26"/>
    <x v="112"/>
    <x v="103"/>
    <x v="107"/>
    <x v="3"/>
    <x v="65"/>
    <x v="66"/>
    <x v="2"/>
    <x v="2"/>
    <x v="22"/>
    <x v="1"/>
    <x v="2"/>
    <x v="1"/>
    <x v="4"/>
  </r>
  <r>
    <x v="31"/>
    <x v="31"/>
    <x v="131"/>
    <x v="30"/>
    <x v="113"/>
    <x v="104"/>
    <x v="108"/>
    <x v="4"/>
    <x v="66"/>
    <x v="67"/>
    <x v="2"/>
    <x v="2"/>
    <x v="24"/>
    <x v="0"/>
    <x v="1"/>
    <x v="0"/>
    <x v="1"/>
  </r>
  <r>
    <x v="47"/>
    <x v="47"/>
    <x v="132"/>
    <x v="3"/>
    <x v="114"/>
    <x v="55"/>
    <x v="109"/>
    <x v="1"/>
    <x v="1"/>
    <x v="1"/>
    <x v="1"/>
    <x v="1"/>
    <x v="1"/>
    <x v="1"/>
    <x v="1"/>
    <x v="1"/>
    <x v="1"/>
  </r>
  <r>
    <x v="49"/>
    <x v="49"/>
    <x v="36"/>
    <x v="16"/>
    <x v="20"/>
    <x v="20"/>
    <x v="20"/>
    <x v="1"/>
    <x v="1"/>
    <x v="14"/>
    <x v="1"/>
    <x v="1"/>
    <x v="12"/>
    <x v="1"/>
    <x v="1"/>
    <x v="1"/>
    <x v="1"/>
  </r>
  <r>
    <x v="54"/>
    <x v="54"/>
    <x v="133"/>
    <x v="1"/>
    <x v="115"/>
    <x v="95"/>
    <x v="110"/>
    <x v="1"/>
    <x v="1"/>
    <x v="1"/>
    <x v="1"/>
    <x v="1"/>
    <x v="1"/>
    <x v="1"/>
    <x v="1"/>
    <x v="1"/>
    <x v="1"/>
  </r>
  <r>
    <x v="6"/>
    <x v="6"/>
    <x v="134"/>
    <x v="16"/>
    <x v="20"/>
    <x v="20"/>
    <x v="20"/>
    <x v="1"/>
    <x v="1"/>
    <x v="14"/>
    <x v="1"/>
    <x v="1"/>
    <x v="12"/>
    <x v="1"/>
    <x v="1"/>
    <x v="1"/>
    <x v="1"/>
  </r>
  <r>
    <x v="21"/>
    <x v="21"/>
    <x v="135"/>
    <x v="4"/>
    <x v="116"/>
    <x v="105"/>
    <x v="111"/>
    <x v="1"/>
    <x v="1"/>
    <x v="1"/>
    <x v="1"/>
    <x v="1"/>
    <x v="1"/>
    <x v="1"/>
    <x v="1"/>
    <x v="1"/>
    <x v="1"/>
  </r>
  <r>
    <x v="33"/>
    <x v="33"/>
    <x v="136"/>
    <x v="14"/>
    <x v="117"/>
    <x v="53"/>
    <x v="56"/>
    <x v="1"/>
    <x v="1"/>
    <x v="1"/>
    <x v="1"/>
    <x v="1"/>
    <x v="1"/>
    <x v="1"/>
    <x v="1"/>
    <x v="1"/>
    <x v="1"/>
  </r>
  <r>
    <x v="58"/>
    <x v="58"/>
    <x v="137"/>
    <x v="4"/>
    <x v="118"/>
    <x v="106"/>
    <x v="112"/>
    <x v="1"/>
    <x v="1"/>
    <x v="1"/>
    <x v="1"/>
    <x v="1"/>
    <x v="1"/>
    <x v="1"/>
    <x v="1"/>
    <x v="1"/>
    <x v="1"/>
  </r>
  <r>
    <x v="38"/>
    <x v="38"/>
    <x v="138"/>
    <x v="1"/>
    <x v="119"/>
    <x v="107"/>
    <x v="113"/>
    <x v="1"/>
    <x v="1"/>
    <x v="1"/>
    <x v="1"/>
    <x v="1"/>
    <x v="1"/>
    <x v="1"/>
    <x v="1"/>
    <x v="1"/>
    <x v="1"/>
  </r>
  <r>
    <x v="0"/>
    <x v="0"/>
    <x v="139"/>
    <x v="14"/>
    <x v="120"/>
    <x v="108"/>
    <x v="114"/>
    <x v="1"/>
    <x v="1"/>
    <x v="1"/>
    <x v="1"/>
    <x v="1"/>
    <x v="1"/>
    <x v="1"/>
    <x v="1"/>
    <x v="1"/>
    <x v="1"/>
  </r>
  <r>
    <x v="51"/>
    <x v="51"/>
    <x v="140"/>
    <x v="14"/>
    <x v="121"/>
    <x v="109"/>
    <x v="115"/>
    <x v="1"/>
    <x v="1"/>
    <x v="1"/>
    <x v="1"/>
    <x v="1"/>
    <x v="1"/>
    <x v="1"/>
    <x v="1"/>
    <x v="1"/>
    <x v="1"/>
  </r>
  <r>
    <x v="42"/>
    <x v="42"/>
    <x v="141"/>
    <x v="4"/>
    <x v="122"/>
    <x v="110"/>
    <x v="116"/>
    <x v="1"/>
    <x v="1"/>
    <x v="1"/>
    <x v="1"/>
    <x v="1"/>
    <x v="1"/>
    <x v="1"/>
    <x v="1"/>
    <x v="1"/>
    <x v="1"/>
  </r>
  <r>
    <x v="59"/>
    <x v="59"/>
    <x v="142"/>
    <x v="17"/>
    <x v="123"/>
    <x v="111"/>
    <x v="117"/>
    <x v="8"/>
    <x v="67"/>
    <x v="68"/>
    <x v="4"/>
    <x v="4"/>
    <x v="43"/>
    <x v="1"/>
    <x v="0"/>
    <x v="1"/>
    <x v="10"/>
  </r>
  <r>
    <x v="26"/>
    <x v="26"/>
    <x v="143"/>
    <x v="16"/>
    <x v="20"/>
    <x v="20"/>
    <x v="20"/>
    <x v="1"/>
    <x v="1"/>
    <x v="14"/>
    <x v="1"/>
    <x v="1"/>
    <x v="12"/>
    <x v="1"/>
    <x v="1"/>
    <x v="1"/>
    <x v="1"/>
  </r>
  <r>
    <x v="38"/>
    <x v="38"/>
    <x v="144"/>
    <x v="16"/>
    <x v="20"/>
    <x v="20"/>
    <x v="20"/>
    <x v="1"/>
    <x v="1"/>
    <x v="14"/>
    <x v="1"/>
    <x v="1"/>
    <x v="12"/>
    <x v="1"/>
    <x v="1"/>
    <x v="1"/>
    <x v="1"/>
  </r>
  <r>
    <x v="60"/>
    <x v="60"/>
    <x v="20"/>
    <x v="16"/>
    <x v="20"/>
    <x v="20"/>
    <x v="20"/>
    <x v="1"/>
    <x v="1"/>
    <x v="14"/>
    <x v="1"/>
    <x v="1"/>
    <x v="12"/>
    <x v="1"/>
    <x v="1"/>
    <x v="1"/>
    <x v="1"/>
  </r>
  <r>
    <x v="2"/>
    <x v="2"/>
    <x v="145"/>
    <x v="1"/>
    <x v="124"/>
    <x v="95"/>
    <x v="110"/>
    <x v="1"/>
    <x v="1"/>
    <x v="1"/>
    <x v="1"/>
    <x v="1"/>
    <x v="1"/>
    <x v="1"/>
    <x v="1"/>
    <x v="1"/>
    <x v="1"/>
  </r>
  <r>
    <x v="57"/>
    <x v="57"/>
    <x v="146"/>
    <x v="16"/>
    <x v="20"/>
    <x v="20"/>
    <x v="20"/>
    <x v="1"/>
    <x v="1"/>
    <x v="14"/>
    <x v="1"/>
    <x v="1"/>
    <x v="12"/>
    <x v="1"/>
    <x v="1"/>
    <x v="1"/>
    <x v="1"/>
  </r>
  <r>
    <x v="1"/>
    <x v="1"/>
    <x v="147"/>
    <x v="18"/>
    <x v="125"/>
    <x v="88"/>
    <x v="93"/>
    <x v="19"/>
    <x v="68"/>
    <x v="69"/>
    <x v="2"/>
    <x v="2"/>
    <x v="36"/>
    <x v="0"/>
    <x v="1"/>
    <x v="15"/>
    <x v="1"/>
  </r>
  <r>
    <x v="25"/>
    <x v="25"/>
    <x v="148"/>
    <x v="14"/>
    <x v="126"/>
    <x v="112"/>
    <x v="118"/>
    <x v="1"/>
    <x v="1"/>
    <x v="1"/>
    <x v="1"/>
    <x v="1"/>
    <x v="1"/>
    <x v="1"/>
    <x v="1"/>
    <x v="1"/>
    <x v="1"/>
  </r>
  <r>
    <x v="32"/>
    <x v="32"/>
    <x v="149"/>
    <x v="35"/>
    <x v="127"/>
    <x v="113"/>
    <x v="119"/>
    <x v="8"/>
    <x v="25"/>
    <x v="26"/>
    <x v="4"/>
    <x v="4"/>
    <x v="44"/>
    <x v="1"/>
    <x v="0"/>
    <x v="1"/>
    <x v="10"/>
  </r>
  <r>
    <x v="28"/>
    <x v="28"/>
    <x v="85"/>
    <x v="23"/>
    <x v="128"/>
    <x v="114"/>
    <x v="120"/>
    <x v="20"/>
    <x v="69"/>
    <x v="70"/>
    <x v="4"/>
    <x v="0"/>
    <x v="45"/>
    <x v="1"/>
    <x v="6"/>
    <x v="1"/>
    <x v="13"/>
  </r>
  <r>
    <x v="61"/>
    <x v="61"/>
    <x v="150"/>
    <x v="4"/>
    <x v="129"/>
    <x v="86"/>
    <x v="121"/>
    <x v="1"/>
    <x v="1"/>
    <x v="1"/>
    <x v="1"/>
    <x v="1"/>
    <x v="1"/>
    <x v="1"/>
    <x v="1"/>
    <x v="1"/>
    <x v="1"/>
  </r>
  <r>
    <x v="62"/>
    <x v="62"/>
    <x v="151"/>
    <x v="36"/>
    <x v="130"/>
    <x v="115"/>
    <x v="122"/>
    <x v="4"/>
    <x v="70"/>
    <x v="71"/>
    <x v="2"/>
    <x v="2"/>
    <x v="10"/>
    <x v="0"/>
    <x v="1"/>
    <x v="0"/>
    <x v="1"/>
  </r>
  <r>
    <x v="27"/>
    <x v="27"/>
    <x v="152"/>
    <x v="0"/>
    <x v="131"/>
    <x v="116"/>
    <x v="123"/>
    <x v="10"/>
    <x v="71"/>
    <x v="72"/>
    <x v="7"/>
    <x v="7"/>
    <x v="46"/>
    <x v="0"/>
    <x v="6"/>
    <x v="0"/>
    <x v="7"/>
  </r>
  <r>
    <x v="23"/>
    <x v="23"/>
    <x v="153"/>
    <x v="36"/>
    <x v="132"/>
    <x v="117"/>
    <x v="124"/>
    <x v="1"/>
    <x v="1"/>
    <x v="1"/>
    <x v="1"/>
    <x v="1"/>
    <x v="1"/>
    <x v="1"/>
    <x v="1"/>
    <x v="1"/>
    <x v="1"/>
  </r>
  <r>
    <x v="23"/>
    <x v="23"/>
    <x v="154"/>
    <x v="3"/>
    <x v="133"/>
    <x v="118"/>
    <x v="125"/>
    <x v="4"/>
    <x v="72"/>
    <x v="73"/>
    <x v="2"/>
    <x v="2"/>
    <x v="3"/>
    <x v="1"/>
    <x v="2"/>
    <x v="1"/>
    <x v="2"/>
  </r>
  <r>
    <x v="63"/>
    <x v="63"/>
    <x v="155"/>
    <x v="26"/>
    <x v="134"/>
    <x v="119"/>
    <x v="126"/>
    <x v="1"/>
    <x v="1"/>
    <x v="1"/>
    <x v="1"/>
    <x v="1"/>
    <x v="1"/>
    <x v="1"/>
    <x v="1"/>
    <x v="1"/>
    <x v="1"/>
  </r>
  <r>
    <x v="64"/>
    <x v="64"/>
    <x v="83"/>
    <x v="1"/>
    <x v="135"/>
    <x v="120"/>
    <x v="127"/>
    <x v="1"/>
    <x v="1"/>
    <x v="1"/>
    <x v="1"/>
    <x v="1"/>
    <x v="1"/>
    <x v="1"/>
    <x v="1"/>
    <x v="1"/>
    <x v="1"/>
  </r>
  <r>
    <x v="65"/>
    <x v="65"/>
    <x v="156"/>
    <x v="31"/>
    <x v="136"/>
    <x v="121"/>
    <x v="128"/>
    <x v="8"/>
    <x v="73"/>
    <x v="74"/>
    <x v="4"/>
    <x v="4"/>
    <x v="35"/>
    <x v="0"/>
    <x v="2"/>
    <x v="0"/>
    <x v="2"/>
  </r>
  <r>
    <x v="66"/>
    <x v="66"/>
    <x v="157"/>
    <x v="26"/>
    <x v="137"/>
    <x v="65"/>
    <x v="129"/>
    <x v="4"/>
    <x v="74"/>
    <x v="75"/>
    <x v="4"/>
    <x v="4"/>
    <x v="9"/>
    <x v="2"/>
    <x v="1"/>
    <x v="0"/>
    <x v="1"/>
  </r>
  <r>
    <x v="67"/>
    <x v="67"/>
    <x v="158"/>
    <x v="36"/>
    <x v="138"/>
    <x v="122"/>
    <x v="130"/>
    <x v="4"/>
    <x v="75"/>
    <x v="76"/>
    <x v="2"/>
    <x v="2"/>
    <x v="10"/>
    <x v="0"/>
    <x v="1"/>
    <x v="0"/>
    <x v="1"/>
  </r>
  <r>
    <x v="68"/>
    <x v="68"/>
    <x v="159"/>
    <x v="14"/>
    <x v="139"/>
    <x v="110"/>
    <x v="131"/>
    <x v="1"/>
    <x v="1"/>
    <x v="1"/>
    <x v="1"/>
    <x v="1"/>
    <x v="1"/>
    <x v="1"/>
    <x v="1"/>
    <x v="1"/>
    <x v="1"/>
  </r>
  <r>
    <x v="69"/>
    <x v="69"/>
    <x v="160"/>
    <x v="20"/>
    <x v="140"/>
    <x v="44"/>
    <x v="132"/>
    <x v="1"/>
    <x v="1"/>
    <x v="1"/>
    <x v="1"/>
    <x v="1"/>
    <x v="1"/>
    <x v="1"/>
    <x v="1"/>
    <x v="1"/>
    <x v="1"/>
  </r>
  <r>
    <x v="70"/>
    <x v="70"/>
    <x v="161"/>
    <x v="36"/>
    <x v="141"/>
    <x v="123"/>
    <x v="133"/>
    <x v="6"/>
    <x v="76"/>
    <x v="77"/>
    <x v="4"/>
    <x v="4"/>
    <x v="47"/>
    <x v="1"/>
    <x v="0"/>
    <x v="1"/>
    <x v="0"/>
  </r>
  <r>
    <x v="71"/>
    <x v="71"/>
    <x v="162"/>
    <x v="11"/>
    <x v="142"/>
    <x v="124"/>
    <x v="6"/>
    <x v="1"/>
    <x v="1"/>
    <x v="1"/>
    <x v="1"/>
    <x v="1"/>
    <x v="1"/>
    <x v="1"/>
    <x v="1"/>
    <x v="1"/>
    <x v="1"/>
  </r>
  <r>
    <x v="72"/>
    <x v="72"/>
    <x v="163"/>
    <x v="16"/>
    <x v="20"/>
    <x v="20"/>
    <x v="20"/>
    <x v="1"/>
    <x v="1"/>
    <x v="14"/>
    <x v="1"/>
    <x v="1"/>
    <x v="12"/>
    <x v="1"/>
    <x v="1"/>
    <x v="1"/>
    <x v="1"/>
  </r>
  <r>
    <x v="67"/>
    <x v="67"/>
    <x v="164"/>
    <x v="21"/>
    <x v="143"/>
    <x v="125"/>
    <x v="134"/>
    <x v="4"/>
    <x v="77"/>
    <x v="78"/>
    <x v="2"/>
    <x v="2"/>
    <x v="48"/>
    <x v="0"/>
    <x v="1"/>
    <x v="0"/>
    <x v="1"/>
  </r>
  <r>
    <x v="66"/>
    <x v="66"/>
    <x v="17"/>
    <x v="3"/>
    <x v="17"/>
    <x v="126"/>
    <x v="135"/>
    <x v="1"/>
    <x v="1"/>
    <x v="1"/>
    <x v="1"/>
    <x v="1"/>
    <x v="1"/>
    <x v="1"/>
    <x v="1"/>
    <x v="1"/>
    <x v="1"/>
  </r>
  <r>
    <x v="65"/>
    <x v="65"/>
    <x v="165"/>
    <x v="31"/>
    <x v="144"/>
    <x v="127"/>
    <x v="136"/>
    <x v="0"/>
    <x v="78"/>
    <x v="79"/>
    <x v="0"/>
    <x v="0"/>
    <x v="9"/>
    <x v="5"/>
    <x v="1"/>
    <x v="13"/>
    <x v="1"/>
  </r>
  <r>
    <x v="64"/>
    <x v="64"/>
    <x v="166"/>
    <x v="18"/>
    <x v="145"/>
    <x v="100"/>
    <x v="137"/>
    <x v="4"/>
    <x v="79"/>
    <x v="80"/>
    <x v="2"/>
    <x v="2"/>
    <x v="36"/>
    <x v="1"/>
    <x v="2"/>
    <x v="1"/>
    <x v="2"/>
  </r>
  <r>
    <x v="63"/>
    <x v="63"/>
    <x v="167"/>
    <x v="18"/>
    <x v="146"/>
    <x v="128"/>
    <x v="138"/>
    <x v="1"/>
    <x v="1"/>
    <x v="1"/>
    <x v="1"/>
    <x v="1"/>
    <x v="1"/>
    <x v="1"/>
    <x v="1"/>
    <x v="1"/>
    <x v="1"/>
  </r>
  <r>
    <x v="73"/>
    <x v="73"/>
    <x v="168"/>
    <x v="26"/>
    <x v="147"/>
    <x v="129"/>
    <x v="139"/>
    <x v="1"/>
    <x v="1"/>
    <x v="1"/>
    <x v="1"/>
    <x v="1"/>
    <x v="1"/>
    <x v="1"/>
    <x v="1"/>
    <x v="1"/>
    <x v="1"/>
  </r>
  <r>
    <x v="74"/>
    <x v="74"/>
    <x v="169"/>
    <x v="3"/>
    <x v="148"/>
    <x v="130"/>
    <x v="140"/>
    <x v="1"/>
    <x v="1"/>
    <x v="1"/>
    <x v="1"/>
    <x v="1"/>
    <x v="1"/>
    <x v="1"/>
    <x v="1"/>
    <x v="1"/>
    <x v="1"/>
  </r>
  <r>
    <x v="75"/>
    <x v="75"/>
    <x v="170"/>
    <x v="4"/>
    <x v="149"/>
    <x v="95"/>
    <x v="106"/>
    <x v="1"/>
    <x v="1"/>
    <x v="1"/>
    <x v="1"/>
    <x v="1"/>
    <x v="1"/>
    <x v="1"/>
    <x v="1"/>
    <x v="1"/>
    <x v="1"/>
  </r>
  <r>
    <x v="76"/>
    <x v="76"/>
    <x v="171"/>
    <x v="18"/>
    <x v="150"/>
    <x v="131"/>
    <x v="141"/>
    <x v="1"/>
    <x v="1"/>
    <x v="1"/>
    <x v="1"/>
    <x v="1"/>
    <x v="1"/>
    <x v="1"/>
    <x v="1"/>
    <x v="1"/>
    <x v="1"/>
  </r>
  <r>
    <x v="77"/>
    <x v="77"/>
    <x v="172"/>
    <x v="16"/>
    <x v="20"/>
    <x v="20"/>
    <x v="20"/>
    <x v="1"/>
    <x v="1"/>
    <x v="14"/>
    <x v="1"/>
    <x v="1"/>
    <x v="12"/>
    <x v="1"/>
    <x v="1"/>
    <x v="1"/>
    <x v="1"/>
  </r>
  <r>
    <x v="68"/>
    <x v="68"/>
    <x v="173"/>
    <x v="1"/>
    <x v="151"/>
    <x v="132"/>
    <x v="142"/>
    <x v="10"/>
    <x v="80"/>
    <x v="81"/>
    <x v="4"/>
    <x v="7"/>
    <x v="49"/>
    <x v="1"/>
    <x v="7"/>
    <x v="1"/>
    <x v="8"/>
  </r>
  <r>
    <x v="69"/>
    <x v="69"/>
    <x v="174"/>
    <x v="30"/>
    <x v="152"/>
    <x v="133"/>
    <x v="143"/>
    <x v="4"/>
    <x v="81"/>
    <x v="82"/>
    <x v="2"/>
    <x v="2"/>
    <x v="24"/>
    <x v="1"/>
    <x v="2"/>
    <x v="1"/>
    <x v="2"/>
  </r>
  <r>
    <x v="70"/>
    <x v="70"/>
    <x v="175"/>
    <x v="14"/>
    <x v="153"/>
    <x v="95"/>
    <x v="99"/>
    <x v="1"/>
    <x v="1"/>
    <x v="1"/>
    <x v="1"/>
    <x v="1"/>
    <x v="1"/>
    <x v="1"/>
    <x v="1"/>
    <x v="1"/>
    <x v="1"/>
  </r>
  <r>
    <x v="71"/>
    <x v="71"/>
    <x v="176"/>
    <x v="11"/>
    <x v="154"/>
    <x v="134"/>
    <x v="144"/>
    <x v="1"/>
    <x v="1"/>
    <x v="1"/>
    <x v="1"/>
    <x v="1"/>
    <x v="1"/>
    <x v="1"/>
    <x v="1"/>
    <x v="1"/>
    <x v="1"/>
  </r>
  <r>
    <x v="72"/>
    <x v="72"/>
    <x v="146"/>
    <x v="16"/>
    <x v="20"/>
    <x v="20"/>
    <x v="20"/>
    <x v="1"/>
    <x v="1"/>
    <x v="14"/>
    <x v="1"/>
    <x v="1"/>
    <x v="12"/>
    <x v="1"/>
    <x v="1"/>
    <x v="1"/>
    <x v="1"/>
  </r>
  <r>
    <x v="78"/>
    <x v="78"/>
    <x v="177"/>
    <x v="14"/>
    <x v="155"/>
    <x v="135"/>
    <x v="145"/>
    <x v="1"/>
    <x v="1"/>
    <x v="1"/>
    <x v="1"/>
    <x v="1"/>
    <x v="1"/>
    <x v="1"/>
    <x v="1"/>
    <x v="1"/>
    <x v="1"/>
  </r>
  <r>
    <x v="79"/>
    <x v="79"/>
    <x v="178"/>
    <x v="14"/>
    <x v="156"/>
    <x v="110"/>
    <x v="131"/>
    <x v="1"/>
    <x v="1"/>
    <x v="1"/>
    <x v="1"/>
    <x v="1"/>
    <x v="1"/>
    <x v="1"/>
    <x v="1"/>
    <x v="1"/>
    <x v="1"/>
  </r>
  <r>
    <x v="80"/>
    <x v="80"/>
    <x v="179"/>
    <x v="14"/>
    <x v="157"/>
    <x v="135"/>
    <x v="145"/>
    <x v="1"/>
    <x v="1"/>
    <x v="1"/>
    <x v="1"/>
    <x v="1"/>
    <x v="1"/>
    <x v="1"/>
    <x v="1"/>
    <x v="1"/>
    <x v="1"/>
  </r>
  <r>
    <x v="81"/>
    <x v="81"/>
    <x v="180"/>
    <x v="30"/>
    <x v="158"/>
    <x v="136"/>
    <x v="1"/>
    <x v="4"/>
    <x v="82"/>
    <x v="83"/>
    <x v="2"/>
    <x v="2"/>
    <x v="24"/>
    <x v="1"/>
    <x v="2"/>
    <x v="1"/>
    <x v="2"/>
  </r>
  <r>
    <x v="82"/>
    <x v="82"/>
    <x v="181"/>
    <x v="14"/>
    <x v="159"/>
    <x v="130"/>
    <x v="146"/>
    <x v="1"/>
    <x v="1"/>
    <x v="1"/>
    <x v="1"/>
    <x v="1"/>
    <x v="1"/>
    <x v="1"/>
    <x v="1"/>
    <x v="1"/>
    <x v="1"/>
  </r>
  <r>
    <x v="77"/>
    <x v="77"/>
    <x v="182"/>
    <x v="1"/>
    <x v="160"/>
    <x v="44"/>
    <x v="105"/>
    <x v="4"/>
    <x v="83"/>
    <x v="84"/>
    <x v="2"/>
    <x v="2"/>
    <x v="41"/>
    <x v="1"/>
    <x v="2"/>
    <x v="1"/>
    <x v="2"/>
  </r>
  <r>
    <x v="76"/>
    <x v="76"/>
    <x v="183"/>
    <x v="5"/>
    <x v="161"/>
    <x v="137"/>
    <x v="147"/>
    <x v="3"/>
    <x v="84"/>
    <x v="85"/>
    <x v="2"/>
    <x v="2"/>
    <x v="29"/>
    <x v="0"/>
    <x v="1"/>
    <x v="3"/>
    <x v="1"/>
  </r>
  <r>
    <x v="75"/>
    <x v="75"/>
    <x v="184"/>
    <x v="11"/>
    <x v="162"/>
    <x v="138"/>
    <x v="148"/>
    <x v="1"/>
    <x v="1"/>
    <x v="1"/>
    <x v="1"/>
    <x v="1"/>
    <x v="1"/>
    <x v="1"/>
    <x v="1"/>
    <x v="1"/>
    <x v="1"/>
  </r>
  <r>
    <x v="74"/>
    <x v="74"/>
    <x v="185"/>
    <x v="43"/>
    <x v="163"/>
    <x v="139"/>
    <x v="149"/>
    <x v="8"/>
    <x v="85"/>
    <x v="86"/>
    <x v="4"/>
    <x v="4"/>
    <x v="50"/>
    <x v="0"/>
    <x v="2"/>
    <x v="0"/>
    <x v="2"/>
  </r>
  <r>
    <x v="73"/>
    <x v="73"/>
    <x v="186"/>
    <x v="36"/>
    <x v="164"/>
    <x v="111"/>
    <x v="15"/>
    <x v="1"/>
    <x v="1"/>
    <x v="1"/>
    <x v="1"/>
    <x v="1"/>
    <x v="1"/>
    <x v="1"/>
    <x v="1"/>
    <x v="1"/>
    <x v="1"/>
  </r>
  <r>
    <x v="82"/>
    <x v="82"/>
    <x v="187"/>
    <x v="16"/>
    <x v="20"/>
    <x v="20"/>
    <x v="20"/>
    <x v="1"/>
    <x v="1"/>
    <x v="14"/>
    <x v="1"/>
    <x v="1"/>
    <x v="12"/>
    <x v="1"/>
    <x v="1"/>
    <x v="1"/>
    <x v="1"/>
  </r>
  <r>
    <x v="81"/>
    <x v="81"/>
    <x v="188"/>
    <x v="16"/>
    <x v="20"/>
    <x v="20"/>
    <x v="20"/>
    <x v="1"/>
    <x v="1"/>
    <x v="14"/>
    <x v="1"/>
    <x v="1"/>
    <x v="12"/>
    <x v="1"/>
    <x v="1"/>
    <x v="1"/>
    <x v="1"/>
  </r>
  <r>
    <x v="80"/>
    <x v="80"/>
    <x v="189"/>
    <x v="16"/>
    <x v="20"/>
    <x v="20"/>
    <x v="20"/>
    <x v="1"/>
    <x v="1"/>
    <x v="14"/>
    <x v="1"/>
    <x v="1"/>
    <x v="12"/>
    <x v="1"/>
    <x v="1"/>
    <x v="1"/>
    <x v="1"/>
  </r>
  <r>
    <x v="79"/>
    <x v="79"/>
    <x v="123"/>
    <x v="16"/>
    <x v="20"/>
    <x v="20"/>
    <x v="20"/>
    <x v="1"/>
    <x v="1"/>
    <x v="14"/>
    <x v="1"/>
    <x v="1"/>
    <x v="12"/>
    <x v="1"/>
    <x v="1"/>
    <x v="1"/>
    <x v="1"/>
  </r>
  <r>
    <x v="78"/>
    <x v="78"/>
    <x v="60"/>
    <x v="16"/>
    <x v="20"/>
    <x v="20"/>
    <x v="20"/>
    <x v="1"/>
    <x v="1"/>
    <x v="14"/>
    <x v="1"/>
    <x v="1"/>
    <x v="12"/>
    <x v="1"/>
    <x v="1"/>
    <x v="1"/>
    <x v="1"/>
  </r>
  <r>
    <x v="42"/>
    <x v="42"/>
    <x v="190"/>
    <x v="18"/>
    <x v="165"/>
    <x v="89"/>
    <x v="150"/>
    <x v="1"/>
    <x v="1"/>
    <x v="1"/>
    <x v="1"/>
    <x v="1"/>
    <x v="1"/>
    <x v="1"/>
    <x v="1"/>
    <x v="1"/>
    <x v="1"/>
  </r>
  <r>
    <x v="83"/>
    <x v="83"/>
    <x v="191"/>
    <x v="4"/>
    <x v="166"/>
    <x v="110"/>
    <x v="116"/>
    <x v="4"/>
    <x v="86"/>
    <x v="87"/>
    <x v="2"/>
    <x v="2"/>
    <x v="49"/>
    <x v="1"/>
    <x v="2"/>
    <x v="1"/>
    <x v="2"/>
  </r>
  <r>
    <x v="56"/>
    <x v="56"/>
    <x v="26"/>
    <x v="16"/>
    <x v="20"/>
    <x v="20"/>
    <x v="20"/>
    <x v="1"/>
    <x v="1"/>
    <x v="14"/>
    <x v="1"/>
    <x v="1"/>
    <x v="12"/>
    <x v="1"/>
    <x v="1"/>
    <x v="1"/>
    <x v="1"/>
  </r>
  <r>
    <x v="0"/>
    <x v="0"/>
    <x v="192"/>
    <x v="14"/>
    <x v="167"/>
    <x v="18"/>
    <x v="18"/>
    <x v="1"/>
    <x v="1"/>
    <x v="1"/>
    <x v="1"/>
    <x v="1"/>
    <x v="1"/>
    <x v="1"/>
    <x v="1"/>
    <x v="1"/>
    <x v="1"/>
  </r>
  <r>
    <x v="29"/>
    <x v="29"/>
    <x v="193"/>
    <x v="30"/>
    <x v="168"/>
    <x v="140"/>
    <x v="151"/>
    <x v="1"/>
    <x v="1"/>
    <x v="1"/>
    <x v="1"/>
    <x v="1"/>
    <x v="1"/>
    <x v="1"/>
    <x v="1"/>
    <x v="1"/>
    <x v="1"/>
  </r>
  <r>
    <x v="62"/>
    <x v="62"/>
    <x v="194"/>
    <x v="44"/>
    <x v="169"/>
    <x v="141"/>
    <x v="152"/>
    <x v="1"/>
    <x v="1"/>
    <x v="1"/>
    <x v="1"/>
    <x v="1"/>
    <x v="1"/>
    <x v="1"/>
    <x v="1"/>
    <x v="1"/>
    <x v="1"/>
  </r>
  <r>
    <x v="61"/>
    <x v="61"/>
    <x v="195"/>
    <x v="18"/>
    <x v="170"/>
    <x v="142"/>
    <x v="153"/>
    <x v="1"/>
    <x v="1"/>
    <x v="1"/>
    <x v="1"/>
    <x v="1"/>
    <x v="1"/>
    <x v="1"/>
    <x v="1"/>
    <x v="1"/>
    <x v="1"/>
  </r>
  <r>
    <x v="15"/>
    <x v="15"/>
    <x v="35"/>
    <x v="16"/>
    <x v="20"/>
    <x v="20"/>
    <x v="20"/>
    <x v="1"/>
    <x v="1"/>
    <x v="14"/>
    <x v="1"/>
    <x v="1"/>
    <x v="12"/>
    <x v="1"/>
    <x v="1"/>
    <x v="1"/>
    <x v="1"/>
  </r>
  <r>
    <x v="16"/>
    <x v="16"/>
    <x v="61"/>
    <x v="14"/>
    <x v="171"/>
    <x v="109"/>
    <x v="115"/>
    <x v="1"/>
    <x v="1"/>
    <x v="1"/>
    <x v="1"/>
    <x v="1"/>
    <x v="1"/>
    <x v="1"/>
    <x v="1"/>
    <x v="1"/>
    <x v="1"/>
  </r>
  <r>
    <x v="84"/>
    <x v="84"/>
    <x v="158"/>
    <x v="1"/>
    <x v="172"/>
    <x v="109"/>
    <x v="154"/>
    <x v="1"/>
    <x v="1"/>
    <x v="1"/>
    <x v="1"/>
    <x v="1"/>
    <x v="1"/>
    <x v="1"/>
    <x v="1"/>
    <x v="1"/>
    <x v="1"/>
  </r>
  <r>
    <x v="85"/>
    <x v="85"/>
    <x v="196"/>
    <x v="16"/>
    <x v="20"/>
    <x v="20"/>
    <x v="20"/>
    <x v="1"/>
    <x v="1"/>
    <x v="14"/>
    <x v="1"/>
    <x v="1"/>
    <x v="12"/>
    <x v="1"/>
    <x v="1"/>
    <x v="1"/>
    <x v="1"/>
  </r>
  <r>
    <x v="86"/>
    <x v="86"/>
    <x v="132"/>
    <x v="14"/>
    <x v="173"/>
    <x v="44"/>
    <x v="155"/>
    <x v="1"/>
    <x v="1"/>
    <x v="1"/>
    <x v="1"/>
    <x v="1"/>
    <x v="1"/>
    <x v="1"/>
    <x v="1"/>
    <x v="1"/>
    <x v="1"/>
  </r>
  <r>
    <x v="87"/>
    <x v="87"/>
    <x v="197"/>
    <x v="1"/>
    <x v="174"/>
    <x v="143"/>
    <x v="57"/>
    <x v="3"/>
    <x v="87"/>
    <x v="88"/>
    <x v="2"/>
    <x v="2"/>
    <x v="41"/>
    <x v="0"/>
    <x v="1"/>
    <x v="3"/>
    <x v="1"/>
  </r>
  <r>
    <x v="88"/>
    <x v="88"/>
    <x v="198"/>
    <x v="16"/>
    <x v="20"/>
    <x v="20"/>
    <x v="20"/>
    <x v="1"/>
    <x v="1"/>
    <x v="14"/>
    <x v="1"/>
    <x v="1"/>
    <x v="12"/>
    <x v="1"/>
    <x v="1"/>
    <x v="1"/>
    <x v="1"/>
  </r>
  <r>
    <x v="89"/>
    <x v="89"/>
    <x v="199"/>
    <x v="11"/>
    <x v="175"/>
    <x v="144"/>
    <x v="156"/>
    <x v="1"/>
    <x v="1"/>
    <x v="1"/>
    <x v="1"/>
    <x v="1"/>
    <x v="1"/>
    <x v="1"/>
    <x v="1"/>
    <x v="1"/>
    <x v="1"/>
  </r>
  <r>
    <x v="90"/>
    <x v="90"/>
    <x v="200"/>
    <x v="16"/>
    <x v="20"/>
    <x v="20"/>
    <x v="20"/>
    <x v="1"/>
    <x v="1"/>
    <x v="14"/>
    <x v="1"/>
    <x v="1"/>
    <x v="12"/>
    <x v="1"/>
    <x v="1"/>
    <x v="1"/>
    <x v="1"/>
  </r>
  <r>
    <x v="91"/>
    <x v="91"/>
    <x v="201"/>
    <x v="30"/>
    <x v="176"/>
    <x v="137"/>
    <x v="157"/>
    <x v="4"/>
    <x v="88"/>
    <x v="89"/>
    <x v="2"/>
    <x v="2"/>
    <x v="24"/>
    <x v="1"/>
    <x v="2"/>
    <x v="1"/>
    <x v="2"/>
  </r>
  <r>
    <x v="92"/>
    <x v="92"/>
    <x v="202"/>
    <x v="18"/>
    <x v="177"/>
    <x v="58"/>
    <x v="40"/>
    <x v="1"/>
    <x v="1"/>
    <x v="1"/>
    <x v="1"/>
    <x v="1"/>
    <x v="1"/>
    <x v="1"/>
    <x v="1"/>
    <x v="1"/>
    <x v="1"/>
  </r>
  <r>
    <x v="93"/>
    <x v="93"/>
    <x v="203"/>
    <x v="14"/>
    <x v="178"/>
    <x v="109"/>
    <x v="115"/>
    <x v="1"/>
    <x v="1"/>
    <x v="1"/>
    <x v="1"/>
    <x v="1"/>
    <x v="1"/>
    <x v="1"/>
    <x v="1"/>
    <x v="1"/>
    <x v="1"/>
  </r>
  <r>
    <x v="88"/>
    <x v="88"/>
    <x v="204"/>
    <x v="18"/>
    <x v="179"/>
    <x v="58"/>
    <x v="40"/>
    <x v="3"/>
    <x v="89"/>
    <x v="90"/>
    <x v="2"/>
    <x v="2"/>
    <x v="36"/>
    <x v="1"/>
    <x v="2"/>
    <x v="1"/>
    <x v="4"/>
  </r>
  <r>
    <x v="87"/>
    <x v="87"/>
    <x v="205"/>
    <x v="3"/>
    <x v="180"/>
    <x v="95"/>
    <x v="158"/>
    <x v="3"/>
    <x v="90"/>
    <x v="91"/>
    <x v="2"/>
    <x v="2"/>
    <x v="3"/>
    <x v="1"/>
    <x v="2"/>
    <x v="1"/>
    <x v="4"/>
  </r>
  <r>
    <x v="86"/>
    <x v="86"/>
    <x v="206"/>
    <x v="3"/>
    <x v="181"/>
    <x v="6"/>
    <x v="6"/>
    <x v="4"/>
    <x v="4"/>
    <x v="4"/>
    <x v="2"/>
    <x v="2"/>
    <x v="3"/>
    <x v="0"/>
    <x v="1"/>
    <x v="0"/>
    <x v="1"/>
  </r>
  <r>
    <x v="85"/>
    <x v="85"/>
    <x v="207"/>
    <x v="4"/>
    <x v="182"/>
    <x v="115"/>
    <x v="159"/>
    <x v="1"/>
    <x v="1"/>
    <x v="1"/>
    <x v="1"/>
    <x v="1"/>
    <x v="1"/>
    <x v="1"/>
    <x v="1"/>
    <x v="1"/>
    <x v="1"/>
  </r>
  <r>
    <x v="89"/>
    <x v="89"/>
    <x v="208"/>
    <x v="45"/>
    <x v="183"/>
    <x v="145"/>
    <x v="160"/>
    <x v="8"/>
    <x v="91"/>
    <x v="92"/>
    <x v="4"/>
    <x v="4"/>
    <x v="51"/>
    <x v="0"/>
    <x v="2"/>
    <x v="0"/>
    <x v="2"/>
  </r>
  <r>
    <x v="90"/>
    <x v="90"/>
    <x v="70"/>
    <x v="17"/>
    <x v="184"/>
    <x v="146"/>
    <x v="161"/>
    <x v="4"/>
    <x v="92"/>
    <x v="93"/>
    <x v="2"/>
    <x v="2"/>
    <x v="42"/>
    <x v="1"/>
    <x v="2"/>
    <x v="1"/>
    <x v="2"/>
  </r>
  <r>
    <x v="91"/>
    <x v="91"/>
    <x v="209"/>
    <x v="36"/>
    <x v="185"/>
    <x v="147"/>
    <x v="162"/>
    <x v="1"/>
    <x v="1"/>
    <x v="1"/>
    <x v="1"/>
    <x v="1"/>
    <x v="1"/>
    <x v="1"/>
    <x v="1"/>
    <x v="1"/>
    <x v="1"/>
  </r>
  <r>
    <x v="93"/>
    <x v="93"/>
    <x v="210"/>
    <x v="36"/>
    <x v="186"/>
    <x v="148"/>
    <x v="89"/>
    <x v="1"/>
    <x v="1"/>
    <x v="1"/>
    <x v="1"/>
    <x v="1"/>
    <x v="1"/>
    <x v="1"/>
    <x v="1"/>
    <x v="1"/>
    <x v="1"/>
  </r>
  <r>
    <x v="92"/>
    <x v="92"/>
    <x v="211"/>
    <x v="4"/>
    <x v="187"/>
    <x v="1"/>
    <x v="163"/>
    <x v="1"/>
    <x v="1"/>
    <x v="1"/>
    <x v="1"/>
    <x v="1"/>
    <x v="1"/>
    <x v="1"/>
    <x v="1"/>
    <x v="1"/>
    <x v="1"/>
  </r>
  <r>
    <x v="78"/>
    <x v="78"/>
    <x v="39"/>
    <x v="16"/>
    <x v="32"/>
    <x v="20"/>
    <x v="20"/>
    <x v="1"/>
    <x v="1"/>
    <x v="14"/>
    <x v="1"/>
    <x v="1"/>
    <x v="12"/>
    <x v="1"/>
    <x v="1"/>
    <x v="1"/>
    <x v="1"/>
  </r>
  <r>
    <x v="79"/>
    <x v="79"/>
    <x v="39"/>
    <x v="16"/>
    <x v="32"/>
    <x v="20"/>
    <x v="20"/>
    <x v="1"/>
    <x v="1"/>
    <x v="14"/>
    <x v="1"/>
    <x v="1"/>
    <x v="12"/>
    <x v="1"/>
    <x v="1"/>
    <x v="1"/>
    <x v="1"/>
  </r>
  <r>
    <x v="80"/>
    <x v="80"/>
    <x v="39"/>
    <x v="16"/>
    <x v="32"/>
    <x v="20"/>
    <x v="20"/>
    <x v="1"/>
    <x v="1"/>
    <x v="14"/>
    <x v="1"/>
    <x v="1"/>
    <x v="12"/>
    <x v="1"/>
    <x v="1"/>
    <x v="1"/>
    <x v="1"/>
  </r>
  <r>
    <x v="81"/>
    <x v="81"/>
    <x v="64"/>
    <x v="16"/>
    <x v="20"/>
    <x v="20"/>
    <x v="20"/>
    <x v="1"/>
    <x v="1"/>
    <x v="14"/>
    <x v="1"/>
    <x v="1"/>
    <x v="12"/>
    <x v="1"/>
    <x v="1"/>
    <x v="1"/>
    <x v="1"/>
  </r>
  <r>
    <x v="82"/>
    <x v="82"/>
    <x v="39"/>
    <x v="16"/>
    <x v="32"/>
    <x v="20"/>
    <x v="20"/>
    <x v="1"/>
    <x v="1"/>
    <x v="14"/>
    <x v="1"/>
    <x v="1"/>
    <x v="12"/>
    <x v="1"/>
    <x v="1"/>
    <x v="1"/>
    <x v="1"/>
  </r>
  <r>
    <x v="87"/>
    <x v="87"/>
    <x v="64"/>
    <x v="16"/>
    <x v="20"/>
    <x v="20"/>
    <x v="20"/>
    <x v="1"/>
    <x v="1"/>
    <x v="14"/>
    <x v="1"/>
    <x v="1"/>
    <x v="12"/>
    <x v="1"/>
    <x v="1"/>
    <x v="1"/>
    <x v="1"/>
  </r>
  <r>
    <x v="86"/>
    <x v="86"/>
    <x v="212"/>
    <x v="16"/>
    <x v="20"/>
    <x v="20"/>
    <x v="20"/>
    <x v="1"/>
    <x v="1"/>
    <x v="14"/>
    <x v="1"/>
    <x v="1"/>
    <x v="12"/>
    <x v="1"/>
    <x v="1"/>
    <x v="1"/>
    <x v="1"/>
  </r>
  <r>
    <x v="94"/>
    <x v="94"/>
    <x v="213"/>
    <x v="13"/>
    <x v="188"/>
    <x v="94"/>
    <x v="75"/>
    <x v="8"/>
    <x v="93"/>
    <x v="94"/>
    <x v="4"/>
    <x v="4"/>
    <x v="3"/>
    <x v="2"/>
    <x v="1"/>
    <x v="2"/>
    <x v="1"/>
  </r>
  <r>
    <x v="95"/>
    <x v="95"/>
    <x v="214"/>
    <x v="36"/>
    <x v="189"/>
    <x v="149"/>
    <x v="164"/>
    <x v="6"/>
    <x v="94"/>
    <x v="95"/>
    <x v="4"/>
    <x v="4"/>
    <x v="47"/>
    <x v="0"/>
    <x v="2"/>
    <x v="3"/>
    <x v="2"/>
  </r>
  <r>
    <x v="96"/>
    <x v="96"/>
    <x v="215"/>
    <x v="0"/>
    <x v="190"/>
    <x v="150"/>
    <x v="165"/>
    <x v="21"/>
    <x v="95"/>
    <x v="96"/>
    <x v="7"/>
    <x v="7"/>
    <x v="46"/>
    <x v="0"/>
    <x v="6"/>
    <x v="3"/>
    <x v="14"/>
  </r>
  <r>
    <x v="97"/>
    <x v="97"/>
    <x v="216"/>
    <x v="27"/>
    <x v="191"/>
    <x v="151"/>
    <x v="166"/>
    <x v="4"/>
    <x v="96"/>
    <x v="97"/>
    <x v="2"/>
    <x v="2"/>
    <x v="21"/>
    <x v="1"/>
    <x v="2"/>
    <x v="1"/>
    <x v="2"/>
  </r>
  <r>
    <x v="98"/>
    <x v="98"/>
    <x v="217"/>
    <x v="37"/>
    <x v="192"/>
    <x v="4"/>
    <x v="167"/>
    <x v="6"/>
    <x v="97"/>
    <x v="98"/>
    <x v="4"/>
    <x v="4"/>
    <x v="52"/>
    <x v="1"/>
    <x v="0"/>
    <x v="1"/>
    <x v="0"/>
  </r>
  <r>
    <x v="94"/>
    <x v="94"/>
    <x v="218"/>
    <x v="14"/>
    <x v="193"/>
    <x v="48"/>
    <x v="51"/>
    <x v="1"/>
    <x v="1"/>
    <x v="1"/>
    <x v="1"/>
    <x v="1"/>
    <x v="1"/>
    <x v="1"/>
    <x v="1"/>
    <x v="1"/>
    <x v="1"/>
  </r>
  <r>
    <x v="95"/>
    <x v="95"/>
    <x v="219"/>
    <x v="4"/>
    <x v="194"/>
    <x v="152"/>
    <x v="168"/>
    <x v="1"/>
    <x v="1"/>
    <x v="1"/>
    <x v="1"/>
    <x v="1"/>
    <x v="1"/>
    <x v="1"/>
    <x v="1"/>
    <x v="1"/>
    <x v="1"/>
  </r>
  <r>
    <x v="96"/>
    <x v="96"/>
    <x v="220"/>
    <x v="14"/>
    <x v="195"/>
    <x v="95"/>
    <x v="99"/>
    <x v="1"/>
    <x v="1"/>
    <x v="1"/>
    <x v="1"/>
    <x v="1"/>
    <x v="1"/>
    <x v="1"/>
    <x v="1"/>
    <x v="1"/>
    <x v="1"/>
  </r>
  <r>
    <x v="97"/>
    <x v="97"/>
    <x v="123"/>
    <x v="1"/>
    <x v="196"/>
    <x v="137"/>
    <x v="169"/>
    <x v="1"/>
    <x v="1"/>
    <x v="1"/>
    <x v="1"/>
    <x v="1"/>
    <x v="1"/>
    <x v="1"/>
    <x v="1"/>
    <x v="1"/>
    <x v="1"/>
  </r>
  <r>
    <x v="98"/>
    <x v="98"/>
    <x v="221"/>
    <x v="3"/>
    <x v="197"/>
    <x v="95"/>
    <x v="158"/>
    <x v="3"/>
    <x v="90"/>
    <x v="91"/>
    <x v="2"/>
    <x v="2"/>
    <x v="3"/>
    <x v="1"/>
    <x v="2"/>
    <x v="1"/>
    <x v="4"/>
  </r>
  <r>
    <x v="99"/>
    <x v="99"/>
    <x v="222"/>
    <x v="16"/>
    <x v="20"/>
    <x v="20"/>
    <x v="20"/>
    <x v="1"/>
    <x v="1"/>
    <x v="14"/>
    <x v="1"/>
    <x v="1"/>
    <x v="12"/>
    <x v="1"/>
    <x v="1"/>
    <x v="1"/>
    <x v="1"/>
  </r>
  <r>
    <x v="100"/>
    <x v="100"/>
    <x v="223"/>
    <x v="1"/>
    <x v="198"/>
    <x v="153"/>
    <x v="170"/>
    <x v="1"/>
    <x v="1"/>
    <x v="1"/>
    <x v="1"/>
    <x v="1"/>
    <x v="1"/>
    <x v="1"/>
    <x v="1"/>
    <x v="1"/>
    <x v="1"/>
  </r>
  <r>
    <x v="101"/>
    <x v="101"/>
    <x v="32"/>
    <x v="14"/>
    <x v="199"/>
    <x v="95"/>
    <x v="99"/>
    <x v="8"/>
    <x v="98"/>
    <x v="99"/>
    <x v="4"/>
    <x v="4"/>
    <x v="53"/>
    <x v="1"/>
    <x v="0"/>
    <x v="1"/>
    <x v="10"/>
  </r>
  <r>
    <x v="102"/>
    <x v="102"/>
    <x v="34"/>
    <x v="16"/>
    <x v="20"/>
    <x v="20"/>
    <x v="20"/>
    <x v="1"/>
    <x v="1"/>
    <x v="14"/>
    <x v="1"/>
    <x v="1"/>
    <x v="12"/>
    <x v="1"/>
    <x v="1"/>
    <x v="1"/>
    <x v="1"/>
  </r>
  <r>
    <x v="103"/>
    <x v="103"/>
    <x v="224"/>
    <x v="18"/>
    <x v="200"/>
    <x v="128"/>
    <x v="138"/>
    <x v="1"/>
    <x v="1"/>
    <x v="1"/>
    <x v="1"/>
    <x v="1"/>
    <x v="1"/>
    <x v="1"/>
    <x v="1"/>
    <x v="1"/>
    <x v="1"/>
  </r>
  <r>
    <x v="99"/>
    <x v="99"/>
    <x v="225"/>
    <x v="3"/>
    <x v="201"/>
    <x v="154"/>
    <x v="171"/>
    <x v="8"/>
    <x v="99"/>
    <x v="100"/>
    <x v="4"/>
    <x v="4"/>
    <x v="42"/>
    <x v="1"/>
    <x v="0"/>
    <x v="1"/>
    <x v="10"/>
  </r>
  <r>
    <x v="100"/>
    <x v="100"/>
    <x v="226"/>
    <x v="11"/>
    <x v="202"/>
    <x v="155"/>
    <x v="172"/>
    <x v="1"/>
    <x v="1"/>
    <x v="1"/>
    <x v="1"/>
    <x v="1"/>
    <x v="1"/>
    <x v="1"/>
    <x v="1"/>
    <x v="1"/>
    <x v="1"/>
  </r>
  <r>
    <x v="101"/>
    <x v="101"/>
    <x v="227"/>
    <x v="15"/>
    <x v="14"/>
    <x v="156"/>
    <x v="173"/>
    <x v="22"/>
    <x v="100"/>
    <x v="101"/>
    <x v="12"/>
    <x v="12"/>
    <x v="54"/>
    <x v="2"/>
    <x v="9"/>
    <x v="2"/>
    <x v="15"/>
  </r>
  <r>
    <x v="102"/>
    <x v="102"/>
    <x v="228"/>
    <x v="17"/>
    <x v="203"/>
    <x v="146"/>
    <x v="161"/>
    <x v="4"/>
    <x v="92"/>
    <x v="93"/>
    <x v="2"/>
    <x v="2"/>
    <x v="42"/>
    <x v="1"/>
    <x v="2"/>
    <x v="1"/>
    <x v="2"/>
  </r>
  <r>
    <x v="103"/>
    <x v="103"/>
    <x v="229"/>
    <x v="3"/>
    <x v="204"/>
    <x v="157"/>
    <x v="122"/>
    <x v="1"/>
    <x v="1"/>
    <x v="1"/>
    <x v="1"/>
    <x v="1"/>
    <x v="1"/>
    <x v="1"/>
    <x v="1"/>
    <x v="1"/>
    <x v="1"/>
  </r>
  <r>
    <x v="104"/>
    <x v="104"/>
    <x v="230"/>
    <x v="17"/>
    <x v="205"/>
    <x v="26"/>
    <x v="26"/>
    <x v="1"/>
    <x v="1"/>
    <x v="1"/>
    <x v="1"/>
    <x v="1"/>
    <x v="1"/>
    <x v="1"/>
    <x v="1"/>
    <x v="1"/>
    <x v="1"/>
  </r>
  <r>
    <x v="105"/>
    <x v="105"/>
    <x v="231"/>
    <x v="46"/>
    <x v="206"/>
    <x v="158"/>
    <x v="174"/>
    <x v="23"/>
    <x v="101"/>
    <x v="102"/>
    <x v="11"/>
    <x v="11"/>
    <x v="55"/>
    <x v="3"/>
    <x v="7"/>
    <x v="16"/>
    <x v="16"/>
  </r>
  <r>
    <x v="106"/>
    <x v="106"/>
    <x v="232"/>
    <x v="47"/>
    <x v="207"/>
    <x v="159"/>
    <x v="175"/>
    <x v="24"/>
    <x v="102"/>
    <x v="103"/>
    <x v="4"/>
    <x v="4"/>
    <x v="56"/>
    <x v="1"/>
    <x v="0"/>
    <x v="1"/>
    <x v="17"/>
  </r>
  <r>
    <x v="107"/>
    <x v="107"/>
    <x v="233"/>
    <x v="30"/>
    <x v="208"/>
    <x v="160"/>
    <x v="176"/>
    <x v="1"/>
    <x v="1"/>
    <x v="1"/>
    <x v="1"/>
    <x v="1"/>
    <x v="1"/>
    <x v="1"/>
    <x v="1"/>
    <x v="1"/>
    <x v="1"/>
  </r>
  <r>
    <x v="108"/>
    <x v="108"/>
    <x v="234"/>
    <x v="2"/>
    <x v="209"/>
    <x v="161"/>
    <x v="177"/>
    <x v="1"/>
    <x v="1"/>
    <x v="1"/>
    <x v="1"/>
    <x v="1"/>
    <x v="1"/>
    <x v="1"/>
    <x v="1"/>
    <x v="1"/>
    <x v="1"/>
  </r>
  <r>
    <x v="104"/>
    <x v="104"/>
    <x v="235"/>
    <x v="16"/>
    <x v="20"/>
    <x v="20"/>
    <x v="20"/>
    <x v="1"/>
    <x v="1"/>
    <x v="14"/>
    <x v="1"/>
    <x v="1"/>
    <x v="12"/>
    <x v="1"/>
    <x v="1"/>
    <x v="1"/>
    <x v="1"/>
  </r>
  <r>
    <x v="105"/>
    <x v="105"/>
    <x v="236"/>
    <x v="17"/>
    <x v="210"/>
    <x v="162"/>
    <x v="178"/>
    <x v="1"/>
    <x v="1"/>
    <x v="1"/>
    <x v="1"/>
    <x v="1"/>
    <x v="1"/>
    <x v="1"/>
    <x v="1"/>
    <x v="1"/>
    <x v="1"/>
  </r>
  <r>
    <x v="106"/>
    <x v="106"/>
    <x v="26"/>
    <x v="17"/>
    <x v="211"/>
    <x v="162"/>
    <x v="178"/>
    <x v="4"/>
    <x v="103"/>
    <x v="104"/>
    <x v="2"/>
    <x v="2"/>
    <x v="42"/>
    <x v="0"/>
    <x v="1"/>
    <x v="0"/>
    <x v="1"/>
  </r>
  <r>
    <x v="107"/>
    <x v="107"/>
    <x v="237"/>
    <x v="16"/>
    <x v="20"/>
    <x v="20"/>
    <x v="20"/>
    <x v="1"/>
    <x v="1"/>
    <x v="14"/>
    <x v="1"/>
    <x v="1"/>
    <x v="12"/>
    <x v="1"/>
    <x v="1"/>
    <x v="1"/>
    <x v="1"/>
  </r>
  <r>
    <x v="108"/>
    <x v="108"/>
    <x v="121"/>
    <x v="14"/>
    <x v="106"/>
    <x v="48"/>
    <x v="51"/>
    <x v="1"/>
    <x v="1"/>
    <x v="1"/>
    <x v="1"/>
    <x v="1"/>
    <x v="1"/>
    <x v="1"/>
    <x v="1"/>
    <x v="1"/>
    <x v="1"/>
  </r>
  <r>
    <x v="94"/>
    <x v="94"/>
    <x v="238"/>
    <x v="17"/>
    <x v="212"/>
    <x v="73"/>
    <x v="179"/>
    <x v="1"/>
    <x v="1"/>
    <x v="1"/>
    <x v="1"/>
    <x v="1"/>
    <x v="1"/>
    <x v="1"/>
    <x v="1"/>
    <x v="1"/>
    <x v="1"/>
  </r>
  <r>
    <x v="95"/>
    <x v="95"/>
    <x v="239"/>
    <x v="18"/>
    <x v="213"/>
    <x v="163"/>
    <x v="180"/>
    <x v="1"/>
    <x v="1"/>
    <x v="1"/>
    <x v="1"/>
    <x v="1"/>
    <x v="1"/>
    <x v="1"/>
    <x v="1"/>
    <x v="1"/>
    <x v="1"/>
  </r>
  <r>
    <x v="96"/>
    <x v="96"/>
    <x v="240"/>
    <x v="3"/>
    <x v="214"/>
    <x v="108"/>
    <x v="181"/>
    <x v="4"/>
    <x v="104"/>
    <x v="105"/>
    <x v="2"/>
    <x v="2"/>
    <x v="3"/>
    <x v="1"/>
    <x v="2"/>
    <x v="1"/>
    <x v="2"/>
  </r>
  <r>
    <x v="97"/>
    <x v="97"/>
    <x v="241"/>
    <x v="4"/>
    <x v="215"/>
    <x v="4"/>
    <x v="4"/>
    <x v="1"/>
    <x v="1"/>
    <x v="1"/>
    <x v="1"/>
    <x v="1"/>
    <x v="1"/>
    <x v="1"/>
    <x v="1"/>
    <x v="1"/>
    <x v="1"/>
  </r>
  <r>
    <x v="98"/>
    <x v="98"/>
    <x v="242"/>
    <x v="3"/>
    <x v="216"/>
    <x v="164"/>
    <x v="144"/>
    <x v="1"/>
    <x v="1"/>
    <x v="1"/>
    <x v="1"/>
    <x v="1"/>
    <x v="1"/>
    <x v="1"/>
    <x v="1"/>
    <x v="1"/>
    <x v="1"/>
  </r>
  <r>
    <x v="104"/>
    <x v="104"/>
    <x v="243"/>
    <x v="30"/>
    <x v="217"/>
    <x v="165"/>
    <x v="182"/>
    <x v="3"/>
    <x v="105"/>
    <x v="106"/>
    <x v="2"/>
    <x v="2"/>
    <x v="24"/>
    <x v="0"/>
    <x v="1"/>
    <x v="3"/>
    <x v="1"/>
  </r>
  <r>
    <x v="105"/>
    <x v="105"/>
    <x v="220"/>
    <x v="1"/>
    <x v="218"/>
    <x v="166"/>
    <x v="183"/>
    <x v="3"/>
    <x v="106"/>
    <x v="107"/>
    <x v="2"/>
    <x v="2"/>
    <x v="41"/>
    <x v="0"/>
    <x v="1"/>
    <x v="3"/>
    <x v="1"/>
  </r>
  <r>
    <x v="106"/>
    <x v="106"/>
    <x v="244"/>
    <x v="13"/>
    <x v="219"/>
    <x v="167"/>
    <x v="184"/>
    <x v="1"/>
    <x v="1"/>
    <x v="1"/>
    <x v="1"/>
    <x v="1"/>
    <x v="1"/>
    <x v="1"/>
    <x v="1"/>
    <x v="1"/>
    <x v="1"/>
  </r>
  <r>
    <x v="107"/>
    <x v="107"/>
    <x v="245"/>
    <x v="1"/>
    <x v="220"/>
    <x v="168"/>
    <x v="185"/>
    <x v="1"/>
    <x v="1"/>
    <x v="1"/>
    <x v="1"/>
    <x v="1"/>
    <x v="1"/>
    <x v="1"/>
    <x v="1"/>
    <x v="1"/>
    <x v="1"/>
  </r>
  <r>
    <x v="108"/>
    <x v="108"/>
    <x v="137"/>
    <x v="14"/>
    <x v="221"/>
    <x v="95"/>
    <x v="99"/>
    <x v="4"/>
    <x v="107"/>
    <x v="108"/>
    <x v="2"/>
    <x v="2"/>
    <x v="31"/>
    <x v="1"/>
    <x v="2"/>
    <x v="1"/>
    <x v="2"/>
  </r>
  <r>
    <x v="101"/>
    <x v="101"/>
    <x v="246"/>
    <x v="14"/>
    <x v="222"/>
    <x v="100"/>
    <x v="103"/>
    <x v="1"/>
    <x v="1"/>
    <x v="1"/>
    <x v="1"/>
    <x v="1"/>
    <x v="1"/>
    <x v="1"/>
    <x v="1"/>
    <x v="1"/>
    <x v="1"/>
  </r>
  <r>
    <x v="102"/>
    <x v="102"/>
    <x v="124"/>
    <x v="16"/>
    <x v="20"/>
    <x v="20"/>
    <x v="20"/>
    <x v="1"/>
    <x v="1"/>
    <x v="14"/>
    <x v="1"/>
    <x v="1"/>
    <x v="12"/>
    <x v="1"/>
    <x v="1"/>
    <x v="1"/>
    <x v="1"/>
  </r>
  <r>
    <x v="103"/>
    <x v="103"/>
    <x v="247"/>
    <x v="16"/>
    <x v="20"/>
    <x v="20"/>
    <x v="20"/>
    <x v="1"/>
    <x v="1"/>
    <x v="14"/>
    <x v="1"/>
    <x v="1"/>
    <x v="12"/>
    <x v="1"/>
    <x v="1"/>
    <x v="1"/>
    <x v="1"/>
  </r>
  <r>
    <x v="100"/>
    <x v="100"/>
    <x v="61"/>
    <x v="16"/>
    <x v="20"/>
    <x v="20"/>
    <x v="20"/>
    <x v="1"/>
    <x v="1"/>
    <x v="14"/>
    <x v="1"/>
    <x v="1"/>
    <x v="12"/>
    <x v="1"/>
    <x v="1"/>
    <x v="1"/>
    <x v="1"/>
  </r>
  <r>
    <x v="99"/>
    <x v="99"/>
    <x v="218"/>
    <x v="4"/>
    <x v="223"/>
    <x v="4"/>
    <x v="4"/>
    <x v="1"/>
    <x v="1"/>
    <x v="1"/>
    <x v="1"/>
    <x v="1"/>
    <x v="1"/>
    <x v="1"/>
    <x v="1"/>
    <x v="1"/>
    <x v="1"/>
  </r>
  <r>
    <x v="109"/>
    <x v="109"/>
    <x v="248"/>
    <x v="31"/>
    <x v="224"/>
    <x v="169"/>
    <x v="186"/>
    <x v="4"/>
    <x v="108"/>
    <x v="109"/>
    <x v="2"/>
    <x v="2"/>
    <x v="57"/>
    <x v="0"/>
    <x v="1"/>
    <x v="0"/>
    <x v="1"/>
  </r>
  <r>
    <x v="110"/>
    <x v="110"/>
    <x v="249"/>
    <x v="25"/>
    <x v="225"/>
    <x v="170"/>
    <x v="187"/>
    <x v="4"/>
    <x v="109"/>
    <x v="110"/>
    <x v="2"/>
    <x v="2"/>
    <x v="58"/>
    <x v="1"/>
    <x v="2"/>
    <x v="1"/>
    <x v="2"/>
  </r>
  <r>
    <x v="111"/>
    <x v="111"/>
    <x v="250"/>
    <x v="25"/>
    <x v="226"/>
    <x v="171"/>
    <x v="188"/>
    <x v="25"/>
    <x v="110"/>
    <x v="111"/>
    <x v="7"/>
    <x v="9"/>
    <x v="59"/>
    <x v="0"/>
    <x v="7"/>
    <x v="0"/>
    <x v="18"/>
  </r>
  <r>
    <x v="112"/>
    <x v="112"/>
    <x v="59"/>
    <x v="48"/>
    <x v="227"/>
    <x v="105"/>
    <x v="189"/>
    <x v="8"/>
    <x v="111"/>
    <x v="112"/>
    <x v="4"/>
    <x v="4"/>
    <x v="57"/>
    <x v="1"/>
    <x v="0"/>
    <x v="1"/>
    <x v="10"/>
  </r>
  <r>
    <x v="113"/>
    <x v="113"/>
    <x v="251"/>
    <x v="29"/>
    <x v="228"/>
    <x v="172"/>
    <x v="190"/>
    <x v="1"/>
    <x v="1"/>
    <x v="1"/>
    <x v="1"/>
    <x v="1"/>
    <x v="1"/>
    <x v="1"/>
    <x v="1"/>
    <x v="1"/>
    <x v="1"/>
  </r>
  <r>
    <x v="109"/>
    <x v="109"/>
    <x v="136"/>
    <x v="26"/>
    <x v="229"/>
    <x v="173"/>
    <x v="191"/>
    <x v="1"/>
    <x v="1"/>
    <x v="1"/>
    <x v="1"/>
    <x v="1"/>
    <x v="1"/>
    <x v="1"/>
    <x v="1"/>
    <x v="1"/>
    <x v="1"/>
  </r>
  <r>
    <x v="110"/>
    <x v="110"/>
    <x v="252"/>
    <x v="4"/>
    <x v="230"/>
    <x v="55"/>
    <x v="192"/>
    <x v="1"/>
    <x v="1"/>
    <x v="1"/>
    <x v="1"/>
    <x v="1"/>
    <x v="1"/>
    <x v="1"/>
    <x v="1"/>
    <x v="1"/>
    <x v="1"/>
  </r>
  <r>
    <x v="111"/>
    <x v="111"/>
    <x v="253"/>
    <x v="13"/>
    <x v="231"/>
    <x v="174"/>
    <x v="193"/>
    <x v="2"/>
    <x v="112"/>
    <x v="113"/>
    <x v="0"/>
    <x v="0"/>
    <x v="41"/>
    <x v="1"/>
    <x v="6"/>
    <x v="1"/>
    <x v="7"/>
  </r>
  <r>
    <x v="112"/>
    <x v="112"/>
    <x v="254"/>
    <x v="11"/>
    <x v="232"/>
    <x v="175"/>
    <x v="194"/>
    <x v="4"/>
    <x v="113"/>
    <x v="114"/>
    <x v="2"/>
    <x v="2"/>
    <x v="9"/>
    <x v="0"/>
    <x v="1"/>
    <x v="0"/>
    <x v="1"/>
  </r>
  <r>
    <x v="113"/>
    <x v="113"/>
    <x v="255"/>
    <x v="18"/>
    <x v="233"/>
    <x v="176"/>
    <x v="195"/>
    <x v="1"/>
    <x v="1"/>
    <x v="1"/>
    <x v="1"/>
    <x v="1"/>
    <x v="1"/>
    <x v="1"/>
    <x v="1"/>
    <x v="1"/>
    <x v="1"/>
  </r>
  <r>
    <x v="109"/>
    <x v="109"/>
    <x v="118"/>
    <x v="30"/>
    <x v="234"/>
    <x v="76"/>
    <x v="196"/>
    <x v="1"/>
    <x v="1"/>
    <x v="1"/>
    <x v="1"/>
    <x v="1"/>
    <x v="1"/>
    <x v="1"/>
    <x v="1"/>
    <x v="1"/>
    <x v="1"/>
  </r>
  <r>
    <x v="110"/>
    <x v="110"/>
    <x v="256"/>
    <x v="17"/>
    <x v="235"/>
    <x v="115"/>
    <x v="197"/>
    <x v="1"/>
    <x v="1"/>
    <x v="1"/>
    <x v="1"/>
    <x v="1"/>
    <x v="1"/>
    <x v="1"/>
    <x v="1"/>
    <x v="1"/>
    <x v="1"/>
  </r>
  <r>
    <x v="111"/>
    <x v="111"/>
    <x v="257"/>
    <x v="36"/>
    <x v="105"/>
    <x v="63"/>
    <x v="198"/>
    <x v="4"/>
    <x v="114"/>
    <x v="115"/>
    <x v="2"/>
    <x v="2"/>
    <x v="10"/>
    <x v="1"/>
    <x v="2"/>
    <x v="1"/>
    <x v="2"/>
  </r>
  <r>
    <x v="113"/>
    <x v="113"/>
    <x v="229"/>
    <x v="16"/>
    <x v="20"/>
    <x v="20"/>
    <x v="20"/>
    <x v="1"/>
    <x v="1"/>
    <x v="14"/>
    <x v="1"/>
    <x v="1"/>
    <x v="12"/>
    <x v="1"/>
    <x v="1"/>
    <x v="1"/>
    <x v="1"/>
  </r>
  <r>
    <x v="112"/>
    <x v="112"/>
    <x v="229"/>
    <x v="3"/>
    <x v="204"/>
    <x v="177"/>
    <x v="199"/>
    <x v="1"/>
    <x v="1"/>
    <x v="1"/>
    <x v="1"/>
    <x v="1"/>
    <x v="1"/>
    <x v="1"/>
    <x v="1"/>
    <x v="1"/>
    <x v="1"/>
  </r>
  <r>
    <x v="109"/>
    <x v="109"/>
    <x v="258"/>
    <x v="16"/>
    <x v="20"/>
    <x v="20"/>
    <x v="20"/>
    <x v="1"/>
    <x v="1"/>
    <x v="14"/>
    <x v="1"/>
    <x v="1"/>
    <x v="12"/>
    <x v="1"/>
    <x v="1"/>
    <x v="1"/>
    <x v="1"/>
  </r>
  <r>
    <x v="110"/>
    <x v="110"/>
    <x v="259"/>
    <x v="16"/>
    <x v="20"/>
    <x v="20"/>
    <x v="20"/>
    <x v="1"/>
    <x v="1"/>
    <x v="14"/>
    <x v="1"/>
    <x v="1"/>
    <x v="12"/>
    <x v="1"/>
    <x v="1"/>
    <x v="1"/>
    <x v="1"/>
  </r>
  <r>
    <x v="111"/>
    <x v="111"/>
    <x v="23"/>
    <x v="4"/>
    <x v="236"/>
    <x v="178"/>
    <x v="127"/>
    <x v="1"/>
    <x v="1"/>
    <x v="1"/>
    <x v="1"/>
    <x v="1"/>
    <x v="1"/>
    <x v="1"/>
    <x v="1"/>
    <x v="1"/>
    <x v="1"/>
  </r>
  <r>
    <x v="112"/>
    <x v="112"/>
    <x v="64"/>
    <x v="16"/>
    <x v="20"/>
    <x v="20"/>
    <x v="20"/>
    <x v="1"/>
    <x v="1"/>
    <x v="14"/>
    <x v="1"/>
    <x v="1"/>
    <x v="12"/>
    <x v="1"/>
    <x v="1"/>
    <x v="1"/>
    <x v="1"/>
  </r>
  <r>
    <x v="113"/>
    <x v="113"/>
    <x v="64"/>
    <x v="16"/>
    <x v="20"/>
    <x v="20"/>
    <x v="20"/>
    <x v="1"/>
    <x v="1"/>
    <x v="14"/>
    <x v="1"/>
    <x v="1"/>
    <x v="12"/>
    <x v="1"/>
    <x v="1"/>
    <x v="1"/>
    <x v="1"/>
  </r>
  <r>
    <x v="105"/>
    <x v="105"/>
    <x v="20"/>
    <x v="16"/>
    <x v="20"/>
    <x v="20"/>
    <x v="20"/>
    <x v="1"/>
    <x v="1"/>
    <x v="14"/>
    <x v="1"/>
    <x v="1"/>
    <x v="12"/>
    <x v="1"/>
    <x v="1"/>
    <x v="1"/>
    <x v="1"/>
  </r>
  <r>
    <x v="107"/>
    <x v="107"/>
    <x v="40"/>
    <x v="16"/>
    <x v="20"/>
    <x v="20"/>
    <x v="20"/>
    <x v="1"/>
    <x v="1"/>
    <x v="14"/>
    <x v="1"/>
    <x v="1"/>
    <x v="12"/>
    <x v="1"/>
    <x v="1"/>
    <x v="1"/>
    <x v="1"/>
  </r>
  <r>
    <x v="104"/>
    <x v="104"/>
    <x v="64"/>
    <x v="16"/>
    <x v="20"/>
    <x v="20"/>
    <x v="20"/>
    <x v="1"/>
    <x v="1"/>
    <x v="14"/>
    <x v="1"/>
    <x v="1"/>
    <x v="12"/>
    <x v="1"/>
    <x v="1"/>
    <x v="1"/>
    <x v="1"/>
  </r>
  <r>
    <x v="108"/>
    <x v="108"/>
    <x v="189"/>
    <x v="14"/>
    <x v="237"/>
    <x v="100"/>
    <x v="103"/>
    <x v="1"/>
    <x v="1"/>
    <x v="1"/>
    <x v="1"/>
    <x v="1"/>
    <x v="1"/>
    <x v="1"/>
    <x v="1"/>
    <x v="1"/>
    <x v="1"/>
  </r>
  <r>
    <x v="106"/>
    <x v="106"/>
    <x v="107"/>
    <x v="17"/>
    <x v="238"/>
    <x v="179"/>
    <x v="200"/>
    <x v="1"/>
    <x v="1"/>
    <x v="1"/>
    <x v="1"/>
    <x v="1"/>
    <x v="1"/>
    <x v="1"/>
    <x v="1"/>
    <x v="1"/>
    <x v="1"/>
  </r>
  <r>
    <x v="114"/>
    <x v="114"/>
    <x v="260"/>
    <x v="49"/>
    <x v="32"/>
    <x v="20"/>
    <x v="201"/>
    <x v="26"/>
    <x v="1"/>
    <x v="14"/>
    <x v="13"/>
    <x v="13"/>
    <x v="12"/>
    <x v="9"/>
    <x v="10"/>
    <x v="17"/>
    <x v="19"/>
  </r>
</pivotCacheRecords>
</file>

<file path=xl/pivotCache/pivotCacheRecords27.xml><?xml version="1.0" encoding="utf-8"?>
<pivotCacheRecords xmlns="http://schemas.openxmlformats.org/spreadsheetml/2006/main" xmlns:r="http://schemas.openxmlformats.org/officeDocument/2006/relationships" count="312">
  <r>
    <x v="0"/>
    <x v="0"/>
    <x v="0"/>
    <x v="0"/>
    <x v="0"/>
    <x v="0"/>
    <x v="0"/>
    <x v="0"/>
    <x v="0"/>
    <x v="0"/>
    <x v="0"/>
    <x v="0"/>
    <x v="0"/>
    <x v="0"/>
    <x v="0"/>
    <x v="0"/>
    <x v="0"/>
  </r>
  <r>
    <x v="1"/>
    <x v="1"/>
    <x v="1"/>
    <x v="1"/>
    <x v="1"/>
    <x v="1"/>
    <x v="1"/>
    <x v="1"/>
    <x v="1"/>
    <x v="1"/>
    <x v="1"/>
    <x v="1"/>
    <x v="1"/>
    <x v="1"/>
    <x v="1"/>
    <x v="1"/>
    <x v="1"/>
  </r>
  <r>
    <x v="2"/>
    <x v="2"/>
    <x v="2"/>
    <x v="2"/>
    <x v="2"/>
    <x v="2"/>
    <x v="2"/>
    <x v="2"/>
    <x v="2"/>
    <x v="2"/>
    <x v="2"/>
    <x v="2"/>
    <x v="2"/>
    <x v="0"/>
    <x v="2"/>
    <x v="0"/>
    <x v="2"/>
  </r>
  <r>
    <x v="2"/>
    <x v="2"/>
    <x v="3"/>
    <x v="3"/>
    <x v="3"/>
    <x v="3"/>
    <x v="3"/>
    <x v="3"/>
    <x v="3"/>
    <x v="3"/>
    <x v="3"/>
    <x v="3"/>
    <x v="3"/>
    <x v="2"/>
    <x v="1"/>
    <x v="2"/>
    <x v="1"/>
  </r>
  <r>
    <x v="3"/>
    <x v="3"/>
    <x v="4"/>
    <x v="4"/>
    <x v="4"/>
    <x v="4"/>
    <x v="4"/>
    <x v="1"/>
    <x v="1"/>
    <x v="1"/>
    <x v="1"/>
    <x v="1"/>
    <x v="1"/>
    <x v="1"/>
    <x v="1"/>
    <x v="1"/>
    <x v="1"/>
  </r>
  <r>
    <x v="1"/>
    <x v="1"/>
    <x v="5"/>
    <x v="5"/>
    <x v="5"/>
    <x v="1"/>
    <x v="5"/>
    <x v="4"/>
    <x v="4"/>
    <x v="4"/>
    <x v="3"/>
    <x v="3"/>
    <x v="4"/>
    <x v="1"/>
    <x v="2"/>
    <x v="1"/>
    <x v="2"/>
  </r>
  <r>
    <x v="4"/>
    <x v="4"/>
    <x v="6"/>
    <x v="6"/>
    <x v="6"/>
    <x v="5"/>
    <x v="6"/>
    <x v="4"/>
    <x v="5"/>
    <x v="5"/>
    <x v="3"/>
    <x v="3"/>
    <x v="5"/>
    <x v="2"/>
    <x v="1"/>
    <x v="3"/>
    <x v="1"/>
  </r>
  <r>
    <x v="0"/>
    <x v="0"/>
    <x v="7"/>
    <x v="7"/>
    <x v="7"/>
    <x v="6"/>
    <x v="7"/>
    <x v="5"/>
    <x v="6"/>
    <x v="6"/>
    <x v="4"/>
    <x v="4"/>
    <x v="6"/>
    <x v="3"/>
    <x v="3"/>
    <x v="4"/>
    <x v="3"/>
  </r>
  <r>
    <x v="5"/>
    <x v="5"/>
    <x v="8"/>
    <x v="8"/>
    <x v="8"/>
    <x v="7"/>
    <x v="8"/>
    <x v="6"/>
    <x v="7"/>
    <x v="7"/>
    <x v="5"/>
    <x v="5"/>
    <x v="7"/>
    <x v="0"/>
    <x v="4"/>
    <x v="0"/>
    <x v="4"/>
  </r>
  <r>
    <x v="1"/>
    <x v="1"/>
    <x v="9"/>
    <x v="9"/>
    <x v="9"/>
    <x v="8"/>
    <x v="9"/>
    <x v="7"/>
    <x v="8"/>
    <x v="8"/>
    <x v="6"/>
    <x v="6"/>
    <x v="8"/>
    <x v="4"/>
    <x v="5"/>
    <x v="5"/>
    <x v="5"/>
  </r>
  <r>
    <x v="4"/>
    <x v="4"/>
    <x v="10"/>
    <x v="10"/>
    <x v="10"/>
    <x v="9"/>
    <x v="10"/>
    <x v="8"/>
    <x v="9"/>
    <x v="9"/>
    <x v="5"/>
    <x v="5"/>
    <x v="9"/>
    <x v="5"/>
    <x v="2"/>
    <x v="6"/>
    <x v="2"/>
  </r>
  <r>
    <x v="1"/>
    <x v="1"/>
    <x v="11"/>
    <x v="11"/>
    <x v="11"/>
    <x v="10"/>
    <x v="11"/>
    <x v="9"/>
    <x v="10"/>
    <x v="10"/>
    <x v="7"/>
    <x v="7"/>
    <x v="10"/>
    <x v="5"/>
    <x v="6"/>
    <x v="6"/>
    <x v="6"/>
  </r>
  <r>
    <x v="5"/>
    <x v="5"/>
    <x v="12"/>
    <x v="12"/>
    <x v="12"/>
    <x v="11"/>
    <x v="12"/>
    <x v="4"/>
    <x v="11"/>
    <x v="11"/>
    <x v="3"/>
    <x v="3"/>
    <x v="11"/>
    <x v="2"/>
    <x v="1"/>
    <x v="3"/>
    <x v="1"/>
  </r>
  <r>
    <x v="2"/>
    <x v="2"/>
    <x v="13"/>
    <x v="13"/>
    <x v="13"/>
    <x v="12"/>
    <x v="13"/>
    <x v="10"/>
    <x v="12"/>
    <x v="12"/>
    <x v="8"/>
    <x v="8"/>
    <x v="12"/>
    <x v="0"/>
    <x v="7"/>
    <x v="0"/>
    <x v="7"/>
  </r>
  <r>
    <x v="6"/>
    <x v="6"/>
    <x v="14"/>
    <x v="14"/>
    <x v="14"/>
    <x v="13"/>
    <x v="14"/>
    <x v="2"/>
    <x v="13"/>
    <x v="13"/>
    <x v="9"/>
    <x v="2"/>
    <x v="3"/>
    <x v="5"/>
    <x v="1"/>
    <x v="6"/>
    <x v="1"/>
  </r>
  <r>
    <x v="7"/>
    <x v="7"/>
    <x v="15"/>
    <x v="15"/>
    <x v="15"/>
    <x v="14"/>
    <x v="15"/>
    <x v="4"/>
    <x v="14"/>
    <x v="14"/>
    <x v="3"/>
    <x v="3"/>
    <x v="13"/>
    <x v="1"/>
    <x v="2"/>
    <x v="1"/>
    <x v="2"/>
  </r>
  <r>
    <x v="6"/>
    <x v="6"/>
    <x v="16"/>
    <x v="16"/>
    <x v="16"/>
    <x v="15"/>
    <x v="16"/>
    <x v="1"/>
    <x v="1"/>
    <x v="1"/>
    <x v="1"/>
    <x v="1"/>
    <x v="1"/>
    <x v="1"/>
    <x v="1"/>
    <x v="1"/>
    <x v="1"/>
  </r>
  <r>
    <x v="8"/>
    <x v="8"/>
    <x v="17"/>
    <x v="17"/>
    <x v="17"/>
    <x v="16"/>
    <x v="17"/>
    <x v="4"/>
    <x v="15"/>
    <x v="15"/>
    <x v="3"/>
    <x v="3"/>
    <x v="14"/>
    <x v="2"/>
    <x v="1"/>
    <x v="3"/>
    <x v="1"/>
  </r>
  <r>
    <x v="9"/>
    <x v="9"/>
    <x v="18"/>
    <x v="18"/>
    <x v="18"/>
    <x v="17"/>
    <x v="18"/>
    <x v="1"/>
    <x v="1"/>
    <x v="1"/>
    <x v="1"/>
    <x v="1"/>
    <x v="1"/>
    <x v="1"/>
    <x v="1"/>
    <x v="1"/>
    <x v="1"/>
  </r>
  <r>
    <x v="10"/>
    <x v="10"/>
    <x v="19"/>
    <x v="19"/>
    <x v="19"/>
    <x v="18"/>
    <x v="19"/>
    <x v="4"/>
    <x v="16"/>
    <x v="16"/>
    <x v="3"/>
    <x v="3"/>
    <x v="15"/>
    <x v="2"/>
    <x v="1"/>
    <x v="3"/>
    <x v="1"/>
  </r>
  <r>
    <x v="8"/>
    <x v="8"/>
    <x v="20"/>
    <x v="20"/>
    <x v="20"/>
    <x v="19"/>
    <x v="20"/>
    <x v="1"/>
    <x v="1"/>
    <x v="1"/>
    <x v="1"/>
    <x v="1"/>
    <x v="1"/>
    <x v="1"/>
    <x v="1"/>
    <x v="1"/>
    <x v="1"/>
  </r>
  <r>
    <x v="9"/>
    <x v="9"/>
    <x v="21"/>
    <x v="21"/>
    <x v="21"/>
    <x v="20"/>
    <x v="21"/>
    <x v="1"/>
    <x v="1"/>
    <x v="17"/>
    <x v="1"/>
    <x v="1"/>
    <x v="16"/>
    <x v="1"/>
    <x v="1"/>
    <x v="1"/>
    <x v="1"/>
  </r>
  <r>
    <x v="11"/>
    <x v="11"/>
    <x v="22"/>
    <x v="21"/>
    <x v="21"/>
    <x v="20"/>
    <x v="21"/>
    <x v="1"/>
    <x v="1"/>
    <x v="17"/>
    <x v="1"/>
    <x v="1"/>
    <x v="16"/>
    <x v="1"/>
    <x v="1"/>
    <x v="1"/>
    <x v="1"/>
  </r>
  <r>
    <x v="12"/>
    <x v="12"/>
    <x v="23"/>
    <x v="20"/>
    <x v="22"/>
    <x v="21"/>
    <x v="22"/>
    <x v="1"/>
    <x v="1"/>
    <x v="1"/>
    <x v="1"/>
    <x v="1"/>
    <x v="1"/>
    <x v="1"/>
    <x v="1"/>
    <x v="1"/>
    <x v="1"/>
  </r>
  <r>
    <x v="13"/>
    <x v="13"/>
    <x v="24"/>
    <x v="18"/>
    <x v="23"/>
    <x v="22"/>
    <x v="23"/>
    <x v="1"/>
    <x v="1"/>
    <x v="1"/>
    <x v="1"/>
    <x v="1"/>
    <x v="1"/>
    <x v="1"/>
    <x v="1"/>
    <x v="1"/>
    <x v="1"/>
  </r>
  <r>
    <x v="14"/>
    <x v="14"/>
    <x v="25"/>
    <x v="1"/>
    <x v="24"/>
    <x v="23"/>
    <x v="24"/>
    <x v="4"/>
    <x v="17"/>
    <x v="18"/>
    <x v="3"/>
    <x v="3"/>
    <x v="17"/>
    <x v="2"/>
    <x v="1"/>
    <x v="3"/>
    <x v="1"/>
  </r>
  <r>
    <x v="6"/>
    <x v="6"/>
    <x v="26"/>
    <x v="22"/>
    <x v="25"/>
    <x v="24"/>
    <x v="25"/>
    <x v="1"/>
    <x v="1"/>
    <x v="1"/>
    <x v="1"/>
    <x v="1"/>
    <x v="1"/>
    <x v="1"/>
    <x v="1"/>
    <x v="1"/>
    <x v="1"/>
  </r>
  <r>
    <x v="15"/>
    <x v="15"/>
    <x v="27"/>
    <x v="23"/>
    <x v="26"/>
    <x v="25"/>
    <x v="26"/>
    <x v="1"/>
    <x v="1"/>
    <x v="1"/>
    <x v="1"/>
    <x v="1"/>
    <x v="1"/>
    <x v="1"/>
    <x v="1"/>
    <x v="1"/>
    <x v="1"/>
  </r>
  <r>
    <x v="16"/>
    <x v="16"/>
    <x v="28"/>
    <x v="24"/>
    <x v="27"/>
    <x v="26"/>
    <x v="27"/>
    <x v="2"/>
    <x v="18"/>
    <x v="19"/>
    <x v="2"/>
    <x v="2"/>
    <x v="18"/>
    <x v="2"/>
    <x v="4"/>
    <x v="3"/>
    <x v="8"/>
  </r>
  <r>
    <x v="17"/>
    <x v="17"/>
    <x v="29"/>
    <x v="25"/>
    <x v="28"/>
    <x v="27"/>
    <x v="10"/>
    <x v="4"/>
    <x v="19"/>
    <x v="20"/>
    <x v="3"/>
    <x v="3"/>
    <x v="19"/>
    <x v="1"/>
    <x v="2"/>
    <x v="1"/>
    <x v="2"/>
  </r>
  <r>
    <x v="12"/>
    <x v="12"/>
    <x v="30"/>
    <x v="26"/>
    <x v="29"/>
    <x v="28"/>
    <x v="28"/>
    <x v="1"/>
    <x v="1"/>
    <x v="1"/>
    <x v="1"/>
    <x v="1"/>
    <x v="1"/>
    <x v="1"/>
    <x v="1"/>
    <x v="1"/>
    <x v="1"/>
  </r>
  <r>
    <x v="13"/>
    <x v="13"/>
    <x v="31"/>
    <x v="27"/>
    <x v="30"/>
    <x v="29"/>
    <x v="29"/>
    <x v="4"/>
    <x v="20"/>
    <x v="21"/>
    <x v="3"/>
    <x v="3"/>
    <x v="20"/>
    <x v="2"/>
    <x v="1"/>
    <x v="3"/>
    <x v="1"/>
  </r>
  <r>
    <x v="18"/>
    <x v="18"/>
    <x v="32"/>
    <x v="21"/>
    <x v="21"/>
    <x v="20"/>
    <x v="21"/>
    <x v="1"/>
    <x v="1"/>
    <x v="17"/>
    <x v="1"/>
    <x v="1"/>
    <x v="16"/>
    <x v="1"/>
    <x v="1"/>
    <x v="1"/>
    <x v="1"/>
  </r>
  <r>
    <x v="19"/>
    <x v="19"/>
    <x v="33"/>
    <x v="4"/>
    <x v="31"/>
    <x v="30"/>
    <x v="30"/>
    <x v="1"/>
    <x v="1"/>
    <x v="1"/>
    <x v="1"/>
    <x v="1"/>
    <x v="1"/>
    <x v="1"/>
    <x v="1"/>
    <x v="1"/>
    <x v="1"/>
  </r>
  <r>
    <x v="18"/>
    <x v="18"/>
    <x v="34"/>
    <x v="20"/>
    <x v="32"/>
    <x v="28"/>
    <x v="31"/>
    <x v="1"/>
    <x v="1"/>
    <x v="1"/>
    <x v="1"/>
    <x v="1"/>
    <x v="1"/>
    <x v="1"/>
    <x v="1"/>
    <x v="1"/>
    <x v="1"/>
  </r>
  <r>
    <x v="20"/>
    <x v="20"/>
    <x v="35"/>
    <x v="21"/>
    <x v="21"/>
    <x v="20"/>
    <x v="21"/>
    <x v="1"/>
    <x v="1"/>
    <x v="17"/>
    <x v="1"/>
    <x v="1"/>
    <x v="16"/>
    <x v="1"/>
    <x v="1"/>
    <x v="1"/>
    <x v="1"/>
  </r>
  <r>
    <x v="19"/>
    <x v="19"/>
    <x v="36"/>
    <x v="28"/>
    <x v="33"/>
    <x v="31"/>
    <x v="32"/>
    <x v="11"/>
    <x v="21"/>
    <x v="22"/>
    <x v="3"/>
    <x v="3"/>
    <x v="21"/>
    <x v="1"/>
    <x v="2"/>
    <x v="1"/>
    <x v="9"/>
  </r>
  <r>
    <x v="21"/>
    <x v="21"/>
    <x v="37"/>
    <x v="19"/>
    <x v="34"/>
    <x v="32"/>
    <x v="33"/>
    <x v="8"/>
    <x v="22"/>
    <x v="23"/>
    <x v="5"/>
    <x v="5"/>
    <x v="22"/>
    <x v="5"/>
    <x v="2"/>
    <x v="6"/>
    <x v="2"/>
  </r>
  <r>
    <x v="7"/>
    <x v="7"/>
    <x v="38"/>
    <x v="29"/>
    <x v="35"/>
    <x v="33"/>
    <x v="34"/>
    <x v="4"/>
    <x v="23"/>
    <x v="24"/>
    <x v="3"/>
    <x v="3"/>
    <x v="23"/>
    <x v="2"/>
    <x v="1"/>
    <x v="3"/>
    <x v="1"/>
  </r>
  <r>
    <x v="15"/>
    <x v="15"/>
    <x v="39"/>
    <x v="21"/>
    <x v="36"/>
    <x v="20"/>
    <x v="21"/>
    <x v="1"/>
    <x v="1"/>
    <x v="17"/>
    <x v="1"/>
    <x v="1"/>
    <x v="16"/>
    <x v="1"/>
    <x v="1"/>
    <x v="1"/>
    <x v="1"/>
  </r>
  <r>
    <x v="16"/>
    <x v="16"/>
    <x v="35"/>
    <x v="21"/>
    <x v="21"/>
    <x v="20"/>
    <x v="21"/>
    <x v="1"/>
    <x v="1"/>
    <x v="17"/>
    <x v="1"/>
    <x v="1"/>
    <x v="16"/>
    <x v="1"/>
    <x v="1"/>
    <x v="1"/>
    <x v="1"/>
  </r>
  <r>
    <x v="17"/>
    <x v="17"/>
    <x v="39"/>
    <x v="21"/>
    <x v="36"/>
    <x v="20"/>
    <x v="21"/>
    <x v="1"/>
    <x v="1"/>
    <x v="17"/>
    <x v="1"/>
    <x v="1"/>
    <x v="16"/>
    <x v="1"/>
    <x v="1"/>
    <x v="1"/>
    <x v="1"/>
  </r>
  <r>
    <x v="22"/>
    <x v="22"/>
    <x v="40"/>
    <x v="30"/>
    <x v="37"/>
    <x v="34"/>
    <x v="35"/>
    <x v="12"/>
    <x v="24"/>
    <x v="25"/>
    <x v="10"/>
    <x v="9"/>
    <x v="24"/>
    <x v="5"/>
    <x v="8"/>
    <x v="6"/>
    <x v="10"/>
  </r>
  <r>
    <x v="23"/>
    <x v="23"/>
    <x v="41"/>
    <x v="31"/>
    <x v="38"/>
    <x v="35"/>
    <x v="36"/>
    <x v="13"/>
    <x v="25"/>
    <x v="26"/>
    <x v="11"/>
    <x v="10"/>
    <x v="22"/>
    <x v="0"/>
    <x v="8"/>
    <x v="0"/>
    <x v="10"/>
  </r>
  <r>
    <x v="24"/>
    <x v="24"/>
    <x v="42"/>
    <x v="32"/>
    <x v="39"/>
    <x v="36"/>
    <x v="37"/>
    <x v="14"/>
    <x v="26"/>
    <x v="27"/>
    <x v="12"/>
    <x v="11"/>
    <x v="25"/>
    <x v="6"/>
    <x v="9"/>
    <x v="7"/>
    <x v="11"/>
  </r>
  <r>
    <x v="25"/>
    <x v="25"/>
    <x v="43"/>
    <x v="33"/>
    <x v="40"/>
    <x v="37"/>
    <x v="38"/>
    <x v="15"/>
    <x v="27"/>
    <x v="28"/>
    <x v="10"/>
    <x v="12"/>
    <x v="26"/>
    <x v="6"/>
    <x v="2"/>
    <x v="8"/>
    <x v="2"/>
  </r>
  <r>
    <x v="26"/>
    <x v="26"/>
    <x v="44"/>
    <x v="34"/>
    <x v="41"/>
    <x v="38"/>
    <x v="39"/>
    <x v="16"/>
    <x v="28"/>
    <x v="29"/>
    <x v="7"/>
    <x v="12"/>
    <x v="27"/>
    <x v="2"/>
    <x v="7"/>
    <x v="3"/>
    <x v="7"/>
  </r>
  <r>
    <x v="27"/>
    <x v="27"/>
    <x v="45"/>
    <x v="14"/>
    <x v="42"/>
    <x v="39"/>
    <x v="40"/>
    <x v="17"/>
    <x v="29"/>
    <x v="30"/>
    <x v="2"/>
    <x v="2"/>
    <x v="28"/>
    <x v="0"/>
    <x v="2"/>
    <x v="9"/>
    <x v="2"/>
  </r>
  <r>
    <x v="28"/>
    <x v="28"/>
    <x v="46"/>
    <x v="35"/>
    <x v="43"/>
    <x v="40"/>
    <x v="41"/>
    <x v="18"/>
    <x v="30"/>
    <x v="31"/>
    <x v="9"/>
    <x v="13"/>
    <x v="4"/>
    <x v="1"/>
    <x v="4"/>
    <x v="1"/>
    <x v="8"/>
  </r>
  <r>
    <x v="29"/>
    <x v="29"/>
    <x v="47"/>
    <x v="2"/>
    <x v="44"/>
    <x v="41"/>
    <x v="42"/>
    <x v="13"/>
    <x v="31"/>
    <x v="32"/>
    <x v="0"/>
    <x v="10"/>
    <x v="29"/>
    <x v="7"/>
    <x v="4"/>
    <x v="10"/>
    <x v="8"/>
  </r>
  <r>
    <x v="30"/>
    <x v="30"/>
    <x v="48"/>
    <x v="6"/>
    <x v="45"/>
    <x v="42"/>
    <x v="43"/>
    <x v="18"/>
    <x v="32"/>
    <x v="33"/>
    <x v="9"/>
    <x v="13"/>
    <x v="30"/>
    <x v="1"/>
    <x v="4"/>
    <x v="1"/>
    <x v="8"/>
  </r>
  <r>
    <x v="31"/>
    <x v="31"/>
    <x v="49"/>
    <x v="17"/>
    <x v="46"/>
    <x v="43"/>
    <x v="44"/>
    <x v="1"/>
    <x v="1"/>
    <x v="1"/>
    <x v="1"/>
    <x v="1"/>
    <x v="1"/>
    <x v="1"/>
    <x v="1"/>
    <x v="1"/>
    <x v="1"/>
  </r>
  <r>
    <x v="32"/>
    <x v="32"/>
    <x v="50"/>
    <x v="36"/>
    <x v="47"/>
    <x v="44"/>
    <x v="45"/>
    <x v="19"/>
    <x v="33"/>
    <x v="34"/>
    <x v="13"/>
    <x v="14"/>
    <x v="2"/>
    <x v="7"/>
    <x v="10"/>
    <x v="10"/>
    <x v="12"/>
  </r>
  <r>
    <x v="28"/>
    <x v="28"/>
    <x v="51"/>
    <x v="37"/>
    <x v="48"/>
    <x v="45"/>
    <x v="46"/>
    <x v="20"/>
    <x v="34"/>
    <x v="35"/>
    <x v="14"/>
    <x v="15"/>
    <x v="31"/>
    <x v="8"/>
    <x v="9"/>
    <x v="11"/>
    <x v="13"/>
  </r>
  <r>
    <x v="25"/>
    <x v="25"/>
    <x v="52"/>
    <x v="38"/>
    <x v="49"/>
    <x v="46"/>
    <x v="47"/>
    <x v="18"/>
    <x v="35"/>
    <x v="36"/>
    <x v="9"/>
    <x v="13"/>
    <x v="25"/>
    <x v="0"/>
    <x v="1"/>
    <x v="0"/>
    <x v="1"/>
  </r>
  <r>
    <x v="26"/>
    <x v="26"/>
    <x v="53"/>
    <x v="39"/>
    <x v="50"/>
    <x v="47"/>
    <x v="48"/>
    <x v="21"/>
    <x v="36"/>
    <x v="37"/>
    <x v="11"/>
    <x v="10"/>
    <x v="32"/>
    <x v="5"/>
    <x v="0"/>
    <x v="6"/>
    <x v="0"/>
  </r>
  <r>
    <x v="29"/>
    <x v="29"/>
    <x v="54"/>
    <x v="40"/>
    <x v="51"/>
    <x v="48"/>
    <x v="49"/>
    <x v="8"/>
    <x v="37"/>
    <x v="38"/>
    <x v="5"/>
    <x v="5"/>
    <x v="3"/>
    <x v="2"/>
    <x v="0"/>
    <x v="3"/>
    <x v="14"/>
  </r>
  <r>
    <x v="31"/>
    <x v="31"/>
    <x v="55"/>
    <x v="41"/>
    <x v="52"/>
    <x v="49"/>
    <x v="50"/>
    <x v="2"/>
    <x v="38"/>
    <x v="39"/>
    <x v="2"/>
    <x v="2"/>
    <x v="11"/>
    <x v="5"/>
    <x v="1"/>
    <x v="6"/>
    <x v="1"/>
  </r>
  <r>
    <x v="33"/>
    <x v="33"/>
    <x v="56"/>
    <x v="42"/>
    <x v="53"/>
    <x v="50"/>
    <x v="51"/>
    <x v="18"/>
    <x v="39"/>
    <x v="40"/>
    <x v="9"/>
    <x v="13"/>
    <x v="33"/>
    <x v="2"/>
    <x v="2"/>
    <x v="3"/>
    <x v="2"/>
  </r>
  <r>
    <x v="22"/>
    <x v="22"/>
    <x v="57"/>
    <x v="43"/>
    <x v="54"/>
    <x v="51"/>
    <x v="52"/>
    <x v="22"/>
    <x v="40"/>
    <x v="41"/>
    <x v="15"/>
    <x v="16"/>
    <x v="34"/>
    <x v="0"/>
    <x v="11"/>
    <x v="0"/>
    <x v="15"/>
  </r>
  <r>
    <x v="23"/>
    <x v="23"/>
    <x v="58"/>
    <x v="44"/>
    <x v="55"/>
    <x v="52"/>
    <x v="53"/>
    <x v="23"/>
    <x v="41"/>
    <x v="42"/>
    <x v="13"/>
    <x v="14"/>
    <x v="35"/>
    <x v="9"/>
    <x v="11"/>
    <x v="12"/>
    <x v="16"/>
  </r>
  <r>
    <x v="18"/>
    <x v="18"/>
    <x v="59"/>
    <x v="21"/>
    <x v="21"/>
    <x v="20"/>
    <x v="21"/>
    <x v="1"/>
    <x v="1"/>
    <x v="17"/>
    <x v="1"/>
    <x v="1"/>
    <x v="16"/>
    <x v="1"/>
    <x v="1"/>
    <x v="1"/>
    <x v="1"/>
  </r>
  <r>
    <x v="20"/>
    <x v="20"/>
    <x v="32"/>
    <x v="21"/>
    <x v="21"/>
    <x v="20"/>
    <x v="21"/>
    <x v="1"/>
    <x v="1"/>
    <x v="17"/>
    <x v="1"/>
    <x v="1"/>
    <x v="16"/>
    <x v="1"/>
    <x v="1"/>
    <x v="1"/>
    <x v="1"/>
  </r>
  <r>
    <x v="19"/>
    <x v="19"/>
    <x v="60"/>
    <x v="21"/>
    <x v="21"/>
    <x v="20"/>
    <x v="21"/>
    <x v="1"/>
    <x v="1"/>
    <x v="17"/>
    <x v="1"/>
    <x v="1"/>
    <x v="16"/>
    <x v="1"/>
    <x v="1"/>
    <x v="1"/>
    <x v="1"/>
  </r>
  <r>
    <x v="34"/>
    <x v="34"/>
    <x v="61"/>
    <x v="20"/>
    <x v="56"/>
    <x v="1"/>
    <x v="54"/>
    <x v="1"/>
    <x v="1"/>
    <x v="1"/>
    <x v="1"/>
    <x v="1"/>
    <x v="1"/>
    <x v="1"/>
    <x v="1"/>
    <x v="1"/>
    <x v="1"/>
  </r>
  <r>
    <x v="35"/>
    <x v="35"/>
    <x v="62"/>
    <x v="21"/>
    <x v="21"/>
    <x v="20"/>
    <x v="21"/>
    <x v="1"/>
    <x v="1"/>
    <x v="17"/>
    <x v="1"/>
    <x v="1"/>
    <x v="16"/>
    <x v="1"/>
    <x v="1"/>
    <x v="1"/>
    <x v="1"/>
  </r>
  <r>
    <x v="36"/>
    <x v="36"/>
    <x v="63"/>
    <x v="21"/>
    <x v="21"/>
    <x v="20"/>
    <x v="21"/>
    <x v="1"/>
    <x v="1"/>
    <x v="17"/>
    <x v="1"/>
    <x v="1"/>
    <x v="16"/>
    <x v="1"/>
    <x v="1"/>
    <x v="1"/>
    <x v="1"/>
  </r>
  <r>
    <x v="10"/>
    <x v="10"/>
    <x v="64"/>
    <x v="45"/>
    <x v="57"/>
    <x v="53"/>
    <x v="55"/>
    <x v="2"/>
    <x v="42"/>
    <x v="43"/>
    <x v="9"/>
    <x v="2"/>
    <x v="36"/>
    <x v="5"/>
    <x v="1"/>
    <x v="6"/>
    <x v="1"/>
  </r>
  <r>
    <x v="29"/>
    <x v="29"/>
    <x v="65"/>
    <x v="18"/>
    <x v="58"/>
    <x v="54"/>
    <x v="56"/>
    <x v="1"/>
    <x v="1"/>
    <x v="1"/>
    <x v="1"/>
    <x v="1"/>
    <x v="1"/>
    <x v="1"/>
    <x v="1"/>
    <x v="1"/>
    <x v="1"/>
  </r>
  <r>
    <x v="31"/>
    <x v="31"/>
    <x v="66"/>
    <x v="20"/>
    <x v="59"/>
    <x v="54"/>
    <x v="57"/>
    <x v="1"/>
    <x v="1"/>
    <x v="1"/>
    <x v="1"/>
    <x v="1"/>
    <x v="1"/>
    <x v="1"/>
    <x v="1"/>
    <x v="1"/>
    <x v="1"/>
  </r>
  <r>
    <x v="37"/>
    <x v="37"/>
    <x v="67"/>
    <x v="10"/>
    <x v="60"/>
    <x v="55"/>
    <x v="58"/>
    <x v="4"/>
    <x v="43"/>
    <x v="44"/>
    <x v="3"/>
    <x v="3"/>
    <x v="37"/>
    <x v="1"/>
    <x v="2"/>
    <x v="1"/>
    <x v="2"/>
  </r>
  <r>
    <x v="27"/>
    <x v="27"/>
    <x v="68"/>
    <x v="16"/>
    <x v="61"/>
    <x v="56"/>
    <x v="59"/>
    <x v="1"/>
    <x v="1"/>
    <x v="1"/>
    <x v="1"/>
    <x v="1"/>
    <x v="1"/>
    <x v="1"/>
    <x v="1"/>
    <x v="1"/>
    <x v="1"/>
  </r>
  <r>
    <x v="32"/>
    <x v="32"/>
    <x v="69"/>
    <x v="46"/>
    <x v="62"/>
    <x v="57"/>
    <x v="60"/>
    <x v="24"/>
    <x v="44"/>
    <x v="45"/>
    <x v="10"/>
    <x v="9"/>
    <x v="38"/>
    <x v="2"/>
    <x v="12"/>
    <x v="3"/>
    <x v="17"/>
  </r>
  <r>
    <x v="25"/>
    <x v="25"/>
    <x v="70"/>
    <x v="20"/>
    <x v="63"/>
    <x v="28"/>
    <x v="31"/>
    <x v="1"/>
    <x v="1"/>
    <x v="1"/>
    <x v="1"/>
    <x v="1"/>
    <x v="1"/>
    <x v="1"/>
    <x v="1"/>
    <x v="1"/>
    <x v="1"/>
  </r>
  <r>
    <x v="38"/>
    <x v="38"/>
    <x v="71"/>
    <x v="21"/>
    <x v="21"/>
    <x v="20"/>
    <x v="21"/>
    <x v="1"/>
    <x v="1"/>
    <x v="17"/>
    <x v="1"/>
    <x v="1"/>
    <x v="16"/>
    <x v="1"/>
    <x v="1"/>
    <x v="1"/>
    <x v="1"/>
  </r>
  <r>
    <x v="9"/>
    <x v="9"/>
    <x v="72"/>
    <x v="4"/>
    <x v="64"/>
    <x v="58"/>
    <x v="61"/>
    <x v="1"/>
    <x v="1"/>
    <x v="1"/>
    <x v="1"/>
    <x v="1"/>
    <x v="1"/>
    <x v="1"/>
    <x v="1"/>
    <x v="1"/>
    <x v="1"/>
  </r>
  <r>
    <x v="11"/>
    <x v="11"/>
    <x v="73"/>
    <x v="17"/>
    <x v="65"/>
    <x v="59"/>
    <x v="62"/>
    <x v="1"/>
    <x v="1"/>
    <x v="1"/>
    <x v="1"/>
    <x v="1"/>
    <x v="1"/>
    <x v="1"/>
    <x v="1"/>
    <x v="1"/>
    <x v="1"/>
  </r>
  <r>
    <x v="15"/>
    <x v="15"/>
    <x v="74"/>
    <x v="21"/>
    <x v="21"/>
    <x v="20"/>
    <x v="21"/>
    <x v="1"/>
    <x v="1"/>
    <x v="17"/>
    <x v="1"/>
    <x v="1"/>
    <x v="16"/>
    <x v="1"/>
    <x v="1"/>
    <x v="1"/>
    <x v="1"/>
  </r>
  <r>
    <x v="17"/>
    <x v="17"/>
    <x v="75"/>
    <x v="26"/>
    <x v="66"/>
    <x v="60"/>
    <x v="63"/>
    <x v="1"/>
    <x v="1"/>
    <x v="1"/>
    <x v="1"/>
    <x v="1"/>
    <x v="1"/>
    <x v="1"/>
    <x v="1"/>
    <x v="1"/>
    <x v="1"/>
  </r>
  <r>
    <x v="26"/>
    <x v="26"/>
    <x v="76"/>
    <x v="15"/>
    <x v="67"/>
    <x v="61"/>
    <x v="64"/>
    <x v="18"/>
    <x v="45"/>
    <x v="46"/>
    <x v="9"/>
    <x v="13"/>
    <x v="39"/>
    <x v="2"/>
    <x v="2"/>
    <x v="3"/>
    <x v="2"/>
  </r>
  <r>
    <x v="38"/>
    <x v="38"/>
    <x v="77"/>
    <x v="22"/>
    <x v="68"/>
    <x v="62"/>
    <x v="65"/>
    <x v="1"/>
    <x v="1"/>
    <x v="1"/>
    <x v="1"/>
    <x v="1"/>
    <x v="1"/>
    <x v="1"/>
    <x v="1"/>
    <x v="1"/>
    <x v="1"/>
  </r>
  <r>
    <x v="33"/>
    <x v="33"/>
    <x v="78"/>
    <x v="23"/>
    <x v="69"/>
    <x v="63"/>
    <x v="66"/>
    <x v="18"/>
    <x v="46"/>
    <x v="47"/>
    <x v="9"/>
    <x v="13"/>
    <x v="40"/>
    <x v="1"/>
    <x v="4"/>
    <x v="1"/>
    <x v="8"/>
  </r>
  <r>
    <x v="23"/>
    <x v="23"/>
    <x v="79"/>
    <x v="27"/>
    <x v="70"/>
    <x v="64"/>
    <x v="67"/>
    <x v="2"/>
    <x v="47"/>
    <x v="48"/>
    <x v="2"/>
    <x v="2"/>
    <x v="41"/>
    <x v="1"/>
    <x v="0"/>
    <x v="1"/>
    <x v="14"/>
  </r>
  <r>
    <x v="39"/>
    <x v="39"/>
    <x v="80"/>
    <x v="47"/>
    <x v="71"/>
    <x v="31"/>
    <x v="68"/>
    <x v="18"/>
    <x v="48"/>
    <x v="49"/>
    <x v="9"/>
    <x v="13"/>
    <x v="11"/>
    <x v="2"/>
    <x v="2"/>
    <x v="3"/>
    <x v="2"/>
  </r>
  <r>
    <x v="40"/>
    <x v="40"/>
    <x v="81"/>
    <x v="22"/>
    <x v="72"/>
    <x v="65"/>
    <x v="69"/>
    <x v="4"/>
    <x v="49"/>
    <x v="50"/>
    <x v="3"/>
    <x v="3"/>
    <x v="41"/>
    <x v="1"/>
    <x v="2"/>
    <x v="1"/>
    <x v="2"/>
  </r>
  <r>
    <x v="41"/>
    <x v="41"/>
    <x v="82"/>
    <x v="25"/>
    <x v="73"/>
    <x v="66"/>
    <x v="70"/>
    <x v="1"/>
    <x v="1"/>
    <x v="1"/>
    <x v="1"/>
    <x v="1"/>
    <x v="1"/>
    <x v="1"/>
    <x v="1"/>
    <x v="1"/>
    <x v="1"/>
  </r>
  <r>
    <x v="39"/>
    <x v="39"/>
    <x v="83"/>
    <x v="48"/>
    <x v="74"/>
    <x v="67"/>
    <x v="71"/>
    <x v="25"/>
    <x v="50"/>
    <x v="51"/>
    <x v="16"/>
    <x v="17"/>
    <x v="42"/>
    <x v="10"/>
    <x v="13"/>
    <x v="13"/>
    <x v="18"/>
  </r>
  <r>
    <x v="40"/>
    <x v="40"/>
    <x v="84"/>
    <x v="49"/>
    <x v="75"/>
    <x v="68"/>
    <x v="72"/>
    <x v="26"/>
    <x v="51"/>
    <x v="52"/>
    <x v="17"/>
    <x v="18"/>
    <x v="43"/>
    <x v="2"/>
    <x v="10"/>
    <x v="3"/>
    <x v="19"/>
  </r>
  <r>
    <x v="42"/>
    <x v="42"/>
    <x v="85"/>
    <x v="1"/>
    <x v="76"/>
    <x v="69"/>
    <x v="73"/>
    <x v="4"/>
    <x v="52"/>
    <x v="53"/>
    <x v="3"/>
    <x v="3"/>
    <x v="17"/>
    <x v="1"/>
    <x v="2"/>
    <x v="1"/>
    <x v="2"/>
  </r>
  <r>
    <x v="42"/>
    <x v="42"/>
    <x v="86"/>
    <x v="50"/>
    <x v="77"/>
    <x v="70"/>
    <x v="74"/>
    <x v="8"/>
    <x v="53"/>
    <x v="54"/>
    <x v="5"/>
    <x v="5"/>
    <x v="17"/>
    <x v="0"/>
    <x v="4"/>
    <x v="0"/>
    <x v="8"/>
  </r>
  <r>
    <x v="43"/>
    <x v="43"/>
    <x v="87"/>
    <x v="51"/>
    <x v="78"/>
    <x v="71"/>
    <x v="75"/>
    <x v="8"/>
    <x v="54"/>
    <x v="55"/>
    <x v="5"/>
    <x v="5"/>
    <x v="44"/>
    <x v="0"/>
    <x v="4"/>
    <x v="0"/>
    <x v="8"/>
  </r>
  <r>
    <x v="44"/>
    <x v="44"/>
    <x v="88"/>
    <x v="16"/>
    <x v="79"/>
    <x v="72"/>
    <x v="76"/>
    <x v="1"/>
    <x v="1"/>
    <x v="1"/>
    <x v="1"/>
    <x v="1"/>
    <x v="1"/>
    <x v="1"/>
    <x v="1"/>
    <x v="1"/>
    <x v="1"/>
  </r>
  <r>
    <x v="45"/>
    <x v="45"/>
    <x v="89"/>
    <x v="52"/>
    <x v="80"/>
    <x v="54"/>
    <x v="77"/>
    <x v="18"/>
    <x v="55"/>
    <x v="56"/>
    <x v="9"/>
    <x v="13"/>
    <x v="45"/>
    <x v="1"/>
    <x v="4"/>
    <x v="1"/>
    <x v="8"/>
  </r>
  <r>
    <x v="46"/>
    <x v="46"/>
    <x v="90"/>
    <x v="53"/>
    <x v="81"/>
    <x v="73"/>
    <x v="78"/>
    <x v="8"/>
    <x v="56"/>
    <x v="57"/>
    <x v="5"/>
    <x v="5"/>
    <x v="30"/>
    <x v="1"/>
    <x v="8"/>
    <x v="1"/>
    <x v="10"/>
  </r>
  <r>
    <x v="47"/>
    <x v="47"/>
    <x v="91"/>
    <x v="47"/>
    <x v="82"/>
    <x v="74"/>
    <x v="79"/>
    <x v="2"/>
    <x v="57"/>
    <x v="58"/>
    <x v="2"/>
    <x v="2"/>
    <x v="3"/>
    <x v="2"/>
    <x v="4"/>
    <x v="3"/>
    <x v="8"/>
  </r>
  <r>
    <x v="48"/>
    <x v="48"/>
    <x v="92"/>
    <x v="54"/>
    <x v="83"/>
    <x v="75"/>
    <x v="80"/>
    <x v="1"/>
    <x v="1"/>
    <x v="1"/>
    <x v="1"/>
    <x v="1"/>
    <x v="1"/>
    <x v="1"/>
    <x v="1"/>
    <x v="1"/>
    <x v="1"/>
  </r>
  <r>
    <x v="49"/>
    <x v="49"/>
    <x v="93"/>
    <x v="38"/>
    <x v="84"/>
    <x v="76"/>
    <x v="81"/>
    <x v="27"/>
    <x v="58"/>
    <x v="59"/>
    <x v="5"/>
    <x v="9"/>
    <x v="46"/>
    <x v="9"/>
    <x v="2"/>
    <x v="14"/>
    <x v="2"/>
  </r>
  <r>
    <x v="47"/>
    <x v="47"/>
    <x v="94"/>
    <x v="55"/>
    <x v="85"/>
    <x v="77"/>
    <x v="82"/>
    <x v="28"/>
    <x v="59"/>
    <x v="60"/>
    <x v="14"/>
    <x v="15"/>
    <x v="47"/>
    <x v="11"/>
    <x v="11"/>
    <x v="15"/>
    <x v="15"/>
  </r>
  <r>
    <x v="45"/>
    <x v="45"/>
    <x v="95"/>
    <x v="56"/>
    <x v="86"/>
    <x v="78"/>
    <x v="83"/>
    <x v="29"/>
    <x v="60"/>
    <x v="61"/>
    <x v="7"/>
    <x v="12"/>
    <x v="48"/>
    <x v="9"/>
    <x v="4"/>
    <x v="14"/>
    <x v="8"/>
  </r>
  <r>
    <x v="50"/>
    <x v="50"/>
    <x v="96"/>
    <x v="33"/>
    <x v="87"/>
    <x v="79"/>
    <x v="84"/>
    <x v="8"/>
    <x v="61"/>
    <x v="62"/>
    <x v="5"/>
    <x v="5"/>
    <x v="2"/>
    <x v="2"/>
    <x v="0"/>
    <x v="3"/>
    <x v="14"/>
  </r>
  <r>
    <x v="39"/>
    <x v="39"/>
    <x v="97"/>
    <x v="54"/>
    <x v="88"/>
    <x v="32"/>
    <x v="6"/>
    <x v="1"/>
    <x v="1"/>
    <x v="1"/>
    <x v="1"/>
    <x v="1"/>
    <x v="1"/>
    <x v="1"/>
    <x v="1"/>
    <x v="1"/>
    <x v="1"/>
  </r>
  <r>
    <x v="43"/>
    <x v="43"/>
    <x v="98"/>
    <x v="23"/>
    <x v="89"/>
    <x v="80"/>
    <x v="85"/>
    <x v="1"/>
    <x v="1"/>
    <x v="1"/>
    <x v="1"/>
    <x v="1"/>
    <x v="1"/>
    <x v="1"/>
    <x v="1"/>
    <x v="1"/>
    <x v="1"/>
  </r>
  <r>
    <x v="51"/>
    <x v="51"/>
    <x v="99"/>
    <x v="23"/>
    <x v="90"/>
    <x v="81"/>
    <x v="86"/>
    <x v="4"/>
    <x v="62"/>
    <x v="63"/>
    <x v="3"/>
    <x v="3"/>
    <x v="2"/>
    <x v="1"/>
    <x v="2"/>
    <x v="1"/>
    <x v="2"/>
  </r>
  <r>
    <x v="52"/>
    <x v="52"/>
    <x v="100"/>
    <x v="35"/>
    <x v="91"/>
    <x v="82"/>
    <x v="87"/>
    <x v="30"/>
    <x v="63"/>
    <x v="64"/>
    <x v="0"/>
    <x v="0"/>
    <x v="49"/>
    <x v="0"/>
    <x v="0"/>
    <x v="0"/>
    <x v="14"/>
  </r>
  <r>
    <x v="26"/>
    <x v="26"/>
    <x v="101"/>
    <x v="57"/>
    <x v="92"/>
    <x v="83"/>
    <x v="88"/>
    <x v="31"/>
    <x v="64"/>
    <x v="65"/>
    <x v="2"/>
    <x v="2"/>
    <x v="50"/>
    <x v="5"/>
    <x v="1"/>
    <x v="16"/>
    <x v="1"/>
  </r>
  <r>
    <x v="31"/>
    <x v="31"/>
    <x v="102"/>
    <x v="1"/>
    <x v="93"/>
    <x v="84"/>
    <x v="89"/>
    <x v="4"/>
    <x v="65"/>
    <x v="66"/>
    <x v="3"/>
    <x v="3"/>
    <x v="17"/>
    <x v="2"/>
    <x v="1"/>
    <x v="3"/>
    <x v="1"/>
  </r>
  <r>
    <x v="24"/>
    <x v="24"/>
    <x v="69"/>
    <x v="42"/>
    <x v="94"/>
    <x v="85"/>
    <x v="90"/>
    <x v="18"/>
    <x v="66"/>
    <x v="67"/>
    <x v="9"/>
    <x v="13"/>
    <x v="33"/>
    <x v="0"/>
    <x v="1"/>
    <x v="0"/>
    <x v="1"/>
  </r>
  <r>
    <x v="27"/>
    <x v="27"/>
    <x v="103"/>
    <x v="15"/>
    <x v="95"/>
    <x v="86"/>
    <x v="75"/>
    <x v="2"/>
    <x v="67"/>
    <x v="68"/>
    <x v="2"/>
    <x v="2"/>
    <x v="51"/>
    <x v="0"/>
    <x v="2"/>
    <x v="0"/>
    <x v="2"/>
  </r>
  <r>
    <x v="37"/>
    <x v="37"/>
    <x v="104"/>
    <x v="47"/>
    <x v="96"/>
    <x v="87"/>
    <x v="91"/>
    <x v="21"/>
    <x v="68"/>
    <x v="69"/>
    <x v="11"/>
    <x v="10"/>
    <x v="21"/>
    <x v="5"/>
    <x v="0"/>
    <x v="17"/>
    <x v="14"/>
  </r>
  <r>
    <x v="22"/>
    <x v="22"/>
    <x v="105"/>
    <x v="58"/>
    <x v="97"/>
    <x v="88"/>
    <x v="92"/>
    <x v="30"/>
    <x v="69"/>
    <x v="70"/>
    <x v="0"/>
    <x v="0"/>
    <x v="52"/>
    <x v="2"/>
    <x v="8"/>
    <x v="3"/>
    <x v="10"/>
  </r>
  <r>
    <x v="23"/>
    <x v="23"/>
    <x v="106"/>
    <x v="47"/>
    <x v="98"/>
    <x v="89"/>
    <x v="93"/>
    <x v="30"/>
    <x v="70"/>
    <x v="71"/>
    <x v="0"/>
    <x v="0"/>
    <x v="17"/>
    <x v="0"/>
    <x v="0"/>
    <x v="0"/>
    <x v="14"/>
  </r>
  <r>
    <x v="24"/>
    <x v="24"/>
    <x v="107"/>
    <x v="25"/>
    <x v="99"/>
    <x v="90"/>
    <x v="94"/>
    <x v="18"/>
    <x v="71"/>
    <x v="72"/>
    <x v="9"/>
    <x v="13"/>
    <x v="53"/>
    <x v="2"/>
    <x v="2"/>
    <x v="3"/>
    <x v="2"/>
  </r>
  <r>
    <x v="53"/>
    <x v="53"/>
    <x v="108"/>
    <x v="59"/>
    <x v="100"/>
    <x v="91"/>
    <x v="95"/>
    <x v="1"/>
    <x v="1"/>
    <x v="1"/>
    <x v="1"/>
    <x v="1"/>
    <x v="1"/>
    <x v="1"/>
    <x v="1"/>
    <x v="1"/>
    <x v="1"/>
  </r>
  <r>
    <x v="49"/>
    <x v="49"/>
    <x v="109"/>
    <x v="18"/>
    <x v="101"/>
    <x v="92"/>
    <x v="31"/>
    <x v="1"/>
    <x v="1"/>
    <x v="1"/>
    <x v="1"/>
    <x v="1"/>
    <x v="1"/>
    <x v="1"/>
    <x v="1"/>
    <x v="1"/>
    <x v="1"/>
  </r>
  <r>
    <x v="47"/>
    <x v="47"/>
    <x v="110"/>
    <x v="17"/>
    <x v="102"/>
    <x v="93"/>
    <x v="96"/>
    <x v="1"/>
    <x v="1"/>
    <x v="1"/>
    <x v="1"/>
    <x v="1"/>
    <x v="1"/>
    <x v="1"/>
    <x v="1"/>
    <x v="1"/>
    <x v="1"/>
  </r>
  <r>
    <x v="54"/>
    <x v="54"/>
    <x v="111"/>
    <x v="4"/>
    <x v="103"/>
    <x v="94"/>
    <x v="97"/>
    <x v="1"/>
    <x v="1"/>
    <x v="1"/>
    <x v="1"/>
    <x v="1"/>
    <x v="1"/>
    <x v="1"/>
    <x v="1"/>
    <x v="1"/>
    <x v="1"/>
  </r>
  <r>
    <x v="2"/>
    <x v="2"/>
    <x v="112"/>
    <x v="59"/>
    <x v="104"/>
    <x v="95"/>
    <x v="98"/>
    <x v="32"/>
    <x v="72"/>
    <x v="73"/>
    <x v="9"/>
    <x v="13"/>
    <x v="9"/>
    <x v="0"/>
    <x v="1"/>
    <x v="9"/>
    <x v="1"/>
  </r>
  <r>
    <x v="3"/>
    <x v="3"/>
    <x v="113"/>
    <x v="20"/>
    <x v="105"/>
    <x v="96"/>
    <x v="99"/>
    <x v="4"/>
    <x v="73"/>
    <x v="74"/>
    <x v="3"/>
    <x v="3"/>
    <x v="54"/>
    <x v="1"/>
    <x v="2"/>
    <x v="1"/>
    <x v="2"/>
  </r>
  <r>
    <x v="1"/>
    <x v="1"/>
    <x v="114"/>
    <x v="12"/>
    <x v="106"/>
    <x v="97"/>
    <x v="100"/>
    <x v="8"/>
    <x v="74"/>
    <x v="75"/>
    <x v="2"/>
    <x v="5"/>
    <x v="21"/>
    <x v="1"/>
    <x v="8"/>
    <x v="1"/>
    <x v="10"/>
  </r>
  <r>
    <x v="6"/>
    <x v="6"/>
    <x v="115"/>
    <x v="1"/>
    <x v="107"/>
    <x v="98"/>
    <x v="101"/>
    <x v="4"/>
    <x v="75"/>
    <x v="76"/>
    <x v="3"/>
    <x v="3"/>
    <x v="17"/>
    <x v="2"/>
    <x v="1"/>
    <x v="3"/>
    <x v="1"/>
  </r>
  <r>
    <x v="7"/>
    <x v="7"/>
    <x v="116"/>
    <x v="5"/>
    <x v="108"/>
    <x v="99"/>
    <x v="100"/>
    <x v="4"/>
    <x v="76"/>
    <x v="77"/>
    <x v="3"/>
    <x v="3"/>
    <x v="4"/>
    <x v="1"/>
    <x v="2"/>
    <x v="1"/>
    <x v="2"/>
  </r>
  <r>
    <x v="0"/>
    <x v="0"/>
    <x v="117"/>
    <x v="19"/>
    <x v="109"/>
    <x v="100"/>
    <x v="102"/>
    <x v="22"/>
    <x v="77"/>
    <x v="78"/>
    <x v="10"/>
    <x v="16"/>
    <x v="17"/>
    <x v="9"/>
    <x v="8"/>
    <x v="12"/>
    <x v="10"/>
  </r>
  <r>
    <x v="55"/>
    <x v="55"/>
    <x v="118"/>
    <x v="53"/>
    <x v="110"/>
    <x v="101"/>
    <x v="103"/>
    <x v="2"/>
    <x v="78"/>
    <x v="79"/>
    <x v="2"/>
    <x v="2"/>
    <x v="32"/>
    <x v="0"/>
    <x v="2"/>
    <x v="0"/>
    <x v="2"/>
  </r>
  <r>
    <x v="56"/>
    <x v="56"/>
    <x v="119"/>
    <x v="20"/>
    <x v="111"/>
    <x v="37"/>
    <x v="104"/>
    <x v="1"/>
    <x v="1"/>
    <x v="1"/>
    <x v="1"/>
    <x v="1"/>
    <x v="1"/>
    <x v="1"/>
    <x v="1"/>
    <x v="1"/>
    <x v="1"/>
  </r>
  <r>
    <x v="2"/>
    <x v="2"/>
    <x v="120"/>
    <x v="20"/>
    <x v="112"/>
    <x v="69"/>
    <x v="105"/>
    <x v="1"/>
    <x v="1"/>
    <x v="1"/>
    <x v="1"/>
    <x v="1"/>
    <x v="1"/>
    <x v="1"/>
    <x v="1"/>
    <x v="1"/>
    <x v="1"/>
  </r>
  <r>
    <x v="2"/>
    <x v="2"/>
    <x v="121"/>
    <x v="14"/>
    <x v="113"/>
    <x v="102"/>
    <x v="106"/>
    <x v="17"/>
    <x v="79"/>
    <x v="80"/>
    <x v="2"/>
    <x v="2"/>
    <x v="28"/>
    <x v="5"/>
    <x v="1"/>
    <x v="17"/>
    <x v="1"/>
  </r>
  <r>
    <x v="3"/>
    <x v="3"/>
    <x v="122"/>
    <x v="18"/>
    <x v="114"/>
    <x v="103"/>
    <x v="22"/>
    <x v="4"/>
    <x v="80"/>
    <x v="81"/>
    <x v="3"/>
    <x v="3"/>
    <x v="55"/>
    <x v="2"/>
    <x v="1"/>
    <x v="3"/>
    <x v="1"/>
  </r>
  <r>
    <x v="57"/>
    <x v="57"/>
    <x v="123"/>
    <x v="20"/>
    <x v="115"/>
    <x v="22"/>
    <x v="107"/>
    <x v="1"/>
    <x v="1"/>
    <x v="1"/>
    <x v="1"/>
    <x v="1"/>
    <x v="1"/>
    <x v="1"/>
    <x v="1"/>
    <x v="1"/>
    <x v="1"/>
  </r>
  <r>
    <x v="39"/>
    <x v="39"/>
    <x v="124"/>
    <x v="16"/>
    <x v="116"/>
    <x v="104"/>
    <x v="108"/>
    <x v="4"/>
    <x v="81"/>
    <x v="82"/>
    <x v="3"/>
    <x v="3"/>
    <x v="56"/>
    <x v="1"/>
    <x v="2"/>
    <x v="1"/>
    <x v="2"/>
  </r>
  <r>
    <x v="46"/>
    <x v="46"/>
    <x v="125"/>
    <x v="21"/>
    <x v="21"/>
    <x v="20"/>
    <x v="21"/>
    <x v="1"/>
    <x v="1"/>
    <x v="17"/>
    <x v="1"/>
    <x v="1"/>
    <x v="16"/>
    <x v="1"/>
    <x v="1"/>
    <x v="1"/>
    <x v="1"/>
  </r>
  <r>
    <x v="44"/>
    <x v="44"/>
    <x v="126"/>
    <x v="20"/>
    <x v="117"/>
    <x v="19"/>
    <x v="20"/>
    <x v="1"/>
    <x v="1"/>
    <x v="1"/>
    <x v="1"/>
    <x v="1"/>
    <x v="1"/>
    <x v="1"/>
    <x v="1"/>
    <x v="1"/>
    <x v="1"/>
  </r>
  <r>
    <x v="44"/>
    <x v="44"/>
    <x v="127"/>
    <x v="28"/>
    <x v="118"/>
    <x v="105"/>
    <x v="109"/>
    <x v="1"/>
    <x v="1"/>
    <x v="1"/>
    <x v="1"/>
    <x v="1"/>
    <x v="1"/>
    <x v="1"/>
    <x v="1"/>
    <x v="1"/>
    <x v="1"/>
  </r>
  <r>
    <x v="45"/>
    <x v="45"/>
    <x v="128"/>
    <x v="25"/>
    <x v="119"/>
    <x v="106"/>
    <x v="110"/>
    <x v="6"/>
    <x v="82"/>
    <x v="83"/>
    <x v="5"/>
    <x v="5"/>
    <x v="25"/>
    <x v="2"/>
    <x v="0"/>
    <x v="2"/>
    <x v="14"/>
  </r>
  <r>
    <x v="50"/>
    <x v="50"/>
    <x v="129"/>
    <x v="59"/>
    <x v="120"/>
    <x v="107"/>
    <x v="111"/>
    <x v="18"/>
    <x v="83"/>
    <x v="84"/>
    <x v="9"/>
    <x v="13"/>
    <x v="9"/>
    <x v="2"/>
    <x v="2"/>
    <x v="3"/>
    <x v="2"/>
  </r>
  <r>
    <x v="39"/>
    <x v="39"/>
    <x v="130"/>
    <x v="26"/>
    <x v="121"/>
    <x v="37"/>
    <x v="112"/>
    <x v="1"/>
    <x v="1"/>
    <x v="1"/>
    <x v="1"/>
    <x v="1"/>
    <x v="1"/>
    <x v="1"/>
    <x v="1"/>
    <x v="1"/>
    <x v="1"/>
  </r>
  <r>
    <x v="40"/>
    <x v="40"/>
    <x v="131"/>
    <x v="21"/>
    <x v="21"/>
    <x v="20"/>
    <x v="21"/>
    <x v="1"/>
    <x v="1"/>
    <x v="17"/>
    <x v="1"/>
    <x v="1"/>
    <x v="16"/>
    <x v="1"/>
    <x v="1"/>
    <x v="1"/>
    <x v="1"/>
  </r>
  <r>
    <x v="29"/>
    <x v="29"/>
    <x v="132"/>
    <x v="10"/>
    <x v="122"/>
    <x v="108"/>
    <x v="113"/>
    <x v="29"/>
    <x v="84"/>
    <x v="85"/>
    <x v="7"/>
    <x v="12"/>
    <x v="57"/>
    <x v="0"/>
    <x v="12"/>
    <x v="0"/>
    <x v="20"/>
  </r>
  <r>
    <x v="31"/>
    <x v="31"/>
    <x v="133"/>
    <x v="16"/>
    <x v="123"/>
    <x v="109"/>
    <x v="114"/>
    <x v="18"/>
    <x v="85"/>
    <x v="86"/>
    <x v="9"/>
    <x v="13"/>
    <x v="58"/>
    <x v="0"/>
    <x v="1"/>
    <x v="0"/>
    <x v="1"/>
  </r>
  <r>
    <x v="47"/>
    <x v="47"/>
    <x v="134"/>
    <x v="12"/>
    <x v="124"/>
    <x v="110"/>
    <x v="115"/>
    <x v="4"/>
    <x v="86"/>
    <x v="87"/>
    <x v="3"/>
    <x v="3"/>
    <x v="11"/>
    <x v="1"/>
    <x v="2"/>
    <x v="1"/>
    <x v="2"/>
  </r>
  <r>
    <x v="49"/>
    <x v="49"/>
    <x v="135"/>
    <x v="21"/>
    <x v="21"/>
    <x v="20"/>
    <x v="21"/>
    <x v="1"/>
    <x v="1"/>
    <x v="17"/>
    <x v="1"/>
    <x v="1"/>
    <x v="16"/>
    <x v="1"/>
    <x v="1"/>
    <x v="1"/>
    <x v="1"/>
  </r>
  <r>
    <x v="54"/>
    <x v="54"/>
    <x v="21"/>
    <x v="1"/>
    <x v="125"/>
    <x v="111"/>
    <x v="116"/>
    <x v="1"/>
    <x v="1"/>
    <x v="1"/>
    <x v="1"/>
    <x v="1"/>
    <x v="1"/>
    <x v="1"/>
    <x v="1"/>
    <x v="1"/>
    <x v="1"/>
  </r>
  <r>
    <x v="6"/>
    <x v="6"/>
    <x v="136"/>
    <x v="21"/>
    <x v="21"/>
    <x v="20"/>
    <x v="21"/>
    <x v="1"/>
    <x v="1"/>
    <x v="17"/>
    <x v="1"/>
    <x v="1"/>
    <x v="16"/>
    <x v="1"/>
    <x v="1"/>
    <x v="1"/>
    <x v="1"/>
  </r>
  <r>
    <x v="21"/>
    <x v="21"/>
    <x v="137"/>
    <x v="1"/>
    <x v="126"/>
    <x v="112"/>
    <x v="117"/>
    <x v="1"/>
    <x v="1"/>
    <x v="1"/>
    <x v="1"/>
    <x v="1"/>
    <x v="1"/>
    <x v="1"/>
    <x v="1"/>
    <x v="1"/>
    <x v="1"/>
  </r>
  <r>
    <x v="33"/>
    <x v="33"/>
    <x v="138"/>
    <x v="6"/>
    <x v="127"/>
    <x v="113"/>
    <x v="118"/>
    <x v="1"/>
    <x v="1"/>
    <x v="1"/>
    <x v="1"/>
    <x v="1"/>
    <x v="1"/>
    <x v="1"/>
    <x v="1"/>
    <x v="1"/>
    <x v="1"/>
  </r>
  <r>
    <x v="58"/>
    <x v="58"/>
    <x v="139"/>
    <x v="4"/>
    <x v="128"/>
    <x v="114"/>
    <x v="119"/>
    <x v="1"/>
    <x v="1"/>
    <x v="1"/>
    <x v="1"/>
    <x v="1"/>
    <x v="1"/>
    <x v="1"/>
    <x v="1"/>
    <x v="1"/>
    <x v="1"/>
  </r>
  <r>
    <x v="38"/>
    <x v="38"/>
    <x v="140"/>
    <x v="28"/>
    <x v="129"/>
    <x v="115"/>
    <x v="120"/>
    <x v="1"/>
    <x v="1"/>
    <x v="1"/>
    <x v="1"/>
    <x v="1"/>
    <x v="1"/>
    <x v="1"/>
    <x v="1"/>
    <x v="1"/>
    <x v="1"/>
  </r>
  <r>
    <x v="0"/>
    <x v="0"/>
    <x v="141"/>
    <x v="4"/>
    <x v="130"/>
    <x v="4"/>
    <x v="4"/>
    <x v="1"/>
    <x v="1"/>
    <x v="1"/>
    <x v="1"/>
    <x v="1"/>
    <x v="1"/>
    <x v="1"/>
    <x v="1"/>
    <x v="1"/>
    <x v="1"/>
  </r>
  <r>
    <x v="51"/>
    <x v="51"/>
    <x v="142"/>
    <x v="4"/>
    <x v="131"/>
    <x v="116"/>
    <x v="121"/>
    <x v="4"/>
    <x v="87"/>
    <x v="88"/>
    <x v="3"/>
    <x v="3"/>
    <x v="57"/>
    <x v="1"/>
    <x v="2"/>
    <x v="1"/>
    <x v="2"/>
  </r>
  <r>
    <x v="42"/>
    <x v="42"/>
    <x v="143"/>
    <x v="18"/>
    <x v="132"/>
    <x v="37"/>
    <x v="122"/>
    <x v="1"/>
    <x v="1"/>
    <x v="1"/>
    <x v="1"/>
    <x v="1"/>
    <x v="1"/>
    <x v="1"/>
    <x v="1"/>
    <x v="1"/>
    <x v="1"/>
  </r>
  <r>
    <x v="59"/>
    <x v="59"/>
    <x v="144"/>
    <x v="22"/>
    <x v="133"/>
    <x v="117"/>
    <x v="123"/>
    <x v="18"/>
    <x v="88"/>
    <x v="89"/>
    <x v="9"/>
    <x v="13"/>
    <x v="59"/>
    <x v="1"/>
    <x v="4"/>
    <x v="1"/>
    <x v="8"/>
  </r>
  <r>
    <x v="26"/>
    <x v="26"/>
    <x v="145"/>
    <x v="60"/>
    <x v="134"/>
    <x v="118"/>
    <x v="124"/>
    <x v="4"/>
    <x v="89"/>
    <x v="90"/>
    <x v="3"/>
    <x v="3"/>
    <x v="9"/>
    <x v="1"/>
    <x v="2"/>
    <x v="1"/>
    <x v="2"/>
  </r>
  <r>
    <x v="38"/>
    <x v="38"/>
    <x v="136"/>
    <x v="18"/>
    <x v="135"/>
    <x v="119"/>
    <x v="125"/>
    <x v="1"/>
    <x v="1"/>
    <x v="1"/>
    <x v="1"/>
    <x v="1"/>
    <x v="1"/>
    <x v="1"/>
    <x v="1"/>
    <x v="1"/>
    <x v="1"/>
  </r>
  <r>
    <x v="60"/>
    <x v="60"/>
    <x v="146"/>
    <x v="18"/>
    <x v="136"/>
    <x v="120"/>
    <x v="126"/>
    <x v="1"/>
    <x v="1"/>
    <x v="1"/>
    <x v="1"/>
    <x v="1"/>
    <x v="1"/>
    <x v="1"/>
    <x v="1"/>
    <x v="1"/>
    <x v="1"/>
  </r>
  <r>
    <x v="2"/>
    <x v="2"/>
    <x v="147"/>
    <x v="22"/>
    <x v="137"/>
    <x v="69"/>
    <x v="127"/>
    <x v="1"/>
    <x v="1"/>
    <x v="1"/>
    <x v="1"/>
    <x v="1"/>
    <x v="1"/>
    <x v="1"/>
    <x v="1"/>
    <x v="1"/>
    <x v="1"/>
  </r>
  <r>
    <x v="57"/>
    <x v="57"/>
    <x v="36"/>
    <x v="20"/>
    <x v="138"/>
    <x v="1"/>
    <x v="54"/>
    <x v="1"/>
    <x v="1"/>
    <x v="1"/>
    <x v="1"/>
    <x v="1"/>
    <x v="1"/>
    <x v="1"/>
    <x v="1"/>
    <x v="1"/>
    <x v="1"/>
  </r>
  <r>
    <x v="1"/>
    <x v="1"/>
    <x v="148"/>
    <x v="59"/>
    <x v="139"/>
    <x v="121"/>
    <x v="128"/>
    <x v="33"/>
    <x v="90"/>
    <x v="91"/>
    <x v="3"/>
    <x v="3"/>
    <x v="60"/>
    <x v="2"/>
    <x v="1"/>
    <x v="18"/>
    <x v="1"/>
  </r>
  <r>
    <x v="25"/>
    <x v="25"/>
    <x v="149"/>
    <x v="18"/>
    <x v="140"/>
    <x v="122"/>
    <x v="105"/>
    <x v="1"/>
    <x v="1"/>
    <x v="1"/>
    <x v="1"/>
    <x v="1"/>
    <x v="1"/>
    <x v="1"/>
    <x v="1"/>
    <x v="1"/>
    <x v="1"/>
  </r>
  <r>
    <x v="32"/>
    <x v="32"/>
    <x v="150"/>
    <x v="39"/>
    <x v="141"/>
    <x v="123"/>
    <x v="129"/>
    <x v="8"/>
    <x v="91"/>
    <x v="92"/>
    <x v="5"/>
    <x v="5"/>
    <x v="5"/>
    <x v="2"/>
    <x v="0"/>
    <x v="3"/>
    <x v="14"/>
  </r>
  <r>
    <x v="28"/>
    <x v="28"/>
    <x v="151"/>
    <x v="57"/>
    <x v="142"/>
    <x v="124"/>
    <x v="130"/>
    <x v="34"/>
    <x v="92"/>
    <x v="93"/>
    <x v="2"/>
    <x v="10"/>
    <x v="50"/>
    <x v="1"/>
    <x v="12"/>
    <x v="1"/>
    <x v="21"/>
  </r>
  <r>
    <x v="61"/>
    <x v="61"/>
    <x v="152"/>
    <x v="4"/>
    <x v="143"/>
    <x v="59"/>
    <x v="63"/>
    <x v="1"/>
    <x v="1"/>
    <x v="1"/>
    <x v="1"/>
    <x v="1"/>
    <x v="1"/>
    <x v="1"/>
    <x v="1"/>
    <x v="1"/>
    <x v="1"/>
  </r>
  <r>
    <x v="62"/>
    <x v="62"/>
    <x v="153"/>
    <x v="14"/>
    <x v="144"/>
    <x v="54"/>
    <x v="131"/>
    <x v="18"/>
    <x v="93"/>
    <x v="94"/>
    <x v="9"/>
    <x v="13"/>
    <x v="3"/>
    <x v="2"/>
    <x v="2"/>
    <x v="3"/>
    <x v="2"/>
  </r>
  <r>
    <x v="27"/>
    <x v="27"/>
    <x v="154"/>
    <x v="52"/>
    <x v="145"/>
    <x v="125"/>
    <x v="132"/>
    <x v="12"/>
    <x v="94"/>
    <x v="95"/>
    <x v="10"/>
    <x v="9"/>
    <x v="61"/>
    <x v="7"/>
    <x v="0"/>
    <x v="10"/>
    <x v="14"/>
  </r>
  <r>
    <x v="23"/>
    <x v="23"/>
    <x v="155"/>
    <x v="51"/>
    <x v="146"/>
    <x v="28"/>
    <x v="133"/>
    <x v="2"/>
    <x v="95"/>
    <x v="96"/>
    <x v="2"/>
    <x v="2"/>
    <x v="62"/>
    <x v="2"/>
    <x v="4"/>
    <x v="3"/>
    <x v="8"/>
  </r>
  <r>
    <x v="23"/>
    <x v="23"/>
    <x v="156"/>
    <x v="38"/>
    <x v="147"/>
    <x v="126"/>
    <x v="134"/>
    <x v="8"/>
    <x v="96"/>
    <x v="97"/>
    <x v="5"/>
    <x v="5"/>
    <x v="46"/>
    <x v="2"/>
    <x v="0"/>
    <x v="3"/>
    <x v="14"/>
  </r>
  <r>
    <x v="63"/>
    <x v="63"/>
    <x v="157"/>
    <x v="50"/>
    <x v="148"/>
    <x v="127"/>
    <x v="135"/>
    <x v="2"/>
    <x v="97"/>
    <x v="98"/>
    <x v="2"/>
    <x v="2"/>
    <x v="9"/>
    <x v="2"/>
    <x v="4"/>
    <x v="3"/>
    <x v="8"/>
  </r>
  <r>
    <x v="64"/>
    <x v="64"/>
    <x v="158"/>
    <x v="28"/>
    <x v="149"/>
    <x v="128"/>
    <x v="136"/>
    <x v="1"/>
    <x v="1"/>
    <x v="1"/>
    <x v="1"/>
    <x v="1"/>
    <x v="1"/>
    <x v="1"/>
    <x v="1"/>
    <x v="1"/>
    <x v="1"/>
  </r>
  <r>
    <x v="65"/>
    <x v="65"/>
    <x v="159"/>
    <x v="25"/>
    <x v="150"/>
    <x v="129"/>
    <x v="137"/>
    <x v="2"/>
    <x v="98"/>
    <x v="99"/>
    <x v="2"/>
    <x v="2"/>
    <x v="63"/>
    <x v="2"/>
    <x v="4"/>
    <x v="3"/>
    <x v="8"/>
  </r>
  <r>
    <x v="66"/>
    <x v="66"/>
    <x v="160"/>
    <x v="29"/>
    <x v="151"/>
    <x v="130"/>
    <x v="138"/>
    <x v="2"/>
    <x v="99"/>
    <x v="100"/>
    <x v="5"/>
    <x v="5"/>
    <x v="58"/>
    <x v="0"/>
    <x v="4"/>
    <x v="3"/>
    <x v="8"/>
  </r>
  <r>
    <x v="67"/>
    <x v="67"/>
    <x v="161"/>
    <x v="5"/>
    <x v="152"/>
    <x v="131"/>
    <x v="139"/>
    <x v="4"/>
    <x v="100"/>
    <x v="101"/>
    <x v="3"/>
    <x v="3"/>
    <x v="4"/>
    <x v="2"/>
    <x v="1"/>
    <x v="3"/>
    <x v="1"/>
  </r>
  <r>
    <x v="68"/>
    <x v="68"/>
    <x v="162"/>
    <x v="26"/>
    <x v="153"/>
    <x v="37"/>
    <x v="112"/>
    <x v="1"/>
    <x v="1"/>
    <x v="1"/>
    <x v="1"/>
    <x v="1"/>
    <x v="1"/>
    <x v="1"/>
    <x v="1"/>
    <x v="1"/>
    <x v="1"/>
  </r>
  <r>
    <x v="69"/>
    <x v="69"/>
    <x v="163"/>
    <x v="61"/>
    <x v="154"/>
    <x v="132"/>
    <x v="140"/>
    <x v="1"/>
    <x v="1"/>
    <x v="1"/>
    <x v="1"/>
    <x v="1"/>
    <x v="1"/>
    <x v="1"/>
    <x v="1"/>
    <x v="1"/>
    <x v="1"/>
  </r>
  <r>
    <x v="70"/>
    <x v="70"/>
    <x v="164"/>
    <x v="38"/>
    <x v="155"/>
    <x v="133"/>
    <x v="141"/>
    <x v="32"/>
    <x v="101"/>
    <x v="102"/>
    <x v="9"/>
    <x v="13"/>
    <x v="25"/>
    <x v="1"/>
    <x v="4"/>
    <x v="1"/>
    <x v="4"/>
  </r>
  <r>
    <x v="71"/>
    <x v="71"/>
    <x v="165"/>
    <x v="3"/>
    <x v="156"/>
    <x v="134"/>
    <x v="142"/>
    <x v="1"/>
    <x v="1"/>
    <x v="1"/>
    <x v="1"/>
    <x v="1"/>
    <x v="1"/>
    <x v="1"/>
    <x v="1"/>
    <x v="1"/>
    <x v="1"/>
  </r>
  <r>
    <x v="72"/>
    <x v="72"/>
    <x v="166"/>
    <x v="20"/>
    <x v="157"/>
    <x v="116"/>
    <x v="143"/>
    <x v="1"/>
    <x v="1"/>
    <x v="1"/>
    <x v="1"/>
    <x v="1"/>
    <x v="1"/>
    <x v="1"/>
    <x v="1"/>
    <x v="1"/>
    <x v="1"/>
  </r>
  <r>
    <x v="67"/>
    <x v="67"/>
    <x v="167"/>
    <x v="33"/>
    <x v="158"/>
    <x v="135"/>
    <x v="144"/>
    <x v="2"/>
    <x v="102"/>
    <x v="103"/>
    <x v="2"/>
    <x v="2"/>
    <x v="14"/>
    <x v="0"/>
    <x v="2"/>
    <x v="0"/>
    <x v="2"/>
  </r>
  <r>
    <x v="66"/>
    <x v="66"/>
    <x v="72"/>
    <x v="23"/>
    <x v="159"/>
    <x v="136"/>
    <x v="145"/>
    <x v="1"/>
    <x v="1"/>
    <x v="1"/>
    <x v="1"/>
    <x v="1"/>
    <x v="1"/>
    <x v="1"/>
    <x v="1"/>
    <x v="1"/>
    <x v="1"/>
  </r>
  <r>
    <x v="65"/>
    <x v="65"/>
    <x v="168"/>
    <x v="62"/>
    <x v="160"/>
    <x v="137"/>
    <x v="146"/>
    <x v="0"/>
    <x v="103"/>
    <x v="104"/>
    <x v="0"/>
    <x v="0"/>
    <x v="64"/>
    <x v="5"/>
    <x v="4"/>
    <x v="17"/>
    <x v="8"/>
  </r>
  <r>
    <x v="64"/>
    <x v="64"/>
    <x v="169"/>
    <x v="6"/>
    <x v="161"/>
    <x v="138"/>
    <x v="147"/>
    <x v="4"/>
    <x v="104"/>
    <x v="105"/>
    <x v="3"/>
    <x v="3"/>
    <x v="5"/>
    <x v="1"/>
    <x v="2"/>
    <x v="1"/>
    <x v="2"/>
  </r>
  <r>
    <x v="63"/>
    <x v="63"/>
    <x v="170"/>
    <x v="22"/>
    <x v="162"/>
    <x v="96"/>
    <x v="148"/>
    <x v="1"/>
    <x v="1"/>
    <x v="1"/>
    <x v="1"/>
    <x v="1"/>
    <x v="1"/>
    <x v="1"/>
    <x v="1"/>
    <x v="1"/>
    <x v="1"/>
  </r>
  <r>
    <x v="73"/>
    <x v="73"/>
    <x v="171"/>
    <x v="52"/>
    <x v="163"/>
    <x v="139"/>
    <x v="149"/>
    <x v="1"/>
    <x v="1"/>
    <x v="1"/>
    <x v="1"/>
    <x v="1"/>
    <x v="1"/>
    <x v="1"/>
    <x v="1"/>
    <x v="1"/>
    <x v="1"/>
  </r>
  <r>
    <x v="74"/>
    <x v="74"/>
    <x v="172"/>
    <x v="63"/>
    <x v="164"/>
    <x v="140"/>
    <x v="150"/>
    <x v="4"/>
    <x v="105"/>
    <x v="106"/>
    <x v="3"/>
    <x v="3"/>
    <x v="18"/>
    <x v="1"/>
    <x v="2"/>
    <x v="1"/>
    <x v="2"/>
  </r>
  <r>
    <x v="75"/>
    <x v="75"/>
    <x v="173"/>
    <x v="26"/>
    <x v="165"/>
    <x v="141"/>
    <x v="151"/>
    <x v="1"/>
    <x v="1"/>
    <x v="1"/>
    <x v="1"/>
    <x v="1"/>
    <x v="1"/>
    <x v="1"/>
    <x v="1"/>
    <x v="1"/>
    <x v="1"/>
  </r>
  <r>
    <x v="76"/>
    <x v="76"/>
    <x v="174"/>
    <x v="12"/>
    <x v="166"/>
    <x v="142"/>
    <x v="152"/>
    <x v="1"/>
    <x v="1"/>
    <x v="1"/>
    <x v="1"/>
    <x v="1"/>
    <x v="1"/>
    <x v="1"/>
    <x v="1"/>
    <x v="1"/>
    <x v="1"/>
  </r>
  <r>
    <x v="77"/>
    <x v="77"/>
    <x v="175"/>
    <x v="21"/>
    <x v="21"/>
    <x v="20"/>
    <x v="21"/>
    <x v="1"/>
    <x v="1"/>
    <x v="17"/>
    <x v="1"/>
    <x v="1"/>
    <x v="16"/>
    <x v="1"/>
    <x v="1"/>
    <x v="1"/>
    <x v="1"/>
  </r>
  <r>
    <x v="68"/>
    <x v="68"/>
    <x v="176"/>
    <x v="22"/>
    <x v="167"/>
    <x v="143"/>
    <x v="153"/>
    <x v="8"/>
    <x v="106"/>
    <x v="107"/>
    <x v="9"/>
    <x v="5"/>
    <x v="59"/>
    <x v="1"/>
    <x v="8"/>
    <x v="1"/>
    <x v="10"/>
  </r>
  <r>
    <x v="69"/>
    <x v="69"/>
    <x v="177"/>
    <x v="54"/>
    <x v="168"/>
    <x v="144"/>
    <x v="154"/>
    <x v="4"/>
    <x v="107"/>
    <x v="108"/>
    <x v="3"/>
    <x v="3"/>
    <x v="36"/>
    <x v="1"/>
    <x v="2"/>
    <x v="1"/>
    <x v="2"/>
  </r>
  <r>
    <x v="70"/>
    <x v="70"/>
    <x v="178"/>
    <x v="4"/>
    <x v="169"/>
    <x v="145"/>
    <x v="155"/>
    <x v="1"/>
    <x v="1"/>
    <x v="1"/>
    <x v="1"/>
    <x v="1"/>
    <x v="1"/>
    <x v="1"/>
    <x v="1"/>
    <x v="1"/>
    <x v="1"/>
  </r>
  <r>
    <x v="71"/>
    <x v="71"/>
    <x v="179"/>
    <x v="6"/>
    <x v="170"/>
    <x v="146"/>
    <x v="156"/>
    <x v="1"/>
    <x v="1"/>
    <x v="1"/>
    <x v="1"/>
    <x v="1"/>
    <x v="1"/>
    <x v="1"/>
    <x v="1"/>
    <x v="1"/>
    <x v="1"/>
  </r>
  <r>
    <x v="72"/>
    <x v="72"/>
    <x v="70"/>
    <x v="18"/>
    <x v="171"/>
    <x v="120"/>
    <x v="126"/>
    <x v="1"/>
    <x v="1"/>
    <x v="1"/>
    <x v="1"/>
    <x v="1"/>
    <x v="1"/>
    <x v="1"/>
    <x v="1"/>
    <x v="1"/>
    <x v="1"/>
  </r>
  <r>
    <x v="78"/>
    <x v="78"/>
    <x v="180"/>
    <x v="18"/>
    <x v="172"/>
    <x v="147"/>
    <x v="157"/>
    <x v="1"/>
    <x v="1"/>
    <x v="1"/>
    <x v="1"/>
    <x v="1"/>
    <x v="1"/>
    <x v="1"/>
    <x v="1"/>
    <x v="1"/>
    <x v="1"/>
  </r>
  <r>
    <x v="79"/>
    <x v="79"/>
    <x v="181"/>
    <x v="18"/>
    <x v="173"/>
    <x v="37"/>
    <x v="122"/>
    <x v="1"/>
    <x v="1"/>
    <x v="1"/>
    <x v="1"/>
    <x v="1"/>
    <x v="1"/>
    <x v="1"/>
    <x v="1"/>
    <x v="1"/>
    <x v="1"/>
  </r>
  <r>
    <x v="80"/>
    <x v="80"/>
    <x v="182"/>
    <x v="20"/>
    <x v="174"/>
    <x v="147"/>
    <x v="158"/>
    <x v="1"/>
    <x v="1"/>
    <x v="1"/>
    <x v="1"/>
    <x v="1"/>
    <x v="1"/>
    <x v="1"/>
    <x v="1"/>
    <x v="1"/>
    <x v="1"/>
  </r>
  <r>
    <x v="81"/>
    <x v="81"/>
    <x v="183"/>
    <x v="17"/>
    <x v="175"/>
    <x v="148"/>
    <x v="159"/>
    <x v="18"/>
    <x v="108"/>
    <x v="109"/>
    <x v="9"/>
    <x v="13"/>
    <x v="17"/>
    <x v="1"/>
    <x v="4"/>
    <x v="1"/>
    <x v="8"/>
  </r>
  <r>
    <x v="82"/>
    <x v="82"/>
    <x v="184"/>
    <x v="18"/>
    <x v="176"/>
    <x v="149"/>
    <x v="160"/>
    <x v="1"/>
    <x v="1"/>
    <x v="1"/>
    <x v="1"/>
    <x v="1"/>
    <x v="1"/>
    <x v="1"/>
    <x v="1"/>
    <x v="1"/>
    <x v="1"/>
  </r>
  <r>
    <x v="77"/>
    <x v="77"/>
    <x v="185"/>
    <x v="6"/>
    <x v="177"/>
    <x v="150"/>
    <x v="161"/>
    <x v="4"/>
    <x v="109"/>
    <x v="110"/>
    <x v="3"/>
    <x v="3"/>
    <x v="5"/>
    <x v="1"/>
    <x v="2"/>
    <x v="1"/>
    <x v="2"/>
  </r>
  <r>
    <x v="76"/>
    <x v="76"/>
    <x v="186"/>
    <x v="38"/>
    <x v="178"/>
    <x v="151"/>
    <x v="162"/>
    <x v="17"/>
    <x v="110"/>
    <x v="111"/>
    <x v="2"/>
    <x v="2"/>
    <x v="65"/>
    <x v="0"/>
    <x v="2"/>
    <x v="9"/>
    <x v="2"/>
  </r>
  <r>
    <x v="75"/>
    <x v="75"/>
    <x v="187"/>
    <x v="12"/>
    <x v="179"/>
    <x v="152"/>
    <x v="163"/>
    <x v="1"/>
    <x v="1"/>
    <x v="1"/>
    <x v="1"/>
    <x v="1"/>
    <x v="1"/>
    <x v="1"/>
    <x v="1"/>
    <x v="1"/>
    <x v="1"/>
  </r>
  <r>
    <x v="74"/>
    <x v="74"/>
    <x v="188"/>
    <x v="33"/>
    <x v="180"/>
    <x v="153"/>
    <x v="164"/>
    <x v="2"/>
    <x v="111"/>
    <x v="112"/>
    <x v="2"/>
    <x v="2"/>
    <x v="14"/>
    <x v="2"/>
    <x v="4"/>
    <x v="3"/>
    <x v="8"/>
  </r>
  <r>
    <x v="73"/>
    <x v="73"/>
    <x v="189"/>
    <x v="45"/>
    <x v="181"/>
    <x v="154"/>
    <x v="165"/>
    <x v="1"/>
    <x v="1"/>
    <x v="1"/>
    <x v="1"/>
    <x v="1"/>
    <x v="1"/>
    <x v="1"/>
    <x v="1"/>
    <x v="1"/>
    <x v="1"/>
  </r>
  <r>
    <x v="82"/>
    <x v="82"/>
    <x v="190"/>
    <x v="21"/>
    <x v="21"/>
    <x v="20"/>
    <x v="21"/>
    <x v="1"/>
    <x v="1"/>
    <x v="17"/>
    <x v="1"/>
    <x v="1"/>
    <x v="16"/>
    <x v="1"/>
    <x v="1"/>
    <x v="1"/>
    <x v="1"/>
  </r>
  <r>
    <x v="81"/>
    <x v="81"/>
    <x v="191"/>
    <x v="21"/>
    <x v="21"/>
    <x v="20"/>
    <x v="21"/>
    <x v="1"/>
    <x v="1"/>
    <x v="17"/>
    <x v="1"/>
    <x v="1"/>
    <x v="16"/>
    <x v="1"/>
    <x v="1"/>
    <x v="1"/>
    <x v="1"/>
  </r>
  <r>
    <x v="80"/>
    <x v="80"/>
    <x v="126"/>
    <x v="21"/>
    <x v="21"/>
    <x v="20"/>
    <x v="21"/>
    <x v="1"/>
    <x v="1"/>
    <x v="17"/>
    <x v="1"/>
    <x v="1"/>
    <x v="16"/>
    <x v="1"/>
    <x v="1"/>
    <x v="1"/>
    <x v="1"/>
  </r>
  <r>
    <x v="79"/>
    <x v="79"/>
    <x v="192"/>
    <x v="21"/>
    <x v="21"/>
    <x v="20"/>
    <x v="21"/>
    <x v="1"/>
    <x v="1"/>
    <x v="17"/>
    <x v="1"/>
    <x v="1"/>
    <x v="16"/>
    <x v="1"/>
    <x v="1"/>
    <x v="1"/>
    <x v="1"/>
  </r>
  <r>
    <x v="78"/>
    <x v="78"/>
    <x v="193"/>
    <x v="21"/>
    <x v="21"/>
    <x v="20"/>
    <x v="21"/>
    <x v="1"/>
    <x v="1"/>
    <x v="17"/>
    <x v="1"/>
    <x v="1"/>
    <x v="16"/>
    <x v="1"/>
    <x v="1"/>
    <x v="1"/>
    <x v="1"/>
  </r>
  <r>
    <x v="42"/>
    <x v="42"/>
    <x v="194"/>
    <x v="23"/>
    <x v="182"/>
    <x v="155"/>
    <x v="166"/>
    <x v="1"/>
    <x v="1"/>
    <x v="1"/>
    <x v="1"/>
    <x v="1"/>
    <x v="1"/>
    <x v="1"/>
    <x v="1"/>
    <x v="1"/>
    <x v="1"/>
  </r>
  <r>
    <x v="83"/>
    <x v="83"/>
    <x v="195"/>
    <x v="26"/>
    <x v="183"/>
    <x v="156"/>
    <x v="167"/>
    <x v="4"/>
    <x v="112"/>
    <x v="113"/>
    <x v="3"/>
    <x v="3"/>
    <x v="66"/>
    <x v="1"/>
    <x v="2"/>
    <x v="1"/>
    <x v="2"/>
  </r>
  <r>
    <x v="56"/>
    <x v="56"/>
    <x v="196"/>
    <x v="20"/>
    <x v="184"/>
    <x v="22"/>
    <x v="107"/>
    <x v="1"/>
    <x v="1"/>
    <x v="1"/>
    <x v="1"/>
    <x v="1"/>
    <x v="1"/>
    <x v="1"/>
    <x v="1"/>
    <x v="1"/>
    <x v="1"/>
  </r>
  <r>
    <x v="0"/>
    <x v="0"/>
    <x v="197"/>
    <x v="18"/>
    <x v="185"/>
    <x v="157"/>
    <x v="168"/>
    <x v="1"/>
    <x v="1"/>
    <x v="1"/>
    <x v="1"/>
    <x v="1"/>
    <x v="1"/>
    <x v="1"/>
    <x v="1"/>
    <x v="1"/>
    <x v="1"/>
  </r>
  <r>
    <x v="29"/>
    <x v="29"/>
    <x v="198"/>
    <x v="5"/>
    <x v="186"/>
    <x v="158"/>
    <x v="169"/>
    <x v="1"/>
    <x v="1"/>
    <x v="1"/>
    <x v="1"/>
    <x v="1"/>
    <x v="1"/>
    <x v="1"/>
    <x v="1"/>
    <x v="1"/>
    <x v="1"/>
  </r>
  <r>
    <x v="62"/>
    <x v="62"/>
    <x v="199"/>
    <x v="64"/>
    <x v="187"/>
    <x v="159"/>
    <x v="170"/>
    <x v="1"/>
    <x v="1"/>
    <x v="1"/>
    <x v="1"/>
    <x v="1"/>
    <x v="1"/>
    <x v="1"/>
    <x v="1"/>
    <x v="1"/>
    <x v="1"/>
  </r>
  <r>
    <x v="61"/>
    <x v="61"/>
    <x v="200"/>
    <x v="60"/>
    <x v="188"/>
    <x v="160"/>
    <x v="171"/>
    <x v="4"/>
    <x v="113"/>
    <x v="114"/>
    <x v="3"/>
    <x v="3"/>
    <x v="9"/>
    <x v="1"/>
    <x v="2"/>
    <x v="1"/>
    <x v="2"/>
  </r>
  <r>
    <x v="15"/>
    <x v="15"/>
    <x v="201"/>
    <x v="21"/>
    <x v="21"/>
    <x v="20"/>
    <x v="21"/>
    <x v="1"/>
    <x v="1"/>
    <x v="17"/>
    <x v="1"/>
    <x v="1"/>
    <x v="16"/>
    <x v="1"/>
    <x v="1"/>
    <x v="1"/>
    <x v="1"/>
  </r>
  <r>
    <x v="16"/>
    <x v="16"/>
    <x v="202"/>
    <x v="20"/>
    <x v="189"/>
    <x v="161"/>
    <x v="168"/>
    <x v="1"/>
    <x v="1"/>
    <x v="1"/>
    <x v="1"/>
    <x v="1"/>
    <x v="1"/>
    <x v="1"/>
    <x v="1"/>
    <x v="1"/>
    <x v="1"/>
  </r>
  <r>
    <x v="84"/>
    <x v="84"/>
    <x v="203"/>
    <x v="22"/>
    <x v="190"/>
    <x v="162"/>
    <x v="116"/>
    <x v="1"/>
    <x v="1"/>
    <x v="1"/>
    <x v="1"/>
    <x v="1"/>
    <x v="1"/>
    <x v="1"/>
    <x v="1"/>
    <x v="1"/>
    <x v="1"/>
  </r>
  <r>
    <x v="85"/>
    <x v="85"/>
    <x v="204"/>
    <x v="20"/>
    <x v="191"/>
    <x v="163"/>
    <x v="172"/>
    <x v="1"/>
    <x v="1"/>
    <x v="1"/>
    <x v="1"/>
    <x v="1"/>
    <x v="1"/>
    <x v="1"/>
    <x v="1"/>
    <x v="1"/>
    <x v="1"/>
  </r>
  <r>
    <x v="86"/>
    <x v="86"/>
    <x v="205"/>
    <x v="20"/>
    <x v="192"/>
    <x v="21"/>
    <x v="22"/>
    <x v="1"/>
    <x v="1"/>
    <x v="1"/>
    <x v="1"/>
    <x v="1"/>
    <x v="1"/>
    <x v="1"/>
    <x v="1"/>
    <x v="1"/>
    <x v="1"/>
  </r>
  <r>
    <x v="87"/>
    <x v="87"/>
    <x v="206"/>
    <x v="4"/>
    <x v="193"/>
    <x v="164"/>
    <x v="173"/>
    <x v="3"/>
    <x v="114"/>
    <x v="115"/>
    <x v="3"/>
    <x v="3"/>
    <x v="57"/>
    <x v="2"/>
    <x v="1"/>
    <x v="2"/>
    <x v="1"/>
  </r>
  <r>
    <x v="88"/>
    <x v="88"/>
    <x v="207"/>
    <x v="20"/>
    <x v="194"/>
    <x v="69"/>
    <x v="105"/>
    <x v="1"/>
    <x v="1"/>
    <x v="1"/>
    <x v="1"/>
    <x v="1"/>
    <x v="1"/>
    <x v="1"/>
    <x v="1"/>
    <x v="1"/>
    <x v="1"/>
  </r>
  <r>
    <x v="89"/>
    <x v="89"/>
    <x v="208"/>
    <x v="27"/>
    <x v="195"/>
    <x v="165"/>
    <x v="174"/>
    <x v="4"/>
    <x v="115"/>
    <x v="116"/>
    <x v="3"/>
    <x v="3"/>
    <x v="20"/>
    <x v="2"/>
    <x v="1"/>
    <x v="3"/>
    <x v="1"/>
  </r>
  <r>
    <x v="90"/>
    <x v="90"/>
    <x v="209"/>
    <x v="4"/>
    <x v="196"/>
    <x v="166"/>
    <x v="175"/>
    <x v="1"/>
    <x v="1"/>
    <x v="1"/>
    <x v="1"/>
    <x v="1"/>
    <x v="1"/>
    <x v="1"/>
    <x v="1"/>
    <x v="1"/>
    <x v="1"/>
  </r>
  <r>
    <x v="91"/>
    <x v="91"/>
    <x v="210"/>
    <x v="59"/>
    <x v="197"/>
    <x v="167"/>
    <x v="176"/>
    <x v="18"/>
    <x v="116"/>
    <x v="117"/>
    <x v="9"/>
    <x v="13"/>
    <x v="9"/>
    <x v="1"/>
    <x v="4"/>
    <x v="1"/>
    <x v="8"/>
  </r>
  <r>
    <x v="92"/>
    <x v="92"/>
    <x v="211"/>
    <x v="23"/>
    <x v="198"/>
    <x v="168"/>
    <x v="177"/>
    <x v="1"/>
    <x v="1"/>
    <x v="1"/>
    <x v="1"/>
    <x v="1"/>
    <x v="1"/>
    <x v="1"/>
    <x v="1"/>
    <x v="1"/>
    <x v="1"/>
  </r>
  <r>
    <x v="93"/>
    <x v="93"/>
    <x v="212"/>
    <x v="20"/>
    <x v="199"/>
    <x v="161"/>
    <x v="168"/>
    <x v="1"/>
    <x v="1"/>
    <x v="1"/>
    <x v="1"/>
    <x v="1"/>
    <x v="1"/>
    <x v="1"/>
    <x v="1"/>
    <x v="1"/>
    <x v="1"/>
  </r>
  <r>
    <x v="88"/>
    <x v="88"/>
    <x v="213"/>
    <x v="60"/>
    <x v="200"/>
    <x v="169"/>
    <x v="178"/>
    <x v="3"/>
    <x v="117"/>
    <x v="118"/>
    <x v="3"/>
    <x v="3"/>
    <x v="9"/>
    <x v="1"/>
    <x v="2"/>
    <x v="1"/>
    <x v="22"/>
  </r>
  <r>
    <x v="87"/>
    <x v="87"/>
    <x v="214"/>
    <x v="54"/>
    <x v="201"/>
    <x v="170"/>
    <x v="179"/>
    <x v="17"/>
    <x v="118"/>
    <x v="119"/>
    <x v="2"/>
    <x v="2"/>
    <x v="67"/>
    <x v="1"/>
    <x v="0"/>
    <x v="1"/>
    <x v="0"/>
  </r>
  <r>
    <x v="86"/>
    <x v="86"/>
    <x v="215"/>
    <x v="59"/>
    <x v="202"/>
    <x v="171"/>
    <x v="180"/>
    <x v="4"/>
    <x v="119"/>
    <x v="120"/>
    <x v="3"/>
    <x v="3"/>
    <x v="60"/>
    <x v="2"/>
    <x v="1"/>
    <x v="3"/>
    <x v="1"/>
  </r>
  <r>
    <x v="85"/>
    <x v="85"/>
    <x v="216"/>
    <x v="4"/>
    <x v="203"/>
    <x v="58"/>
    <x v="61"/>
    <x v="1"/>
    <x v="1"/>
    <x v="1"/>
    <x v="1"/>
    <x v="1"/>
    <x v="1"/>
    <x v="1"/>
    <x v="1"/>
    <x v="1"/>
    <x v="1"/>
  </r>
  <r>
    <x v="89"/>
    <x v="89"/>
    <x v="217"/>
    <x v="11"/>
    <x v="204"/>
    <x v="172"/>
    <x v="181"/>
    <x v="2"/>
    <x v="120"/>
    <x v="121"/>
    <x v="2"/>
    <x v="2"/>
    <x v="68"/>
    <x v="0"/>
    <x v="2"/>
    <x v="0"/>
    <x v="2"/>
  </r>
  <r>
    <x v="90"/>
    <x v="90"/>
    <x v="218"/>
    <x v="3"/>
    <x v="205"/>
    <x v="173"/>
    <x v="76"/>
    <x v="4"/>
    <x v="121"/>
    <x v="122"/>
    <x v="3"/>
    <x v="3"/>
    <x v="3"/>
    <x v="1"/>
    <x v="2"/>
    <x v="1"/>
    <x v="2"/>
  </r>
  <r>
    <x v="91"/>
    <x v="91"/>
    <x v="219"/>
    <x v="12"/>
    <x v="206"/>
    <x v="174"/>
    <x v="174"/>
    <x v="1"/>
    <x v="1"/>
    <x v="1"/>
    <x v="1"/>
    <x v="1"/>
    <x v="1"/>
    <x v="1"/>
    <x v="1"/>
    <x v="1"/>
    <x v="1"/>
  </r>
  <r>
    <x v="93"/>
    <x v="93"/>
    <x v="220"/>
    <x v="59"/>
    <x v="207"/>
    <x v="175"/>
    <x v="42"/>
    <x v="1"/>
    <x v="1"/>
    <x v="1"/>
    <x v="1"/>
    <x v="1"/>
    <x v="1"/>
    <x v="1"/>
    <x v="1"/>
    <x v="1"/>
    <x v="1"/>
  </r>
  <r>
    <x v="92"/>
    <x v="92"/>
    <x v="221"/>
    <x v="23"/>
    <x v="208"/>
    <x v="141"/>
    <x v="182"/>
    <x v="18"/>
    <x v="122"/>
    <x v="123"/>
    <x v="9"/>
    <x v="13"/>
    <x v="40"/>
    <x v="1"/>
    <x v="4"/>
    <x v="1"/>
    <x v="8"/>
  </r>
  <r>
    <x v="78"/>
    <x v="78"/>
    <x v="39"/>
    <x v="21"/>
    <x v="36"/>
    <x v="20"/>
    <x v="21"/>
    <x v="1"/>
    <x v="1"/>
    <x v="17"/>
    <x v="1"/>
    <x v="1"/>
    <x v="16"/>
    <x v="1"/>
    <x v="1"/>
    <x v="1"/>
    <x v="1"/>
  </r>
  <r>
    <x v="79"/>
    <x v="79"/>
    <x v="222"/>
    <x v="21"/>
    <x v="21"/>
    <x v="20"/>
    <x v="21"/>
    <x v="1"/>
    <x v="1"/>
    <x v="17"/>
    <x v="1"/>
    <x v="1"/>
    <x v="16"/>
    <x v="1"/>
    <x v="1"/>
    <x v="1"/>
    <x v="1"/>
  </r>
  <r>
    <x v="80"/>
    <x v="80"/>
    <x v="39"/>
    <x v="21"/>
    <x v="36"/>
    <x v="20"/>
    <x v="21"/>
    <x v="1"/>
    <x v="1"/>
    <x v="17"/>
    <x v="1"/>
    <x v="1"/>
    <x v="16"/>
    <x v="1"/>
    <x v="1"/>
    <x v="1"/>
    <x v="1"/>
  </r>
  <r>
    <x v="81"/>
    <x v="81"/>
    <x v="223"/>
    <x v="21"/>
    <x v="21"/>
    <x v="20"/>
    <x v="21"/>
    <x v="1"/>
    <x v="1"/>
    <x v="17"/>
    <x v="1"/>
    <x v="1"/>
    <x v="16"/>
    <x v="1"/>
    <x v="1"/>
    <x v="1"/>
    <x v="1"/>
  </r>
  <r>
    <x v="82"/>
    <x v="82"/>
    <x v="34"/>
    <x v="20"/>
    <x v="32"/>
    <x v="163"/>
    <x v="172"/>
    <x v="1"/>
    <x v="1"/>
    <x v="1"/>
    <x v="1"/>
    <x v="1"/>
    <x v="1"/>
    <x v="1"/>
    <x v="1"/>
    <x v="1"/>
    <x v="1"/>
  </r>
  <r>
    <x v="65"/>
    <x v="65"/>
    <x v="224"/>
    <x v="21"/>
    <x v="21"/>
    <x v="20"/>
    <x v="21"/>
    <x v="1"/>
    <x v="1"/>
    <x v="17"/>
    <x v="1"/>
    <x v="1"/>
    <x v="16"/>
    <x v="1"/>
    <x v="1"/>
    <x v="1"/>
    <x v="1"/>
  </r>
  <r>
    <x v="66"/>
    <x v="66"/>
    <x v="225"/>
    <x v="21"/>
    <x v="21"/>
    <x v="20"/>
    <x v="21"/>
    <x v="1"/>
    <x v="1"/>
    <x v="17"/>
    <x v="1"/>
    <x v="1"/>
    <x v="16"/>
    <x v="1"/>
    <x v="1"/>
    <x v="1"/>
    <x v="1"/>
  </r>
  <r>
    <x v="87"/>
    <x v="87"/>
    <x v="201"/>
    <x v="21"/>
    <x v="21"/>
    <x v="20"/>
    <x v="21"/>
    <x v="1"/>
    <x v="1"/>
    <x v="17"/>
    <x v="1"/>
    <x v="1"/>
    <x v="16"/>
    <x v="1"/>
    <x v="1"/>
    <x v="1"/>
    <x v="1"/>
  </r>
  <r>
    <x v="86"/>
    <x v="86"/>
    <x v="226"/>
    <x v="21"/>
    <x v="21"/>
    <x v="20"/>
    <x v="21"/>
    <x v="1"/>
    <x v="1"/>
    <x v="17"/>
    <x v="1"/>
    <x v="1"/>
    <x v="16"/>
    <x v="1"/>
    <x v="1"/>
    <x v="1"/>
    <x v="1"/>
  </r>
  <r>
    <x v="94"/>
    <x v="94"/>
    <x v="227"/>
    <x v="59"/>
    <x v="209"/>
    <x v="28"/>
    <x v="183"/>
    <x v="18"/>
    <x v="123"/>
    <x v="124"/>
    <x v="9"/>
    <x v="13"/>
    <x v="9"/>
    <x v="0"/>
    <x v="1"/>
    <x v="0"/>
    <x v="1"/>
  </r>
  <r>
    <x v="95"/>
    <x v="95"/>
    <x v="228"/>
    <x v="17"/>
    <x v="210"/>
    <x v="176"/>
    <x v="154"/>
    <x v="32"/>
    <x v="124"/>
    <x v="125"/>
    <x v="9"/>
    <x v="13"/>
    <x v="17"/>
    <x v="2"/>
    <x v="2"/>
    <x v="2"/>
    <x v="2"/>
  </r>
  <r>
    <x v="96"/>
    <x v="96"/>
    <x v="229"/>
    <x v="65"/>
    <x v="211"/>
    <x v="177"/>
    <x v="184"/>
    <x v="35"/>
    <x v="125"/>
    <x v="126"/>
    <x v="0"/>
    <x v="0"/>
    <x v="21"/>
    <x v="2"/>
    <x v="8"/>
    <x v="2"/>
    <x v="23"/>
  </r>
  <r>
    <x v="97"/>
    <x v="97"/>
    <x v="230"/>
    <x v="16"/>
    <x v="212"/>
    <x v="178"/>
    <x v="185"/>
    <x v="4"/>
    <x v="126"/>
    <x v="127"/>
    <x v="3"/>
    <x v="3"/>
    <x v="56"/>
    <x v="1"/>
    <x v="2"/>
    <x v="1"/>
    <x v="2"/>
  </r>
  <r>
    <x v="98"/>
    <x v="98"/>
    <x v="231"/>
    <x v="65"/>
    <x v="213"/>
    <x v="179"/>
    <x v="186"/>
    <x v="32"/>
    <x v="127"/>
    <x v="128"/>
    <x v="9"/>
    <x v="13"/>
    <x v="7"/>
    <x v="1"/>
    <x v="4"/>
    <x v="1"/>
    <x v="4"/>
  </r>
  <r>
    <x v="94"/>
    <x v="94"/>
    <x v="232"/>
    <x v="18"/>
    <x v="214"/>
    <x v="94"/>
    <x v="187"/>
    <x v="1"/>
    <x v="1"/>
    <x v="1"/>
    <x v="1"/>
    <x v="1"/>
    <x v="1"/>
    <x v="1"/>
    <x v="1"/>
    <x v="1"/>
    <x v="1"/>
  </r>
  <r>
    <x v="95"/>
    <x v="95"/>
    <x v="233"/>
    <x v="28"/>
    <x v="215"/>
    <x v="180"/>
    <x v="86"/>
    <x v="1"/>
    <x v="1"/>
    <x v="1"/>
    <x v="1"/>
    <x v="1"/>
    <x v="1"/>
    <x v="1"/>
    <x v="1"/>
    <x v="1"/>
    <x v="1"/>
  </r>
  <r>
    <x v="96"/>
    <x v="96"/>
    <x v="234"/>
    <x v="18"/>
    <x v="109"/>
    <x v="69"/>
    <x v="188"/>
    <x v="1"/>
    <x v="1"/>
    <x v="1"/>
    <x v="1"/>
    <x v="1"/>
    <x v="1"/>
    <x v="1"/>
    <x v="1"/>
    <x v="1"/>
    <x v="1"/>
  </r>
  <r>
    <x v="97"/>
    <x v="97"/>
    <x v="235"/>
    <x v="1"/>
    <x v="216"/>
    <x v="181"/>
    <x v="189"/>
    <x v="1"/>
    <x v="1"/>
    <x v="1"/>
    <x v="1"/>
    <x v="1"/>
    <x v="1"/>
    <x v="1"/>
    <x v="1"/>
    <x v="1"/>
    <x v="1"/>
  </r>
  <r>
    <x v="98"/>
    <x v="98"/>
    <x v="236"/>
    <x v="6"/>
    <x v="217"/>
    <x v="182"/>
    <x v="190"/>
    <x v="3"/>
    <x v="128"/>
    <x v="129"/>
    <x v="3"/>
    <x v="3"/>
    <x v="5"/>
    <x v="1"/>
    <x v="2"/>
    <x v="1"/>
    <x v="22"/>
  </r>
  <r>
    <x v="99"/>
    <x v="99"/>
    <x v="146"/>
    <x v="21"/>
    <x v="21"/>
    <x v="20"/>
    <x v="21"/>
    <x v="1"/>
    <x v="1"/>
    <x v="17"/>
    <x v="1"/>
    <x v="1"/>
    <x v="16"/>
    <x v="1"/>
    <x v="1"/>
    <x v="1"/>
    <x v="1"/>
  </r>
  <r>
    <x v="100"/>
    <x v="100"/>
    <x v="237"/>
    <x v="4"/>
    <x v="218"/>
    <x v="166"/>
    <x v="175"/>
    <x v="1"/>
    <x v="1"/>
    <x v="1"/>
    <x v="1"/>
    <x v="1"/>
    <x v="1"/>
    <x v="1"/>
    <x v="1"/>
    <x v="1"/>
    <x v="1"/>
  </r>
  <r>
    <x v="101"/>
    <x v="101"/>
    <x v="238"/>
    <x v="20"/>
    <x v="219"/>
    <x v="69"/>
    <x v="105"/>
    <x v="18"/>
    <x v="129"/>
    <x v="130"/>
    <x v="9"/>
    <x v="13"/>
    <x v="69"/>
    <x v="1"/>
    <x v="4"/>
    <x v="1"/>
    <x v="8"/>
  </r>
  <r>
    <x v="102"/>
    <x v="102"/>
    <x v="239"/>
    <x v="21"/>
    <x v="21"/>
    <x v="20"/>
    <x v="21"/>
    <x v="1"/>
    <x v="1"/>
    <x v="17"/>
    <x v="1"/>
    <x v="1"/>
    <x v="16"/>
    <x v="1"/>
    <x v="1"/>
    <x v="1"/>
    <x v="1"/>
  </r>
  <r>
    <x v="103"/>
    <x v="103"/>
    <x v="240"/>
    <x v="1"/>
    <x v="220"/>
    <x v="183"/>
    <x v="191"/>
    <x v="1"/>
    <x v="1"/>
    <x v="1"/>
    <x v="1"/>
    <x v="1"/>
    <x v="1"/>
    <x v="1"/>
    <x v="1"/>
    <x v="1"/>
    <x v="1"/>
  </r>
  <r>
    <x v="99"/>
    <x v="99"/>
    <x v="241"/>
    <x v="63"/>
    <x v="221"/>
    <x v="184"/>
    <x v="192"/>
    <x v="18"/>
    <x v="130"/>
    <x v="131"/>
    <x v="9"/>
    <x v="13"/>
    <x v="2"/>
    <x v="1"/>
    <x v="4"/>
    <x v="1"/>
    <x v="8"/>
  </r>
  <r>
    <x v="100"/>
    <x v="100"/>
    <x v="242"/>
    <x v="60"/>
    <x v="222"/>
    <x v="185"/>
    <x v="193"/>
    <x v="1"/>
    <x v="1"/>
    <x v="1"/>
    <x v="1"/>
    <x v="1"/>
    <x v="1"/>
    <x v="1"/>
    <x v="1"/>
    <x v="1"/>
    <x v="1"/>
  </r>
  <r>
    <x v="101"/>
    <x v="101"/>
    <x v="243"/>
    <x v="2"/>
    <x v="223"/>
    <x v="186"/>
    <x v="194"/>
    <x v="12"/>
    <x v="131"/>
    <x v="132"/>
    <x v="10"/>
    <x v="9"/>
    <x v="70"/>
    <x v="0"/>
    <x v="14"/>
    <x v="0"/>
    <x v="24"/>
  </r>
  <r>
    <x v="102"/>
    <x v="102"/>
    <x v="244"/>
    <x v="4"/>
    <x v="224"/>
    <x v="187"/>
    <x v="195"/>
    <x v="4"/>
    <x v="132"/>
    <x v="133"/>
    <x v="3"/>
    <x v="3"/>
    <x v="57"/>
    <x v="1"/>
    <x v="2"/>
    <x v="1"/>
    <x v="2"/>
  </r>
  <r>
    <x v="103"/>
    <x v="103"/>
    <x v="245"/>
    <x v="22"/>
    <x v="225"/>
    <x v="188"/>
    <x v="196"/>
    <x v="1"/>
    <x v="1"/>
    <x v="1"/>
    <x v="1"/>
    <x v="1"/>
    <x v="1"/>
    <x v="1"/>
    <x v="1"/>
    <x v="1"/>
    <x v="1"/>
  </r>
  <r>
    <x v="104"/>
    <x v="104"/>
    <x v="246"/>
    <x v="22"/>
    <x v="226"/>
    <x v="189"/>
    <x v="197"/>
    <x v="18"/>
    <x v="133"/>
    <x v="134"/>
    <x v="9"/>
    <x v="13"/>
    <x v="59"/>
    <x v="0"/>
    <x v="1"/>
    <x v="0"/>
    <x v="1"/>
  </r>
  <r>
    <x v="105"/>
    <x v="105"/>
    <x v="247"/>
    <x v="66"/>
    <x v="227"/>
    <x v="190"/>
    <x v="198"/>
    <x v="36"/>
    <x v="134"/>
    <x v="135"/>
    <x v="17"/>
    <x v="18"/>
    <x v="71"/>
    <x v="6"/>
    <x v="8"/>
    <x v="19"/>
    <x v="25"/>
  </r>
  <r>
    <x v="106"/>
    <x v="106"/>
    <x v="248"/>
    <x v="64"/>
    <x v="228"/>
    <x v="191"/>
    <x v="199"/>
    <x v="37"/>
    <x v="135"/>
    <x v="136"/>
    <x v="0"/>
    <x v="0"/>
    <x v="36"/>
    <x v="2"/>
    <x v="8"/>
    <x v="3"/>
    <x v="26"/>
  </r>
  <r>
    <x v="107"/>
    <x v="107"/>
    <x v="249"/>
    <x v="38"/>
    <x v="229"/>
    <x v="192"/>
    <x v="200"/>
    <x v="4"/>
    <x v="136"/>
    <x v="137"/>
    <x v="3"/>
    <x v="3"/>
    <x v="53"/>
    <x v="2"/>
    <x v="1"/>
    <x v="3"/>
    <x v="1"/>
  </r>
  <r>
    <x v="108"/>
    <x v="108"/>
    <x v="250"/>
    <x v="38"/>
    <x v="230"/>
    <x v="193"/>
    <x v="201"/>
    <x v="4"/>
    <x v="137"/>
    <x v="138"/>
    <x v="3"/>
    <x v="3"/>
    <x v="53"/>
    <x v="2"/>
    <x v="1"/>
    <x v="3"/>
    <x v="1"/>
  </r>
  <r>
    <x v="104"/>
    <x v="104"/>
    <x v="235"/>
    <x v="21"/>
    <x v="21"/>
    <x v="20"/>
    <x v="21"/>
    <x v="1"/>
    <x v="1"/>
    <x v="17"/>
    <x v="1"/>
    <x v="1"/>
    <x v="16"/>
    <x v="1"/>
    <x v="1"/>
    <x v="1"/>
    <x v="1"/>
  </r>
  <r>
    <x v="105"/>
    <x v="105"/>
    <x v="251"/>
    <x v="28"/>
    <x v="231"/>
    <x v="194"/>
    <x v="30"/>
    <x v="4"/>
    <x v="138"/>
    <x v="139"/>
    <x v="3"/>
    <x v="3"/>
    <x v="21"/>
    <x v="1"/>
    <x v="2"/>
    <x v="1"/>
    <x v="2"/>
  </r>
  <r>
    <x v="106"/>
    <x v="106"/>
    <x v="252"/>
    <x v="1"/>
    <x v="232"/>
    <x v="195"/>
    <x v="202"/>
    <x v="18"/>
    <x v="139"/>
    <x v="140"/>
    <x v="9"/>
    <x v="13"/>
    <x v="66"/>
    <x v="2"/>
    <x v="2"/>
    <x v="3"/>
    <x v="2"/>
  </r>
  <r>
    <x v="107"/>
    <x v="107"/>
    <x v="253"/>
    <x v="20"/>
    <x v="233"/>
    <x v="116"/>
    <x v="143"/>
    <x v="1"/>
    <x v="1"/>
    <x v="1"/>
    <x v="1"/>
    <x v="1"/>
    <x v="1"/>
    <x v="1"/>
    <x v="1"/>
    <x v="1"/>
    <x v="1"/>
  </r>
  <r>
    <x v="108"/>
    <x v="108"/>
    <x v="254"/>
    <x v="18"/>
    <x v="234"/>
    <x v="69"/>
    <x v="188"/>
    <x v="1"/>
    <x v="1"/>
    <x v="1"/>
    <x v="1"/>
    <x v="1"/>
    <x v="1"/>
    <x v="1"/>
    <x v="1"/>
    <x v="1"/>
    <x v="1"/>
  </r>
  <r>
    <x v="94"/>
    <x v="94"/>
    <x v="255"/>
    <x v="22"/>
    <x v="235"/>
    <x v="4"/>
    <x v="203"/>
    <x v="1"/>
    <x v="1"/>
    <x v="1"/>
    <x v="1"/>
    <x v="1"/>
    <x v="1"/>
    <x v="1"/>
    <x v="1"/>
    <x v="1"/>
    <x v="1"/>
  </r>
  <r>
    <x v="95"/>
    <x v="95"/>
    <x v="256"/>
    <x v="17"/>
    <x v="236"/>
    <x v="196"/>
    <x v="204"/>
    <x v="18"/>
    <x v="140"/>
    <x v="141"/>
    <x v="9"/>
    <x v="13"/>
    <x v="17"/>
    <x v="0"/>
    <x v="1"/>
    <x v="0"/>
    <x v="1"/>
  </r>
  <r>
    <x v="96"/>
    <x v="96"/>
    <x v="257"/>
    <x v="3"/>
    <x v="237"/>
    <x v="197"/>
    <x v="205"/>
    <x v="18"/>
    <x v="141"/>
    <x v="142"/>
    <x v="9"/>
    <x v="13"/>
    <x v="21"/>
    <x v="2"/>
    <x v="2"/>
    <x v="3"/>
    <x v="2"/>
  </r>
  <r>
    <x v="97"/>
    <x v="97"/>
    <x v="258"/>
    <x v="60"/>
    <x v="238"/>
    <x v="198"/>
    <x v="206"/>
    <x v="1"/>
    <x v="1"/>
    <x v="1"/>
    <x v="1"/>
    <x v="1"/>
    <x v="1"/>
    <x v="1"/>
    <x v="1"/>
    <x v="1"/>
    <x v="1"/>
  </r>
  <r>
    <x v="98"/>
    <x v="98"/>
    <x v="259"/>
    <x v="54"/>
    <x v="239"/>
    <x v="199"/>
    <x v="207"/>
    <x v="4"/>
    <x v="142"/>
    <x v="143"/>
    <x v="3"/>
    <x v="3"/>
    <x v="36"/>
    <x v="2"/>
    <x v="1"/>
    <x v="3"/>
    <x v="1"/>
  </r>
  <r>
    <x v="104"/>
    <x v="104"/>
    <x v="260"/>
    <x v="3"/>
    <x v="240"/>
    <x v="200"/>
    <x v="208"/>
    <x v="32"/>
    <x v="143"/>
    <x v="144"/>
    <x v="9"/>
    <x v="13"/>
    <x v="21"/>
    <x v="0"/>
    <x v="1"/>
    <x v="9"/>
    <x v="1"/>
  </r>
  <r>
    <x v="105"/>
    <x v="105"/>
    <x v="258"/>
    <x v="23"/>
    <x v="241"/>
    <x v="201"/>
    <x v="209"/>
    <x v="3"/>
    <x v="144"/>
    <x v="145"/>
    <x v="3"/>
    <x v="3"/>
    <x v="2"/>
    <x v="2"/>
    <x v="1"/>
    <x v="2"/>
    <x v="1"/>
  </r>
  <r>
    <x v="106"/>
    <x v="106"/>
    <x v="261"/>
    <x v="65"/>
    <x v="242"/>
    <x v="202"/>
    <x v="210"/>
    <x v="18"/>
    <x v="5"/>
    <x v="5"/>
    <x v="9"/>
    <x v="13"/>
    <x v="7"/>
    <x v="0"/>
    <x v="1"/>
    <x v="0"/>
    <x v="1"/>
  </r>
  <r>
    <x v="107"/>
    <x v="107"/>
    <x v="262"/>
    <x v="4"/>
    <x v="243"/>
    <x v="203"/>
    <x v="211"/>
    <x v="1"/>
    <x v="1"/>
    <x v="1"/>
    <x v="1"/>
    <x v="1"/>
    <x v="1"/>
    <x v="1"/>
    <x v="1"/>
    <x v="1"/>
    <x v="1"/>
  </r>
  <r>
    <x v="108"/>
    <x v="108"/>
    <x v="20"/>
    <x v="20"/>
    <x v="20"/>
    <x v="69"/>
    <x v="105"/>
    <x v="4"/>
    <x v="145"/>
    <x v="146"/>
    <x v="3"/>
    <x v="3"/>
    <x v="54"/>
    <x v="1"/>
    <x v="2"/>
    <x v="1"/>
    <x v="2"/>
  </r>
  <r>
    <x v="101"/>
    <x v="101"/>
    <x v="263"/>
    <x v="18"/>
    <x v="244"/>
    <x v="204"/>
    <x v="212"/>
    <x v="4"/>
    <x v="42"/>
    <x v="43"/>
    <x v="3"/>
    <x v="3"/>
    <x v="55"/>
    <x v="1"/>
    <x v="2"/>
    <x v="1"/>
    <x v="2"/>
  </r>
  <r>
    <x v="102"/>
    <x v="102"/>
    <x v="239"/>
    <x v="21"/>
    <x v="21"/>
    <x v="20"/>
    <x v="21"/>
    <x v="1"/>
    <x v="1"/>
    <x v="17"/>
    <x v="1"/>
    <x v="1"/>
    <x v="16"/>
    <x v="1"/>
    <x v="1"/>
    <x v="1"/>
    <x v="1"/>
  </r>
  <r>
    <x v="103"/>
    <x v="103"/>
    <x v="264"/>
    <x v="21"/>
    <x v="21"/>
    <x v="20"/>
    <x v="21"/>
    <x v="1"/>
    <x v="1"/>
    <x v="17"/>
    <x v="1"/>
    <x v="1"/>
    <x v="16"/>
    <x v="1"/>
    <x v="1"/>
    <x v="1"/>
    <x v="1"/>
  </r>
  <r>
    <x v="100"/>
    <x v="100"/>
    <x v="254"/>
    <x v="21"/>
    <x v="21"/>
    <x v="20"/>
    <x v="21"/>
    <x v="1"/>
    <x v="1"/>
    <x v="17"/>
    <x v="1"/>
    <x v="1"/>
    <x v="16"/>
    <x v="1"/>
    <x v="1"/>
    <x v="1"/>
    <x v="1"/>
  </r>
  <r>
    <x v="99"/>
    <x v="99"/>
    <x v="265"/>
    <x v="18"/>
    <x v="245"/>
    <x v="205"/>
    <x v="213"/>
    <x v="1"/>
    <x v="1"/>
    <x v="1"/>
    <x v="1"/>
    <x v="1"/>
    <x v="1"/>
    <x v="1"/>
    <x v="1"/>
    <x v="1"/>
    <x v="1"/>
  </r>
  <r>
    <x v="109"/>
    <x v="109"/>
    <x v="266"/>
    <x v="8"/>
    <x v="246"/>
    <x v="206"/>
    <x v="214"/>
    <x v="18"/>
    <x v="146"/>
    <x v="147"/>
    <x v="9"/>
    <x v="13"/>
    <x v="72"/>
    <x v="2"/>
    <x v="2"/>
    <x v="3"/>
    <x v="2"/>
  </r>
  <r>
    <x v="110"/>
    <x v="110"/>
    <x v="267"/>
    <x v="13"/>
    <x v="247"/>
    <x v="207"/>
    <x v="215"/>
    <x v="8"/>
    <x v="147"/>
    <x v="148"/>
    <x v="5"/>
    <x v="5"/>
    <x v="60"/>
    <x v="2"/>
    <x v="0"/>
    <x v="3"/>
    <x v="14"/>
  </r>
  <r>
    <x v="111"/>
    <x v="111"/>
    <x v="268"/>
    <x v="67"/>
    <x v="248"/>
    <x v="208"/>
    <x v="216"/>
    <x v="38"/>
    <x v="148"/>
    <x v="149"/>
    <x v="7"/>
    <x v="8"/>
    <x v="73"/>
    <x v="5"/>
    <x v="12"/>
    <x v="6"/>
    <x v="27"/>
  </r>
  <r>
    <x v="112"/>
    <x v="112"/>
    <x v="269"/>
    <x v="68"/>
    <x v="249"/>
    <x v="209"/>
    <x v="217"/>
    <x v="13"/>
    <x v="149"/>
    <x v="150"/>
    <x v="11"/>
    <x v="10"/>
    <x v="74"/>
    <x v="2"/>
    <x v="14"/>
    <x v="3"/>
    <x v="24"/>
  </r>
  <r>
    <x v="113"/>
    <x v="113"/>
    <x v="270"/>
    <x v="24"/>
    <x v="250"/>
    <x v="1"/>
    <x v="218"/>
    <x v="1"/>
    <x v="1"/>
    <x v="1"/>
    <x v="1"/>
    <x v="1"/>
    <x v="1"/>
    <x v="1"/>
    <x v="1"/>
    <x v="1"/>
    <x v="1"/>
  </r>
  <r>
    <x v="109"/>
    <x v="109"/>
    <x v="271"/>
    <x v="29"/>
    <x v="251"/>
    <x v="210"/>
    <x v="219"/>
    <x v="18"/>
    <x v="150"/>
    <x v="151"/>
    <x v="9"/>
    <x v="13"/>
    <x v="56"/>
    <x v="2"/>
    <x v="2"/>
    <x v="3"/>
    <x v="2"/>
  </r>
  <r>
    <x v="110"/>
    <x v="110"/>
    <x v="272"/>
    <x v="1"/>
    <x v="252"/>
    <x v="211"/>
    <x v="220"/>
    <x v="1"/>
    <x v="1"/>
    <x v="1"/>
    <x v="1"/>
    <x v="1"/>
    <x v="1"/>
    <x v="1"/>
    <x v="1"/>
    <x v="1"/>
    <x v="1"/>
  </r>
  <r>
    <x v="111"/>
    <x v="111"/>
    <x v="273"/>
    <x v="69"/>
    <x v="253"/>
    <x v="212"/>
    <x v="221"/>
    <x v="2"/>
    <x v="151"/>
    <x v="152"/>
    <x v="2"/>
    <x v="2"/>
    <x v="56"/>
    <x v="1"/>
    <x v="0"/>
    <x v="1"/>
    <x v="14"/>
  </r>
  <r>
    <x v="112"/>
    <x v="112"/>
    <x v="274"/>
    <x v="17"/>
    <x v="254"/>
    <x v="213"/>
    <x v="222"/>
    <x v="4"/>
    <x v="152"/>
    <x v="153"/>
    <x v="3"/>
    <x v="3"/>
    <x v="14"/>
    <x v="2"/>
    <x v="1"/>
    <x v="3"/>
    <x v="1"/>
  </r>
  <r>
    <x v="113"/>
    <x v="113"/>
    <x v="26"/>
    <x v="54"/>
    <x v="255"/>
    <x v="214"/>
    <x v="223"/>
    <x v="1"/>
    <x v="1"/>
    <x v="1"/>
    <x v="1"/>
    <x v="1"/>
    <x v="1"/>
    <x v="1"/>
    <x v="1"/>
    <x v="1"/>
    <x v="1"/>
  </r>
  <r>
    <x v="109"/>
    <x v="109"/>
    <x v="275"/>
    <x v="3"/>
    <x v="256"/>
    <x v="215"/>
    <x v="224"/>
    <x v="1"/>
    <x v="1"/>
    <x v="1"/>
    <x v="1"/>
    <x v="1"/>
    <x v="1"/>
    <x v="1"/>
    <x v="1"/>
    <x v="1"/>
    <x v="1"/>
  </r>
  <r>
    <x v="110"/>
    <x v="110"/>
    <x v="233"/>
    <x v="28"/>
    <x v="215"/>
    <x v="31"/>
    <x v="32"/>
    <x v="4"/>
    <x v="153"/>
    <x v="154"/>
    <x v="3"/>
    <x v="3"/>
    <x v="21"/>
    <x v="2"/>
    <x v="1"/>
    <x v="3"/>
    <x v="1"/>
  </r>
  <r>
    <x v="111"/>
    <x v="111"/>
    <x v="276"/>
    <x v="12"/>
    <x v="257"/>
    <x v="216"/>
    <x v="225"/>
    <x v="18"/>
    <x v="154"/>
    <x v="155"/>
    <x v="9"/>
    <x v="13"/>
    <x v="75"/>
    <x v="1"/>
    <x v="4"/>
    <x v="1"/>
    <x v="8"/>
  </r>
  <r>
    <x v="113"/>
    <x v="113"/>
    <x v="277"/>
    <x v="18"/>
    <x v="258"/>
    <x v="217"/>
    <x v="226"/>
    <x v="1"/>
    <x v="1"/>
    <x v="1"/>
    <x v="1"/>
    <x v="1"/>
    <x v="1"/>
    <x v="1"/>
    <x v="1"/>
    <x v="1"/>
    <x v="1"/>
  </r>
  <r>
    <x v="112"/>
    <x v="112"/>
    <x v="278"/>
    <x v="12"/>
    <x v="259"/>
    <x v="216"/>
    <x v="225"/>
    <x v="18"/>
    <x v="154"/>
    <x v="155"/>
    <x v="9"/>
    <x v="13"/>
    <x v="75"/>
    <x v="2"/>
    <x v="2"/>
    <x v="3"/>
    <x v="2"/>
  </r>
  <r>
    <x v="109"/>
    <x v="109"/>
    <x v="279"/>
    <x v="21"/>
    <x v="21"/>
    <x v="20"/>
    <x v="21"/>
    <x v="1"/>
    <x v="1"/>
    <x v="17"/>
    <x v="1"/>
    <x v="1"/>
    <x v="16"/>
    <x v="1"/>
    <x v="1"/>
    <x v="1"/>
    <x v="1"/>
  </r>
  <r>
    <x v="110"/>
    <x v="110"/>
    <x v="253"/>
    <x v="21"/>
    <x v="21"/>
    <x v="20"/>
    <x v="21"/>
    <x v="1"/>
    <x v="1"/>
    <x v="17"/>
    <x v="1"/>
    <x v="1"/>
    <x v="16"/>
    <x v="1"/>
    <x v="1"/>
    <x v="1"/>
    <x v="1"/>
  </r>
  <r>
    <x v="111"/>
    <x v="111"/>
    <x v="66"/>
    <x v="18"/>
    <x v="260"/>
    <x v="218"/>
    <x v="227"/>
    <x v="1"/>
    <x v="1"/>
    <x v="1"/>
    <x v="1"/>
    <x v="1"/>
    <x v="1"/>
    <x v="1"/>
    <x v="1"/>
    <x v="1"/>
    <x v="1"/>
  </r>
  <r>
    <x v="112"/>
    <x v="112"/>
    <x v="280"/>
    <x v="21"/>
    <x v="21"/>
    <x v="20"/>
    <x v="21"/>
    <x v="1"/>
    <x v="1"/>
    <x v="17"/>
    <x v="1"/>
    <x v="1"/>
    <x v="16"/>
    <x v="1"/>
    <x v="1"/>
    <x v="1"/>
    <x v="1"/>
  </r>
  <r>
    <x v="113"/>
    <x v="113"/>
    <x v="201"/>
    <x v="21"/>
    <x v="21"/>
    <x v="20"/>
    <x v="21"/>
    <x v="1"/>
    <x v="1"/>
    <x v="17"/>
    <x v="1"/>
    <x v="1"/>
    <x v="16"/>
    <x v="1"/>
    <x v="1"/>
    <x v="1"/>
    <x v="1"/>
  </r>
  <r>
    <x v="105"/>
    <x v="105"/>
    <x v="202"/>
    <x v="21"/>
    <x v="21"/>
    <x v="20"/>
    <x v="21"/>
    <x v="1"/>
    <x v="1"/>
    <x v="17"/>
    <x v="1"/>
    <x v="1"/>
    <x v="16"/>
    <x v="1"/>
    <x v="1"/>
    <x v="1"/>
    <x v="1"/>
  </r>
  <r>
    <x v="107"/>
    <x v="107"/>
    <x v="62"/>
    <x v="21"/>
    <x v="21"/>
    <x v="20"/>
    <x v="21"/>
    <x v="1"/>
    <x v="1"/>
    <x v="17"/>
    <x v="1"/>
    <x v="1"/>
    <x v="16"/>
    <x v="1"/>
    <x v="1"/>
    <x v="1"/>
    <x v="1"/>
  </r>
  <r>
    <x v="104"/>
    <x v="104"/>
    <x v="35"/>
    <x v="20"/>
    <x v="261"/>
    <x v="219"/>
    <x v="228"/>
    <x v="1"/>
    <x v="1"/>
    <x v="1"/>
    <x v="1"/>
    <x v="1"/>
    <x v="1"/>
    <x v="1"/>
    <x v="1"/>
    <x v="1"/>
    <x v="1"/>
  </r>
  <r>
    <x v="108"/>
    <x v="108"/>
    <x v="281"/>
    <x v="20"/>
    <x v="262"/>
    <x v="163"/>
    <x v="172"/>
    <x v="1"/>
    <x v="1"/>
    <x v="1"/>
    <x v="1"/>
    <x v="1"/>
    <x v="1"/>
    <x v="1"/>
    <x v="1"/>
    <x v="1"/>
    <x v="1"/>
  </r>
  <r>
    <x v="106"/>
    <x v="106"/>
    <x v="34"/>
    <x v="26"/>
    <x v="263"/>
    <x v="112"/>
    <x v="229"/>
    <x v="1"/>
    <x v="1"/>
    <x v="1"/>
    <x v="1"/>
    <x v="1"/>
    <x v="1"/>
    <x v="1"/>
    <x v="1"/>
    <x v="1"/>
    <x v="1"/>
  </r>
  <r>
    <x v="114"/>
    <x v="114"/>
    <x v="282"/>
    <x v="70"/>
    <x v="36"/>
    <x v="20"/>
    <x v="230"/>
    <x v="39"/>
    <x v="1"/>
    <x v="17"/>
    <x v="18"/>
    <x v="19"/>
    <x v="16"/>
    <x v="12"/>
    <x v="15"/>
    <x v="20"/>
    <x v="28"/>
  </r>
</pivotCacheRecords>
</file>

<file path=xl/pivotCache/pivotCacheRecords28.xml><?xml version="1.0" encoding="utf-8"?>
<pivotCacheRecords xmlns="http://schemas.openxmlformats.org/spreadsheetml/2006/main" xmlns:r="http://schemas.openxmlformats.org/officeDocument/2006/relationships" count="11">
  <r>
    <x v="0"/>
    <x v="0"/>
    <x v="0"/>
    <x v="0"/>
    <x v="0"/>
    <x v="0"/>
    <x v="0"/>
    <x v="0"/>
    <x v="0"/>
    <x v="0"/>
    <x v="0"/>
    <x v="0"/>
    <x v="0"/>
    <x v="0"/>
  </r>
  <r>
    <x v="1"/>
    <x v="1"/>
    <x v="1"/>
    <x v="0"/>
    <x v="1"/>
    <x v="0"/>
    <x v="1"/>
    <x v="1"/>
    <x v="1"/>
    <x v="1"/>
    <x v="1"/>
    <x v="0"/>
    <x v="0"/>
    <x v="1"/>
  </r>
  <r>
    <x v="2"/>
    <x v="2"/>
    <x v="2"/>
    <x v="1"/>
    <x v="2"/>
    <x v="1"/>
    <x v="2"/>
    <x v="2"/>
    <x v="2"/>
    <x v="2"/>
    <x v="2"/>
    <x v="1"/>
    <x v="0"/>
    <x v="2"/>
  </r>
  <r>
    <x v="3"/>
    <x v="3"/>
    <x v="3"/>
    <x v="2"/>
    <x v="2"/>
    <x v="2"/>
    <x v="2"/>
    <x v="3"/>
    <x v="3"/>
    <x v="3"/>
    <x v="3"/>
    <x v="0"/>
    <x v="0"/>
    <x v="3"/>
  </r>
  <r>
    <x v="4"/>
    <x v="4"/>
    <x v="4"/>
    <x v="3"/>
    <x v="3"/>
    <x v="3"/>
    <x v="3"/>
    <x v="4"/>
    <x v="4"/>
    <x v="4"/>
    <x v="4"/>
    <x v="2"/>
    <x v="1"/>
    <x v="3"/>
  </r>
  <r>
    <x v="5"/>
    <x v="5"/>
    <x v="5"/>
    <x v="4"/>
    <x v="3"/>
    <x v="4"/>
    <x v="3"/>
    <x v="5"/>
    <x v="4"/>
    <x v="5"/>
    <x v="4"/>
    <x v="0"/>
    <x v="1"/>
    <x v="4"/>
  </r>
  <r>
    <x v="6"/>
    <x v="6"/>
    <x v="6"/>
    <x v="4"/>
    <x v="3"/>
    <x v="4"/>
    <x v="3"/>
    <x v="6"/>
    <x v="4"/>
    <x v="6"/>
    <x v="4"/>
    <x v="0"/>
    <x v="1"/>
    <x v="4"/>
  </r>
  <r>
    <x v="7"/>
    <x v="7"/>
    <x v="7"/>
    <x v="5"/>
    <x v="4"/>
    <x v="5"/>
    <x v="4"/>
    <x v="7"/>
    <x v="5"/>
    <x v="7"/>
    <x v="5"/>
    <x v="3"/>
    <x v="0"/>
    <x v="4"/>
  </r>
  <r>
    <x v="8"/>
    <x v="8"/>
    <x v="8"/>
    <x v="6"/>
    <x v="3"/>
    <x v="6"/>
    <x v="3"/>
    <x v="8"/>
    <x v="4"/>
    <x v="8"/>
    <x v="4"/>
    <x v="0"/>
    <x v="1"/>
    <x v="4"/>
  </r>
  <r>
    <x v="9"/>
    <x v="9"/>
    <x v="9"/>
    <x v="7"/>
    <x v="4"/>
    <x v="7"/>
    <x v="4"/>
    <x v="9"/>
    <x v="3"/>
    <x v="9"/>
    <x v="3"/>
    <x v="0"/>
    <x v="0"/>
    <x v="4"/>
  </r>
  <r>
    <x v="10"/>
    <x v="10"/>
    <x v="10"/>
    <x v="8"/>
    <x v="5"/>
    <x v="8"/>
    <x v="5"/>
    <x v="10"/>
    <x v="6"/>
    <x v="10"/>
    <x v="6"/>
    <x v="4"/>
    <x v="2"/>
    <x v="5"/>
  </r>
</pivotCacheRecords>
</file>

<file path=xl/pivotCache/pivotCacheRecords29.xml><?xml version="1.0" encoding="utf-8"?>
<pivotCacheRecords xmlns="http://schemas.openxmlformats.org/spreadsheetml/2006/main" xmlns:r="http://schemas.openxmlformats.org/officeDocument/2006/relationships" count="13">
  <r>
    <x v="0"/>
    <x v="0"/>
    <x v="0"/>
    <x v="0"/>
    <x v="0"/>
    <x v="0"/>
    <x v="0"/>
    <x v="0"/>
    <x v="0"/>
    <x v="0"/>
    <x v="0"/>
    <x v="0"/>
    <x v="0"/>
    <x v="0"/>
  </r>
  <r>
    <x v="1"/>
    <x v="1"/>
    <x v="1"/>
    <x v="1"/>
    <x v="1"/>
    <x v="1"/>
    <x v="1"/>
    <x v="1"/>
    <x v="1"/>
    <x v="1"/>
    <x v="1"/>
    <x v="1"/>
    <x v="0"/>
    <x v="1"/>
  </r>
  <r>
    <x v="2"/>
    <x v="2"/>
    <x v="2"/>
    <x v="2"/>
    <x v="1"/>
    <x v="2"/>
    <x v="1"/>
    <x v="2"/>
    <x v="2"/>
    <x v="2"/>
    <x v="2"/>
    <x v="0"/>
    <x v="0"/>
    <x v="2"/>
  </r>
  <r>
    <x v="0"/>
    <x v="0"/>
    <x v="0"/>
    <x v="3"/>
    <x v="2"/>
    <x v="3"/>
    <x v="2"/>
    <x v="3"/>
    <x v="2"/>
    <x v="3"/>
    <x v="2"/>
    <x v="0"/>
    <x v="1"/>
    <x v="3"/>
  </r>
  <r>
    <x v="3"/>
    <x v="3"/>
    <x v="3"/>
    <x v="4"/>
    <x v="3"/>
    <x v="4"/>
    <x v="3"/>
    <x v="4"/>
    <x v="3"/>
    <x v="4"/>
    <x v="3"/>
    <x v="2"/>
    <x v="0"/>
    <x v="4"/>
  </r>
  <r>
    <x v="2"/>
    <x v="2"/>
    <x v="2"/>
    <x v="0"/>
    <x v="3"/>
    <x v="0"/>
    <x v="3"/>
    <x v="5"/>
    <x v="4"/>
    <x v="5"/>
    <x v="4"/>
    <x v="0"/>
    <x v="0"/>
    <x v="5"/>
  </r>
  <r>
    <x v="4"/>
    <x v="4"/>
    <x v="4"/>
    <x v="5"/>
    <x v="4"/>
    <x v="5"/>
    <x v="4"/>
    <x v="6"/>
    <x v="5"/>
    <x v="6"/>
    <x v="5"/>
    <x v="1"/>
    <x v="0"/>
    <x v="6"/>
  </r>
  <r>
    <x v="5"/>
    <x v="5"/>
    <x v="5"/>
    <x v="6"/>
    <x v="5"/>
    <x v="6"/>
    <x v="5"/>
    <x v="7"/>
    <x v="6"/>
    <x v="7"/>
    <x v="6"/>
    <x v="0"/>
    <x v="2"/>
    <x v="7"/>
  </r>
  <r>
    <x v="6"/>
    <x v="6"/>
    <x v="6"/>
    <x v="7"/>
    <x v="5"/>
    <x v="7"/>
    <x v="5"/>
    <x v="8"/>
    <x v="6"/>
    <x v="8"/>
    <x v="6"/>
    <x v="0"/>
    <x v="2"/>
    <x v="8"/>
  </r>
  <r>
    <x v="7"/>
    <x v="7"/>
    <x v="7"/>
    <x v="8"/>
    <x v="5"/>
    <x v="8"/>
    <x v="5"/>
    <x v="9"/>
    <x v="6"/>
    <x v="9"/>
    <x v="6"/>
    <x v="0"/>
    <x v="2"/>
    <x v="8"/>
  </r>
  <r>
    <x v="8"/>
    <x v="8"/>
    <x v="8"/>
    <x v="9"/>
    <x v="2"/>
    <x v="9"/>
    <x v="2"/>
    <x v="10"/>
    <x v="3"/>
    <x v="10"/>
    <x v="3"/>
    <x v="3"/>
    <x v="3"/>
    <x v="8"/>
  </r>
  <r>
    <x v="9"/>
    <x v="9"/>
    <x v="9"/>
    <x v="6"/>
    <x v="4"/>
    <x v="6"/>
    <x v="4"/>
    <x v="11"/>
    <x v="7"/>
    <x v="11"/>
    <x v="7"/>
    <x v="0"/>
    <x v="0"/>
    <x v="8"/>
  </r>
  <r>
    <x v="10"/>
    <x v="10"/>
    <x v="10"/>
    <x v="10"/>
    <x v="6"/>
    <x v="10"/>
    <x v="6"/>
    <x v="12"/>
    <x v="8"/>
    <x v="12"/>
    <x v="8"/>
    <x v="4"/>
    <x v="4"/>
    <x v="9"/>
  </r>
</pivotCacheRecords>
</file>

<file path=xl/pivotCache/pivotCacheRecords30.xml><?xml version="1.0" encoding="utf-8"?>
<pivotCacheRecords xmlns="http://schemas.openxmlformats.org/spreadsheetml/2006/main" xmlns:r="http://schemas.openxmlformats.org/officeDocument/2006/relationships" count="24">
  <r>
    <x v="0"/>
    <x v="0"/>
    <x v="0"/>
    <x v="0"/>
    <x v="0"/>
    <x v="0"/>
    <x v="0"/>
    <x v="0"/>
    <x v="0"/>
    <x v="0"/>
    <x v="0"/>
    <x v="0"/>
    <x v="0"/>
    <x v="0"/>
  </r>
  <r>
    <x v="1"/>
    <x v="1"/>
    <x v="1"/>
    <x v="1"/>
    <x v="1"/>
    <x v="1"/>
    <x v="1"/>
    <x v="1"/>
    <x v="1"/>
    <x v="1"/>
    <x v="1"/>
    <x v="1"/>
    <x v="1"/>
    <x v="1"/>
  </r>
  <r>
    <x v="2"/>
    <x v="2"/>
    <x v="2"/>
    <x v="2"/>
    <x v="2"/>
    <x v="2"/>
    <x v="2"/>
    <x v="2"/>
    <x v="2"/>
    <x v="2"/>
    <x v="2"/>
    <x v="2"/>
    <x v="0"/>
    <x v="2"/>
  </r>
  <r>
    <x v="1"/>
    <x v="1"/>
    <x v="1"/>
    <x v="3"/>
    <x v="3"/>
    <x v="3"/>
    <x v="3"/>
    <x v="3"/>
    <x v="3"/>
    <x v="3"/>
    <x v="3"/>
    <x v="3"/>
    <x v="0"/>
    <x v="3"/>
  </r>
  <r>
    <x v="3"/>
    <x v="3"/>
    <x v="3"/>
    <x v="4"/>
    <x v="3"/>
    <x v="4"/>
    <x v="3"/>
    <x v="4"/>
    <x v="4"/>
    <x v="4"/>
    <x v="4"/>
    <x v="4"/>
    <x v="0"/>
    <x v="4"/>
  </r>
  <r>
    <x v="4"/>
    <x v="4"/>
    <x v="4"/>
    <x v="5"/>
    <x v="4"/>
    <x v="5"/>
    <x v="4"/>
    <x v="5"/>
    <x v="5"/>
    <x v="5"/>
    <x v="5"/>
    <x v="5"/>
    <x v="0"/>
    <x v="4"/>
  </r>
  <r>
    <x v="0"/>
    <x v="0"/>
    <x v="0"/>
    <x v="3"/>
    <x v="4"/>
    <x v="3"/>
    <x v="4"/>
    <x v="6"/>
    <x v="4"/>
    <x v="6"/>
    <x v="4"/>
    <x v="3"/>
    <x v="0"/>
    <x v="5"/>
  </r>
  <r>
    <x v="5"/>
    <x v="5"/>
    <x v="5"/>
    <x v="6"/>
    <x v="5"/>
    <x v="6"/>
    <x v="5"/>
    <x v="7"/>
    <x v="6"/>
    <x v="7"/>
    <x v="6"/>
    <x v="6"/>
    <x v="0"/>
    <x v="5"/>
  </r>
  <r>
    <x v="6"/>
    <x v="6"/>
    <x v="6"/>
    <x v="7"/>
    <x v="6"/>
    <x v="7"/>
    <x v="6"/>
    <x v="8"/>
    <x v="7"/>
    <x v="8"/>
    <x v="7"/>
    <x v="7"/>
    <x v="0"/>
    <x v="6"/>
  </r>
  <r>
    <x v="7"/>
    <x v="7"/>
    <x v="7"/>
    <x v="8"/>
    <x v="6"/>
    <x v="8"/>
    <x v="6"/>
    <x v="9"/>
    <x v="7"/>
    <x v="9"/>
    <x v="7"/>
    <x v="8"/>
    <x v="0"/>
    <x v="7"/>
  </r>
  <r>
    <x v="8"/>
    <x v="8"/>
    <x v="8"/>
    <x v="9"/>
    <x v="7"/>
    <x v="9"/>
    <x v="7"/>
    <x v="10"/>
    <x v="8"/>
    <x v="10"/>
    <x v="8"/>
    <x v="3"/>
    <x v="2"/>
    <x v="7"/>
  </r>
  <r>
    <x v="9"/>
    <x v="9"/>
    <x v="9"/>
    <x v="10"/>
    <x v="7"/>
    <x v="10"/>
    <x v="7"/>
    <x v="11"/>
    <x v="8"/>
    <x v="11"/>
    <x v="8"/>
    <x v="9"/>
    <x v="2"/>
    <x v="8"/>
  </r>
  <r>
    <x v="10"/>
    <x v="10"/>
    <x v="10"/>
    <x v="11"/>
    <x v="3"/>
    <x v="11"/>
    <x v="3"/>
    <x v="12"/>
    <x v="2"/>
    <x v="12"/>
    <x v="2"/>
    <x v="10"/>
    <x v="3"/>
    <x v="8"/>
  </r>
  <r>
    <x v="11"/>
    <x v="11"/>
    <x v="11"/>
    <x v="12"/>
    <x v="8"/>
    <x v="12"/>
    <x v="8"/>
    <x v="13"/>
    <x v="9"/>
    <x v="13"/>
    <x v="9"/>
    <x v="5"/>
    <x v="0"/>
    <x v="9"/>
  </r>
  <r>
    <x v="12"/>
    <x v="12"/>
    <x v="12"/>
    <x v="13"/>
    <x v="7"/>
    <x v="13"/>
    <x v="7"/>
    <x v="14"/>
    <x v="8"/>
    <x v="14"/>
    <x v="8"/>
    <x v="3"/>
    <x v="2"/>
    <x v="10"/>
  </r>
  <r>
    <x v="13"/>
    <x v="9"/>
    <x v="13"/>
    <x v="14"/>
    <x v="7"/>
    <x v="14"/>
    <x v="7"/>
    <x v="15"/>
    <x v="8"/>
    <x v="15"/>
    <x v="8"/>
    <x v="3"/>
    <x v="2"/>
    <x v="10"/>
  </r>
  <r>
    <x v="14"/>
    <x v="13"/>
    <x v="14"/>
    <x v="15"/>
    <x v="6"/>
    <x v="15"/>
    <x v="6"/>
    <x v="16"/>
    <x v="9"/>
    <x v="16"/>
    <x v="9"/>
    <x v="11"/>
    <x v="0"/>
    <x v="10"/>
  </r>
  <r>
    <x v="15"/>
    <x v="14"/>
    <x v="15"/>
    <x v="16"/>
    <x v="7"/>
    <x v="16"/>
    <x v="7"/>
    <x v="17"/>
    <x v="8"/>
    <x v="17"/>
    <x v="8"/>
    <x v="3"/>
    <x v="2"/>
    <x v="10"/>
  </r>
  <r>
    <x v="16"/>
    <x v="15"/>
    <x v="16"/>
    <x v="13"/>
    <x v="7"/>
    <x v="13"/>
    <x v="7"/>
    <x v="14"/>
    <x v="8"/>
    <x v="14"/>
    <x v="8"/>
    <x v="3"/>
    <x v="2"/>
    <x v="10"/>
  </r>
  <r>
    <x v="17"/>
    <x v="16"/>
    <x v="17"/>
    <x v="17"/>
    <x v="7"/>
    <x v="17"/>
    <x v="7"/>
    <x v="18"/>
    <x v="8"/>
    <x v="18"/>
    <x v="8"/>
    <x v="3"/>
    <x v="2"/>
    <x v="10"/>
  </r>
  <r>
    <x v="18"/>
    <x v="17"/>
    <x v="18"/>
    <x v="18"/>
    <x v="7"/>
    <x v="18"/>
    <x v="7"/>
    <x v="15"/>
    <x v="8"/>
    <x v="15"/>
    <x v="8"/>
    <x v="3"/>
    <x v="2"/>
    <x v="10"/>
  </r>
  <r>
    <x v="10"/>
    <x v="10"/>
    <x v="19"/>
    <x v="11"/>
    <x v="3"/>
    <x v="11"/>
    <x v="3"/>
    <x v="12"/>
    <x v="2"/>
    <x v="12"/>
    <x v="2"/>
    <x v="10"/>
    <x v="3"/>
    <x v="10"/>
  </r>
  <r>
    <x v="19"/>
    <x v="18"/>
    <x v="20"/>
    <x v="19"/>
    <x v="4"/>
    <x v="19"/>
    <x v="4"/>
    <x v="19"/>
    <x v="10"/>
    <x v="19"/>
    <x v="10"/>
    <x v="12"/>
    <x v="0"/>
    <x v="10"/>
  </r>
  <r>
    <x v="20"/>
    <x v="19"/>
    <x v="21"/>
    <x v="20"/>
    <x v="9"/>
    <x v="20"/>
    <x v="9"/>
    <x v="20"/>
    <x v="11"/>
    <x v="20"/>
    <x v="11"/>
    <x v="13"/>
    <x v="4"/>
    <x v="11"/>
  </r>
</pivotCacheRecords>
</file>

<file path=xl/pivotCache/pivotCacheRecords31.xml><?xml version="1.0" encoding="utf-8"?>
<pivotCacheRecords xmlns="http://schemas.openxmlformats.org/spreadsheetml/2006/main" xmlns:r="http://schemas.openxmlformats.org/officeDocument/2006/relationships" count="58">
  <r>
    <x v="0"/>
    <x v="0"/>
    <x v="0"/>
    <x v="0"/>
    <x v="0"/>
    <x v="0"/>
    <x v="0"/>
    <x v="0"/>
    <x v="0"/>
    <x v="0"/>
    <x v="0"/>
    <x v="0"/>
    <x v="0"/>
    <x v="0"/>
    <x v="0"/>
    <x v="0"/>
    <x v="0"/>
  </r>
  <r>
    <x v="1"/>
    <x v="1"/>
    <x v="1"/>
    <x v="1"/>
    <x v="1"/>
    <x v="1"/>
    <x v="1"/>
    <x v="0"/>
    <x v="0"/>
    <x v="1"/>
    <x v="0"/>
    <x v="0"/>
    <x v="1"/>
    <x v="0"/>
    <x v="0"/>
    <x v="0"/>
    <x v="0"/>
  </r>
  <r>
    <x v="2"/>
    <x v="2"/>
    <x v="2"/>
    <x v="0"/>
    <x v="0"/>
    <x v="0"/>
    <x v="0"/>
    <x v="0"/>
    <x v="0"/>
    <x v="0"/>
    <x v="0"/>
    <x v="0"/>
    <x v="0"/>
    <x v="0"/>
    <x v="0"/>
    <x v="0"/>
    <x v="0"/>
  </r>
  <r>
    <x v="1"/>
    <x v="1"/>
    <x v="3"/>
    <x v="2"/>
    <x v="2"/>
    <x v="2"/>
    <x v="2"/>
    <x v="0"/>
    <x v="0"/>
    <x v="1"/>
    <x v="0"/>
    <x v="0"/>
    <x v="1"/>
    <x v="0"/>
    <x v="0"/>
    <x v="0"/>
    <x v="0"/>
  </r>
  <r>
    <x v="3"/>
    <x v="3"/>
    <x v="4"/>
    <x v="0"/>
    <x v="0"/>
    <x v="0"/>
    <x v="0"/>
    <x v="0"/>
    <x v="0"/>
    <x v="0"/>
    <x v="0"/>
    <x v="0"/>
    <x v="0"/>
    <x v="0"/>
    <x v="0"/>
    <x v="0"/>
    <x v="0"/>
  </r>
  <r>
    <x v="4"/>
    <x v="4"/>
    <x v="5"/>
    <x v="0"/>
    <x v="0"/>
    <x v="0"/>
    <x v="0"/>
    <x v="0"/>
    <x v="0"/>
    <x v="0"/>
    <x v="0"/>
    <x v="0"/>
    <x v="0"/>
    <x v="0"/>
    <x v="0"/>
    <x v="0"/>
    <x v="0"/>
  </r>
  <r>
    <x v="5"/>
    <x v="5"/>
    <x v="6"/>
    <x v="3"/>
    <x v="3"/>
    <x v="2"/>
    <x v="3"/>
    <x v="0"/>
    <x v="0"/>
    <x v="1"/>
    <x v="0"/>
    <x v="0"/>
    <x v="1"/>
    <x v="0"/>
    <x v="0"/>
    <x v="0"/>
    <x v="0"/>
  </r>
  <r>
    <x v="4"/>
    <x v="4"/>
    <x v="7"/>
    <x v="0"/>
    <x v="0"/>
    <x v="0"/>
    <x v="0"/>
    <x v="0"/>
    <x v="0"/>
    <x v="0"/>
    <x v="0"/>
    <x v="0"/>
    <x v="0"/>
    <x v="0"/>
    <x v="0"/>
    <x v="0"/>
    <x v="0"/>
  </r>
  <r>
    <x v="5"/>
    <x v="5"/>
    <x v="8"/>
    <x v="4"/>
    <x v="4"/>
    <x v="3"/>
    <x v="4"/>
    <x v="0"/>
    <x v="0"/>
    <x v="1"/>
    <x v="0"/>
    <x v="0"/>
    <x v="1"/>
    <x v="0"/>
    <x v="0"/>
    <x v="0"/>
    <x v="0"/>
  </r>
  <r>
    <x v="5"/>
    <x v="5"/>
    <x v="9"/>
    <x v="2"/>
    <x v="3"/>
    <x v="2"/>
    <x v="2"/>
    <x v="0"/>
    <x v="0"/>
    <x v="1"/>
    <x v="0"/>
    <x v="0"/>
    <x v="1"/>
    <x v="0"/>
    <x v="0"/>
    <x v="0"/>
    <x v="0"/>
  </r>
  <r>
    <x v="6"/>
    <x v="6"/>
    <x v="10"/>
    <x v="0"/>
    <x v="0"/>
    <x v="0"/>
    <x v="0"/>
    <x v="0"/>
    <x v="0"/>
    <x v="0"/>
    <x v="0"/>
    <x v="0"/>
    <x v="0"/>
    <x v="0"/>
    <x v="0"/>
    <x v="0"/>
    <x v="0"/>
  </r>
  <r>
    <x v="3"/>
    <x v="3"/>
    <x v="11"/>
    <x v="3"/>
    <x v="5"/>
    <x v="4"/>
    <x v="5"/>
    <x v="0"/>
    <x v="0"/>
    <x v="1"/>
    <x v="0"/>
    <x v="0"/>
    <x v="1"/>
    <x v="0"/>
    <x v="0"/>
    <x v="0"/>
    <x v="0"/>
  </r>
  <r>
    <x v="2"/>
    <x v="2"/>
    <x v="12"/>
    <x v="0"/>
    <x v="0"/>
    <x v="0"/>
    <x v="0"/>
    <x v="0"/>
    <x v="0"/>
    <x v="0"/>
    <x v="0"/>
    <x v="0"/>
    <x v="0"/>
    <x v="0"/>
    <x v="0"/>
    <x v="0"/>
    <x v="0"/>
  </r>
  <r>
    <x v="7"/>
    <x v="7"/>
    <x v="13"/>
    <x v="2"/>
    <x v="6"/>
    <x v="2"/>
    <x v="2"/>
    <x v="0"/>
    <x v="0"/>
    <x v="1"/>
    <x v="0"/>
    <x v="0"/>
    <x v="1"/>
    <x v="0"/>
    <x v="0"/>
    <x v="0"/>
    <x v="0"/>
  </r>
  <r>
    <x v="8"/>
    <x v="8"/>
    <x v="14"/>
    <x v="0"/>
    <x v="0"/>
    <x v="0"/>
    <x v="0"/>
    <x v="0"/>
    <x v="0"/>
    <x v="0"/>
    <x v="0"/>
    <x v="0"/>
    <x v="0"/>
    <x v="0"/>
    <x v="0"/>
    <x v="0"/>
    <x v="0"/>
  </r>
  <r>
    <x v="9"/>
    <x v="9"/>
    <x v="15"/>
    <x v="0"/>
    <x v="0"/>
    <x v="0"/>
    <x v="0"/>
    <x v="0"/>
    <x v="0"/>
    <x v="0"/>
    <x v="0"/>
    <x v="0"/>
    <x v="0"/>
    <x v="0"/>
    <x v="0"/>
    <x v="0"/>
    <x v="0"/>
  </r>
  <r>
    <x v="10"/>
    <x v="10"/>
    <x v="16"/>
    <x v="3"/>
    <x v="7"/>
    <x v="5"/>
    <x v="2"/>
    <x v="0"/>
    <x v="0"/>
    <x v="1"/>
    <x v="0"/>
    <x v="0"/>
    <x v="1"/>
    <x v="0"/>
    <x v="0"/>
    <x v="0"/>
    <x v="0"/>
  </r>
  <r>
    <x v="10"/>
    <x v="10"/>
    <x v="12"/>
    <x v="0"/>
    <x v="0"/>
    <x v="0"/>
    <x v="0"/>
    <x v="0"/>
    <x v="0"/>
    <x v="0"/>
    <x v="0"/>
    <x v="0"/>
    <x v="0"/>
    <x v="0"/>
    <x v="0"/>
    <x v="0"/>
    <x v="0"/>
  </r>
  <r>
    <x v="10"/>
    <x v="10"/>
    <x v="17"/>
    <x v="5"/>
    <x v="8"/>
    <x v="6"/>
    <x v="6"/>
    <x v="0"/>
    <x v="0"/>
    <x v="1"/>
    <x v="0"/>
    <x v="0"/>
    <x v="1"/>
    <x v="0"/>
    <x v="0"/>
    <x v="0"/>
    <x v="0"/>
  </r>
  <r>
    <x v="1"/>
    <x v="1"/>
    <x v="18"/>
    <x v="0"/>
    <x v="9"/>
    <x v="0"/>
    <x v="0"/>
    <x v="0"/>
    <x v="0"/>
    <x v="0"/>
    <x v="0"/>
    <x v="0"/>
    <x v="0"/>
    <x v="0"/>
    <x v="0"/>
    <x v="0"/>
    <x v="0"/>
  </r>
  <r>
    <x v="4"/>
    <x v="4"/>
    <x v="19"/>
    <x v="2"/>
    <x v="10"/>
    <x v="7"/>
    <x v="7"/>
    <x v="0"/>
    <x v="0"/>
    <x v="1"/>
    <x v="0"/>
    <x v="0"/>
    <x v="1"/>
    <x v="0"/>
    <x v="0"/>
    <x v="0"/>
    <x v="0"/>
  </r>
  <r>
    <x v="11"/>
    <x v="11"/>
    <x v="20"/>
    <x v="0"/>
    <x v="0"/>
    <x v="0"/>
    <x v="0"/>
    <x v="0"/>
    <x v="0"/>
    <x v="0"/>
    <x v="0"/>
    <x v="0"/>
    <x v="0"/>
    <x v="0"/>
    <x v="0"/>
    <x v="0"/>
    <x v="0"/>
  </r>
  <r>
    <x v="12"/>
    <x v="12"/>
    <x v="21"/>
    <x v="4"/>
    <x v="11"/>
    <x v="8"/>
    <x v="8"/>
    <x v="0"/>
    <x v="0"/>
    <x v="1"/>
    <x v="0"/>
    <x v="0"/>
    <x v="1"/>
    <x v="0"/>
    <x v="0"/>
    <x v="0"/>
    <x v="0"/>
  </r>
  <r>
    <x v="11"/>
    <x v="11"/>
    <x v="22"/>
    <x v="6"/>
    <x v="12"/>
    <x v="9"/>
    <x v="9"/>
    <x v="1"/>
    <x v="1"/>
    <x v="2"/>
    <x v="1"/>
    <x v="1"/>
    <x v="2"/>
    <x v="1"/>
    <x v="1"/>
    <x v="1"/>
    <x v="1"/>
  </r>
  <r>
    <x v="11"/>
    <x v="11"/>
    <x v="23"/>
    <x v="0"/>
    <x v="0"/>
    <x v="0"/>
    <x v="0"/>
    <x v="0"/>
    <x v="0"/>
    <x v="0"/>
    <x v="0"/>
    <x v="0"/>
    <x v="0"/>
    <x v="0"/>
    <x v="0"/>
    <x v="0"/>
    <x v="0"/>
  </r>
  <r>
    <x v="13"/>
    <x v="13"/>
    <x v="24"/>
    <x v="0"/>
    <x v="0"/>
    <x v="0"/>
    <x v="0"/>
    <x v="0"/>
    <x v="0"/>
    <x v="0"/>
    <x v="0"/>
    <x v="0"/>
    <x v="0"/>
    <x v="0"/>
    <x v="0"/>
    <x v="0"/>
    <x v="0"/>
  </r>
  <r>
    <x v="12"/>
    <x v="12"/>
    <x v="25"/>
    <x v="2"/>
    <x v="13"/>
    <x v="10"/>
    <x v="10"/>
    <x v="0"/>
    <x v="0"/>
    <x v="1"/>
    <x v="0"/>
    <x v="0"/>
    <x v="1"/>
    <x v="0"/>
    <x v="0"/>
    <x v="0"/>
    <x v="0"/>
  </r>
  <r>
    <x v="14"/>
    <x v="14"/>
    <x v="26"/>
    <x v="1"/>
    <x v="14"/>
    <x v="11"/>
    <x v="11"/>
    <x v="0"/>
    <x v="0"/>
    <x v="1"/>
    <x v="0"/>
    <x v="0"/>
    <x v="1"/>
    <x v="0"/>
    <x v="0"/>
    <x v="0"/>
    <x v="0"/>
  </r>
  <r>
    <x v="15"/>
    <x v="15"/>
    <x v="27"/>
    <x v="7"/>
    <x v="15"/>
    <x v="12"/>
    <x v="12"/>
    <x v="0"/>
    <x v="0"/>
    <x v="1"/>
    <x v="0"/>
    <x v="0"/>
    <x v="1"/>
    <x v="0"/>
    <x v="0"/>
    <x v="0"/>
    <x v="0"/>
  </r>
  <r>
    <x v="14"/>
    <x v="14"/>
    <x v="28"/>
    <x v="8"/>
    <x v="16"/>
    <x v="13"/>
    <x v="13"/>
    <x v="2"/>
    <x v="2"/>
    <x v="3"/>
    <x v="2"/>
    <x v="2"/>
    <x v="3"/>
    <x v="1"/>
    <x v="0"/>
    <x v="2"/>
    <x v="0"/>
  </r>
  <r>
    <x v="16"/>
    <x v="16"/>
    <x v="29"/>
    <x v="9"/>
    <x v="17"/>
    <x v="14"/>
    <x v="14"/>
    <x v="3"/>
    <x v="3"/>
    <x v="4"/>
    <x v="3"/>
    <x v="3"/>
    <x v="4"/>
    <x v="2"/>
    <x v="0"/>
    <x v="3"/>
    <x v="0"/>
  </r>
  <r>
    <x v="16"/>
    <x v="16"/>
    <x v="30"/>
    <x v="3"/>
    <x v="18"/>
    <x v="15"/>
    <x v="15"/>
    <x v="0"/>
    <x v="0"/>
    <x v="1"/>
    <x v="0"/>
    <x v="0"/>
    <x v="1"/>
    <x v="0"/>
    <x v="0"/>
    <x v="0"/>
    <x v="0"/>
  </r>
  <r>
    <x v="13"/>
    <x v="13"/>
    <x v="31"/>
    <x v="10"/>
    <x v="19"/>
    <x v="16"/>
    <x v="16"/>
    <x v="4"/>
    <x v="4"/>
    <x v="5"/>
    <x v="1"/>
    <x v="3"/>
    <x v="5"/>
    <x v="2"/>
    <x v="0"/>
    <x v="4"/>
    <x v="0"/>
  </r>
  <r>
    <x v="16"/>
    <x v="16"/>
    <x v="32"/>
    <x v="11"/>
    <x v="20"/>
    <x v="17"/>
    <x v="17"/>
    <x v="0"/>
    <x v="0"/>
    <x v="1"/>
    <x v="0"/>
    <x v="0"/>
    <x v="1"/>
    <x v="0"/>
    <x v="0"/>
    <x v="0"/>
    <x v="0"/>
  </r>
  <r>
    <x v="17"/>
    <x v="17"/>
    <x v="33"/>
    <x v="12"/>
    <x v="21"/>
    <x v="18"/>
    <x v="18"/>
    <x v="5"/>
    <x v="5"/>
    <x v="6"/>
    <x v="2"/>
    <x v="2"/>
    <x v="6"/>
    <x v="1"/>
    <x v="0"/>
    <x v="5"/>
    <x v="0"/>
  </r>
  <r>
    <x v="18"/>
    <x v="18"/>
    <x v="34"/>
    <x v="0"/>
    <x v="0"/>
    <x v="0"/>
    <x v="0"/>
    <x v="0"/>
    <x v="0"/>
    <x v="0"/>
    <x v="0"/>
    <x v="0"/>
    <x v="0"/>
    <x v="0"/>
    <x v="0"/>
    <x v="0"/>
    <x v="0"/>
  </r>
  <r>
    <x v="13"/>
    <x v="13"/>
    <x v="35"/>
    <x v="2"/>
    <x v="22"/>
    <x v="6"/>
    <x v="19"/>
    <x v="0"/>
    <x v="0"/>
    <x v="1"/>
    <x v="0"/>
    <x v="0"/>
    <x v="1"/>
    <x v="0"/>
    <x v="0"/>
    <x v="0"/>
    <x v="0"/>
  </r>
  <r>
    <x v="19"/>
    <x v="19"/>
    <x v="36"/>
    <x v="3"/>
    <x v="23"/>
    <x v="19"/>
    <x v="6"/>
    <x v="0"/>
    <x v="0"/>
    <x v="1"/>
    <x v="0"/>
    <x v="0"/>
    <x v="1"/>
    <x v="0"/>
    <x v="0"/>
    <x v="0"/>
    <x v="0"/>
  </r>
  <r>
    <x v="20"/>
    <x v="20"/>
    <x v="37"/>
    <x v="1"/>
    <x v="24"/>
    <x v="20"/>
    <x v="20"/>
    <x v="0"/>
    <x v="0"/>
    <x v="1"/>
    <x v="0"/>
    <x v="0"/>
    <x v="1"/>
    <x v="0"/>
    <x v="0"/>
    <x v="0"/>
    <x v="0"/>
  </r>
  <r>
    <x v="17"/>
    <x v="17"/>
    <x v="38"/>
    <x v="13"/>
    <x v="25"/>
    <x v="21"/>
    <x v="21"/>
    <x v="0"/>
    <x v="0"/>
    <x v="1"/>
    <x v="0"/>
    <x v="0"/>
    <x v="1"/>
    <x v="0"/>
    <x v="0"/>
    <x v="0"/>
    <x v="0"/>
  </r>
  <r>
    <x v="12"/>
    <x v="12"/>
    <x v="39"/>
    <x v="0"/>
    <x v="0"/>
    <x v="0"/>
    <x v="0"/>
    <x v="0"/>
    <x v="0"/>
    <x v="0"/>
    <x v="0"/>
    <x v="0"/>
    <x v="0"/>
    <x v="0"/>
    <x v="0"/>
    <x v="0"/>
    <x v="0"/>
  </r>
  <r>
    <x v="21"/>
    <x v="21"/>
    <x v="40"/>
    <x v="2"/>
    <x v="26"/>
    <x v="22"/>
    <x v="22"/>
    <x v="0"/>
    <x v="0"/>
    <x v="1"/>
    <x v="0"/>
    <x v="0"/>
    <x v="1"/>
    <x v="0"/>
    <x v="0"/>
    <x v="0"/>
    <x v="0"/>
  </r>
  <r>
    <x v="22"/>
    <x v="22"/>
    <x v="41"/>
    <x v="0"/>
    <x v="0"/>
    <x v="0"/>
    <x v="0"/>
    <x v="0"/>
    <x v="0"/>
    <x v="0"/>
    <x v="0"/>
    <x v="0"/>
    <x v="0"/>
    <x v="0"/>
    <x v="0"/>
    <x v="0"/>
    <x v="0"/>
  </r>
  <r>
    <x v="23"/>
    <x v="23"/>
    <x v="42"/>
    <x v="0"/>
    <x v="0"/>
    <x v="0"/>
    <x v="0"/>
    <x v="0"/>
    <x v="0"/>
    <x v="0"/>
    <x v="0"/>
    <x v="0"/>
    <x v="0"/>
    <x v="0"/>
    <x v="0"/>
    <x v="0"/>
    <x v="0"/>
  </r>
  <r>
    <x v="24"/>
    <x v="24"/>
    <x v="43"/>
    <x v="14"/>
    <x v="27"/>
    <x v="23"/>
    <x v="23"/>
    <x v="0"/>
    <x v="0"/>
    <x v="1"/>
    <x v="0"/>
    <x v="0"/>
    <x v="1"/>
    <x v="0"/>
    <x v="0"/>
    <x v="0"/>
    <x v="0"/>
  </r>
  <r>
    <x v="25"/>
    <x v="25"/>
    <x v="44"/>
    <x v="0"/>
    <x v="0"/>
    <x v="0"/>
    <x v="0"/>
    <x v="0"/>
    <x v="0"/>
    <x v="0"/>
    <x v="0"/>
    <x v="0"/>
    <x v="0"/>
    <x v="0"/>
    <x v="0"/>
    <x v="0"/>
    <x v="0"/>
  </r>
  <r>
    <x v="13"/>
    <x v="13"/>
    <x v="45"/>
    <x v="2"/>
    <x v="28"/>
    <x v="24"/>
    <x v="24"/>
    <x v="6"/>
    <x v="6"/>
    <x v="7"/>
    <x v="2"/>
    <x v="2"/>
    <x v="7"/>
    <x v="1"/>
    <x v="0"/>
    <x v="1"/>
    <x v="0"/>
  </r>
  <r>
    <x v="11"/>
    <x v="11"/>
    <x v="46"/>
    <x v="0"/>
    <x v="0"/>
    <x v="0"/>
    <x v="0"/>
    <x v="0"/>
    <x v="0"/>
    <x v="0"/>
    <x v="0"/>
    <x v="0"/>
    <x v="0"/>
    <x v="0"/>
    <x v="0"/>
    <x v="0"/>
    <x v="0"/>
  </r>
  <r>
    <x v="25"/>
    <x v="25"/>
    <x v="47"/>
    <x v="5"/>
    <x v="29"/>
    <x v="25"/>
    <x v="25"/>
    <x v="0"/>
    <x v="0"/>
    <x v="1"/>
    <x v="0"/>
    <x v="0"/>
    <x v="1"/>
    <x v="0"/>
    <x v="0"/>
    <x v="0"/>
    <x v="0"/>
  </r>
  <r>
    <x v="26"/>
    <x v="26"/>
    <x v="48"/>
    <x v="2"/>
    <x v="30"/>
    <x v="26"/>
    <x v="26"/>
    <x v="0"/>
    <x v="0"/>
    <x v="1"/>
    <x v="0"/>
    <x v="0"/>
    <x v="1"/>
    <x v="0"/>
    <x v="0"/>
    <x v="0"/>
    <x v="0"/>
  </r>
  <r>
    <x v="14"/>
    <x v="14"/>
    <x v="49"/>
    <x v="15"/>
    <x v="31"/>
    <x v="27"/>
    <x v="27"/>
    <x v="0"/>
    <x v="0"/>
    <x v="1"/>
    <x v="0"/>
    <x v="0"/>
    <x v="1"/>
    <x v="0"/>
    <x v="0"/>
    <x v="0"/>
    <x v="0"/>
  </r>
  <r>
    <x v="26"/>
    <x v="26"/>
    <x v="50"/>
    <x v="0"/>
    <x v="0"/>
    <x v="0"/>
    <x v="0"/>
    <x v="0"/>
    <x v="0"/>
    <x v="0"/>
    <x v="0"/>
    <x v="0"/>
    <x v="0"/>
    <x v="0"/>
    <x v="0"/>
    <x v="0"/>
    <x v="0"/>
  </r>
  <r>
    <x v="17"/>
    <x v="17"/>
    <x v="12"/>
    <x v="0"/>
    <x v="0"/>
    <x v="0"/>
    <x v="0"/>
    <x v="0"/>
    <x v="0"/>
    <x v="0"/>
    <x v="0"/>
    <x v="0"/>
    <x v="0"/>
    <x v="0"/>
    <x v="0"/>
    <x v="0"/>
    <x v="0"/>
  </r>
  <r>
    <x v="27"/>
    <x v="27"/>
    <x v="51"/>
    <x v="0"/>
    <x v="0"/>
    <x v="0"/>
    <x v="0"/>
    <x v="0"/>
    <x v="0"/>
    <x v="0"/>
    <x v="0"/>
    <x v="0"/>
    <x v="0"/>
    <x v="0"/>
    <x v="0"/>
    <x v="0"/>
    <x v="0"/>
  </r>
  <r>
    <x v="28"/>
    <x v="28"/>
    <x v="52"/>
    <x v="0"/>
    <x v="0"/>
    <x v="0"/>
    <x v="0"/>
    <x v="0"/>
    <x v="0"/>
    <x v="0"/>
    <x v="0"/>
    <x v="0"/>
    <x v="0"/>
    <x v="0"/>
    <x v="0"/>
    <x v="0"/>
    <x v="0"/>
  </r>
  <r>
    <x v="27"/>
    <x v="27"/>
    <x v="42"/>
    <x v="0"/>
    <x v="0"/>
    <x v="0"/>
    <x v="0"/>
    <x v="0"/>
    <x v="0"/>
    <x v="0"/>
    <x v="0"/>
    <x v="0"/>
    <x v="0"/>
    <x v="0"/>
    <x v="0"/>
    <x v="0"/>
    <x v="0"/>
  </r>
  <r>
    <x v="28"/>
    <x v="28"/>
    <x v="53"/>
    <x v="0"/>
    <x v="0"/>
    <x v="0"/>
    <x v="0"/>
    <x v="0"/>
    <x v="0"/>
    <x v="0"/>
    <x v="0"/>
    <x v="0"/>
    <x v="0"/>
    <x v="0"/>
    <x v="0"/>
    <x v="0"/>
    <x v="0"/>
  </r>
  <r>
    <x v="29"/>
    <x v="29"/>
    <x v="54"/>
    <x v="16"/>
    <x v="9"/>
    <x v="0"/>
    <x v="28"/>
    <x v="7"/>
    <x v="0"/>
    <x v="0"/>
    <x v="4"/>
    <x v="4"/>
    <x v="0"/>
    <x v="3"/>
    <x v="2"/>
    <x v="6"/>
    <x v="2"/>
  </r>
</pivotCacheRecords>
</file>

<file path=xl/pivotCache/pivotCacheRecords32.xml><?xml version="1.0" encoding="utf-8"?>
<pivotCacheRecords xmlns="http://schemas.openxmlformats.org/spreadsheetml/2006/main" xmlns:r="http://schemas.openxmlformats.org/officeDocument/2006/relationships" count="60">
  <r>
    <x v="0"/>
    <x v="0"/>
    <x v="0"/>
    <x v="0"/>
    <x v="0"/>
    <x v="0"/>
    <x v="0"/>
    <x v="0"/>
    <x v="0"/>
    <x v="0"/>
    <x v="0"/>
    <x v="0"/>
    <x v="0"/>
    <x v="0"/>
    <x v="0"/>
    <x v="0"/>
    <x v="0"/>
  </r>
  <r>
    <x v="1"/>
    <x v="1"/>
    <x v="1"/>
    <x v="1"/>
    <x v="1"/>
    <x v="1"/>
    <x v="1"/>
    <x v="0"/>
    <x v="0"/>
    <x v="1"/>
    <x v="0"/>
    <x v="0"/>
    <x v="1"/>
    <x v="0"/>
    <x v="0"/>
    <x v="0"/>
    <x v="0"/>
  </r>
  <r>
    <x v="2"/>
    <x v="2"/>
    <x v="2"/>
    <x v="0"/>
    <x v="0"/>
    <x v="0"/>
    <x v="0"/>
    <x v="0"/>
    <x v="0"/>
    <x v="0"/>
    <x v="0"/>
    <x v="0"/>
    <x v="0"/>
    <x v="0"/>
    <x v="0"/>
    <x v="0"/>
    <x v="0"/>
  </r>
  <r>
    <x v="1"/>
    <x v="1"/>
    <x v="3"/>
    <x v="2"/>
    <x v="2"/>
    <x v="2"/>
    <x v="2"/>
    <x v="0"/>
    <x v="0"/>
    <x v="1"/>
    <x v="0"/>
    <x v="0"/>
    <x v="1"/>
    <x v="0"/>
    <x v="0"/>
    <x v="0"/>
    <x v="0"/>
  </r>
  <r>
    <x v="3"/>
    <x v="3"/>
    <x v="4"/>
    <x v="0"/>
    <x v="0"/>
    <x v="0"/>
    <x v="0"/>
    <x v="0"/>
    <x v="0"/>
    <x v="0"/>
    <x v="0"/>
    <x v="0"/>
    <x v="0"/>
    <x v="0"/>
    <x v="0"/>
    <x v="0"/>
    <x v="0"/>
  </r>
  <r>
    <x v="4"/>
    <x v="4"/>
    <x v="5"/>
    <x v="3"/>
    <x v="3"/>
    <x v="3"/>
    <x v="3"/>
    <x v="0"/>
    <x v="0"/>
    <x v="1"/>
    <x v="0"/>
    <x v="0"/>
    <x v="1"/>
    <x v="0"/>
    <x v="0"/>
    <x v="0"/>
    <x v="0"/>
  </r>
  <r>
    <x v="5"/>
    <x v="5"/>
    <x v="6"/>
    <x v="3"/>
    <x v="4"/>
    <x v="4"/>
    <x v="4"/>
    <x v="0"/>
    <x v="0"/>
    <x v="1"/>
    <x v="0"/>
    <x v="0"/>
    <x v="1"/>
    <x v="0"/>
    <x v="0"/>
    <x v="0"/>
    <x v="0"/>
  </r>
  <r>
    <x v="4"/>
    <x v="4"/>
    <x v="7"/>
    <x v="0"/>
    <x v="0"/>
    <x v="0"/>
    <x v="0"/>
    <x v="0"/>
    <x v="0"/>
    <x v="0"/>
    <x v="0"/>
    <x v="0"/>
    <x v="0"/>
    <x v="0"/>
    <x v="0"/>
    <x v="0"/>
    <x v="0"/>
  </r>
  <r>
    <x v="5"/>
    <x v="5"/>
    <x v="8"/>
    <x v="4"/>
    <x v="5"/>
    <x v="5"/>
    <x v="5"/>
    <x v="0"/>
    <x v="0"/>
    <x v="1"/>
    <x v="0"/>
    <x v="0"/>
    <x v="1"/>
    <x v="0"/>
    <x v="0"/>
    <x v="0"/>
    <x v="0"/>
  </r>
  <r>
    <x v="5"/>
    <x v="5"/>
    <x v="9"/>
    <x v="5"/>
    <x v="6"/>
    <x v="4"/>
    <x v="6"/>
    <x v="0"/>
    <x v="0"/>
    <x v="1"/>
    <x v="0"/>
    <x v="0"/>
    <x v="1"/>
    <x v="0"/>
    <x v="0"/>
    <x v="0"/>
    <x v="0"/>
  </r>
  <r>
    <x v="6"/>
    <x v="6"/>
    <x v="10"/>
    <x v="5"/>
    <x v="7"/>
    <x v="4"/>
    <x v="6"/>
    <x v="0"/>
    <x v="0"/>
    <x v="1"/>
    <x v="0"/>
    <x v="0"/>
    <x v="1"/>
    <x v="0"/>
    <x v="0"/>
    <x v="0"/>
    <x v="0"/>
  </r>
  <r>
    <x v="3"/>
    <x v="3"/>
    <x v="11"/>
    <x v="3"/>
    <x v="8"/>
    <x v="6"/>
    <x v="7"/>
    <x v="0"/>
    <x v="0"/>
    <x v="1"/>
    <x v="0"/>
    <x v="0"/>
    <x v="1"/>
    <x v="0"/>
    <x v="0"/>
    <x v="0"/>
    <x v="0"/>
  </r>
  <r>
    <x v="2"/>
    <x v="2"/>
    <x v="0"/>
    <x v="0"/>
    <x v="0"/>
    <x v="0"/>
    <x v="0"/>
    <x v="0"/>
    <x v="0"/>
    <x v="0"/>
    <x v="0"/>
    <x v="0"/>
    <x v="0"/>
    <x v="0"/>
    <x v="0"/>
    <x v="0"/>
    <x v="0"/>
  </r>
  <r>
    <x v="7"/>
    <x v="7"/>
    <x v="12"/>
    <x v="5"/>
    <x v="9"/>
    <x v="4"/>
    <x v="6"/>
    <x v="0"/>
    <x v="0"/>
    <x v="1"/>
    <x v="0"/>
    <x v="0"/>
    <x v="1"/>
    <x v="0"/>
    <x v="0"/>
    <x v="0"/>
    <x v="0"/>
  </r>
  <r>
    <x v="8"/>
    <x v="8"/>
    <x v="13"/>
    <x v="0"/>
    <x v="0"/>
    <x v="0"/>
    <x v="0"/>
    <x v="0"/>
    <x v="0"/>
    <x v="0"/>
    <x v="0"/>
    <x v="0"/>
    <x v="0"/>
    <x v="0"/>
    <x v="0"/>
    <x v="0"/>
    <x v="0"/>
  </r>
  <r>
    <x v="9"/>
    <x v="9"/>
    <x v="14"/>
    <x v="0"/>
    <x v="0"/>
    <x v="0"/>
    <x v="0"/>
    <x v="0"/>
    <x v="0"/>
    <x v="0"/>
    <x v="0"/>
    <x v="0"/>
    <x v="0"/>
    <x v="0"/>
    <x v="0"/>
    <x v="0"/>
    <x v="0"/>
  </r>
  <r>
    <x v="10"/>
    <x v="10"/>
    <x v="10"/>
    <x v="6"/>
    <x v="10"/>
    <x v="7"/>
    <x v="4"/>
    <x v="0"/>
    <x v="0"/>
    <x v="1"/>
    <x v="0"/>
    <x v="0"/>
    <x v="1"/>
    <x v="0"/>
    <x v="0"/>
    <x v="0"/>
    <x v="0"/>
  </r>
  <r>
    <x v="10"/>
    <x v="10"/>
    <x v="15"/>
    <x v="0"/>
    <x v="0"/>
    <x v="0"/>
    <x v="0"/>
    <x v="0"/>
    <x v="0"/>
    <x v="0"/>
    <x v="0"/>
    <x v="0"/>
    <x v="0"/>
    <x v="0"/>
    <x v="0"/>
    <x v="0"/>
    <x v="0"/>
  </r>
  <r>
    <x v="10"/>
    <x v="10"/>
    <x v="16"/>
    <x v="7"/>
    <x v="11"/>
    <x v="3"/>
    <x v="8"/>
    <x v="1"/>
    <x v="1"/>
    <x v="2"/>
    <x v="1"/>
    <x v="1"/>
    <x v="2"/>
    <x v="1"/>
    <x v="0"/>
    <x v="1"/>
    <x v="0"/>
  </r>
  <r>
    <x v="1"/>
    <x v="1"/>
    <x v="17"/>
    <x v="0"/>
    <x v="0"/>
    <x v="0"/>
    <x v="0"/>
    <x v="0"/>
    <x v="0"/>
    <x v="0"/>
    <x v="0"/>
    <x v="0"/>
    <x v="0"/>
    <x v="0"/>
    <x v="0"/>
    <x v="0"/>
    <x v="0"/>
  </r>
  <r>
    <x v="4"/>
    <x v="4"/>
    <x v="18"/>
    <x v="8"/>
    <x v="12"/>
    <x v="8"/>
    <x v="9"/>
    <x v="0"/>
    <x v="0"/>
    <x v="1"/>
    <x v="0"/>
    <x v="0"/>
    <x v="1"/>
    <x v="0"/>
    <x v="0"/>
    <x v="0"/>
    <x v="0"/>
  </r>
  <r>
    <x v="11"/>
    <x v="11"/>
    <x v="19"/>
    <x v="3"/>
    <x v="13"/>
    <x v="9"/>
    <x v="10"/>
    <x v="0"/>
    <x v="0"/>
    <x v="1"/>
    <x v="0"/>
    <x v="0"/>
    <x v="1"/>
    <x v="0"/>
    <x v="0"/>
    <x v="0"/>
    <x v="0"/>
  </r>
  <r>
    <x v="12"/>
    <x v="12"/>
    <x v="20"/>
    <x v="2"/>
    <x v="14"/>
    <x v="10"/>
    <x v="11"/>
    <x v="0"/>
    <x v="0"/>
    <x v="1"/>
    <x v="0"/>
    <x v="0"/>
    <x v="1"/>
    <x v="0"/>
    <x v="0"/>
    <x v="0"/>
    <x v="0"/>
  </r>
  <r>
    <x v="11"/>
    <x v="11"/>
    <x v="21"/>
    <x v="9"/>
    <x v="15"/>
    <x v="11"/>
    <x v="12"/>
    <x v="2"/>
    <x v="2"/>
    <x v="3"/>
    <x v="2"/>
    <x v="2"/>
    <x v="3"/>
    <x v="2"/>
    <x v="1"/>
    <x v="2"/>
    <x v="1"/>
  </r>
  <r>
    <x v="11"/>
    <x v="11"/>
    <x v="22"/>
    <x v="3"/>
    <x v="16"/>
    <x v="12"/>
    <x v="13"/>
    <x v="0"/>
    <x v="0"/>
    <x v="1"/>
    <x v="0"/>
    <x v="0"/>
    <x v="1"/>
    <x v="0"/>
    <x v="0"/>
    <x v="0"/>
    <x v="0"/>
  </r>
  <r>
    <x v="13"/>
    <x v="13"/>
    <x v="23"/>
    <x v="0"/>
    <x v="0"/>
    <x v="0"/>
    <x v="0"/>
    <x v="0"/>
    <x v="0"/>
    <x v="0"/>
    <x v="0"/>
    <x v="0"/>
    <x v="0"/>
    <x v="0"/>
    <x v="0"/>
    <x v="0"/>
    <x v="0"/>
  </r>
  <r>
    <x v="12"/>
    <x v="12"/>
    <x v="24"/>
    <x v="5"/>
    <x v="17"/>
    <x v="13"/>
    <x v="13"/>
    <x v="0"/>
    <x v="0"/>
    <x v="1"/>
    <x v="0"/>
    <x v="0"/>
    <x v="1"/>
    <x v="0"/>
    <x v="0"/>
    <x v="0"/>
    <x v="0"/>
  </r>
  <r>
    <x v="14"/>
    <x v="14"/>
    <x v="25"/>
    <x v="7"/>
    <x v="18"/>
    <x v="14"/>
    <x v="14"/>
    <x v="0"/>
    <x v="0"/>
    <x v="1"/>
    <x v="0"/>
    <x v="0"/>
    <x v="1"/>
    <x v="0"/>
    <x v="0"/>
    <x v="0"/>
    <x v="0"/>
  </r>
  <r>
    <x v="15"/>
    <x v="15"/>
    <x v="26"/>
    <x v="10"/>
    <x v="19"/>
    <x v="15"/>
    <x v="15"/>
    <x v="3"/>
    <x v="3"/>
    <x v="4"/>
    <x v="1"/>
    <x v="1"/>
    <x v="4"/>
    <x v="0"/>
    <x v="1"/>
    <x v="0"/>
    <x v="2"/>
  </r>
  <r>
    <x v="14"/>
    <x v="14"/>
    <x v="27"/>
    <x v="11"/>
    <x v="20"/>
    <x v="16"/>
    <x v="16"/>
    <x v="3"/>
    <x v="4"/>
    <x v="5"/>
    <x v="1"/>
    <x v="1"/>
    <x v="5"/>
    <x v="1"/>
    <x v="0"/>
    <x v="3"/>
    <x v="0"/>
  </r>
  <r>
    <x v="16"/>
    <x v="16"/>
    <x v="28"/>
    <x v="0"/>
    <x v="21"/>
    <x v="0"/>
    <x v="0"/>
    <x v="0"/>
    <x v="0"/>
    <x v="0"/>
    <x v="0"/>
    <x v="0"/>
    <x v="0"/>
    <x v="0"/>
    <x v="0"/>
    <x v="0"/>
    <x v="0"/>
  </r>
  <r>
    <x v="17"/>
    <x v="17"/>
    <x v="29"/>
    <x v="12"/>
    <x v="22"/>
    <x v="17"/>
    <x v="17"/>
    <x v="4"/>
    <x v="5"/>
    <x v="6"/>
    <x v="3"/>
    <x v="3"/>
    <x v="6"/>
    <x v="3"/>
    <x v="0"/>
    <x v="4"/>
    <x v="0"/>
  </r>
  <r>
    <x v="17"/>
    <x v="17"/>
    <x v="30"/>
    <x v="1"/>
    <x v="23"/>
    <x v="18"/>
    <x v="18"/>
    <x v="0"/>
    <x v="0"/>
    <x v="1"/>
    <x v="0"/>
    <x v="0"/>
    <x v="1"/>
    <x v="0"/>
    <x v="0"/>
    <x v="0"/>
    <x v="0"/>
  </r>
  <r>
    <x v="13"/>
    <x v="13"/>
    <x v="31"/>
    <x v="13"/>
    <x v="24"/>
    <x v="19"/>
    <x v="19"/>
    <x v="5"/>
    <x v="6"/>
    <x v="7"/>
    <x v="4"/>
    <x v="4"/>
    <x v="6"/>
    <x v="2"/>
    <x v="0"/>
    <x v="5"/>
    <x v="0"/>
  </r>
  <r>
    <x v="17"/>
    <x v="17"/>
    <x v="32"/>
    <x v="14"/>
    <x v="25"/>
    <x v="20"/>
    <x v="20"/>
    <x v="0"/>
    <x v="0"/>
    <x v="1"/>
    <x v="0"/>
    <x v="0"/>
    <x v="1"/>
    <x v="0"/>
    <x v="0"/>
    <x v="0"/>
    <x v="0"/>
  </r>
  <r>
    <x v="18"/>
    <x v="18"/>
    <x v="33"/>
    <x v="15"/>
    <x v="26"/>
    <x v="21"/>
    <x v="21"/>
    <x v="6"/>
    <x v="7"/>
    <x v="8"/>
    <x v="1"/>
    <x v="1"/>
    <x v="7"/>
    <x v="1"/>
    <x v="0"/>
    <x v="6"/>
    <x v="0"/>
  </r>
  <r>
    <x v="16"/>
    <x v="16"/>
    <x v="10"/>
    <x v="0"/>
    <x v="0"/>
    <x v="0"/>
    <x v="0"/>
    <x v="0"/>
    <x v="0"/>
    <x v="0"/>
    <x v="0"/>
    <x v="0"/>
    <x v="0"/>
    <x v="0"/>
    <x v="0"/>
    <x v="0"/>
    <x v="0"/>
  </r>
  <r>
    <x v="13"/>
    <x v="13"/>
    <x v="34"/>
    <x v="3"/>
    <x v="27"/>
    <x v="22"/>
    <x v="22"/>
    <x v="0"/>
    <x v="0"/>
    <x v="1"/>
    <x v="0"/>
    <x v="0"/>
    <x v="1"/>
    <x v="0"/>
    <x v="0"/>
    <x v="0"/>
    <x v="0"/>
  </r>
  <r>
    <x v="19"/>
    <x v="19"/>
    <x v="35"/>
    <x v="16"/>
    <x v="28"/>
    <x v="23"/>
    <x v="23"/>
    <x v="7"/>
    <x v="8"/>
    <x v="9"/>
    <x v="2"/>
    <x v="4"/>
    <x v="8"/>
    <x v="2"/>
    <x v="0"/>
    <x v="2"/>
    <x v="0"/>
  </r>
  <r>
    <x v="20"/>
    <x v="20"/>
    <x v="28"/>
    <x v="0"/>
    <x v="21"/>
    <x v="0"/>
    <x v="0"/>
    <x v="0"/>
    <x v="0"/>
    <x v="0"/>
    <x v="0"/>
    <x v="0"/>
    <x v="0"/>
    <x v="0"/>
    <x v="0"/>
    <x v="0"/>
    <x v="0"/>
  </r>
  <r>
    <x v="20"/>
    <x v="20"/>
    <x v="36"/>
    <x v="17"/>
    <x v="29"/>
    <x v="24"/>
    <x v="24"/>
    <x v="0"/>
    <x v="0"/>
    <x v="1"/>
    <x v="0"/>
    <x v="0"/>
    <x v="1"/>
    <x v="0"/>
    <x v="0"/>
    <x v="0"/>
    <x v="0"/>
  </r>
  <r>
    <x v="18"/>
    <x v="18"/>
    <x v="37"/>
    <x v="7"/>
    <x v="30"/>
    <x v="25"/>
    <x v="25"/>
    <x v="0"/>
    <x v="0"/>
    <x v="1"/>
    <x v="0"/>
    <x v="0"/>
    <x v="1"/>
    <x v="0"/>
    <x v="0"/>
    <x v="0"/>
    <x v="0"/>
  </r>
  <r>
    <x v="12"/>
    <x v="12"/>
    <x v="38"/>
    <x v="0"/>
    <x v="0"/>
    <x v="0"/>
    <x v="0"/>
    <x v="0"/>
    <x v="0"/>
    <x v="0"/>
    <x v="0"/>
    <x v="0"/>
    <x v="0"/>
    <x v="0"/>
    <x v="0"/>
    <x v="0"/>
    <x v="0"/>
  </r>
  <r>
    <x v="21"/>
    <x v="21"/>
    <x v="39"/>
    <x v="5"/>
    <x v="31"/>
    <x v="26"/>
    <x v="26"/>
    <x v="0"/>
    <x v="0"/>
    <x v="1"/>
    <x v="0"/>
    <x v="0"/>
    <x v="1"/>
    <x v="0"/>
    <x v="0"/>
    <x v="0"/>
    <x v="0"/>
  </r>
  <r>
    <x v="22"/>
    <x v="22"/>
    <x v="40"/>
    <x v="0"/>
    <x v="0"/>
    <x v="0"/>
    <x v="0"/>
    <x v="0"/>
    <x v="0"/>
    <x v="0"/>
    <x v="0"/>
    <x v="0"/>
    <x v="0"/>
    <x v="0"/>
    <x v="0"/>
    <x v="0"/>
    <x v="0"/>
  </r>
  <r>
    <x v="23"/>
    <x v="23"/>
    <x v="41"/>
    <x v="0"/>
    <x v="0"/>
    <x v="0"/>
    <x v="0"/>
    <x v="0"/>
    <x v="0"/>
    <x v="0"/>
    <x v="0"/>
    <x v="0"/>
    <x v="0"/>
    <x v="0"/>
    <x v="0"/>
    <x v="0"/>
    <x v="0"/>
  </r>
  <r>
    <x v="24"/>
    <x v="24"/>
    <x v="42"/>
    <x v="18"/>
    <x v="32"/>
    <x v="27"/>
    <x v="27"/>
    <x v="0"/>
    <x v="0"/>
    <x v="1"/>
    <x v="0"/>
    <x v="0"/>
    <x v="1"/>
    <x v="0"/>
    <x v="0"/>
    <x v="0"/>
    <x v="0"/>
  </r>
  <r>
    <x v="25"/>
    <x v="25"/>
    <x v="43"/>
    <x v="0"/>
    <x v="0"/>
    <x v="0"/>
    <x v="0"/>
    <x v="0"/>
    <x v="0"/>
    <x v="0"/>
    <x v="0"/>
    <x v="0"/>
    <x v="0"/>
    <x v="0"/>
    <x v="0"/>
    <x v="0"/>
    <x v="0"/>
  </r>
  <r>
    <x v="13"/>
    <x v="13"/>
    <x v="44"/>
    <x v="2"/>
    <x v="33"/>
    <x v="28"/>
    <x v="28"/>
    <x v="8"/>
    <x v="9"/>
    <x v="10"/>
    <x v="5"/>
    <x v="5"/>
    <x v="9"/>
    <x v="4"/>
    <x v="0"/>
    <x v="7"/>
    <x v="0"/>
  </r>
  <r>
    <x v="11"/>
    <x v="11"/>
    <x v="45"/>
    <x v="0"/>
    <x v="0"/>
    <x v="0"/>
    <x v="0"/>
    <x v="0"/>
    <x v="0"/>
    <x v="0"/>
    <x v="0"/>
    <x v="0"/>
    <x v="0"/>
    <x v="0"/>
    <x v="0"/>
    <x v="0"/>
    <x v="0"/>
  </r>
  <r>
    <x v="25"/>
    <x v="25"/>
    <x v="46"/>
    <x v="19"/>
    <x v="34"/>
    <x v="29"/>
    <x v="29"/>
    <x v="0"/>
    <x v="0"/>
    <x v="1"/>
    <x v="0"/>
    <x v="0"/>
    <x v="1"/>
    <x v="0"/>
    <x v="0"/>
    <x v="0"/>
    <x v="0"/>
  </r>
  <r>
    <x v="26"/>
    <x v="26"/>
    <x v="47"/>
    <x v="5"/>
    <x v="35"/>
    <x v="30"/>
    <x v="30"/>
    <x v="0"/>
    <x v="0"/>
    <x v="1"/>
    <x v="0"/>
    <x v="0"/>
    <x v="1"/>
    <x v="0"/>
    <x v="0"/>
    <x v="0"/>
    <x v="0"/>
  </r>
  <r>
    <x v="14"/>
    <x v="14"/>
    <x v="48"/>
    <x v="20"/>
    <x v="36"/>
    <x v="31"/>
    <x v="31"/>
    <x v="3"/>
    <x v="10"/>
    <x v="11"/>
    <x v="1"/>
    <x v="1"/>
    <x v="10"/>
    <x v="1"/>
    <x v="0"/>
    <x v="3"/>
    <x v="0"/>
  </r>
  <r>
    <x v="26"/>
    <x v="26"/>
    <x v="49"/>
    <x v="0"/>
    <x v="0"/>
    <x v="0"/>
    <x v="0"/>
    <x v="0"/>
    <x v="0"/>
    <x v="0"/>
    <x v="0"/>
    <x v="0"/>
    <x v="0"/>
    <x v="0"/>
    <x v="0"/>
    <x v="0"/>
    <x v="0"/>
  </r>
  <r>
    <x v="18"/>
    <x v="18"/>
    <x v="17"/>
    <x v="0"/>
    <x v="0"/>
    <x v="0"/>
    <x v="0"/>
    <x v="0"/>
    <x v="0"/>
    <x v="0"/>
    <x v="0"/>
    <x v="0"/>
    <x v="0"/>
    <x v="0"/>
    <x v="0"/>
    <x v="0"/>
    <x v="0"/>
  </r>
  <r>
    <x v="27"/>
    <x v="27"/>
    <x v="50"/>
    <x v="0"/>
    <x v="0"/>
    <x v="0"/>
    <x v="0"/>
    <x v="0"/>
    <x v="0"/>
    <x v="0"/>
    <x v="0"/>
    <x v="0"/>
    <x v="0"/>
    <x v="0"/>
    <x v="0"/>
    <x v="0"/>
    <x v="0"/>
  </r>
  <r>
    <x v="28"/>
    <x v="28"/>
    <x v="51"/>
    <x v="0"/>
    <x v="0"/>
    <x v="0"/>
    <x v="0"/>
    <x v="0"/>
    <x v="0"/>
    <x v="0"/>
    <x v="0"/>
    <x v="0"/>
    <x v="0"/>
    <x v="0"/>
    <x v="0"/>
    <x v="0"/>
    <x v="0"/>
  </r>
  <r>
    <x v="27"/>
    <x v="27"/>
    <x v="41"/>
    <x v="0"/>
    <x v="0"/>
    <x v="0"/>
    <x v="0"/>
    <x v="0"/>
    <x v="0"/>
    <x v="0"/>
    <x v="0"/>
    <x v="0"/>
    <x v="0"/>
    <x v="0"/>
    <x v="0"/>
    <x v="0"/>
    <x v="0"/>
  </r>
  <r>
    <x v="28"/>
    <x v="28"/>
    <x v="52"/>
    <x v="0"/>
    <x v="0"/>
    <x v="0"/>
    <x v="0"/>
    <x v="0"/>
    <x v="0"/>
    <x v="0"/>
    <x v="0"/>
    <x v="0"/>
    <x v="0"/>
    <x v="0"/>
    <x v="0"/>
    <x v="0"/>
    <x v="0"/>
  </r>
  <r>
    <x v="29"/>
    <x v="29"/>
    <x v="53"/>
    <x v="21"/>
    <x v="21"/>
    <x v="0"/>
    <x v="32"/>
    <x v="9"/>
    <x v="0"/>
    <x v="0"/>
    <x v="6"/>
    <x v="6"/>
    <x v="0"/>
    <x v="5"/>
    <x v="2"/>
    <x v="8"/>
    <x v="3"/>
  </r>
</pivotCacheRecords>
</file>

<file path=xl/pivotCache/pivotCacheRecords33.xml><?xml version="1.0" encoding="utf-8"?>
<pivotCacheRecords xmlns="http://schemas.openxmlformats.org/spreadsheetml/2006/main" xmlns:r="http://schemas.openxmlformats.org/officeDocument/2006/relationships" count="63">
  <r>
    <x v="0"/>
    <x v="0"/>
    <x v="0"/>
    <x v="0"/>
    <x v="0"/>
    <x v="0"/>
    <x v="0"/>
    <x v="0"/>
    <x v="0"/>
    <x v="0"/>
    <x v="0"/>
    <x v="0"/>
    <x v="0"/>
    <x v="0"/>
    <x v="0"/>
    <x v="0"/>
    <x v="0"/>
  </r>
  <r>
    <x v="1"/>
    <x v="1"/>
    <x v="1"/>
    <x v="1"/>
    <x v="1"/>
    <x v="1"/>
    <x v="1"/>
    <x v="0"/>
    <x v="0"/>
    <x v="1"/>
    <x v="0"/>
    <x v="0"/>
    <x v="1"/>
    <x v="0"/>
    <x v="0"/>
    <x v="0"/>
    <x v="0"/>
  </r>
  <r>
    <x v="2"/>
    <x v="2"/>
    <x v="2"/>
    <x v="0"/>
    <x v="0"/>
    <x v="0"/>
    <x v="0"/>
    <x v="0"/>
    <x v="0"/>
    <x v="0"/>
    <x v="0"/>
    <x v="0"/>
    <x v="0"/>
    <x v="0"/>
    <x v="0"/>
    <x v="0"/>
    <x v="0"/>
  </r>
  <r>
    <x v="1"/>
    <x v="1"/>
    <x v="3"/>
    <x v="2"/>
    <x v="2"/>
    <x v="2"/>
    <x v="2"/>
    <x v="0"/>
    <x v="0"/>
    <x v="1"/>
    <x v="0"/>
    <x v="0"/>
    <x v="1"/>
    <x v="0"/>
    <x v="0"/>
    <x v="0"/>
    <x v="0"/>
  </r>
  <r>
    <x v="3"/>
    <x v="3"/>
    <x v="4"/>
    <x v="0"/>
    <x v="0"/>
    <x v="0"/>
    <x v="0"/>
    <x v="0"/>
    <x v="0"/>
    <x v="0"/>
    <x v="0"/>
    <x v="0"/>
    <x v="0"/>
    <x v="0"/>
    <x v="0"/>
    <x v="0"/>
    <x v="0"/>
  </r>
  <r>
    <x v="4"/>
    <x v="4"/>
    <x v="5"/>
    <x v="3"/>
    <x v="3"/>
    <x v="3"/>
    <x v="3"/>
    <x v="0"/>
    <x v="0"/>
    <x v="1"/>
    <x v="0"/>
    <x v="0"/>
    <x v="1"/>
    <x v="0"/>
    <x v="0"/>
    <x v="0"/>
    <x v="0"/>
  </r>
  <r>
    <x v="5"/>
    <x v="5"/>
    <x v="6"/>
    <x v="3"/>
    <x v="4"/>
    <x v="4"/>
    <x v="4"/>
    <x v="0"/>
    <x v="0"/>
    <x v="1"/>
    <x v="0"/>
    <x v="0"/>
    <x v="1"/>
    <x v="0"/>
    <x v="0"/>
    <x v="0"/>
    <x v="0"/>
  </r>
  <r>
    <x v="4"/>
    <x v="4"/>
    <x v="7"/>
    <x v="4"/>
    <x v="5"/>
    <x v="5"/>
    <x v="5"/>
    <x v="0"/>
    <x v="0"/>
    <x v="1"/>
    <x v="0"/>
    <x v="0"/>
    <x v="1"/>
    <x v="0"/>
    <x v="0"/>
    <x v="0"/>
    <x v="0"/>
  </r>
  <r>
    <x v="5"/>
    <x v="5"/>
    <x v="8"/>
    <x v="5"/>
    <x v="6"/>
    <x v="6"/>
    <x v="6"/>
    <x v="1"/>
    <x v="1"/>
    <x v="2"/>
    <x v="1"/>
    <x v="1"/>
    <x v="2"/>
    <x v="1"/>
    <x v="0"/>
    <x v="1"/>
    <x v="0"/>
  </r>
  <r>
    <x v="5"/>
    <x v="5"/>
    <x v="9"/>
    <x v="6"/>
    <x v="7"/>
    <x v="4"/>
    <x v="7"/>
    <x v="0"/>
    <x v="0"/>
    <x v="1"/>
    <x v="0"/>
    <x v="0"/>
    <x v="1"/>
    <x v="0"/>
    <x v="0"/>
    <x v="0"/>
    <x v="0"/>
  </r>
  <r>
    <x v="6"/>
    <x v="6"/>
    <x v="10"/>
    <x v="4"/>
    <x v="8"/>
    <x v="4"/>
    <x v="8"/>
    <x v="0"/>
    <x v="0"/>
    <x v="1"/>
    <x v="0"/>
    <x v="0"/>
    <x v="1"/>
    <x v="0"/>
    <x v="0"/>
    <x v="0"/>
    <x v="0"/>
  </r>
  <r>
    <x v="3"/>
    <x v="3"/>
    <x v="11"/>
    <x v="3"/>
    <x v="9"/>
    <x v="7"/>
    <x v="9"/>
    <x v="0"/>
    <x v="0"/>
    <x v="1"/>
    <x v="0"/>
    <x v="0"/>
    <x v="1"/>
    <x v="0"/>
    <x v="0"/>
    <x v="0"/>
    <x v="0"/>
  </r>
  <r>
    <x v="2"/>
    <x v="2"/>
    <x v="12"/>
    <x v="0"/>
    <x v="0"/>
    <x v="0"/>
    <x v="0"/>
    <x v="0"/>
    <x v="0"/>
    <x v="0"/>
    <x v="0"/>
    <x v="0"/>
    <x v="0"/>
    <x v="0"/>
    <x v="0"/>
    <x v="0"/>
    <x v="0"/>
  </r>
  <r>
    <x v="7"/>
    <x v="7"/>
    <x v="13"/>
    <x v="6"/>
    <x v="10"/>
    <x v="4"/>
    <x v="7"/>
    <x v="0"/>
    <x v="0"/>
    <x v="1"/>
    <x v="0"/>
    <x v="0"/>
    <x v="1"/>
    <x v="0"/>
    <x v="0"/>
    <x v="0"/>
    <x v="0"/>
  </r>
  <r>
    <x v="8"/>
    <x v="8"/>
    <x v="14"/>
    <x v="7"/>
    <x v="11"/>
    <x v="4"/>
    <x v="10"/>
    <x v="0"/>
    <x v="0"/>
    <x v="1"/>
    <x v="0"/>
    <x v="0"/>
    <x v="1"/>
    <x v="0"/>
    <x v="0"/>
    <x v="0"/>
    <x v="0"/>
  </r>
  <r>
    <x v="9"/>
    <x v="9"/>
    <x v="15"/>
    <x v="0"/>
    <x v="0"/>
    <x v="0"/>
    <x v="0"/>
    <x v="0"/>
    <x v="0"/>
    <x v="0"/>
    <x v="0"/>
    <x v="0"/>
    <x v="0"/>
    <x v="0"/>
    <x v="0"/>
    <x v="0"/>
    <x v="0"/>
  </r>
  <r>
    <x v="10"/>
    <x v="10"/>
    <x v="16"/>
    <x v="8"/>
    <x v="12"/>
    <x v="8"/>
    <x v="11"/>
    <x v="0"/>
    <x v="0"/>
    <x v="1"/>
    <x v="0"/>
    <x v="0"/>
    <x v="1"/>
    <x v="0"/>
    <x v="0"/>
    <x v="0"/>
    <x v="0"/>
  </r>
  <r>
    <x v="10"/>
    <x v="10"/>
    <x v="12"/>
    <x v="4"/>
    <x v="13"/>
    <x v="4"/>
    <x v="8"/>
    <x v="0"/>
    <x v="0"/>
    <x v="1"/>
    <x v="0"/>
    <x v="0"/>
    <x v="1"/>
    <x v="0"/>
    <x v="0"/>
    <x v="0"/>
    <x v="0"/>
  </r>
  <r>
    <x v="10"/>
    <x v="10"/>
    <x v="17"/>
    <x v="9"/>
    <x v="14"/>
    <x v="3"/>
    <x v="12"/>
    <x v="2"/>
    <x v="2"/>
    <x v="3"/>
    <x v="2"/>
    <x v="2"/>
    <x v="3"/>
    <x v="2"/>
    <x v="0"/>
    <x v="2"/>
    <x v="0"/>
  </r>
  <r>
    <x v="1"/>
    <x v="1"/>
    <x v="18"/>
    <x v="0"/>
    <x v="0"/>
    <x v="0"/>
    <x v="0"/>
    <x v="0"/>
    <x v="0"/>
    <x v="0"/>
    <x v="0"/>
    <x v="0"/>
    <x v="0"/>
    <x v="0"/>
    <x v="0"/>
    <x v="0"/>
    <x v="0"/>
  </r>
  <r>
    <x v="4"/>
    <x v="4"/>
    <x v="19"/>
    <x v="10"/>
    <x v="15"/>
    <x v="9"/>
    <x v="13"/>
    <x v="0"/>
    <x v="0"/>
    <x v="1"/>
    <x v="0"/>
    <x v="0"/>
    <x v="1"/>
    <x v="0"/>
    <x v="0"/>
    <x v="0"/>
    <x v="0"/>
  </r>
  <r>
    <x v="11"/>
    <x v="11"/>
    <x v="20"/>
    <x v="6"/>
    <x v="16"/>
    <x v="10"/>
    <x v="14"/>
    <x v="0"/>
    <x v="0"/>
    <x v="1"/>
    <x v="0"/>
    <x v="0"/>
    <x v="1"/>
    <x v="0"/>
    <x v="0"/>
    <x v="0"/>
    <x v="0"/>
  </r>
  <r>
    <x v="12"/>
    <x v="12"/>
    <x v="21"/>
    <x v="9"/>
    <x v="17"/>
    <x v="11"/>
    <x v="15"/>
    <x v="0"/>
    <x v="0"/>
    <x v="1"/>
    <x v="0"/>
    <x v="0"/>
    <x v="1"/>
    <x v="0"/>
    <x v="0"/>
    <x v="0"/>
    <x v="0"/>
  </r>
  <r>
    <x v="11"/>
    <x v="11"/>
    <x v="22"/>
    <x v="11"/>
    <x v="18"/>
    <x v="12"/>
    <x v="16"/>
    <x v="3"/>
    <x v="3"/>
    <x v="4"/>
    <x v="3"/>
    <x v="3"/>
    <x v="4"/>
    <x v="3"/>
    <x v="1"/>
    <x v="3"/>
    <x v="1"/>
  </r>
  <r>
    <x v="11"/>
    <x v="11"/>
    <x v="23"/>
    <x v="8"/>
    <x v="19"/>
    <x v="13"/>
    <x v="17"/>
    <x v="0"/>
    <x v="0"/>
    <x v="1"/>
    <x v="0"/>
    <x v="0"/>
    <x v="1"/>
    <x v="0"/>
    <x v="0"/>
    <x v="0"/>
    <x v="0"/>
  </r>
  <r>
    <x v="13"/>
    <x v="13"/>
    <x v="24"/>
    <x v="0"/>
    <x v="0"/>
    <x v="0"/>
    <x v="0"/>
    <x v="0"/>
    <x v="0"/>
    <x v="0"/>
    <x v="0"/>
    <x v="0"/>
    <x v="0"/>
    <x v="0"/>
    <x v="0"/>
    <x v="0"/>
    <x v="0"/>
  </r>
  <r>
    <x v="12"/>
    <x v="12"/>
    <x v="25"/>
    <x v="4"/>
    <x v="20"/>
    <x v="14"/>
    <x v="18"/>
    <x v="0"/>
    <x v="0"/>
    <x v="1"/>
    <x v="0"/>
    <x v="0"/>
    <x v="1"/>
    <x v="0"/>
    <x v="0"/>
    <x v="0"/>
    <x v="0"/>
  </r>
  <r>
    <x v="14"/>
    <x v="14"/>
    <x v="26"/>
    <x v="12"/>
    <x v="21"/>
    <x v="15"/>
    <x v="19"/>
    <x v="0"/>
    <x v="0"/>
    <x v="1"/>
    <x v="0"/>
    <x v="0"/>
    <x v="1"/>
    <x v="0"/>
    <x v="0"/>
    <x v="0"/>
    <x v="0"/>
  </r>
  <r>
    <x v="15"/>
    <x v="15"/>
    <x v="27"/>
    <x v="13"/>
    <x v="22"/>
    <x v="16"/>
    <x v="20"/>
    <x v="4"/>
    <x v="4"/>
    <x v="5"/>
    <x v="1"/>
    <x v="1"/>
    <x v="5"/>
    <x v="0"/>
    <x v="1"/>
    <x v="0"/>
    <x v="2"/>
  </r>
  <r>
    <x v="14"/>
    <x v="14"/>
    <x v="28"/>
    <x v="14"/>
    <x v="23"/>
    <x v="17"/>
    <x v="21"/>
    <x v="4"/>
    <x v="5"/>
    <x v="6"/>
    <x v="1"/>
    <x v="1"/>
    <x v="6"/>
    <x v="1"/>
    <x v="0"/>
    <x v="4"/>
    <x v="0"/>
  </r>
  <r>
    <x v="16"/>
    <x v="16"/>
    <x v="29"/>
    <x v="15"/>
    <x v="24"/>
    <x v="18"/>
    <x v="22"/>
    <x v="5"/>
    <x v="6"/>
    <x v="7"/>
    <x v="2"/>
    <x v="2"/>
    <x v="7"/>
    <x v="4"/>
    <x v="1"/>
    <x v="5"/>
    <x v="3"/>
  </r>
  <r>
    <x v="16"/>
    <x v="16"/>
    <x v="30"/>
    <x v="16"/>
    <x v="25"/>
    <x v="19"/>
    <x v="23"/>
    <x v="6"/>
    <x v="7"/>
    <x v="8"/>
    <x v="4"/>
    <x v="4"/>
    <x v="8"/>
    <x v="5"/>
    <x v="1"/>
    <x v="6"/>
    <x v="3"/>
  </r>
  <r>
    <x v="17"/>
    <x v="17"/>
    <x v="31"/>
    <x v="17"/>
    <x v="26"/>
    <x v="20"/>
    <x v="24"/>
    <x v="7"/>
    <x v="8"/>
    <x v="9"/>
    <x v="5"/>
    <x v="3"/>
    <x v="9"/>
    <x v="6"/>
    <x v="0"/>
    <x v="7"/>
    <x v="0"/>
  </r>
  <r>
    <x v="17"/>
    <x v="17"/>
    <x v="32"/>
    <x v="18"/>
    <x v="27"/>
    <x v="21"/>
    <x v="25"/>
    <x v="0"/>
    <x v="0"/>
    <x v="1"/>
    <x v="0"/>
    <x v="0"/>
    <x v="1"/>
    <x v="0"/>
    <x v="0"/>
    <x v="0"/>
    <x v="0"/>
  </r>
  <r>
    <x v="13"/>
    <x v="13"/>
    <x v="33"/>
    <x v="19"/>
    <x v="28"/>
    <x v="22"/>
    <x v="26"/>
    <x v="8"/>
    <x v="9"/>
    <x v="10"/>
    <x v="4"/>
    <x v="3"/>
    <x v="10"/>
    <x v="6"/>
    <x v="0"/>
    <x v="8"/>
    <x v="0"/>
  </r>
  <r>
    <x v="17"/>
    <x v="17"/>
    <x v="34"/>
    <x v="10"/>
    <x v="29"/>
    <x v="23"/>
    <x v="27"/>
    <x v="9"/>
    <x v="10"/>
    <x v="11"/>
    <x v="1"/>
    <x v="1"/>
    <x v="11"/>
    <x v="1"/>
    <x v="0"/>
    <x v="9"/>
    <x v="0"/>
  </r>
  <r>
    <x v="18"/>
    <x v="18"/>
    <x v="35"/>
    <x v="14"/>
    <x v="30"/>
    <x v="24"/>
    <x v="28"/>
    <x v="10"/>
    <x v="11"/>
    <x v="12"/>
    <x v="1"/>
    <x v="1"/>
    <x v="6"/>
    <x v="1"/>
    <x v="0"/>
    <x v="10"/>
    <x v="0"/>
  </r>
  <r>
    <x v="18"/>
    <x v="18"/>
    <x v="36"/>
    <x v="7"/>
    <x v="31"/>
    <x v="25"/>
    <x v="29"/>
    <x v="0"/>
    <x v="0"/>
    <x v="1"/>
    <x v="0"/>
    <x v="0"/>
    <x v="1"/>
    <x v="0"/>
    <x v="0"/>
    <x v="0"/>
    <x v="0"/>
  </r>
  <r>
    <x v="16"/>
    <x v="16"/>
    <x v="37"/>
    <x v="3"/>
    <x v="32"/>
    <x v="26"/>
    <x v="30"/>
    <x v="0"/>
    <x v="0"/>
    <x v="1"/>
    <x v="0"/>
    <x v="0"/>
    <x v="1"/>
    <x v="0"/>
    <x v="0"/>
    <x v="0"/>
    <x v="0"/>
  </r>
  <r>
    <x v="13"/>
    <x v="13"/>
    <x v="38"/>
    <x v="6"/>
    <x v="33"/>
    <x v="27"/>
    <x v="31"/>
    <x v="0"/>
    <x v="0"/>
    <x v="1"/>
    <x v="0"/>
    <x v="0"/>
    <x v="1"/>
    <x v="0"/>
    <x v="0"/>
    <x v="0"/>
    <x v="0"/>
  </r>
  <r>
    <x v="19"/>
    <x v="19"/>
    <x v="39"/>
    <x v="20"/>
    <x v="34"/>
    <x v="28"/>
    <x v="32"/>
    <x v="11"/>
    <x v="12"/>
    <x v="13"/>
    <x v="6"/>
    <x v="5"/>
    <x v="12"/>
    <x v="3"/>
    <x v="2"/>
    <x v="3"/>
    <x v="4"/>
  </r>
  <r>
    <x v="20"/>
    <x v="20"/>
    <x v="18"/>
    <x v="0"/>
    <x v="0"/>
    <x v="0"/>
    <x v="0"/>
    <x v="0"/>
    <x v="0"/>
    <x v="0"/>
    <x v="0"/>
    <x v="0"/>
    <x v="0"/>
    <x v="0"/>
    <x v="0"/>
    <x v="0"/>
    <x v="0"/>
  </r>
  <r>
    <x v="20"/>
    <x v="20"/>
    <x v="40"/>
    <x v="21"/>
    <x v="35"/>
    <x v="29"/>
    <x v="33"/>
    <x v="12"/>
    <x v="13"/>
    <x v="14"/>
    <x v="7"/>
    <x v="6"/>
    <x v="13"/>
    <x v="4"/>
    <x v="0"/>
    <x v="11"/>
    <x v="0"/>
  </r>
  <r>
    <x v="18"/>
    <x v="18"/>
    <x v="41"/>
    <x v="22"/>
    <x v="36"/>
    <x v="30"/>
    <x v="34"/>
    <x v="13"/>
    <x v="14"/>
    <x v="15"/>
    <x v="1"/>
    <x v="7"/>
    <x v="14"/>
    <x v="5"/>
    <x v="0"/>
    <x v="12"/>
    <x v="0"/>
  </r>
  <r>
    <x v="12"/>
    <x v="12"/>
    <x v="42"/>
    <x v="4"/>
    <x v="37"/>
    <x v="31"/>
    <x v="35"/>
    <x v="0"/>
    <x v="0"/>
    <x v="1"/>
    <x v="0"/>
    <x v="0"/>
    <x v="1"/>
    <x v="0"/>
    <x v="0"/>
    <x v="0"/>
    <x v="0"/>
  </r>
  <r>
    <x v="21"/>
    <x v="21"/>
    <x v="43"/>
    <x v="4"/>
    <x v="38"/>
    <x v="32"/>
    <x v="36"/>
    <x v="0"/>
    <x v="0"/>
    <x v="1"/>
    <x v="0"/>
    <x v="0"/>
    <x v="1"/>
    <x v="0"/>
    <x v="0"/>
    <x v="0"/>
    <x v="0"/>
  </r>
  <r>
    <x v="22"/>
    <x v="22"/>
    <x v="44"/>
    <x v="0"/>
    <x v="0"/>
    <x v="0"/>
    <x v="0"/>
    <x v="0"/>
    <x v="0"/>
    <x v="0"/>
    <x v="0"/>
    <x v="0"/>
    <x v="0"/>
    <x v="0"/>
    <x v="0"/>
    <x v="0"/>
    <x v="0"/>
  </r>
  <r>
    <x v="23"/>
    <x v="23"/>
    <x v="45"/>
    <x v="0"/>
    <x v="0"/>
    <x v="0"/>
    <x v="0"/>
    <x v="0"/>
    <x v="0"/>
    <x v="0"/>
    <x v="0"/>
    <x v="0"/>
    <x v="0"/>
    <x v="0"/>
    <x v="0"/>
    <x v="0"/>
    <x v="0"/>
  </r>
  <r>
    <x v="24"/>
    <x v="24"/>
    <x v="46"/>
    <x v="23"/>
    <x v="39"/>
    <x v="33"/>
    <x v="37"/>
    <x v="0"/>
    <x v="0"/>
    <x v="1"/>
    <x v="0"/>
    <x v="0"/>
    <x v="1"/>
    <x v="0"/>
    <x v="0"/>
    <x v="0"/>
    <x v="0"/>
  </r>
  <r>
    <x v="25"/>
    <x v="25"/>
    <x v="47"/>
    <x v="0"/>
    <x v="0"/>
    <x v="0"/>
    <x v="0"/>
    <x v="0"/>
    <x v="0"/>
    <x v="0"/>
    <x v="0"/>
    <x v="0"/>
    <x v="0"/>
    <x v="0"/>
    <x v="0"/>
    <x v="0"/>
    <x v="0"/>
  </r>
  <r>
    <x v="13"/>
    <x v="13"/>
    <x v="48"/>
    <x v="24"/>
    <x v="40"/>
    <x v="34"/>
    <x v="38"/>
    <x v="14"/>
    <x v="15"/>
    <x v="16"/>
    <x v="7"/>
    <x v="6"/>
    <x v="15"/>
    <x v="4"/>
    <x v="0"/>
    <x v="5"/>
    <x v="0"/>
  </r>
  <r>
    <x v="11"/>
    <x v="11"/>
    <x v="49"/>
    <x v="7"/>
    <x v="41"/>
    <x v="35"/>
    <x v="39"/>
    <x v="1"/>
    <x v="16"/>
    <x v="17"/>
    <x v="1"/>
    <x v="1"/>
    <x v="16"/>
    <x v="1"/>
    <x v="0"/>
    <x v="1"/>
    <x v="0"/>
  </r>
  <r>
    <x v="25"/>
    <x v="25"/>
    <x v="50"/>
    <x v="3"/>
    <x v="42"/>
    <x v="36"/>
    <x v="40"/>
    <x v="0"/>
    <x v="0"/>
    <x v="1"/>
    <x v="0"/>
    <x v="0"/>
    <x v="1"/>
    <x v="0"/>
    <x v="0"/>
    <x v="0"/>
    <x v="0"/>
  </r>
  <r>
    <x v="26"/>
    <x v="26"/>
    <x v="51"/>
    <x v="4"/>
    <x v="43"/>
    <x v="5"/>
    <x v="5"/>
    <x v="0"/>
    <x v="0"/>
    <x v="1"/>
    <x v="0"/>
    <x v="0"/>
    <x v="1"/>
    <x v="0"/>
    <x v="0"/>
    <x v="0"/>
    <x v="0"/>
  </r>
  <r>
    <x v="14"/>
    <x v="14"/>
    <x v="52"/>
    <x v="25"/>
    <x v="44"/>
    <x v="37"/>
    <x v="41"/>
    <x v="15"/>
    <x v="17"/>
    <x v="18"/>
    <x v="2"/>
    <x v="2"/>
    <x v="17"/>
    <x v="2"/>
    <x v="0"/>
    <x v="13"/>
    <x v="0"/>
  </r>
  <r>
    <x v="26"/>
    <x v="26"/>
    <x v="53"/>
    <x v="0"/>
    <x v="0"/>
    <x v="0"/>
    <x v="0"/>
    <x v="0"/>
    <x v="0"/>
    <x v="0"/>
    <x v="0"/>
    <x v="0"/>
    <x v="0"/>
    <x v="0"/>
    <x v="0"/>
    <x v="0"/>
    <x v="0"/>
  </r>
  <r>
    <x v="18"/>
    <x v="18"/>
    <x v="54"/>
    <x v="4"/>
    <x v="45"/>
    <x v="38"/>
    <x v="42"/>
    <x v="0"/>
    <x v="0"/>
    <x v="1"/>
    <x v="0"/>
    <x v="0"/>
    <x v="1"/>
    <x v="0"/>
    <x v="0"/>
    <x v="0"/>
    <x v="0"/>
  </r>
  <r>
    <x v="18"/>
    <x v="18"/>
    <x v="55"/>
    <x v="0"/>
    <x v="0"/>
    <x v="0"/>
    <x v="0"/>
    <x v="0"/>
    <x v="0"/>
    <x v="0"/>
    <x v="0"/>
    <x v="0"/>
    <x v="0"/>
    <x v="0"/>
    <x v="0"/>
    <x v="0"/>
    <x v="0"/>
  </r>
  <r>
    <x v="27"/>
    <x v="27"/>
    <x v="56"/>
    <x v="0"/>
    <x v="0"/>
    <x v="0"/>
    <x v="0"/>
    <x v="0"/>
    <x v="0"/>
    <x v="0"/>
    <x v="0"/>
    <x v="0"/>
    <x v="0"/>
    <x v="0"/>
    <x v="0"/>
    <x v="0"/>
    <x v="0"/>
  </r>
  <r>
    <x v="28"/>
    <x v="28"/>
    <x v="57"/>
    <x v="0"/>
    <x v="0"/>
    <x v="0"/>
    <x v="0"/>
    <x v="0"/>
    <x v="0"/>
    <x v="0"/>
    <x v="0"/>
    <x v="0"/>
    <x v="0"/>
    <x v="0"/>
    <x v="0"/>
    <x v="0"/>
    <x v="0"/>
  </r>
  <r>
    <x v="27"/>
    <x v="27"/>
    <x v="58"/>
    <x v="0"/>
    <x v="0"/>
    <x v="0"/>
    <x v="0"/>
    <x v="0"/>
    <x v="0"/>
    <x v="0"/>
    <x v="0"/>
    <x v="0"/>
    <x v="0"/>
    <x v="0"/>
    <x v="0"/>
    <x v="0"/>
    <x v="0"/>
  </r>
  <r>
    <x v="28"/>
    <x v="28"/>
    <x v="59"/>
    <x v="0"/>
    <x v="0"/>
    <x v="0"/>
    <x v="0"/>
    <x v="0"/>
    <x v="0"/>
    <x v="0"/>
    <x v="0"/>
    <x v="0"/>
    <x v="0"/>
    <x v="0"/>
    <x v="0"/>
    <x v="0"/>
    <x v="0"/>
  </r>
  <r>
    <x v="29"/>
    <x v="29"/>
    <x v="60"/>
    <x v="26"/>
    <x v="46"/>
    <x v="0"/>
    <x v="43"/>
    <x v="16"/>
    <x v="0"/>
    <x v="0"/>
    <x v="8"/>
    <x v="8"/>
    <x v="0"/>
    <x v="7"/>
    <x v="3"/>
    <x v="14"/>
    <x v="5"/>
  </r>
</pivotCacheRecords>
</file>

<file path=xl/pivotCache/pivotCacheRecords34.xml><?xml version="1.0" encoding="utf-8"?>
<pivotCacheRecords xmlns="http://schemas.openxmlformats.org/spreadsheetml/2006/main" xmlns:r="http://schemas.openxmlformats.org/officeDocument/2006/relationships" count="40">
  <r>
    <x v="0"/>
    <x v="0"/>
    <x v="0"/>
    <x v="0"/>
    <x v="0"/>
    <x v="0"/>
    <x v="0"/>
    <x v="0"/>
    <x v="0"/>
    <x v="0"/>
    <x v="0"/>
    <x v="0"/>
    <x v="0"/>
    <x v="0"/>
  </r>
  <r>
    <x v="1"/>
    <x v="1"/>
    <x v="1"/>
    <x v="1"/>
    <x v="1"/>
    <x v="1"/>
    <x v="1"/>
    <x v="1"/>
    <x v="1"/>
    <x v="1"/>
    <x v="1"/>
    <x v="1"/>
    <x v="0"/>
    <x v="1"/>
  </r>
  <r>
    <x v="2"/>
    <x v="2"/>
    <x v="2"/>
    <x v="2"/>
    <x v="2"/>
    <x v="2"/>
    <x v="2"/>
    <x v="2"/>
    <x v="2"/>
    <x v="2"/>
    <x v="2"/>
    <x v="2"/>
    <x v="0"/>
    <x v="2"/>
  </r>
  <r>
    <x v="3"/>
    <x v="3"/>
    <x v="3"/>
    <x v="3"/>
    <x v="3"/>
    <x v="3"/>
    <x v="3"/>
    <x v="3"/>
    <x v="3"/>
    <x v="3"/>
    <x v="3"/>
    <x v="3"/>
    <x v="0"/>
    <x v="3"/>
  </r>
  <r>
    <x v="4"/>
    <x v="4"/>
    <x v="4"/>
    <x v="4"/>
    <x v="2"/>
    <x v="4"/>
    <x v="2"/>
    <x v="4"/>
    <x v="2"/>
    <x v="4"/>
    <x v="2"/>
    <x v="4"/>
    <x v="0"/>
    <x v="4"/>
  </r>
  <r>
    <x v="5"/>
    <x v="5"/>
    <x v="5"/>
    <x v="5"/>
    <x v="4"/>
    <x v="5"/>
    <x v="4"/>
    <x v="5"/>
    <x v="4"/>
    <x v="5"/>
    <x v="4"/>
    <x v="5"/>
    <x v="0"/>
    <x v="5"/>
  </r>
  <r>
    <x v="6"/>
    <x v="6"/>
    <x v="6"/>
    <x v="6"/>
    <x v="1"/>
    <x v="6"/>
    <x v="1"/>
    <x v="6"/>
    <x v="1"/>
    <x v="6"/>
    <x v="1"/>
    <x v="6"/>
    <x v="0"/>
    <x v="6"/>
  </r>
  <r>
    <x v="7"/>
    <x v="7"/>
    <x v="7"/>
    <x v="7"/>
    <x v="1"/>
    <x v="7"/>
    <x v="1"/>
    <x v="7"/>
    <x v="1"/>
    <x v="7"/>
    <x v="1"/>
    <x v="7"/>
    <x v="0"/>
    <x v="7"/>
  </r>
  <r>
    <x v="8"/>
    <x v="8"/>
    <x v="8"/>
    <x v="8"/>
    <x v="5"/>
    <x v="8"/>
    <x v="5"/>
    <x v="8"/>
    <x v="5"/>
    <x v="8"/>
    <x v="5"/>
    <x v="8"/>
    <x v="0"/>
    <x v="8"/>
  </r>
  <r>
    <x v="9"/>
    <x v="9"/>
    <x v="9"/>
    <x v="9"/>
    <x v="5"/>
    <x v="9"/>
    <x v="5"/>
    <x v="9"/>
    <x v="5"/>
    <x v="9"/>
    <x v="5"/>
    <x v="9"/>
    <x v="1"/>
    <x v="9"/>
  </r>
  <r>
    <x v="10"/>
    <x v="10"/>
    <x v="10"/>
    <x v="10"/>
    <x v="6"/>
    <x v="10"/>
    <x v="6"/>
    <x v="10"/>
    <x v="6"/>
    <x v="10"/>
    <x v="6"/>
    <x v="10"/>
    <x v="0"/>
    <x v="10"/>
  </r>
  <r>
    <x v="11"/>
    <x v="11"/>
    <x v="11"/>
    <x v="11"/>
    <x v="7"/>
    <x v="11"/>
    <x v="7"/>
    <x v="11"/>
    <x v="7"/>
    <x v="11"/>
    <x v="7"/>
    <x v="11"/>
    <x v="0"/>
    <x v="10"/>
  </r>
  <r>
    <x v="12"/>
    <x v="12"/>
    <x v="12"/>
    <x v="12"/>
    <x v="8"/>
    <x v="12"/>
    <x v="8"/>
    <x v="12"/>
    <x v="8"/>
    <x v="12"/>
    <x v="8"/>
    <x v="12"/>
    <x v="0"/>
    <x v="11"/>
  </r>
  <r>
    <x v="13"/>
    <x v="13"/>
    <x v="13"/>
    <x v="13"/>
    <x v="9"/>
    <x v="13"/>
    <x v="9"/>
    <x v="13"/>
    <x v="9"/>
    <x v="13"/>
    <x v="9"/>
    <x v="13"/>
    <x v="1"/>
    <x v="10"/>
  </r>
  <r>
    <x v="14"/>
    <x v="14"/>
    <x v="14"/>
    <x v="14"/>
    <x v="4"/>
    <x v="14"/>
    <x v="4"/>
    <x v="14"/>
    <x v="4"/>
    <x v="14"/>
    <x v="4"/>
    <x v="14"/>
    <x v="0"/>
    <x v="12"/>
  </r>
  <r>
    <x v="15"/>
    <x v="15"/>
    <x v="15"/>
    <x v="9"/>
    <x v="5"/>
    <x v="9"/>
    <x v="5"/>
    <x v="15"/>
    <x v="5"/>
    <x v="15"/>
    <x v="5"/>
    <x v="15"/>
    <x v="0"/>
    <x v="13"/>
  </r>
  <r>
    <x v="16"/>
    <x v="16"/>
    <x v="16"/>
    <x v="15"/>
    <x v="4"/>
    <x v="15"/>
    <x v="4"/>
    <x v="16"/>
    <x v="4"/>
    <x v="16"/>
    <x v="4"/>
    <x v="16"/>
    <x v="0"/>
    <x v="13"/>
  </r>
  <r>
    <x v="17"/>
    <x v="17"/>
    <x v="17"/>
    <x v="16"/>
    <x v="7"/>
    <x v="16"/>
    <x v="7"/>
    <x v="17"/>
    <x v="2"/>
    <x v="17"/>
    <x v="2"/>
    <x v="6"/>
    <x v="0"/>
    <x v="11"/>
  </r>
  <r>
    <x v="18"/>
    <x v="18"/>
    <x v="18"/>
    <x v="17"/>
    <x v="4"/>
    <x v="17"/>
    <x v="4"/>
    <x v="18"/>
    <x v="10"/>
    <x v="18"/>
    <x v="10"/>
    <x v="6"/>
    <x v="0"/>
    <x v="13"/>
  </r>
  <r>
    <x v="19"/>
    <x v="19"/>
    <x v="19"/>
    <x v="18"/>
    <x v="5"/>
    <x v="18"/>
    <x v="5"/>
    <x v="19"/>
    <x v="4"/>
    <x v="19"/>
    <x v="4"/>
    <x v="17"/>
    <x v="0"/>
    <x v="14"/>
  </r>
  <r>
    <x v="20"/>
    <x v="20"/>
    <x v="20"/>
    <x v="19"/>
    <x v="4"/>
    <x v="19"/>
    <x v="4"/>
    <x v="20"/>
    <x v="4"/>
    <x v="20"/>
    <x v="4"/>
    <x v="18"/>
    <x v="0"/>
    <x v="15"/>
  </r>
  <r>
    <x v="21"/>
    <x v="21"/>
    <x v="21"/>
    <x v="20"/>
    <x v="9"/>
    <x v="20"/>
    <x v="9"/>
    <x v="21"/>
    <x v="9"/>
    <x v="21"/>
    <x v="9"/>
    <x v="6"/>
    <x v="1"/>
    <x v="16"/>
  </r>
  <r>
    <x v="22"/>
    <x v="22"/>
    <x v="22"/>
    <x v="21"/>
    <x v="9"/>
    <x v="21"/>
    <x v="9"/>
    <x v="22"/>
    <x v="9"/>
    <x v="22"/>
    <x v="9"/>
    <x v="19"/>
    <x v="1"/>
    <x v="15"/>
  </r>
  <r>
    <x v="23"/>
    <x v="23"/>
    <x v="23"/>
    <x v="22"/>
    <x v="1"/>
    <x v="22"/>
    <x v="1"/>
    <x v="23"/>
    <x v="1"/>
    <x v="23"/>
    <x v="1"/>
    <x v="6"/>
    <x v="0"/>
    <x v="16"/>
  </r>
  <r>
    <x v="24"/>
    <x v="24"/>
    <x v="24"/>
    <x v="23"/>
    <x v="5"/>
    <x v="23"/>
    <x v="5"/>
    <x v="24"/>
    <x v="4"/>
    <x v="24"/>
    <x v="4"/>
    <x v="6"/>
    <x v="0"/>
    <x v="16"/>
  </r>
  <r>
    <x v="25"/>
    <x v="25"/>
    <x v="25"/>
    <x v="24"/>
    <x v="5"/>
    <x v="24"/>
    <x v="5"/>
    <x v="25"/>
    <x v="5"/>
    <x v="25"/>
    <x v="5"/>
    <x v="20"/>
    <x v="0"/>
    <x v="17"/>
  </r>
  <r>
    <x v="26"/>
    <x v="26"/>
    <x v="26"/>
    <x v="25"/>
    <x v="5"/>
    <x v="25"/>
    <x v="5"/>
    <x v="26"/>
    <x v="5"/>
    <x v="26"/>
    <x v="5"/>
    <x v="6"/>
    <x v="0"/>
    <x v="17"/>
  </r>
  <r>
    <x v="27"/>
    <x v="27"/>
    <x v="27"/>
    <x v="24"/>
    <x v="9"/>
    <x v="24"/>
    <x v="9"/>
    <x v="27"/>
    <x v="9"/>
    <x v="27"/>
    <x v="9"/>
    <x v="6"/>
    <x v="1"/>
    <x v="17"/>
  </r>
  <r>
    <x v="28"/>
    <x v="28"/>
    <x v="28"/>
    <x v="26"/>
    <x v="9"/>
    <x v="26"/>
    <x v="9"/>
    <x v="28"/>
    <x v="9"/>
    <x v="28"/>
    <x v="9"/>
    <x v="6"/>
    <x v="1"/>
    <x v="17"/>
  </r>
  <r>
    <x v="29"/>
    <x v="29"/>
    <x v="29"/>
    <x v="27"/>
    <x v="5"/>
    <x v="27"/>
    <x v="5"/>
    <x v="29"/>
    <x v="5"/>
    <x v="29"/>
    <x v="5"/>
    <x v="6"/>
    <x v="0"/>
    <x v="17"/>
  </r>
  <r>
    <x v="30"/>
    <x v="30"/>
    <x v="30"/>
    <x v="28"/>
    <x v="5"/>
    <x v="28"/>
    <x v="5"/>
    <x v="30"/>
    <x v="4"/>
    <x v="30"/>
    <x v="4"/>
    <x v="6"/>
    <x v="0"/>
    <x v="17"/>
  </r>
  <r>
    <x v="31"/>
    <x v="31"/>
    <x v="31"/>
    <x v="29"/>
    <x v="9"/>
    <x v="29"/>
    <x v="9"/>
    <x v="31"/>
    <x v="9"/>
    <x v="31"/>
    <x v="9"/>
    <x v="14"/>
    <x v="1"/>
    <x v="17"/>
  </r>
  <r>
    <x v="32"/>
    <x v="32"/>
    <x v="32"/>
    <x v="30"/>
    <x v="4"/>
    <x v="30"/>
    <x v="4"/>
    <x v="8"/>
    <x v="1"/>
    <x v="8"/>
    <x v="1"/>
    <x v="6"/>
    <x v="0"/>
    <x v="17"/>
  </r>
  <r>
    <x v="33"/>
    <x v="33"/>
    <x v="33"/>
    <x v="31"/>
    <x v="9"/>
    <x v="31"/>
    <x v="9"/>
    <x v="32"/>
    <x v="9"/>
    <x v="32"/>
    <x v="9"/>
    <x v="6"/>
    <x v="1"/>
    <x v="17"/>
  </r>
  <r>
    <x v="34"/>
    <x v="34"/>
    <x v="34"/>
    <x v="32"/>
    <x v="1"/>
    <x v="32"/>
    <x v="1"/>
    <x v="33"/>
    <x v="11"/>
    <x v="33"/>
    <x v="11"/>
    <x v="6"/>
    <x v="0"/>
    <x v="17"/>
  </r>
  <r>
    <x v="35"/>
    <x v="35"/>
    <x v="35"/>
    <x v="33"/>
    <x v="5"/>
    <x v="33"/>
    <x v="5"/>
    <x v="34"/>
    <x v="5"/>
    <x v="34"/>
    <x v="5"/>
    <x v="21"/>
    <x v="0"/>
    <x v="17"/>
  </r>
  <r>
    <x v="36"/>
    <x v="36"/>
    <x v="36"/>
    <x v="34"/>
    <x v="1"/>
    <x v="34"/>
    <x v="1"/>
    <x v="35"/>
    <x v="1"/>
    <x v="35"/>
    <x v="1"/>
    <x v="22"/>
    <x v="0"/>
    <x v="17"/>
  </r>
  <r>
    <x v="37"/>
    <x v="1"/>
    <x v="37"/>
    <x v="35"/>
    <x v="10"/>
    <x v="35"/>
    <x v="10"/>
    <x v="36"/>
    <x v="12"/>
    <x v="36"/>
    <x v="12"/>
    <x v="6"/>
    <x v="0"/>
    <x v="14"/>
  </r>
  <r>
    <x v="38"/>
    <x v="37"/>
    <x v="38"/>
    <x v="36"/>
    <x v="9"/>
    <x v="36"/>
    <x v="9"/>
    <x v="37"/>
    <x v="9"/>
    <x v="37"/>
    <x v="9"/>
    <x v="6"/>
    <x v="1"/>
    <x v="17"/>
  </r>
  <r>
    <x v="39"/>
    <x v="38"/>
    <x v="39"/>
    <x v="37"/>
    <x v="11"/>
    <x v="37"/>
    <x v="11"/>
    <x v="38"/>
    <x v="13"/>
    <x v="38"/>
    <x v="13"/>
    <x v="23"/>
    <x v="2"/>
    <x v="18"/>
  </r>
</pivotCacheRecords>
</file>

<file path=xl/pivotCache/pivotCacheRecords35.xml><?xml version="1.0" encoding="utf-8"?>
<pivotCacheRecords xmlns="http://schemas.openxmlformats.org/spreadsheetml/2006/main" xmlns:r="http://schemas.openxmlformats.org/officeDocument/2006/relationships" count="47">
  <r>
    <x v="0"/>
    <x v="0"/>
    <x v="0"/>
    <x v="0"/>
    <x v="0"/>
    <x v="0"/>
    <x v="0"/>
    <x v="0"/>
    <x v="0"/>
    <x v="0"/>
    <x v="0"/>
    <x v="0"/>
    <x v="0"/>
    <x v="0"/>
  </r>
  <r>
    <x v="1"/>
    <x v="1"/>
    <x v="1"/>
    <x v="1"/>
    <x v="1"/>
    <x v="1"/>
    <x v="1"/>
    <x v="1"/>
    <x v="0"/>
    <x v="1"/>
    <x v="0"/>
    <x v="1"/>
    <x v="0"/>
    <x v="1"/>
  </r>
  <r>
    <x v="2"/>
    <x v="2"/>
    <x v="2"/>
    <x v="2"/>
    <x v="2"/>
    <x v="2"/>
    <x v="2"/>
    <x v="2"/>
    <x v="1"/>
    <x v="2"/>
    <x v="1"/>
    <x v="2"/>
    <x v="0"/>
    <x v="2"/>
  </r>
  <r>
    <x v="3"/>
    <x v="3"/>
    <x v="3"/>
    <x v="3"/>
    <x v="3"/>
    <x v="3"/>
    <x v="3"/>
    <x v="3"/>
    <x v="2"/>
    <x v="3"/>
    <x v="2"/>
    <x v="3"/>
    <x v="0"/>
    <x v="3"/>
  </r>
  <r>
    <x v="4"/>
    <x v="4"/>
    <x v="4"/>
    <x v="4"/>
    <x v="4"/>
    <x v="4"/>
    <x v="4"/>
    <x v="4"/>
    <x v="1"/>
    <x v="4"/>
    <x v="1"/>
    <x v="4"/>
    <x v="1"/>
    <x v="4"/>
  </r>
  <r>
    <x v="5"/>
    <x v="5"/>
    <x v="5"/>
    <x v="5"/>
    <x v="5"/>
    <x v="5"/>
    <x v="5"/>
    <x v="5"/>
    <x v="3"/>
    <x v="5"/>
    <x v="3"/>
    <x v="5"/>
    <x v="0"/>
    <x v="5"/>
  </r>
  <r>
    <x v="6"/>
    <x v="6"/>
    <x v="6"/>
    <x v="6"/>
    <x v="6"/>
    <x v="6"/>
    <x v="6"/>
    <x v="6"/>
    <x v="4"/>
    <x v="6"/>
    <x v="4"/>
    <x v="6"/>
    <x v="2"/>
    <x v="6"/>
  </r>
  <r>
    <x v="7"/>
    <x v="7"/>
    <x v="7"/>
    <x v="7"/>
    <x v="7"/>
    <x v="7"/>
    <x v="7"/>
    <x v="7"/>
    <x v="5"/>
    <x v="7"/>
    <x v="5"/>
    <x v="7"/>
    <x v="0"/>
    <x v="7"/>
  </r>
  <r>
    <x v="8"/>
    <x v="8"/>
    <x v="8"/>
    <x v="8"/>
    <x v="8"/>
    <x v="8"/>
    <x v="8"/>
    <x v="8"/>
    <x v="6"/>
    <x v="8"/>
    <x v="6"/>
    <x v="3"/>
    <x v="0"/>
    <x v="8"/>
  </r>
  <r>
    <x v="9"/>
    <x v="9"/>
    <x v="9"/>
    <x v="9"/>
    <x v="9"/>
    <x v="9"/>
    <x v="9"/>
    <x v="9"/>
    <x v="7"/>
    <x v="9"/>
    <x v="7"/>
    <x v="8"/>
    <x v="3"/>
    <x v="9"/>
  </r>
  <r>
    <x v="10"/>
    <x v="10"/>
    <x v="10"/>
    <x v="10"/>
    <x v="7"/>
    <x v="10"/>
    <x v="7"/>
    <x v="10"/>
    <x v="8"/>
    <x v="10"/>
    <x v="8"/>
    <x v="9"/>
    <x v="0"/>
    <x v="10"/>
  </r>
  <r>
    <x v="11"/>
    <x v="11"/>
    <x v="11"/>
    <x v="11"/>
    <x v="0"/>
    <x v="11"/>
    <x v="0"/>
    <x v="11"/>
    <x v="2"/>
    <x v="11"/>
    <x v="2"/>
    <x v="10"/>
    <x v="4"/>
    <x v="10"/>
  </r>
  <r>
    <x v="12"/>
    <x v="12"/>
    <x v="12"/>
    <x v="12"/>
    <x v="10"/>
    <x v="12"/>
    <x v="10"/>
    <x v="12"/>
    <x v="9"/>
    <x v="12"/>
    <x v="9"/>
    <x v="11"/>
    <x v="3"/>
    <x v="11"/>
  </r>
  <r>
    <x v="13"/>
    <x v="13"/>
    <x v="13"/>
    <x v="13"/>
    <x v="11"/>
    <x v="13"/>
    <x v="11"/>
    <x v="13"/>
    <x v="10"/>
    <x v="13"/>
    <x v="10"/>
    <x v="12"/>
    <x v="0"/>
    <x v="12"/>
  </r>
  <r>
    <x v="14"/>
    <x v="14"/>
    <x v="14"/>
    <x v="14"/>
    <x v="6"/>
    <x v="14"/>
    <x v="6"/>
    <x v="14"/>
    <x v="4"/>
    <x v="14"/>
    <x v="4"/>
    <x v="13"/>
    <x v="2"/>
    <x v="10"/>
  </r>
  <r>
    <x v="15"/>
    <x v="15"/>
    <x v="15"/>
    <x v="15"/>
    <x v="6"/>
    <x v="15"/>
    <x v="6"/>
    <x v="15"/>
    <x v="8"/>
    <x v="15"/>
    <x v="8"/>
    <x v="14"/>
    <x v="5"/>
    <x v="13"/>
  </r>
  <r>
    <x v="16"/>
    <x v="16"/>
    <x v="16"/>
    <x v="16"/>
    <x v="11"/>
    <x v="16"/>
    <x v="11"/>
    <x v="16"/>
    <x v="3"/>
    <x v="16"/>
    <x v="3"/>
    <x v="15"/>
    <x v="0"/>
    <x v="13"/>
  </r>
  <r>
    <x v="17"/>
    <x v="17"/>
    <x v="17"/>
    <x v="17"/>
    <x v="12"/>
    <x v="17"/>
    <x v="12"/>
    <x v="17"/>
    <x v="11"/>
    <x v="17"/>
    <x v="11"/>
    <x v="16"/>
    <x v="0"/>
    <x v="13"/>
  </r>
  <r>
    <x v="18"/>
    <x v="18"/>
    <x v="18"/>
    <x v="18"/>
    <x v="11"/>
    <x v="18"/>
    <x v="11"/>
    <x v="18"/>
    <x v="12"/>
    <x v="18"/>
    <x v="12"/>
    <x v="17"/>
    <x v="0"/>
    <x v="14"/>
  </r>
  <r>
    <x v="19"/>
    <x v="19"/>
    <x v="19"/>
    <x v="19"/>
    <x v="9"/>
    <x v="19"/>
    <x v="9"/>
    <x v="19"/>
    <x v="7"/>
    <x v="19"/>
    <x v="7"/>
    <x v="18"/>
    <x v="0"/>
    <x v="15"/>
  </r>
  <r>
    <x v="20"/>
    <x v="20"/>
    <x v="20"/>
    <x v="20"/>
    <x v="10"/>
    <x v="20"/>
    <x v="10"/>
    <x v="20"/>
    <x v="9"/>
    <x v="20"/>
    <x v="9"/>
    <x v="19"/>
    <x v="3"/>
    <x v="15"/>
  </r>
  <r>
    <x v="21"/>
    <x v="21"/>
    <x v="21"/>
    <x v="21"/>
    <x v="10"/>
    <x v="21"/>
    <x v="10"/>
    <x v="21"/>
    <x v="9"/>
    <x v="21"/>
    <x v="9"/>
    <x v="20"/>
    <x v="3"/>
    <x v="15"/>
  </r>
  <r>
    <x v="22"/>
    <x v="22"/>
    <x v="22"/>
    <x v="22"/>
    <x v="5"/>
    <x v="22"/>
    <x v="5"/>
    <x v="22"/>
    <x v="13"/>
    <x v="22"/>
    <x v="13"/>
    <x v="21"/>
    <x v="0"/>
    <x v="16"/>
  </r>
  <r>
    <x v="23"/>
    <x v="23"/>
    <x v="23"/>
    <x v="23"/>
    <x v="11"/>
    <x v="23"/>
    <x v="11"/>
    <x v="23"/>
    <x v="14"/>
    <x v="23"/>
    <x v="14"/>
    <x v="22"/>
    <x v="0"/>
    <x v="16"/>
  </r>
  <r>
    <x v="24"/>
    <x v="24"/>
    <x v="24"/>
    <x v="24"/>
    <x v="11"/>
    <x v="24"/>
    <x v="11"/>
    <x v="24"/>
    <x v="13"/>
    <x v="24"/>
    <x v="13"/>
    <x v="23"/>
    <x v="0"/>
    <x v="16"/>
  </r>
  <r>
    <x v="25"/>
    <x v="25"/>
    <x v="25"/>
    <x v="25"/>
    <x v="11"/>
    <x v="25"/>
    <x v="11"/>
    <x v="25"/>
    <x v="10"/>
    <x v="25"/>
    <x v="10"/>
    <x v="24"/>
    <x v="0"/>
    <x v="15"/>
  </r>
  <r>
    <x v="26"/>
    <x v="26"/>
    <x v="26"/>
    <x v="26"/>
    <x v="9"/>
    <x v="26"/>
    <x v="9"/>
    <x v="26"/>
    <x v="7"/>
    <x v="26"/>
    <x v="7"/>
    <x v="25"/>
    <x v="0"/>
    <x v="17"/>
  </r>
  <r>
    <x v="27"/>
    <x v="27"/>
    <x v="27"/>
    <x v="27"/>
    <x v="9"/>
    <x v="27"/>
    <x v="9"/>
    <x v="27"/>
    <x v="7"/>
    <x v="27"/>
    <x v="7"/>
    <x v="26"/>
    <x v="0"/>
    <x v="17"/>
  </r>
  <r>
    <x v="28"/>
    <x v="28"/>
    <x v="28"/>
    <x v="28"/>
    <x v="11"/>
    <x v="28"/>
    <x v="11"/>
    <x v="28"/>
    <x v="13"/>
    <x v="28"/>
    <x v="13"/>
    <x v="15"/>
    <x v="0"/>
    <x v="18"/>
  </r>
  <r>
    <x v="29"/>
    <x v="29"/>
    <x v="29"/>
    <x v="29"/>
    <x v="10"/>
    <x v="29"/>
    <x v="10"/>
    <x v="29"/>
    <x v="9"/>
    <x v="29"/>
    <x v="9"/>
    <x v="27"/>
    <x v="3"/>
    <x v="15"/>
  </r>
  <r>
    <x v="30"/>
    <x v="30"/>
    <x v="30"/>
    <x v="30"/>
    <x v="6"/>
    <x v="30"/>
    <x v="6"/>
    <x v="30"/>
    <x v="3"/>
    <x v="30"/>
    <x v="3"/>
    <x v="28"/>
    <x v="0"/>
    <x v="18"/>
  </r>
  <r>
    <x v="31"/>
    <x v="31"/>
    <x v="31"/>
    <x v="31"/>
    <x v="11"/>
    <x v="31"/>
    <x v="11"/>
    <x v="31"/>
    <x v="12"/>
    <x v="31"/>
    <x v="12"/>
    <x v="1"/>
    <x v="0"/>
    <x v="18"/>
  </r>
  <r>
    <x v="32"/>
    <x v="32"/>
    <x v="32"/>
    <x v="32"/>
    <x v="9"/>
    <x v="32"/>
    <x v="9"/>
    <x v="32"/>
    <x v="7"/>
    <x v="32"/>
    <x v="7"/>
    <x v="29"/>
    <x v="0"/>
    <x v="19"/>
  </r>
  <r>
    <x v="33"/>
    <x v="33"/>
    <x v="33"/>
    <x v="33"/>
    <x v="9"/>
    <x v="33"/>
    <x v="9"/>
    <x v="33"/>
    <x v="7"/>
    <x v="33"/>
    <x v="7"/>
    <x v="30"/>
    <x v="3"/>
    <x v="19"/>
  </r>
  <r>
    <x v="34"/>
    <x v="34"/>
    <x v="34"/>
    <x v="34"/>
    <x v="9"/>
    <x v="34"/>
    <x v="9"/>
    <x v="34"/>
    <x v="15"/>
    <x v="34"/>
    <x v="15"/>
    <x v="26"/>
    <x v="0"/>
    <x v="19"/>
  </r>
  <r>
    <x v="35"/>
    <x v="35"/>
    <x v="35"/>
    <x v="35"/>
    <x v="9"/>
    <x v="35"/>
    <x v="9"/>
    <x v="35"/>
    <x v="7"/>
    <x v="35"/>
    <x v="7"/>
    <x v="31"/>
    <x v="0"/>
    <x v="19"/>
  </r>
  <r>
    <x v="36"/>
    <x v="36"/>
    <x v="36"/>
    <x v="36"/>
    <x v="10"/>
    <x v="36"/>
    <x v="10"/>
    <x v="36"/>
    <x v="9"/>
    <x v="19"/>
    <x v="9"/>
    <x v="15"/>
    <x v="3"/>
    <x v="20"/>
  </r>
  <r>
    <x v="37"/>
    <x v="37"/>
    <x v="37"/>
    <x v="37"/>
    <x v="10"/>
    <x v="37"/>
    <x v="10"/>
    <x v="37"/>
    <x v="9"/>
    <x v="36"/>
    <x v="9"/>
    <x v="15"/>
    <x v="3"/>
    <x v="20"/>
  </r>
  <r>
    <x v="38"/>
    <x v="38"/>
    <x v="38"/>
    <x v="38"/>
    <x v="10"/>
    <x v="38"/>
    <x v="10"/>
    <x v="38"/>
    <x v="9"/>
    <x v="37"/>
    <x v="9"/>
    <x v="15"/>
    <x v="3"/>
    <x v="20"/>
  </r>
  <r>
    <x v="39"/>
    <x v="39"/>
    <x v="39"/>
    <x v="39"/>
    <x v="10"/>
    <x v="39"/>
    <x v="10"/>
    <x v="39"/>
    <x v="9"/>
    <x v="38"/>
    <x v="9"/>
    <x v="32"/>
    <x v="3"/>
    <x v="20"/>
  </r>
  <r>
    <x v="40"/>
    <x v="40"/>
    <x v="40"/>
    <x v="40"/>
    <x v="9"/>
    <x v="40"/>
    <x v="9"/>
    <x v="40"/>
    <x v="7"/>
    <x v="39"/>
    <x v="7"/>
    <x v="33"/>
    <x v="0"/>
    <x v="20"/>
  </r>
  <r>
    <x v="41"/>
    <x v="41"/>
    <x v="41"/>
    <x v="41"/>
    <x v="11"/>
    <x v="41"/>
    <x v="11"/>
    <x v="19"/>
    <x v="12"/>
    <x v="19"/>
    <x v="12"/>
    <x v="34"/>
    <x v="0"/>
    <x v="20"/>
  </r>
  <r>
    <x v="42"/>
    <x v="3"/>
    <x v="42"/>
    <x v="42"/>
    <x v="5"/>
    <x v="42"/>
    <x v="13"/>
    <x v="41"/>
    <x v="4"/>
    <x v="40"/>
    <x v="16"/>
    <x v="15"/>
    <x v="0"/>
    <x v="21"/>
  </r>
  <r>
    <x v="43"/>
    <x v="42"/>
    <x v="43"/>
    <x v="43"/>
    <x v="10"/>
    <x v="43"/>
    <x v="10"/>
    <x v="42"/>
    <x v="9"/>
    <x v="41"/>
    <x v="9"/>
    <x v="15"/>
    <x v="3"/>
    <x v="20"/>
  </r>
  <r>
    <x v="44"/>
    <x v="43"/>
    <x v="44"/>
    <x v="33"/>
    <x v="9"/>
    <x v="44"/>
    <x v="14"/>
    <x v="28"/>
    <x v="15"/>
    <x v="42"/>
    <x v="17"/>
    <x v="15"/>
    <x v="0"/>
    <x v="20"/>
  </r>
  <r>
    <x v="45"/>
    <x v="44"/>
    <x v="45"/>
    <x v="44"/>
    <x v="9"/>
    <x v="45"/>
    <x v="14"/>
    <x v="43"/>
    <x v="7"/>
    <x v="43"/>
    <x v="18"/>
    <x v="35"/>
    <x v="3"/>
    <x v="20"/>
  </r>
  <r>
    <x v="46"/>
    <x v="45"/>
    <x v="46"/>
    <x v="45"/>
    <x v="13"/>
    <x v="46"/>
    <x v="15"/>
    <x v="44"/>
    <x v="16"/>
    <x v="44"/>
    <x v="19"/>
    <x v="36"/>
    <x v="6"/>
    <x v="22"/>
  </r>
</pivotCacheRecords>
</file>

<file path=xl/pivotCache/pivotCacheRecords36.xml><?xml version="1.0" encoding="utf-8"?>
<pivotCacheRecords xmlns="http://schemas.openxmlformats.org/spreadsheetml/2006/main" xmlns:r="http://schemas.openxmlformats.org/officeDocument/2006/relationships" count="53">
  <r>
    <x v="0"/>
    <x v="0"/>
    <x v="0"/>
    <x v="0"/>
    <x v="0"/>
    <x v="0"/>
    <x v="0"/>
    <x v="0"/>
    <x v="0"/>
    <x v="0"/>
    <x v="0"/>
    <x v="0"/>
    <x v="0"/>
    <x v="0"/>
  </r>
  <r>
    <x v="1"/>
    <x v="1"/>
    <x v="1"/>
    <x v="1"/>
    <x v="1"/>
    <x v="1"/>
    <x v="1"/>
    <x v="1"/>
    <x v="1"/>
    <x v="1"/>
    <x v="1"/>
    <x v="1"/>
    <x v="1"/>
    <x v="1"/>
  </r>
  <r>
    <x v="2"/>
    <x v="2"/>
    <x v="2"/>
    <x v="2"/>
    <x v="2"/>
    <x v="2"/>
    <x v="2"/>
    <x v="2"/>
    <x v="2"/>
    <x v="2"/>
    <x v="2"/>
    <x v="2"/>
    <x v="2"/>
    <x v="2"/>
  </r>
  <r>
    <x v="3"/>
    <x v="3"/>
    <x v="3"/>
    <x v="3"/>
    <x v="3"/>
    <x v="3"/>
    <x v="3"/>
    <x v="3"/>
    <x v="3"/>
    <x v="3"/>
    <x v="3"/>
    <x v="3"/>
    <x v="1"/>
    <x v="3"/>
  </r>
  <r>
    <x v="4"/>
    <x v="4"/>
    <x v="4"/>
    <x v="4"/>
    <x v="4"/>
    <x v="4"/>
    <x v="4"/>
    <x v="4"/>
    <x v="4"/>
    <x v="4"/>
    <x v="4"/>
    <x v="4"/>
    <x v="3"/>
    <x v="4"/>
  </r>
  <r>
    <x v="5"/>
    <x v="5"/>
    <x v="5"/>
    <x v="5"/>
    <x v="5"/>
    <x v="5"/>
    <x v="5"/>
    <x v="5"/>
    <x v="5"/>
    <x v="5"/>
    <x v="5"/>
    <x v="0"/>
    <x v="1"/>
    <x v="5"/>
  </r>
  <r>
    <x v="6"/>
    <x v="6"/>
    <x v="6"/>
    <x v="6"/>
    <x v="6"/>
    <x v="6"/>
    <x v="6"/>
    <x v="6"/>
    <x v="6"/>
    <x v="6"/>
    <x v="6"/>
    <x v="5"/>
    <x v="4"/>
    <x v="6"/>
  </r>
  <r>
    <x v="7"/>
    <x v="7"/>
    <x v="7"/>
    <x v="7"/>
    <x v="6"/>
    <x v="7"/>
    <x v="6"/>
    <x v="7"/>
    <x v="7"/>
    <x v="7"/>
    <x v="7"/>
    <x v="6"/>
    <x v="1"/>
    <x v="7"/>
  </r>
  <r>
    <x v="8"/>
    <x v="8"/>
    <x v="8"/>
    <x v="8"/>
    <x v="7"/>
    <x v="8"/>
    <x v="7"/>
    <x v="8"/>
    <x v="4"/>
    <x v="8"/>
    <x v="4"/>
    <x v="7"/>
    <x v="1"/>
    <x v="7"/>
  </r>
  <r>
    <x v="9"/>
    <x v="9"/>
    <x v="9"/>
    <x v="9"/>
    <x v="8"/>
    <x v="9"/>
    <x v="8"/>
    <x v="9"/>
    <x v="8"/>
    <x v="4"/>
    <x v="8"/>
    <x v="8"/>
    <x v="5"/>
    <x v="8"/>
  </r>
  <r>
    <x v="10"/>
    <x v="10"/>
    <x v="10"/>
    <x v="10"/>
    <x v="9"/>
    <x v="10"/>
    <x v="9"/>
    <x v="10"/>
    <x v="9"/>
    <x v="9"/>
    <x v="9"/>
    <x v="9"/>
    <x v="6"/>
    <x v="7"/>
  </r>
  <r>
    <x v="11"/>
    <x v="11"/>
    <x v="11"/>
    <x v="11"/>
    <x v="10"/>
    <x v="11"/>
    <x v="10"/>
    <x v="11"/>
    <x v="10"/>
    <x v="10"/>
    <x v="10"/>
    <x v="10"/>
    <x v="7"/>
    <x v="9"/>
  </r>
  <r>
    <x v="12"/>
    <x v="12"/>
    <x v="12"/>
    <x v="12"/>
    <x v="11"/>
    <x v="12"/>
    <x v="11"/>
    <x v="12"/>
    <x v="11"/>
    <x v="11"/>
    <x v="11"/>
    <x v="11"/>
    <x v="1"/>
    <x v="10"/>
  </r>
  <r>
    <x v="13"/>
    <x v="13"/>
    <x v="13"/>
    <x v="13"/>
    <x v="7"/>
    <x v="13"/>
    <x v="7"/>
    <x v="13"/>
    <x v="12"/>
    <x v="12"/>
    <x v="12"/>
    <x v="12"/>
    <x v="1"/>
    <x v="11"/>
  </r>
  <r>
    <x v="14"/>
    <x v="14"/>
    <x v="14"/>
    <x v="14"/>
    <x v="12"/>
    <x v="14"/>
    <x v="12"/>
    <x v="14"/>
    <x v="13"/>
    <x v="13"/>
    <x v="13"/>
    <x v="13"/>
    <x v="1"/>
    <x v="12"/>
  </r>
  <r>
    <x v="15"/>
    <x v="15"/>
    <x v="15"/>
    <x v="15"/>
    <x v="13"/>
    <x v="15"/>
    <x v="13"/>
    <x v="15"/>
    <x v="9"/>
    <x v="14"/>
    <x v="9"/>
    <x v="14"/>
    <x v="6"/>
    <x v="13"/>
  </r>
  <r>
    <x v="16"/>
    <x v="16"/>
    <x v="16"/>
    <x v="16"/>
    <x v="14"/>
    <x v="16"/>
    <x v="14"/>
    <x v="16"/>
    <x v="14"/>
    <x v="15"/>
    <x v="14"/>
    <x v="15"/>
    <x v="1"/>
    <x v="14"/>
  </r>
  <r>
    <x v="17"/>
    <x v="17"/>
    <x v="17"/>
    <x v="17"/>
    <x v="15"/>
    <x v="17"/>
    <x v="15"/>
    <x v="17"/>
    <x v="15"/>
    <x v="16"/>
    <x v="15"/>
    <x v="16"/>
    <x v="1"/>
    <x v="14"/>
  </r>
  <r>
    <x v="18"/>
    <x v="18"/>
    <x v="18"/>
    <x v="18"/>
    <x v="5"/>
    <x v="18"/>
    <x v="5"/>
    <x v="18"/>
    <x v="9"/>
    <x v="17"/>
    <x v="9"/>
    <x v="17"/>
    <x v="1"/>
    <x v="15"/>
  </r>
  <r>
    <x v="19"/>
    <x v="19"/>
    <x v="19"/>
    <x v="19"/>
    <x v="15"/>
    <x v="19"/>
    <x v="15"/>
    <x v="19"/>
    <x v="16"/>
    <x v="12"/>
    <x v="16"/>
    <x v="18"/>
    <x v="1"/>
    <x v="15"/>
  </r>
  <r>
    <x v="20"/>
    <x v="20"/>
    <x v="20"/>
    <x v="20"/>
    <x v="16"/>
    <x v="20"/>
    <x v="16"/>
    <x v="20"/>
    <x v="17"/>
    <x v="18"/>
    <x v="17"/>
    <x v="19"/>
    <x v="1"/>
    <x v="16"/>
  </r>
  <r>
    <x v="21"/>
    <x v="21"/>
    <x v="21"/>
    <x v="21"/>
    <x v="15"/>
    <x v="21"/>
    <x v="15"/>
    <x v="21"/>
    <x v="14"/>
    <x v="19"/>
    <x v="14"/>
    <x v="20"/>
    <x v="1"/>
    <x v="16"/>
  </r>
  <r>
    <x v="22"/>
    <x v="22"/>
    <x v="22"/>
    <x v="22"/>
    <x v="11"/>
    <x v="22"/>
    <x v="11"/>
    <x v="22"/>
    <x v="11"/>
    <x v="20"/>
    <x v="11"/>
    <x v="21"/>
    <x v="1"/>
    <x v="16"/>
  </r>
  <r>
    <x v="23"/>
    <x v="23"/>
    <x v="23"/>
    <x v="23"/>
    <x v="14"/>
    <x v="23"/>
    <x v="14"/>
    <x v="23"/>
    <x v="15"/>
    <x v="21"/>
    <x v="15"/>
    <x v="22"/>
    <x v="1"/>
    <x v="17"/>
  </r>
  <r>
    <x v="24"/>
    <x v="24"/>
    <x v="24"/>
    <x v="24"/>
    <x v="12"/>
    <x v="24"/>
    <x v="12"/>
    <x v="24"/>
    <x v="16"/>
    <x v="22"/>
    <x v="16"/>
    <x v="23"/>
    <x v="1"/>
    <x v="17"/>
  </r>
  <r>
    <x v="25"/>
    <x v="25"/>
    <x v="25"/>
    <x v="25"/>
    <x v="16"/>
    <x v="25"/>
    <x v="16"/>
    <x v="25"/>
    <x v="17"/>
    <x v="23"/>
    <x v="17"/>
    <x v="24"/>
    <x v="1"/>
    <x v="18"/>
  </r>
  <r>
    <x v="26"/>
    <x v="26"/>
    <x v="26"/>
    <x v="26"/>
    <x v="16"/>
    <x v="26"/>
    <x v="16"/>
    <x v="26"/>
    <x v="11"/>
    <x v="24"/>
    <x v="11"/>
    <x v="25"/>
    <x v="1"/>
    <x v="19"/>
  </r>
  <r>
    <x v="27"/>
    <x v="27"/>
    <x v="27"/>
    <x v="27"/>
    <x v="16"/>
    <x v="27"/>
    <x v="16"/>
    <x v="27"/>
    <x v="17"/>
    <x v="25"/>
    <x v="17"/>
    <x v="26"/>
    <x v="1"/>
    <x v="19"/>
  </r>
  <r>
    <x v="28"/>
    <x v="28"/>
    <x v="28"/>
    <x v="28"/>
    <x v="16"/>
    <x v="28"/>
    <x v="16"/>
    <x v="28"/>
    <x v="17"/>
    <x v="26"/>
    <x v="17"/>
    <x v="16"/>
    <x v="1"/>
    <x v="20"/>
  </r>
  <r>
    <x v="29"/>
    <x v="29"/>
    <x v="29"/>
    <x v="29"/>
    <x v="14"/>
    <x v="29"/>
    <x v="14"/>
    <x v="29"/>
    <x v="18"/>
    <x v="27"/>
    <x v="18"/>
    <x v="27"/>
    <x v="1"/>
    <x v="20"/>
  </r>
  <r>
    <x v="30"/>
    <x v="30"/>
    <x v="30"/>
    <x v="20"/>
    <x v="14"/>
    <x v="20"/>
    <x v="14"/>
    <x v="30"/>
    <x v="19"/>
    <x v="28"/>
    <x v="19"/>
    <x v="28"/>
    <x v="1"/>
    <x v="18"/>
  </r>
  <r>
    <x v="31"/>
    <x v="31"/>
    <x v="31"/>
    <x v="30"/>
    <x v="11"/>
    <x v="30"/>
    <x v="11"/>
    <x v="31"/>
    <x v="13"/>
    <x v="29"/>
    <x v="13"/>
    <x v="29"/>
    <x v="1"/>
    <x v="19"/>
  </r>
  <r>
    <x v="32"/>
    <x v="32"/>
    <x v="32"/>
    <x v="31"/>
    <x v="13"/>
    <x v="31"/>
    <x v="13"/>
    <x v="32"/>
    <x v="15"/>
    <x v="30"/>
    <x v="15"/>
    <x v="30"/>
    <x v="1"/>
    <x v="21"/>
  </r>
  <r>
    <x v="33"/>
    <x v="33"/>
    <x v="33"/>
    <x v="32"/>
    <x v="15"/>
    <x v="32"/>
    <x v="15"/>
    <x v="33"/>
    <x v="18"/>
    <x v="31"/>
    <x v="18"/>
    <x v="31"/>
    <x v="1"/>
    <x v="22"/>
  </r>
  <r>
    <x v="34"/>
    <x v="34"/>
    <x v="34"/>
    <x v="33"/>
    <x v="16"/>
    <x v="33"/>
    <x v="16"/>
    <x v="34"/>
    <x v="17"/>
    <x v="32"/>
    <x v="17"/>
    <x v="32"/>
    <x v="1"/>
    <x v="22"/>
  </r>
  <r>
    <x v="35"/>
    <x v="35"/>
    <x v="35"/>
    <x v="34"/>
    <x v="17"/>
    <x v="34"/>
    <x v="17"/>
    <x v="35"/>
    <x v="20"/>
    <x v="33"/>
    <x v="20"/>
    <x v="33"/>
    <x v="8"/>
    <x v="22"/>
  </r>
  <r>
    <x v="36"/>
    <x v="36"/>
    <x v="36"/>
    <x v="35"/>
    <x v="11"/>
    <x v="35"/>
    <x v="11"/>
    <x v="36"/>
    <x v="11"/>
    <x v="34"/>
    <x v="11"/>
    <x v="34"/>
    <x v="1"/>
    <x v="22"/>
  </r>
  <r>
    <x v="37"/>
    <x v="37"/>
    <x v="37"/>
    <x v="36"/>
    <x v="15"/>
    <x v="36"/>
    <x v="15"/>
    <x v="37"/>
    <x v="18"/>
    <x v="35"/>
    <x v="18"/>
    <x v="35"/>
    <x v="1"/>
    <x v="22"/>
  </r>
  <r>
    <x v="38"/>
    <x v="38"/>
    <x v="38"/>
    <x v="37"/>
    <x v="11"/>
    <x v="37"/>
    <x v="11"/>
    <x v="38"/>
    <x v="13"/>
    <x v="16"/>
    <x v="13"/>
    <x v="36"/>
    <x v="1"/>
    <x v="22"/>
  </r>
  <r>
    <x v="39"/>
    <x v="39"/>
    <x v="39"/>
    <x v="38"/>
    <x v="16"/>
    <x v="38"/>
    <x v="16"/>
    <x v="39"/>
    <x v="17"/>
    <x v="36"/>
    <x v="17"/>
    <x v="16"/>
    <x v="1"/>
    <x v="23"/>
  </r>
  <r>
    <x v="40"/>
    <x v="40"/>
    <x v="40"/>
    <x v="39"/>
    <x v="12"/>
    <x v="39"/>
    <x v="12"/>
    <x v="28"/>
    <x v="13"/>
    <x v="26"/>
    <x v="13"/>
    <x v="37"/>
    <x v="1"/>
    <x v="23"/>
  </r>
  <r>
    <x v="41"/>
    <x v="41"/>
    <x v="41"/>
    <x v="40"/>
    <x v="16"/>
    <x v="40"/>
    <x v="16"/>
    <x v="40"/>
    <x v="17"/>
    <x v="37"/>
    <x v="17"/>
    <x v="38"/>
    <x v="1"/>
    <x v="23"/>
  </r>
  <r>
    <x v="42"/>
    <x v="42"/>
    <x v="42"/>
    <x v="41"/>
    <x v="17"/>
    <x v="41"/>
    <x v="17"/>
    <x v="41"/>
    <x v="20"/>
    <x v="38"/>
    <x v="20"/>
    <x v="16"/>
    <x v="8"/>
    <x v="24"/>
  </r>
  <r>
    <x v="43"/>
    <x v="43"/>
    <x v="43"/>
    <x v="42"/>
    <x v="17"/>
    <x v="40"/>
    <x v="17"/>
    <x v="42"/>
    <x v="20"/>
    <x v="39"/>
    <x v="20"/>
    <x v="39"/>
    <x v="8"/>
    <x v="24"/>
  </r>
  <r>
    <x v="44"/>
    <x v="44"/>
    <x v="44"/>
    <x v="43"/>
    <x v="17"/>
    <x v="42"/>
    <x v="17"/>
    <x v="43"/>
    <x v="20"/>
    <x v="40"/>
    <x v="20"/>
    <x v="40"/>
    <x v="8"/>
    <x v="24"/>
  </r>
  <r>
    <x v="45"/>
    <x v="45"/>
    <x v="45"/>
    <x v="44"/>
    <x v="17"/>
    <x v="32"/>
    <x v="17"/>
    <x v="44"/>
    <x v="20"/>
    <x v="41"/>
    <x v="20"/>
    <x v="41"/>
    <x v="8"/>
    <x v="24"/>
  </r>
  <r>
    <x v="46"/>
    <x v="4"/>
    <x v="46"/>
    <x v="45"/>
    <x v="13"/>
    <x v="43"/>
    <x v="18"/>
    <x v="45"/>
    <x v="15"/>
    <x v="42"/>
    <x v="21"/>
    <x v="42"/>
    <x v="9"/>
    <x v="25"/>
  </r>
  <r>
    <x v="47"/>
    <x v="46"/>
    <x v="47"/>
    <x v="29"/>
    <x v="11"/>
    <x v="44"/>
    <x v="19"/>
    <x v="46"/>
    <x v="11"/>
    <x v="43"/>
    <x v="22"/>
    <x v="16"/>
    <x v="1"/>
    <x v="19"/>
  </r>
  <r>
    <x v="48"/>
    <x v="47"/>
    <x v="48"/>
    <x v="46"/>
    <x v="16"/>
    <x v="45"/>
    <x v="20"/>
    <x v="47"/>
    <x v="11"/>
    <x v="44"/>
    <x v="22"/>
    <x v="43"/>
    <x v="1"/>
    <x v="22"/>
  </r>
  <r>
    <x v="49"/>
    <x v="48"/>
    <x v="49"/>
    <x v="47"/>
    <x v="16"/>
    <x v="46"/>
    <x v="20"/>
    <x v="48"/>
    <x v="17"/>
    <x v="45"/>
    <x v="23"/>
    <x v="44"/>
    <x v="8"/>
    <x v="23"/>
  </r>
  <r>
    <x v="50"/>
    <x v="49"/>
    <x v="50"/>
    <x v="48"/>
    <x v="16"/>
    <x v="47"/>
    <x v="20"/>
    <x v="49"/>
    <x v="17"/>
    <x v="2"/>
    <x v="23"/>
    <x v="44"/>
    <x v="8"/>
    <x v="23"/>
  </r>
  <r>
    <x v="51"/>
    <x v="50"/>
    <x v="51"/>
    <x v="49"/>
    <x v="17"/>
    <x v="48"/>
    <x v="17"/>
    <x v="50"/>
    <x v="20"/>
    <x v="46"/>
    <x v="20"/>
    <x v="16"/>
    <x v="8"/>
    <x v="24"/>
  </r>
  <r>
    <x v="52"/>
    <x v="51"/>
    <x v="52"/>
    <x v="50"/>
    <x v="18"/>
    <x v="49"/>
    <x v="21"/>
    <x v="51"/>
    <x v="21"/>
    <x v="47"/>
    <x v="24"/>
    <x v="45"/>
    <x v="10"/>
    <x v="26"/>
  </r>
</pivotCacheRecords>
</file>

<file path=xl/pivotCache/pivotCacheRecords37.xml><?xml version="1.0" encoding="utf-8"?>
<pivotCacheRecords xmlns="http://schemas.openxmlformats.org/spreadsheetml/2006/main" xmlns:r="http://schemas.openxmlformats.org/officeDocument/2006/relationships" count="93">
  <r>
    <x v="0"/>
    <x v="0"/>
    <x v="0"/>
    <x v="0"/>
    <x v="0"/>
    <x v="0"/>
    <x v="0"/>
    <x v="0"/>
    <x v="0"/>
    <x v="0"/>
    <x v="0"/>
    <x v="0"/>
    <x v="0"/>
    <x v="0"/>
    <x v="0"/>
    <x v="0"/>
    <x v="0"/>
  </r>
  <r>
    <x v="0"/>
    <x v="0"/>
    <x v="1"/>
    <x v="1"/>
    <x v="1"/>
    <x v="1"/>
    <x v="1"/>
    <x v="1"/>
    <x v="1"/>
    <x v="1"/>
    <x v="1"/>
    <x v="1"/>
    <x v="1"/>
    <x v="1"/>
    <x v="0"/>
    <x v="1"/>
    <x v="0"/>
  </r>
  <r>
    <x v="0"/>
    <x v="0"/>
    <x v="2"/>
    <x v="2"/>
    <x v="2"/>
    <x v="2"/>
    <x v="2"/>
    <x v="0"/>
    <x v="0"/>
    <x v="0"/>
    <x v="0"/>
    <x v="0"/>
    <x v="0"/>
    <x v="0"/>
    <x v="0"/>
    <x v="0"/>
    <x v="0"/>
  </r>
  <r>
    <x v="1"/>
    <x v="1"/>
    <x v="3"/>
    <x v="3"/>
    <x v="3"/>
    <x v="3"/>
    <x v="3"/>
    <x v="2"/>
    <x v="2"/>
    <x v="2"/>
    <x v="2"/>
    <x v="2"/>
    <x v="2"/>
    <x v="2"/>
    <x v="0"/>
    <x v="2"/>
    <x v="0"/>
  </r>
  <r>
    <x v="1"/>
    <x v="1"/>
    <x v="4"/>
    <x v="4"/>
    <x v="4"/>
    <x v="4"/>
    <x v="4"/>
    <x v="3"/>
    <x v="3"/>
    <x v="3"/>
    <x v="3"/>
    <x v="3"/>
    <x v="3"/>
    <x v="3"/>
    <x v="1"/>
    <x v="3"/>
    <x v="1"/>
  </r>
  <r>
    <x v="2"/>
    <x v="2"/>
    <x v="5"/>
    <x v="5"/>
    <x v="5"/>
    <x v="5"/>
    <x v="5"/>
    <x v="0"/>
    <x v="0"/>
    <x v="0"/>
    <x v="0"/>
    <x v="0"/>
    <x v="0"/>
    <x v="0"/>
    <x v="0"/>
    <x v="0"/>
    <x v="0"/>
  </r>
  <r>
    <x v="3"/>
    <x v="3"/>
    <x v="6"/>
    <x v="6"/>
    <x v="6"/>
    <x v="6"/>
    <x v="6"/>
    <x v="4"/>
    <x v="4"/>
    <x v="4"/>
    <x v="1"/>
    <x v="1"/>
    <x v="4"/>
    <x v="0"/>
    <x v="1"/>
    <x v="0"/>
    <x v="2"/>
  </r>
  <r>
    <x v="4"/>
    <x v="4"/>
    <x v="7"/>
    <x v="7"/>
    <x v="7"/>
    <x v="7"/>
    <x v="7"/>
    <x v="4"/>
    <x v="5"/>
    <x v="5"/>
    <x v="1"/>
    <x v="1"/>
    <x v="5"/>
    <x v="1"/>
    <x v="0"/>
    <x v="4"/>
    <x v="0"/>
  </r>
  <r>
    <x v="1"/>
    <x v="1"/>
    <x v="8"/>
    <x v="8"/>
    <x v="8"/>
    <x v="8"/>
    <x v="8"/>
    <x v="5"/>
    <x v="6"/>
    <x v="6"/>
    <x v="2"/>
    <x v="4"/>
    <x v="6"/>
    <x v="4"/>
    <x v="0"/>
    <x v="5"/>
    <x v="0"/>
  </r>
  <r>
    <x v="5"/>
    <x v="5"/>
    <x v="9"/>
    <x v="0"/>
    <x v="9"/>
    <x v="9"/>
    <x v="1"/>
    <x v="0"/>
    <x v="0"/>
    <x v="0"/>
    <x v="0"/>
    <x v="0"/>
    <x v="0"/>
    <x v="0"/>
    <x v="0"/>
    <x v="0"/>
    <x v="0"/>
  </r>
  <r>
    <x v="2"/>
    <x v="2"/>
    <x v="10"/>
    <x v="9"/>
    <x v="10"/>
    <x v="10"/>
    <x v="9"/>
    <x v="0"/>
    <x v="0"/>
    <x v="0"/>
    <x v="0"/>
    <x v="0"/>
    <x v="0"/>
    <x v="0"/>
    <x v="0"/>
    <x v="0"/>
    <x v="0"/>
  </r>
  <r>
    <x v="5"/>
    <x v="5"/>
    <x v="11"/>
    <x v="10"/>
    <x v="11"/>
    <x v="11"/>
    <x v="10"/>
    <x v="0"/>
    <x v="0"/>
    <x v="7"/>
    <x v="0"/>
    <x v="0"/>
    <x v="7"/>
    <x v="0"/>
    <x v="0"/>
    <x v="0"/>
    <x v="0"/>
  </r>
  <r>
    <x v="6"/>
    <x v="6"/>
    <x v="12"/>
    <x v="11"/>
    <x v="12"/>
    <x v="12"/>
    <x v="11"/>
    <x v="6"/>
    <x v="7"/>
    <x v="8"/>
    <x v="1"/>
    <x v="1"/>
    <x v="8"/>
    <x v="1"/>
    <x v="0"/>
    <x v="6"/>
    <x v="0"/>
  </r>
  <r>
    <x v="6"/>
    <x v="6"/>
    <x v="13"/>
    <x v="12"/>
    <x v="13"/>
    <x v="13"/>
    <x v="12"/>
    <x v="7"/>
    <x v="8"/>
    <x v="9"/>
    <x v="4"/>
    <x v="5"/>
    <x v="9"/>
    <x v="5"/>
    <x v="0"/>
    <x v="7"/>
    <x v="0"/>
  </r>
  <r>
    <x v="6"/>
    <x v="6"/>
    <x v="14"/>
    <x v="13"/>
    <x v="14"/>
    <x v="14"/>
    <x v="13"/>
    <x v="0"/>
    <x v="0"/>
    <x v="0"/>
    <x v="0"/>
    <x v="0"/>
    <x v="0"/>
    <x v="0"/>
    <x v="0"/>
    <x v="0"/>
    <x v="0"/>
  </r>
  <r>
    <x v="7"/>
    <x v="7"/>
    <x v="15"/>
    <x v="14"/>
    <x v="15"/>
    <x v="15"/>
    <x v="14"/>
    <x v="8"/>
    <x v="9"/>
    <x v="10"/>
    <x v="2"/>
    <x v="4"/>
    <x v="10"/>
    <x v="4"/>
    <x v="0"/>
    <x v="8"/>
    <x v="0"/>
  </r>
  <r>
    <x v="7"/>
    <x v="7"/>
    <x v="16"/>
    <x v="15"/>
    <x v="16"/>
    <x v="16"/>
    <x v="15"/>
    <x v="9"/>
    <x v="10"/>
    <x v="11"/>
    <x v="5"/>
    <x v="6"/>
    <x v="11"/>
    <x v="6"/>
    <x v="0"/>
    <x v="9"/>
    <x v="0"/>
  </r>
  <r>
    <x v="8"/>
    <x v="8"/>
    <x v="17"/>
    <x v="5"/>
    <x v="17"/>
    <x v="17"/>
    <x v="16"/>
    <x v="0"/>
    <x v="0"/>
    <x v="0"/>
    <x v="0"/>
    <x v="0"/>
    <x v="0"/>
    <x v="0"/>
    <x v="0"/>
    <x v="0"/>
    <x v="0"/>
  </r>
  <r>
    <x v="9"/>
    <x v="9"/>
    <x v="18"/>
    <x v="10"/>
    <x v="11"/>
    <x v="11"/>
    <x v="10"/>
    <x v="0"/>
    <x v="0"/>
    <x v="7"/>
    <x v="0"/>
    <x v="0"/>
    <x v="7"/>
    <x v="0"/>
    <x v="0"/>
    <x v="0"/>
    <x v="0"/>
  </r>
  <r>
    <x v="10"/>
    <x v="10"/>
    <x v="19"/>
    <x v="10"/>
    <x v="11"/>
    <x v="11"/>
    <x v="10"/>
    <x v="0"/>
    <x v="0"/>
    <x v="7"/>
    <x v="0"/>
    <x v="0"/>
    <x v="7"/>
    <x v="0"/>
    <x v="0"/>
    <x v="0"/>
    <x v="0"/>
  </r>
  <r>
    <x v="8"/>
    <x v="8"/>
    <x v="20"/>
    <x v="2"/>
    <x v="18"/>
    <x v="18"/>
    <x v="17"/>
    <x v="0"/>
    <x v="0"/>
    <x v="0"/>
    <x v="0"/>
    <x v="0"/>
    <x v="0"/>
    <x v="0"/>
    <x v="0"/>
    <x v="0"/>
    <x v="0"/>
  </r>
  <r>
    <x v="9"/>
    <x v="9"/>
    <x v="19"/>
    <x v="10"/>
    <x v="11"/>
    <x v="11"/>
    <x v="10"/>
    <x v="0"/>
    <x v="0"/>
    <x v="7"/>
    <x v="0"/>
    <x v="0"/>
    <x v="7"/>
    <x v="0"/>
    <x v="0"/>
    <x v="0"/>
    <x v="0"/>
  </r>
  <r>
    <x v="10"/>
    <x v="10"/>
    <x v="21"/>
    <x v="10"/>
    <x v="11"/>
    <x v="11"/>
    <x v="10"/>
    <x v="0"/>
    <x v="0"/>
    <x v="7"/>
    <x v="0"/>
    <x v="0"/>
    <x v="7"/>
    <x v="0"/>
    <x v="0"/>
    <x v="0"/>
    <x v="0"/>
  </r>
  <r>
    <x v="9"/>
    <x v="9"/>
    <x v="22"/>
    <x v="10"/>
    <x v="11"/>
    <x v="11"/>
    <x v="10"/>
    <x v="0"/>
    <x v="0"/>
    <x v="7"/>
    <x v="0"/>
    <x v="0"/>
    <x v="7"/>
    <x v="0"/>
    <x v="0"/>
    <x v="0"/>
    <x v="0"/>
  </r>
  <r>
    <x v="10"/>
    <x v="10"/>
    <x v="23"/>
    <x v="10"/>
    <x v="11"/>
    <x v="11"/>
    <x v="10"/>
    <x v="0"/>
    <x v="0"/>
    <x v="7"/>
    <x v="0"/>
    <x v="0"/>
    <x v="7"/>
    <x v="0"/>
    <x v="0"/>
    <x v="0"/>
    <x v="0"/>
  </r>
  <r>
    <x v="5"/>
    <x v="5"/>
    <x v="24"/>
    <x v="10"/>
    <x v="11"/>
    <x v="11"/>
    <x v="10"/>
    <x v="0"/>
    <x v="0"/>
    <x v="7"/>
    <x v="0"/>
    <x v="0"/>
    <x v="7"/>
    <x v="0"/>
    <x v="0"/>
    <x v="0"/>
    <x v="0"/>
  </r>
  <r>
    <x v="3"/>
    <x v="3"/>
    <x v="25"/>
    <x v="0"/>
    <x v="19"/>
    <x v="19"/>
    <x v="18"/>
    <x v="4"/>
    <x v="11"/>
    <x v="12"/>
    <x v="1"/>
    <x v="1"/>
    <x v="12"/>
    <x v="1"/>
    <x v="0"/>
    <x v="4"/>
    <x v="0"/>
  </r>
  <r>
    <x v="4"/>
    <x v="4"/>
    <x v="26"/>
    <x v="0"/>
    <x v="20"/>
    <x v="20"/>
    <x v="19"/>
    <x v="0"/>
    <x v="0"/>
    <x v="0"/>
    <x v="0"/>
    <x v="0"/>
    <x v="0"/>
    <x v="0"/>
    <x v="0"/>
    <x v="0"/>
    <x v="0"/>
  </r>
  <r>
    <x v="8"/>
    <x v="8"/>
    <x v="27"/>
    <x v="10"/>
    <x v="11"/>
    <x v="11"/>
    <x v="10"/>
    <x v="0"/>
    <x v="0"/>
    <x v="7"/>
    <x v="0"/>
    <x v="0"/>
    <x v="7"/>
    <x v="0"/>
    <x v="0"/>
    <x v="0"/>
    <x v="0"/>
  </r>
  <r>
    <x v="3"/>
    <x v="3"/>
    <x v="28"/>
    <x v="10"/>
    <x v="11"/>
    <x v="11"/>
    <x v="10"/>
    <x v="0"/>
    <x v="0"/>
    <x v="7"/>
    <x v="0"/>
    <x v="0"/>
    <x v="7"/>
    <x v="0"/>
    <x v="0"/>
    <x v="0"/>
    <x v="0"/>
  </r>
  <r>
    <x v="4"/>
    <x v="4"/>
    <x v="29"/>
    <x v="2"/>
    <x v="21"/>
    <x v="14"/>
    <x v="20"/>
    <x v="0"/>
    <x v="0"/>
    <x v="0"/>
    <x v="0"/>
    <x v="0"/>
    <x v="0"/>
    <x v="0"/>
    <x v="0"/>
    <x v="0"/>
    <x v="0"/>
  </r>
  <r>
    <x v="11"/>
    <x v="11"/>
    <x v="30"/>
    <x v="5"/>
    <x v="22"/>
    <x v="21"/>
    <x v="21"/>
    <x v="10"/>
    <x v="12"/>
    <x v="13"/>
    <x v="1"/>
    <x v="1"/>
    <x v="13"/>
    <x v="1"/>
    <x v="0"/>
    <x v="10"/>
    <x v="0"/>
  </r>
  <r>
    <x v="2"/>
    <x v="2"/>
    <x v="31"/>
    <x v="2"/>
    <x v="23"/>
    <x v="22"/>
    <x v="22"/>
    <x v="0"/>
    <x v="0"/>
    <x v="0"/>
    <x v="0"/>
    <x v="0"/>
    <x v="0"/>
    <x v="0"/>
    <x v="0"/>
    <x v="0"/>
    <x v="0"/>
  </r>
  <r>
    <x v="12"/>
    <x v="12"/>
    <x v="32"/>
    <x v="5"/>
    <x v="24"/>
    <x v="23"/>
    <x v="23"/>
    <x v="0"/>
    <x v="0"/>
    <x v="0"/>
    <x v="0"/>
    <x v="0"/>
    <x v="0"/>
    <x v="0"/>
    <x v="0"/>
    <x v="0"/>
    <x v="0"/>
  </r>
  <r>
    <x v="12"/>
    <x v="12"/>
    <x v="33"/>
    <x v="16"/>
    <x v="25"/>
    <x v="24"/>
    <x v="24"/>
    <x v="11"/>
    <x v="13"/>
    <x v="14"/>
    <x v="1"/>
    <x v="7"/>
    <x v="14"/>
    <x v="7"/>
    <x v="0"/>
    <x v="11"/>
    <x v="0"/>
  </r>
  <r>
    <x v="13"/>
    <x v="13"/>
    <x v="34"/>
    <x v="17"/>
    <x v="26"/>
    <x v="25"/>
    <x v="25"/>
    <x v="12"/>
    <x v="14"/>
    <x v="15"/>
    <x v="6"/>
    <x v="7"/>
    <x v="15"/>
    <x v="7"/>
    <x v="0"/>
    <x v="12"/>
    <x v="0"/>
  </r>
  <r>
    <x v="14"/>
    <x v="14"/>
    <x v="35"/>
    <x v="18"/>
    <x v="27"/>
    <x v="26"/>
    <x v="26"/>
    <x v="1"/>
    <x v="15"/>
    <x v="16"/>
    <x v="1"/>
    <x v="1"/>
    <x v="16"/>
    <x v="1"/>
    <x v="0"/>
    <x v="1"/>
    <x v="0"/>
  </r>
  <r>
    <x v="15"/>
    <x v="15"/>
    <x v="36"/>
    <x v="19"/>
    <x v="28"/>
    <x v="27"/>
    <x v="27"/>
    <x v="0"/>
    <x v="0"/>
    <x v="0"/>
    <x v="0"/>
    <x v="0"/>
    <x v="0"/>
    <x v="0"/>
    <x v="0"/>
    <x v="0"/>
    <x v="0"/>
  </r>
  <r>
    <x v="16"/>
    <x v="16"/>
    <x v="37"/>
    <x v="20"/>
    <x v="29"/>
    <x v="28"/>
    <x v="28"/>
    <x v="13"/>
    <x v="16"/>
    <x v="17"/>
    <x v="1"/>
    <x v="1"/>
    <x v="17"/>
    <x v="1"/>
    <x v="0"/>
    <x v="13"/>
    <x v="0"/>
  </r>
  <r>
    <x v="17"/>
    <x v="17"/>
    <x v="38"/>
    <x v="10"/>
    <x v="11"/>
    <x v="11"/>
    <x v="10"/>
    <x v="0"/>
    <x v="0"/>
    <x v="7"/>
    <x v="0"/>
    <x v="0"/>
    <x v="7"/>
    <x v="0"/>
    <x v="0"/>
    <x v="0"/>
    <x v="0"/>
  </r>
  <r>
    <x v="18"/>
    <x v="18"/>
    <x v="38"/>
    <x v="10"/>
    <x v="11"/>
    <x v="11"/>
    <x v="10"/>
    <x v="0"/>
    <x v="0"/>
    <x v="7"/>
    <x v="0"/>
    <x v="0"/>
    <x v="7"/>
    <x v="0"/>
    <x v="0"/>
    <x v="0"/>
    <x v="0"/>
  </r>
  <r>
    <x v="19"/>
    <x v="19"/>
    <x v="39"/>
    <x v="13"/>
    <x v="30"/>
    <x v="29"/>
    <x v="5"/>
    <x v="0"/>
    <x v="0"/>
    <x v="0"/>
    <x v="0"/>
    <x v="0"/>
    <x v="0"/>
    <x v="0"/>
    <x v="0"/>
    <x v="0"/>
    <x v="0"/>
  </r>
  <r>
    <x v="20"/>
    <x v="20"/>
    <x v="40"/>
    <x v="21"/>
    <x v="31"/>
    <x v="30"/>
    <x v="5"/>
    <x v="13"/>
    <x v="17"/>
    <x v="18"/>
    <x v="1"/>
    <x v="1"/>
    <x v="18"/>
    <x v="1"/>
    <x v="0"/>
    <x v="13"/>
    <x v="0"/>
  </r>
  <r>
    <x v="21"/>
    <x v="21"/>
    <x v="41"/>
    <x v="22"/>
    <x v="32"/>
    <x v="31"/>
    <x v="29"/>
    <x v="0"/>
    <x v="0"/>
    <x v="0"/>
    <x v="0"/>
    <x v="0"/>
    <x v="0"/>
    <x v="0"/>
    <x v="0"/>
    <x v="0"/>
    <x v="0"/>
  </r>
  <r>
    <x v="21"/>
    <x v="21"/>
    <x v="42"/>
    <x v="23"/>
    <x v="33"/>
    <x v="32"/>
    <x v="30"/>
    <x v="0"/>
    <x v="0"/>
    <x v="0"/>
    <x v="0"/>
    <x v="0"/>
    <x v="0"/>
    <x v="0"/>
    <x v="0"/>
    <x v="0"/>
    <x v="0"/>
  </r>
  <r>
    <x v="15"/>
    <x v="15"/>
    <x v="43"/>
    <x v="13"/>
    <x v="34"/>
    <x v="33"/>
    <x v="31"/>
    <x v="0"/>
    <x v="0"/>
    <x v="0"/>
    <x v="0"/>
    <x v="0"/>
    <x v="0"/>
    <x v="0"/>
    <x v="0"/>
    <x v="0"/>
    <x v="0"/>
  </r>
  <r>
    <x v="21"/>
    <x v="21"/>
    <x v="44"/>
    <x v="18"/>
    <x v="35"/>
    <x v="34"/>
    <x v="32"/>
    <x v="14"/>
    <x v="18"/>
    <x v="19"/>
    <x v="1"/>
    <x v="1"/>
    <x v="16"/>
    <x v="1"/>
    <x v="0"/>
    <x v="14"/>
    <x v="0"/>
  </r>
  <r>
    <x v="20"/>
    <x v="20"/>
    <x v="45"/>
    <x v="21"/>
    <x v="36"/>
    <x v="35"/>
    <x v="33"/>
    <x v="0"/>
    <x v="0"/>
    <x v="0"/>
    <x v="0"/>
    <x v="0"/>
    <x v="0"/>
    <x v="0"/>
    <x v="0"/>
    <x v="0"/>
    <x v="0"/>
  </r>
  <r>
    <x v="22"/>
    <x v="22"/>
    <x v="46"/>
    <x v="5"/>
    <x v="37"/>
    <x v="36"/>
    <x v="34"/>
    <x v="0"/>
    <x v="0"/>
    <x v="0"/>
    <x v="0"/>
    <x v="0"/>
    <x v="0"/>
    <x v="0"/>
    <x v="0"/>
    <x v="0"/>
    <x v="0"/>
  </r>
  <r>
    <x v="16"/>
    <x v="16"/>
    <x v="47"/>
    <x v="10"/>
    <x v="11"/>
    <x v="11"/>
    <x v="10"/>
    <x v="0"/>
    <x v="0"/>
    <x v="7"/>
    <x v="0"/>
    <x v="0"/>
    <x v="7"/>
    <x v="0"/>
    <x v="0"/>
    <x v="0"/>
    <x v="0"/>
  </r>
  <r>
    <x v="15"/>
    <x v="15"/>
    <x v="48"/>
    <x v="24"/>
    <x v="38"/>
    <x v="37"/>
    <x v="35"/>
    <x v="15"/>
    <x v="19"/>
    <x v="20"/>
    <x v="6"/>
    <x v="7"/>
    <x v="12"/>
    <x v="7"/>
    <x v="0"/>
    <x v="15"/>
    <x v="0"/>
  </r>
  <r>
    <x v="23"/>
    <x v="23"/>
    <x v="49"/>
    <x v="25"/>
    <x v="39"/>
    <x v="38"/>
    <x v="36"/>
    <x v="16"/>
    <x v="20"/>
    <x v="21"/>
    <x v="5"/>
    <x v="4"/>
    <x v="19"/>
    <x v="4"/>
    <x v="0"/>
    <x v="16"/>
    <x v="0"/>
  </r>
  <r>
    <x v="24"/>
    <x v="24"/>
    <x v="50"/>
    <x v="26"/>
    <x v="40"/>
    <x v="39"/>
    <x v="37"/>
    <x v="17"/>
    <x v="21"/>
    <x v="22"/>
    <x v="6"/>
    <x v="7"/>
    <x v="20"/>
    <x v="0"/>
    <x v="2"/>
    <x v="0"/>
    <x v="3"/>
  </r>
  <r>
    <x v="14"/>
    <x v="14"/>
    <x v="51"/>
    <x v="5"/>
    <x v="41"/>
    <x v="40"/>
    <x v="38"/>
    <x v="0"/>
    <x v="0"/>
    <x v="0"/>
    <x v="0"/>
    <x v="0"/>
    <x v="0"/>
    <x v="0"/>
    <x v="0"/>
    <x v="0"/>
    <x v="0"/>
  </r>
  <r>
    <x v="17"/>
    <x v="17"/>
    <x v="52"/>
    <x v="10"/>
    <x v="11"/>
    <x v="11"/>
    <x v="10"/>
    <x v="0"/>
    <x v="0"/>
    <x v="7"/>
    <x v="0"/>
    <x v="0"/>
    <x v="7"/>
    <x v="0"/>
    <x v="0"/>
    <x v="0"/>
    <x v="0"/>
  </r>
  <r>
    <x v="18"/>
    <x v="18"/>
    <x v="53"/>
    <x v="10"/>
    <x v="11"/>
    <x v="11"/>
    <x v="10"/>
    <x v="0"/>
    <x v="0"/>
    <x v="7"/>
    <x v="0"/>
    <x v="0"/>
    <x v="7"/>
    <x v="0"/>
    <x v="0"/>
    <x v="0"/>
    <x v="0"/>
  </r>
  <r>
    <x v="19"/>
    <x v="19"/>
    <x v="54"/>
    <x v="10"/>
    <x v="11"/>
    <x v="11"/>
    <x v="10"/>
    <x v="0"/>
    <x v="0"/>
    <x v="7"/>
    <x v="0"/>
    <x v="0"/>
    <x v="7"/>
    <x v="0"/>
    <x v="0"/>
    <x v="0"/>
    <x v="0"/>
  </r>
  <r>
    <x v="14"/>
    <x v="14"/>
    <x v="55"/>
    <x v="27"/>
    <x v="42"/>
    <x v="41"/>
    <x v="39"/>
    <x v="1"/>
    <x v="22"/>
    <x v="23"/>
    <x v="1"/>
    <x v="1"/>
    <x v="21"/>
    <x v="1"/>
    <x v="0"/>
    <x v="1"/>
    <x v="0"/>
  </r>
  <r>
    <x v="20"/>
    <x v="20"/>
    <x v="56"/>
    <x v="2"/>
    <x v="43"/>
    <x v="42"/>
    <x v="40"/>
    <x v="0"/>
    <x v="0"/>
    <x v="0"/>
    <x v="0"/>
    <x v="0"/>
    <x v="0"/>
    <x v="0"/>
    <x v="0"/>
    <x v="0"/>
    <x v="0"/>
  </r>
  <r>
    <x v="25"/>
    <x v="25"/>
    <x v="57"/>
    <x v="10"/>
    <x v="11"/>
    <x v="11"/>
    <x v="10"/>
    <x v="0"/>
    <x v="0"/>
    <x v="7"/>
    <x v="0"/>
    <x v="0"/>
    <x v="7"/>
    <x v="0"/>
    <x v="0"/>
    <x v="0"/>
    <x v="0"/>
  </r>
  <r>
    <x v="26"/>
    <x v="26"/>
    <x v="58"/>
    <x v="28"/>
    <x v="44"/>
    <x v="43"/>
    <x v="41"/>
    <x v="18"/>
    <x v="23"/>
    <x v="24"/>
    <x v="1"/>
    <x v="1"/>
    <x v="22"/>
    <x v="1"/>
    <x v="0"/>
    <x v="17"/>
    <x v="0"/>
  </r>
  <r>
    <x v="27"/>
    <x v="27"/>
    <x v="59"/>
    <x v="6"/>
    <x v="45"/>
    <x v="44"/>
    <x v="42"/>
    <x v="0"/>
    <x v="0"/>
    <x v="0"/>
    <x v="0"/>
    <x v="0"/>
    <x v="0"/>
    <x v="0"/>
    <x v="0"/>
    <x v="0"/>
    <x v="0"/>
  </r>
  <r>
    <x v="28"/>
    <x v="28"/>
    <x v="60"/>
    <x v="10"/>
    <x v="11"/>
    <x v="11"/>
    <x v="10"/>
    <x v="0"/>
    <x v="0"/>
    <x v="7"/>
    <x v="0"/>
    <x v="0"/>
    <x v="7"/>
    <x v="0"/>
    <x v="0"/>
    <x v="0"/>
    <x v="0"/>
  </r>
  <r>
    <x v="29"/>
    <x v="29"/>
    <x v="61"/>
    <x v="1"/>
    <x v="46"/>
    <x v="45"/>
    <x v="43"/>
    <x v="13"/>
    <x v="24"/>
    <x v="25"/>
    <x v="1"/>
    <x v="1"/>
    <x v="1"/>
    <x v="1"/>
    <x v="0"/>
    <x v="13"/>
    <x v="0"/>
  </r>
  <r>
    <x v="30"/>
    <x v="30"/>
    <x v="62"/>
    <x v="29"/>
    <x v="47"/>
    <x v="46"/>
    <x v="44"/>
    <x v="19"/>
    <x v="25"/>
    <x v="26"/>
    <x v="7"/>
    <x v="8"/>
    <x v="23"/>
    <x v="8"/>
    <x v="0"/>
    <x v="18"/>
    <x v="0"/>
  </r>
  <r>
    <x v="29"/>
    <x v="29"/>
    <x v="63"/>
    <x v="30"/>
    <x v="48"/>
    <x v="47"/>
    <x v="45"/>
    <x v="13"/>
    <x v="26"/>
    <x v="27"/>
    <x v="1"/>
    <x v="1"/>
    <x v="24"/>
    <x v="1"/>
    <x v="0"/>
    <x v="13"/>
    <x v="0"/>
  </r>
  <r>
    <x v="30"/>
    <x v="30"/>
    <x v="64"/>
    <x v="23"/>
    <x v="49"/>
    <x v="48"/>
    <x v="46"/>
    <x v="20"/>
    <x v="27"/>
    <x v="28"/>
    <x v="2"/>
    <x v="4"/>
    <x v="24"/>
    <x v="4"/>
    <x v="0"/>
    <x v="19"/>
    <x v="0"/>
  </r>
  <r>
    <x v="13"/>
    <x v="13"/>
    <x v="65"/>
    <x v="31"/>
    <x v="50"/>
    <x v="49"/>
    <x v="47"/>
    <x v="21"/>
    <x v="28"/>
    <x v="29"/>
    <x v="5"/>
    <x v="6"/>
    <x v="25"/>
    <x v="6"/>
    <x v="0"/>
    <x v="20"/>
    <x v="0"/>
  </r>
  <r>
    <x v="13"/>
    <x v="13"/>
    <x v="66"/>
    <x v="18"/>
    <x v="51"/>
    <x v="50"/>
    <x v="48"/>
    <x v="21"/>
    <x v="29"/>
    <x v="30"/>
    <x v="5"/>
    <x v="6"/>
    <x v="26"/>
    <x v="6"/>
    <x v="0"/>
    <x v="20"/>
    <x v="0"/>
  </r>
  <r>
    <x v="31"/>
    <x v="31"/>
    <x v="67"/>
    <x v="22"/>
    <x v="52"/>
    <x v="51"/>
    <x v="49"/>
    <x v="0"/>
    <x v="0"/>
    <x v="0"/>
    <x v="0"/>
    <x v="0"/>
    <x v="0"/>
    <x v="0"/>
    <x v="0"/>
    <x v="0"/>
    <x v="0"/>
  </r>
  <r>
    <x v="32"/>
    <x v="32"/>
    <x v="68"/>
    <x v="32"/>
    <x v="53"/>
    <x v="52"/>
    <x v="50"/>
    <x v="22"/>
    <x v="30"/>
    <x v="31"/>
    <x v="8"/>
    <x v="9"/>
    <x v="1"/>
    <x v="2"/>
    <x v="2"/>
    <x v="21"/>
    <x v="4"/>
  </r>
  <r>
    <x v="33"/>
    <x v="33"/>
    <x v="69"/>
    <x v="25"/>
    <x v="54"/>
    <x v="53"/>
    <x v="51"/>
    <x v="23"/>
    <x v="31"/>
    <x v="32"/>
    <x v="6"/>
    <x v="7"/>
    <x v="27"/>
    <x v="7"/>
    <x v="0"/>
    <x v="22"/>
    <x v="0"/>
  </r>
  <r>
    <x v="15"/>
    <x v="15"/>
    <x v="70"/>
    <x v="13"/>
    <x v="55"/>
    <x v="54"/>
    <x v="52"/>
    <x v="0"/>
    <x v="0"/>
    <x v="0"/>
    <x v="0"/>
    <x v="0"/>
    <x v="0"/>
    <x v="0"/>
    <x v="0"/>
    <x v="0"/>
    <x v="0"/>
  </r>
  <r>
    <x v="27"/>
    <x v="27"/>
    <x v="71"/>
    <x v="33"/>
    <x v="56"/>
    <x v="55"/>
    <x v="53"/>
    <x v="1"/>
    <x v="32"/>
    <x v="33"/>
    <x v="1"/>
    <x v="1"/>
    <x v="28"/>
    <x v="1"/>
    <x v="0"/>
    <x v="1"/>
    <x v="0"/>
  </r>
  <r>
    <x v="28"/>
    <x v="28"/>
    <x v="72"/>
    <x v="10"/>
    <x v="11"/>
    <x v="11"/>
    <x v="10"/>
    <x v="0"/>
    <x v="0"/>
    <x v="7"/>
    <x v="0"/>
    <x v="0"/>
    <x v="7"/>
    <x v="0"/>
    <x v="0"/>
    <x v="0"/>
    <x v="0"/>
  </r>
  <r>
    <x v="12"/>
    <x v="12"/>
    <x v="73"/>
    <x v="10"/>
    <x v="11"/>
    <x v="11"/>
    <x v="10"/>
    <x v="0"/>
    <x v="0"/>
    <x v="7"/>
    <x v="0"/>
    <x v="0"/>
    <x v="7"/>
    <x v="0"/>
    <x v="0"/>
    <x v="0"/>
    <x v="0"/>
  </r>
  <r>
    <x v="32"/>
    <x v="32"/>
    <x v="74"/>
    <x v="5"/>
    <x v="57"/>
    <x v="56"/>
    <x v="54"/>
    <x v="0"/>
    <x v="0"/>
    <x v="0"/>
    <x v="0"/>
    <x v="0"/>
    <x v="0"/>
    <x v="0"/>
    <x v="0"/>
    <x v="0"/>
    <x v="0"/>
  </r>
  <r>
    <x v="32"/>
    <x v="32"/>
    <x v="75"/>
    <x v="24"/>
    <x v="58"/>
    <x v="57"/>
    <x v="55"/>
    <x v="0"/>
    <x v="0"/>
    <x v="0"/>
    <x v="0"/>
    <x v="0"/>
    <x v="0"/>
    <x v="0"/>
    <x v="0"/>
    <x v="0"/>
    <x v="0"/>
  </r>
  <r>
    <x v="34"/>
    <x v="34"/>
    <x v="76"/>
    <x v="34"/>
    <x v="59"/>
    <x v="58"/>
    <x v="56"/>
    <x v="0"/>
    <x v="0"/>
    <x v="0"/>
    <x v="0"/>
    <x v="0"/>
    <x v="0"/>
    <x v="0"/>
    <x v="0"/>
    <x v="0"/>
    <x v="0"/>
  </r>
  <r>
    <x v="35"/>
    <x v="35"/>
    <x v="77"/>
    <x v="35"/>
    <x v="60"/>
    <x v="59"/>
    <x v="57"/>
    <x v="24"/>
    <x v="33"/>
    <x v="34"/>
    <x v="6"/>
    <x v="7"/>
    <x v="29"/>
    <x v="1"/>
    <x v="1"/>
    <x v="23"/>
    <x v="5"/>
  </r>
  <r>
    <x v="36"/>
    <x v="36"/>
    <x v="78"/>
    <x v="2"/>
    <x v="61"/>
    <x v="18"/>
    <x v="17"/>
    <x v="0"/>
    <x v="0"/>
    <x v="0"/>
    <x v="0"/>
    <x v="0"/>
    <x v="0"/>
    <x v="0"/>
    <x v="0"/>
    <x v="0"/>
    <x v="0"/>
  </r>
  <r>
    <x v="37"/>
    <x v="37"/>
    <x v="79"/>
    <x v="5"/>
    <x v="62"/>
    <x v="47"/>
    <x v="58"/>
    <x v="0"/>
    <x v="0"/>
    <x v="0"/>
    <x v="0"/>
    <x v="0"/>
    <x v="0"/>
    <x v="0"/>
    <x v="0"/>
    <x v="0"/>
    <x v="0"/>
  </r>
  <r>
    <x v="24"/>
    <x v="24"/>
    <x v="80"/>
    <x v="0"/>
    <x v="63"/>
    <x v="60"/>
    <x v="59"/>
    <x v="0"/>
    <x v="0"/>
    <x v="0"/>
    <x v="0"/>
    <x v="0"/>
    <x v="0"/>
    <x v="0"/>
    <x v="0"/>
    <x v="0"/>
    <x v="0"/>
  </r>
  <r>
    <x v="24"/>
    <x v="24"/>
    <x v="81"/>
    <x v="11"/>
    <x v="64"/>
    <x v="61"/>
    <x v="60"/>
    <x v="25"/>
    <x v="34"/>
    <x v="35"/>
    <x v="9"/>
    <x v="4"/>
    <x v="30"/>
    <x v="7"/>
    <x v="3"/>
    <x v="24"/>
    <x v="6"/>
  </r>
  <r>
    <x v="23"/>
    <x v="23"/>
    <x v="82"/>
    <x v="11"/>
    <x v="65"/>
    <x v="62"/>
    <x v="61"/>
    <x v="0"/>
    <x v="0"/>
    <x v="0"/>
    <x v="0"/>
    <x v="0"/>
    <x v="0"/>
    <x v="0"/>
    <x v="0"/>
    <x v="0"/>
    <x v="0"/>
  </r>
  <r>
    <x v="33"/>
    <x v="33"/>
    <x v="83"/>
    <x v="5"/>
    <x v="66"/>
    <x v="63"/>
    <x v="62"/>
    <x v="0"/>
    <x v="0"/>
    <x v="0"/>
    <x v="0"/>
    <x v="0"/>
    <x v="0"/>
    <x v="0"/>
    <x v="0"/>
    <x v="0"/>
    <x v="0"/>
  </r>
  <r>
    <x v="26"/>
    <x v="26"/>
    <x v="84"/>
    <x v="13"/>
    <x v="67"/>
    <x v="47"/>
    <x v="63"/>
    <x v="0"/>
    <x v="0"/>
    <x v="0"/>
    <x v="0"/>
    <x v="0"/>
    <x v="0"/>
    <x v="0"/>
    <x v="0"/>
    <x v="0"/>
    <x v="0"/>
  </r>
  <r>
    <x v="38"/>
    <x v="38"/>
    <x v="85"/>
    <x v="35"/>
    <x v="68"/>
    <x v="64"/>
    <x v="64"/>
    <x v="26"/>
    <x v="35"/>
    <x v="36"/>
    <x v="1"/>
    <x v="1"/>
    <x v="31"/>
    <x v="1"/>
    <x v="0"/>
    <x v="25"/>
    <x v="0"/>
  </r>
  <r>
    <x v="39"/>
    <x v="39"/>
    <x v="52"/>
    <x v="10"/>
    <x v="11"/>
    <x v="11"/>
    <x v="10"/>
    <x v="0"/>
    <x v="0"/>
    <x v="7"/>
    <x v="0"/>
    <x v="0"/>
    <x v="7"/>
    <x v="0"/>
    <x v="0"/>
    <x v="0"/>
    <x v="0"/>
  </r>
  <r>
    <x v="40"/>
    <x v="40"/>
    <x v="86"/>
    <x v="10"/>
    <x v="11"/>
    <x v="11"/>
    <x v="10"/>
    <x v="0"/>
    <x v="0"/>
    <x v="7"/>
    <x v="0"/>
    <x v="0"/>
    <x v="7"/>
    <x v="0"/>
    <x v="0"/>
    <x v="0"/>
    <x v="0"/>
  </r>
  <r>
    <x v="41"/>
    <x v="41"/>
    <x v="87"/>
    <x v="10"/>
    <x v="11"/>
    <x v="11"/>
    <x v="10"/>
    <x v="0"/>
    <x v="0"/>
    <x v="7"/>
    <x v="0"/>
    <x v="0"/>
    <x v="7"/>
    <x v="0"/>
    <x v="0"/>
    <x v="0"/>
    <x v="0"/>
  </r>
  <r>
    <x v="42"/>
    <x v="42"/>
    <x v="88"/>
    <x v="5"/>
    <x v="69"/>
    <x v="65"/>
    <x v="65"/>
    <x v="0"/>
    <x v="0"/>
    <x v="0"/>
    <x v="0"/>
    <x v="0"/>
    <x v="0"/>
    <x v="0"/>
    <x v="0"/>
    <x v="0"/>
    <x v="0"/>
  </r>
  <r>
    <x v="43"/>
    <x v="43"/>
    <x v="89"/>
    <x v="36"/>
    <x v="70"/>
    <x v="11"/>
    <x v="66"/>
    <x v="27"/>
    <x v="0"/>
    <x v="7"/>
    <x v="10"/>
    <x v="10"/>
    <x v="7"/>
    <x v="9"/>
    <x v="4"/>
    <x v="26"/>
    <x v="7"/>
  </r>
</pivotCacheRecords>
</file>

<file path=xl/pivotCache/pivotCacheRecords38.xml><?xml version="1.0" encoding="utf-8"?>
<pivotCacheRecords xmlns="http://schemas.openxmlformats.org/spreadsheetml/2006/main" xmlns:r="http://schemas.openxmlformats.org/officeDocument/2006/relationships" count="98">
  <r>
    <x v="0"/>
    <x v="0"/>
    <x v="0"/>
    <x v="0"/>
    <x v="0"/>
    <x v="0"/>
    <x v="0"/>
    <x v="0"/>
    <x v="0"/>
    <x v="0"/>
    <x v="0"/>
    <x v="0"/>
    <x v="0"/>
    <x v="0"/>
    <x v="0"/>
    <x v="0"/>
    <x v="0"/>
  </r>
  <r>
    <x v="0"/>
    <x v="0"/>
    <x v="1"/>
    <x v="1"/>
    <x v="1"/>
    <x v="1"/>
    <x v="1"/>
    <x v="1"/>
    <x v="1"/>
    <x v="1"/>
    <x v="0"/>
    <x v="0"/>
    <x v="1"/>
    <x v="1"/>
    <x v="1"/>
    <x v="1"/>
    <x v="1"/>
  </r>
  <r>
    <x v="0"/>
    <x v="0"/>
    <x v="2"/>
    <x v="2"/>
    <x v="2"/>
    <x v="2"/>
    <x v="2"/>
    <x v="2"/>
    <x v="2"/>
    <x v="2"/>
    <x v="1"/>
    <x v="1"/>
    <x v="2"/>
    <x v="0"/>
    <x v="1"/>
    <x v="0"/>
    <x v="1"/>
  </r>
  <r>
    <x v="1"/>
    <x v="1"/>
    <x v="3"/>
    <x v="3"/>
    <x v="3"/>
    <x v="3"/>
    <x v="3"/>
    <x v="3"/>
    <x v="3"/>
    <x v="3"/>
    <x v="2"/>
    <x v="2"/>
    <x v="3"/>
    <x v="2"/>
    <x v="1"/>
    <x v="2"/>
    <x v="1"/>
  </r>
  <r>
    <x v="1"/>
    <x v="1"/>
    <x v="4"/>
    <x v="4"/>
    <x v="4"/>
    <x v="4"/>
    <x v="4"/>
    <x v="4"/>
    <x v="4"/>
    <x v="4"/>
    <x v="3"/>
    <x v="3"/>
    <x v="4"/>
    <x v="3"/>
    <x v="2"/>
    <x v="3"/>
    <x v="2"/>
  </r>
  <r>
    <x v="2"/>
    <x v="2"/>
    <x v="5"/>
    <x v="5"/>
    <x v="5"/>
    <x v="5"/>
    <x v="5"/>
    <x v="2"/>
    <x v="2"/>
    <x v="2"/>
    <x v="1"/>
    <x v="1"/>
    <x v="2"/>
    <x v="0"/>
    <x v="1"/>
    <x v="0"/>
    <x v="1"/>
  </r>
  <r>
    <x v="3"/>
    <x v="3"/>
    <x v="6"/>
    <x v="6"/>
    <x v="6"/>
    <x v="6"/>
    <x v="6"/>
    <x v="5"/>
    <x v="5"/>
    <x v="5"/>
    <x v="4"/>
    <x v="4"/>
    <x v="5"/>
    <x v="1"/>
    <x v="3"/>
    <x v="4"/>
    <x v="3"/>
  </r>
  <r>
    <x v="4"/>
    <x v="4"/>
    <x v="7"/>
    <x v="7"/>
    <x v="7"/>
    <x v="7"/>
    <x v="7"/>
    <x v="6"/>
    <x v="6"/>
    <x v="6"/>
    <x v="4"/>
    <x v="5"/>
    <x v="6"/>
    <x v="4"/>
    <x v="1"/>
    <x v="5"/>
    <x v="1"/>
  </r>
  <r>
    <x v="1"/>
    <x v="1"/>
    <x v="8"/>
    <x v="8"/>
    <x v="8"/>
    <x v="8"/>
    <x v="8"/>
    <x v="7"/>
    <x v="7"/>
    <x v="7"/>
    <x v="2"/>
    <x v="2"/>
    <x v="7"/>
    <x v="2"/>
    <x v="1"/>
    <x v="6"/>
    <x v="1"/>
  </r>
  <r>
    <x v="5"/>
    <x v="5"/>
    <x v="9"/>
    <x v="9"/>
    <x v="9"/>
    <x v="9"/>
    <x v="9"/>
    <x v="2"/>
    <x v="2"/>
    <x v="2"/>
    <x v="1"/>
    <x v="1"/>
    <x v="2"/>
    <x v="0"/>
    <x v="1"/>
    <x v="0"/>
    <x v="1"/>
  </r>
  <r>
    <x v="2"/>
    <x v="2"/>
    <x v="10"/>
    <x v="10"/>
    <x v="10"/>
    <x v="10"/>
    <x v="10"/>
    <x v="2"/>
    <x v="2"/>
    <x v="2"/>
    <x v="1"/>
    <x v="1"/>
    <x v="2"/>
    <x v="0"/>
    <x v="1"/>
    <x v="0"/>
    <x v="1"/>
  </r>
  <r>
    <x v="5"/>
    <x v="5"/>
    <x v="11"/>
    <x v="11"/>
    <x v="11"/>
    <x v="11"/>
    <x v="11"/>
    <x v="2"/>
    <x v="2"/>
    <x v="8"/>
    <x v="1"/>
    <x v="1"/>
    <x v="8"/>
    <x v="0"/>
    <x v="1"/>
    <x v="0"/>
    <x v="1"/>
  </r>
  <r>
    <x v="6"/>
    <x v="6"/>
    <x v="12"/>
    <x v="3"/>
    <x v="12"/>
    <x v="12"/>
    <x v="12"/>
    <x v="8"/>
    <x v="8"/>
    <x v="9"/>
    <x v="5"/>
    <x v="6"/>
    <x v="9"/>
    <x v="5"/>
    <x v="1"/>
    <x v="7"/>
    <x v="1"/>
  </r>
  <r>
    <x v="6"/>
    <x v="6"/>
    <x v="13"/>
    <x v="12"/>
    <x v="13"/>
    <x v="13"/>
    <x v="13"/>
    <x v="9"/>
    <x v="9"/>
    <x v="10"/>
    <x v="6"/>
    <x v="7"/>
    <x v="10"/>
    <x v="6"/>
    <x v="0"/>
    <x v="8"/>
    <x v="4"/>
  </r>
  <r>
    <x v="6"/>
    <x v="6"/>
    <x v="14"/>
    <x v="13"/>
    <x v="14"/>
    <x v="14"/>
    <x v="14"/>
    <x v="2"/>
    <x v="2"/>
    <x v="2"/>
    <x v="1"/>
    <x v="1"/>
    <x v="2"/>
    <x v="0"/>
    <x v="1"/>
    <x v="0"/>
    <x v="1"/>
  </r>
  <r>
    <x v="7"/>
    <x v="7"/>
    <x v="15"/>
    <x v="14"/>
    <x v="15"/>
    <x v="15"/>
    <x v="15"/>
    <x v="10"/>
    <x v="10"/>
    <x v="11"/>
    <x v="7"/>
    <x v="8"/>
    <x v="11"/>
    <x v="7"/>
    <x v="1"/>
    <x v="9"/>
    <x v="1"/>
  </r>
  <r>
    <x v="7"/>
    <x v="7"/>
    <x v="16"/>
    <x v="15"/>
    <x v="16"/>
    <x v="16"/>
    <x v="16"/>
    <x v="11"/>
    <x v="11"/>
    <x v="12"/>
    <x v="4"/>
    <x v="4"/>
    <x v="12"/>
    <x v="8"/>
    <x v="1"/>
    <x v="10"/>
    <x v="1"/>
  </r>
  <r>
    <x v="8"/>
    <x v="8"/>
    <x v="17"/>
    <x v="2"/>
    <x v="17"/>
    <x v="17"/>
    <x v="17"/>
    <x v="2"/>
    <x v="2"/>
    <x v="2"/>
    <x v="1"/>
    <x v="1"/>
    <x v="2"/>
    <x v="0"/>
    <x v="1"/>
    <x v="0"/>
    <x v="1"/>
  </r>
  <r>
    <x v="9"/>
    <x v="9"/>
    <x v="18"/>
    <x v="11"/>
    <x v="11"/>
    <x v="11"/>
    <x v="11"/>
    <x v="2"/>
    <x v="2"/>
    <x v="8"/>
    <x v="1"/>
    <x v="1"/>
    <x v="8"/>
    <x v="0"/>
    <x v="1"/>
    <x v="0"/>
    <x v="1"/>
  </r>
  <r>
    <x v="10"/>
    <x v="10"/>
    <x v="19"/>
    <x v="11"/>
    <x v="11"/>
    <x v="11"/>
    <x v="11"/>
    <x v="2"/>
    <x v="2"/>
    <x v="8"/>
    <x v="1"/>
    <x v="1"/>
    <x v="8"/>
    <x v="0"/>
    <x v="1"/>
    <x v="0"/>
    <x v="1"/>
  </r>
  <r>
    <x v="7"/>
    <x v="7"/>
    <x v="20"/>
    <x v="11"/>
    <x v="18"/>
    <x v="11"/>
    <x v="11"/>
    <x v="2"/>
    <x v="2"/>
    <x v="8"/>
    <x v="1"/>
    <x v="1"/>
    <x v="8"/>
    <x v="0"/>
    <x v="1"/>
    <x v="0"/>
    <x v="1"/>
  </r>
  <r>
    <x v="8"/>
    <x v="8"/>
    <x v="21"/>
    <x v="2"/>
    <x v="19"/>
    <x v="18"/>
    <x v="18"/>
    <x v="2"/>
    <x v="2"/>
    <x v="2"/>
    <x v="1"/>
    <x v="1"/>
    <x v="2"/>
    <x v="0"/>
    <x v="1"/>
    <x v="0"/>
    <x v="1"/>
  </r>
  <r>
    <x v="9"/>
    <x v="9"/>
    <x v="22"/>
    <x v="11"/>
    <x v="11"/>
    <x v="11"/>
    <x v="11"/>
    <x v="2"/>
    <x v="2"/>
    <x v="8"/>
    <x v="1"/>
    <x v="1"/>
    <x v="8"/>
    <x v="0"/>
    <x v="1"/>
    <x v="0"/>
    <x v="1"/>
  </r>
  <r>
    <x v="10"/>
    <x v="10"/>
    <x v="23"/>
    <x v="11"/>
    <x v="11"/>
    <x v="11"/>
    <x v="11"/>
    <x v="2"/>
    <x v="2"/>
    <x v="8"/>
    <x v="1"/>
    <x v="1"/>
    <x v="8"/>
    <x v="0"/>
    <x v="1"/>
    <x v="0"/>
    <x v="1"/>
  </r>
  <r>
    <x v="9"/>
    <x v="9"/>
    <x v="24"/>
    <x v="16"/>
    <x v="20"/>
    <x v="19"/>
    <x v="19"/>
    <x v="2"/>
    <x v="2"/>
    <x v="2"/>
    <x v="1"/>
    <x v="1"/>
    <x v="2"/>
    <x v="0"/>
    <x v="1"/>
    <x v="0"/>
    <x v="1"/>
  </r>
  <r>
    <x v="10"/>
    <x v="10"/>
    <x v="25"/>
    <x v="16"/>
    <x v="21"/>
    <x v="20"/>
    <x v="20"/>
    <x v="2"/>
    <x v="2"/>
    <x v="2"/>
    <x v="1"/>
    <x v="1"/>
    <x v="2"/>
    <x v="0"/>
    <x v="1"/>
    <x v="0"/>
    <x v="1"/>
  </r>
  <r>
    <x v="5"/>
    <x v="5"/>
    <x v="26"/>
    <x v="11"/>
    <x v="11"/>
    <x v="11"/>
    <x v="11"/>
    <x v="2"/>
    <x v="2"/>
    <x v="8"/>
    <x v="1"/>
    <x v="1"/>
    <x v="8"/>
    <x v="0"/>
    <x v="1"/>
    <x v="0"/>
    <x v="1"/>
  </r>
  <r>
    <x v="3"/>
    <x v="3"/>
    <x v="27"/>
    <x v="5"/>
    <x v="22"/>
    <x v="21"/>
    <x v="21"/>
    <x v="12"/>
    <x v="12"/>
    <x v="13"/>
    <x v="0"/>
    <x v="0"/>
    <x v="13"/>
    <x v="1"/>
    <x v="1"/>
    <x v="4"/>
    <x v="1"/>
  </r>
  <r>
    <x v="4"/>
    <x v="4"/>
    <x v="28"/>
    <x v="9"/>
    <x v="23"/>
    <x v="22"/>
    <x v="22"/>
    <x v="12"/>
    <x v="13"/>
    <x v="14"/>
    <x v="0"/>
    <x v="0"/>
    <x v="14"/>
    <x v="1"/>
    <x v="1"/>
    <x v="4"/>
    <x v="1"/>
  </r>
  <r>
    <x v="8"/>
    <x v="8"/>
    <x v="29"/>
    <x v="11"/>
    <x v="11"/>
    <x v="11"/>
    <x v="11"/>
    <x v="2"/>
    <x v="2"/>
    <x v="8"/>
    <x v="1"/>
    <x v="1"/>
    <x v="8"/>
    <x v="0"/>
    <x v="1"/>
    <x v="0"/>
    <x v="1"/>
  </r>
  <r>
    <x v="3"/>
    <x v="3"/>
    <x v="30"/>
    <x v="16"/>
    <x v="24"/>
    <x v="23"/>
    <x v="23"/>
    <x v="2"/>
    <x v="2"/>
    <x v="2"/>
    <x v="1"/>
    <x v="1"/>
    <x v="2"/>
    <x v="0"/>
    <x v="1"/>
    <x v="0"/>
    <x v="1"/>
  </r>
  <r>
    <x v="4"/>
    <x v="4"/>
    <x v="31"/>
    <x v="17"/>
    <x v="25"/>
    <x v="23"/>
    <x v="24"/>
    <x v="2"/>
    <x v="2"/>
    <x v="2"/>
    <x v="1"/>
    <x v="1"/>
    <x v="2"/>
    <x v="0"/>
    <x v="1"/>
    <x v="0"/>
    <x v="1"/>
  </r>
  <r>
    <x v="11"/>
    <x v="11"/>
    <x v="32"/>
    <x v="18"/>
    <x v="26"/>
    <x v="24"/>
    <x v="25"/>
    <x v="13"/>
    <x v="14"/>
    <x v="15"/>
    <x v="8"/>
    <x v="9"/>
    <x v="15"/>
    <x v="9"/>
    <x v="1"/>
    <x v="11"/>
    <x v="1"/>
  </r>
  <r>
    <x v="2"/>
    <x v="2"/>
    <x v="33"/>
    <x v="17"/>
    <x v="27"/>
    <x v="25"/>
    <x v="26"/>
    <x v="2"/>
    <x v="2"/>
    <x v="2"/>
    <x v="1"/>
    <x v="1"/>
    <x v="2"/>
    <x v="0"/>
    <x v="1"/>
    <x v="0"/>
    <x v="1"/>
  </r>
  <r>
    <x v="12"/>
    <x v="12"/>
    <x v="34"/>
    <x v="5"/>
    <x v="28"/>
    <x v="26"/>
    <x v="27"/>
    <x v="2"/>
    <x v="2"/>
    <x v="2"/>
    <x v="1"/>
    <x v="1"/>
    <x v="2"/>
    <x v="0"/>
    <x v="1"/>
    <x v="0"/>
    <x v="1"/>
  </r>
  <r>
    <x v="12"/>
    <x v="12"/>
    <x v="35"/>
    <x v="19"/>
    <x v="29"/>
    <x v="27"/>
    <x v="28"/>
    <x v="14"/>
    <x v="15"/>
    <x v="16"/>
    <x v="5"/>
    <x v="9"/>
    <x v="16"/>
    <x v="9"/>
    <x v="1"/>
    <x v="12"/>
    <x v="1"/>
  </r>
  <r>
    <x v="13"/>
    <x v="13"/>
    <x v="36"/>
    <x v="20"/>
    <x v="30"/>
    <x v="28"/>
    <x v="29"/>
    <x v="15"/>
    <x v="16"/>
    <x v="17"/>
    <x v="4"/>
    <x v="4"/>
    <x v="17"/>
    <x v="8"/>
    <x v="1"/>
    <x v="13"/>
    <x v="1"/>
  </r>
  <r>
    <x v="14"/>
    <x v="14"/>
    <x v="37"/>
    <x v="21"/>
    <x v="31"/>
    <x v="29"/>
    <x v="30"/>
    <x v="16"/>
    <x v="17"/>
    <x v="18"/>
    <x v="8"/>
    <x v="9"/>
    <x v="18"/>
    <x v="9"/>
    <x v="1"/>
    <x v="14"/>
    <x v="1"/>
  </r>
  <r>
    <x v="15"/>
    <x v="15"/>
    <x v="38"/>
    <x v="22"/>
    <x v="32"/>
    <x v="30"/>
    <x v="31"/>
    <x v="17"/>
    <x v="18"/>
    <x v="19"/>
    <x v="5"/>
    <x v="6"/>
    <x v="19"/>
    <x v="1"/>
    <x v="0"/>
    <x v="15"/>
    <x v="5"/>
  </r>
  <r>
    <x v="16"/>
    <x v="16"/>
    <x v="39"/>
    <x v="23"/>
    <x v="33"/>
    <x v="31"/>
    <x v="32"/>
    <x v="18"/>
    <x v="19"/>
    <x v="20"/>
    <x v="0"/>
    <x v="0"/>
    <x v="20"/>
    <x v="1"/>
    <x v="1"/>
    <x v="16"/>
    <x v="1"/>
  </r>
  <r>
    <x v="17"/>
    <x v="17"/>
    <x v="40"/>
    <x v="11"/>
    <x v="11"/>
    <x v="11"/>
    <x v="11"/>
    <x v="2"/>
    <x v="2"/>
    <x v="8"/>
    <x v="1"/>
    <x v="1"/>
    <x v="8"/>
    <x v="0"/>
    <x v="1"/>
    <x v="0"/>
    <x v="1"/>
  </r>
  <r>
    <x v="18"/>
    <x v="18"/>
    <x v="41"/>
    <x v="16"/>
    <x v="34"/>
    <x v="32"/>
    <x v="33"/>
    <x v="2"/>
    <x v="2"/>
    <x v="2"/>
    <x v="1"/>
    <x v="1"/>
    <x v="2"/>
    <x v="0"/>
    <x v="1"/>
    <x v="0"/>
    <x v="1"/>
  </r>
  <r>
    <x v="19"/>
    <x v="19"/>
    <x v="42"/>
    <x v="17"/>
    <x v="35"/>
    <x v="32"/>
    <x v="34"/>
    <x v="2"/>
    <x v="2"/>
    <x v="2"/>
    <x v="1"/>
    <x v="1"/>
    <x v="2"/>
    <x v="0"/>
    <x v="1"/>
    <x v="0"/>
    <x v="1"/>
  </r>
  <r>
    <x v="20"/>
    <x v="20"/>
    <x v="43"/>
    <x v="24"/>
    <x v="36"/>
    <x v="33"/>
    <x v="35"/>
    <x v="18"/>
    <x v="20"/>
    <x v="21"/>
    <x v="0"/>
    <x v="0"/>
    <x v="21"/>
    <x v="1"/>
    <x v="1"/>
    <x v="16"/>
    <x v="1"/>
  </r>
  <r>
    <x v="21"/>
    <x v="21"/>
    <x v="44"/>
    <x v="25"/>
    <x v="37"/>
    <x v="34"/>
    <x v="36"/>
    <x v="2"/>
    <x v="2"/>
    <x v="2"/>
    <x v="1"/>
    <x v="1"/>
    <x v="2"/>
    <x v="0"/>
    <x v="1"/>
    <x v="0"/>
    <x v="1"/>
  </r>
  <r>
    <x v="21"/>
    <x v="21"/>
    <x v="45"/>
    <x v="26"/>
    <x v="38"/>
    <x v="35"/>
    <x v="37"/>
    <x v="19"/>
    <x v="21"/>
    <x v="22"/>
    <x v="4"/>
    <x v="4"/>
    <x v="22"/>
    <x v="8"/>
    <x v="1"/>
    <x v="17"/>
    <x v="1"/>
  </r>
  <r>
    <x v="15"/>
    <x v="15"/>
    <x v="46"/>
    <x v="16"/>
    <x v="39"/>
    <x v="35"/>
    <x v="38"/>
    <x v="2"/>
    <x v="2"/>
    <x v="2"/>
    <x v="1"/>
    <x v="1"/>
    <x v="2"/>
    <x v="0"/>
    <x v="1"/>
    <x v="0"/>
    <x v="1"/>
  </r>
  <r>
    <x v="21"/>
    <x v="21"/>
    <x v="47"/>
    <x v="27"/>
    <x v="40"/>
    <x v="36"/>
    <x v="39"/>
    <x v="20"/>
    <x v="22"/>
    <x v="23"/>
    <x v="5"/>
    <x v="6"/>
    <x v="23"/>
    <x v="1"/>
    <x v="0"/>
    <x v="18"/>
    <x v="6"/>
  </r>
  <r>
    <x v="20"/>
    <x v="20"/>
    <x v="48"/>
    <x v="9"/>
    <x v="41"/>
    <x v="37"/>
    <x v="40"/>
    <x v="18"/>
    <x v="23"/>
    <x v="24"/>
    <x v="0"/>
    <x v="0"/>
    <x v="14"/>
    <x v="1"/>
    <x v="1"/>
    <x v="16"/>
    <x v="1"/>
  </r>
  <r>
    <x v="22"/>
    <x v="22"/>
    <x v="49"/>
    <x v="28"/>
    <x v="42"/>
    <x v="38"/>
    <x v="41"/>
    <x v="2"/>
    <x v="2"/>
    <x v="2"/>
    <x v="1"/>
    <x v="1"/>
    <x v="2"/>
    <x v="0"/>
    <x v="1"/>
    <x v="0"/>
    <x v="1"/>
  </r>
  <r>
    <x v="16"/>
    <x v="16"/>
    <x v="50"/>
    <x v="11"/>
    <x v="11"/>
    <x v="11"/>
    <x v="11"/>
    <x v="2"/>
    <x v="2"/>
    <x v="8"/>
    <x v="1"/>
    <x v="1"/>
    <x v="8"/>
    <x v="0"/>
    <x v="1"/>
    <x v="0"/>
    <x v="1"/>
  </r>
  <r>
    <x v="15"/>
    <x v="15"/>
    <x v="51"/>
    <x v="29"/>
    <x v="43"/>
    <x v="39"/>
    <x v="42"/>
    <x v="21"/>
    <x v="24"/>
    <x v="25"/>
    <x v="8"/>
    <x v="9"/>
    <x v="24"/>
    <x v="9"/>
    <x v="1"/>
    <x v="19"/>
    <x v="1"/>
  </r>
  <r>
    <x v="23"/>
    <x v="23"/>
    <x v="52"/>
    <x v="30"/>
    <x v="44"/>
    <x v="40"/>
    <x v="43"/>
    <x v="22"/>
    <x v="25"/>
    <x v="26"/>
    <x v="4"/>
    <x v="2"/>
    <x v="25"/>
    <x v="2"/>
    <x v="1"/>
    <x v="20"/>
    <x v="1"/>
  </r>
  <r>
    <x v="24"/>
    <x v="24"/>
    <x v="53"/>
    <x v="31"/>
    <x v="45"/>
    <x v="41"/>
    <x v="44"/>
    <x v="23"/>
    <x v="26"/>
    <x v="27"/>
    <x v="5"/>
    <x v="6"/>
    <x v="26"/>
    <x v="0"/>
    <x v="2"/>
    <x v="0"/>
    <x v="7"/>
  </r>
  <r>
    <x v="25"/>
    <x v="25"/>
    <x v="20"/>
    <x v="11"/>
    <x v="18"/>
    <x v="11"/>
    <x v="11"/>
    <x v="2"/>
    <x v="2"/>
    <x v="8"/>
    <x v="1"/>
    <x v="1"/>
    <x v="8"/>
    <x v="0"/>
    <x v="1"/>
    <x v="0"/>
    <x v="1"/>
  </r>
  <r>
    <x v="14"/>
    <x v="14"/>
    <x v="54"/>
    <x v="24"/>
    <x v="46"/>
    <x v="42"/>
    <x v="45"/>
    <x v="2"/>
    <x v="2"/>
    <x v="2"/>
    <x v="1"/>
    <x v="1"/>
    <x v="2"/>
    <x v="0"/>
    <x v="1"/>
    <x v="0"/>
    <x v="1"/>
  </r>
  <r>
    <x v="17"/>
    <x v="17"/>
    <x v="55"/>
    <x v="11"/>
    <x v="11"/>
    <x v="11"/>
    <x v="11"/>
    <x v="2"/>
    <x v="2"/>
    <x v="8"/>
    <x v="1"/>
    <x v="1"/>
    <x v="8"/>
    <x v="0"/>
    <x v="1"/>
    <x v="0"/>
    <x v="1"/>
  </r>
  <r>
    <x v="18"/>
    <x v="18"/>
    <x v="56"/>
    <x v="11"/>
    <x v="11"/>
    <x v="11"/>
    <x v="11"/>
    <x v="2"/>
    <x v="2"/>
    <x v="8"/>
    <x v="1"/>
    <x v="1"/>
    <x v="8"/>
    <x v="0"/>
    <x v="1"/>
    <x v="0"/>
    <x v="1"/>
  </r>
  <r>
    <x v="19"/>
    <x v="19"/>
    <x v="57"/>
    <x v="11"/>
    <x v="11"/>
    <x v="11"/>
    <x v="11"/>
    <x v="2"/>
    <x v="2"/>
    <x v="8"/>
    <x v="1"/>
    <x v="1"/>
    <x v="8"/>
    <x v="0"/>
    <x v="1"/>
    <x v="0"/>
    <x v="1"/>
  </r>
  <r>
    <x v="14"/>
    <x v="14"/>
    <x v="58"/>
    <x v="32"/>
    <x v="47"/>
    <x v="43"/>
    <x v="46"/>
    <x v="1"/>
    <x v="27"/>
    <x v="28"/>
    <x v="0"/>
    <x v="0"/>
    <x v="27"/>
    <x v="1"/>
    <x v="1"/>
    <x v="1"/>
    <x v="1"/>
  </r>
  <r>
    <x v="20"/>
    <x v="20"/>
    <x v="59"/>
    <x v="13"/>
    <x v="48"/>
    <x v="44"/>
    <x v="35"/>
    <x v="2"/>
    <x v="2"/>
    <x v="2"/>
    <x v="1"/>
    <x v="1"/>
    <x v="2"/>
    <x v="0"/>
    <x v="1"/>
    <x v="0"/>
    <x v="1"/>
  </r>
  <r>
    <x v="26"/>
    <x v="26"/>
    <x v="60"/>
    <x v="11"/>
    <x v="11"/>
    <x v="11"/>
    <x v="11"/>
    <x v="2"/>
    <x v="2"/>
    <x v="8"/>
    <x v="1"/>
    <x v="1"/>
    <x v="8"/>
    <x v="0"/>
    <x v="1"/>
    <x v="0"/>
    <x v="1"/>
  </r>
  <r>
    <x v="27"/>
    <x v="27"/>
    <x v="61"/>
    <x v="33"/>
    <x v="49"/>
    <x v="45"/>
    <x v="47"/>
    <x v="24"/>
    <x v="28"/>
    <x v="29"/>
    <x v="5"/>
    <x v="6"/>
    <x v="28"/>
    <x v="1"/>
    <x v="0"/>
    <x v="21"/>
    <x v="8"/>
  </r>
  <r>
    <x v="28"/>
    <x v="28"/>
    <x v="62"/>
    <x v="34"/>
    <x v="50"/>
    <x v="46"/>
    <x v="48"/>
    <x v="2"/>
    <x v="2"/>
    <x v="2"/>
    <x v="1"/>
    <x v="1"/>
    <x v="2"/>
    <x v="0"/>
    <x v="1"/>
    <x v="0"/>
    <x v="1"/>
  </r>
  <r>
    <x v="29"/>
    <x v="29"/>
    <x v="63"/>
    <x v="11"/>
    <x v="11"/>
    <x v="11"/>
    <x v="11"/>
    <x v="2"/>
    <x v="2"/>
    <x v="8"/>
    <x v="1"/>
    <x v="1"/>
    <x v="8"/>
    <x v="0"/>
    <x v="1"/>
    <x v="0"/>
    <x v="1"/>
  </r>
  <r>
    <x v="30"/>
    <x v="30"/>
    <x v="64"/>
    <x v="24"/>
    <x v="51"/>
    <x v="47"/>
    <x v="49"/>
    <x v="12"/>
    <x v="29"/>
    <x v="30"/>
    <x v="0"/>
    <x v="0"/>
    <x v="21"/>
    <x v="1"/>
    <x v="1"/>
    <x v="4"/>
    <x v="1"/>
  </r>
  <r>
    <x v="31"/>
    <x v="31"/>
    <x v="65"/>
    <x v="0"/>
    <x v="52"/>
    <x v="48"/>
    <x v="50"/>
    <x v="18"/>
    <x v="30"/>
    <x v="31"/>
    <x v="0"/>
    <x v="0"/>
    <x v="0"/>
    <x v="1"/>
    <x v="1"/>
    <x v="16"/>
    <x v="1"/>
  </r>
  <r>
    <x v="32"/>
    <x v="32"/>
    <x v="66"/>
    <x v="35"/>
    <x v="53"/>
    <x v="49"/>
    <x v="51"/>
    <x v="25"/>
    <x v="31"/>
    <x v="32"/>
    <x v="9"/>
    <x v="10"/>
    <x v="29"/>
    <x v="10"/>
    <x v="0"/>
    <x v="22"/>
    <x v="5"/>
  </r>
  <r>
    <x v="30"/>
    <x v="30"/>
    <x v="67"/>
    <x v="16"/>
    <x v="54"/>
    <x v="50"/>
    <x v="52"/>
    <x v="26"/>
    <x v="32"/>
    <x v="33"/>
    <x v="0"/>
    <x v="0"/>
    <x v="30"/>
    <x v="1"/>
    <x v="1"/>
    <x v="23"/>
    <x v="1"/>
  </r>
  <r>
    <x v="31"/>
    <x v="31"/>
    <x v="68"/>
    <x v="36"/>
    <x v="55"/>
    <x v="51"/>
    <x v="53"/>
    <x v="18"/>
    <x v="33"/>
    <x v="34"/>
    <x v="0"/>
    <x v="0"/>
    <x v="31"/>
    <x v="1"/>
    <x v="1"/>
    <x v="16"/>
    <x v="1"/>
  </r>
  <r>
    <x v="32"/>
    <x v="32"/>
    <x v="69"/>
    <x v="37"/>
    <x v="56"/>
    <x v="52"/>
    <x v="54"/>
    <x v="27"/>
    <x v="34"/>
    <x v="35"/>
    <x v="10"/>
    <x v="11"/>
    <x v="32"/>
    <x v="11"/>
    <x v="1"/>
    <x v="24"/>
    <x v="1"/>
  </r>
  <r>
    <x v="13"/>
    <x v="13"/>
    <x v="70"/>
    <x v="38"/>
    <x v="57"/>
    <x v="53"/>
    <x v="55"/>
    <x v="28"/>
    <x v="35"/>
    <x v="36"/>
    <x v="2"/>
    <x v="2"/>
    <x v="33"/>
    <x v="2"/>
    <x v="1"/>
    <x v="25"/>
    <x v="1"/>
  </r>
  <r>
    <x v="13"/>
    <x v="13"/>
    <x v="71"/>
    <x v="39"/>
    <x v="58"/>
    <x v="54"/>
    <x v="56"/>
    <x v="29"/>
    <x v="36"/>
    <x v="37"/>
    <x v="11"/>
    <x v="12"/>
    <x v="34"/>
    <x v="2"/>
    <x v="0"/>
    <x v="25"/>
    <x v="5"/>
  </r>
  <r>
    <x v="33"/>
    <x v="33"/>
    <x v="72"/>
    <x v="25"/>
    <x v="59"/>
    <x v="55"/>
    <x v="57"/>
    <x v="2"/>
    <x v="2"/>
    <x v="2"/>
    <x v="1"/>
    <x v="1"/>
    <x v="2"/>
    <x v="0"/>
    <x v="1"/>
    <x v="0"/>
    <x v="1"/>
  </r>
  <r>
    <x v="34"/>
    <x v="34"/>
    <x v="73"/>
    <x v="40"/>
    <x v="60"/>
    <x v="56"/>
    <x v="58"/>
    <x v="30"/>
    <x v="37"/>
    <x v="38"/>
    <x v="12"/>
    <x v="8"/>
    <x v="35"/>
    <x v="12"/>
    <x v="3"/>
    <x v="26"/>
    <x v="9"/>
  </r>
  <r>
    <x v="35"/>
    <x v="35"/>
    <x v="74"/>
    <x v="41"/>
    <x v="61"/>
    <x v="57"/>
    <x v="59"/>
    <x v="31"/>
    <x v="38"/>
    <x v="39"/>
    <x v="5"/>
    <x v="6"/>
    <x v="36"/>
    <x v="5"/>
    <x v="1"/>
    <x v="27"/>
    <x v="1"/>
  </r>
  <r>
    <x v="15"/>
    <x v="15"/>
    <x v="75"/>
    <x v="28"/>
    <x v="62"/>
    <x v="58"/>
    <x v="60"/>
    <x v="2"/>
    <x v="2"/>
    <x v="2"/>
    <x v="1"/>
    <x v="1"/>
    <x v="2"/>
    <x v="0"/>
    <x v="1"/>
    <x v="0"/>
    <x v="1"/>
  </r>
  <r>
    <x v="28"/>
    <x v="28"/>
    <x v="76"/>
    <x v="42"/>
    <x v="63"/>
    <x v="59"/>
    <x v="61"/>
    <x v="32"/>
    <x v="39"/>
    <x v="40"/>
    <x v="5"/>
    <x v="6"/>
    <x v="37"/>
    <x v="5"/>
    <x v="1"/>
    <x v="28"/>
    <x v="1"/>
  </r>
  <r>
    <x v="29"/>
    <x v="29"/>
    <x v="77"/>
    <x v="28"/>
    <x v="64"/>
    <x v="60"/>
    <x v="62"/>
    <x v="2"/>
    <x v="2"/>
    <x v="2"/>
    <x v="1"/>
    <x v="1"/>
    <x v="2"/>
    <x v="0"/>
    <x v="1"/>
    <x v="0"/>
    <x v="1"/>
  </r>
  <r>
    <x v="12"/>
    <x v="12"/>
    <x v="78"/>
    <x v="11"/>
    <x v="11"/>
    <x v="11"/>
    <x v="11"/>
    <x v="2"/>
    <x v="2"/>
    <x v="8"/>
    <x v="1"/>
    <x v="1"/>
    <x v="8"/>
    <x v="0"/>
    <x v="1"/>
    <x v="0"/>
    <x v="1"/>
  </r>
  <r>
    <x v="34"/>
    <x v="34"/>
    <x v="79"/>
    <x v="43"/>
    <x v="65"/>
    <x v="61"/>
    <x v="63"/>
    <x v="2"/>
    <x v="2"/>
    <x v="2"/>
    <x v="1"/>
    <x v="1"/>
    <x v="2"/>
    <x v="0"/>
    <x v="1"/>
    <x v="0"/>
    <x v="1"/>
  </r>
  <r>
    <x v="34"/>
    <x v="34"/>
    <x v="80"/>
    <x v="34"/>
    <x v="66"/>
    <x v="62"/>
    <x v="64"/>
    <x v="2"/>
    <x v="2"/>
    <x v="2"/>
    <x v="1"/>
    <x v="1"/>
    <x v="2"/>
    <x v="0"/>
    <x v="1"/>
    <x v="0"/>
    <x v="1"/>
  </r>
  <r>
    <x v="36"/>
    <x v="36"/>
    <x v="81"/>
    <x v="44"/>
    <x v="67"/>
    <x v="63"/>
    <x v="65"/>
    <x v="33"/>
    <x v="40"/>
    <x v="41"/>
    <x v="0"/>
    <x v="0"/>
    <x v="38"/>
    <x v="1"/>
    <x v="1"/>
    <x v="21"/>
    <x v="1"/>
  </r>
  <r>
    <x v="37"/>
    <x v="37"/>
    <x v="82"/>
    <x v="45"/>
    <x v="68"/>
    <x v="64"/>
    <x v="66"/>
    <x v="34"/>
    <x v="41"/>
    <x v="42"/>
    <x v="8"/>
    <x v="9"/>
    <x v="39"/>
    <x v="1"/>
    <x v="2"/>
    <x v="29"/>
    <x v="7"/>
  </r>
  <r>
    <x v="38"/>
    <x v="38"/>
    <x v="83"/>
    <x v="13"/>
    <x v="69"/>
    <x v="65"/>
    <x v="67"/>
    <x v="2"/>
    <x v="2"/>
    <x v="2"/>
    <x v="1"/>
    <x v="1"/>
    <x v="2"/>
    <x v="0"/>
    <x v="1"/>
    <x v="0"/>
    <x v="1"/>
  </r>
  <r>
    <x v="39"/>
    <x v="39"/>
    <x v="84"/>
    <x v="2"/>
    <x v="70"/>
    <x v="66"/>
    <x v="68"/>
    <x v="2"/>
    <x v="2"/>
    <x v="2"/>
    <x v="1"/>
    <x v="1"/>
    <x v="2"/>
    <x v="0"/>
    <x v="1"/>
    <x v="0"/>
    <x v="1"/>
  </r>
  <r>
    <x v="24"/>
    <x v="24"/>
    <x v="85"/>
    <x v="36"/>
    <x v="71"/>
    <x v="67"/>
    <x v="69"/>
    <x v="2"/>
    <x v="2"/>
    <x v="2"/>
    <x v="1"/>
    <x v="1"/>
    <x v="2"/>
    <x v="0"/>
    <x v="1"/>
    <x v="0"/>
    <x v="1"/>
  </r>
  <r>
    <x v="25"/>
    <x v="25"/>
    <x v="20"/>
    <x v="11"/>
    <x v="18"/>
    <x v="11"/>
    <x v="11"/>
    <x v="2"/>
    <x v="2"/>
    <x v="8"/>
    <x v="1"/>
    <x v="1"/>
    <x v="8"/>
    <x v="0"/>
    <x v="1"/>
    <x v="0"/>
    <x v="1"/>
  </r>
  <r>
    <x v="24"/>
    <x v="24"/>
    <x v="86"/>
    <x v="46"/>
    <x v="72"/>
    <x v="68"/>
    <x v="70"/>
    <x v="35"/>
    <x v="42"/>
    <x v="43"/>
    <x v="2"/>
    <x v="5"/>
    <x v="40"/>
    <x v="5"/>
    <x v="3"/>
    <x v="30"/>
    <x v="10"/>
  </r>
  <r>
    <x v="23"/>
    <x v="23"/>
    <x v="87"/>
    <x v="47"/>
    <x v="73"/>
    <x v="69"/>
    <x v="71"/>
    <x v="2"/>
    <x v="2"/>
    <x v="2"/>
    <x v="1"/>
    <x v="1"/>
    <x v="2"/>
    <x v="0"/>
    <x v="1"/>
    <x v="0"/>
    <x v="1"/>
  </r>
  <r>
    <x v="35"/>
    <x v="35"/>
    <x v="88"/>
    <x v="28"/>
    <x v="74"/>
    <x v="70"/>
    <x v="72"/>
    <x v="2"/>
    <x v="2"/>
    <x v="2"/>
    <x v="1"/>
    <x v="1"/>
    <x v="2"/>
    <x v="0"/>
    <x v="1"/>
    <x v="0"/>
    <x v="1"/>
  </r>
  <r>
    <x v="27"/>
    <x v="27"/>
    <x v="89"/>
    <x v="16"/>
    <x v="75"/>
    <x v="71"/>
    <x v="73"/>
    <x v="2"/>
    <x v="2"/>
    <x v="2"/>
    <x v="1"/>
    <x v="1"/>
    <x v="2"/>
    <x v="0"/>
    <x v="1"/>
    <x v="0"/>
    <x v="1"/>
  </r>
  <r>
    <x v="40"/>
    <x v="40"/>
    <x v="90"/>
    <x v="48"/>
    <x v="76"/>
    <x v="72"/>
    <x v="74"/>
    <x v="36"/>
    <x v="43"/>
    <x v="44"/>
    <x v="8"/>
    <x v="9"/>
    <x v="41"/>
    <x v="9"/>
    <x v="1"/>
    <x v="31"/>
    <x v="1"/>
  </r>
  <r>
    <x v="41"/>
    <x v="41"/>
    <x v="91"/>
    <x v="11"/>
    <x v="11"/>
    <x v="11"/>
    <x v="11"/>
    <x v="2"/>
    <x v="2"/>
    <x v="8"/>
    <x v="1"/>
    <x v="1"/>
    <x v="8"/>
    <x v="0"/>
    <x v="1"/>
    <x v="0"/>
    <x v="1"/>
  </r>
  <r>
    <x v="42"/>
    <x v="42"/>
    <x v="92"/>
    <x v="11"/>
    <x v="11"/>
    <x v="11"/>
    <x v="11"/>
    <x v="2"/>
    <x v="2"/>
    <x v="8"/>
    <x v="1"/>
    <x v="1"/>
    <x v="8"/>
    <x v="0"/>
    <x v="1"/>
    <x v="0"/>
    <x v="1"/>
  </r>
  <r>
    <x v="43"/>
    <x v="43"/>
    <x v="93"/>
    <x v="11"/>
    <x v="11"/>
    <x v="11"/>
    <x v="11"/>
    <x v="2"/>
    <x v="2"/>
    <x v="8"/>
    <x v="1"/>
    <x v="1"/>
    <x v="8"/>
    <x v="0"/>
    <x v="1"/>
    <x v="0"/>
    <x v="1"/>
  </r>
  <r>
    <x v="44"/>
    <x v="44"/>
    <x v="94"/>
    <x v="9"/>
    <x v="77"/>
    <x v="73"/>
    <x v="75"/>
    <x v="2"/>
    <x v="2"/>
    <x v="2"/>
    <x v="1"/>
    <x v="1"/>
    <x v="2"/>
    <x v="0"/>
    <x v="1"/>
    <x v="0"/>
    <x v="1"/>
  </r>
  <r>
    <x v="45"/>
    <x v="45"/>
    <x v="95"/>
    <x v="49"/>
    <x v="18"/>
    <x v="11"/>
    <x v="76"/>
    <x v="37"/>
    <x v="2"/>
    <x v="8"/>
    <x v="13"/>
    <x v="13"/>
    <x v="8"/>
    <x v="13"/>
    <x v="4"/>
    <x v="32"/>
    <x v="11"/>
  </r>
</pivotCacheRecords>
</file>

<file path=xl/pivotCache/pivotCacheRecords39.xml><?xml version="1.0" encoding="utf-8"?>
<pivotCacheRecords xmlns="http://schemas.openxmlformats.org/spreadsheetml/2006/main" xmlns:r="http://schemas.openxmlformats.org/officeDocument/2006/relationships" count="103">
  <r>
    <x v="0"/>
    <x v="0"/>
    <x v="0"/>
    <x v="0"/>
    <x v="0"/>
    <x v="0"/>
    <x v="0"/>
    <x v="0"/>
    <x v="0"/>
    <x v="0"/>
    <x v="0"/>
    <x v="0"/>
    <x v="0"/>
    <x v="0"/>
    <x v="0"/>
    <x v="0"/>
    <x v="0"/>
  </r>
  <r>
    <x v="0"/>
    <x v="0"/>
    <x v="1"/>
    <x v="1"/>
    <x v="1"/>
    <x v="1"/>
    <x v="1"/>
    <x v="1"/>
    <x v="1"/>
    <x v="1"/>
    <x v="0"/>
    <x v="0"/>
    <x v="1"/>
    <x v="1"/>
    <x v="1"/>
    <x v="1"/>
    <x v="1"/>
  </r>
  <r>
    <x v="0"/>
    <x v="0"/>
    <x v="2"/>
    <x v="2"/>
    <x v="2"/>
    <x v="2"/>
    <x v="2"/>
    <x v="2"/>
    <x v="2"/>
    <x v="2"/>
    <x v="1"/>
    <x v="1"/>
    <x v="2"/>
    <x v="0"/>
    <x v="1"/>
    <x v="0"/>
    <x v="1"/>
  </r>
  <r>
    <x v="1"/>
    <x v="1"/>
    <x v="3"/>
    <x v="3"/>
    <x v="3"/>
    <x v="3"/>
    <x v="3"/>
    <x v="3"/>
    <x v="3"/>
    <x v="3"/>
    <x v="2"/>
    <x v="2"/>
    <x v="3"/>
    <x v="2"/>
    <x v="1"/>
    <x v="2"/>
    <x v="1"/>
  </r>
  <r>
    <x v="1"/>
    <x v="1"/>
    <x v="4"/>
    <x v="4"/>
    <x v="4"/>
    <x v="4"/>
    <x v="4"/>
    <x v="4"/>
    <x v="4"/>
    <x v="4"/>
    <x v="3"/>
    <x v="3"/>
    <x v="4"/>
    <x v="3"/>
    <x v="2"/>
    <x v="3"/>
    <x v="2"/>
  </r>
  <r>
    <x v="2"/>
    <x v="2"/>
    <x v="5"/>
    <x v="5"/>
    <x v="5"/>
    <x v="5"/>
    <x v="5"/>
    <x v="2"/>
    <x v="2"/>
    <x v="2"/>
    <x v="1"/>
    <x v="1"/>
    <x v="2"/>
    <x v="0"/>
    <x v="1"/>
    <x v="0"/>
    <x v="1"/>
  </r>
  <r>
    <x v="3"/>
    <x v="3"/>
    <x v="6"/>
    <x v="6"/>
    <x v="6"/>
    <x v="6"/>
    <x v="6"/>
    <x v="2"/>
    <x v="2"/>
    <x v="5"/>
    <x v="1"/>
    <x v="1"/>
    <x v="5"/>
    <x v="0"/>
    <x v="1"/>
    <x v="0"/>
    <x v="1"/>
  </r>
  <r>
    <x v="4"/>
    <x v="4"/>
    <x v="7"/>
    <x v="7"/>
    <x v="7"/>
    <x v="7"/>
    <x v="7"/>
    <x v="5"/>
    <x v="5"/>
    <x v="6"/>
    <x v="4"/>
    <x v="4"/>
    <x v="6"/>
    <x v="1"/>
    <x v="3"/>
    <x v="4"/>
    <x v="3"/>
  </r>
  <r>
    <x v="5"/>
    <x v="5"/>
    <x v="8"/>
    <x v="8"/>
    <x v="8"/>
    <x v="8"/>
    <x v="8"/>
    <x v="6"/>
    <x v="6"/>
    <x v="7"/>
    <x v="5"/>
    <x v="5"/>
    <x v="7"/>
    <x v="4"/>
    <x v="0"/>
    <x v="5"/>
    <x v="4"/>
  </r>
  <r>
    <x v="1"/>
    <x v="1"/>
    <x v="9"/>
    <x v="9"/>
    <x v="9"/>
    <x v="9"/>
    <x v="9"/>
    <x v="7"/>
    <x v="7"/>
    <x v="8"/>
    <x v="6"/>
    <x v="6"/>
    <x v="8"/>
    <x v="5"/>
    <x v="0"/>
    <x v="6"/>
    <x v="5"/>
  </r>
  <r>
    <x v="6"/>
    <x v="6"/>
    <x v="10"/>
    <x v="10"/>
    <x v="10"/>
    <x v="10"/>
    <x v="10"/>
    <x v="2"/>
    <x v="2"/>
    <x v="2"/>
    <x v="1"/>
    <x v="1"/>
    <x v="2"/>
    <x v="0"/>
    <x v="1"/>
    <x v="0"/>
    <x v="1"/>
  </r>
  <r>
    <x v="2"/>
    <x v="2"/>
    <x v="11"/>
    <x v="11"/>
    <x v="11"/>
    <x v="11"/>
    <x v="11"/>
    <x v="2"/>
    <x v="2"/>
    <x v="2"/>
    <x v="1"/>
    <x v="1"/>
    <x v="2"/>
    <x v="0"/>
    <x v="1"/>
    <x v="0"/>
    <x v="1"/>
  </r>
  <r>
    <x v="6"/>
    <x v="6"/>
    <x v="12"/>
    <x v="12"/>
    <x v="12"/>
    <x v="12"/>
    <x v="12"/>
    <x v="2"/>
    <x v="2"/>
    <x v="2"/>
    <x v="1"/>
    <x v="1"/>
    <x v="2"/>
    <x v="0"/>
    <x v="1"/>
    <x v="0"/>
    <x v="1"/>
  </r>
  <r>
    <x v="7"/>
    <x v="7"/>
    <x v="13"/>
    <x v="13"/>
    <x v="13"/>
    <x v="13"/>
    <x v="13"/>
    <x v="8"/>
    <x v="8"/>
    <x v="9"/>
    <x v="7"/>
    <x v="7"/>
    <x v="9"/>
    <x v="6"/>
    <x v="1"/>
    <x v="7"/>
    <x v="1"/>
  </r>
  <r>
    <x v="7"/>
    <x v="7"/>
    <x v="14"/>
    <x v="14"/>
    <x v="14"/>
    <x v="14"/>
    <x v="14"/>
    <x v="9"/>
    <x v="9"/>
    <x v="10"/>
    <x v="8"/>
    <x v="8"/>
    <x v="10"/>
    <x v="7"/>
    <x v="0"/>
    <x v="8"/>
    <x v="6"/>
  </r>
  <r>
    <x v="7"/>
    <x v="7"/>
    <x v="15"/>
    <x v="15"/>
    <x v="15"/>
    <x v="15"/>
    <x v="15"/>
    <x v="2"/>
    <x v="2"/>
    <x v="2"/>
    <x v="1"/>
    <x v="1"/>
    <x v="2"/>
    <x v="0"/>
    <x v="1"/>
    <x v="0"/>
    <x v="1"/>
  </r>
  <r>
    <x v="8"/>
    <x v="8"/>
    <x v="16"/>
    <x v="16"/>
    <x v="16"/>
    <x v="16"/>
    <x v="16"/>
    <x v="10"/>
    <x v="10"/>
    <x v="11"/>
    <x v="9"/>
    <x v="9"/>
    <x v="11"/>
    <x v="5"/>
    <x v="1"/>
    <x v="9"/>
    <x v="1"/>
  </r>
  <r>
    <x v="8"/>
    <x v="8"/>
    <x v="17"/>
    <x v="17"/>
    <x v="17"/>
    <x v="17"/>
    <x v="17"/>
    <x v="11"/>
    <x v="11"/>
    <x v="12"/>
    <x v="10"/>
    <x v="10"/>
    <x v="8"/>
    <x v="8"/>
    <x v="0"/>
    <x v="10"/>
    <x v="7"/>
  </r>
  <r>
    <x v="9"/>
    <x v="9"/>
    <x v="18"/>
    <x v="18"/>
    <x v="18"/>
    <x v="18"/>
    <x v="18"/>
    <x v="2"/>
    <x v="2"/>
    <x v="2"/>
    <x v="1"/>
    <x v="1"/>
    <x v="2"/>
    <x v="0"/>
    <x v="1"/>
    <x v="0"/>
    <x v="1"/>
  </r>
  <r>
    <x v="10"/>
    <x v="10"/>
    <x v="19"/>
    <x v="6"/>
    <x v="6"/>
    <x v="6"/>
    <x v="6"/>
    <x v="2"/>
    <x v="2"/>
    <x v="5"/>
    <x v="1"/>
    <x v="1"/>
    <x v="5"/>
    <x v="0"/>
    <x v="1"/>
    <x v="0"/>
    <x v="1"/>
  </r>
  <r>
    <x v="11"/>
    <x v="11"/>
    <x v="20"/>
    <x v="6"/>
    <x v="6"/>
    <x v="6"/>
    <x v="6"/>
    <x v="2"/>
    <x v="2"/>
    <x v="5"/>
    <x v="1"/>
    <x v="1"/>
    <x v="5"/>
    <x v="0"/>
    <x v="1"/>
    <x v="0"/>
    <x v="1"/>
  </r>
  <r>
    <x v="12"/>
    <x v="12"/>
    <x v="21"/>
    <x v="6"/>
    <x v="19"/>
    <x v="6"/>
    <x v="6"/>
    <x v="2"/>
    <x v="2"/>
    <x v="5"/>
    <x v="1"/>
    <x v="1"/>
    <x v="5"/>
    <x v="0"/>
    <x v="1"/>
    <x v="0"/>
    <x v="1"/>
  </r>
  <r>
    <x v="8"/>
    <x v="8"/>
    <x v="6"/>
    <x v="6"/>
    <x v="6"/>
    <x v="6"/>
    <x v="6"/>
    <x v="2"/>
    <x v="2"/>
    <x v="5"/>
    <x v="1"/>
    <x v="1"/>
    <x v="5"/>
    <x v="0"/>
    <x v="1"/>
    <x v="0"/>
    <x v="1"/>
  </r>
  <r>
    <x v="9"/>
    <x v="9"/>
    <x v="22"/>
    <x v="18"/>
    <x v="20"/>
    <x v="19"/>
    <x v="19"/>
    <x v="2"/>
    <x v="2"/>
    <x v="2"/>
    <x v="1"/>
    <x v="1"/>
    <x v="2"/>
    <x v="0"/>
    <x v="1"/>
    <x v="0"/>
    <x v="1"/>
  </r>
  <r>
    <x v="10"/>
    <x v="10"/>
    <x v="23"/>
    <x v="6"/>
    <x v="6"/>
    <x v="6"/>
    <x v="6"/>
    <x v="2"/>
    <x v="2"/>
    <x v="5"/>
    <x v="1"/>
    <x v="1"/>
    <x v="5"/>
    <x v="0"/>
    <x v="1"/>
    <x v="0"/>
    <x v="1"/>
  </r>
  <r>
    <x v="11"/>
    <x v="11"/>
    <x v="24"/>
    <x v="6"/>
    <x v="6"/>
    <x v="6"/>
    <x v="6"/>
    <x v="2"/>
    <x v="2"/>
    <x v="5"/>
    <x v="1"/>
    <x v="1"/>
    <x v="5"/>
    <x v="0"/>
    <x v="1"/>
    <x v="0"/>
    <x v="1"/>
  </r>
  <r>
    <x v="10"/>
    <x v="10"/>
    <x v="25"/>
    <x v="19"/>
    <x v="21"/>
    <x v="20"/>
    <x v="20"/>
    <x v="2"/>
    <x v="2"/>
    <x v="2"/>
    <x v="1"/>
    <x v="1"/>
    <x v="2"/>
    <x v="0"/>
    <x v="1"/>
    <x v="0"/>
    <x v="1"/>
  </r>
  <r>
    <x v="11"/>
    <x v="11"/>
    <x v="26"/>
    <x v="19"/>
    <x v="22"/>
    <x v="21"/>
    <x v="21"/>
    <x v="2"/>
    <x v="2"/>
    <x v="2"/>
    <x v="1"/>
    <x v="1"/>
    <x v="2"/>
    <x v="0"/>
    <x v="1"/>
    <x v="0"/>
    <x v="1"/>
  </r>
  <r>
    <x v="6"/>
    <x v="6"/>
    <x v="27"/>
    <x v="19"/>
    <x v="23"/>
    <x v="22"/>
    <x v="22"/>
    <x v="2"/>
    <x v="2"/>
    <x v="2"/>
    <x v="1"/>
    <x v="1"/>
    <x v="2"/>
    <x v="0"/>
    <x v="1"/>
    <x v="0"/>
    <x v="1"/>
  </r>
  <r>
    <x v="4"/>
    <x v="4"/>
    <x v="28"/>
    <x v="20"/>
    <x v="24"/>
    <x v="23"/>
    <x v="23"/>
    <x v="12"/>
    <x v="12"/>
    <x v="13"/>
    <x v="11"/>
    <x v="11"/>
    <x v="12"/>
    <x v="9"/>
    <x v="1"/>
    <x v="11"/>
    <x v="1"/>
  </r>
  <r>
    <x v="5"/>
    <x v="5"/>
    <x v="29"/>
    <x v="21"/>
    <x v="25"/>
    <x v="24"/>
    <x v="24"/>
    <x v="13"/>
    <x v="13"/>
    <x v="14"/>
    <x v="12"/>
    <x v="12"/>
    <x v="13"/>
    <x v="9"/>
    <x v="0"/>
    <x v="11"/>
    <x v="7"/>
  </r>
  <r>
    <x v="9"/>
    <x v="9"/>
    <x v="30"/>
    <x v="6"/>
    <x v="6"/>
    <x v="6"/>
    <x v="6"/>
    <x v="2"/>
    <x v="2"/>
    <x v="5"/>
    <x v="1"/>
    <x v="1"/>
    <x v="5"/>
    <x v="0"/>
    <x v="1"/>
    <x v="0"/>
    <x v="1"/>
  </r>
  <r>
    <x v="4"/>
    <x v="4"/>
    <x v="31"/>
    <x v="22"/>
    <x v="26"/>
    <x v="25"/>
    <x v="25"/>
    <x v="2"/>
    <x v="2"/>
    <x v="2"/>
    <x v="1"/>
    <x v="1"/>
    <x v="2"/>
    <x v="0"/>
    <x v="1"/>
    <x v="0"/>
    <x v="1"/>
  </r>
  <r>
    <x v="5"/>
    <x v="5"/>
    <x v="32"/>
    <x v="23"/>
    <x v="27"/>
    <x v="26"/>
    <x v="26"/>
    <x v="2"/>
    <x v="2"/>
    <x v="2"/>
    <x v="1"/>
    <x v="1"/>
    <x v="2"/>
    <x v="0"/>
    <x v="1"/>
    <x v="0"/>
    <x v="1"/>
  </r>
  <r>
    <x v="13"/>
    <x v="13"/>
    <x v="33"/>
    <x v="24"/>
    <x v="28"/>
    <x v="27"/>
    <x v="27"/>
    <x v="14"/>
    <x v="14"/>
    <x v="15"/>
    <x v="7"/>
    <x v="7"/>
    <x v="14"/>
    <x v="6"/>
    <x v="1"/>
    <x v="12"/>
    <x v="1"/>
  </r>
  <r>
    <x v="2"/>
    <x v="2"/>
    <x v="34"/>
    <x v="12"/>
    <x v="29"/>
    <x v="28"/>
    <x v="28"/>
    <x v="2"/>
    <x v="2"/>
    <x v="2"/>
    <x v="1"/>
    <x v="1"/>
    <x v="2"/>
    <x v="0"/>
    <x v="1"/>
    <x v="0"/>
    <x v="1"/>
  </r>
  <r>
    <x v="14"/>
    <x v="14"/>
    <x v="35"/>
    <x v="25"/>
    <x v="30"/>
    <x v="29"/>
    <x v="29"/>
    <x v="2"/>
    <x v="2"/>
    <x v="2"/>
    <x v="1"/>
    <x v="1"/>
    <x v="2"/>
    <x v="0"/>
    <x v="1"/>
    <x v="0"/>
    <x v="1"/>
  </r>
  <r>
    <x v="14"/>
    <x v="14"/>
    <x v="36"/>
    <x v="26"/>
    <x v="31"/>
    <x v="30"/>
    <x v="30"/>
    <x v="15"/>
    <x v="15"/>
    <x v="16"/>
    <x v="12"/>
    <x v="7"/>
    <x v="15"/>
    <x v="6"/>
    <x v="1"/>
    <x v="13"/>
    <x v="1"/>
  </r>
  <r>
    <x v="15"/>
    <x v="15"/>
    <x v="37"/>
    <x v="27"/>
    <x v="32"/>
    <x v="31"/>
    <x v="31"/>
    <x v="16"/>
    <x v="16"/>
    <x v="17"/>
    <x v="4"/>
    <x v="4"/>
    <x v="16"/>
    <x v="10"/>
    <x v="1"/>
    <x v="14"/>
    <x v="1"/>
  </r>
  <r>
    <x v="16"/>
    <x v="16"/>
    <x v="38"/>
    <x v="28"/>
    <x v="33"/>
    <x v="32"/>
    <x v="32"/>
    <x v="17"/>
    <x v="17"/>
    <x v="18"/>
    <x v="13"/>
    <x v="2"/>
    <x v="17"/>
    <x v="11"/>
    <x v="0"/>
    <x v="15"/>
    <x v="7"/>
  </r>
  <r>
    <x v="17"/>
    <x v="17"/>
    <x v="39"/>
    <x v="29"/>
    <x v="34"/>
    <x v="33"/>
    <x v="33"/>
    <x v="18"/>
    <x v="18"/>
    <x v="19"/>
    <x v="12"/>
    <x v="12"/>
    <x v="18"/>
    <x v="9"/>
    <x v="0"/>
    <x v="16"/>
    <x v="7"/>
  </r>
  <r>
    <x v="18"/>
    <x v="18"/>
    <x v="40"/>
    <x v="30"/>
    <x v="35"/>
    <x v="34"/>
    <x v="34"/>
    <x v="19"/>
    <x v="19"/>
    <x v="20"/>
    <x v="11"/>
    <x v="11"/>
    <x v="19"/>
    <x v="9"/>
    <x v="1"/>
    <x v="17"/>
    <x v="1"/>
  </r>
  <r>
    <x v="19"/>
    <x v="19"/>
    <x v="41"/>
    <x v="31"/>
    <x v="36"/>
    <x v="35"/>
    <x v="35"/>
    <x v="2"/>
    <x v="2"/>
    <x v="2"/>
    <x v="1"/>
    <x v="1"/>
    <x v="2"/>
    <x v="0"/>
    <x v="1"/>
    <x v="0"/>
    <x v="1"/>
  </r>
  <r>
    <x v="20"/>
    <x v="20"/>
    <x v="42"/>
    <x v="31"/>
    <x v="37"/>
    <x v="36"/>
    <x v="36"/>
    <x v="2"/>
    <x v="2"/>
    <x v="2"/>
    <x v="1"/>
    <x v="1"/>
    <x v="2"/>
    <x v="0"/>
    <x v="1"/>
    <x v="0"/>
    <x v="1"/>
  </r>
  <r>
    <x v="21"/>
    <x v="21"/>
    <x v="43"/>
    <x v="23"/>
    <x v="38"/>
    <x v="37"/>
    <x v="37"/>
    <x v="2"/>
    <x v="2"/>
    <x v="2"/>
    <x v="1"/>
    <x v="1"/>
    <x v="2"/>
    <x v="0"/>
    <x v="1"/>
    <x v="0"/>
    <x v="1"/>
  </r>
  <r>
    <x v="22"/>
    <x v="22"/>
    <x v="21"/>
    <x v="6"/>
    <x v="19"/>
    <x v="6"/>
    <x v="6"/>
    <x v="2"/>
    <x v="2"/>
    <x v="5"/>
    <x v="1"/>
    <x v="1"/>
    <x v="5"/>
    <x v="0"/>
    <x v="1"/>
    <x v="0"/>
    <x v="1"/>
  </r>
  <r>
    <x v="23"/>
    <x v="23"/>
    <x v="44"/>
    <x v="32"/>
    <x v="39"/>
    <x v="38"/>
    <x v="38"/>
    <x v="20"/>
    <x v="20"/>
    <x v="21"/>
    <x v="11"/>
    <x v="11"/>
    <x v="20"/>
    <x v="9"/>
    <x v="1"/>
    <x v="18"/>
    <x v="1"/>
  </r>
  <r>
    <x v="24"/>
    <x v="24"/>
    <x v="45"/>
    <x v="33"/>
    <x v="40"/>
    <x v="39"/>
    <x v="39"/>
    <x v="2"/>
    <x v="2"/>
    <x v="2"/>
    <x v="1"/>
    <x v="1"/>
    <x v="2"/>
    <x v="0"/>
    <x v="1"/>
    <x v="0"/>
    <x v="1"/>
  </r>
  <r>
    <x v="25"/>
    <x v="25"/>
    <x v="46"/>
    <x v="34"/>
    <x v="41"/>
    <x v="40"/>
    <x v="40"/>
    <x v="21"/>
    <x v="21"/>
    <x v="22"/>
    <x v="11"/>
    <x v="11"/>
    <x v="21"/>
    <x v="1"/>
    <x v="0"/>
    <x v="19"/>
    <x v="8"/>
  </r>
  <r>
    <x v="25"/>
    <x v="25"/>
    <x v="47"/>
    <x v="3"/>
    <x v="42"/>
    <x v="41"/>
    <x v="41"/>
    <x v="22"/>
    <x v="22"/>
    <x v="23"/>
    <x v="7"/>
    <x v="7"/>
    <x v="12"/>
    <x v="6"/>
    <x v="1"/>
    <x v="20"/>
    <x v="1"/>
  </r>
  <r>
    <x v="17"/>
    <x v="17"/>
    <x v="48"/>
    <x v="19"/>
    <x v="43"/>
    <x v="42"/>
    <x v="42"/>
    <x v="2"/>
    <x v="2"/>
    <x v="2"/>
    <x v="1"/>
    <x v="1"/>
    <x v="2"/>
    <x v="0"/>
    <x v="1"/>
    <x v="0"/>
    <x v="1"/>
  </r>
  <r>
    <x v="25"/>
    <x v="25"/>
    <x v="49"/>
    <x v="35"/>
    <x v="44"/>
    <x v="43"/>
    <x v="43"/>
    <x v="23"/>
    <x v="23"/>
    <x v="24"/>
    <x v="12"/>
    <x v="12"/>
    <x v="22"/>
    <x v="1"/>
    <x v="4"/>
    <x v="19"/>
    <x v="9"/>
  </r>
  <r>
    <x v="23"/>
    <x v="23"/>
    <x v="50"/>
    <x v="5"/>
    <x v="45"/>
    <x v="44"/>
    <x v="44"/>
    <x v="24"/>
    <x v="24"/>
    <x v="25"/>
    <x v="0"/>
    <x v="0"/>
    <x v="23"/>
    <x v="1"/>
    <x v="1"/>
    <x v="21"/>
    <x v="1"/>
  </r>
  <r>
    <x v="24"/>
    <x v="24"/>
    <x v="51"/>
    <x v="12"/>
    <x v="46"/>
    <x v="45"/>
    <x v="45"/>
    <x v="2"/>
    <x v="2"/>
    <x v="2"/>
    <x v="1"/>
    <x v="1"/>
    <x v="2"/>
    <x v="0"/>
    <x v="1"/>
    <x v="0"/>
    <x v="1"/>
  </r>
  <r>
    <x v="26"/>
    <x v="26"/>
    <x v="52"/>
    <x v="36"/>
    <x v="47"/>
    <x v="46"/>
    <x v="46"/>
    <x v="2"/>
    <x v="2"/>
    <x v="2"/>
    <x v="1"/>
    <x v="1"/>
    <x v="2"/>
    <x v="0"/>
    <x v="1"/>
    <x v="0"/>
    <x v="1"/>
  </r>
  <r>
    <x v="18"/>
    <x v="18"/>
    <x v="53"/>
    <x v="6"/>
    <x v="6"/>
    <x v="6"/>
    <x v="6"/>
    <x v="2"/>
    <x v="2"/>
    <x v="5"/>
    <x v="1"/>
    <x v="1"/>
    <x v="5"/>
    <x v="0"/>
    <x v="1"/>
    <x v="0"/>
    <x v="1"/>
  </r>
  <r>
    <x v="17"/>
    <x v="17"/>
    <x v="54"/>
    <x v="37"/>
    <x v="48"/>
    <x v="47"/>
    <x v="47"/>
    <x v="25"/>
    <x v="25"/>
    <x v="26"/>
    <x v="12"/>
    <x v="12"/>
    <x v="24"/>
    <x v="12"/>
    <x v="1"/>
    <x v="22"/>
    <x v="1"/>
  </r>
  <r>
    <x v="27"/>
    <x v="27"/>
    <x v="55"/>
    <x v="38"/>
    <x v="49"/>
    <x v="48"/>
    <x v="48"/>
    <x v="26"/>
    <x v="26"/>
    <x v="27"/>
    <x v="14"/>
    <x v="5"/>
    <x v="25"/>
    <x v="8"/>
    <x v="2"/>
    <x v="23"/>
    <x v="10"/>
  </r>
  <r>
    <x v="28"/>
    <x v="28"/>
    <x v="56"/>
    <x v="39"/>
    <x v="50"/>
    <x v="49"/>
    <x v="49"/>
    <x v="27"/>
    <x v="27"/>
    <x v="28"/>
    <x v="5"/>
    <x v="13"/>
    <x v="26"/>
    <x v="13"/>
    <x v="3"/>
    <x v="24"/>
    <x v="11"/>
  </r>
  <r>
    <x v="29"/>
    <x v="29"/>
    <x v="57"/>
    <x v="40"/>
    <x v="51"/>
    <x v="50"/>
    <x v="50"/>
    <x v="28"/>
    <x v="28"/>
    <x v="29"/>
    <x v="2"/>
    <x v="14"/>
    <x v="27"/>
    <x v="12"/>
    <x v="5"/>
    <x v="25"/>
    <x v="12"/>
  </r>
  <r>
    <x v="16"/>
    <x v="16"/>
    <x v="58"/>
    <x v="41"/>
    <x v="52"/>
    <x v="51"/>
    <x v="26"/>
    <x v="29"/>
    <x v="29"/>
    <x v="30"/>
    <x v="0"/>
    <x v="0"/>
    <x v="28"/>
    <x v="0"/>
    <x v="0"/>
    <x v="0"/>
    <x v="7"/>
  </r>
  <r>
    <x v="19"/>
    <x v="19"/>
    <x v="59"/>
    <x v="6"/>
    <x v="6"/>
    <x v="6"/>
    <x v="6"/>
    <x v="2"/>
    <x v="2"/>
    <x v="5"/>
    <x v="1"/>
    <x v="1"/>
    <x v="5"/>
    <x v="0"/>
    <x v="1"/>
    <x v="0"/>
    <x v="1"/>
  </r>
  <r>
    <x v="20"/>
    <x v="20"/>
    <x v="60"/>
    <x v="19"/>
    <x v="53"/>
    <x v="52"/>
    <x v="51"/>
    <x v="2"/>
    <x v="2"/>
    <x v="2"/>
    <x v="1"/>
    <x v="1"/>
    <x v="2"/>
    <x v="0"/>
    <x v="1"/>
    <x v="0"/>
    <x v="1"/>
  </r>
  <r>
    <x v="21"/>
    <x v="21"/>
    <x v="61"/>
    <x v="6"/>
    <x v="6"/>
    <x v="6"/>
    <x v="6"/>
    <x v="2"/>
    <x v="2"/>
    <x v="5"/>
    <x v="1"/>
    <x v="1"/>
    <x v="5"/>
    <x v="0"/>
    <x v="1"/>
    <x v="0"/>
    <x v="1"/>
  </r>
  <r>
    <x v="16"/>
    <x v="16"/>
    <x v="62"/>
    <x v="42"/>
    <x v="54"/>
    <x v="53"/>
    <x v="52"/>
    <x v="30"/>
    <x v="30"/>
    <x v="31"/>
    <x v="12"/>
    <x v="12"/>
    <x v="29"/>
    <x v="9"/>
    <x v="0"/>
    <x v="26"/>
    <x v="7"/>
  </r>
  <r>
    <x v="23"/>
    <x v="23"/>
    <x v="63"/>
    <x v="18"/>
    <x v="55"/>
    <x v="54"/>
    <x v="53"/>
    <x v="2"/>
    <x v="2"/>
    <x v="2"/>
    <x v="1"/>
    <x v="1"/>
    <x v="2"/>
    <x v="0"/>
    <x v="1"/>
    <x v="0"/>
    <x v="1"/>
  </r>
  <r>
    <x v="24"/>
    <x v="24"/>
    <x v="64"/>
    <x v="6"/>
    <x v="6"/>
    <x v="6"/>
    <x v="6"/>
    <x v="2"/>
    <x v="2"/>
    <x v="5"/>
    <x v="1"/>
    <x v="1"/>
    <x v="5"/>
    <x v="0"/>
    <x v="1"/>
    <x v="0"/>
    <x v="1"/>
  </r>
  <r>
    <x v="30"/>
    <x v="30"/>
    <x v="65"/>
    <x v="43"/>
    <x v="56"/>
    <x v="55"/>
    <x v="54"/>
    <x v="31"/>
    <x v="31"/>
    <x v="32"/>
    <x v="12"/>
    <x v="12"/>
    <x v="30"/>
    <x v="1"/>
    <x v="4"/>
    <x v="27"/>
    <x v="13"/>
  </r>
  <r>
    <x v="31"/>
    <x v="31"/>
    <x v="66"/>
    <x v="44"/>
    <x v="57"/>
    <x v="56"/>
    <x v="55"/>
    <x v="2"/>
    <x v="2"/>
    <x v="2"/>
    <x v="1"/>
    <x v="1"/>
    <x v="2"/>
    <x v="0"/>
    <x v="1"/>
    <x v="0"/>
    <x v="1"/>
  </r>
  <r>
    <x v="32"/>
    <x v="32"/>
    <x v="67"/>
    <x v="18"/>
    <x v="43"/>
    <x v="57"/>
    <x v="56"/>
    <x v="2"/>
    <x v="2"/>
    <x v="2"/>
    <x v="1"/>
    <x v="1"/>
    <x v="2"/>
    <x v="0"/>
    <x v="1"/>
    <x v="0"/>
    <x v="1"/>
  </r>
  <r>
    <x v="33"/>
    <x v="33"/>
    <x v="68"/>
    <x v="0"/>
    <x v="58"/>
    <x v="58"/>
    <x v="57"/>
    <x v="13"/>
    <x v="32"/>
    <x v="33"/>
    <x v="12"/>
    <x v="12"/>
    <x v="31"/>
    <x v="12"/>
    <x v="1"/>
    <x v="28"/>
    <x v="1"/>
  </r>
  <r>
    <x v="34"/>
    <x v="34"/>
    <x v="69"/>
    <x v="45"/>
    <x v="59"/>
    <x v="59"/>
    <x v="58"/>
    <x v="32"/>
    <x v="33"/>
    <x v="34"/>
    <x v="7"/>
    <x v="4"/>
    <x v="32"/>
    <x v="10"/>
    <x v="1"/>
    <x v="29"/>
    <x v="1"/>
  </r>
  <r>
    <x v="35"/>
    <x v="35"/>
    <x v="70"/>
    <x v="46"/>
    <x v="60"/>
    <x v="60"/>
    <x v="59"/>
    <x v="33"/>
    <x v="34"/>
    <x v="35"/>
    <x v="15"/>
    <x v="15"/>
    <x v="33"/>
    <x v="14"/>
    <x v="0"/>
    <x v="30"/>
    <x v="7"/>
  </r>
  <r>
    <x v="33"/>
    <x v="33"/>
    <x v="71"/>
    <x v="47"/>
    <x v="61"/>
    <x v="61"/>
    <x v="60"/>
    <x v="34"/>
    <x v="35"/>
    <x v="36"/>
    <x v="0"/>
    <x v="0"/>
    <x v="34"/>
    <x v="1"/>
    <x v="1"/>
    <x v="31"/>
    <x v="1"/>
  </r>
  <r>
    <x v="34"/>
    <x v="34"/>
    <x v="72"/>
    <x v="36"/>
    <x v="62"/>
    <x v="62"/>
    <x v="61"/>
    <x v="24"/>
    <x v="36"/>
    <x v="37"/>
    <x v="0"/>
    <x v="0"/>
    <x v="35"/>
    <x v="1"/>
    <x v="1"/>
    <x v="21"/>
    <x v="1"/>
  </r>
  <r>
    <x v="35"/>
    <x v="35"/>
    <x v="73"/>
    <x v="48"/>
    <x v="63"/>
    <x v="63"/>
    <x v="62"/>
    <x v="35"/>
    <x v="37"/>
    <x v="38"/>
    <x v="16"/>
    <x v="10"/>
    <x v="36"/>
    <x v="15"/>
    <x v="1"/>
    <x v="32"/>
    <x v="1"/>
  </r>
  <r>
    <x v="15"/>
    <x v="15"/>
    <x v="74"/>
    <x v="49"/>
    <x v="64"/>
    <x v="64"/>
    <x v="63"/>
    <x v="36"/>
    <x v="38"/>
    <x v="39"/>
    <x v="14"/>
    <x v="13"/>
    <x v="37"/>
    <x v="16"/>
    <x v="0"/>
    <x v="33"/>
    <x v="7"/>
  </r>
  <r>
    <x v="15"/>
    <x v="15"/>
    <x v="75"/>
    <x v="50"/>
    <x v="65"/>
    <x v="65"/>
    <x v="64"/>
    <x v="37"/>
    <x v="39"/>
    <x v="40"/>
    <x v="6"/>
    <x v="16"/>
    <x v="38"/>
    <x v="17"/>
    <x v="0"/>
    <x v="34"/>
    <x v="7"/>
  </r>
  <r>
    <x v="36"/>
    <x v="36"/>
    <x v="76"/>
    <x v="25"/>
    <x v="66"/>
    <x v="66"/>
    <x v="65"/>
    <x v="29"/>
    <x v="40"/>
    <x v="41"/>
    <x v="0"/>
    <x v="0"/>
    <x v="39"/>
    <x v="1"/>
    <x v="1"/>
    <x v="4"/>
    <x v="1"/>
  </r>
  <r>
    <x v="37"/>
    <x v="37"/>
    <x v="77"/>
    <x v="51"/>
    <x v="67"/>
    <x v="67"/>
    <x v="66"/>
    <x v="38"/>
    <x v="41"/>
    <x v="42"/>
    <x v="17"/>
    <x v="6"/>
    <x v="40"/>
    <x v="16"/>
    <x v="2"/>
    <x v="35"/>
    <x v="14"/>
  </r>
  <r>
    <x v="38"/>
    <x v="38"/>
    <x v="78"/>
    <x v="52"/>
    <x v="68"/>
    <x v="68"/>
    <x v="67"/>
    <x v="39"/>
    <x v="42"/>
    <x v="43"/>
    <x v="12"/>
    <x v="12"/>
    <x v="41"/>
    <x v="12"/>
    <x v="1"/>
    <x v="36"/>
    <x v="1"/>
  </r>
  <r>
    <x v="17"/>
    <x v="17"/>
    <x v="79"/>
    <x v="47"/>
    <x v="69"/>
    <x v="69"/>
    <x v="68"/>
    <x v="2"/>
    <x v="2"/>
    <x v="2"/>
    <x v="1"/>
    <x v="1"/>
    <x v="2"/>
    <x v="0"/>
    <x v="1"/>
    <x v="0"/>
    <x v="1"/>
  </r>
  <r>
    <x v="31"/>
    <x v="31"/>
    <x v="80"/>
    <x v="53"/>
    <x v="70"/>
    <x v="70"/>
    <x v="69"/>
    <x v="40"/>
    <x v="43"/>
    <x v="44"/>
    <x v="11"/>
    <x v="11"/>
    <x v="42"/>
    <x v="9"/>
    <x v="1"/>
    <x v="26"/>
    <x v="1"/>
  </r>
  <r>
    <x v="32"/>
    <x v="32"/>
    <x v="81"/>
    <x v="47"/>
    <x v="71"/>
    <x v="71"/>
    <x v="53"/>
    <x v="2"/>
    <x v="2"/>
    <x v="2"/>
    <x v="1"/>
    <x v="1"/>
    <x v="2"/>
    <x v="0"/>
    <x v="1"/>
    <x v="0"/>
    <x v="1"/>
  </r>
  <r>
    <x v="14"/>
    <x v="14"/>
    <x v="82"/>
    <x v="6"/>
    <x v="6"/>
    <x v="6"/>
    <x v="6"/>
    <x v="2"/>
    <x v="2"/>
    <x v="5"/>
    <x v="1"/>
    <x v="1"/>
    <x v="5"/>
    <x v="0"/>
    <x v="1"/>
    <x v="0"/>
    <x v="1"/>
  </r>
  <r>
    <x v="37"/>
    <x v="37"/>
    <x v="83"/>
    <x v="41"/>
    <x v="72"/>
    <x v="72"/>
    <x v="70"/>
    <x v="2"/>
    <x v="2"/>
    <x v="2"/>
    <x v="1"/>
    <x v="1"/>
    <x v="2"/>
    <x v="0"/>
    <x v="1"/>
    <x v="0"/>
    <x v="1"/>
  </r>
  <r>
    <x v="37"/>
    <x v="37"/>
    <x v="84"/>
    <x v="5"/>
    <x v="73"/>
    <x v="73"/>
    <x v="71"/>
    <x v="29"/>
    <x v="44"/>
    <x v="45"/>
    <x v="0"/>
    <x v="0"/>
    <x v="23"/>
    <x v="1"/>
    <x v="1"/>
    <x v="4"/>
    <x v="1"/>
  </r>
  <r>
    <x v="39"/>
    <x v="39"/>
    <x v="85"/>
    <x v="54"/>
    <x v="74"/>
    <x v="74"/>
    <x v="72"/>
    <x v="41"/>
    <x v="45"/>
    <x v="46"/>
    <x v="0"/>
    <x v="0"/>
    <x v="43"/>
    <x v="1"/>
    <x v="1"/>
    <x v="27"/>
    <x v="1"/>
  </r>
  <r>
    <x v="40"/>
    <x v="40"/>
    <x v="86"/>
    <x v="55"/>
    <x v="75"/>
    <x v="75"/>
    <x v="73"/>
    <x v="42"/>
    <x v="46"/>
    <x v="47"/>
    <x v="7"/>
    <x v="4"/>
    <x v="44"/>
    <x v="1"/>
    <x v="3"/>
    <x v="37"/>
    <x v="15"/>
  </r>
  <r>
    <x v="41"/>
    <x v="41"/>
    <x v="87"/>
    <x v="47"/>
    <x v="76"/>
    <x v="76"/>
    <x v="74"/>
    <x v="2"/>
    <x v="2"/>
    <x v="2"/>
    <x v="1"/>
    <x v="1"/>
    <x v="2"/>
    <x v="0"/>
    <x v="1"/>
    <x v="0"/>
    <x v="1"/>
  </r>
  <r>
    <x v="42"/>
    <x v="42"/>
    <x v="88"/>
    <x v="18"/>
    <x v="77"/>
    <x v="57"/>
    <x v="56"/>
    <x v="2"/>
    <x v="2"/>
    <x v="2"/>
    <x v="1"/>
    <x v="1"/>
    <x v="2"/>
    <x v="0"/>
    <x v="1"/>
    <x v="0"/>
    <x v="1"/>
  </r>
  <r>
    <x v="28"/>
    <x v="28"/>
    <x v="89"/>
    <x v="22"/>
    <x v="78"/>
    <x v="77"/>
    <x v="75"/>
    <x v="2"/>
    <x v="2"/>
    <x v="2"/>
    <x v="1"/>
    <x v="1"/>
    <x v="2"/>
    <x v="0"/>
    <x v="1"/>
    <x v="0"/>
    <x v="1"/>
  </r>
  <r>
    <x v="29"/>
    <x v="29"/>
    <x v="90"/>
    <x v="31"/>
    <x v="79"/>
    <x v="78"/>
    <x v="76"/>
    <x v="43"/>
    <x v="47"/>
    <x v="48"/>
    <x v="0"/>
    <x v="0"/>
    <x v="45"/>
    <x v="1"/>
    <x v="1"/>
    <x v="38"/>
    <x v="1"/>
  </r>
  <r>
    <x v="28"/>
    <x v="28"/>
    <x v="91"/>
    <x v="56"/>
    <x v="80"/>
    <x v="79"/>
    <x v="77"/>
    <x v="44"/>
    <x v="48"/>
    <x v="49"/>
    <x v="4"/>
    <x v="4"/>
    <x v="46"/>
    <x v="9"/>
    <x v="5"/>
    <x v="39"/>
    <x v="16"/>
  </r>
  <r>
    <x v="27"/>
    <x v="27"/>
    <x v="92"/>
    <x v="45"/>
    <x v="81"/>
    <x v="80"/>
    <x v="78"/>
    <x v="2"/>
    <x v="2"/>
    <x v="2"/>
    <x v="1"/>
    <x v="1"/>
    <x v="2"/>
    <x v="0"/>
    <x v="1"/>
    <x v="0"/>
    <x v="1"/>
  </r>
  <r>
    <x v="38"/>
    <x v="38"/>
    <x v="93"/>
    <x v="31"/>
    <x v="82"/>
    <x v="81"/>
    <x v="79"/>
    <x v="2"/>
    <x v="2"/>
    <x v="2"/>
    <x v="1"/>
    <x v="1"/>
    <x v="2"/>
    <x v="0"/>
    <x v="1"/>
    <x v="0"/>
    <x v="1"/>
  </r>
  <r>
    <x v="30"/>
    <x v="30"/>
    <x v="94"/>
    <x v="19"/>
    <x v="83"/>
    <x v="62"/>
    <x v="80"/>
    <x v="2"/>
    <x v="2"/>
    <x v="2"/>
    <x v="1"/>
    <x v="1"/>
    <x v="2"/>
    <x v="0"/>
    <x v="1"/>
    <x v="0"/>
    <x v="1"/>
  </r>
  <r>
    <x v="43"/>
    <x v="43"/>
    <x v="95"/>
    <x v="57"/>
    <x v="84"/>
    <x v="82"/>
    <x v="81"/>
    <x v="45"/>
    <x v="49"/>
    <x v="50"/>
    <x v="18"/>
    <x v="17"/>
    <x v="47"/>
    <x v="13"/>
    <x v="1"/>
    <x v="40"/>
    <x v="1"/>
  </r>
  <r>
    <x v="44"/>
    <x v="44"/>
    <x v="96"/>
    <x v="12"/>
    <x v="85"/>
    <x v="22"/>
    <x v="82"/>
    <x v="2"/>
    <x v="2"/>
    <x v="2"/>
    <x v="1"/>
    <x v="1"/>
    <x v="2"/>
    <x v="0"/>
    <x v="1"/>
    <x v="0"/>
    <x v="1"/>
  </r>
  <r>
    <x v="45"/>
    <x v="45"/>
    <x v="97"/>
    <x v="12"/>
    <x v="86"/>
    <x v="61"/>
    <x v="83"/>
    <x v="2"/>
    <x v="2"/>
    <x v="2"/>
    <x v="1"/>
    <x v="1"/>
    <x v="2"/>
    <x v="0"/>
    <x v="1"/>
    <x v="0"/>
    <x v="1"/>
  </r>
  <r>
    <x v="46"/>
    <x v="46"/>
    <x v="98"/>
    <x v="6"/>
    <x v="6"/>
    <x v="6"/>
    <x v="6"/>
    <x v="2"/>
    <x v="2"/>
    <x v="5"/>
    <x v="1"/>
    <x v="1"/>
    <x v="5"/>
    <x v="0"/>
    <x v="1"/>
    <x v="0"/>
    <x v="1"/>
  </r>
  <r>
    <x v="47"/>
    <x v="47"/>
    <x v="99"/>
    <x v="58"/>
    <x v="87"/>
    <x v="83"/>
    <x v="84"/>
    <x v="2"/>
    <x v="2"/>
    <x v="2"/>
    <x v="1"/>
    <x v="1"/>
    <x v="2"/>
    <x v="0"/>
    <x v="1"/>
    <x v="0"/>
    <x v="1"/>
  </r>
  <r>
    <x v="48"/>
    <x v="48"/>
    <x v="100"/>
    <x v="59"/>
    <x v="19"/>
    <x v="6"/>
    <x v="85"/>
    <x v="46"/>
    <x v="2"/>
    <x v="5"/>
    <x v="19"/>
    <x v="18"/>
    <x v="5"/>
    <x v="18"/>
    <x v="6"/>
    <x v="41"/>
    <x v="17"/>
  </r>
</pivotCacheRecords>
</file>

<file path=xl/pivotCache/pivotCacheRecords40.xml><?xml version="1.0" encoding="utf-8"?>
<pivotCacheRecords xmlns="http://schemas.openxmlformats.org/spreadsheetml/2006/main" xmlns:r="http://schemas.openxmlformats.org/officeDocument/2006/relationships" count="132">
  <r>
    <x v="0"/>
    <x v="0"/>
    <x v="0"/>
    <x v="0"/>
    <x v="0"/>
    <x v="0"/>
    <x v="0"/>
    <x v="0"/>
    <x v="0"/>
    <x v="0"/>
    <x v="0"/>
    <x v="0"/>
    <x v="0"/>
    <x v="0"/>
  </r>
  <r>
    <x v="1"/>
    <x v="1"/>
    <x v="1"/>
    <x v="1"/>
    <x v="1"/>
    <x v="1"/>
    <x v="1"/>
    <x v="1"/>
    <x v="1"/>
    <x v="1"/>
    <x v="1"/>
    <x v="1"/>
    <x v="0"/>
    <x v="1"/>
  </r>
  <r>
    <x v="2"/>
    <x v="2"/>
    <x v="2"/>
    <x v="2"/>
    <x v="2"/>
    <x v="2"/>
    <x v="2"/>
    <x v="2"/>
    <x v="2"/>
    <x v="2"/>
    <x v="2"/>
    <x v="2"/>
    <x v="0"/>
    <x v="2"/>
  </r>
  <r>
    <x v="3"/>
    <x v="3"/>
    <x v="3"/>
    <x v="3"/>
    <x v="3"/>
    <x v="3"/>
    <x v="3"/>
    <x v="3"/>
    <x v="3"/>
    <x v="3"/>
    <x v="3"/>
    <x v="3"/>
    <x v="0"/>
    <x v="3"/>
  </r>
  <r>
    <x v="4"/>
    <x v="4"/>
    <x v="4"/>
    <x v="4"/>
    <x v="4"/>
    <x v="4"/>
    <x v="4"/>
    <x v="4"/>
    <x v="1"/>
    <x v="4"/>
    <x v="1"/>
    <x v="4"/>
    <x v="0"/>
    <x v="4"/>
  </r>
  <r>
    <x v="5"/>
    <x v="5"/>
    <x v="5"/>
    <x v="5"/>
    <x v="4"/>
    <x v="5"/>
    <x v="4"/>
    <x v="5"/>
    <x v="4"/>
    <x v="5"/>
    <x v="4"/>
    <x v="5"/>
    <x v="0"/>
    <x v="5"/>
  </r>
  <r>
    <x v="6"/>
    <x v="6"/>
    <x v="6"/>
    <x v="6"/>
    <x v="5"/>
    <x v="6"/>
    <x v="5"/>
    <x v="6"/>
    <x v="5"/>
    <x v="6"/>
    <x v="5"/>
    <x v="6"/>
    <x v="0"/>
    <x v="6"/>
  </r>
  <r>
    <x v="7"/>
    <x v="7"/>
    <x v="7"/>
    <x v="7"/>
    <x v="5"/>
    <x v="7"/>
    <x v="5"/>
    <x v="7"/>
    <x v="1"/>
    <x v="7"/>
    <x v="1"/>
    <x v="7"/>
    <x v="0"/>
    <x v="7"/>
  </r>
  <r>
    <x v="8"/>
    <x v="8"/>
    <x v="8"/>
    <x v="8"/>
    <x v="6"/>
    <x v="8"/>
    <x v="6"/>
    <x v="8"/>
    <x v="6"/>
    <x v="8"/>
    <x v="6"/>
    <x v="5"/>
    <x v="0"/>
    <x v="7"/>
  </r>
  <r>
    <x v="9"/>
    <x v="9"/>
    <x v="9"/>
    <x v="9"/>
    <x v="4"/>
    <x v="9"/>
    <x v="4"/>
    <x v="9"/>
    <x v="1"/>
    <x v="9"/>
    <x v="1"/>
    <x v="8"/>
    <x v="0"/>
    <x v="6"/>
  </r>
  <r>
    <x v="10"/>
    <x v="10"/>
    <x v="10"/>
    <x v="10"/>
    <x v="5"/>
    <x v="10"/>
    <x v="5"/>
    <x v="10"/>
    <x v="4"/>
    <x v="10"/>
    <x v="4"/>
    <x v="9"/>
    <x v="0"/>
    <x v="8"/>
  </r>
  <r>
    <x v="11"/>
    <x v="11"/>
    <x v="11"/>
    <x v="11"/>
    <x v="4"/>
    <x v="11"/>
    <x v="4"/>
    <x v="11"/>
    <x v="1"/>
    <x v="11"/>
    <x v="1"/>
    <x v="5"/>
    <x v="0"/>
    <x v="9"/>
  </r>
  <r>
    <x v="12"/>
    <x v="12"/>
    <x v="12"/>
    <x v="12"/>
    <x v="5"/>
    <x v="12"/>
    <x v="5"/>
    <x v="12"/>
    <x v="5"/>
    <x v="12"/>
    <x v="5"/>
    <x v="5"/>
    <x v="0"/>
    <x v="10"/>
  </r>
  <r>
    <x v="13"/>
    <x v="13"/>
    <x v="13"/>
    <x v="10"/>
    <x v="4"/>
    <x v="10"/>
    <x v="4"/>
    <x v="13"/>
    <x v="1"/>
    <x v="13"/>
    <x v="1"/>
    <x v="5"/>
    <x v="0"/>
    <x v="10"/>
  </r>
  <r>
    <x v="14"/>
    <x v="14"/>
    <x v="14"/>
    <x v="13"/>
    <x v="7"/>
    <x v="13"/>
    <x v="7"/>
    <x v="14"/>
    <x v="7"/>
    <x v="14"/>
    <x v="7"/>
    <x v="10"/>
    <x v="1"/>
    <x v="10"/>
  </r>
  <r>
    <x v="15"/>
    <x v="15"/>
    <x v="15"/>
    <x v="14"/>
    <x v="5"/>
    <x v="14"/>
    <x v="5"/>
    <x v="15"/>
    <x v="5"/>
    <x v="15"/>
    <x v="5"/>
    <x v="5"/>
    <x v="0"/>
    <x v="11"/>
  </r>
  <r>
    <x v="16"/>
    <x v="16"/>
    <x v="16"/>
    <x v="15"/>
    <x v="6"/>
    <x v="15"/>
    <x v="6"/>
    <x v="16"/>
    <x v="8"/>
    <x v="16"/>
    <x v="8"/>
    <x v="5"/>
    <x v="0"/>
    <x v="12"/>
  </r>
  <r>
    <x v="17"/>
    <x v="17"/>
    <x v="17"/>
    <x v="16"/>
    <x v="5"/>
    <x v="16"/>
    <x v="5"/>
    <x v="17"/>
    <x v="5"/>
    <x v="17"/>
    <x v="5"/>
    <x v="5"/>
    <x v="0"/>
    <x v="11"/>
  </r>
  <r>
    <x v="18"/>
    <x v="18"/>
    <x v="18"/>
    <x v="17"/>
    <x v="5"/>
    <x v="17"/>
    <x v="5"/>
    <x v="18"/>
    <x v="4"/>
    <x v="18"/>
    <x v="4"/>
    <x v="5"/>
    <x v="0"/>
    <x v="11"/>
  </r>
  <r>
    <x v="19"/>
    <x v="19"/>
    <x v="19"/>
    <x v="18"/>
    <x v="5"/>
    <x v="18"/>
    <x v="5"/>
    <x v="19"/>
    <x v="5"/>
    <x v="19"/>
    <x v="5"/>
    <x v="5"/>
    <x v="0"/>
    <x v="11"/>
  </r>
  <r>
    <x v="20"/>
    <x v="20"/>
    <x v="20"/>
    <x v="19"/>
    <x v="3"/>
    <x v="19"/>
    <x v="3"/>
    <x v="20"/>
    <x v="6"/>
    <x v="20"/>
    <x v="6"/>
    <x v="5"/>
    <x v="0"/>
    <x v="11"/>
  </r>
  <r>
    <x v="21"/>
    <x v="21"/>
    <x v="21"/>
    <x v="11"/>
    <x v="4"/>
    <x v="11"/>
    <x v="4"/>
    <x v="21"/>
    <x v="6"/>
    <x v="21"/>
    <x v="6"/>
    <x v="11"/>
    <x v="0"/>
    <x v="13"/>
  </r>
  <r>
    <x v="22"/>
    <x v="22"/>
    <x v="22"/>
    <x v="20"/>
    <x v="5"/>
    <x v="20"/>
    <x v="5"/>
    <x v="22"/>
    <x v="5"/>
    <x v="22"/>
    <x v="5"/>
    <x v="5"/>
    <x v="0"/>
    <x v="13"/>
  </r>
  <r>
    <x v="23"/>
    <x v="23"/>
    <x v="23"/>
    <x v="12"/>
    <x v="7"/>
    <x v="12"/>
    <x v="7"/>
    <x v="23"/>
    <x v="7"/>
    <x v="23"/>
    <x v="7"/>
    <x v="5"/>
    <x v="1"/>
    <x v="14"/>
  </r>
  <r>
    <x v="24"/>
    <x v="24"/>
    <x v="24"/>
    <x v="21"/>
    <x v="1"/>
    <x v="21"/>
    <x v="1"/>
    <x v="24"/>
    <x v="9"/>
    <x v="24"/>
    <x v="9"/>
    <x v="12"/>
    <x v="0"/>
    <x v="14"/>
  </r>
  <r>
    <x v="25"/>
    <x v="25"/>
    <x v="25"/>
    <x v="22"/>
    <x v="7"/>
    <x v="22"/>
    <x v="7"/>
    <x v="25"/>
    <x v="7"/>
    <x v="25"/>
    <x v="7"/>
    <x v="5"/>
    <x v="1"/>
    <x v="14"/>
  </r>
  <r>
    <x v="26"/>
    <x v="26"/>
    <x v="26"/>
    <x v="23"/>
    <x v="5"/>
    <x v="23"/>
    <x v="5"/>
    <x v="26"/>
    <x v="5"/>
    <x v="26"/>
    <x v="5"/>
    <x v="13"/>
    <x v="0"/>
    <x v="14"/>
  </r>
  <r>
    <x v="27"/>
    <x v="27"/>
    <x v="27"/>
    <x v="24"/>
    <x v="1"/>
    <x v="24"/>
    <x v="1"/>
    <x v="27"/>
    <x v="10"/>
    <x v="27"/>
    <x v="10"/>
    <x v="5"/>
    <x v="0"/>
    <x v="15"/>
  </r>
  <r>
    <x v="28"/>
    <x v="28"/>
    <x v="28"/>
    <x v="25"/>
    <x v="5"/>
    <x v="25"/>
    <x v="5"/>
    <x v="28"/>
    <x v="4"/>
    <x v="28"/>
    <x v="4"/>
    <x v="14"/>
    <x v="0"/>
    <x v="15"/>
  </r>
  <r>
    <x v="29"/>
    <x v="29"/>
    <x v="29"/>
    <x v="26"/>
    <x v="8"/>
    <x v="26"/>
    <x v="8"/>
    <x v="29"/>
    <x v="11"/>
    <x v="29"/>
    <x v="11"/>
    <x v="5"/>
    <x v="0"/>
    <x v="15"/>
  </r>
  <r>
    <x v="30"/>
    <x v="30"/>
    <x v="30"/>
    <x v="26"/>
    <x v="5"/>
    <x v="26"/>
    <x v="5"/>
    <x v="30"/>
    <x v="5"/>
    <x v="30"/>
    <x v="5"/>
    <x v="15"/>
    <x v="0"/>
    <x v="16"/>
  </r>
  <r>
    <x v="31"/>
    <x v="31"/>
    <x v="31"/>
    <x v="27"/>
    <x v="7"/>
    <x v="27"/>
    <x v="7"/>
    <x v="31"/>
    <x v="7"/>
    <x v="31"/>
    <x v="7"/>
    <x v="16"/>
    <x v="1"/>
    <x v="16"/>
  </r>
  <r>
    <x v="32"/>
    <x v="32"/>
    <x v="32"/>
    <x v="28"/>
    <x v="4"/>
    <x v="28"/>
    <x v="4"/>
    <x v="32"/>
    <x v="4"/>
    <x v="32"/>
    <x v="4"/>
    <x v="5"/>
    <x v="0"/>
    <x v="16"/>
  </r>
  <r>
    <x v="33"/>
    <x v="33"/>
    <x v="33"/>
    <x v="29"/>
    <x v="1"/>
    <x v="29"/>
    <x v="1"/>
    <x v="33"/>
    <x v="1"/>
    <x v="33"/>
    <x v="1"/>
    <x v="5"/>
    <x v="0"/>
    <x v="16"/>
  </r>
  <r>
    <x v="34"/>
    <x v="34"/>
    <x v="34"/>
    <x v="30"/>
    <x v="7"/>
    <x v="30"/>
    <x v="7"/>
    <x v="34"/>
    <x v="7"/>
    <x v="34"/>
    <x v="7"/>
    <x v="5"/>
    <x v="1"/>
    <x v="17"/>
  </r>
  <r>
    <x v="35"/>
    <x v="35"/>
    <x v="35"/>
    <x v="31"/>
    <x v="5"/>
    <x v="31"/>
    <x v="5"/>
    <x v="35"/>
    <x v="5"/>
    <x v="35"/>
    <x v="5"/>
    <x v="5"/>
    <x v="1"/>
    <x v="17"/>
  </r>
  <r>
    <x v="36"/>
    <x v="36"/>
    <x v="36"/>
    <x v="32"/>
    <x v="5"/>
    <x v="32"/>
    <x v="5"/>
    <x v="36"/>
    <x v="5"/>
    <x v="36"/>
    <x v="5"/>
    <x v="17"/>
    <x v="1"/>
    <x v="17"/>
  </r>
  <r>
    <x v="37"/>
    <x v="37"/>
    <x v="37"/>
    <x v="33"/>
    <x v="4"/>
    <x v="33"/>
    <x v="4"/>
    <x v="37"/>
    <x v="1"/>
    <x v="37"/>
    <x v="1"/>
    <x v="18"/>
    <x v="0"/>
    <x v="16"/>
  </r>
  <r>
    <x v="38"/>
    <x v="38"/>
    <x v="38"/>
    <x v="34"/>
    <x v="1"/>
    <x v="34"/>
    <x v="1"/>
    <x v="38"/>
    <x v="1"/>
    <x v="38"/>
    <x v="1"/>
    <x v="4"/>
    <x v="0"/>
    <x v="17"/>
  </r>
  <r>
    <x v="39"/>
    <x v="39"/>
    <x v="39"/>
    <x v="14"/>
    <x v="7"/>
    <x v="14"/>
    <x v="7"/>
    <x v="39"/>
    <x v="7"/>
    <x v="39"/>
    <x v="7"/>
    <x v="19"/>
    <x v="1"/>
    <x v="18"/>
  </r>
  <r>
    <x v="40"/>
    <x v="40"/>
    <x v="40"/>
    <x v="25"/>
    <x v="7"/>
    <x v="25"/>
    <x v="7"/>
    <x v="40"/>
    <x v="7"/>
    <x v="40"/>
    <x v="7"/>
    <x v="5"/>
    <x v="1"/>
    <x v="18"/>
  </r>
  <r>
    <x v="41"/>
    <x v="41"/>
    <x v="41"/>
    <x v="35"/>
    <x v="6"/>
    <x v="35"/>
    <x v="6"/>
    <x v="41"/>
    <x v="6"/>
    <x v="41"/>
    <x v="6"/>
    <x v="5"/>
    <x v="0"/>
    <x v="18"/>
  </r>
  <r>
    <x v="42"/>
    <x v="42"/>
    <x v="42"/>
    <x v="36"/>
    <x v="4"/>
    <x v="36"/>
    <x v="4"/>
    <x v="38"/>
    <x v="1"/>
    <x v="38"/>
    <x v="1"/>
    <x v="5"/>
    <x v="0"/>
    <x v="17"/>
  </r>
  <r>
    <x v="43"/>
    <x v="43"/>
    <x v="43"/>
    <x v="37"/>
    <x v="1"/>
    <x v="37"/>
    <x v="1"/>
    <x v="42"/>
    <x v="1"/>
    <x v="42"/>
    <x v="1"/>
    <x v="20"/>
    <x v="2"/>
    <x v="18"/>
  </r>
  <r>
    <x v="44"/>
    <x v="44"/>
    <x v="44"/>
    <x v="38"/>
    <x v="5"/>
    <x v="38"/>
    <x v="5"/>
    <x v="43"/>
    <x v="1"/>
    <x v="31"/>
    <x v="1"/>
    <x v="21"/>
    <x v="0"/>
    <x v="18"/>
  </r>
  <r>
    <x v="45"/>
    <x v="45"/>
    <x v="45"/>
    <x v="39"/>
    <x v="4"/>
    <x v="39"/>
    <x v="4"/>
    <x v="40"/>
    <x v="4"/>
    <x v="40"/>
    <x v="4"/>
    <x v="5"/>
    <x v="0"/>
    <x v="18"/>
  </r>
  <r>
    <x v="46"/>
    <x v="46"/>
    <x v="46"/>
    <x v="40"/>
    <x v="7"/>
    <x v="40"/>
    <x v="7"/>
    <x v="44"/>
    <x v="7"/>
    <x v="43"/>
    <x v="7"/>
    <x v="22"/>
    <x v="1"/>
    <x v="15"/>
  </r>
  <r>
    <x v="47"/>
    <x v="47"/>
    <x v="47"/>
    <x v="41"/>
    <x v="3"/>
    <x v="41"/>
    <x v="3"/>
    <x v="45"/>
    <x v="12"/>
    <x v="44"/>
    <x v="12"/>
    <x v="5"/>
    <x v="0"/>
    <x v="18"/>
  </r>
  <r>
    <x v="48"/>
    <x v="48"/>
    <x v="48"/>
    <x v="38"/>
    <x v="7"/>
    <x v="38"/>
    <x v="7"/>
    <x v="37"/>
    <x v="7"/>
    <x v="37"/>
    <x v="7"/>
    <x v="23"/>
    <x v="1"/>
    <x v="19"/>
  </r>
  <r>
    <x v="49"/>
    <x v="49"/>
    <x v="49"/>
    <x v="42"/>
    <x v="5"/>
    <x v="42"/>
    <x v="5"/>
    <x v="46"/>
    <x v="1"/>
    <x v="45"/>
    <x v="1"/>
    <x v="5"/>
    <x v="0"/>
    <x v="15"/>
  </r>
  <r>
    <x v="50"/>
    <x v="50"/>
    <x v="50"/>
    <x v="43"/>
    <x v="5"/>
    <x v="43"/>
    <x v="5"/>
    <x v="47"/>
    <x v="5"/>
    <x v="46"/>
    <x v="5"/>
    <x v="5"/>
    <x v="0"/>
    <x v="18"/>
  </r>
  <r>
    <x v="51"/>
    <x v="51"/>
    <x v="51"/>
    <x v="44"/>
    <x v="7"/>
    <x v="44"/>
    <x v="7"/>
    <x v="48"/>
    <x v="7"/>
    <x v="47"/>
    <x v="7"/>
    <x v="5"/>
    <x v="1"/>
    <x v="19"/>
  </r>
  <r>
    <x v="52"/>
    <x v="52"/>
    <x v="52"/>
    <x v="39"/>
    <x v="7"/>
    <x v="39"/>
    <x v="7"/>
    <x v="49"/>
    <x v="7"/>
    <x v="48"/>
    <x v="7"/>
    <x v="5"/>
    <x v="1"/>
    <x v="19"/>
  </r>
  <r>
    <x v="53"/>
    <x v="53"/>
    <x v="53"/>
    <x v="45"/>
    <x v="4"/>
    <x v="45"/>
    <x v="4"/>
    <x v="50"/>
    <x v="1"/>
    <x v="49"/>
    <x v="1"/>
    <x v="5"/>
    <x v="0"/>
    <x v="19"/>
  </r>
  <r>
    <x v="54"/>
    <x v="54"/>
    <x v="54"/>
    <x v="46"/>
    <x v="4"/>
    <x v="46"/>
    <x v="4"/>
    <x v="51"/>
    <x v="4"/>
    <x v="50"/>
    <x v="4"/>
    <x v="5"/>
    <x v="0"/>
    <x v="18"/>
  </r>
  <r>
    <x v="55"/>
    <x v="55"/>
    <x v="55"/>
    <x v="47"/>
    <x v="7"/>
    <x v="47"/>
    <x v="7"/>
    <x v="46"/>
    <x v="7"/>
    <x v="45"/>
    <x v="7"/>
    <x v="5"/>
    <x v="1"/>
    <x v="19"/>
  </r>
  <r>
    <x v="56"/>
    <x v="56"/>
    <x v="56"/>
    <x v="48"/>
    <x v="7"/>
    <x v="48"/>
    <x v="7"/>
    <x v="52"/>
    <x v="7"/>
    <x v="51"/>
    <x v="7"/>
    <x v="5"/>
    <x v="1"/>
    <x v="19"/>
  </r>
  <r>
    <x v="57"/>
    <x v="57"/>
    <x v="57"/>
    <x v="35"/>
    <x v="7"/>
    <x v="35"/>
    <x v="7"/>
    <x v="53"/>
    <x v="7"/>
    <x v="52"/>
    <x v="7"/>
    <x v="5"/>
    <x v="1"/>
    <x v="19"/>
  </r>
  <r>
    <x v="58"/>
    <x v="58"/>
    <x v="58"/>
    <x v="35"/>
    <x v="1"/>
    <x v="35"/>
    <x v="1"/>
    <x v="29"/>
    <x v="10"/>
    <x v="29"/>
    <x v="10"/>
    <x v="5"/>
    <x v="0"/>
    <x v="19"/>
  </r>
  <r>
    <x v="59"/>
    <x v="59"/>
    <x v="59"/>
    <x v="49"/>
    <x v="7"/>
    <x v="49"/>
    <x v="7"/>
    <x v="49"/>
    <x v="7"/>
    <x v="48"/>
    <x v="7"/>
    <x v="5"/>
    <x v="1"/>
    <x v="19"/>
  </r>
  <r>
    <x v="60"/>
    <x v="60"/>
    <x v="60"/>
    <x v="25"/>
    <x v="7"/>
    <x v="25"/>
    <x v="7"/>
    <x v="54"/>
    <x v="7"/>
    <x v="53"/>
    <x v="7"/>
    <x v="5"/>
    <x v="1"/>
    <x v="19"/>
  </r>
  <r>
    <x v="61"/>
    <x v="61"/>
    <x v="61"/>
    <x v="50"/>
    <x v="7"/>
    <x v="50"/>
    <x v="7"/>
    <x v="55"/>
    <x v="7"/>
    <x v="54"/>
    <x v="7"/>
    <x v="5"/>
    <x v="1"/>
    <x v="20"/>
  </r>
  <r>
    <x v="62"/>
    <x v="62"/>
    <x v="62"/>
    <x v="51"/>
    <x v="7"/>
    <x v="51"/>
    <x v="7"/>
    <x v="56"/>
    <x v="7"/>
    <x v="28"/>
    <x v="7"/>
    <x v="24"/>
    <x v="1"/>
    <x v="20"/>
  </r>
  <r>
    <x v="63"/>
    <x v="63"/>
    <x v="63"/>
    <x v="42"/>
    <x v="7"/>
    <x v="42"/>
    <x v="7"/>
    <x v="57"/>
    <x v="7"/>
    <x v="55"/>
    <x v="7"/>
    <x v="5"/>
    <x v="1"/>
    <x v="20"/>
  </r>
  <r>
    <x v="64"/>
    <x v="64"/>
    <x v="64"/>
    <x v="52"/>
    <x v="5"/>
    <x v="52"/>
    <x v="5"/>
    <x v="58"/>
    <x v="5"/>
    <x v="56"/>
    <x v="5"/>
    <x v="5"/>
    <x v="0"/>
    <x v="20"/>
  </r>
  <r>
    <x v="65"/>
    <x v="65"/>
    <x v="65"/>
    <x v="44"/>
    <x v="5"/>
    <x v="44"/>
    <x v="5"/>
    <x v="59"/>
    <x v="5"/>
    <x v="57"/>
    <x v="5"/>
    <x v="5"/>
    <x v="1"/>
    <x v="20"/>
  </r>
  <r>
    <x v="66"/>
    <x v="66"/>
    <x v="66"/>
    <x v="53"/>
    <x v="7"/>
    <x v="53"/>
    <x v="7"/>
    <x v="60"/>
    <x v="7"/>
    <x v="58"/>
    <x v="7"/>
    <x v="5"/>
    <x v="1"/>
    <x v="20"/>
  </r>
  <r>
    <x v="67"/>
    <x v="67"/>
    <x v="67"/>
    <x v="54"/>
    <x v="5"/>
    <x v="54"/>
    <x v="5"/>
    <x v="40"/>
    <x v="4"/>
    <x v="40"/>
    <x v="4"/>
    <x v="5"/>
    <x v="0"/>
    <x v="20"/>
  </r>
  <r>
    <x v="68"/>
    <x v="68"/>
    <x v="68"/>
    <x v="37"/>
    <x v="5"/>
    <x v="37"/>
    <x v="5"/>
    <x v="53"/>
    <x v="1"/>
    <x v="52"/>
    <x v="1"/>
    <x v="25"/>
    <x v="0"/>
    <x v="20"/>
  </r>
  <r>
    <x v="69"/>
    <x v="69"/>
    <x v="69"/>
    <x v="55"/>
    <x v="7"/>
    <x v="55"/>
    <x v="7"/>
    <x v="61"/>
    <x v="7"/>
    <x v="59"/>
    <x v="7"/>
    <x v="5"/>
    <x v="1"/>
    <x v="20"/>
  </r>
  <r>
    <x v="70"/>
    <x v="70"/>
    <x v="70"/>
    <x v="22"/>
    <x v="5"/>
    <x v="22"/>
    <x v="5"/>
    <x v="62"/>
    <x v="5"/>
    <x v="60"/>
    <x v="5"/>
    <x v="5"/>
    <x v="1"/>
    <x v="20"/>
  </r>
  <r>
    <x v="71"/>
    <x v="71"/>
    <x v="71"/>
    <x v="56"/>
    <x v="7"/>
    <x v="56"/>
    <x v="7"/>
    <x v="63"/>
    <x v="7"/>
    <x v="42"/>
    <x v="7"/>
    <x v="5"/>
    <x v="1"/>
    <x v="20"/>
  </r>
  <r>
    <x v="72"/>
    <x v="72"/>
    <x v="72"/>
    <x v="51"/>
    <x v="7"/>
    <x v="51"/>
    <x v="7"/>
    <x v="48"/>
    <x v="7"/>
    <x v="47"/>
    <x v="7"/>
    <x v="5"/>
    <x v="1"/>
    <x v="21"/>
  </r>
  <r>
    <x v="73"/>
    <x v="73"/>
    <x v="73"/>
    <x v="57"/>
    <x v="7"/>
    <x v="57"/>
    <x v="7"/>
    <x v="64"/>
    <x v="7"/>
    <x v="61"/>
    <x v="7"/>
    <x v="26"/>
    <x v="1"/>
    <x v="21"/>
  </r>
  <r>
    <x v="74"/>
    <x v="74"/>
    <x v="74"/>
    <x v="48"/>
    <x v="7"/>
    <x v="48"/>
    <x v="7"/>
    <x v="65"/>
    <x v="7"/>
    <x v="62"/>
    <x v="7"/>
    <x v="5"/>
    <x v="1"/>
    <x v="21"/>
  </r>
  <r>
    <x v="75"/>
    <x v="75"/>
    <x v="75"/>
    <x v="58"/>
    <x v="7"/>
    <x v="58"/>
    <x v="7"/>
    <x v="66"/>
    <x v="7"/>
    <x v="63"/>
    <x v="7"/>
    <x v="27"/>
    <x v="1"/>
    <x v="21"/>
  </r>
  <r>
    <x v="76"/>
    <x v="76"/>
    <x v="76"/>
    <x v="33"/>
    <x v="7"/>
    <x v="33"/>
    <x v="7"/>
    <x v="60"/>
    <x v="7"/>
    <x v="58"/>
    <x v="7"/>
    <x v="5"/>
    <x v="1"/>
    <x v="21"/>
  </r>
  <r>
    <x v="77"/>
    <x v="77"/>
    <x v="77"/>
    <x v="59"/>
    <x v="7"/>
    <x v="59"/>
    <x v="7"/>
    <x v="67"/>
    <x v="7"/>
    <x v="64"/>
    <x v="7"/>
    <x v="5"/>
    <x v="1"/>
    <x v="21"/>
  </r>
  <r>
    <x v="78"/>
    <x v="78"/>
    <x v="78"/>
    <x v="44"/>
    <x v="4"/>
    <x v="44"/>
    <x v="4"/>
    <x v="48"/>
    <x v="1"/>
    <x v="47"/>
    <x v="1"/>
    <x v="5"/>
    <x v="0"/>
    <x v="18"/>
  </r>
  <r>
    <x v="79"/>
    <x v="79"/>
    <x v="79"/>
    <x v="33"/>
    <x v="7"/>
    <x v="33"/>
    <x v="7"/>
    <x v="31"/>
    <x v="7"/>
    <x v="31"/>
    <x v="7"/>
    <x v="5"/>
    <x v="1"/>
    <x v="21"/>
  </r>
  <r>
    <x v="80"/>
    <x v="80"/>
    <x v="80"/>
    <x v="44"/>
    <x v="7"/>
    <x v="44"/>
    <x v="7"/>
    <x v="65"/>
    <x v="7"/>
    <x v="62"/>
    <x v="7"/>
    <x v="5"/>
    <x v="1"/>
    <x v="21"/>
  </r>
  <r>
    <x v="81"/>
    <x v="81"/>
    <x v="81"/>
    <x v="55"/>
    <x v="7"/>
    <x v="55"/>
    <x v="7"/>
    <x v="68"/>
    <x v="7"/>
    <x v="65"/>
    <x v="7"/>
    <x v="5"/>
    <x v="1"/>
    <x v="21"/>
  </r>
  <r>
    <x v="82"/>
    <x v="82"/>
    <x v="82"/>
    <x v="60"/>
    <x v="4"/>
    <x v="60"/>
    <x v="4"/>
    <x v="51"/>
    <x v="4"/>
    <x v="50"/>
    <x v="4"/>
    <x v="5"/>
    <x v="0"/>
    <x v="21"/>
  </r>
  <r>
    <x v="83"/>
    <x v="83"/>
    <x v="83"/>
    <x v="34"/>
    <x v="7"/>
    <x v="34"/>
    <x v="7"/>
    <x v="69"/>
    <x v="7"/>
    <x v="50"/>
    <x v="7"/>
    <x v="5"/>
    <x v="1"/>
    <x v="21"/>
  </r>
  <r>
    <x v="84"/>
    <x v="84"/>
    <x v="84"/>
    <x v="42"/>
    <x v="7"/>
    <x v="42"/>
    <x v="7"/>
    <x v="57"/>
    <x v="7"/>
    <x v="55"/>
    <x v="7"/>
    <x v="5"/>
    <x v="1"/>
    <x v="22"/>
  </r>
  <r>
    <x v="85"/>
    <x v="85"/>
    <x v="85"/>
    <x v="48"/>
    <x v="7"/>
    <x v="48"/>
    <x v="7"/>
    <x v="70"/>
    <x v="7"/>
    <x v="66"/>
    <x v="7"/>
    <x v="5"/>
    <x v="1"/>
    <x v="22"/>
  </r>
  <r>
    <x v="86"/>
    <x v="86"/>
    <x v="86"/>
    <x v="39"/>
    <x v="7"/>
    <x v="39"/>
    <x v="7"/>
    <x v="71"/>
    <x v="7"/>
    <x v="67"/>
    <x v="7"/>
    <x v="5"/>
    <x v="1"/>
    <x v="22"/>
  </r>
  <r>
    <x v="87"/>
    <x v="87"/>
    <x v="87"/>
    <x v="61"/>
    <x v="7"/>
    <x v="61"/>
    <x v="7"/>
    <x v="72"/>
    <x v="7"/>
    <x v="68"/>
    <x v="7"/>
    <x v="5"/>
    <x v="1"/>
    <x v="22"/>
  </r>
  <r>
    <x v="88"/>
    <x v="88"/>
    <x v="88"/>
    <x v="57"/>
    <x v="7"/>
    <x v="57"/>
    <x v="7"/>
    <x v="73"/>
    <x v="7"/>
    <x v="69"/>
    <x v="7"/>
    <x v="5"/>
    <x v="1"/>
    <x v="22"/>
  </r>
  <r>
    <x v="89"/>
    <x v="89"/>
    <x v="89"/>
    <x v="62"/>
    <x v="7"/>
    <x v="62"/>
    <x v="7"/>
    <x v="74"/>
    <x v="7"/>
    <x v="70"/>
    <x v="7"/>
    <x v="5"/>
    <x v="1"/>
    <x v="22"/>
  </r>
  <r>
    <x v="90"/>
    <x v="90"/>
    <x v="90"/>
    <x v="47"/>
    <x v="7"/>
    <x v="47"/>
    <x v="7"/>
    <x v="55"/>
    <x v="7"/>
    <x v="54"/>
    <x v="7"/>
    <x v="5"/>
    <x v="1"/>
    <x v="22"/>
  </r>
  <r>
    <x v="91"/>
    <x v="91"/>
    <x v="91"/>
    <x v="58"/>
    <x v="7"/>
    <x v="58"/>
    <x v="7"/>
    <x v="68"/>
    <x v="7"/>
    <x v="65"/>
    <x v="7"/>
    <x v="5"/>
    <x v="1"/>
    <x v="22"/>
  </r>
  <r>
    <x v="92"/>
    <x v="92"/>
    <x v="92"/>
    <x v="39"/>
    <x v="7"/>
    <x v="39"/>
    <x v="7"/>
    <x v="75"/>
    <x v="7"/>
    <x v="53"/>
    <x v="7"/>
    <x v="5"/>
    <x v="1"/>
    <x v="22"/>
  </r>
  <r>
    <x v="93"/>
    <x v="93"/>
    <x v="93"/>
    <x v="50"/>
    <x v="7"/>
    <x v="50"/>
    <x v="7"/>
    <x v="68"/>
    <x v="7"/>
    <x v="65"/>
    <x v="7"/>
    <x v="5"/>
    <x v="1"/>
    <x v="22"/>
  </r>
  <r>
    <x v="94"/>
    <x v="94"/>
    <x v="94"/>
    <x v="63"/>
    <x v="5"/>
    <x v="63"/>
    <x v="5"/>
    <x v="74"/>
    <x v="4"/>
    <x v="70"/>
    <x v="4"/>
    <x v="5"/>
    <x v="0"/>
    <x v="22"/>
  </r>
  <r>
    <x v="95"/>
    <x v="95"/>
    <x v="95"/>
    <x v="64"/>
    <x v="7"/>
    <x v="64"/>
    <x v="7"/>
    <x v="61"/>
    <x v="7"/>
    <x v="59"/>
    <x v="7"/>
    <x v="5"/>
    <x v="1"/>
    <x v="22"/>
  </r>
  <r>
    <x v="96"/>
    <x v="96"/>
    <x v="96"/>
    <x v="65"/>
    <x v="7"/>
    <x v="65"/>
    <x v="7"/>
    <x v="76"/>
    <x v="7"/>
    <x v="71"/>
    <x v="7"/>
    <x v="5"/>
    <x v="1"/>
    <x v="22"/>
  </r>
  <r>
    <x v="97"/>
    <x v="97"/>
    <x v="97"/>
    <x v="53"/>
    <x v="7"/>
    <x v="53"/>
    <x v="7"/>
    <x v="57"/>
    <x v="7"/>
    <x v="55"/>
    <x v="7"/>
    <x v="5"/>
    <x v="1"/>
    <x v="22"/>
  </r>
  <r>
    <x v="98"/>
    <x v="98"/>
    <x v="98"/>
    <x v="61"/>
    <x v="7"/>
    <x v="61"/>
    <x v="7"/>
    <x v="77"/>
    <x v="7"/>
    <x v="72"/>
    <x v="7"/>
    <x v="28"/>
    <x v="1"/>
    <x v="22"/>
  </r>
  <r>
    <x v="99"/>
    <x v="99"/>
    <x v="99"/>
    <x v="63"/>
    <x v="7"/>
    <x v="63"/>
    <x v="7"/>
    <x v="55"/>
    <x v="7"/>
    <x v="54"/>
    <x v="7"/>
    <x v="5"/>
    <x v="1"/>
    <x v="21"/>
  </r>
  <r>
    <x v="100"/>
    <x v="100"/>
    <x v="100"/>
    <x v="66"/>
    <x v="5"/>
    <x v="66"/>
    <x v="5"/>
    <x v="60"/>
    <x v="6"/>
    <x v="58"/>
    <x v="6"/>
    <x v="16"/>
    <x v="0"/>
    <x v="22"/>
  </r>
  <r>
    <x v="101"/>
    <x v="101"/>
    <x v="101"/>
    <x v="49"/>
    <x v="7"/>
    <x v="49"/>
    <x v="7"/>
    <x v="28"/>
    <x v="7"/>
    <x v="28"/>
    <x v="7"/>
    <x v="5"/>
    <x v="1"/>
    <x v="22"/>
  </r>
  <r>
    <x v="102"/>
    <x v="102"/>
    <x v="102"/>
    <x v="67"/>
    <x v="7"/>
    <x v="67"/>
    <x v="7"/>
    <x v="78"/>
    <x v="7"/>
    <x v="73"/>
    <x v="7"/>
    <x v="5"/>
    <x v="1"/>
    <x v="22"/>
  </r>
  <r>
    <x v="103"/>
    <x v="103"/>
    <x v="103"/>
    <x v="67"/>
    <x v="5"/>
    <x v="67"/>
    <x v="5"/>
    <x v="79"/>
    <x v="5"/>
    <x v="74"/>
    <x v="5"/>
    <x v="5"/>
    <x v="0"/>
    <x v="22"/>
  </r>
  <r>
    <x v="104"/>
    <x v="104"/>
    <x v="104"/>
    <x v="68"/>
    <x v="7"/>
    <x v="68"/>
    <x v="7"/>
    <x v="78"/>
    <x v="7"/>
    <x v="73"/>
    <x v="7"/>
    <x v="5"/>
    <x v="1"/>
    <x v="22"/>
  </r>
  <r>
    <x v="105"/>
    <x v="105"/>
    <x v="105"/>
    <x v="69"/>
    <x v="4"/>
    <x v="69"/>
    <x v="4"/>
    <x v="80"/>
    <x v="4"/>
    <x v="75"/>
    <x v="4"/>
    <x v="5"/>
    <x v="0"/>
    <x v="22"/>
  </r>
  <r>
    <x v="106"/>
    <x v="106"/>
    <x v="106"/>
    <x v="70"/>
    <x v="7"/>
    <x v="70"/>
    <x v="7"/>
    <x v="65"/>
    <x v="7"/>
    <x v="62"/>
    <x v="7"/>
    <x v="5"/>
    <x v="1"/>
    <x v="22"/>
  </r>
  <r>
    <x v="107"/>
    <x v="107"/>
    <x v="107"/>
    <x v="61"/>
    <x v="7"/>
    <x v="61"/>
    <x v="7"/>
    <x v="65"/>
    <x v="7"/>
    <x v="62"/>
    <x v="7"/>
    <x v="29"/>
    <x v="1"/>
    <x v="22"/>
  </r>
  <r>
    <x v="108"/>
    <x v="108"/>
    <x v="108"/>
    <x v="71"/>
    <x v="7"/>
    <x v="71"/>
    <x v="7"/>
    <x v="81"/>
    <x v="7"/>
    <x v="74"/>
    <x v="7"/>
    <x v="5"/>
    <x v="1"/>
    <x v="22"/>
  </r>
  <r>
    <x v="109"/>
    <x v="109"/>
    <x v="109"/>
    <x v="72"/>
    <x v="7"/>
    <x v="72"/>
    <x v="7"/>
    <x v="79"/>
    <x v="7"/>
    <x v="74"/>
    <x v="7"/>
    <x v="5"/>
    <x v="1"/>
    <x v="22"/>
  </r>
  <r>
    <x v="110"/>
    <x v="110"/>
    <x v="110"/>
    <x v="67"/>
    <x v="7"/>
    <x v="67"/>
    <x v="7"/>
    <x v="79"/>
    <x v="7"/>
    <x v="74"/>
    <x v="7"/>
    <x v="5"/>
    <x v="1"/>
    <x v="22"/>
  </r>
  <r>
    <x v="111"/>
    <x v="111"/>
    <x v="111"/>
    <x v="72"/>
    <x v="5"/>
    <x v="72"/>
    <x v="5"/>
    <x v="82"/>
    <x v="5"/>
    <x v="76"/>
    <x v="5"/>
    <x v="5"/>
    <x v="1"/>
    <x v="22"/>
  </r>
  <r>
    <x v="112"/>
    <x v="112"/>
    <x v="112"/>
    <x v="42"/>
    <x v="7"/>
    <x v="42"/>
    <x v="7"/>
    <x v="70"/>
    <x v="7"/>
    <x v="66"/>
    <x v="7"/>
    <x v="5"/>
    <x v="1"/>
    <x v="22"/>
  </r>
  <r>
    <x v="113"/>
    <x v="113"/>
    <x v="113"/>
    <x v="55"/>
    <x v="7"/>
    <x v="55"/>
    <x v="7"/>
    <x v="83"/>
    <x v="7"/>
    <x v="55"/>
    <x v="7"/>
    <x v="30"/>
    <x v="1"/>
    <x v="22"/>
  </r>
  <r>
    <x v="114"/>
    <x v="114"/>
    <x v="114"/>
    <x v="73"/>
    <x v="7"/>
    <x v="73"/>
    <x v="7"/>
    <x v="84"/>
    <x v="7"/>
    <x v="77"/>
    <x v="7"/>
    <x v="5"/>
    <x v="1"/>
    <x v="22"/>
  </r>
  <r>
    <x v="115"/>
    <x v="115"/>
    <x v="115"/>
    <x v="44"/>
    <x v="7"/>
    <x v="44"/>
    <x v="7"/>
    <x v="59"/>
    <x v="7"/>
    <x v="57"/>
    <x v="7"/>
    <x v="5"/>
    <x v="1"/>
    <x v="22"/>
  </r>
  <r>
    <x v="116"/>
    <x v="116"/>
    <x v="116"/>
    <x v="39"/>
    <x v="7"/>
    <x v="39"/>
    <x v="7"/>
    <x v="46"/>
    <x v="7"/>
    <x v="45"/>
    <x v="7"/>
    <x v="5"/>
    <x v="1"/>
    <x v="22"/>
  </r>
  <r>
    <x v="47"/>
    <x v="47"/>
    <x v="117"/>
    <x v="41"/>
    <x v="3"/>
    <x v="41"/>
    <x v="3"/>
    <x v="45"/>
    <x v="12"/>
    <x v="44"/>
    <x v="12"/>
    <x v="5"/>
    <x v="0"/>
    <x v="22"/>
  </r>
  <r>
    <x v="117"/>
    <x v="117"/>
    <x v="118"/>
    <x v="52"/>
    <x v="5"/>
    <x v="52"/>
    <x v="5"/>
    <x v="40"/>
    <x v="5"/>
    <x v="40"/>
    <x v="5"/>
    <x v="5"/>
    <x v="1"/>
    <x v="22"/>
  </r>
  <r>
    <x v="118"/>
    <x v="118"/>
    <x v="119"/>
    <x v="54"/>
    <x v="7"/>
    <x v="54"/>
    <x v="7"/>
    <x v="76"/>
    <x v="7"/>
    <x v="71"/>
    <x v="7"/>
    <x v="5"/>
    <x v="1"/>
    <x v="22"/>
  </r>
  <r>
    <x v="0"/>
    <x v="119"/>
    <x v="120"/>
    <x v="47"/>
    <x v="7"/>
    <x v="74"/>
    <x v="7"/>
    <x v="85"/>
    <x v="7"/>
    <x v="78"/>
    <x v="7"/>
    <x v="5"/>
    <x v="1"/>
    <x v="19"/>
  </r>
  <r>
    <x v="33"/>
    <x v="33"/>
    <x v="33"/>
    <x v="66"/>
    <x v="7"/>
    <x v="75"/>
    <x v="7"/>
    <x v="86"/>
    <x v="7"/>
    <x v="79"/>
    <x v="7"/>
    <x v="5"/>
    <x v="1"/>
    <x v="21"/>
  </r>
  <r>
    <x v="10"/>
    <x v="120"/>
    <x v="10"/>
    <x v="57"/>
    <x v="7"/>
    <x v="76"/>
    <x v="7"/>
    <x v="64"/>
    <x v="7"/>
    <x v="80"/>
    <x v="7"/>
    <x v="5"/>
    <x v="1"/>
    <x v="22"/>
  </r>
  <r>
    <x v="72"/>
    <x v="72"/>
    <x v="72"/>
    <x v="72"/>
    <x v="7"/>
    <x v="77"/>
    <x v="7"/>
    <x v="82"/>
    <x v="7"/>
    <x v="81"/>
    <x v="7"/>
    <x v="5"/>
    <x v="1"/>
    <x v="22"/>
  </r>
  <r>
    <x v="93"/>
    <x v="93"/>
    <x v="121"/>
    <x v="57"/>
    <x v="7"/>
    <x v="76"/>
    <x v="7"/>
    <x v="78"/>
    <x v="7"/>
    <x v="82"/>
    <x v="7"/>
    <x v="5"/>
    <x v="1"/>
    <x v="22"/>
  </r>
  <r>
    <x v="35"/>
    <x v="35"/>
    <x v="122"/>
    <x v="63"/>
    <x v="4"/>
    <x v="78"/>
    <x v="9"/>
    <x v="66"/>
    <x v="4"/>
    <x v="83"/>
    <x v="13"/>
    <x v="5"/>
    <x v="0"/>
    <x v="22"/>
  </r>
  <r>
    <x v="19"/>
    <x v="121"/>
    <x v="123"/>
    <x v="33"/>
    <x v="4"/>
    <x v="79"/>
    <x v="9"/>
    <x v="87"/>
    <x v="1"/>
    <x v="84"/>
    <x v="14"/>
    <x v="31"/>
    <x v="0"/>
    <x v="22"/>
  </r>
  <r>
    <x v="30"/>
    <x v="30"/>
    <x v="124"/>
    <x v="51"/>
    <x v="4"/>
    <x v="80"/>
    <x v="9"/>
    <x v="88"/>
    <x v="4"/>
    <x v="85"/>
    <x v="13"/>
    <x v="5"/>
    <x v="0"/>
    <x v="22"/>
  </r>
  <r>
    <x v="112"/>
    <x v="112"/>
    <x v="125"/>
    <x v="68"/>
    <x v="7"/>
    <x v="81"/>
    <x v="7"/>
    <x v="89"/>
    <x v="7"/>
    <x v="86"/>
    <x v="7"/>
    <x v="5"/>
    <x v="1"/>
    <x v="22"/>
  </r>
  <r>
    <x v="113"/>
    <x v="113"/>
    <x v="126"/>
    <x v="68"/>
    <x v="7"/>
    <x v="81"/>
    <x v="7"/>
    <x v="78"/>
    <x v="7"/>
    <x v="82"/>
    <x v="7"/>
    <x v="5"/>
    <x v="1"/>
    <x v="22"/>
  </r>
  <r>
    <x v="71"/>
    <x v="71"/>
    <x v="71"/>
    <x v="67"/>
    <x v="7"/>
    <x v="82"/>
    <x v="7"/>
    <x v="72"/>
    <x v="7"/>
    <x v="87"/>
    <x v="7"/>
    <x v="5"/>
    <x v="1"/>
    <x v="22"/>
  </r>
  <r>
    <x v="119"/>
    <x v="122"/>
    <x v="127"/>
    <x v="74"/>
    <x v="9"/>
    <x v="83"/>
    <x v="10"/>
    <x v="90"/>
    <x v="13"/>
    <x v="88"/>
    <x v="15"/>
    <x v="32"/>
    <x v="3"/>
    <x v="23"/>
  </r>
</pivotCacheRecords>
</file>

<file path=xl/pivotCache/pivotCacheRecords41.xml><?xml version="1.0" encoding="utf-8"?>
<pivotCacheRecords xmlns="http://schemas.openxmlformats.org/spreadsheetml/2006/main" xmlns:r="http://schemas.openxmlformats.org/officeDocument/2006/relationships" count="161">
  <r>
    <x v="0"/>
    <x v="0"/>
    <x v="0"/>
    <x v="0"/>
    <x v="0"/>
    <x v="0"/>
    <x v="0"/>
    <x v="0"/>
    <x v="0"/>
    <x v="0"/>
    <x v="0"/>
    <x v="0"/>
    <x v="0"/>
    <x v="0"/>
  </r>
  <r>
    <x v="1"/>
    <x v="1"/>
    <x v="1"/>
    <x v="1"/>
    <x v="1"/>
    <x v="1"/>
    <x v="1"/>
    <x v="1"/>
    <x v="1"/>
    <x v="1"/>
    <x v="1"/>
    <x v="1"/>
    <x v="1"/>
    <x v="1"/>
  </r>
  <r>
    <x v="2"/>
    <x v="2"/>
    <x v="2"/>
    <x v="2"/>
    <x v="2"/>
    <x v="2"/>
    <x v="2"/>
    <x v="2"/>
    <x v="2"/>
    <x v="2"/>
    <x v="2"/>
    <x v="2"/>
    <x v="1"/>
    <x v="2"/>
  </r>
  <r>
    <x v="3"/>
    <x v="3"/>
    <x v="3"/>
    <x v="3"/>
    <x v="3"/>
    <x v="3"/>
    <x v="3"/>
    <x v="3"/>
    <x v="2"/>
    <x v="3"/>
    <x v="2"/>
    <x v="3"/>
    <x v="1"/>
    <x v="3"/>
  </r>
  <r>
    <x v="4"/>
    <x v="4"/>
    <x v="4"/>
    <x v="4"/>
    <x v="4"/>
    <x v="4"/>
    <x v="4"/>
    <x v="4"/>
    <x v="3"/>
    <x v="4"/>
    <x v="3"/>
    <x v="4"/>
    <x v="2"/>
    <x v="3"/>
  </r>
  <r>
    <x v="5"/>
    <x v="5"/>
    <x v="5"/>
    <x v="5"/>
    <x v="5"/>
    <x v="5"/>
    <x v="5"/>
    <x v="5"/>
    <x v="4"/>
    <x v="5"/>
    <x v="4"/>
    <x v="5"/>
    <x v="1"/>
    <x v="4"/>
  </r>
  <r>
    <x v="6"/>
    <x v="6"/>
    <x v="6"/>
    <x v="6"/>
    <x v="6"/>
    <x v="6"/>
    <x v="6"/>
    <x v="6"/>
    <x v="5"/>
    <x v="6"/>
    <x v="5"/>
    <x v="6"/>
    <x v="1"/>
    <x v="5"/>
  </r>
  <r>
    <x v="7"/>
    <x v="7"/>
    <x v="7"/>
    <x v="7"/>
    <x v="5"/>
    <x v="6"/>
    <x v="5"/>
    <x v="7"/>
    <x v="6"/>
    <x v="7"/>
    <x v="6"/>
    <x v="7"/>
    <x v="1"/>
    <x v="6"/>
  </r>
  <r>
    <x v="8"/>
    <x v="8"/>
    <x v="8"/>
    <x v="8"/>
    <x v="5"/>
    <x v="7"/>
    <x v="5"/>
    <x v="8"/>
    <x v="5"/>
    <x v="8"/>
    <x v="5"/>
    <x v="8"/>
    <x v="1"/>
    <x v="7"/>
  </r>
  <r>
    <x v="9"/>
    <x v="9"/>
    <x v="9"/>
    <x v="9"/>
    <x v="7"/>
    <x v="8"/>
    <x v="7"/>
    <x v="9"/>
    <x v="5"/>
    <x v="9"/>
    <x v="5"/>
    <x v="9"/>
    <x v="3"/>
    <x v="8"/>
  </r>
  <r>
    <x v="10"/>
    <x v="10"/>
    <x v="10"/>
    <x v="10"/>
    <x v="8"/>
    <x v="9"/>
    <x v="8"/>
    <x v="10"/>
    <x v="4"/>
    <x v="10"/>
    <x v="4"/>
    <x v="10"/>
    <x v="1"/>
    <x v="8"/>
  </r>
  <r>
    <x v="11"/>
    <x v="11"/>
    <x v="11"/>
    <x v="11"/>
    <x v="9"/>
    <x v="10"/>
    <x v="9"/>
    <x v="11"/>
    <x v="7"/>
    <x v="11"/>
    <x v="7"/>
    <x v="5"/>
    <x v="1"/>
    <x v="9"/>
  </r>
  <r>
    <x v="12"/>
    <x v="12"/>
    <x v="12"/>
    <x v="12"/>
    <x v="7"/>
    <x v="11"/>
    <x v="7"/>
    <x v="12"/>
    <x v="8"/>
    <x v="12"/>
    <x v="8"/>
    <x v="11"/>
    <x v="1"/>
    <x v="10"/>
  </r>
  <r>
    <x v="13"/>
    <x v="13"/>
    <x v="13"/>
    <x v="13"/>
    <x v="6"/>
    <x v="12"/>
    <x v="6"/>
    <x v="13"/>
    <x v="5"/>
    <x v="13"/>
    <x v="5"/>
    <x v="12"/>
    <x v="1"/>
    <x v="11"/>
  </r>
  <r>
    <x v="14"/>
    <x v="14"/>
    <x v="14"/>
    <x v="14"/>
    <x v="8"/>
    <x v="13"/>
    <x v="8"/>
    <x v="14"/>
    <x v="9"/>
    <x v="14"/>
    <x v="9"/>
    <x v="13"/>
    <x v="1"/>
    <x v="12"/>
  </r>
  <r>
    <x v="15"/>
    <x v="15"/>
    <x v="15"/>
    <x v="15"/>
    <x v="7"/>
    <x v="14"/>
    <x v="7"/>
    <x v="15"/>
    <x v="8"/>
    <x v="15"/>
    <x v="8"/>
    <x v="14"/>
    <x v="1"/>
    <x v="12"/>
  </r>
  <r>
    <x v="16"/>
    <x v="16"/>
    <x v="16"/>
    <x v="16"/>
    <x v="5"/>
    <x v="15"/>
    <x v="5"/>
    <x v="16"/>
    <x v="5"/>
    <x v="16"/>
    <x v="5"/>
    <x v="5"/>
    <x v="1"/>
    <x v="12"/>
  </r>
  <r>
    <x v="17"/>
    <x v="17"/>
    <x v="17"/>
    <x v="17"/>
    <x v="5"/>
    <x v="16"/>
    <x v="5"/>
    <x v="17"/>
    <x v="5"/>
    <x v="17"/>
    <x v="5"/>
    <x v="15"/>
    <x v="1"/>
    <x v="13"/>
  </r>
  <r>
    <x v="18"/>
    <x v="18"/>
    <x v="18"/>
    <x v="18"/>
    <x v="9"/>
    <x v="17"/>
    <x v="9"/>
    <x v="18"/>
    <x v="10"/>
    <x v="18"/>
    <x v="10"/>
    <x v="5"/>
    <x v="4"/>
    <x v="14"/>
  </r>
  <r>
    <x v="19"/>
    <x v="19"/>
    <x v="19"/>
    <x v="19"/>
    <x v="5"/>
    <x v="18"/>
    <x v="5"/>
    <x v="19"/>
    <x v="4"/>
    <x v="19"/>
    <x v="4"/>
    <x v="16"/>
    <x v="5"/>
    <x v="14"/>
  </r>
  <r>
    <x v="20"/>
    <x v="20"/>
    <x v="20"/>
    <x v="20"/>
    <x v="10"/>
    <x v="19"/>
    <x v="10"/>
    <x v="20"/>
    <x v="11"/>
    <x v="20"/>
    <x v="11"/>
    <x v="17"/>
    <x v="1"/>
    <x v="14"/>
  </r>
  <r>
    <x v="21"/>
    <x v="21"/>
    <x v="21"/>
    <x v="21"/>
    <x v="7"/>
    <x v="20"/>
    <x v="7"/>
    <x v="21"/>
    <x v="12"/>
    <x v="21"/>
    <x v="12"/>
    <x v="18"/>
    <x v="6"/>
    <x v="15"/>
  </r>
  <r>
    <x v="22"/>
    <x v="22"/>
    <x v="22"/>
    <x v="22"/>
    <x v="7"/>
    <x v="21"/>
    <x v="7"/>
    <x v="22"/>
    <x v="5"/>
    <x v="22"/>
    <x v="5"/>
    <x v="19"/>
    <x v="1"/>
    <x v="15"/>
  </r>
  <r>
    <x v="23"/>
    <x v="23"/>
    <x v="23"/>
    <x v="17"/>
    <x v="11"/>
    <x v="16"/>
    <x v="11"/>
    <x v="23"/>
    <x v="13"/>
    <x v="23"/>
    <x v="13"/>
    <x v="5"/>
    <x v="1"/>
    <x v="16"/>
  </r>
  <r>
    <x v="24"/>
    <x v="24"/>
    <x v="24"/>
    <x v="23"/>
    <x v="10"/>
    <x v="22"/>
    <x v="10"/>
    <x v="24"/>
    <x v="13"/>
    <x v="13"/>
    <x v="13"/>
    <x v="14"/>
    <x v="1"/>
    <x v="17"/>
  </r>
  <r>
    <x v="25"/>
    <x v="25"/>
    <x v="25"/>
    <x v="24"/>
    <x v="10"/>
    <x v="23"/>
    <x v="10"/>
    <x v="25"/>
    <x v="11"/>
    <x v="24"/>
    <x v="11"/>
    <x v="20"/>
    <x v="7"/>
    <x v="18"/>
  </r>
  <r>
    <x v="26"/>
    <x v="26"/>
    <x v="26"/>
    <x v="25"/>
    <x v="11"/>
    <x v="24"/>
    <x v="11"/>
    <x v="26"/>
    <x v="4"/>
    <x v="25"/>
    <x v="4"/>
    <x v="21"/>
    <x v="1"/>
    <x v="19"/>
  </r>
  <r>
    <x v="27"/>
    <x v="27"/>
    <x v="27"/>
    <x v="26"/>
    <x v="12"/>
    <x v="25"/>
    <x v="12"/>
    <x v="27"/>
    <x v="14"/>
    <x v="26"/>
    <x v="14"/>
    <x v="5"/>
    <x v="1"/>
    <x v="14"/>
  </r>
  <r>
    <x v="28"/>
    <x v="28"/>
    <x v="28"/>
    <x v="27"/>
    <x v="10"/>
    <x v="26"/>
    <x v="10"/>
    <x v="28"/>
    <x v="11"/>
    <x v="27"/>
    <x v="11"/>
    <x v="5"/>
    <x v="1"/>
    <x v="20"/>
  </r>
  <r>
    <x v="29"/>
    <x v="29"/>
    <x v="29"/>
    <x v="28"/>
    <x v="8"/>
    <x v="27"/>
    <x v="8"/>
    <x v="29"/>
    <x v="9"/>
    <x v="28"/>
    <x v="9"/>
    <x v="5"/>
    <x v="1"/>
    <x v="20"/>
  </r>
  <r>
    <x v="30"/>
    <x v="30"/>
    <x v="30"/>
    <x v="17"/>
    <x v="5"/>
    <x v="16"/>
    <x v="5"/>
    <x v="30"/>
    <x v="15"/>
    <x v="29"/>
    <x v="15"/>
    <x v="22"/>
    <x v="1"/>
    <x v="20"/>
  </r>
  <r>
    <x v="31"/>
    <x v="31"/>
    <x v="31"/>
    <x v="29"/>
    <x v="8"/>
    <x v="28"/>
    <x v="8"/>
    <x v="31"/>
    <x v="4"/>
    <x v="30"/>
    <x v="4"/>
    <x v="23"/>
    <x v="1"/>
    <x v="20"/>
  </r>
  <r>
    <x v="32"/>
    <x v="32"/>
    <x v="32"/>
    <x v="30"/>
    <x v="5"/>
    <x v="29"/>
    <x v="5"/>
    <x v="32"/>
    <x v="12"/>
    <x v="31"/>
    <x v="12"/>
    <x v="24"/>
    <x v="1"/>
    <x v="21"/>
  </r>
  <r>
    <x v="33"/>
    <x v="33"/>
    <x v="33"/>
    <x v="31"/>
    <x v="7"/>
    <x v="30"/>
    <x v="7"/>
    <x v="33"/>
    <x v="8"/>
    <x v="32"/>
    <x v="8"/>
    <x v="25"/>
    <x v="1"/>
    <x v="15"/>
  </r>
  <r>
    <x v="34"/>
    <x v="34"/>
    <x v="34"/>
    <x v="32"/>
    <x v="8"/>
    <x v="31"/>
    <x v="8"/>
    <x v="33"/>
    <x v="13"/>
    <x v="32"/>
    <x v="13"/>
    <x v="5"/>
    <x v="1"/>
    <x v="21"/>
  </r>
  <r>
    <x v="35"/>
    <x v="35"/>
    <x v="35"/>
    <x v="33"/>
    <x v="13"/>
    <x v="32"/>
    <x v="13"/>
    <x v="34"/>
    <x v="16"/>
    <x v="33"/>
    <x v="16"/>
    <x v="26"/>
    <x v="7"/>
    <x v="22"/>
  </r>
  <r>
    <x v="36"/>
    <x v="36"/>
    <x v="36"/>
    <x v="34"/>
    <x v="13"/>
    <x v="33"/>
    <x v="13"/>
    <x v="35"/>
    <x v="16"/>
    <x v="34"/>
    <x v="16"/>
    <x v="5"/>
    <x v="7"/>
    <x v="22"/>
  </r>
  <r>
    <x v="37"/>
    <x v="37"/>
    <x v="37"/>
    <x v="35"/>
    <x v="13"/>
    <x v="34"/>
    <x v="13"/>
    <x v="36"/>
    <x v="16"/>
    <x v="34"/>
    <x v="16"/>
    <x v="5"/>
    <x v="7"/>
    <x v="21"/>
  </r>
  <r>
    <x v="38"/>
    <x v="38"/>
    <x v="38"/>
    <x v="36"/>
    <x v="8"/>
    <x v="35"/>
    <x v="8"/>
    <x v="37"/>
    <x v="9"/>
    <x v="35"/>
    <x v="9"/>
    <x v="27"/>
    <x v="1"/>
    <x v="22"/>
  </r>
  <r>
    <x v="39"/>
    <x v="39"/>
    <x v="39"/>
    <x v="37"/>
    <x v="8"/>
    <x v="36"/>
    <x v="8"/>
    <x v="38"/>
    <x v="9"/>
    <x v="36"/>
    <x v="9"/>
    <x v="19"/>
    <x v="1"/>
    <x v="22"/>
  </r>
  <r>
    <x v="40"/>
    <x v="40"/>
    <x v="40"/>
    <x v="38"/>
    <x v="5"/>
    <x v="37"/>
    <x v="5"/>
    <x v="39"/>
    <x v="15"/>
    <x v="37"/>
    <x v="15"/>
    <x v="28"/>
    <x v="8"/>
    <x v="22"/>
  </r>
  <r>
    <x v="41"/>
    <x v="41"/>
    <x v="41"/>
    <x v="39"/>
    <x v="11"/>
    <x v="38"/>
    <x v="11"/>
    <x v="40"/>
    <x v="13"/>
    <x v="38"/>
    <x v="13"/>
    <x v="29"/>
    <x v="7"/>
    <x v="22"/>
  </r>
  <r>
    <x v="42"/>
    <x v="42"/>
    <x v="42"/>
    <x v="40"/>
    <x v="11"/>
    <x v="39"/>
    <x v="11"/>
    <x v="31"/>
    <x v="13"/>
    <x v="30"/>
    <x v="13"/>
    <x v="30"/>
    <x v="1"/>
    <x v="22"/>
  </r>
  <r>
    <x v="43"/>
    <x v="43"/>
    <x v="43"/>
    <x v="41"/>
    <x v="10"/>
    <x v="40"/>
    <x v="10"/>
    <x v="41"/>
    <x v="11"/>
    <x v="39"/>
    <x v="11"/>
    <x v="31"/>
    <x v="1"/>
    <x v="23"/>
  </r>
  <r>
    <x v="44"/>
    <x v="44"/>
    <x v="44"/>
    <x v="42"/>
    <x v="11"/>
    <x v="41"/>
    <x v="11"/>
    <x v="42"/>
    <x v="13"/>
    <x v="27"/>
    <x v="13"/>
    <x v="5"/>
    <x v="1"/>
    <x v="22"/>
  </r>
  <r>
    <x v="45"/>
    <x v="45"/>
    <x v="45"/>
    <x v="43"/>
    <x v="11"/>
    <x v="42"/>
    <x v="11"/>
    <x v="43"/>
    <x v="4"/>
    <x v="40"/>
    <x v="4"/>
    <x v="32"/>
    <x v="1"/>
    <x v="23"/>
  </r>
  <r>
    <x v="46"/>
    <x v="46"/>
    <x v="46"/>
    <x v="44"/>
    <x v="8"/>
    <x v="43"/>
    <x v="8"/>
    <x v="44"/>
    <x v="9"/>
    <x v="41"/>
    <x v="9"/>
    <x v="33"/>
    <x v="1"/>
    <x v="21"/>
  </r>
  <r>
    <x v="47"/>
    <x v="47"/>
    <x v="47"/>
    <x v="45"/>
    <x v="13"/>
    <x v="44"/>
    <x v="13"/>
    <x v="45"/>
    <x v="16"/>
    <x v="42"/>
    <x v="16"/>
    <x v="5"/>
    <x v="7"/>
    <x v="24"/>
  </r>
  <r>
    <x v="48"/>
    <x v="48"/>
    <x v="48"/>
    <x v="46"/>
    <x v="6"/>
    <x v="45"/>
    <x v="6"/>
    <x v="46"/>
    <x v="15"/>
    <x v="43"/>
    <x v="15"/>
    <x v="5"/>
    <x v="9"/>
    <x v="24"/>
  </r>
  <r>
    <x v="49"/>
    <x v="49"/>
    <x v="49"/>
    <x v="22"/>
    <x v="10"/>
    <x v="21"/>
    <x v="10"/>
    <x v="47"/>
    <x v="11"/>
    <x v="44"/>
    <x v="11"/>
    <x v="5"/>
    <x v="1"/>
    <x v="25"/>
  </r>
  <r>
    <x v="50"/>
    <x v="50"/>
    <x v="50"/>
    <x v="47"/>
    <x v="11"/>
    <x v="46"/>
    <x v="11"/>
    <x v="48"/>
    <x v="13"/>
    <x v="45"/>
    <x v="13"/>
    <x v="34"/>
    <x v="3"/>
    <x v="24"/>
  </r>
  <r>
    <x v="51"/>
    <x v="51"/>
    <x v="51"/>
    <x v="48"/>
    <x v="6"/>
    <x v="47"/>
    <x v="6"/>
    <x v="49"/>
    <x v="15"/>
    <x v="46"/>
    <x v="15"/>
    <x v="5"/>
    <x v="1"/>
    <x v="24"/>
  </r>
  <r>
    <x v="52"/>
    <x v="52"/>
    <x v="52"/>
    <x v="49"/>
    <x v="11"/>
    <x v="48"/>
    <x v="11"/>
    <x v="32"/>
    <x v="4"/>
    <x v="31"/>
    <x v="4"/>
    <x v="5"/>
    <x v="1"/>
    <x v="24"/>
  </r>
  <r>
    <x v="53"/>
    <x v="53"/>
    <x v="53"/>
    <x v="50"/>
    <x v="11"/>
    <x v="49"/>
    <x v="11"/>
    <x v="50"/>
    <x v="13"/>
    <x v="47"/>
    <x v="13"/>
    <x v="5"/>
    <x v="1"/>
    <x v="24"/>
  </r>
  <r>
    <x v="54"/>
    <x v="54"/>
    <x v="54"/>
    <x v="51"/>
    <x v="10"/>
    <x v="50"/>
    <x v="10"/>
    <x v="51"/>
    <x v="11"/>
    <x v="48"/>
    <x v="11"/>
    <x v="5"/>
    <x v="1"/>
    <x v="26"/>
  </r>
  <r>
    <x v="55"/>
    <x v="55"/>
    <x v="55"/>
    <x v="34"/>
    <x v="8"/>
    <x v="33"/>
    <x v="8"/>
    <x v="52"/>
    <x v="9"/>
    <x v="49"/>
    <x v="9"/>
    <x v="5"/>
    <x v="1"/>
    <x v="26"/>
  </r>
  <r>
    <x v="56"/>
    <x v="56"/>
    <x v="56"/>
    <x v="52"/>
    <x v="8"/>
    <x v="51"/>
    <x v="8"/>
    <x v="53"/>
    <x v="6"/>
    <x v="50"/>
    <x v="6"/>
    <x v="35"/>
    <x v="1"/>
    <x v="26"/>
  </r>
  <r>
    <x v="57"/>
    <x v="57"/>
    <x v="57"/>
    <x v="53"/>
    <x v="10"/>
    <x v="52"/>
    <x v="10"/>
    <x v="54"/>
    <x v="9"/>
    <x v="51"/>
    <x v="9"/>
    <x v="5"/>
    <x v="1"/>
    <x v="24"/>
  </r>
  <r>
    <x v="58"/>
    <x v="58"/>
    <x v="58"/>
    <x v="54"/>
    <x v="10"/>
    <x v="53"/>
    <x v="10"/>
    <x v="55"/>
    <x v="11"/>
    <x v="52"/>
    <x v="11"/>
    <x v="5"/>
    <x v="1"/>
    <x v="26"/>
  </r>
  <r>
    <x v="59"/>
    <x v="59"/>
    <x v="59"/>
    <x v="55"/>
    <x v="11"/>
    <x v="54"/>
    <x v="11"/>
    <x v="26"/>
    <x v="13"/>
    <x v="25"/>
    <x v="13"/>
    <x v="36"/>
    <x v="1"/>
    <x v="24"/>
  </r>
  <r>
    <x v="60"/>
    <x v="60"/>
    <x v="60"/>
    <x v="56"/>
    <x v="11"/>
    <x v="55"/>
    <x v="11"/>
    <x v="56"/>
    <x v="13"/>
    <x v="53"/>
    <x v="13"/>
    <x v="5"/>
    <x v="1"/>
    <x v="26"/>
  </r>
  <r>
    <x v="61"/>
    <x v="61"/>
    <x v="61"/>
    <x v="57"/>
    <x v="13"/>
    <x v="56"/>
    <x v="13"/>
    <x v="57"/>
    <x v="16"/>
    <x v="50"/>
    <x v="16"/>
    <x v="37"/>
    <x v="7"/>
    <x v="27"/>
  </r>
  <r>
    <x v="62"/>
    <x v="62"/>
    <x v="62"/>
    <x v="58"/>
    <x v="5"/>
    <x v="57"/>
    <x v="5"/>
    <x v="58"/>
    <x v="6"/>
    <x v="26"/>
    <x v="6"/>
    <x v="38"/>
    <x v="1"/>
    <x v="26"/>
  </r>
  <r>
    <x v="63"/>
    <x v="63"/>
    <x v="63"/>
    <x v="59"/>
    <x v="10"/>
    <x v="58"/>
    <x v="10"/>
    <x v="59"/>
    <x v="11"/>
    <x v="54"/>
    <x v="11"/>
    <x v="5"/>
    <x v="1"/>
    <x v="27"/>
  </r>
  <r>
    <x v="64"/>
    <x v="64"/>
    <x v="64"/>
    <x v="60"/>
    <x v="13"/>
    <x v="59"/>
    <x v="13"/>
    <x v="54"/>
    <x v="16"/>
    <x v="51"/>
    <x v="16"/>
    <x v="39"/>
    <x v="7"/>
    <x v="28"/>
  </r>
  <r>
    <x v="65"/>
    <x v="65"/>
    <x v="65"/>
    <x v="61"/>
    <x v="8"/>
    <x v="60"/>
    <x v="8"/>
    <x v="60"/>
    <x v="4"/>
    <x v="55"/>
    <x v="4"/>
    <x v="5"/>
    <x v="1"/>
    <x v="25"/>
  </r>
  <r>
    <x v="66"/>
    <x v="66"/>
    <x v="66"/>
    <x v="62"/>
    <x v="13"/>
    <x v="61"/>
    <x v="13"/>
    <x v="61"/>
    <x v="16"/>
    <x v="56"/>
    <x v="16"/>
    <x v="5"/>
    <x v="7"/>
    <x v="28"/>
  </r>
  <r>
    <x v="67"/>
    <x v="67"/>
    <x v="67"/>
    <x v="63"/>
    <x v="10"/>
    <x v="62"/>
    <x v="10"/>
    <x v="62"/>
    <x v="11"/>
    <x v="32"/>
    <x v="11"/>
    <x v="5"/>
    <x v="1"/>
    <x v="28"/>
  </r>
  <r>
    <x v="68"/>
    <x v="68"/>
    <x v="68"/>
    <x v="64"/>
    <x v="10"/>
    <x v="63"/>
    <x v="10"/>
    <x v="63"/>
    <x v="9"/>
    <x v="57"/>
    <x v="9"/>
    <x v="40"/>
    <x v="1"/>
    <x v="28"/>
  </r>
  <r>
    <x v="69"/>
    <x v="69"/>
    <x v="69"/>
    <x v="57"/>
    <x v="10"/>
    <x v="56"/>
    <x v="10"/>
    <x v="45"/>
    <x v="11"/>
    <x v="42"/>
    <x v="11"/>
    <x v="5"/>
    <x v="7"/>
    <x v="28"/>
  </r>
  <r>
    <x v="70"/>
    <x v="70"/>
    <x v="70"/>
    <x v="65"/>
    <x v="10"/>
    <x v="64"/>
    <x v="10"/>
    <x v="64"/>
    <x v="11"/>
    <x v="58"/>
    <x v="11"/>
    <x v="5"/>
    <x v="1"/>
    <x v="29"/>
  </r>
  <r>
    <x v="71"/>
    <x v="71"/>
    <x v="71"/>
    <x v="66"/>
    <x v="13"/>
    <x v="65"/>
    <x v="13"/>
    <x v="65"/>
    <x v="16"/>
    <x v="59"/>
    <x v="16"/>
    <x v="41"/>
    <x v="7"/>
    <x v="29"/>
  </r>
  <r>
    <x v="72"/>
    <x v="72"/>
    <x v="72"/>
    <x v="34"/>
    <x v="13"/>
    <x v="33"/>
    <x v="13"/>
    <x v="65"/>
    <x v="16"/>
    <x v="59"/>
    <x v="16"/>
    <x v="5"/>
    <x v="7"/>
    <x v="29"/>
  </r>
  <r>
    <x v="73"/>
    <x v="73"/>
    <x v="73"/>
    <x v="67"/>
    <x v="8"/>
    <x v="66"/>
    <x v="8"/>
    <x v="66"/>
    <x v="9"/>
    <x v="60"/>
    <x v="9"/>
    <x v="5"/>
    <x v="7"/>
    <x v="29"/>
  </r>
  <r>
    <x v="74"/>
    <x v="74"/>
    <x v="74"/>
    <x v="68"/>
    <x v="5"/>
    <x v="67"/>
    <x v="5"/>
    <x v="67"/>
    <x v="4"/>
    <x v="61"/>
    <x v="4"/>
    <x v="42"/>
    <x v="1"/>
    <x v="29"/>
  </r>
  <r>
    <x v="75"/>
    <x v="75"/>
    <x v="75"/>
    <x v="69"/>
    <x v="8"/>
    <x v="68"/>
    <x v="8"/>
    <x v="68"/>
    <x v="13"/>
    <x v="62"/>
    <x v="13"/>
    <x v="43"/>
    <x v="1"/>
    <x v="29"/>
  </r>
  <r>
    <x v="76"/>
    <x v="76"/>
    <x v="76"/>
    <x v="70"/>
    <x v="8"/>
    <x v="69"/>
    <x v="8"/>
    <x v="69"/>
    <x v="9"/>
    <x v="63"/>
    <x v="9"/>
    <x v="44"/>
    <x v="1"/>
    <x v="30"/>
  </r>
  <r>
    <x v="77"/>
    <x v="77"/>
    <x v="77"/>
    <x v="71"/>
    <x v="13"/>
    <x v="70"/>
    <x v="13"/>
    <x v="70"/>
    <x v="16"/>
    <x v="61"/>
    <x v="16"/>
    <x v="5"/>
    <x v="7"/>
    <x v="30"/>
  </r>
  <r>
    <x v="78"/>
    <x v="78"/>
    <x v="78"/>
    <x v="72"/>
    <x v="11"/>
    <x v="71"/>
    <x v="11"/>
    <x v="71"/>
    <x v="5"/>
    <x v="64"/>
    <x v="5"/>
    <x v="5"/>
    <x v="1"/>
    <x v="22"/>
  </r>
  <r>
    <x v="79"/>
    <x v="79"/>
    <x v="79"/>
    <x v="73"/>
    <x v="10"/>
    <x v="50"/>
    <x v="10"/>
    <x v="72"/>
    <x v="11"/>
    <x v="65"/>
    <x v="11"/>
    <x v="5"/>
    <x v="1"/>
    <x v="30"/>
  </r>
  <r>
    <x v="80"/>
    <x v="80"/>
    <x v="80"/>
    <x v="74"/>
    <x v="10"/>
    <x v="72"/>
    <x v="10"/>
    <x v="73"/>
    <x v="11"/>
    <x v="66"/>
    <x v="11"/>
    <x v="5"/>
    <x v="7"/>
    <x v="30"/>
  </r>
  <r>
    <x v="81"/>
    <x v="81"/>
    <x v="81"/>
    <x v="62"/>
    <x v="11"/>
    <x v="61"/>
    <x v="11"/>
    <x v="74"/>
    <x v="6"/>
    <x v="56"/>
    <x v="6"/>
    <x v="5"/>
    <x v="1"/>
    <x v="27"/>
  </r>
  <r>
    <x v="82"/>
    <x v="82"/>
    <x v="82"/>
    <x v="75"/>
    <x v="10"/>
    <x v="52"/>
    <x v="10"/>
    <x v="53"/>
    <x v="13"/>
    <x v="50"/>
    <x v="13"/>
    <x v="45"/>
    <x v="1"/>
    <x v="30"/>
  </r>
  <r>
    <x v="83"/>
    <x v="83"/>
    <x v="83"/>
    <x v="29"/>
    <x v="10"/>
    <x v="28"/>
    <x v="10"/>
    <x v="75"/>
    <x v="11"/>
    <x v="67"/>
    <x v="11"/>
    <x v="46"/>
    <x v="1"/>
    <x v="30"/>
  </r>
  <r>
    <x v="84"/>
    <x v="84"/>
    <x v="84"/>
    <x v="51"/>
    <x v="13"/>
    <x v="50"/>
    <x v="13"/>
    <x v="76"/>
    <x v="16"/>
    <x v="56"/>
    <x v="16"/>
    <x v="5"/>
    <x v="7"/>
    <x v="30"/>
  </r>
  <r>
    <x v="85"/>
    <x v="85"/>
    <x v="85"/>
    <x v="76"/>
    <x v="13"/>
    <x v="73"/>
    <x v="13"/>
    <x v="51"/>
    <x v="16"/>
    <x v="48"/>
    <x v="16"/>
    <x v="5"/>
    <x v="7"/>
    <x v="30"/>
  </r>
  <r>
    <x v="86"/>
    <x v="86"/>
    <x v="86"/>
    <x v="77"/>
    <x v="13"/>
    <x v="74"/>
    <x v="13"/>
    <x v="77"/>
    <x v="16"/>
    <x v="68"/>
    <x v="16"/>
    <x v="5"/>
    <x v="7"/>
    <x v="30"/>
  </r>
  <r>
    <x v="87"/>
    <x v="87"/>
    <x v="87"/>
    <x v="78"/>
    <x v="13"/>
    <x v="68"/>
    <x v="13"/>
    <x v="78"/>
    <x v="16"/>
    <x v="51"/>
    <x v="16"/>
    <x v="5"/>
    <x v="7"/>
    <x v="30"/>
  </r>
  <r>
    <x v="88"/>
    <x v="88"/>
    <x v="88"/>
    <x v="79"/>
    <x v="13"/>
    <x v="75"/>
    <x v="13"/>
    <x v="79"/>
    <x v="16"/>
    <x v="69"/>
    <x v="16"/>
    <x v="47"/>
    <x v="7"/>
    <x v="31"/>
  </r>
  <r>
    <x v="89"/>
    <x v="89"/>
    <x v="89"/>
    <x v="77"/>
    <x v="13"/>
    <x v="74"/>
    <x v="13"/>
    <x v="76"/>
    <x v="16"/>
    <x v="56"/>
    <x v="16"/>
    <x v="5"/>
    <x v="7"/>
    <x v="31"/>
  </r>
  <r>
    <x v="90"/>
    <x v="90"/>
    <x v="90"/>
    <x v="80"/>
    <x v="10"/>
    <x v="76"/>
    <x v="10"/>
    <x v="80"/>
    <x v="9"/>
    <x v="70"/>
    <x v="9"/>
    <x v="5"/>
    <x v="1"/>
    <x v="29"/>
  </r>
  <r>
    <x v="91"/>
    <x v="91"/>
    <x v="91"/>
    <x v="81"/>
    <x v="13"/>
    <x v="77"/>
    <x v="13"/>
    <x v="81"/>
    <x v="16"/>
    <x v="52"/>
    <x v="16"/>
    <x v="5"/>
    <x v="7"/>
    <x v="31"/>
  </r>
  <r>
    <x v="92"/>
    <x v="92"/>
    <x v="92"/>
    <x v="61"/>
    <x v="13"/>
    <x v="60"/>
    <x v="13"/>
    <x v="79"/>
    <x v="16"/>
    <x v="69"/>
    <x v="16"/>
    <x v="5"/>
    <x v="7"/>
    <x v="31"/>
  </r>
  <r>
    <x v="93"/>
    <x v="93"/>
    <x v="93"/>
    <x v="59"/>
    <x v="13"/>
    <x v="58"/>
    <x v="13"/>
    <x v="82"/>
    <x v="16"/>
    <x v="59"/>
    <x v="16"/>
    <x v="5"/>
    <x v="7"/>
    <x v="31"/>
  </r>
  <r>
    <x v="94"/>
    <x v="94"/>
    <x v="94"/>
    <x v="82"/>
    <x v="10"/>
    <x v="78"/>
    <x v="10"/>
    <x v="83"/>
    <x v="11"/>
    <x v="71"/>
    <x v="11"/>
    <x v="5"/>
    <x v="1"/>
    <x v="31"/>
  </r>
  <r>
    <x v="95"/>
    <x v="95"/>
    <x v="95"/>
    <x v="83"/>
    <x v="13"/>
    <x v="78"/>
    <x v="13"/>
    <x v="84"/>
    <x v="16"/>
    <x v="72"/>
    <x v="16"/>
    <x v="48"/>
    <x v="7"/>
    <x v="30"/>
  </r>
  <r>
    <x v="96"/>
    <x v="96"/>
    <x v="96"/>
    <x v="84"/>
    <x v="8"/>
    <x v="79"/>
    <x v="8"/>
    <x v="26"/>
    <x v="5"/>
    <x v="25"/>
    <x v="5"/>
    <x v="4"/>
    <x v="1"/>
    <x v="31"/>
  </r>
  <r>
    <x v="97"/>
    <x v="97"/>
    <x v="97"/>
    <x v="67"/>
    <x v="13"/>
    <x v="66"/>
    <x v="13"/>
    <x v="85"/>
    <x v="16"/>
    <x v="73"/>
    <x v="16"/>
    <x v="49"/>
    <x v="7"/>
    <x v="30"/>
  </r>
  <r>
    <x v="98"/>
    <x v="98"/>
    <x v="98"/>
    <x v="76"/>
    <x v="8"/>
    <x v="73"/>
    <x v="8"/>
    <x v="86"/>
    <x v="9"/>
    <x v="72"/>
    <x v="9"/>
    <x v="5"/>
    <x v="1"/>
    <x v="29"/>
  </r>
  <r>
    <x v="99"/>
    <x v="99"/>
    <x v="99"/>
    <x v="83"/>
    <x v="13"/>
    <x v="78"/>
    <x v="13"/>
    <x v="86"/>
    <x v="16"/>
    <x v="72"/>
    <x v="16"/>
    <x v="50"/>
    <x v="7"/>
    <x v="31"/>
  </r>
  <r>
    <x v="100"/>
    <x v="100"/>
    <x v="100"/>
    <x v="41"/>
    <x v="10"/>
    <x v="40"/>
    <x v="10"/>
    <x v="62"/>
    <x v="11"/>
    <x v="32"/>
    <x v="11"/>
    <x v="51"/>
    <x v="7"/>
    <x v="31"/>
  </r>
  <r>
    <x v="101"/>
    <x v="101"/>
    <x v="101"/>
    <x v="85"/>
    <x v="13"/>
    <x v="80"/>
    <x v="13"/>
    <x v="87"/>
    <x v="16"/>
    <x v="74"/>
    <x v="16"/>
    <x v="52"/>
    <x v="7"/>
    <x v="32"/>
  </r>
  <r>
    <x v="102"/>
    <x v="102"/>
    <x v="102"/>
    <x v="86"/>
    <x v="10"/>
    <x v="53"/>
    <x v="10"/>
    <x v="88"/>
    <x v="11"/>
    <x v="75"/>
    <x v="11"/>
    <x v="5"/>
    <x v="1"/>
    <x v="32"/>
  </r>
  <r>
    <x v="103"/>
    <x v="103"/>
    <x v="103"/>
    <x v="73"/>
    <x v="8"/>
    <x v="50"/>
    <x v="8"/>
    <x v="77"/>
    <x v="9"/>
    <x v="68"/>
    <x v="9"/>
    <x v="5"/>
    <x v="1"/>
    <x v="31"/>
  </r>
  <r>
    <x v="104"/>
    <x v="104"/>
    <x v="104"/>
    <x v="87"/>
    <x v="13"/>
    <x v="81"/>
    <x v="13"/>
    <x v="86"/>
    <x v="16"/>
    <x v="72"/>
    <x v="16"/>
    <x v="53"/>
    <x v="7"/>
    <x v="32"/>
  </r>
  <r>
    <x v="105"/>
    <x v="105"/>
    <x v="105"/>
    <x v="54"/>
    <x v="13"/>
    <x v="53"/>
    <x v="13"/>
    <x v="55"/>
    <x v="16"/>
    <x v="52"/>
    <x v="16"/>
    <x v="54"/>
    <x v="7"/>
    <x v="32"/>
  </r>
  <r>
    <x v="106"/>
    <x v="106"/>
    <x v="106"/>
    <x v="88"/>
    <x v="8"/>
    <x v="34"/>
    <x v="8"/>
    <x v="89"/>
    <x v="9"/>
    <x v="75"/>
    <x v="9"/>
    <x v="5"/>
    <x v="1"/>
    <x v="32"/>
  </r>
  <r>
    <x v="107"/>
    <x v="107"/>
    <x v="107"/>
    <x v="73"/>
    <x v="13"/>
    <x v="50"/>
    <x v="13"/>
    <x v="90"/>
    <x v="16"/>
    <x v="69"/>
    <x v="16"/>
    <x v="5"/>
    <x v="7"/>
    <x v="31"/>
  </r>
  <r>
    <x v="108"/>
    <x v="108"/>
    <x v="108"/>
    <x v="86"/>
    <x v="10"/>
    <x v="53"/>
    <x v="10"/>
    <x v="85"/>
    <x v="11"/>
    <x v="73"/>
    <x v="11"/>
    <x v="48"/>
    <x v="1"/>
    <x v="32"/>
  </r>
  <r>
    <x v="109"/>
    <x v="109"/>
    <x v="109"/>
    <x v="89"/>
    <x v="13"/>
    <x v="59"/>
    <x v="13"/>
    <x v="31"/>
    <x v="16"/>
    <x v="30"/>
    <x v="16"/>
    <x v="5"/>
    <x v="7"/>
    <x v="32"/>
  </r>
  <r>
    <x v="110"/>
    <x v="110"/>
    <x v="110"/>
    <x v="90"/>
    <x v="13"/>
    <x v="82"/>
    <x v="13"/>
    <x v="91"/>
    <x v="16"/>
    <x v="76"/>
    <x v="16"/>
    <x v="5"/>
    <x v="7"/>
    <x v="32"/>
  </r>
  <r>
    <x v="111"/>
    <x v="111"/>
    <x v="111"/>
    <x v="91"/>
    <x v="10"/>
    <x v="83"/>
    <x v="10"/>
    <x v="80"/>
    <x v="11"/>
    <x v="70"/>
    <x v="11"/>
    <x v="55"/>
    <x v="7"/>
    <x v="32"/>
  </r>
  <r>
    <x v="112"/>
    <x v="112"/>
    <x v="112"/>
    <x v="85"/>
    <x v="13"/>
    <x v="80"/>
    <x v="13"/>
    <x v="92"/>
    <x v="16"/>
    <x v="74"/>
    <x v="16"/>
    <x v="56"/>
    <x v="7"/>
    <x v="32"/>
  </r>
  <r>
    <x v="113"/>
    <x v="113"/>
    <x v="113"/>
    <x v="90"/>
    <x v="13"/>
    <x v="82"/>
    <x v="13"/>
    <x v="93"/>
    <x v="16"/>
    <x v="77"/>
    <x v="16"/>
    <x v="5"/>
    <x v="7"/>
    <x v="32"/>
  </r>
  <r>
    <x v="114"/>
    <x v="114"/>
    <x v="114"/>
    <x v="74"/>
    <x v="13"/>
    <x v="72"/>
    <x v="13"/>
    <x v="83"/>
    <x v="16"/>
    <x v="71"/>
    <x v="16"/>
    <x v="5"/>
    <x v="7"/>
    <x v="32"/>
  </r>
  <r>
    <x v="115"/>
    <x v="115"/>
    <x v="115"/>
    <x v="34"/>
    <x v="13"/>
    <x v="33"/>
    <x v="13"/>
    <x v="36"/>
    <x v="16"/>
    <x v="34"/>
    <x v="16"/>
    <x v="57"/>
    <x v="7"/>
    <x v="28"/>
  </r>
  <r>
    <x v="116"/>
    <x v="116"/>
    <x v="116"/>
    <x v="86"/>
    <x v="13"/>
    <x v="53"/>
    <x v="13"/>
    <x v="61"/>
    <x v="16"/>
    <x v="56"/>
    <x v="16"/>
    <x v="58"/>
    <x v="7"/>
    <x v="30"/>
  </r>
  <r>
    <x v="117"/>
    <x v="117"/>
    <x v="117"/>
    <x v="92"/>
    <x v="13"/>
    <x v="84"/>
    <x v="13"/>
    <x v="94"/>
    <x v="16"/>
    <x v="78"/>
    <x v="16"/>
    <x v="5"/>
    <x v="7"/>
    <x v="32"/>
  </r>
  <r>
    <x v="118"/>
    <x v="118"/>
    <x v="118"/>
    <x v="77"/>
    <x v="8"/>
    <x v="74"/>
    <x v="8"/>
    <x v="77"/>
    <x v="13"/>
    <x v="68"/>
    <x v="13"/>
    <x v="5"/>
    <x v="1"/>
    <x v="32"/>
  </r>
  <r>
    <x v="119"/>
    <x v="119"/>
    <x v="119"/>
    <x v="93"/>
    <x v="13"/>
    <x v="85"/>
    <x v="13"/>
    <x v="95"/>
    <x v="16"/>
    <x v="79"/>
    <x v="16"/>
    <x v="59"/>
    <x v="7"/>
    <x v="33"/>
  </r>
  <r>
    <x v="120"/>
    <x v="120"/>
    <x v="120"/>
    <x v="87"/>
    <x v="13"/>
    <x v="81"/>
    <x v="13"/>
    <x v="96"/>
    <x v="16"/>
    <x v="80"/>
    <x v="16"/>
    <x v="5"/>
    <x v="7"/>
    <x v="33"/>
  </r>
  <r>
    <x v="121"/>
    <x v="121"/>
    <x v="121"/>
    <x v="79"/>
    <x v="10"/>
    <x v="75"/>
    <x v="10"/>
    <x v="97"/>
    <x v="11"/>
    <x v="76"/>
    <x v="11"/>
    <x v="60"/>
    <x v="7"/>
    <x v="33"/>
  </r>
  <r>
    <x v="122"/>
    <x v="122"/>
    <x v="122"/>
    <x v="94"/>
    <x v="13"/>
    <x v="75"/>
    <x v="13"/>
    <x v="95"/>
    <x v="16"/>
    <x v="79"/>
    <x v="16"/>
    <x v="5"/>
    <x v="7"/>
    <x v="33"/>
  </r>
  <r>
    <x v="123"/>
    <x v="123"/>
    <x v="123"/>
    <x v="82"/>
    <x v="10"/>
    <x v="78"/>
    <x v="10"/>
    <x v="96"/>
    <x v="11"/>
    <x v="80"/>
    <x v="11"/>
    <x v="5"/>
    <x v="7"/>
    <x v="33"/>
  </r>
  <r>
    <x v="124"/>
    <x v="124"/>
    <x v="124"/>
    <x v="95"/>
    <x v="13"/>
    <x v="86"/>
    <x v="13"/>
    <x v="98"/>
    <x v="16"/>
    <x v="81"/>
    <x v="16"/>
    <x v="5"/>
    <x v="7"/>
    <x v="33"/>
  </r>
  <r>
    <x v="125"/>
    <x v="125"/>
    <x v="125"/>
    <x v="86"/>
    <x v="13"/>
    <x v="53"/>
    <x v="13"/>
    <x v="74"/>
    <x v="16"/>
    <x v="56"/>
    <x v="16"/>
    <x v="5"/>
    <x v="7"/>
    <x v="33"/>
  </r>
  <r>
    <x v="126"/>
    <x v="126"/>
    <x v="126"/>
    <x v="72"/>
    <x v="8"/>
    <x v="71"/>
    <x v="8"/>
    <x v="72"/>
    <x v="9"/>
    <x v="65"/>
    <x v="9"/>
    <x v="5"/>
    <x v="1"/>
    <x v="33"/>
  </r>
  <r>
    <x v="127"/>
    <x v="127"/>
    <x v="127"/>
    <x v="54"/>
    <x v="10"/>
    <x v="53"/>
    <x v="10"/>
    <x v="99"/>
    <x v="9"/>
    <x v="68"/>
    <x v="9"/>
    <x v="5"/>
    <x v="1"/>
    <x v="33"/>
  </r>
  <r>
    <x v="128"/>
    <x v="128"/>
    <x v="128"/>
    <x v="80"/>
    <x v="13"/>
    <x v="76"/>
    <x v="13"/>
    <x v="100"/>
    <x v="16"/>
    <x v="70"/>
    <x v="16"/>
    <x v="61"/>
    <x v="7"/>
    <x v="33"/>
  </r>
  <r>
    <x v="129"/>
    <x v="129"/>
    <x v="129"/>
    <x v="96"/>
    <x v="13"/>
    <x v="87"/>
    <x v="13"/>
    <x v="98"/>
    <x v="16"/>
    <x v="81"/>
    <x v="16"/>
    <x v="5"/>
    <x v="7"/>
    <x v="33"/>
  </r>
  <r>
    <x v="130"/>
    <x v="130"/>
    <x v="130"/>
    <x v="97"/>
    <x v="10"/>
    <x v="66"/>
    <x v="10"/>
    <x v="88"/>
    <x v="9"/>
    <x v="75"/>
    <x v="9"/>
    <x v="62"/>
    <x v="1"/>
    <x v="33"/>
  </r>
  <r>
    <x v="131"/>
    <x v="131"/>
    <x v="131"/>
    <x v="93"/>
    <x v="8"/>
    <x v="85"/>
    <x v="8"/>
    <x v="101"/>
    <x v="9"/>
    <x v="66"/>
    <x v="9"/>
    <x v="5"/>
    <x v="1"/>
    <x v="33"/>
  </r>
  <r>
    <x v="132"/>
    <x v="132"/>
    <x v="132"/>
    <x v="98"/>
    <x v="13"/>
    <x v="72"/>
    <x v="13"/>
    <x v="102"/>
    <x v="16"/>
    <x v="79"/>
    <x v="16"/>
    <x v="5"/>
    <x v="7"/>
    <x v="33"/>
  </r>
  <r>
    <x v="133"/>
    <x v="133"/>
    <x v="133"/>
    <x v="99"/>
    <x v="13"/>
    <x v="73"/>
    <x v="13"/>
    <x v="83"/>
    <x v="16"/>
    <x v="71"/>
    <x v="16"/>
    <x v="5"/>
    <x v="7"/>
    <x v="33"/>
  </r>
  <r>
    <x v="134"/>
    <x v="134"/>
    <x v="134"/>
    <x v="96"/>
    <x v="10"/>
    <x v="87"/>
    <x v="10"/>
    <x v="92"/>
    <x v="11"/>
    <x v="74"/>
    <x v="11"/>
    <x v="52"/>
    <x v="7"/>
    <x v="33"/>
  </r>
  <r>
    <x v="135"/>
    <x v="135"/>
    <x v="135"/>
    <x v="90"/>
    <x v="13"/>
    <x v="82"/>
    <x v="13"/>
    <x v="102"/>
    <x v="16"/>
    <x v="79"/>
    <x v="16"/>
    <x v="63"/>
    <x v="7"/>
    <x v="33"/>
  </r>
  <r>
    <x v="136"/>
    <x v="136"/>
    <x v="136"/>
    <x v="100"/>
    <x v="13"/>
    <x v="88"/>
    <x v="13"/>
    <x v="103"/>
    <x v="16"/>
    <x v="82"/>
    <x v="16"/>
    <x v="5"/>
    <x v="7"/>
    <x v="33"/>
  </r>
  <r>
    <x v="137"/>
    <x v="137"/>
    <x v="137"/>
    <x v="101"/>
    <x v="13"/>
    <x v="87"/>
    <x v="13"/>
    <x v="87"/>
    <x v="16"/>
    <x v="74"/>
    <x v="16"/>
    <x v="5"/>
    <x v="7"/>
    <x v="33"/>
  </r>
  <r>
    <x v="138"/>
    <x v="138"/>
    <x v="138"/>
    <x v="96"/>
    <x v="13"/>
    <x v="87"/>
    <x v="13"/>
    <x v="104"/>
    <x v="16"/>
    <x v="77"/>
    <x v="16"/>
    <x v="5"/>
    <x v="7"/>
    <x v="33"/>
  </r>
  <r>
    <x v="139"/>
    <x v="139"/>
    <x v="139"/>
    <x v="90"/>
    <x v="8"/>
    <x v="82"/>
    <x v="8"/>
    <x v="105"/>
    <x v="9"/>
    <x v="77"/>
    <x v="9"/>
    <x v="5"/>
    <x v="7"/>
    <x v="33"/>
  </r>
  <r>
    <x v="140"/>
    <x v="140"/>
    <x v="140"/>
    <x v="80"/>
    <x v="13"/>
    <x v="76"/>
    <x v="13"/>
    <x v="100"/>
    <x v="16"/>
    <x v="70"/>
    <x v="16"/>
    <x v="64"/>
    <x v="7"/>
    <x v="33"/>
  </r>
  <r>
    <x v="141"/>
    <x v="141"/>
    <x v="141"/>
    <x v="72"/>
    <x v="13"/>
    <x v="71"/>
    <x v="13"/>
    <x v="106"/>
    <x v="16"/>
    <x v="78"/>
    <x v="16"/>
    <x v="5"/>
    <x v="7"/>
    <x v="33"/>
  </r>
  <r>
    <x v="51"/>
    <x v="51"/>
    <x v="142"/>
    <x v="48"/>
    <x v="6"/>
    <x v="47"/>
    <x v="6"/>
    <x v="49"/>
    <x v="15"/>
    <x v="46"/>
    <x v="15"/>
    <x v="5"/>
    <x v="1"/>
    <x v="33"/>
  </r>
  <r>
    <x v="142"/>
    <x v="142"/>
    <x v="143"/>
    <x v="73"/>
    <x v="13"/>
    <x v="50"/>
    <x v="13"/>
    <x v="81"/>
    <x v="16"/>
    <x v="52"/>
    <x v="16"/>
    <x v="5"/>
    <x v="7"/>
    <x v="33"/>
  </r>
  <r>
    <x v="0"/>
    <x v="143"/>
    <x v="144"/>
    <x v="34"/>
    <x v="5"/>
    <x v="89"/>
    <x v="14"/>
    <x v="82"/>
    <x v="6"/>
    <x v="83"/>
    <x v="17"/>
    <x v="5"/>
    <x v="1"/>
    <x v="27"/>
  </r>
  <r>
    <x v="9"/>
    <x v="144"/>
    <x v="145"/>
    <x v="46"/>
    <x v="5"/>
    <x v="90"/>
    <x v="14"/>
    <x v="107"/>
    <x v="5"/>
    <x v="84"/>
    <x v="18"/>
    <x v="2"/>
    <x v="1"/>
    <x v="29"/>
  </r>
  <r>
    <x v="18"/>
    <x v="145"/>
    <x v="146"/>
    <x v="51"/>
    <x v="10"/>
    <x v="91"/>
    <x v="15"/>
    <x v="66"/>
    <x v="11"/>
    <x v="85"/>
    <x v="19"/>
    <x v="5"/>
    <x v="1"/>
    <x v="32"/>
  </r>
  <r>
    <x v="38"/>
    <x v="38"/>
    <x v="147"/>
    <x v="62"/>
    <x v="8"/>
    <x v="92"/>
    <x v="16"/>
    <x v="94"/>
    <x v="9"/>
    <x v="86"/>
    <x v="20"/>
    <x v="5"/>
    <x v="1"/>
    <x v="32"/>
  </r>
  <r>
    <x v="20"/>
    <x v="20"/>
    <x v="148"/>
    <x v="102"/>
    <x v="8"/>
    <x v="93"/>
    <x v="16"/>
    <x v="80"/>
    <x v="9"/>
    <x v="87"/>
    <x v="20"/>
    <x v="5"/>
    <x v="1"/>
    <x v="32"/>
  </r>
  <r>
    <x v="116"/>
    <x v="116"/>
    <x v="149"/>
    <x v="80"/>
    <x v="10"/>
    <x v="94"/>
    <x v="15"/>
    <x v="108"/>
    <x v="11"/>
    <x v="88"/>
    <x v="19"/>
    <x v="65"/>
    <x v="7"/>
    <x v="32"/>
  </r>
  <r>
    <x v="53"/>
    <x v="53"/>
    <x v="53"/>
    <x v="103"/>
    <x v="13"/>
    <x v="95"/>
    <x v="13"/>
    <x v="109"/>
    <x v="16"/>
    <x v="89"/>
    <x v="16"/>
    <x v="5"/>
    <x v="7"/>
    <x v="32"/>
  </r>
  <r>
    <x v="10"/>
    <x v="146"/>
    <x v="10"/>
    <x v="104"/>
    <x v="13"/>
    <x v="96"/>
    <x v="13"/>
    <x v="97"/>
    <x v="16"/>
    <x v="90"/>
    <x v="16"/>
    <x v="5"/>
    <x v="7"/>
    <x v="33"/>
  </r>
  <r>
    <x v="37"/>
    <x v="37"/>
    <x v="37"/>
    <x v="105"/>
    <x v="13"/>
    <x v="40"/>
    <x v="13"/>
    <x v="103"/>
    <x v="16"/>
    <x v="91"/>
    <x v="16"/>
    <x v="5"/>
    <x v="7"/>
    <x v="33"/>
  </r>
  <r>
    <x v="91"/>
    <x v="147"/>
    <x v="91"/>
    <x v="100"/>
    <x v="13"/>
    <x v="63"/>
    <x v="13"/>
    <x v="110"/>
    <x v="16"/>
    <x v="67"/>
    <x v="16"/>
    <x v="5"/>
    <x v="7"/>
    <x v="33"/>
  </r>
  <r>
    <x v="71"/>
    <x v="71"/>
    <x v="150"/>
    <x v="90"/>
    <x v="13"/>
    <x v="97"/>
    <x v="13"/>
    <x v="93"/>
    <x v="16"/>
    <x v="92"/>
    <x v="16"/>
    <x v="5"/>
    <x v="7"/>
    <x v="33"/>
  </r>
  <r>
    <x v="43"/>
    <x v="43"/>
    <x v="151"/>
    <x v="82"/>
    <x v="8"/>
    <x v="98"/>
    <x v="16"/>
    <x v="86"/>
    <x v="9"/>
    <x v="93"/>
    <x v="20"/>
    <x v="5"/>
    <x v="1"/>
    <x v="33"/>
  </r>
  <r>
    <x v="115"/>
    <x v="115"/>
    <x v="152"/>
    <x v="83"/>
    <x v="10"/>
    <x v="99"/>
    <x v="15"/>
    <x v="80"/>
    <x v="11"/>
    <x v="87"/>
    <x v="19"/>
    <x v="5"/>
    <x v="7"/>
    <x v="33"/>
  </r>
  <r>
    <x v="140"/>
    <x v="140"/>
    <x v="153"/>
    <x v="95"/>
    <x v="10"/>
    <x v="100"/>
    <x v="15"/>
    <x v="111"/>
    <x v="11"/>
    <x v="94"/>
    <x v="19"/>
    <x v="66"/>
    <x v="7"/>
    <x v="33"/>
  </r>
  <r>
    <x v="143"/>
    <x v="148"/>
    <x v="154"/>
    <x v="93"/>
    <x v="10"/>
    <x v="101"/>
    <x v="15"/>
    <x v="102"/>
    <x v="11"/>
    <x v="95"/>
    <x v="19"/>
    <x v="48"/>
    <x v="7"/>
    <x v="33"/>
  </r>
  <r>
    <x v="87"/>
    <x v="87"/>
    <x v="87"/>
    <x v="105"/>
    <x v="13"/>
    <x v="40"/>
    <x v="13"/>
    <x v="98"/>
    <x v="16"/>
    <x v="96"/>
    <x v="16"/>
    <x v="5"/>
    <x v="7"/>
    <x v="33"/>
  </r>
  <r>
    <x v="144"/>
    <x v="149"/>
    <x v="155"/>
    <x v="106"/>
    <x v="14"/>
    <x v="102"/>
    <x v="17"/>
    <x v="112"/>
    <x v="17"/>
    <x v="97"/>
    <x v="21"/>
    <x v="67"/>
    <x v="10"/>
    <x v="34"/>
  </r>
</pivotCacheRecords>
</file>

<file path=xl/pivotCache/pivotCacheRecords42.xml><?xml version="1.0" encoding="utf-8"?>
<pivotCacheRecords xmlns="http://schemas.openxmlformats.org/spreadsheetml/2006/main" xmlns:r="http://schemas.openxmlformats.org/officeDocument/2006/relationships" count="192">
  <r>
    <x v="0"/>
    <x v="0"/>
    <x v="0"/>
    <x v="0"/>
    <x v="0"/>
    <x v="0"/>
    <x v="0"/>
    <x v="0"/>
    <x v="0"/>
    <x v="0"/>
    <x v="0"/>
    <x v="0"/>
    <x v="0"/>
    <x v="0"/>
  </r>
  <r>
    <x v="1"/>
    <x v="1"/>
    <x v="1"/>
    <x v="1"/>
    <x v="1"/>
    <x v="1"/>
    <x v="1"/>
    <x v="1"/>
    <x v="1"/>
    <x v="1"/>
    <x v="1"/>
    <x v="1"/>
    <x v="1"/>
    <x v="1"/>
  </r>
  <r>
    <x v="2"/>
    <x v="2"/>
    <x v="2"/>
    <x v="2"/>
    <x v="2"/>
    <x v="2"/>
    <x v="2"/>
    <x v="2"/>
    <x v="2"/>
    <x v="2"/>
    <x v="2"/>
    <x v="2"/>
    <x v="2"/>
    <x v="2"/>
  </r>
  <r>
    <x v="3"/>
    <x v="3"/>
    <x v="3"/>
    <x v="3"/>
    <x v="3"/>
    <x v="3"/>
    <x v="3"/>
    <x v="3"/>
    <x v="3"/>
    <x v="3"/>
    <x v="3"/>
    <x v="3"/>
    <x v="1"/>
    <x v="3"/>
  </r>
  <r>
    <x v="4"/>
    <x v="4"/>
    <x v="4"/>
    <x v="4"/>
    <x v="4"/>
    <x v="4"/>
    <x v="4"/>
    <x v="4"/>
    <x v="4"/>
    <x v="4"/>
    <x v="4"/>
    <x v="4"/>
    <x v="1"/>
    <x v="4"/>
  </r>
  <r>
    <x v="5"/>
    <x v="5"/>
    <x v="5"/>
    <x v="5"/>
    <x v="5"/>
    <x v="5"/>
    <x v="5"/>
    <x v="5"/>
    <x v="4"/>
    <x v="5"/>
    <x v="4"/>
    <x v="5"/>
    <x v="1"/>
    <x v="5"/>
  </r>
  <r>
    <x v="6"/>
    <x v="6"/>
    <x v="6"/>
    <x v="6"/>
    <x v="5"/>
    <x v="6"/>
    <x v="5"/>
    <x v="6"/>
    <x v="5"/>
    <x v="6"/>
    <x v="5"/>
    <x v="6"/>
    <x v="1"/>
    <x v="6"/>
  </r>
  <r>
    <x v="7"/>
    <x v="7"/>
    <x v="7"/>
    <x v="7"/>
    <x v="5"/>
    <x v="7"/>
    <x v="5"/>
    <x v="7"/>
    <x v="5"/>
    <x v="7"/>
    <x v="5"/>
    <x v="7"/>
    <x v="1"/>
    <x v="7"/>
  </r>
  <r>
    <x v="8"/>
    <x v="8"/>
    <x v="8"/>
    <x v="8"/>
    <x v="6"/>
    <x v="8"/>
    <x v="6"/>
    <x v="8"/>
    <x v="6"/>
    <x v="8"/>
    <x v="6"/>
    <x v="8"/>
    <x v="3"/>
    <x v="8"/>
  </r>
  <r>
    <x v="9"/>
    <x v="9"/>
    <x v="9"/>
    <x v="9"/>
    <x v="7"/>
    <x v="9"/>
    <x v="7"/>
    <x v="9"/>
    <x v="7"/>
    <x v="9"/>
    <x v="7"/>
    <x v="9"/>
    <x v="4"/>
    <x v="9"/>
  </r>
  <r>
    <x v="10"/>
    <x v="10"/>
    <x v="10"/>
    <x v="10"/>
    <x v="8"/>
    <x v="10"/>
    <x v="8"/>
    <x v="10"/>
    <x v="8"/>
    <x v="10"/>
    <x v="8"/>
    <x v="10"/>
    <x v="1"/>
    <x v="10"/>
  </r>
  <r>
    <x v="11"/>
    <x v="11"/>
    <x v="11"/>
    <x v="11"/>
    <x v="9"/>
    <x v="11"/>
    <x v="9"/>
    <x v="11"/>
    <x v="7"/>
    <x v="11"/>
    <x v="7"/>
    <x v="11"/>
    <x v="1"/>
    <x v="11"/>
  </r>
  <r>
    <x v="12"/>
    <x v="12"/>
    <x v="12"/>
    <x v="12"/>
    <x v="10"/>
    <x v="12"/>
    <x v="10"/>
    <x v="12"/>
    <x v="9"/>
    <x v="6"/>
    <x v="9"/>
    <x v="12"/>
    <x v="1"/>
    <x v="12"/>
  </r>
  <r>
    <x v="13"/>
    <x v="13"/>
    <x v="13"/>
    <x v="13"/>
    <x v="7"/>
    <x v="13"/>
    <x v="7"/>
    <x v="13"/>
    <x v="7"/>
    <x v="12"/>
    <x v="7"/>
    <x v="6"/>
    <x v="1"/>
    <x v="12"/>
  </r>
  <r>
    <x v="14"/>
    <x v="14"/>
    <x v="14"/>
    <x v="14"/>
    <x v="11"/>
    <x v="14"/>
    <x v="11"/>
    <x v="14"/>
    <x v="4"/>
    <x v="13"/>
    <x v="4"/>
    <x v="13"/>
    <x v="1"/>
    <x v="7"/>
  </r>
  <r>
    <x v="15"/>
    <x v="15"/>
    <x v="15"/>
    <x v="15"/>
    <x v="12"/>
    <x v="15"/>
    <x v="12"/>
    <x v="15"/>
    <x v="10"/>
    <x v="14"/>
    <x v="10"/>
    <x v="6"/>
    <x v="1"/>
    <x v="13"/>
  </r>
  <r>
    <x v="16"/>
    <x v="16"/>
    <x v="16"/>
    <x v="16"/>
    <x v="13"/>
    <x v="16"/>
    <x v="13"/>
    <x v="16"/>
    <x v="11"/>
    <x v="15"/>
    <x v="11"/>
    <x v="14"/>
    <x v="5"/>
    <x v="14"/>
  </r>
  <r>
    <x v="17"/>
    <x v="17"/>
    <x v="17"/>
    <x v="17"/>
    <x v="6"/>
    <x v="17"/>
    <x v="6"/>
    <x v="17"/>
    <x v="12"/>
    <x v="16"/>
    <x v="12"/>
    <x v="15"/>
    <x v="6"/>
    <x v="15"/>
  </r>
  <r>
    <x v="18"/>
    <x v="18"/>
    <x v="18"/>
    <x v="18"/>
    <x v="5"/>
    <x v="18"/>
    <x v="5"/>
    <x v="18"/>
    <x v="13"/>
    <x v="17"/>
    <x v="13"/>
    <x v="16"/>
    <x v="1"/>
    <x v="16"/>
  </r>
  <r>
    <x v="19"/>
    <x v="19"/>
    <x v="19"/>
    <x v="19"/>
    <x v="14"/>
    <x v="19"/>
    <x v="14"/>
    <x v="19"/>
    <x v="4"/>
    <x v="18"/>
    <x v="4"/>
    <x v="17"/>
    <x v="7"/>
    <x v="17"/>
  </r>
  <r>
    <x v="20"/>
    <x v="20"/>
    <x v="20"/>
    <x v="20"/>
    <x v="15"/>
    <x v="20"/>
    <x v="15"/>
    <x v="20"/>
    <x v="9"/>
    <x v="19"/>
    <x v="9"/>
    <x v="4"/>
    <x v="1"/>
    <x v="18"/>
  </r>
  <r>
    <x v="21"/>
    <x v="21"/>
    <x v="21"/>
    <x v="21"/>
    <x v="13"/>
    <x v="21"/>
    <x v="13"/>
    <x v="21"/>
    <x v="14"/>
    <x v="20"/>
    <x v="14"/>
    <x v="18"/>
    <x v="1"/>
    <x v="18"/>
  </r>
  <r>
    <x v="22"/>
    <x v="22"/>
    <x v="22"/>
    <x v="22"/>
    <x v="11"/>
    <x v="22"/>
    <x v="11"/>
    <x v="22"/>
    <x v="5"/>
    <x v="21"/>
    <x v="5"/>
    <x v="6"/>
    <x v="1"/>
    <x v="18"/>
  </r>
  <r>
    <x v="23"/>
    <x v="23"/>
    <x v="23"/>
    <x v="23"/>
    <x v="13"/>
    <x v="23"/>
    <x v="13"/>
    <x v="6"/>
    <x v="8"/>
    <x v="6"/>
    <x v="8"/>
    <x v="19"/>
    <x v="8"/>
    <x v="19"/>
  </r>
  <r>
    <x v="24"/>
    <x v="24"/>
    <x v="24"/>
    <x v="24"/>
    <x v="16"/>
    <x v="24"/>
    <x v="16"/>
    <x v="23"/>
    <x v="11"/>
    <x v="22"/>
    <x v="11"/>
    <x v="20"/>
    <x v="1"/>
    <x v="20"/>
  </r>
  <r>
    <x v="25"/>
    <x v="25"/>
    <x v="25"/>
    <x v="25"/>
    <x v="17"/>
    <x v="25"/>
    <x v="17"/>
    <x v="24"/>
    <x v="6"/>
    <x v="23"/>
    <x v="6"/>
    <x v="15"/>
    <x v="1"/>
    <x v="21"/>
  </r>
  <r>
    <x v="26"/>
    <x v="26"/>
    <x v="26"/>
    <x v="26"/>
    <x v="13"/>
    <x v="26"/>
    <x v="13"/>
    <x v="25"/>
    <x v="10"/>
    <x v="24"/>
    <x v="10"/>
    <x v="21"/>
    <x v="1"/>
    <x v="21"/>
  </r>
  <r>
    <x v="27"/>
    <x v="27"/>
    <x v="27"/>
    <x v="27"/>
    <x v="13"/>
    <x v="27"/>
    <x v="13"/>
    <x v="26"/>
    <x v="8"/>
    <x v="25"/>
    <x v="8"/>
    <x v="22"/>
    <x v="9"/>
    <x v="22"/>
  </r>
  <r>
    <x v="28"/>
    <x v="28"/>
    <x v="28"/>
    <x v="28"/>
    <x v="4"/>
    <x v="28"/>
    <x v="4"/>
    <x v="27"/>
    <x v="15"/>
    <x v="26"/>
    <x v="15"/>
    <x v="23"/>
    <x v="1"/>
    <x v="23"/>
  </r>
  <r>
    <x v="29"/>
    <x v="29"/>
    <x v="29"/>
    <x v="29"/>
    <x v="5"/>
    <x v="29"/>
    <x v="5"/>
    <x v="28"/>
    <x v="16"/>
    <x v="27"/>
    <x v="16"/>
    <x v="24"/>
    <x v="10"/>
    <x v="23"/>
  </r>
  <r>
    <x v="30"/>
    <x v="30"/>
    <x v="30"/>
    <x v="6"/>
    <x v="14"/>
    <x v="6"/>
    <x v="14"/>
    <x v="29"/>
    <x v="13"/>
    <x v="28"/>
    <x v="13"/>
    <x v="25"/>
    <x v="7"/>
    <x v="23"/>
  </r>
  <r>
    <x v="31"/>
    <x v="31"/>
    <x v="31"/>
    <x v="30"/>
    <x v="8"/>
    <x v="30"/>
    <x v="8"/>
    <x v="30"/>
    <x v="17"/>
    <x v="29"/>
    <x v="17"/>
    <x v="26"/>
    <x v="1"/>
    <x v="24"/>
  </r>
  <r>
    <x v="32"/>
    <x v="32"/>
    <x v="32"/>
    <x v="31"/>
    <x v="13"/>
    <x v="31"/>
    <x v="13"/>
    <x v="31"/>
    <x v="14"/>
    <x v="30"/>
    <x v="14"/>
    <x v="27"/>
    <x v="1"/>
    <x v="24"/>
  </r>
  <r>
    <x v="33"/>
    <x v="33"/>
    <x v="33"/>
    <x v="32"/>
    <x v="16"/>
    <x v="32"/>
    <x v="16"/>
    <x v="32"/>
    <x v="17"/>
    <x v="31"/>
    <x v="17"/>
    <x v="6"/>
    <x v="1"/>
    <x v="25"/>
  </r>
  <r>
    <x v="34"/>
    <x v="34"/>
    <x v="34"/>
    <x v="33"/>
    <x v="16"/>
    <x v="33"/>
    <x v="16"/>
    <x v="33"/>
    <x v="5"/>
    <x v="32"/>
    <x v="5"/>
    <x v="28"/>
    <x v="11"/>
    <x v="25"/>
  </r>
  <r>
    <x v="35"/>
    <x v="35"/>
    <x v="35"/>
    <x v="33"/>
    <x v="18"/>
    <x v="33"/>
    <x v="18"/>
    <x v="34"/>
    <x v="8"/>
    <x v="25"/>
    <x v="8"/>
    <x v="29"/>
    <x v="1"/>
    <x v="26"/>
  </r>
  <r>
    <x v="36"/>
    <x v="36"/>
    <x v="36"/>
    <x v="34"/>
    <x v="8"/>
    <x v="34"/>
    <x v="8"/>
    <x v="35"/>
    <x v="18"/>
    <x v="33"/>
    <x v="18"/>
    <x v="30"/>
    <x v="1"/>
    <x v="27"/>
  </r>
  <r>
    <x v="37"/>
    <x v="37"/>
    <x v="37"/>
    <x v="35"/>
    <x v="12"/>
    <x v="21"/>
    <x v="12"/>
    <x v="16"/>
    <x v="18"/>
    <x v="15"/>
    <x v="18"/>
    <x v="31"/>
    <x v="1"/>
    <x v="27"/>
  </r>
  <r>
    <x v="38"/>
    <x v="38"/>
    <x v="38"/>
    <x v="36"/>
    <x v="19"/>
    <x v="35"/>
    <x v="19"/>
    <x v="36"/>
    <x v="19"/>
    <x v="34"/>
    <x v="19"/>
    <x v="32"/>
    <x v="1"/>
    <x v="28"/>
  </r>
  <r>
    <x v="39"/>
    <x v="39"/>
    <x v="39"/>
    <x v="37"/>
    <x v="8"/>
    <x v="36"/>
    <x v="8"/>
    <x v="37"/>
    <x v="8"/>
    <x v="35"/>
    <x v="8"/>
    <x v="6"/>
    <x v="9"/>
    <x v="29"/>
  </r>
  <r>
    <x v="40"/>
    <x v="40"/>
    <x v="40"/>
    <x v="38"/>
    <x v="11"/>
    <x v="37"/>
    <x v="11"/>
    <x v="38"/>
    <x v="10"/>
    <x v="10"/>
    <x v="10"/>
    <x v="33"/>
    <x v="1"/>
    <x v="26"/>
  </r>
  <r>
    <x v="41"/>
    <x v="41"/>
    <x v="41"/>
    <x v="39"/>
    <x v="18"/>
    <x v="38"/>
    <x v="18"/>
    <x v="39"/>
    <x v="20"/>
    <x v="36"/>
    <x v="20"/>
    <x v="6"/>
    <x v="1"/>
    <x v="30"/>
  </r>
  <r>
    <x v="42"/>
    <x v="42"/>
    <x v="42"/>
    <x v="40"/>
    <x v="16"/>
    <x v="39"/>
    <x v="16"/>
    <x v="40"/>
    <x v="5"/>
    <x v="33"/>
    <x v="5"/>
    <x v="34"/>
    <x v="1"/>
    <x v="25"/>
  </r>
  <r>
    <x v="43"/>
    <x v="43"/>
    <x v="43"/>
    <x v="41"/>
    <x v="19"/>
    <x v="40"/>
    <x v="19"/>
    <x v="41"/>
    <x v="19"/>
    <x v="37"/>
    <x v="19"/>
    <x v="35"/>
    <x v="12"/>
    <x v="31"/>
  </r>
  <r>
    <x v="44"/>
    <x v="44"/>
    <x v="44"/>
    <x v="42"/>
    <x v="15"/>
    <x v="41"/>
    <x v="15"/>
    <x v="42"/>
    <x v="12"/>
    <x v="38"/>
    <x v="12"/>
    <x v="35"/>
    <x v="1"/>
    <x v="25"/>
  </r>
  <r>
    <x v="45"/>
    <x v="45"/>
    <x v="45"/>
    <x v="43"/>
    <x v="8"/>
    <x v="42"/>
    <x v="8"/>
    <x v="43"/>
    <x v="8"/>
    <x v="39"/>
    <x v="8"/>
    <x v="29"/>
    <x v="1"/>
    <x v="31"/>
  </r>
  <r>
    <x v="46"/>
    <x v="46"/>
    <x v="46"/>
    <x v="44"/>
    <x v="11"/>
    <x v="37"/>
    <x v="11"/>
    <x v="44"/>
    <x v="10"/>
    <x v="40"/>
    <x v="10"/>
    <x v="36"/>
    <x v="1"/>
    <x v="32"/>
  </r>
  <r>
    <x v="47"/>
    <x v="47"/>
    <x v="47"/>
    <x v="45"/>
    <x v="13"/>
    <x v="43"/>
    <x v="13"/>
    <x v="42"/>
    <x v="14"/>
    <x v="38"/>
    <x v="14"/>
    <x v="37"/>
    <x v="1"/>
    <x v="31"/>
  </r>
  <r>
    <x v="48"/>
    <x v="48"/>
    <x v="48"/>
    <x v="46"/>
    <x v="18"/>
    <x v="44"/>
    <x v="18"/>
    <x v="45"/>
    <x v="8"/>
    <x v="41"/>
    <x v="8"/>
    <x v="38"/>
    <x v="1"/>
    <x v="33"/>
  </r>
  <r>
    <x v="49"/>
    <x v="49"/>
    <x v="49"/>
    <x v="47"/>
    <x v="13"/>
    <x v="45"/>
    <x v="13"/>
    <x v="46"/>
    <x v="17"/>
    <x v="42"/>
    <x v="17"/>
    <x v="39"/>
    <x v="1"/>
    <x v="34"/>
  </r>
  <r>
    <x v="50"/>
    <x v="50"/>
    <x v="50"/>
    <x v="48"/>
    <x v="16"/>
    <x v="46"/>
    <x v="16"/>
    <x v="47"/>
    <x v="17"/>
    <x v="43"/>
    <x v="17"/>
    <x v="40"/>
    <x v="1"/>
    <x v="35"/>
  </r>
  <r>
    <x v="51"/>
    <x v="51"/>
    <x v="51"/>
    <x v="49"/>
    <x v="13"/>
    <x v="36"/>
    <x v="13"/>
    <x v="48"/>
    <x v="14"/>
    <x v="44"/>
    <x v="14"/>
    <x v="41"/>
    <x v="1"/>
    <x v="34"/>
  </r>
  <r>
    <x v="52"/>
    <x v="52"/>
    <x v="52"/>
    <x v="50"/>
    <x v="18"/>
    <x v="47"/>
    <x v="18"/>
    <x v="49"/>
    <x v="20"/>
    <x v="45"/>
    <x v="20"/>
    <x v="6"/>
    <x v="1"/>
    <x v="36"/>
  </r>
  <r>
    <x v="53"/>
    <x v="53"/>
    <x v="53"/>
    <x v="51"/>
    <x v="19"/>
    <x v="48"/>
    <x v="19"/>
    <x v="48"/>
    <x v="19"/>
    <x v="44"/>
    <x v="19"/>
    <x v="42"/>
    <x v="12"/>
    <x v="36"/>
  </r>
  <r>
    <x v="54"/>
    <x v="54"/>
    <x v="54"/>
    <x v="52"/>
    <x v="11"/>
    <x v="39"/>
    <x v="11"/>
    <x v="50"/>
    <x v="5"/>
    <x v="33"/>
    <x v="5"/>
    <x v="43"/>
    <x v="13"/>
    <x v="36"/>
  </r>
  <r>
    <x v="55"/>
    <x v="55"/>
    <x v="55"/>
    <x v="53"/>
    <x v="18"/>
    <x v="31"/>
    <x v="18"/>
    <x v="51"/>
    <x v="8"/>
    <x v="40"/>
    <x v="8"/>
    <x v="44"/>
    <x v="1"/>
    <x v="37"/>
  </r>
  <r>
    <x v="56"/>
    <x v="56"/>
    <x v="56"/>
    <x v="54"/>
    <x v="13"/>
    <x v="49"/>
    <x v="13"/>
    <x v="52"/>
    <x v="14"/>
    <x v="46"/>
    <x v="14"/>
    <x v="6"/>
    <x v="1"/>
    <x v="36"/>
  </r>
  <r>
    <x v="57"/>
    <x v="57"/>
    <x v="57"/>
    <x v="55"/>
    <x v="13"/>
    <x v="50"/>
    <x v="13"/>
    <x v="53"/>
    <x v="11"/>
    <x v="47"/>
    <x v="11"/>
    <x v="45"/>
    <x v="1"/>
    <x v="38"/>
  </r>
  <r>
    <x v="58"/>
    <x v="58"/>
    <x v="58"/>
    <x v="56"/>
    <x v="13"/>
    <x v="51"/>
    <x v="13"/>
    <x v="54"/>
    <x v="13"/>
    <x v="48"/>
    <x v="13"/>
    <x v="46"/>
    <x v="1"/>
    <x v="39"/>
  </r>
  <r>
    <x v="59"/>
    <x v="59"/>
    <x v="59"/>
    <x v="57"/>
    <x v="18"/>
    <x v="52"/>
    <x v="18"/>
    <x v="55"/>
    <x v="20"/>
    <x v="41"/>
    <x v="20"/>
    <x v="6"/>
    <x v="1"/>
    <x v="40"/>
  </r>
  <r>
    <x v="60"/>
    <x v="60"/>
    <x v="60"/>
    <x v="45"/>
    <x v="11"/>
    <x v="43"/>
    <x v="11"/>
    <x v="56"/>
    <x v="11"/>
    <x v="47"/>
    <x v="11"/>
    <x v="47"/>
    <x v="1"/>
    <x v="40"/>
  </r>
  <r>
    <x v="61"/>
    <x v="61"/>
    <x v="61"/>
    <x v="58"/>
    <x v="19"/>
    <x v="53"/>
    <x v="19"/>
    <x v="57"/>
    <x v="20"/>
    <x v="37"/>
    <x v="20"/>
    <x v="48"/>
    <x v="1"/>
    <x v="40"/>
  </r>
  <r>
    <x v="62"/>
    <x v="62"/>
    <x v="62"/>
    <x v="40"/>
    <x v="9"/>
    <x v="39"/>
    <x v="9"/>
    <x v="58"/>
    <x v="9"/>
    <x v="49"/>
    <x v="9"/>
    <x v="6"/>
    <x v="14"/>
    <x v="41"/>
  </r>
  <r>
    <x v="63"/>
    <x v="63"/>
    <x v="63"/>
    <x v="59"/>
    <x v="18"/>
    <x v="45"/>
    <x v="18"/>
    <x v="59"/>
    <x v="14"/>
    <x v="44"/>
    <x v="14"/>
    <x v="6"/>
    <x v="1"/>
    <x v="41"/>
  </r>
  <r>
    <x v="64"/>
    <x v="64"/>
    <x v="64"/>
    <x v="40"/>
    <x v="8"/>
    <x v="39"/>
    <x v="8"/>
    <x v="60"/>
    <x v="17"/>
    <x v="49"/>
    <x v="17"/>
    <x v="49"/>
    <x v="1"/>
    <x v="41"/>
  </r>
  <r>
    <x v="65"/>
    <x v="65"/>
    <x v="65"/>
    <x v="60"/>
    <x v="19"/>
    <x v="54"/>
    <x v="19"/>
    <x v="61"/>
    <x v="19"/>
    <x v="50"/>
    <x v="19"/>
    <x v="50"/>
    <x v="1"/>
    <x v="41"/>
  </r>
  <r>
    <x v="66"/>
    <x v="66"/>
    <x v="66"/>
    <x v="61"/>
    <x v="18"/>
    <x v="55"/>
    <x v="18"/>
    <x v="62"/>
    <x v="14"/>
    <x v="51"/>
    <x v="14"/>
    <x v="51"/>
    <x v="1"/>
    <x v="41"/>
  </r>
  <r>
    <x v="67"/>
    <x v="67"/>
    <x v="67"/>
    <x v="62"/>
    <x v="19"/>
    <x v="56"/>
    <x v="19"/>
    <x v="63"/>
    <x v="19"/>
    <x v="52"/>
    <x v="19"/>
    <x v="52"/>
    <x v="1"/>
    <x v="42"/>
  </r>
  <r>
    <x v="68"/>
    <x v="68"/>
    <x v="68"/>
    <x v="63"/>
    <x v="19"/>
    <x v="57"/>
    <x v="19"/>
    <x v="64"/>
    <x v="19"/>
    <x v="53"/>
    <x v="19"/>
    <x v="53"/>
    <x v="1"/>
    <x v="38"/>
  </r>
  <r>
    <x v="69"/>
    <x v="69"/>
    <x v="69"/>
    <x v="64"/>
    <x v="18"/>
    <x v="40"/>
    <x v="18"/>
    <x v="56"/>
    <x v="20"/>
    <x v="47"/>
    <x v="20"/>
    <x v="19"/>
    <x v="1"/>
    <x v="43"/>
  </r>
  <r>
    <x v="70"/>
    <x v="70"/>
    <x v="70"/>
    <x v="65"/>
    <x v="19"/>
    <x v="58"/>
    <x v="19"/>
    <x v="65"/>
    <x v="20"/>
    <x v="44"/>
    <x v="20"/>
    <x v="6"/>
    <x v="1"/>
    <x v="43"/>
  </r>
  <r>
    <x v="71"/>
    <x v="71"/>
    <x v="71"/>
    <x v="66"/>
    <x v="20"/>
    <x v="51"/>
    <x v="20"/>
    <x v="66"/>
    <x v="21"/>
    <x v="54"/>
    <x v="21"/>
    <x v="6"/>
    <x v="12"/>
    <x v="44"/>
  </r>
  <r>
    <x v="72"/>
    <x v="72"/>
    <x v="72"/>
    <x v="67"/>
    <x v="19"/>
    <x v="56"/>
    <x v="19"/>
    <x v="67"/>
    <x v="19"/>
    <x v="55"/>
    <x v="19"/>
    <x v="6"/>
    <x v="1"/>
    <x v="44"/>
  </r>
  <r>
    <x v="73"/>
    <x v="73"/>
    <x v="73"/>
    <x v="47"/>
    <x v="18"/>
    <x v="45"/>
    <x v="18"/>
    <x v="68"/>
    <x v="14"/>
    <x v="44"/>
    <x v="14"/>
    <x v="54"/>
    <x v="1"/>
    <x v="44"/>
  </r>
  <r>
    <x v="74"/>
    <x v="74"/>
    <x v="74"/>
    <x v="68"/>
    <x v="8"/>
    <x v="45"/>
    <x v="8"/>
    <x v="69"/>
    <x v="5"/>
    <x v="42"/>
    <x v="5"/>
    <x v="6"/>
    <x v="1"/>
    <x v="43"/>
  </r>
  <r>
    <x v="75"/>
    <x v="75"/>
    <x v="75"/>
    <x v="69"/>
    <x v="18"/>
    <x v="59"/>
    <x v="18"/>
    <x v="70"/>
    <x v="20"/>
    <x v="29"/>
    <x v="20"/>
    <x v="6"/>
    <x v="1"/>
    <x v="45"/>
  </r>
  <r>
    <x v="76"/>
    <x v="76"/>
    <x v="76"/>
    <x v="70"/>
    <x v="20"/>
    <x v="60"/>
    <x v="20"/>
    <x v="71"/>
    <x v="21"/>
    <x v="56"/>
    <x v="21"/>
    <x v="55"/>
    <x v="12"/>
    <x v="44"/>
  </r>
  <r>
    <x v="77"/>
    <x v="77"/>
    <x v="77"/>
    <x v="71"/>
    <x v="16"/>
    <x v="61"/>
    <x v="16"/>
    <x v="72"/>
    <x v="5"/>
    <x v="54"/>
    <x v="5"/>
    <x v="56"/>
    <x v="15"/>
    <x v="42"/>
  </r>
  <r>
    <x v="78"/>
    <x v="78"/>
    <x v="78"/>
    <x v="72"/>
    <x v="20"/>
    <x v="62"/>
    <x v="20"/>
    <x v="73"/>
    <x v="21"/>
    <x v="55"/>
    <x v="21"/>
    <x v="57"/>
    <x v="12"/>
    <x v="45"/>
  </r>
  <r>
    <x v="25"/>
    <x v="25"/>
    <x v="79"/>
    <x v="25"/>
    <x v="17"/>
    <x v="25"/>
    <x v="17"/>
    <x v="24"/>
    <x v="6"/>
    <x v="23"/>
    <x v="6"/>
    <x v="15"/>
    <x v="1"/>
    <x v="45"/>
  </r>
  <r>
    <x v="79"/>
    <x v="79"/>
    <x v="80"/>
    <x v="73"/>
    <x v="13"/>
    <x v="52"/>
    <x v="13"/>
    <x v="74"/>
    <x v="8"/>
    <x v="50"/>
    <x v="8"/>
    <x v="6"/>
    <x v="1"/>
    <x v="45"/>
  </r>
  <r>
    <x v="80"/>
    <x v="80"/>
    <x v="81"/>
    <x v="74"/>
    <x v="13"/>
    <x v="63"/>
    <x v="13"/>
    <x v="75"/>
    <x v="14"/>
    <x v="57"/>
    <x v="14"/>
    <x v="6"/>
    <x v="1"/>
    <x v="45"/>
  </r>
  <r>
    <x v="81"/>
    <x v="81"/>
    <x v="82"/>
    <x v="75"/>
    <x v="8"/>
    <x v="40"/>
    <x v="8"/>
    <x v="30"/>
    <x v="8"/>
    <x v="29"/>
    <x v="8"/>
    <x v="6"/>
    <x v="8"/>
    <x v="46"/>
  </r>
  <r>
    <x v="82"/>
    <x v="82"/>
    <x v="83"/>
    <x v="76"/>
    <x v="19"/>
    <x v="64"/>
    <x v="19"/>
    <x v="76"/>
    <x v="19"/>
    <x v="58"/>
    <x v="19"/>
    <x v="58"/>
    <x v="1"/>
    <x v="45"/>
  </r>
  <r>
    <x v="83"/>
    <x v="83"/>
    <x v="84"/>
    <x v="77"/>
    <x v="8"/>
    <x v="65"/>
    <x v="8"/>
    <x v="77"/>
    <x v="18"/>
    <x v="38"/>
    <x v="18"/>
    <x v="59"/>
    <x v="1"/>
    <x v="46"/>
  </r>
  <r>
    <x v="84"/>
    <x v="84"/>
    <x v="85"/>
    <x v="39"/>
    <x v="18"/>
    <x v="38"/>
    <x v="18"/>
    <x v="78"/>
    <x v="14"/>
    <x v="42"/>
    <x v="14"/>
    <x v="60"/>
    <x v="1"/>
    <x v="46"/>
  </r>
  <r>
    <x v="85"/>
    <x v="85"/>
    <x v="86"/>
    <x v="49"/>
    <x v="13"/>
    <x v="36"/>
    <x v="13"/>
    <x v="79"/>
    <x v="14"/>
    <x v="59"/>
    <x v="14"/>
    <x v="61"/>
    <x v="1"/>
    <x v="47"/>
  </r>
  <r>
    <x v="86"/>
    <x v="86"/>
    <x v="87"/>
    <x v="78"/>
    <x v="13"/>
    <x v="66"/>
    <x v="13"/>
    <x v="80"/>
    <x v="14"/>
    <x v="55"/>
    <x v="14"/>
    <x v="6"/>
    <x v="1"/>
    <x v="45"/>
  </r>
  <r>
    <x v="87"/>
    <x v="87"/>
    <x v="88"/>
    <x v="39"/>
    <x v="16"/>
    <x v="38"/>
    <x v="16"/>
    <x v="65"/>
    <x v="5"/>
    <x v="44"/>
    <x v="5"/>
    <x v="6"/>
    <x v="1"/>
    <x v="38"/>
  </r>
  <r>
    <x v="88"/>
    <x v="88"/>
    <x v="89"/>
    <x v="79"/>
    <x v="19"/>
    <x v="48"/>
    <x v="19"/>
    <x v="81"/>
    <x v="19"/>
    <x v="35"/>
    <x v="19"/>
    <x v="60"/>
    <x v="1"/>
    <x v="48"/>
  </r>
  <r>
    <x v="89"/>
    <x v="89"/>
    <x v="90"/>
    <x v="80"/>
    <x v="19"/>
    <x v="67"/>
    <x v="19"/>
    <x v="82"/>
    <x v="19"/>
    <x v="42"/>
    <x v="19"/>
    <x v="6"/>
    <x v="1"/>
    <x v="48"/>
  </r>
  <r>
    <x v="90"/>
    <x v="90"/>
    <x v="91"/>
    <x v="81"/>
    <x v="19"/>
    <x v="68"/>
    <x v="19"/>
    <x v="83"/>
    <x v="19"/>
    <x v="48"/>
    <x v="19"/>
    <x v="62"/>
    <x v="1"/>
    <x v="48"/>
  </r>
  <r>
    <x v="91"/>
    <x v="91"/>
    <x v="92"/>
    <x v="82"/>
    <x v="19"/>
    <x v="69"/>
    <x v="19"/>
    <x v="84"/>
    <x v="19"/>
    <x v="60"/>
    <x v="19"/>
    <x v="6"/>
    <x v="12"/>
    <x v="48"/>
  </r>
  <r>
    <x v="92"/>
    <x v="92"/>
    <x v="93"/>
    <x v="83"/>
    <x v="19"/>
    <x v="70"/>
    <x v="19"/>
    <x v="85"/>
    <x v="19"/>
    <x v="61"/>
    <x v="19"/>
    <x v="63"/>
    <x v="1"/>
    <x v="48"/>
  </r>
  <r>
    <x v="93"/>
    <x v="93"/>
    <x v="94"/>
    <x v="84"/>
    <x v="18"/>
    <x v="71"/>
    <x v="18"/>
    <x v="86"/>
    <x v="20"/>
    <x v="37"/>
    <x v="20"/>
    <x v="64"/>
    <x v="1"/>
    <x v="43"/>
  </r>
  <r>
    <x v="94"/>
    <x v="94"/>
    <x v="95"/>
    <x v="68"/>
    <x v="20"/>
    <x v="45"/>
    <x v="20"/>
    <x v="87"/>
    <x v="21"/>
    <x v="59"/>
    <x v="21"/>
    <x v="6"/>
    <x v="12"/>
    <x v="48"/>
  </r>
  <r>
    <x v="95"/>
    <x v="95"/>
    <x v="96"/>
    <x v="85"/>
    <x v="19"/>
    <x v="72"/>
    <x v="19"/>
    <x v="88"/>
    <x v="20"/>
    <x v="62"/>
    <x v="20"/>
    <x v="6"/>
    <x v="1"/>
    <x v="47"/>
  </r>
  <r>
    <x v="96"/>
    <x v="96"/>
    <x v="97"/>
    <x v="86"/>
    <x v="8"/>
    <x v="73"/>
    <x v="8"/>
    <x v="89"/>
    <x v="10"/>
    <x v="63"/>
    <x v="10"/>
    <x v="12"/>
    <x v="1"/>
    <x v="49"/>
  </r>
  <r>
    <x v="97"/>
    <x v="97"/>
    <x v="98"/>
    <x v="84"/>
    <x v="19"/>
    <x v="71"/>
    <x v="19"/>
    <x v="90"/>
    <x v="19"/>
    <x v="63"/>
    <x v="19"/>
    <x v="6"/>
    <x v="1"/>
    <x v="49"/>
  </r>
  <r>
    <x v="98"/>
    <x v="98"/>
    <x v="99"/>
    <x v="87"/>
    <x v="20"/>
    <x v="74"/>
    <x v="20"/>
    <x v="48"/>
    <x v="21"/>
    <x v="44"/>
    <x v="21"/>
    <x v="6"/>
    <x v="12"/>
    <x v="49"/>
  </r>
  <r>
    <x v="99"/>
    <x v="99"/>
    <x v="100"/>
    <x v="88"/>
    <x v="18"/>
    <x v="66"/>
    <x v="18"/>
    <x v="88"/>
    <x v="20"/>
    <x v="62"/>
    <x v="20"/>
    <x v="6"/>
    <x v="1"/>
    <x v="44"/>
  </r>
  <r>
    <x v="100"/>
    <x v="100"/>
    <x v="101"/>
    <x v="89"/>
    <x v="19"/>
    <x v="64"/>
    <x v="19"/>
    <x v="71"/>
    <x v="19"/>
    <x v="56"/>
    <x v="19"/>
    <x v="65"/>
    <x v="1"/>
    <x v="49"/>
  </r>
  <r>
    <x v="101"/>
    <x v="101"/>
    <x v="102"/>
    <x v="90"/>
    <x v="19"/>
    <x v="75"/>
    <x v="19"/>
    <x v="91"/>
    <x v="19"/>
    <x v="64"/>
    <x v="19"/>
    <x v="6"/>
    <x v="12"/>
    <x v="49"/>
  </r>
  <r>
    <x v="30"/>
    <x v="30"/>
    <x v="103"/>
    <x v="6"/>
    <x v="14"/>
    <x v="6"/>
    <x v="14"/>
    <x v="29"/>
    <x v="13"/>
    <x v="28"/>
    <x v="13"/>
    <x v="25"/>
    <x v="7"/>
    <x v="49"/>
  </r>
  <r>
    <x v="102"/>
    <x v="102"/>
    <x v="104"/>
    <x v="91"/>
    <x v="20"/>
    <x v="72"/>
    <x v="20"/>
    <x v="92"/>
    <x v="21"/>
    <x v="65"/>
    <x v="21"/>
    <x v="6"/>
    <x v="12"/>
    <x v="49"/>
  </r>
  <r>
    <x v="103"/>
    <x v="103"/>
    <x v="105"/>
    <x v="92"/>
    <x v="20"/>
    <x v="68"/>
    <x v="20"/>
    <x v="93"/>
    <x v="21"/>
    <x v="65"/>
    <x v="21"/>
    <x v="6"/>
    <x v="12"/>
    <x v="50"/>
  </r>
  <r>
    <x v="104"/>
    <x v="104"/>
    <x v="106"/>
    <x v="93"/>
    <x v="18"/>
    <x v="62"/>
    <x v="18"/>
    <x v="94"/>
    <x v="20"/>
    <x v="66"/>
    <x v="20"/>
    <x v="6"/>
    <x v="1"/>
    <x v="50"/>
  </r>
  <r>
    <x v="105"/>
    <x v="105"/>
    <x v="107"/>
    <x v="94"/>
    <x v="20"/>
    <x v="76"/>
    <x v="20"/>
    <x v="95"/>
    <x v="21"/>
    <x v="56"/>
    <x v="21"/>
    <x v="6"/>
    <x v="12"/>
    <x v="49"/>
  </r>
  <r>
    <x v="106"/>
    <x v="106"/>
    <x v="108"/>
    <x v="95"/>
    <x v="20"/>
    <x v="56"/>
    <x v="20"/>
    <x v="88"/>
    <x v="21"/>
    <x v="62"/>
    <x v="21"/>
    <x v="6"/>
    <x v="12"/>
    <x v="50"/>
  </r>
  <r>
    <x v="107"/>
    <x v="107"/>
    <x v="109"/>
    <x v="78"/>
    <x v="18"/>
    <x v="66"/>
    <x v="18"/>
    <x v="96"/>
    <x v="20"/>
    <x v="62"/>
    <x v="20"/>
    <x v="52"/>
    <x v="9"/>
    <x v="50"/>
  </r>
  <r>
    <x v="108"/>
    <x v="108"/>
    <x v="110"/>
    <x v="72"/>
    <x v="19"/>
    <x v="62"/>
    <x v="19"/>
    <x v="97"/>
    <x v="19"/>
    <x v="52"/>
    <x v="19"/>
    <x v="6"/>
    <x v="1"/>
    <x v="50"/>
  </r>
  <r>
    <x v="109"/>
    <x v="109"/>
    <x v="111"/>
    <x v="96"/>
    <x v="19"/>
    <x v="76"/>
    <x v="19"/>
    <x v="98"/>
    <x v="14"/>
    <x v="67"/>
    <x v="14"/>
    <x v="66"/>
    <x v="1"/>
    <x v="50"/>
  </r>
  <r>
    <x v="110"/>
    <x v="110"/>
    <x v="112"/>
    <x v="97"/>
    <x v="20"/>
    <x v="75"/>
    <x v="20"/>
    <x v="84"/>
    <x v="21"/>
    <x v="60"/>
    <x v="21"/>
    <x v="6"/>
    <x v="12"/>
    <x v="50"/>
  </r>
  <r>
    <x v="111"/>
    <x v="111"/>
    <x v="113"/>
    <x v="98"/>
    <x v="20"/>
    <x v="69"/>
    <x v="20"/>
    <x v="99"/>
    <x v="21"/>
    <x v="68"/>
    <x v="21"/>
    <x v="6"/>
    <x v="12"/>
    <x v="50"/>
  </r>
  <r>
    <x v="112"/>
    <x v="112"/>
    <x v="114"/>
    <x v="99"/>
    <x v="20"/>
    <x v="76"/>
    <x v="20"/>
    <x v="100"/>
    <x v="21"/>
    <x v="65"/>
    <x v="21"/>
    <x v="6"/>
    <x v="12"/>
    <x v="50"/>
  </r>
  <r>
    <x v="113"/>
    <x v="113"/>
    <x v="115"/>
    <x v="100"/>
    <x v="18"/>
    <x v="77"/>
    <x v="18"/>
    <x v="76"/>
    <x v="14"/>
    <x v="58"/>
    <x v="14"/>
    <x v="67"/>
    <x v="1"/>
    <x v="51"/>
  </r>
  <r>
    <x v="114"/>
    <x v="114"/>
    <x v="116"/>
    <x v="76"/>
    <x v="18"/>
    <x v="64"/>
    <x v="18"/>
    <x v="101"/>
    <x v="11"/>
    <x v="69"/>
    <x v="11"/>
    <x v="6"/>
    <x v="1"/>
    <x v="46"/>
  </r>
  <r>
    <x v="115"/>
    <x v="115"/>
    <x v="117"/>
    <x v="101"/>
    <x v="20"/>
    <x v="64"/>
    <x v="20"/>
    <x v="102"/>
    <x v="21"/>
    <x v="66"/>
    <x v="21"/>
    <x v="68"/>
    <x v="12"/>
    <x v="51"/>
  </r>
  <r>
    <x v="116"/>
    <x v="116"/>
    <x v="118"/>
    <x v="102"/>
    <x v="19"/>
    <x v="75"/>
    <x v="19"/>
    <x v="103"/>
    <x v="19"/>
    <x v="64"/>
    <x v="19"/>
    <x v="69"/>
    <x v="1"/>
    <x v="51"/>
  </r>
  <r>
    <x v="117"/>
    <x v="117"/>
    <x v="119"/>
    <x v="96"/>
    <x v="20"/>
    <x v="76"/>
    <x v="20"/>
    <x v="71"/>
    <x v="21"/>
    <x v="56"/>
    <x v="21"/>
    <x v="6"/>
    <x v="12"/>
    <x v="51"/>
  </r>
  <r>
    <x v="118"/>
    <x v="118"/>
    <x v="120"/>
    <x v="103"/>
    <x v="18"/>
    <x v="67"/>
    <x v="18"/>
    <x v="104"/>
    <x v="20"/>
    <x v="67"/>
    <x v="20"/>
    <x v="70"/>
    <x v="1"/>
    <x v="51"/>
  </r>
  <r>
    <x v="8"/>
    <x v="8"/>
    <x v="121"/>
    <x v="8"/>
    <x v="6"/>
    <x v="8"/>
    <x v="6"/>
    <x v="8"/>
    <x v="6"/>
    <x v="8"/>
    <x v="6"/>
    <x v="8"/>
    <x v="3"/>
    <x v="51"/>
  </r>
  <r>
    <x v="119"/>
    <x v="119"/>
    <x v="122"/>
    <x v="62"/>
    <x v="18"/>
    <x v="56"/>
    <x v="18"/>
    <x v="105"/>
    <x v="14"/>
    <x v="55"/>
    <x v="14"/>
    <x v="6"/>
    <x v="1"/>
    <x v="51"/>
  </r>
  <r>
    <x v="120"/>
    <x v="120"/>
    <x v="123"/>
    <x v="56"/>
    <x v="20"/>
    <x v="51"/>
    <x v="20"/>
    <x v="97"/>
    <x v="21"/>
    <x v="52"/>
    <x v="21"/>
    <x v="71"/>
    <x v="12"/>
    <x v="51"/>
  </r>
  <r>
    <x v="121"/>
    <x v="121"/>
    <x v="124"/>
    <x v="104"/>
    <x v="13"/>
    <x v="51"/>
    <x v="13"/>
    <x v="106"/>
    <x v="8"/>
    <x v="54"/>
    <x v="8"/>
    <x v="6"/>
    <x v="8"/>
    <x v="51"/>
  </r>
  <r>
    <x v="122"/>
    <x v="122"/>
    <x v="125"/>
    <x v="105"/>
    <x v="18"/>
    <x v="48"/>
    <x v="18"/>
    <x v="107"/>
    <x v="14"/>
    <x v="59"/>
    <x v="14"/>
    <x v="72"/>
    <x v="1"/>
    <x v="51"/>
  </r>
  <r>
    <x v="123"/>
    <x v="123"/>
    <x v="126"/>
    <x v="56"/>
    <x v="19"/>
    <x v="51"/>
    <x v="19"/>
    <x v="108"/>
    <x v="19"/>
    <x v="54"/>
    <x v="19"/>
    <x v="73"/>
    <x v="1"/>
    <x v="51"/>
  </r>
  <r>
    <x v="124"/>
    <x v="124"/>
    <x v="127"/>
    <x v="97"/>
    <x v="20"/>
    <x v="75"/>
    <x v="20"/>
    <x v="91"/>
    <x v="21"/>
    <x v="64"/>
    <x v="21"/>
    <x v="74"/>
    <x v="12"/>
    <x v="51"/>
  </r>
  <r>
    <x v="125"/>
    <x v="125"/>
    <x v="128"/>
    <x v="56"/>
    <x v="20"/>
    <x v="51"/>
    <x v="20"/>
    <x v="109"/>
    <x v="21"/>
    <x v="65"/>
    <x v="21"/>
    <x v="75"/>
    <x v="12"/>
    <x v="51"/>
  </r>
  <r>
    <x v="126"/>
    <x v="126"/>
    <x v="129"/>
    <x v="102"/>
    <x v="20"/>
    <x v="75"/>
    <x v="20"/>
    <x v="103"/>
    <x v="21"/>
    <x v="64"/>
    <x v="21"/>
    <x v="76"/>
    <x v="12"/>
    <x v="51"/>
  </r>
  <r>
    <x v="127"/>
    <x v="127"/>
    <x v="130"/>
    <x v="90"/>
    <x v="19"/>
    <x v="75"/>
    <x v="19"/>
    <x v="110"/>
    <x v="19"/>
    <x v="68"/>
    <x v="19"/>
    <x v="6"/>
    <x v="1"/>
    <x v="52"/>
  </r>
  <r>
    <x v="128"/>
    <x v="128"/>
    <x v="131"/>
    <x v="106"/>
    <x v="20"/>
    <x v="78"/>
    <x v="20"/>
    <x v="111"/>
    <x v="21"/>
    <x v="70"/>
    <x v="21"/>
    <x v="77"/>
    <x v="12"/>
    <x v="52"/>
  </r>
  <r>
    <x v="129"/>
    <x v="129"/>
    <x v="132"/>
    <x v="107"/>
    <x v="20"/>
    <x v="77"/>
    <x v="20"/>
    <x v="112"/>
    <x v="21"/>
    <x v="60"/>
    <x v="21"/>
    <x v="6"/>
    <x v="12"/>
    <x v="52"/>
  </r>
  <r>
    <x v="130"/>
    <x v="130"/>
    <x v="133"/>
    <x v="107"/>
    <x v="20"/>
    <x v="77"/>
    <x v="20"/>
    <x v="103"/>
    <x v="21"/>
    <x v="64"/>
    <x v="21"/>
    <x v="6"/>
    <x v="12"/>
    <x v="52"/>
  </r>
  <r>
    <x v="131"/>
    <x v="131"/>
    <x v="134"/>
    <x v="108"/>
    <x v="20"/>
    <x v="79"/>
    <x v="20"/>
    <x v="113"/>
    <x v="21"/>
    <x v="71"/>
    <x v="21"/>
    <x v="6"/>
    <x v="12"/>
    <x v="52"/>
  </r>
  <r>
    <x v="132"/>
    <x v="132"/>
    <x v="135"/>
    <x v="109"/>
    <x v="18"/>
    <x v="70"/>
    <x v="18"/>
    <x v="114"/>
    <x v="11"/>
    <x v="69"/>
    <x v="11"/>
    <x v="6"/>
    <x v="1"/>
    <x v="51"/>
  </r>
  <r>
    <x v="133"/>
    <x v="133"/>
    <x v="136"/>
    <x v="81"/>
    <x v="20"/>
    <x v="68"/>
    <x v="20"/>
    <x v="115"/>
    <x v="21"/>
    <x v="65"/>
    <x v="21"/>
    <x v="2"/>
    <x v="12"/>
    <x v="52"/>
  </r>
  <r>
    <x v="134"/>
    <x v="134"/>
    <x v="137"/>
    <x v="110"/>
    <x v="20"/>
    <x v="77"/>
    <x v="20"/>
    <x v="116"/>
    <x v="21"/>
    <x v="72"/>
    <x v="21"/>
    <x v="6"/>
    <x v="12"/>
    <x v="52"/>
  </r>
  <r>
    <x v="135"/>
    <x v="135"/>
    <x v="138"/>
    <x v="80"/>
    <x v="13"/>
    <x v="67"/>
    <x v="13"/>
    <x v="117"/>
    <x v="14"/>
    <x v="67"/>
    <x v="14"/>
    <x v="78"/>
    <x v="1"/>
    <x v="52"/>
  </r>
  <r>
    <x v="136"/>
    <x v="136"/>
    <x v="139"/>
    <x v="89"/>
    <x v="20"/>
    <x v="64"/>
    <x v="20"/>
    <x v="118"/>
    <x v="21"/>
    <x v="69"/>
    <x v="21"/>
    <x v="68"/>
    <x v="12"/>
    <x v="52"/>
  </r>
  <r>
    <x v="137"/>
    <x v="137"/>
    <x v="140"/>
    <x v="111"/>
    <x v="20"/>
    <x v="80"/>
    <x v="20"/>
    <x v="119"/>
    <x v="21"/>
    <x v="72"/>
    <x v="21"/>
    <x v="6"/>
    <x v="12"/>
    <x v="52"/>
  </r>
  <r>
    <x v="138"/>
    <x v="138"/>
    <x v="141"/>
    <x v="112"/>
    <x v="20"/>
    <x v="72"/>
    <x v="20"/>
    <x v="66"/>
    <x v="21"/>
    <x v="54"/>
    <x v="21"/>
    <x v="6"/>
    <x v="12"/>
    <x v="52"/>
  </r>
  <r>
    <x v="139"/>
    <x v="139"/>
    <x v="142"/>
    <x v="109"/>
    <x v="20"/>
    <x v="70"/>
    <x v="20"/>
    <x v="120"/>
    <x v="21"/>
    <x v="61"/>
    <x v="21"/>
    <x v="6"/>
    <x v="12"/>
    <x v="52"/>
  </r>
  <r>
    <x v="140"/>
    <x v="140"/>
    <x v="143"/>
    <x v="107"/>
    <x v="20"/>
    <x v="77"/>
    <x v="20"/>
    <x v="121"/>
    <x v="21"/>
    <x v="64"/>
    <x v="21"/>
    <x v="69"/>
    <x v="12"/>
    <x v="52"/>
  </r>
  <r>
    <x v="141"/>
    <x v="141"/>
    <x v="144"/>
    <x v="113"/>
    <x v="20"/>
    <x v="79"/>
    <x v="20"/>
    <x v="122"/>
    <x v="21"/>
    <x v="70"/>
    <x v="21"/>
    <x v="79"/>
    <x v="12"/>
    <x v="52"/>
  </r>
  <r>
    <x v="142"/>
    <x v="142"/>
    <x v="145"/>
    <x v="76"/>
    <x v="19"/>
    <x v="64"/>
    <x v="19"/>
    <x v="67"/>
    <x v="19"/>
    <x v="55"/>
    <x v="19"/>
    <x v="6"/>
    <x v="1"/>
    <x v="52"/>
  </r>
  <r>
    <x v="143"/>
    <x v="143"/>
    <x v="146"/>
    <x v="100"/>
    <x v="18"/>
    <x v="77"/>
    <x v="18"/>
    <x v="116"/>
    <x v="20"/>
    <x v="72"/>
    <x v="20"/>
    <x v="6"/>
    <x v="12"/>
    <x v="52"/>
  </r>
  <r>
    <x v="144"/>
    <x v="144"/>
    <x v="147"/>
    <x v="109"/>
    <x v="20"/>
    <x v="70"/>
    <x v="20"/>
    <x v="123"/>
    <x v="21"/>
    <x v="61"/>
    <x v="21"/>
    <x v="80"/>
    <x v="12"/>
    <x v="52"/>
  </r>
  <r>
    <x v="145"/>
    <x v="145"/>
    <x v="148"/>
    <x v="89"/>
    <x v="20"/>
    <x v="64"/>
    <x v="20"/>
    <x v="124"/>
    <x v="21"/>
    <x v="69"/>
    <x v="21"/>
    <x v="6"/>
    <x v="12"/>
    <x v="52"/>
  </r>
  <r>
    <x v="146"/>
    <x v="146"/>
    <x v="149"/>
    <x v="114"/>
    <x v="18"/>
    <x v="64"/>
    <x v="18"/>
    <x v="102"/>
    <x v="14"/>
    <x v="66"/>
    <x v="14"/>
    <x v="81"/>
    <x v="1"/>
    <x v="52"/>
  </r>
  <r>
    <x v="147"/>
    <x v="147"/>
    <x v="150"/>
    <x v="115"/>
    <x v="20"/>
    <x v="78"/>
    <x v="20"/>
    <x v="125"/>
    <x v="21"/>
    <x v="72"/>
    <x v="21"/>
    <x v="82"/>
    <x v="12"/>
    <x v="53"/>
  </r>
  <r>
    <x v="129"/>
    <x v="129"/>
    <x v="151"/>
    <x v="107"/>
    <x v="20"/>
    <x v="77"/>
    <x v="20"/>
    <x v="112"/>
    <x v="21"/>
    <x v="60"/>
    <x v="21"/>
    <x v="6"/>
    <x v="12"/>
    <x v="53"/>
  </r>
  <r>
    <x v="148"/>
    <x v="148"/>
    <x v="152"/>
    <x v="90"/>
    <x v="19"/>
    <x v="75"/>
    <x v="19"/>
    <x v="126"/>
    <x v="19"/>
    <x v="64"/>
    <x v="19"/>
    <x v="83"/>
    <x v="12"/>
    <x v="53"/>
  </r>
  <r>
    <x v="149"/>
    <x v="149"/>
    <x v="153"/>
    <x v="108"/>
    <x v="20"/>
    <x v="79"/>
    <x v="20"/>
    <x v="122"/>
    <x v="21"/>
    <x v="70"/>
    <x v="21"/>
    <x v="84"/>
    <x v="12"/>
    <x v="53"/>
  </r>
  <r>
    <x v="150"/>
    <x v="150"/>
    <x v="154"/>
    <x v="116"/>
    <x v="20"/>
    <x v="81"/>
    <x v="20"/>
    <x v="127"/>
    <x v="21"/>
    <x v="70"/>
    <x v="21"/>
    <x v="6"/>
    <x v="12"/>
    <x v="53"/>
  </r>
  <r>
    <x v="151"/>
    <x v="151"/>
    <x v="155"/>
    <x v="117"/>
    <x v="19"/>
    <x v="69"/>
    <x v="19"/>
    <x v="84"/>
    <x v="19"/>
    <x v="60"/>
    <x v="19"/>
    <x v="6"/>
    <x v="1"/>
    <x v="53"/>
  </r>
  <r>
    <x v="152"/>
    <x v="152"/>
    <x v="156"/>
    <x v="90"/>
    <x v="20"/>
    <x v="75"/>
    <x v="20"/>
    <x v="128"/>
    <x v="21"/>
    <x v="60"/>
    <x v="21"/>
    <x v="6"/>
    <x v="12"/>
    <x v="53"/>
  </r>
  <r>
    <x v="153"/>
    <x v="153"/>
    <x v="157"/>
    <x v="118"/>
    <x v="19"/>
    <x v="79"/>
    <x v="19"/>
    <x v="122"/>
    <x v="19"/>
    <x v="70"/>
    <x v="19"/>
    <x v="85"/>
    <x v="12"/>
    <x v="53"/>
  </r>
  <r>
    <x v="154"/>
    <x v="154"/>
    <x v="158"/>
    <x v="119"/>
    <x v="20"/>
    <x v="78"/>
    <x v="20"/>
    <x v="129"/>
    <x v="21"/>
    <x v="70"/>
    <x v="21"/>
    <x v="6"/>
    <x v="12"/>
    <x v="53"/>
  </r>
  <r>
    <x v="155"/>
    <x v="155"/>
    <x v="159"/>
    <x v="120"/>
    <x v="20"/>
    <x v="79"/>
    <x v="20"/>
    <x v="130"/>
    <x v="21"/>
    <x v="73"/>
    <x v="21"/>
    <x v="86"/>
    <x v="12"/>
    <x v="53"/>
  </r>
  <r>
    <x v="156"/>
    <x v="156"/>
    <x v="160"/>
    <x v="118"/>
    <x v="20"/>
    <x v="79"/>
    <x v="20"/>
    <x v="127"/>
    <x v="21"/>
    <x v="70"/>
    <x v="21"/>
    <x v="6"/>
    <x v="12"/>
    <x v="53"/>
  </r>
  <r>
    <x v="157"/>
    <x v="157"/>
    <x v="161"/>
    <x v="121"/>
    <x v="20"/>
    <x v="81"/>
    <x v="20"/>
    <x v="131"/>
    <x v="21"/>
    <x v="71"/>
    <x v="21"/>
    <x v="6"/>
    <x v="12"/>
    <x v="53"/>
  </r>
  <r>
    <x v="158"/>
    <x v="158"/>
    <x v="162"/>
    <x v="122"/>
    <x v="20"/>
    <x v="78"/>
    <x v="20"/>
    <x v="132"/>
    <x v="21"/>
    <x v="73"/>
    <x v="21"/>
    <x v="87"/>
    <x v="12"/>
    <x v="53"/>
  </r>
  <r>
    <x v="159"/>
    <x v="159"/>
    <x v="163"/>
    <x v="108"/>
    <x v="20"/>
    <x v="79"/>
    <x v="20"/>
    <x v="133"/>
    <x v="21"/>
    <x v="70"/>
    <x v="21"/>
    <x v="6"/>
    <x v="12"/>
    <x v="53"/>
  </r>
  <r>
    <x v="160"/>
    <x v="160"/>
    <x v="164"/>
    <x v="123"/>
    <x v="20"/>
    <x v="82"/>
    <x v="20"/>
    <x v="134"/>
    <x v="21"/>
    <x v="58"/>
    <x v="21"/>
    <x v="6"/>
    <x v="12"/>
    <x v="53"/>
  </r>
  <r>
    <x v="9"/>
    <x v="161"/>
    <x v="165"/>
    <x v="33"/>
    <x v="4"/>
    <x v="83"/>
    <x v="21"/>
    <x v="135"/>
    <x v="22"/>
    <x v="74"/>
    <x v="22"/>
    <x v="37"/>
    <x v="1"/>
    <x v="41"/>
  </r>
  <r>
    <x v="0"/>
    <x v="162"/>
    <x v="166"/>
    <x v="65"/>
    <x v="12"/>
    <x v="84"/>
    <x v="22"/>
    <x v="39"/>
    <x v="5"/>
    <x v="75"/>
    <x v="23"/>
    <x v="6"/>
    <x v="1"/>
    <x v="43"/>
  </r>
  <r>
    <x v="21"/>
    <x v="21"/>
    <x v="167"/>
    <x v="104"/>
    <x v="18"/>
    <x v="85"/>
    <x v="23"/>
    <x v="136"/>
    <x v="20"/>
    <x v="76"/>
    <x v="24"/>
    <x v="6"/>
    <x v="1"/>
    <x v="49"/>
  </r>
  <r>
    <x v="7"/>
    <x v="7"/>
    <x v="168"/>
    <x v="124"/>
    <x v="13"/>
    <x v="86"/>
    <x v="24"/>
    <x v="137"/>
    <x v="14"/>
    <x v="77"/>
    <x v="25"/>
    <x v="6"/>
    <x v="1"/>
    <x v="50"/>
  </r>
  <r>
    <x v="93"/>
    <x v="93"/>
    <x v="169"/>
    <x v="109"/>
    <x v="19"/>
    <x v="87"/>
    <x v="25"/>
    <x v="124"/>
    <x v="19"/>
    <x v="78"/>
    <x v="26"/>
    <x v="6"/>
    <x v="12"/>
    <x v="50"/>
  </r>
  <r>
    <x v="17"/>
    <x v="163"/>
    <x v="170"/>
    <x v="125"/>
    <x v="19"/>
    <x v="88"/>
    <x v="25"/>
    <x v="138"/>
    <x v="19"/>
    <x v="79"/>
    <x v="26"/>
    <x v="6"/>
    <x v="1"/>
    <x v="51"/>
  </r>
  <r>
    <x v="45"/>
    <x v="45"/>
    <x v="171"/>
    <x v="70"/>
    <x v="8"/>
    <x v="89"/>
    <x v="26"/>
    <x v="139"/>
    <x v="8"/>
    <x v="80"/>
    <x v="27"/>
    <x v="6"/>
    <x v="1"/>
    <x v="51"/>
  </r>
  <r>
    <x v="68"/>
    <x v="68"/>
    <x v="172"/>
    <x v="109"/>
    <x v="19"/>
    <x v="87"/>
    <x v="25"/>
    <x v="140"/>
    <x v="19"/>
    <x v="81"/>
    <x v="26"/>
    <x v="57"/>
    <x v="12"/>
    <x v="51"/>
  </r>
  <r>
    <x v="142"/>
    <x v="164"/>
    <x v="145"/>
    <x v="107"/>
    <x v="20"/>
    <x v="90"/>
    <x v="20"/>
    <x v="128"/>
    <x v="21"/>
    <x v="82"/>
    <x v="21"/>
    <x v="88"/>
    <x v="12"/>
    <x v="52"/>
  </r>
  <r>
    <x v="144"/>
    <x v="144"/>
    <x v="173"/>
    <x v="97"/>
    <x v="19"/>
    <x v="91"/>
    <x v="25"/>
    <x v="141"/>
    <x v="19"/>
    <x v="83"/>
    <x v="26"/>
    <x v="89"/>
    <x v="12"/>
    <x v="52"/>
  </r>
  <r>
    <x v="80"/>
    <x v="80"/>
    <x v="81"/>
    <x v="101"/>
    <x v="20"/>
    <x v="92"/>
    <x v="20"/>
    <x v="142"/>
    <x v="21"/>
    <x v="84"/>
    <x v="21"/>
    <x v="6"/>
    <x v="12"/>
    <x v="52"/>
  </r>
  <r>
    <x v="127"/>
    <x v="127"/>
    <x v="130"/>
    <x v="126"/>
    <x v="19"/>
    <x v="38"/>
    <x v="25"/>
    <x v="143"/>
    <x v="20"/>
    <x v="85"/>
    <x v="24"/>
    <x v="6"/>
    <x v="1"/>
    <x v="53"/>
  </r>
  <r>
    <x v="16"/>
    <x v="165"/>
    <x v="16"/>
    <x v="97"/>
    <x v="20"/>
    <x v="91"/>
    <x v="20"/>
    <x v="126"/>
    <x v="21"/>
    <x v="86"/>
    <x v="21"/>
    <x v="6"/>
    <x v="12"/>
    <x v="53"/>
  </r>
  <r>
    <x v="48"/>
    <x v="166"/>
    <x v="48"/>
    <x v="108"/>
    <x v="20"/>
    <x v="49"/>
    <x v="20"/>
    <x v="144"/>
    <x v="21"/>
    <x v="87"/>
    <x v="21"/>
    <x v="6"/>
    <x v="12"/>
    <x v="53"/>
  </r>
  <r>
    <x v="53"/>
    <x v="53"/>
    <x v="53"/>
    <x v="121"/>
    <x v="20"/>
    <x v="71"/>
    <x v="20"/>
    <x v="143"/>
    <x v="21"/>
    <x v="85"/>
    <x v="21"/>
    <x v="6"/>
    <x v="12"/>
    <x v="53"/>
  </r>
  <r>
    <x v="103"/>
    <x v="167"/>
    <x v="105"/>
    <x v="127"/>
    <x v="20"/>
    <x v="61"/>
    <x v="20"/>
    <x v="145"/>
    <x v="21"/>
    <x v="52"/>
    <x v="21"/>
    <x v="6"/>
    <x v="12"/>
    <x v="53"/>
  </r>
  <r>
    <x v="65"/>
    <x v="65"/>
    <x v="174"/>
    <x v="90"/>
    <x v="19"/>
    <x v="93"/>
    <x v="25"/>
    <x v="103"/>
    <x v="19"/>
    <x v="88"/>
    <x v="26"/>
    <x v="6"/>
    <x v="12"/>
    <x v="53"/>
  </r>
  <r>
    <x v="136"/>
    <x v="168"/>
    <x v="139"/>
    <x v="120"/>
    <x v="20"/>
    <x v="14"/>
    <x v="20"/>
    <x v="133"/>
    <x v="21"/>
    <x v="89"/>
    <x v="21"/>
    <x v="6"/>
    <x v="12"/>
    <x v="53"/>
  </r>
  <r>
    <x v="23"/>
    <x v="23"/>
    <x v="175"/>
    <x v="110"/>
    <x v="20"/>
    <x v="94"/>
    <x v="20"/>
    <x v="125"/>
    <x v="21"/>
    <x v="90"/>
    <x v="21"/>
    <x v="90"/>
    <x v="12"/>
    <x v="53"/>
  </r>
  <r>
    <x v="27"/>
    <x v="27"/>
    <x v="176"/>
    <x v="128"/>
    <x v="8"/>
    <x v="95"/>
    <x v="26"/>
    <x v="146"/>
    <x v="8"/>
    <x v="91"/>
    <x v="27"/>
    <x v="6"/>
    <x v="1"/>
    <x v="53"/>
  </r>
  <r>
    <x v="69"/>
    <x v="69"/>
    <x v="69"/>
    <x v="82"/>
    <x v="20"/>
    <x v="96"/>
    <x v="20"/>
    <x v="121"/>
    <x v="21"/>
    <x v="92"/>
    <x v="21"/>
    <x v="6"/>
    <x v="12"/>
    <x v="53"/>
  </r>
  <r>
    <x v="3"/>
    <x v="169"/>
    <x v="177"/>
    <x v="110"/>
    <x v="13"/>
    <x v="94"/>
    <x v="24"/>
    <x v="147"/>
    <x v="8"/>
    <x v="93"/>
    <x v="27"/>
    <x v="6"/>
    <x v="1"/>
    <x v="53"/>
  </r>
  <r>
    <x v="140"/>
    <x v="140"/>
    <x v="143"/>
    <x v="106"/>
    <x v="20"/>
    <x v="97"/>
    <x v="20"/>
    <x v="148"/>
    <x v="21"/>
    <x v="94"/>
    <x v="21"/>
    <x v="6"/>
    <x v="12"/>
    <x v="53"/>
  </r>
  <r>
    <x v="161"/>
    <x v="170"/>
    <x v="178"/>
    <x v="118"/>
    <x v="20"/>
    <x v="32"/>
    <x v="20"/>
    <x v="111"/>
    <x v="21"/>
    <x v="95"/>
    <x v="21"/>
    <x v="76"/>
    <x v="12"/>
    <x v="53"/>
  </r>
  <r>
    <x v="125"/>
    <x v="125"/>
    <x v="179"/>
    <x v="115"/>
    <x v="19"/>
    <x v="98"/>
    <x v="25"/>
    <x v="149"/>
    <x v="19"/>
    <x v="17"/>
    <x v="26"/>
    <x v="80"/>
    <x v="12"/>
    <x v="53"/>
  </r>
  <r>
    <x v="112"/>
    <x v="112"/>
    <x v="114"/>
    <x v="126"/>
    <x v="20"/>
    <x v="38"/>
    <x v="20"/>
    <x v="144"/>
    <x v="21"/>
    <x v="87"/>
    <x v="21"/>
    <x v="6"/>
    <x v="12"/>
    <x v="53"/>
  </r>
  <r>
    <x v="162"/>
    <x v="171"/>
    <x v="180"/>
    <x v="129"/>
    <x v="21"/>
    <x v="99"/>
    <x v="27"/>
    <x v="150"/>
    <x v="23"/>
    <x v="96"/>
    <x v="28"/>
    <x v="91"/>
    <x v="16"/>
    <x v="54"/>
  </r>
</pivotCacheRecords>
</file>

<file path=xl/pivotCache/pivotCacheRecords43.xml><?xml version="1.0" encoding="utf-8"?>
<pivotCacheRecords xmlns="http://schemas.openxmlformats.org/spreadsheetml/2006/main" xmlns:r="http://schemas.openxmlformats.org/officeDocument/2006/relationships" count="181">
  <r>
    <x v="0"/>
    <x v="0"/>
    <x v="0"/>
    <x v="0"/>
    <x v="0"/>
    <x v="0"/>
    <x v="0"/>
    <x v="0"/>
    <x v="0"/>
    <x v="0"/>
    <x v="0"/>
    <x v="0"/>
    <x v="0"/>
    <x v="0"/>
    <x v="0"/>
    <x v="0"/>
    <x v="0"/>
  </r>
  <r>
    <x v="1"/>
    <x v="1"/>
    <x v="1"/>
    <x v="1"/>
    <x v="1"/>
    <x v="1"/>
    <x v="1"/>
    <x v="1"/>
    <x v="1"/>
    <x v="1"/>
    <x v="1"/>
    <x v="1"/>
    <x v="1"/>
    <x v="1"/>
    <x v="1"/>
    <x v="1"/>
    <x v="1"/>
  </r>
  <r>
    <x v="0"/>
    <x v="0"/>
    <x v="2"/>
    <x v="2"/>
    <x v="2"/>
    <x v="2"/>
    <x v="2"/>
    <x v="2"/>
    <x v="2"/>
    <x v="2"/>
    <x v="2"/>
    <x v="2"/>
    <x v="2"/>
    <x v="0"/>
    <x v="1"/>
    <x v="0"/>
    <x v="1"/>
  </r>
  <r>
    <x v="2"/>
    <x v="2"/>
    <x v="3"/>
    <x v="3"/>
    <x v="3"/>
    <x v="3"/>
    <x v="3"/>
    <x v="3"/>
    <x v="3"/>
    <x v="3"/>
    <x v="3"/>
    <x v="3"/>
    <x v="3"/>
    <x v="2"/>
    <x v="2"/>
    <x v="2"/>
    <x v="2"/>
  </r>
  <r>
    <x v="3"/>
    <x v="3"/>
    <x v="4"/>
    <x v="4"/>
    <x v="4"/>
    <x v="4"/>
    <x v="4"/>
    <x v="4"/>
    <x v="4"/>
    <x v="4"/>
    <x v="4"/>
    <x v="4"/>
    <x v="4"/>
    <x v="2"/>
    <x v="0"/>
    <x v="2"/>
    <x v="0"/>
  </r>
  <r>
    <x v="2"/>
    <x v="2"/>
    <x v="5"/>
    <x v="5"/>
    <x v="5"/>
    <x v="5"/>
    <x v="5"/>
    <x v="0"/>
    <x v="5"/>
    <x v="5"/>
    <x v="0"/>
    <x v="0"/>
    <x v="5"/>
    <x v="0"/>
    <x v="0"/>
    <x v="0"/>
    <x v="0"/>
  </r>
  <r>
    <x v="2"/>
    <x v="2"/>
    <x v="6"/>
    <x v="6"/>
    <x v="6"/>
    <x v="6"/>
    <x v="6"/>
    <x v="1"/>
    <x v="1"/>
    <x v="1"/>
    <x v="1"/>
    <x v="1"/>
    <x v="1"/>
    <x v="1"/>
    <x v="1"/>
    <x v="1"/>
    <x v="1"/>
  </r>
  <r>
    <x v="4"/>
    <x v="4"/>
    <x v="7"/>
    <x v="7"/>
    <x v="7"/>
    <x v="7"/>
    <x v="7"/>
    <x v="4"/>
    <x v="6"/>
    <x v="6"/>
    <x v="4"/>
    <x v="4"/>
    <x v="6"/>
    <x v="1"/>
    <x v="2"/>
    <x v="1"/>
    <x v="2"/>
  </r>
  <r>
    <x v="0"/>
    <x v="0"/>
    <x v="8"/>
    <x v="8"/>
    <x v="8"/>
    <x v="8"/>
    <x v="8"/>
    <x v="5"/>
    <x v="7"/>
    <x v="7"/>
    <x v="5"/>
    <x v="5"/>
    <x v="7"/>
    <x v="3"/>
    <x v="3"/>
    <x v="3"/>
    <x v="3"/>
  </r>
  <r>
    <x v="5"/>
    <x v="5"/>
    <x v="9"/>
    <x v="9"/>
    <x v="9"/>
    <x v="9"/>
    <x v="9"/>
    <x v="6"/>
    <x v="8"/>
    <x v="8"/>
    <x v="6"/>
    <x v="6"/>
    <x v="8"/>
    <x v="4"/>
    <x v="3"/>
    <x v="4"/>
    <x v="3"/>
  </r>
  <r>
    <x v="6"/>
    <x v="6"/>
    <x v="10"/>
    <x v="10"/>
    <x v="10"/>
    <x v="10"/>
    <x v="10"/>
    <x v="1"/>
    <x v="1"/>
    <x v="1"/>
    <x v="1"/>
    <x v="1"/>
    <x v="1"/>
    <x v="1"/>
    <x v="1"/>
    <x v="1"/>
    <x v="1"/>
  </r>
  <r>
    <x v="7"/>
    <x v="7"/>
    <x v="11"/>
    <x v="11"/>
    <x v="11"/>
    <x v="11"/>
    <x v="11"/>
    <x v="1"/>
    <x v="1"/>
    <x v="1"/>
    <x v="1"/>
    <x v="1"/>
    <x v="1"/>
    <x v="1"/>
    <x v="1"/>
    <x v="1"/>
    <x v="1"/>
  </r>
  <r>
    <x v="8"/>
    <x v="8"/>
    <x v="12"/>
    <x v="12"/>
    <x v="12"/>
    <x v="12"/>
    <x v="12"/>
    <x v="1"/>
    <x v="1"/>
    <x v="9"/>
    <x v="1"/>
    <x v="1"/>
    <x v="9"/>
    <x v="1"/>
    <x v="1"/>
    <x v="1"/>
    <x v="1"/>
  </r>
  <r>
    <x v="4"/>
    <x v="4"/>
    <x v="13"/>
    <x v="13"/>
    <x v="13"/>
    <x v="13"/>
    <x v="13"/>
    <x v="7"/>
    <x v="9"/>
    <x v="10"/>
    <x v="7"/>
    <x v="7"/>
    <x v="10"/>
    <x v="2"/>
    <x v="4"/>
    <x v="2"/>
    <x v="4"/>
  </r>
  <r>
    <x v="9"/>
    <x v="9"/>
    <x v="14"/>
    <x v="14"/>
    <x v="14"/>
    <x v="14"/>
    <x v="14"/>
    <x v="1"/>
    <x v="1"/>
    <x v="1"/>
    <x v="1"/>
    <x v="1"/>
    <x v="1"/>
    <x v="1"/>
    <x v="1"/>
    <x v="1"/>
    <x v="1"/>
  </r>
  <r>
    <x v="10"/>
    <x v="10"/>
    <x v="15"/>
    <x v="15"/>
    <x v="15"/>
    <x v="15"/>
    <x v="15"/>
    <x v="4"/>
    <x v="10"/>
    <x v="11"/>
    <x v="4"/>
    <x v="4"/>
    <x v="11"/>
    <x v="0"/>
    <x v="4"/>
    <x v="0"/>
    <x v="4"/>
  </r>
  <r>
    <x v="11"/>
    <x v="11"/>
    <x v="16"/>
    <x v="1"/>
    <x v="16"/>
    <x v="16"/>
    <x v="16"/>
    <x v="1"/>
    <x v="1"/>
    <x v="1"/>
    <x v="1"/>
    <x v="1"/>
    <x v="1"/>
    <x v="1"/>
    <x v="1"/>
    <x v="1"/>
    <x v="1"/>
  </r>
  <r>
    <x v="11"/>
    <x v="11"/>
    <x v="17"/>
    <x v="16"/>
    <x v="1"/>
    <x v="17"/>
    <x v="17"/>
    <x v="1"/>
    <x v="1"/>
    <x v="1"/>
    <x v="1"/>
    <x v="1"/>
    <x v="1"/>
    <x v="1"/>
    <x v="1"/>
    <x v="1"/>
    <x v="1"/>
  </r>
  <r>
    <x v="12"/>
    <x v="12"/>
    <x v="18"/>
    <x v="14"/>
    <x v="17"/>
    <x v="17"/>
    <x v="18"/>
    <x v="2"/>
    <x v="11"/>
    <x v="12"/>
    <x v="2"/>
    <x v="2"/>
    <x v="12"/>
    <x v="1"/>
    <x v="0"/>
    <x v="1"/>
    <x v="0"/>
  </r>
  <r>
    <x v="5"/>
    <x v="5"/>
    <x v="19"/>
    <x v="6"/>
    <x v="18"/>
    <x v="18"/>
    <x v="19"/>
    <x v="2"/>
    <x v="12"/>
    <x v="13"/>
    <x v="2"/>
    <x v="2"/>
    <x v="13"/>
    <x v="1"/>
    <x v="0"/>
    <x v="1"/>
    <x v="0"/>
  </r>
  <r>
    <x v="13"/>
    <x v="13"/>
    <x v="20"/>
    <x v="17"/>
    <x v="19"/>
    <x v="19"/>
    <x v="20"/>
    <x v="8"/>
    <x v="13"/>
    <x v="14"/>
    <x v="5"/>
    <x v="5"/>
    <x v="12"/>
    <x v="2"/>
    <x v="5"/>
    <x v="5"/>
    <x v="5"/>
  </r>
  <r>
    <x v="14"/>
    <x v="14"/>
    <x v="21"/>
    <x v="18"/>
    <x v="20"/>
    <x v="20"/>
    <x v="21"/>
    <x v="9"/>
    <x v="14"/>
    <x v="15"/>
    <x v="8"/>
    <x v="8"/>
    <x v="14"/>
    <x v="4"/>
    <x v="0"/>
    <x v="4"/>
    <x v="0"/>
  </r>
  <r>
    <x v="15"/>
    <x v="15"/>
    <x v="22"/>
    <x v="19"/>
    <x v="21"/>
    <x v="21"/>
    <x v="22"/>
    <x v="1"/>
    <x v="1"/>
    <x v="1"/>
    <x v="1"/>
    <x v="1"/>
    <x v="1"/>
    <x v="1"/>
    <x v="1"/>
    <x v="1"/>
    <x v="1"/>
  </r>
  <r>
    <x v="15"/>
    <x v="15"/>
    <x v="23"/>
    <x v="6"/>
    <x v="22"/>
    <x v="22"/>
    <x v="23"/>
    <x v="1"/>
    <x v="1"/>
    <x v="1"/>
    <x v="1"/>
    <x v="1"/>
    <x v="1"/>
    <x v="1"/>
    <x v="1"/>
    <x v="1"/>
    <x v="1"/>
  </r>
  <r>
    <x v="16"/>
    <x v="16"/>
    <x v="24"/>
    <x v="16"/>
    <x v="23"/>
    <x v="23"/>
    <x v="24"/>
    <x v="1"/>
    <x v="1"/>
    <x v="1"/>
    <x v="1"/>
    <x v="1"/>
    <x v="1"/>
    <x v="1"/>
    <x v="1"/>
    <x v="1"/>
    <x v="1"/>
  </r>
  <r>
    <x v="17"/>
    <x v="17"/>
    <x v="25"/>
    <x v="19"/>
    <x v="24"/>
    <x v="24"/>
    <x v="25"/>
    <x v="1"/>
    <x v="1"/>
    <x v="1"/>
    <x v="1"/>
    <x v="1"/>
    <x v="1"/>
    <x v="1"/>
    <x v="1"/>
    <x v="1"/>
    <x v="1"/>
  </r>
  <r>
    <x v="18"/>
    <x v="18"/>
    <x v="26"/>
    <x v="14"/>
    <x v="25"/>
    <x v="25"/>
    <x v="26"/>
    <x v="2"/>
    <x v="15"/>
    <x v="16"/>
    <x v="2"/>
    <x v="2"/>
    <x v="12"/>
    <x v="0"/>
    <x v="1"/>
    <x v="0"/>
    <x v="1"/>
  </r>
  <r>
    <x v="19"/>
    <x v="19"/>
    <x v="27"/>
    <x v="6"/>
    <x v="26"/>
    <x v="26"/>
    <x v="0"/>
    <x v="1"/>
    <x v="1"/>
    <x v="1"/>
    <x v="1"/>
    <x v="1"/>
    <x v="1"/>
    <x v="1"/>
    <x v="1"/>
    <x v="1"/>
    <x v="1"/>
  </r>
  <r>
    <x v="20"/>
    <x v="20"/>
    <x v="28"/>
    <x v="11"/>
    <x v="27"/>
    <x v="27"/>
    <x v="27"/>
    <x v="1"/>
    <x v="1"/>
    <x v="1"/>
    <x v="1"/>
    <x v="1"/>
    <x v="1"/>
    <x v="1"/>
    <x v="1"/>
    <x v="1"/>
    <x v="1"/>
  </r>
  <r>
    <x v="21"/>
    <x v="21"/>
    <x v="29"/>
    <x v="16"/>
    <x v="28"/>
    <x v="22"/>
    <x v="28"/>
    <x v="1"/>
    <x v="1"/>
    <x v="1"/>
    <x v="1"/>
    <x v="1"/>
    <x v="1"/>
    <x v="1"/>
    <x v="1"/>
    <x v="1"/>
    <x v="1"/>
  </r>
  <r>
    <x v="22"/>
    <x v="22"/>
    <x v="30"/>
    <x v="20"/>
    <x v="29"/>
    <x v="28"/>
    <x v="29"/>
    <x v="10"/>
    <x v="16"/>
    <x v="17"/>
    <x v="8"/>
    <x v="9"/>
    <x v="15"/>
    <x v="2"/>
    <x v="6"/>
    <x v="2"/>
    <x v="6"/>
  </r>
  <r>
    <x v="23"/>
    <x v="23"/>
    <x v="31"/>
    <x v="11"/>
    <x v="30"/>
    <x v="29"/>
    <x v="30"/>
    <x v="2"/>
    <x v="17"/>
    <x v="18"/>
    <x v="2"/>
    <x v="2"/>
    <x v="16"/>
    <x v="0"/>
    <x v="1"/>
    <x v="0"/>
    <x v="1"/>
  </r>
  <r>
    <x v="24"/>
    <x v="24"/>
    <x v="32"/>
    <x v="14"/>
    <x v="31"/>
    <x v="30"/>
    <x v="31"/>
    <x v="2"/>
    <x v="18"/>
    <x v="19"/>
    <x v="2"/>
    <x v="2"/>
    <x v="12"/>
    <x v="1"/>
    <x v="0"/>
    <x v="1"/>
    <x v="0"/>
  </r>
  <r>
    <x v="25"/>
    <x v="25"/>
    <x v="33"/>
    <x v="21"/>
    <x v="32"/>
    <x v="31"/>
    <x v="32"/>
    <x v="1"/>
    <x v="1"/>
    <x v="1"/>
    <x v="1"/>
    <x v="1"/>
    <x v="1"/>
    <x v="1"/>
    <x v="1"/>
    <x v="1"/>
    <x v="1"/>
  </r>
  <r>
    <x v="25"/>
    <x v="25"/>
    <x v="34"/>
    <x v="22"/>
    <x v="33"/>
    <x v="32"/>
    <x v="33"/>
    <x v="2"/>
    <x v="19"/>
    <x v="20"/>
    <x v="2"/>
    <x v="2"/>
    <x v="17"/>
    <x v="0"/>
    <x v="1"/>
    <x v="0"/>
    <x v="1"/>
  </r>
  <r>
    <x v="26"/>
    <x v="26"/>
    <x v="35"/>
    <x v="1"/>
    <x v="34"/>
    <x v="33"/>
    <x v="34"/>
    <x v="2"/>
    <x v="20"/>
    <x v="21"/>
    <x v="2"/>
    <x v="2"/>
    <x v="18"/>
    <x v="1"/>
    <x v="0"/>
    <x v="1"/>
    <x v="0"/>
  </r>
  <r>
    <x v="27"/>
    <x v="27"/>
    <x v="36"/>
    <x v="19"/>
    <x v="35"/>
    <x v="34"/>
    <x v="35"/>
    <x v="1"/>
    <x v="1"/>
    <x v="1"/>
    <x v="1"/>
    <x v="1"/>
    <x v="1"/>
    <x v="1"/>
    <x v="1"/>
    <x v="1"/>
    <x v="1"/>
  </r>
  <r>
    <x v="28"/>
    <x v="28"/>
    <x v="37"/>
    <x v="23"/>
    <x v="36"/>
    <x v="35"/>
    <x v="36"/>
    <x v="11"/>
    <x v="21"/>
    <x v="22"/>
    <x v="9"/>
    <x v="10"/>
    <x v="19"/>
    <x v="5"/>
    <x v="2"/>
    <x v="6"/>
    <x v="2"/>
  </r>
  <r>
    <x v="29"/>
    <x v="29"/>
    <x v="38"/>
    <x v="12"/>
    <x v="37"/>
    <x v="12"/>
    <x v="12"/>
    <x v="1"/>
    <x v="1"/>
    <x v="9"/>
    <x v="1"/>
    <x v="1"/>
    <x v="9"/>
    <x v="1"/>
    <x v="1"/>
    <x v="1"/>
    <x v="1"/>
  </r>
  <r>
    <x v="28"/>
    <x v="28"/>
    <x v="39"/>
    <x v="24"/>
    <x v="38"/>
    <x v="36"/>
    <x v="37"/>
    <x v="12"/>
    <x v="22"/>
    <x v="23"/>
    <x v="10"/>
    <x v="11"/>
    <x v="20"/>
    <x v="6"/>
    <x v="1"/>
    <x v="7"/>
    <x v="1"/>
  </r>
  <r>
    <x v="30"/>
    <x v="30"/>
    <x v="40"/>
    <x v="6"/>
    <x v="39"/>
    <x v="37"/>
    <x v="38"/>
    <x v="1"/>
    <x v="1"/>
    <x v="1"/>
    <x v="1"/>
    <x v="1"/>
    <x v="1"/>
    <x v="1"/>
    <x v="1"/>
    <x v="1"/>
    <x v="1"/>
  </r>
  <r>
    <x v="31"/>
    <x v="31"/>
    <x v="41"/>
    <x v="16"/>
    <x v="40"/>
    <x v="38"/>
    <x v="39"/>
    <x v="1"/>
    <x v="1"/>
    <x v="1"/>
    <x v="1"/>
    <x v="1"/>
    <x v="1"/>
    <x v="1"/>
    <x v="1"/>
    <x v="1"/>
    <x v="1"/>
  </r>
  <r>
    <x v="32"/>
    <x v="32"/>
    <x v="42"/>
    <x v="19"/>
    <x v="41"/>
    <x v="39"/>
    <x v="40"/>
    <x v="2"/>
    <x v="23"/>
    <x v="24"/>
    <x v="2"/>
    <x v="2"/>
    <x v="6"/>
    <x v="0"/>
    <x v="1"/>
    <x v="0"/>
    <x v="1"/>
  </r>
  <r>
    <x v="33"/>
    <x v="33"/>
    <x v="43"/>
    <x v="19"/>
    <x v="42"/>
    <x v="40"/>
    <x v="41"/>
    <x v="1"/>
    <x v="1"/>
    <x v="1"/>
    <x v="1"/>
    <x v="1"/>
    <x v="1"/>
    <x v="1"/>
    <x v="1"/>
    <x v="1"/>
    <x v="1"/>
  </r>
  <r>
    <x v="34"/>
    <x v="34"/>
    <x v="44"/>
    <x v="1"/>
    <x v="43"/>
    <x v="41"/>
    <x v="42"/>
    <x v="1"/>
    <x v="1"/>
    <x v="1"/>
    <x v="1"/>
    <x v="1"/>
    <x v="1"/>
    <x v="1"/>
    <x v="1"/>
    <x v="1"/>
    <x v="1"/>
  </r>
  <r>
    <x v="34"/>
    <x v="34"/>
    <x v="45"/>
    <x v="10"/>
    <x v="44"/>
    <x v="42"/>
    <x v="43"/>
    <x v="1"/>
    <x v="1"/>
    <x v="1"/>
    <x v="1"/>
    <x v="1"/>
    <x v="1"/>
    <x v="1"/>
    <x v="1"/>
    <x v="1"/>
    <x v="1"/>
  </r>
  <r>
    <x v="35"/>
    <x v="35"/>
    <x v="46"/>
    <x v="25"/>
    <x v="45"/>
    <x v="43"/>
    <x v="44"/>
    <x v="7"/>
    <x v="24"/>
    <x v="25"/>
    <x v="7"/>
    <x v="7"/>
    <x v="21"/>
    <x v="0"/>
    <x v="2"/>
    <x v="0"/>
    <x v="2"/>
  </r>
  <r>
    <x v="36"/>
    <x v="36"/>
    <x v="47"/>
    <x v="12"/>
    <x v="12"/>
    <x v="12"/>
    <x v="12"/>
    <x v="1"/>
    <x v="1"/>
    <x v="9"/>
    <x v="1"/>
    <x v="1"/>
    <x v="9"/>
    <x v="1"/>
    <x v="1"/>
    <x v="1"/>
    <x v="1"/>
  </r>
  <r>
    <x v="37"/>
    <x v="37"/>
    <x v="48"/>
    <x v="7"/>
    <x v="46"/>
    <x v="44"/>
    <x v="45"/>
    <x v="1"/>
    <x v="1"/>
    <x v="1"/>
    <x v="1"/>
    <x v="1"/>
    <x v="1"/>
    <x v="1"/>
    <x v="1"/>
    <x v="1"/>
    <x v="1"/>
  </r>
  <r>
    <x v="38"/>
    <x v="38"/>
    <x v="49"/>
    <x v="26"/>
    <x v="47"/>
    <x v="45"/>
    <x v="46"/>
    <x v="13"/>
    <x v="25"/>
    <x v="26"/>
    <x v="11"/>
    <x v="10"/>
    <x v="22"/>
    <x v="7"/>
    <x v="5"/>
    <x v="8"/>
    <x v="7"/>
  </r>
  <r>
    <x v="10"/>
    <x v="10"/>
    <x v="50"/>
    <x v="16"/>
    <x v="48"/>
    <x v="46"/>
    <x v="47"/>
    <x v="1"/>
    <x v="1"/>
    <x v="1"/>
    <x v="1"/>
    <x v="1"/>
    <x v="1"/>
    <x v="1"/>
    <x v="1"/>
    <x v="1"/>
    <x v="1"/>
  </r>
  <r>
    <x v="39"/>
    <x v="39"/>
    <x v="38"/>
    <x v="12"/>
    <x v="37"/>
    <x v="12"/>
    <x v="12"/>
    <x v="1"/>
    <x v="1"/>
    <x v="9"/>
    <x v="1"/>
    <x v="1"/>
    <x v="9"/>
    <x v="1"/>
    <x v="1"/>
    <x v="1"/>
    <x v="1"/>
  </r>
  <r>
    <x v="14"/>
    <x v="14"/>
    <x v="38"/>
    <x v="12"/>
    <x v="37"/>
    <x v="12"/>
    <x v="12"/>
    <x v="1"/>
    <x v="1"/>
    <x v="9"/>
    <x v="1"/>
    <x v="1"/>
    <x v="9"/>
    <x v="1"/>
    <x v="1"/>
    <x v="1"/>
    <x v="1"/>
  </r>
  <r>
    <x v="40"/>
    <x v="40"/>
    <x v="51"/>
    <x v="12"/>
    <x v="12"/>
    <x v="12"/>
    <x v="12"/>
    <x v="1"/>
    <x v="1"/>
    <x v="9"/>
    <x v="1"/>
    <x v="1"/>
    <x v="9"/>
    <x v="1"/>
    <x v="1"/>
    <x v="1"/>
    <x v="1"/>
  </r>
  <r>
    <x v="41"/>
    <x v="41"/>
    <x v="38"/>
    <x v="12"/>
    <x v="37"/>
    <x v="12"/>
    <x v="12"/>
    <x v="1"/>
    <x v="1"/>
    <x v="9"/>
    <x v="1"/>
    <x v="1"/>
    <x v="9"/>
    <x v="1"/>
    <x v="1"/>
    <x v="1"/>
    <x v="1"/>
  </r>
  <r>
    <x v="15"/>
    <x v="15"/>
    <x v="52"/>
    <x v="12"/>
    <x v="12"/>
    <x v="12"/>
    <x v="12"/>
    <x v="1"/>
    <x v="1"/>
    <x v="9"/>
    <x v="1"/>
    <x v="1"/>
    <x v="9"/>
    <x v="1"/>
    <x v="1"/>
    <x v="1"/>
    <x v="1"/>
  </r>
  <r>
    <x v="30"/>
    <x v="30"/>
    <x v="53"/>
    <x v="27"/>
    <x v="49"/>
    <x v="47"/>
    <x v="48"/>
    <x v="12"/>
    <x v="26"/>
    <x v="27"/>
    <x v="10"/>
    <x v="11"/>
    <x v="23"/>
    <x v="2"/>
    <x v="7"/>
    <x v="2"/>
    <x v="8"/>
  </r>
  <r>
    <x v="42"/>
    <x v="42"/>
    <x v="54"/>
    <x v="12"/>
    <x v="12"/>
    <x v="12"/>
    <x v="12"/>
    <x v="1"/>
    <x v="1"/>
    <x v="9"/>
    <x v="1"/>
    <x v="1"/>
    <x v="9"/>
    <x v="1"/>
    <x v="1"/>
    <x v="1"/>
    <x v="1"/>
  </r>
  <r>
    <x v="35"/>
    <x v="35"/>
    <x v="55"/>
    <x v="28"/>
    <x v="50"/>
    <x v="48"/>
    <x v="49"/>
    <x v="11"/>
    <x v="27"/>
    <x v="28"/>
    <x v="9"/>
    <x v="10"/>
    <x v="24"/>
    <x v="4"/>
    <x v="6"/>
    <x v="4"/>
    <x v="9"/>
  </r>
  <r>
    <x v="43"/>
    <x v="43"/>
    <x v="56"/>
    <x v="12"/>
    <x v="12"/>
    <x v="12"/>
    <x v="12"/>
    <x v="1"/>
    <x v="1"/>
    <x v="9"/>
    <x v="1"/>
    <x v="1"/>
    <x v="9"/>
    <x v="1"/>
    <x v="1"/>
    <x v="1"/>
    <x v="1"/>
  </r>
  <r>
    <x v="23"/>
    <x v="23"/>
    <x v="57"/>
    <x v="12"/>
    <x v="12"/>
    <x v="12"/>
    <x v="12"/>
    <x v="1"/>
    <x v="1"/>
    <x v="9"/>
    <x v="1"/>
    <x v="1"/>
    <x v="9"/>
    <x v="1"/>
    <x v="1"/>
    <x v="1"/>
    <x v="1"/>
  </r>
  <r>
    <x v="28"/>
    <x v="28"/>
    <x v="58"/>
    <x v="29"/>
    <x v="51"/>
    <x v="49"/>
    <x v="50"/>
    <x v="6"/>
    <x v="28"/>
    <x v="29"/>
    <x v="6"/>
    <x v="6"/>
    <x v="25"/>
    <x v="7"/>
    <x v="7"/>
    <x v="8"/>
    <x v="8"/>
  </r>
  <r>
    <x v="19"/>
    <x v="19"/>
    <x v="59"/>
    <x v="21"/>
    <x v="52"/>
    <x v="50"/>
    <x v="51"/>
    <x v="1"/>
    <x v="1"/>
    <x v="1"/>
    <x v="1"/>
    <x v="1"/>
    <x v="1"/>
    <x v="1"/>
    <x v="1"/>
    <x v="1"/>
    <x v="1"/>
  </r>
  <r>
    <x v="33"/>
    <x v="33"/>
    <x v="60"/>
    <x v="21"/>
    <x v="53"/>
    <x v="51"/>
    <x v="52"/>
    <x v="1"/>
    <x v="1"/>
    <x v="1"/>
    <x v="1"/>
    <x v="1"/>
    <x v="1"/>
    <x v="1"/>
    <x v="1"/>
    <x v="1"/>
    <x v="1"/>
  </r>
  <r>
    <x v="44"/>
    <x v="44"/>
    <x v="57"/>
    <x v="12"/>
    <x v="12"/>
    <x v="12"/>
    <x v="12"/>
    <x v="1"/>
    <x v="1"/>
    <x v="9"/>
    <x v="1"/>
    <x v="1"/>
    <x v="9"/>
    <x v="1"/>
    <x v="1"/>
    <x v="1"/>
    <x v="1"/>
  </r>
  <r>
    <x v="45"/>
    <x v="45"/>
    <x v="61"/>
    <x v="16"/>
    <x v="54"/>
    <x v="34"/>
    <x v="53"/>
    <x v="1"/>
    <x v="1"/>
    <x v="1"/>
    <x v="1"/>
    <x v="1"/>
    <x v="1"/>
    <x v="1"/>
    <x v="1"/>
    <x v="1"/>
    <x v="1"/>
  </r>
  <r>
    <x v="32"/>
    <x v="32"/>
    <x v="62"/>
    <x v="16"/>
    <x v="55"/>
    <x v="17"/>
    <x v="17"/>
    <x v="1"/>
    <x v="1"/>
    <x v="1"/>
    <x v="1"/>
    <x v="1"/>
    <x v="1"/>
    <x v="1"/>
    <x v="1"/>
    <x v="1"/>
    <x v="1"/>
  </r>
  <r>
    <x v="16"/>
    <x v="16"/>
    <x v="63"/>
    <x v="12"/>
    <x v="12"/>
    <x v="12"/>
    <x v="12"/>
    <x v="1"/>
    <x v="1"/>
    <x v="9"/>
    <x v="1"/>
    <x v="1"/>
    <x v="9"/>
    <x v="1"/>
    <x v="1"/>
    <x v="1"/>
    <x v="1"/>
  </r>
  <r>
    <x v="46"/>
    <x v="46"/>
    <x v="64"/>
    <x v="9"/>
    <x v="56"/>
    <x v="52"/>
    <x v="54"/>
    <x v="9"/>
    <x v="29"/>
    <x v="30"/>
    <x v="8"/>
    <x v="8"/>
    <x v="26"/>
    <x v="2"/>
    <x v="8"/>
    <x v="2"/>
    <x v="10"/>
  </r>
  <r>
    <x v="47"/>
    <x v="47"/>
    <x v="65"/>
    <x v="30"/>
    <x v="57"/>
    <x v="53"/>
    <x v="55"/>
    <x v="0"/>
    <x v="30"/>
    <x v="31"/>
    <x v="0"/>
    <x v="0"/>
    <x v="16"/>
    <x v="2"/>
    <x v="1"/>
    <x v="2"/>
    <x v="1"/>
  </r>
  <r>
    <x v="48"/>
    <x v="48"/>
    <x v="52"/>
    <x v="12"/>
    <x v="12"/>
    <x v="12"/>
    <x v="12"/>
    <x v="1"/>
    <x v="1"/>
    <x v="9"/>
    <x v="1"/>
    <x v="1"/>
    <x v="9"/>
    <x v="1"/>
    <x v="1"/>
    <x v="1"/>
    <x v="1"/>
  </r>
  <r>
    <x v="37"/>
    <x v="37"/>
    <x v="63"/>
    <x v="12"/>
    <x v="12"/>
    <x v="12"/>
    <x v="12"/>
    <x v="1"/>
    <x v="1"/>
    <x v="9"/>
    <x v="1"/>
    <x v="1"/>
    <x v="9"/>
    <x v="1"/>
    <x v="1"/>
    <x v="1"/>
    <x v="1"/>
  </r>
  <r>
    <x v="26"/>
    <x v="26"/>
    <x v="63"/>
    <x v="12"/>
    <x v="12"/>
    <x v="12"/>
    <x v="12"/>
    <x v="1"/>
    <x v="1"/>
    <x v="9"/>
    <x v="1"/>
    <x v="1"/>
    <x v="9"/>
    <x v="1"/>
    <x v="1"/>
    <x v="1"/>
    <x v="1"/>
  </r>
  <r>
    <x v="49"/>
    <x v="49"/>
    <x v="66"/>
    <x v="31"/>
    <x v="58"/>
    <x v="54"/>
    <x v="35"/>
    <x v="2"/>
    <x v="31"/>
    <x v="32"/>
    <x v="2"/>
    <x v="2"/>
    <x v="27"/>
    <x v="1"/>
    <x v="0"/>
    <x v="1"/>
    <x v="0"/>
  </r>
  <r>
    <x v="50"/>
    <x v="50"/>
    <x v="67"/>
    <x v="16"/>
    <x v="59"/>
    <x v="34"/>
    <x v="53"/>
    <x v="1"/>
    <x v="1"/>
    <x v="1"/>
    <x v="1"/>
    <x v="1"/>
    <x v="1"/>
    <x v="1"/>
    <x v="1"/>
    <x v="1"/>
    <x v="1"/>
  </r>
  <r>
    <x v="51"/>
    <x v="51"/>
    <x v="68"/>
    <x v="14"/>
    <x v="60"/>
    <x v="34"/>
    <x v="56"/>
    <x v="2"/>
    <x v="32"/>
    <x v="33"/>
    <x v="2"/>
    <x v="2"/>
    <x v="12"/>
    <x v="1"/>
    <x v="0"/>
    <x v="1"/>
    <x v="0"/>
  </r>
  <r>
    <x v="52"/>
    <x v="52"/>
    <x v="69"/>
    <x v="32"/>
    <x v="61"/>
    <x v="55"/>
    <x v="57"/>
    <x v="0"/>
    <x v="33"/>
    <x v="34"/>
    <x v="0"/>
    <x v="0"/>
    <x v="28"/>
    <x v="2"/>
    <x v="1"/>
    <x v="2"/>
    <x v="1"/>
  </r>
  <r>
    <x v="53"/>
    <x v="53"/>
    <x v="70"/>
    <x v="33"/>
    <x v="62"/>
    <x v="56"/>
    <x v="58"/>
    <x v="14"/>
    <x v="34"/>
    <x v="35"/>
    <x v="3"/>
    <x v="8"/>
    <x v="12"/>
    <x v="4"/>
    <x v="0"/>
    <x v="9"/>
    <x v="0"/>
  </r>
  <r>
    <x v="54"/>
    <x v="54"/>
    <x v="71"/>
    <x v="16"/>
    <x v="63"/>
    <x v="57"/>
    <x v="59"/>
    <x v="1"/>
    <x v="1"/>
    <x v="1"/>
    <x v="1"/>
    <x v="1"/>
    <x v="1"/>
    <x v="1"/>
    <x v="1"/>
    <x v="1"/>
    <x v="1"/>
  </r>
  <r>
    <x v="55"/>
    <x v="55"/>
    <x v="72"/>
    <x v="34"/>
    <x v="64"/>
    <x v="58"/>
    <x v="60"/>
    <x v="1"/>
    <x v="1"/>
    <x v="1"/>
    <x v="1"/>
    <x v="1"/>
    <x v="1"/>
    <x v="1"/>
    <x v="1"/>
    <x v="1"/>
    <x v="1"/>
  </r>
  <r>
    <x v="56"/>
    <x v="56"/>
    <x v="73"/>
    <x v="14"/>
    <x v="65"/>
    <x v="59"/>
    <x v="61"/>
    <x v="2"/>
    <x v="35"/>
    <x v="36"/>
    <x v="2"/>
    <x v="2"/>
    <x v="12"/>
    <x v="1"/>
    <x v="0"/>
    <x v="1"/>
    <x v="0"/>
  </r>
  <r>
    <x v="57"/>
    <x v="57"/>
    <x v="74"/>
    <x v="21"/>
    <x v="66"/>
    <x v="60"/>
    <x v="14"/>
    <x v="1"/>
    <x v="1"/>
    <x v="1"/>
    <x v="1"/>
    <x v="1"/>
    <x v="1"/>
    <x v="1"/>
    <x v="1"/>
    <x v="1"/>
    <x v="1"/>
  </r>
  <r>
    <x v="58"/>
    <x v="58"/>
    <x v="75"/>
    <x v="12"/>
    <x v="12"/>
    <x v="12"/>
    <x v="12"/>
    <x v="1"/>
    <x v="1"/>
    <x v="9"/>
    <x v="1"/>
    <x v="1"/>
    <x v="9"/>
    <x v="1"/>
    <x v="1"/>
    <x v="1"/>
    <x v="1"/>
  </r>
  <r>
    <x v="59"/>
    <x v="59"/>
    <x v="76"/>
    <x v="12"/>
    <x v="12"/>
    <x v="12"/>
    <x v="12"/>
    <x v="1"/>
    <x v="1"/>
    <x v="9"/>
    <x v="1"/>
    <x v="1"/>
    <x v="9"/>
    <x v="1"/>
    <x v="1"/>
    <x v="1"/>
    <x v="1"/>
  </r>
  <r>
    <x v="52"/>
    <x v="52"/>
    <x v="77"/>
    <x v="16"/>
    <x v="67"/>
    <x v="61"/>
    <x v="62"/>
    <x v="1"/>
    <x v="1"/>
    <x v="1"/>
    <x v="1"/>
    <x v="1"/>
    <x v="1"/>
    <x v="1"/>
    <x v="1"/>
    <x v="1"/>
    <x v="1"/>
  </r>
  <r>
    <x v="60"/>
    <x v="60"/>
    <x v="78"/>
    <x v="4"/>
    <x v="68"/>
    <x v="62"/>
    <x v="63"/>
    <x v="1"/>
    <x v="1"/>
    <x v="1"/>
    <x v="1"/>
    <x v="1"/>
    <x v="1"/>
    <x v="1"/>
    <x v="1"/>
    <x v="1"/>
    <x v="1"/>
  </r>
  <r>
    <x v="61"/>
    <x v="61"/>
    <x v="79"/>
    <x v="34"/>
    <x v="69"/>
    <x v="63"/>
    <x v="64"/>
    <x v="0"/>
    <x v="36"/>
    <x v="37"/>
    <x v="2"/>
    <x v="0"/>
    <x v="14"/>
    <x v="1"/>
    <x v="4"/>
    <x v="1"/>
    <x v="4"/>
  </r>
  <r>
    <x v="61"/>
    <x v="61"/>
    <x v="75"/>
    <x v="12"/>
    <x v="12"/>
    <x v="12"/>
    <x v="12"/>
    <x v="1"/>
    <x v="1"/>
    <x v="9"/>
    <x v="1"/>
    <x v="1"/>
    <x v="9"/>
    <x v="1"/>
    <x v="1"/>
    <x v="1"/>
    <x v="1"/>
  </r>
  <r>
    <x v="62"/>
    <x v="62"/>
    <x v="80"/>
    <x v="6"/>
    <x v="70"/>
    <x v="64"/>
    <x v="65"/>
    <x v="2"/>
    <x v="37"/>
    <x v="38"/>
    <x v="2"/>
    <x v="2"/>
    <x v="13"/>
    <x v="1"/>
    <x v="0"/>
    <x v="1"/>
    <x v="0"/>
  </r>
  <r>
    <x v="10"/>
    <x v="10"/>
    <x v="81"/>
    <x v="12"/>
    <x v="12"/>
    <x v="12"/>
    <x v="12"/>
    <x v="1"/>
    <x v="1"/>
    <x v="9"/>
    <x v="1"/>
    <x v="1"/>
    <x v="9"/>
    <x v="1"/>
    <x v="1"/>
    <x v="1"/>
    <x v="1"/>
  </r>
  <r>
    <x v="14"/>
    <x v="14"/>
    <x v="82"/>
    <x v="12"/>
    <x v="12"/>
    <x v="12"/>
    <x v="12"/>
    <x v="1"/>
    <x v="1"/>
    <x v="9"/>
    <x v="1"/>
    <x v="1"/>
    <x v="9"/>
    <x v="1"/>
    <x v="1"/>
    <x v="1"/>
    <x v="1"/>
  </r>
  <r>
    <x v="10"/>
    <x v="10"/>
    <x v="83"/>
    <x v="19"/>
    <x v="71"/>
    <x v="65"/>
    <x v="66"/>
    <x v="2"/>
    <x v="38"/>
    <x v="39"/>
    <x v="2"/>
    <x v="2"/>
    <x v="6"/>
    <x v="0"/>
    <x v="1"/>
    <x v="0"/>
    <x v="1"/>
  </r>
  <r>
    <x v="13"/>
    <x v="13"/>
    <x v="84"/>
    <x v="14"/>
    <x v="72"/>
    <x v="66"/>
    <x v="67"/>
    <x v="4"/>
    <x v="39"/>
    <x v="40"/>
    <x v="4"/>
    <x v="4"/>
    <x v="29"/>
    <x v="1"/>
    <x v="2"/>
    <x v="1"/>
    <x v="2"/>
  </r>
  <r>
    <x v="28"/>
    <x v="28"/>
    <x v="85"/>
    <x v="16"/>
    <x v="73"/>
    <x v="67"/>
    <x v="68"/>
    <x v="2"/>
    <x v="40"/>
    <x v="41"/>
    <x v="2"/>
    <x v="2"/>
    <x v="30"/>
    <x v="0"/>
    <x v="1"/>
    <x v="0"/>
    <x v="1"/>
  </r>
  <r>
    <x v="29"/>
    <x v="29"/>
    <x v="12"/>
    <x v="21"/>
    <x v="74"/>
    <x v="68"/>
    <x v="69"/>
    <x v="1"/>
    <x v="1"/>
    <x v="1"/>
    <x v="1"/>
    <x v="1"/>
    <x v="1"/>
    <x v="1"/>
    <x v="1"/>
    <x v="1"/>
    <x v="1"/>
  </r>
  <r>
    <x v="63"/>
    <x v="63"/>
    <x v="86"/>
    <x v="1"/>
    <x v="75"/>
    <x v="69"/>
    <x v="70"/>
    <x v="2"/>
    <x v="41"/>
    <x v="42"/>
    <x v="2"/>
    <x v="2"/>
    <x v="18"/>
    <x v="0"/>
    <x v="1"/>
    <x v="0"/>
    <x v="1"/>
  </r>
  <r>
    <x v="64"/>
    <x v="64"/>
    <x v="87"/>
    <x v="12"/>
    <x v="12"/>
    <x v="12"/>
    <x v="12"/>
    <x v="1"/>
    <x v="1"/>
    <x v="9"/>
    <x v="1"/>
    <x v="1"/>
    <x v="9"/>
    <x v="1"/>
    <x v="1"/>
    <x v="1"/>
    <x v="1"/>
  </r>
  <r>
    <x v="64"/>
    <x v="64"/>
    <x v="88"/>
    <x v="21"/>
    <x v="76"/>
    <x v="15"/>
    <x v="71"/>
    <x v="0"/>
    <x v="42"/>
    <x v="43"/>
    <x v="0"/>
    <x v="0"/>
    <x v="31"/>
    <x v="2"/>
    <x v="1"/>
    <x v="2"/>
    <x v="1"/>
  </r>
  <r>
    <x v="65"/>
    <x v="65"/>
    <x v="89"/>
    <x v="10"/>
    <x v="77"/>
    <x v="7"/>
    <x v="72"/>
    <x v="1"/>
    <x v="1"/>
    <x v="1"/>
    <x v="1"/>
    <x v="1"/>
    <x v="1"/>
    <x v="1"/>
    <x v="1"/>
    <x v="1"/>
    <x v="1"/>
  </r>
  <r>
    <x v="66"/>
    <x v="66"/>
    <x v="90"/>
    <x v="1"/>
    <x v="78"/>
    <x v="70"/>
    <x v="73"/>
    <x v="2"/>
    <x v="43"/>
    <x v="44"/>
    <x v="2"/>
    <x v="2"/>
    <x v="18"/>
    <x v="0"/>
    <x v="1"/>
    <x v="0"/>
    <x v="1"/>
  </r>
  <r>
    <x v="65"/>
    <x v="65"/>
    <x v="91"/>
    <x v="35"/>
    <x v="79"/>
    <x v="71"/>
    <x v="74"/>
    <x v="2"/>
    <x v="44"/>
    <x v="45"/>
    <x v="2"/>
    <x v="2"/>
    <x v="32"/>
    <x v="0"/>
    <x v="1"/>
    <x v="0"/>
    <x v="1"/>
  </r>
  <r>
    <x v="66"/>
    <x v="66"/>
    <x v="92"/>
    <x v="21"/>
    <x v="80"/>
    <x v="72"/>
    <x v="38"/>
    <x v="1"/>
    <x v="1"/>
    <x v="1"/>
    <x v="1"/>
    <x v="1"/>
    <x v="1"/>
    <x v="1"/>
    <x v="1"/>
    <x v="1"/>
    <x v="1"/>
  </r>
  <r>
    <x v="67"/>
    <x v="67"/>
    <x v="93"/>
    <x v="35"/>
    <x v="81"/>
    <x v="73"/>
    <x v="75"/>
    <x v="1"/>
    <x v="1"/>
    <x v="1"/>
    <x v="1"/>
    <x v="1"/>
    <x v="1"/>
    <x v="1"/>
    <x v="1"/>
    <x v="1"/>
    <x v="1"/>
  </r>
  <r>
    <x v="68"/>
    <x v="68"/>
    <x v="94"/>
    <x v="16"/>
    <x v="82"/>
    <x v="74"/>
    <x v="76"/>
    <x v="1"/>
    <x v="1"/>
    <x v="1"/>
    <x v="1"/>
    <x v="1"/>
    <x v="1"/>
    <x v="1"/>
    <x v="1"/>
    <x v="1"/>
    <x v="1"/>
  </r>
  <r>
    <x v="69"/>
    <x v="69"/>
    <x v="50"/>
    <x v="12"/>
    <x v="12"/>
    <x v="12"/>
    <x v="12"/>
    <x v="1"/>
    <x v="1"/>
    <x v="9"/>
    <x v="1"/>
    <x v="1"/>
    <x v="9"/>
    <x v="1"/>
    <x v="1"/>
    <x v="1"/>
    <x v="1"/>
  </r>
  <r>
    <x v="67"/>
    <x v="67"/>
    <x v="76"/>
    <x v="12"/>
    <x v="12"/>
    <x v="12"/>
    <x v="12"/>
    <x v="1"/>
    <x v="1"/>
    <x v="9"/>
    <x v="1"/>
    <x v="1"/>
    <x v="9"/>
    <x v="1"/>
    <x v="1"/>
    <x v="1"/>
    <x v="1"/>
  </r>
  <r>
    <x v="68"/>
    <x v="68"/>
    <x v="82"/>
    <x v="12"/>
    <x v="12"/>
    <x v="12"/>
    <x v="12"/>
    <x v="1"/>
    <x v="1"/>
    <x v="9"/>
    <x v="1"/>
    <x v="1"/>
    <x v="9"/>
    <x v="1"/>
    <x v="1"/>
    <x v="1"/>
    <x v="1"/>
  </r>
  <r>
    <x v="70"/>
    <x v="70"/>
    <x v="95"/>
    <x v="12"/>
    <x v="12"/>
    <x v="12"/>
    <x v="12"/>
    <x v="1"/>
    <x v="1"/>
    <x v="9"/>
    <x v="1"/>
    <x v="1"/>
    <x v="9"/>
    <x v="1"/>
    <x v="1"/>
    <x v="1"/>
    <x v="1"/>
  </r>
  <r>
    <x v="71"/>
    <x v="71"/>
    <x v="96"/>
    <x v="10"/>
    <x v="83"/>
    <x v="75"/>
    <x v="77"/>
    <x v="1"/>
    <x v="1"/>
    <x v="1"/>
    <x v="1"/>
    <x v="1"/>
    <x v="1"/>
    <x v="1"/>
    <x v="1"/>
    <x v="1"/>
    <x v="1"/>
  </r>
  <r>
    <x v="71"/>
    <x v="71"/>
    <x v="97"/>
    <x v="16"/>
    <x v="84"/>
    <x v="76"/>
    <x v="78"/>
    <x v="1"/>
    <x v="1"/>
    <x v="1"/>
    <x v="1"/>
    <x v="1"/>
    <x v="1"/>
    <x v="1"/>
    <x v="1"/>
    <x v="1"/>
    <x v="1"/>
  </r>
  <r>
    <x v="72"/>
    <x v="72"/>
    <x v="98"/>
    <x v="10"/>
    <x v="85"/>
    <x v="77"/>
    <x v="79"/>
    <x v="1"/>
    <x v="1"/>
    <x v="1"/>
    <x v="1"/>
    <x v="1"/>
    <x v="1"/>
    <x v="1"/>
    <x v="1"/>
    <x v="1"/>
    <x v="1"/>
  </r>
  <r>
    <x v="73"/>
    <x v="73"/>
    <x v="56"/>
    <x v="12"/>
    <x v="12"/>
    <x v="12"/>
    <x v="12"/>
    <x v="1"/>
    <x v="1"/>
    <x v="9"/>
    <x v="1"/>
    <x v="1"/>
    <x v="9"/>
    <x v="1"/>
    <x v="1"/>
    <x v="1"/>
    <x v="1"/>
  </r>
  <r>
    <x v="74"/>
    <x v="74"/>
    <x v="57"/>
    <x v="16"/>
    <x v="86"/>
    <x v="54"/>
    <x v="80"/>
    <x v="2"/>
    <x v="45"/>
    <x v="46"/>
    <x v="2"/>
    <x v="2"/>
    <x v="30"/>
    <x v="0"/>
    <x v="1"/>
    <x v="0"/>
    <x v="1"/>
  </r>
  <r>
    <x v="75"/>
    <x v="75"/>
    <x v="99"/>
    <x v="16"/>
    <x v="87"/>
    <x v="78"/>
    <x v="81"/>
    <x v="1"/>
    <x v="1"/>
    <x v="1"/>
    <x v="1"/>
    <x v="1"/>
    <x v="1"/>
    <x v="1"/>
    <x v="1"/>
    <x v="1"/>
    <x v="1"/>
  </r>
  <r>
    <x v="75"/>
    <x v="75"/>
    <x v="100"/>
    <x v="12"/>
    <x v="12"/>
    <x v="12"/>
    <x v="12"/>
    <x v="1"/>
    <x v="1"/>
    <x v="9"/>
    <x v="1"/>
    <x v="1"/>
    <x v="9"/>
    <x v="1"/>
    <x v="1"/>
    <x v="1"/>
    <x v="1"/>
  </r>
  <r>
    <x v="74"/>
    <x v="74"/>
    <x v="76"/>
    <x v="12"/>
    <x v="12"/>
    <x v="12"/>
    <x v="12"/>
    <x v="1"/>
    <x v="1"/>
    <x v="9"/>
    <x v="1"/>
    <x v="1"/>
    <x v="9"/>
    <x v="1"/>
    <x v="1"/>
    <x v="1"/>
    <x v="1"/>
  </r>
  <r>
    <x v="73"/>
    <x v="73"/>
    <x v="101"/>
    <x v="12"/>
    <x v="12"/>
    <x v="12"/>
    <x v="12"/>
    <x v="1"/>
    <x v="1"/>
    <x v="9"/>
    <x v="1"/>
    <x v="1"/>
    <x v="9"/>
    <x v="1"/>
    <x v="1"/>
    <x v="1"/>
    <x v="1"/>
  </r>
  <r>
    <x v="72"/>
    <x v="72"/>
    <x v="102"/>
    <x v="10"/>
    <x v="88"/>
    <x v="66"/>
    <x v="82"/>
    <x v="1"/>
    <x v="1"/>
    <x v="1"/>
    <x v="1"/>
    <x v="1"/>
    <x v="1"/>
    <x v="1"/>
    <x v="1"/>
    <x v="1"/>
    <x v="1"/>
  </r>
  <r>
    <x v="76"/>
    <x v="76"/>
    <x v="103"/>
    <x v="19"/>
    <x v="89"/>
    <x v="21"/>
    <x v="22"/>
    <x v="2"/>
    <x v="46"/>
    <x v="47"/>
    <x v="2"/>
    <x v="2"/>
    <x v="6"/>
    <x v="1"/>
    <x v="0"/>
    <x v="1"/>
    <x v="0"/>
  </r>
  <r>
    <x v="77"/>
    <x v="77"/>
    <x v="104"/>
    <x v="12"/>
    <x v="12"/>
    <x v="12"/>
    <x v="12"/>
    <x v="1"/>
    <x v="1"/>
    <x v="9"/>
    <x v="1"/>
    <x v="1"/>
    <x v="9"/>
    <x v="1"/>
    <x v="1"/>
    <x v="1"/>
    <x v="1"/>
  </r>
  <r>
    <x v="78"/>
    <x v="78"/>
    <x v="105"/>
    <x v="10"/>
    <x v="90"/>
    <x v="79"/>
    <x v="83"/>
    <x v="1"/>
    <x v="1"/>
    <x v="1"/>
    <x v="1"/>
    <x v="1"/>
    <x v="1"/>
    <x v="1"/>
    <x v="1"/>
    <x v="1"/>
    <x v="1"/>
  </r>
  <r>
    <x v="76"/>
    <x v="76"/>
    <x v="106"/>
    <x v="12"/>
    <x v="12"/>
    <x v="12"/>
    <x v="12"/>
    <x v="1"/>
    <x v="1"/>
    <x v="9"/>
    <x v="1"/>
    <x v="1"/>
    <x v="9"/>
    <x v="1"/>
    <x v="1"/>
    <x v="1"/>
    <x v="1"/>
  </r>
  <r>
    <x v="79"/>
    <x v="79"/>
    <x v="107"/>
    <x v="0"/>
    <x v="91"/>
    <x v="80"/>
    <x v="84"/>
    <x v="1"/>
    <x v="1"/>
    <x v="1"/>
    <x v="1"/>
    <x v="1"/>
    <x v="1"/>
    <x v="1"/>
    <x v="1"/>
    <x v="1"/>
    <x v="1"/>
  </r>
  <r>
    <x v="80"/>
    <x v="80"/>
    <x v="108"/>
    <x v="0"/>
    <x v="92"/>
    <x v="81"/>
    <x v="85"/>
    <x v="2"/>
    <x v="47"/>
    <x v="48"/>
    <x v="2"/>
    <x v="2"/>
    <x v="33"/>
    <x v="1"/>
    <x v="0"/>
    <x v="1"/>
    <x v="0"/>
  </r>
  <r>
    <x v="79"/>
    <x v="79"/>
    <x v="109"/>
    <x v="36"/>
    <x v="93"/>
    <x v="82"/>
    <x v="86"/>
    <x v="0"/>
    <x v="48"/>
    <x v="49"/>
    <x v="0"/>
    <x v="0"/>
    <x v="34"/>
    <x v="2"/>
    <x v="1"/>
    <x v="2"/>
    <x v="1"/>
  </r>
  <r>
    <x v="81"/>
    <x v="81"/>
    <x v="110"/>
    <x v="37"/>
    <x v="94"/>
    <x v="83"/>
    <x v="87"/>
    <x v="4"/>
    <x v="49"/>
    <x v="50"/>
    <x v="4"/>
    <x v="4"/>
    <x v="35"/>
    <x v="3"/>
    <x v="1"/>
    <x v="3"/>
    <x v="1"/>
  </r>
  <r>
    <x v="82"/>
    <x v="82"/>
    <x v="111"/>
    <x v="38"/>
    <x v="95"/>
    <x v="84"/>
    <x v="88"/>
    <x v="12"/>
    <x v="50"/>
    <x v="51"/>
    <x v="10"/>
    <x v="11"/>
    <x v="36"/>
    <x v="4"/>
    <x v="4"/>
    <x v="4"/>
    <x v="4"/>
  </r>
  <r>
    <x v="82"/>
    <x v="82"/>
    <x v="112"/>
    <x v="39"/>
    <x v="96"/>
    <x v="85"/>
    <x v="89"/>
    <x v="3"/>
    <x v="51"/>
    <x v="52"/>
    <x v="3"/>
    <x v="3"/>
    <x v="37"/>
    <x v="3"/>
    <x v="4"/>
    <x v="3"/>
    <x v="4"/>
  </r>
  <r>
    <x v="81"/>
    <x v="81"/>
    <x v="113"/>
    <x v="4"/>
    <x v="97"/>
    <x v="86"/>
    <x v="90"/>
    <x v="2"/>
    <x v="52"/>
    <x v="53"/>
    <x v="2"/>
    <x v="2"/>
    <x v="38"/>
    <x v="0"/>
    <x v="1"/>
    <x v="0"/>
    <x v="1"/>
  </r>
  <r>
    <x v="82"/>
    <x v="82"/>
    <x v="114"/>
    <x v="40"/>
    <x v="98"/>
    <x v="87"/>
    <x v="91"/>
    <x v="4"/>
    <x v="53"/>
    <x v="54"/>
    <x v="4"/>
    <x v="4"/>
    <x v="18"/>
    <x v="2"/>
    <x v="0"/>
    <x v="2"/>
    <x v="0"/>
  </r>
  <r>
    <x v="83"/>
    <x v="83"/>
    <x v="115"/>
    <x v="41"/>
    <x v="99"/>
    <x v="88"/>
    <x v="92"/>
    <x v="0"/>
    <x v="54"/>
    <x v="55"/>
    <x v="0"/>
    <x v="0"/>
    <x v="39"/>
    <x v="1"/>
    <x v="4"/>
    <x v="1"/>
    <x v="4"/>
  </r>
  <r>
    <x v="84"/>
    <x v="84"/>
    <x v="116"/>
    <x v="42"/>
    <x v="100"/>
    <x v="89"/>
    <x v="93"/>
    <x v="4"/>
    <x v="55"/>
    <x v="56"/>
    <x v="4"/>
    <x v="4"/>
    <x v="14"/>
    <x v="0"/>
    <x v="4"/>
    <x v="0"/>
    <x v="4"/>
  </r>
  <r>
    <x v="83"/>
    <x v="83"/>
    <x v="27"/>
    <x v="19"/>
    <x v="101"/>
    <x v="90"/>
    <x v="94"/>
    <x v="0"/>
    <x v="56"/>
    <x v="57"/>
    <x v="0"/>
    <x v="0"/>
    <x v="29"/>
    <x v="0"/>
    <x v="0"/>
    <x v="0"/>
    <x v="0"/>
  </r>
  <r>
    <x v="84"/>
    <x v="84"/>
    <x v="117"/>
    <x v="35"/>
    <x v="102"/>
    <x v="91"/>
    <x v="95"/>
    <x v="1"/>
    <x v="1"/>
    <x v="1"/>
    <x v="1"/>
    <x v="1"/>
    <x v="1"/>
    <x v="1"/>
    <x v="1"/>
    <x v="1"/>
    <x v="1"/>
  </r>
  <r>
    <x v="85"/>
    <x v="85"/>
    <x v="118"/>
    <x v="16"/>
    <x v="103"/>
    <x v="34"/>
    <x v="53"/>
    <x v="1"/>
    <x v="1"/>
    <x v="1"/>
    <x v="1"/>
    <x v="1"/>
    <x v="1"/>
    <x v="1"/>
    <x v="1"/>
    <x v="1"/>
    <x v="1"/>
  </r>
  <r>
    <x v="86"/>
    <x v="86"/>
    <x v="119"/>
    <x v="12"/>
    <x v="12"/>
    <x v="12"/>
    <x v="12"/>
    <x v="1"/>
    <x v="1"/>
    <x v="9"/>
    <x v="1"/>
    <x v="1"/>
    <x v="9"/>
    <x v="1"/>
    <x v="1"/>
    <x v="1"/>
    <x v="1"/>
  </r>
  <r>
    <x v="87"/>
    <x v="87"/>
    <x v="47"/>
    <x v="12"/>
    <x v="12"/>
    <x v="12"/>
    <x v="12"/>
    <x v="1"/>
    <x v="1"/>
    <x v="9"/>
    <x v="1"/>
    <x v="1"/>
    <x v="9"/>
    <x v="1"/>
    <x v="1"/>
    <x v="1"/>
    <x v="1"/>
  </r>
  <r>
    <x v="88"/>
    <x v="88"/>
    <x v="120"/>
    <x v="21"/>
    <x v="104"/>
    <x v="31"/>
    <x v="32"/>
    <x v="2"/>
    <x v="57"/>
    <x v="58"/>
    <x v="2"/>
    <x v="2"/>
    <x v="0"/>
    <x v="1"/>
    <x v="0"/>
    <x v="1"/>
    <x v="0"/>
  </r>
  <r>
    <x v="81"/>
    <x v="81"/>
    <x v="121"/>
    <x v="19"/>
    <x v="105"/>
    <x v="92"/>
    <x v="96"/>
    <x v="1"/>
    <x v="1"/>
    <x v="1"/>
    <x v="1"/>
    <x v="1"/>
    <x v="1"/>
    <x v="1"/>
    <x v="1"/>
    <x v="1"/>
    <x v="1"/>
  </r>
  <r>
    <x v="89"/>
    <x v="89"/>
    <x v="122"/>
    <x v="4"/>
    <x v="106"/>
    <x v="93"/>
    <x v="97"/>
    <x v="0"/>
    <x v="58"/>
    <x v="59"/>
    <x v="0"/>
    <x v="0"/>
    <x v="40"/>
    <x v="2"/>
    <x v="1"/>
    <x v="2"/>
    <x v="1"/>
  </r>
  <r>
    <x v="90"/>
    <x v="90"/>
    <x v="123"/>
    <x v="1"/>
    <x v="107"/>
    <x v="94"/>
    <x v="98"/>
    <x v="1"/>
    <x v="1"/>
    <x v="1"/>
    <x v="1"/>
    <x v="1"/>
    <x v="1"/>
    <x v="1"/>
    <x v="1"/>
    <x v="1"/>
    <x v="1"/>
  </r>
  <r>
    <x v="91"/>
    <x v="91"/>
    <x v="124"/>
    <x v="43"/>
    <x v="108"/>
    <x v="95"/>
    <x v="99"/>
    <x v="7"/>
    <x v="59"/>
    <x v="60"/>
    <x v="7"/>
    <x v="7"/>
    <x v="41"/>
    <x v="0"/>
    <x v="2"/>
    <x v="0"/>
    <x v="2"/>
  </r>
  <r>
    <x v="92"/>
    <x v="92"/>
    <x v="125"/>
    <x v="33"/>
    <x v="109"/>
    <x v="96"/>
    <x v="100"/>
    <x v="7"/>
    <x v="60"/>
    <x v="61"/>
    <x v="7"/>
    <x v="7"/>
    <x v="28"/>
    <x v="1"/>
    <x v="8"/>
    <x v="1"/>
    <x v="10"/>
  </r>
  <r>
    <x v="93"/>
    <x v="93"/>
    <x v="126"/>
    <x v="44"/>
    <x v="110"/>
    <x v="97"/>
    <x v="101"/>
    <x v="15"/>
    <x v="61"/>
    <x v="62"/>
    <x v="12"/>
    <x v="9"/>
    <x v="42"/>
    <x v="3"/>
    <x v="5"/>
    <x v="3"/>
    <x v="7"/>
  </r>
  <r>
    <x v="87"/>
    <x v="87"/>
    <x v="127"/>
    <x v="45"/>
    <x v="111"/>
    <x v="98"/>
    <x v="102"/>
    <x v="9"/>
    <x v="62"/>
    <x v="63"/>
    <x v="8"/>
    <x v="8"/>
    <x v="43"/>
    <x v="0"/>
    <x v="7"/>
    <x v="0"/>
    <x v="8"/>
  </r>
  <r>
    <x v="87"/>
    <x v="87"/>
    <x v="96"/>
    <x v="31"/>
    <x v="112"/>
    <x v="99"/>
    <x v="103"/>
    <x v="2"/>
    <x v="63"/>
    <x v="64"/>
    <x v="2"/>
    <x v="2"/>
    <x v="27"/>
    <x v="1"/>
    <x v="0"/>
    <x v="1"/>
    <x v="0"/>
  </r>
  <r>
    <x v="94"/>
    <x v="94"/>
    <x v="75"/>
    <x v="12"/>
    <x v="12"/>
    <x v="12"/>
    <x v="12"/>
    <x v="1"/>
    <x v="1"/>
    <x v="9"/>
    <x v="1"/>
    <x v="1"/>
    <x v="9"/>
    <x v="1"/>
    <x v="1"/>
    <x v="1"/>
    <x v="1"/>
  </r>
  <r>
    <x v="90"/>
    <x v="90"/>
    <x v="62"/>
    <x v="12"/>
    <x v="12"/>
    <x v="12"/>
    <x v="12"/>
    <x v="1"/>
    <x v="1"/>
    <x v="9"/>
    <x v="1"/>
    <x v="1"/>
    <x v="9"/>
    <x v="1"/>
    <x v="1"/>
    <x v="1"/>
    <x v="1"/>
  </r>
  <r>
    <x v="92"/>
    <x v="92"/>
    <x v="128"/>
    <x v="35"/>
    <x v="113"/>
    <x v="100"/>
    <x v="104"/>
    <x v="1"/>
    <x v="1"/>
    <x v="1"/>
    <x v="1"/>
    <x v="1"/>
    <x v="1"/>
    <x v="1"/>
    <x v="1"/>
    <x v="1"/>
    <x v="1"/>
  </r>
  <r>
    <x v="95"/>
    <x v="95"/>
    <x v="129"/>
    <x v="21"/>
    <x v="114"/>
    <x v="101"/>
    <x v="105"/>
    <x v="2"/>
    <x v="64"/>
    <x v="65"/>
    <x v="2"/>
    <x v="2"/>
    <x v="0"/>
    <x v="1"/>
    <x v="0"/>
    <x v="1"/>
    <x v="0"/>
  </r>
  <r>
    <x v="93"/>
    <x v="93"/>
    <x v="130"/>
    <x v="35"/>
    <x v="115"/>
    <x v="102"/>
    <x v="106"/>
    <x v="1"/>
    <x v="1"/>
    <x v="1"/>
    <x v="1"/>
    <x v="1"/>
    <x v="1"/>
    <x v="1"/>
    <x v="1"/>
    <x v="1"/>
    <x v="1"/>
  </r>
  <r>
    <x v="95"/>
    <x v="95"/>
    <x v="131"/>
    <x v="46"/>
    <x v="116"/>
    <x v="103"/>
    <x v="107"/>
    <x v="3"/>
    <x v="65"/>
    <x v="66"/>
    <x v="3"/>
    <x v="3"/>
    <x v="0"/>
    <x v="3"/>
    <x v="4"/>
    <x v="3"/>
    <x v="4"/>
  </r>
  <r>
    <x v="96"/>
    <x v="96"/>
    <x v="132"/>
    <x v="14"/>
    <x v="117"/>
    <x v="104"/>
    <x v="108"/>
    <x v="0"/>
    <x v="66"/>
    <x v="67"/>
    <x v="0"/>
    <x v="0"/>
    <x v="32"/>
    <x v="2"/>
    <x v="1"/>
    <x v="2"/>
    <x v="1"/>
  </r>
  <r>
    <x v="97"/>
    <x v="76"/>
    <x v="71"/>
    <x v="12"/>
    <x v="12"/>
    <x v="12"/>
    <x v="12"/>
    <x v="1"/>
    <x v="1"/>
    <x v="9"/>
    <x v="1"/>
    <x v="1"/>
    <x v="9"/>
    <x v="1"/>
    <x v="1"/>
    <x v="1"/>
    <x v="1"/>
  </r>
  <r>
    <x v="98"/>
    <x v="97"/>
    <x v="133"/>
    <x v="12"/>
    <x v="12"/>
    <x v="12"/>
    <x v="12"/>
    <x v="1"/>
    <x v="1"/>
    <x v="9"/>
    <x v="1"/>
    <x v="1"/>
    <x v="9"/>
    <x v="1"/>
    <x v="1"/>
    <x v="1"/>
    <x v="1"/>
  </r>
  <r>
    <x v="99"/>
    <x v="77"/>
    <x v="38"/>
    <x v="12"/>
    <x v="37"/>
    <x v="12"/>
    <x v="12"/>
    <x v="1"/>
    <x v="1"/>
    <x v="9"/>
    <x v="1"/>
    <x v="1"/>
    <x v="9"/>
    <x v="1"/>
    <x v="1"/>
    <x v="1"/>
    <x v="1"/>
  </r>
  <r>
    <x v="100"/>
    <x v="78"/>
    <x v="63"/>
    <x v="12"/>
    <x v="12"/>
    <x v="12"/>
    <x v="12"/>
    <x v="1"/>
    <x v="1"/>
    <x v="9"/>
    <x v="1"/>
    <x v="1"/>
    <x v="9"/>
    <x v="1"/>
    <x v="1"/>
    <x v="1"/>
    <x v="1"/>
  </r>
  <r>
    <x v="97"/>
    <x v="76"/>
    <x v="63"/>
    <x v="12"/>
    <x v="12"/>
    <x v="12"/>
    <x v="12"/>
    <x v="1"/>
    <x v="1"/>
    <x v="9"/>
    <x v="1"/>
    <x v="1"/>
    <x v="9"/>
    <x v="1"/>
    <x v="1"/>
    <x v="1"/>
    <x v="1"/>
  </r>
  <r>
    <x v="101"/>
    <x v="58"/>
    <x v="134"/>
    <x v="10"/>
    <x v="118"/>
    <x v="21"/>
    <x v="109"/>
    <x v="1"/>
    <x v="1"/>
    <x v="1"/>
    <x v="1"/>
    <x v="1"/>
    <x v="1"/>
    <x v="1"/>
    <x v="1"/>
    <x v="1"/>
    <x v="1"/>
  </r>
  <r>
    <x v="102"/>
    <x v="46"/>
    <x v="135"/>
    <x v="19"/>
    <x v="73"/>
    <x v="21"/>
    <x v="22"/>
    <x v="1"/>
    <x v="1"/>
    <x v="1"/>
    <x v="1"/>
    <x v="1"/>
    <x v="1"/>
    <x v="1"/>
    <x v="1"/>
    <x v="1"/>
    <x v="1"/>
  </r>
  <r>
    <x v="103"/>
    <x v="98"/>
    <x v="61"/>
    <x v="12"/>
    <x v="12"/>
    <x v="12"/>
    <x v="12"/>
    <x v="1"/>
    <x v="1"/>
    <x v="9"/>
    <x v="1"/>
    <x v="1"/>
    <x v="9"/>
    <x v="1"/>
    <x v="1"/>
    <x v="1"/>
    <x v="1"/>
  </r>
  <r>
    <x v="104"/>
    <x v="47"/>
    <x v="136"/>
    <x v="12"/>
    <x v="12"/>
    <x v="12"/>
    <x v="12"/>
    <x v="1"/>
    <x v="1"/>
    <x v="9"/>
    <x v="1"/>
    <x v="1"/>
    <x v="9"/>
    <x v="1"/>
    <x v="1"/>
    <x v="1"/>
    <x v="1"/>
  </r>
  <r>
    <x v="101"/>
    <x v="58"/>
    <x v="137"/>
    <x v="12"/>
    <x v="12"/>
    <x v="12"/>
    <x v="12"/>
    <x v="1"/>
    <x v="1"/>
    <x v="9"/>
    <x v="1"/>
    <x v="1"/>
    <x v="9"/>
    <x v="1"/>
    <x v="1"/>
    <x v="1"/>
    <x v="1"/>
  </r>
  <r>
    <x v="102"/>
    <x v="46"/>
    <x v="101"/>
    <x v="12"/>
    <x v="12"/>
    <x v="12"/>
    <x v="12"/>
    <x v="1"/>
    <x v="1"/>
    <x v="9"/>
    <x v="1"/>
    <x v="1"/>
    <x v="9"/>
    <x v="1"/>
    <x v="1"/>
    <x v="1"/>
    <x v="1"/>
  </r>
  <r>
    <x v="103"/>
    <x v="98"/>
    <x v="52"/>
    <x v="12"/>
    <x v="12"/>
    <x v="12"/>
    <x v="12"/>
    <x v="1"/>
    <x v="1"/>
    <x v="9"/>
    <x v="1"/>
    <x v="1"/>
    <x v="9"/>
    <x v="1"/>
    <x v="1"/>
    <x v="1"/>
    <x v="1"/>
  </r>
  <r>
    <x v="104"/>
    <x v="47"/>
    <x v="95"/>
    <x v="12"/>
    <x v="12"/>
    <x v="12"/>
    <x v="12"/>
    <x v="1"/>
    <x v="1"/>
    <x v="9"/>
    <x v="1"/>
    <x v="1"/>
    <x v="9"/>
    <x v="1"/>
    <x v="1"/>
    <x v="1"/>
    <x v="1"/>
  </r>
  <r>
    <x v="105"/>
    <x v="70"/>
    <x v="138"/>
    <x v="16"/>
    <x v="119"/>
    <x v="105"/>
    <x v="110"/>
    <x v="1"/>
    <x v="1"/>
    <x v="1"/>
    <x v="1"/>
    <x v="1"/>
    <x v="1"/>
    <x v="1"/>
    <x v="1"/>
    <x v="1"/>
    <x v="1"/>
  </r>
  <r>
    <x v="106"/>
    <x v="67"/>
    <x v="139"/>
    <x v="10"/>
    <x v="120"/>
    <x v="61"/>
    <x v="111"/>
    <x v="1"/>
    <x v="1"/>
    <x v="1"/>
    <x v="1"/>
    <x v="1"/>
    <x v="1"/>
    <x v="1"/>
    <x v="1"/>
    <x v="1"/>
    <x v="1"/>
  </r>
  <r>
    <x v="107"/>
    <x v="69"/>
    <x v="63"/>
    <x v="12"/>
    <x v="12"/>
    <x v="12"/>
    <x v="12"/>
    <x v="1"/>
    <x v="1"/>
    <x v="9"/>
    <x v="1"/>
    <x v="1"/>
    <x v="9"/>
    <x v="1"/>
    <x v="1"/>
    <x v="1"/>
    <x v="1"/>
  </r>
  <r>
    <x v="105"/>
    <x v="70"/>
    <x v="52"/>
    <x v="12"/>
    <x v="12"/>
    <x v="12"/>
    <x v="12"/>
    <x v="1"/>
    <x v="1"/>
    <x v="9"/>
    <x v="1"/>
    <x v="1"/>
    <x v="9"/>
    <x v="1"/>
    <x v="1"/>
    <x v="1"/>
    <x v="1"/>
  </r>
  <r>
    <x v="108"/>
    <x v="68"/>
    <x v="63"/>
    <x v="12"/>
    <x v="12"/>
    <x v="12"/>
    <x v="12"/>
    <x v="1"/>
    <x v="1"/>
    <x v="9"/>
    <x v="1"/>
    <x v="1"/>
    <x v="9"/>
    <x v="1"/>
    <x v="1"/>
    <x v="1"/>
    <x v="1"/>
  </r>
  <r>
    <x v="106"/>
    <x v="67"/>
    <x v="63"/>
    <x v="12"/>
    <x v="12"/>
    <x v="12"/>
    <x v="12"/>
    <x v="1"/>
    <x v="1"/>
    <x v="9"/>
    <x v="1"/>
    <x v="1"/>
    <x v="9"/>
    <x v="1"/>
    <x v="1"/>
    <x v="1"/>
    <x v="1"/>
  </r>
  <r>
    <x v="109"/>
    <x v="26"/>
    <x v="140"/>
    <x v="10"/>
    <x v="121"/>
    <x v="106"/>
    <x v="112"/>
    <x v="1"/>
    <x v="1"/>
    <x v="1"/>
    <x v="1"/>
    <x v="1"/>
    <x v="1"/>
    <x v="1"/>
    <x v="1"/>
    <x v="1"/>
    <x v="1"/>
  </r>
  <r>
    <x v="110"/>
    <x v="29"/>
    <x v="141"/>
    <x v="10"/>
    <x v="122"/>
    <x v="107"/>
    <x v="113"/>
    <x v="1"/>
    <x v="1"/>
    <x v="1"/>
    <x v="1"/>
    <x v="1"/>
    <x v="1"/>
    <x v="1"/>
    <x v="1"/>
    <x v="1"/>
    <x v="1"/>
  </r>
  <r>
    <x v="111"/>
    <x v="99"/>
    <x v="142"/>
    <x v="19"/>
    <x v="123"/>
    <x v="108"/>
    <x v="26"/>
    <x v="1"/>
    <x v="1"/>
    <x v="1"/>
    <x v="1"/>
    <x v="1"/>
    <x v="1"/>
    <x v="1"/>
    <x v="1"/>
    <x v="1"/>
    <x v="1"/>
  </r>
  <r>
    <x v="112"/>
    <x v="45"/>
    <x v="143"/>
    <x v="19"/>
    <x v="124"/>
    <x v="109"/>
    <x v="114"/>
    <x v="16"/>
    <x v="67"/>
    <x v="68"/>
    <x v="2"/>
    <x v="2"/>
    <x v="6"/>
    <x v="0"/>
    <x v="1"/>
    <x v="10"/>
    <x v="1"/>
  </r>
  <r>
    <x v="110"/>
    <x v="29"/>
    <x v="144"/>
    <x v="19"/>
    <x v="125"/>
    <x v="110"/>
    <x v="115"/>
    <x v="16"/>
    <x v="68"/>
    <x v="69"/>
    <x v="2"/>
    <x v="2"/>
    <x v="6"/>
    <x v="0"/>
    <x v="1"/>
    <x v="10"/>
    <x v="1"/>
  </r>
  <r>
    <x v="113"/>
    <x v="48"/>
    <x v="145"/>
    <x v="19"/>
    <x v="126"/>
    <x v="111"/>
    <x v="116"/>
    <x v="1"/>
    <x v="1"/>
    <x v="1"/>
    <x v="1"/>
    <x v="1"/>
    <x v="1"/>
    <x v="1"/>
    <x v="1"/>
    <x v="1"/>
    <x v="1"/>
  </r>
  <r>
    <x v="114"/>
    <x v="38"/>
    <x v="146"/>
    <x v="16"/>
    <x v="127"/>
    <x v="109"/>
    <x v="117"/>
    <x v="1"/>
    <x v="1"/>
    <x v="1"/>
    <x v="1"/>
    <x v="1"/>
    <x v="1"/>
    <x v="1"/>
    <x v="1"/>
    <x v="1"/>
    <x v="1"/>
  </r>
  <r>
    <x v="114"/>
    <x v="38"/>
    <x v="147"/>
    <x v="1"/>
    <x v="128"/>
    <x v="112"/>
    <x v="118"/>
    <x v="1"/>
    <x v="1"/>
    <x v="1"/>
    <x v="1"/>
    <x v="1"/>
    <x v="1"/>
    <x v="1"/>
    <x v="1"/>
    <x v="1"/>
    <x v="1"/>
  </r>
  <r>
    <x v="115"/>
    <x v="100"/>
    <x v="148"/>
    <x v="47"/>
    <x v="37"/>
    <x v="12"/>
    <x v="119"/>
    <x v="17"/>
    <x v="1"/>
    <x v="9"/>
    <x v="13"/>
    <x v="12"/>
    <x v="9"/>
    <x v="8"/>
    <x v="9"/>
    <x v="11"/>
    <x v="11"/>
  </r>
</pivotCacheRecords>
</file>

<file path=xl/pivotCache/pivotCacheRecords44.xml><?xml version="1.0" encoding="utf-8"?>
<pivotCacheRecords xmlns="http://schemas.openxmlformats.org/spreadsheetml/2006/main" xmlns:r="http://schemas.openxmlformats.org/officeDocument/2006/relationships" count="203">
  <r>
    <x v="0"/>
    <x v="0"/>
    <x v="0"/>
    <x v="0"/>
    <x v="0"/>
    <x v="0"/>
    <x v="0"/>
    <x v="0"/>
    <x v="0"/>
    <x v="0"/>
    <x v="0"/>
    <x v="0"/>
    <x v="0"/>
    <x v="0"/>
    <x v="0"/>
    <x v="0"/>
    <x v="0"/>
  </r>
  <r>
    <x v="1"/>
    <x v="1"/>
    <x v="1"/>
    <x v="1"/>
    <x v="1"/>
    <x v="1"/>
    <x v="1"/>
    <x v="1"/>
    <x v="1"/>
    <x v="1"/>
    <x v="1"/>
    <x v="1"/>
    <x v="1"/>
    <x v="1"/>
    <x v="1"/>
    <x v="1"/>
    <x v="1"/>
  </r>
  <r>
    <x v="0"/>
    <x v="0"/>
    <x v="2"/>
    <x v="2"/>
    <x v="2"/>
    <x v="2"/>
    <x v="2"/>
    <x v="2"/>
    <x v="2"/>
    <x v="2"/>
    <x v="0"/>
    <x v="0"/>
    <x v="2"/>
    <x v="0"/>
    <x v="0"/>
    <x v="0"/>
    <x v="2"/>
  </r>
  <r>
    <x v="2"/>
    <x v="2"/>
    <x v="3"/>
    <x v="3"/>
    <x v="3"/>
    <x v="3"/>
    <x v="3"/>
    <x v="3"/>
    <x v="3"/>
    <x v="3"/>
    <x v="2"/>
    <x v="2"/>
    <x v="3"/>
    <x v="2"/>
    <x v="2"/>
    <x v="2"/>
    <x v="3"/>
  </r>
  <r>
    <x v="3"/>
    <x v="3"/>
    <x v="4"/>
    <x v="4"/>
    <x v="4"/>
    <x v="4"/>
    <x v="4"/>
    <x v="4"/>
    <x v="4"/>
    <x v="4"/>
    <x v="3"/>
    <x v="3"/>
    <x v="4"/>
    <x v="3"/>
    <x v="0"/>
    <x v="3"/>
    <x v="0"/>
  </r>
  <r>
    <x v="2"/>
    <x v="2"/>
    <x v="5"/>
    <x v="5"/>
    <x v="5"/>
    <x v="5"/>
    <x v="5"/>
    <x v="5"/>
    <x v="5"/>
    <x v="5"/>
    <x v="4"/>
    <x v="4"/>
    <x v="5"/>
    <x v="0"/>
    <x v="3"/>
    <x v="0"/>
    <x v="4"/>
  </r>
  <r>
    <x v="2"/>
    <x v="2"/>
    <x v="6"/>
    <x v="6"/>
    <x v="6"/>
    <x v="6"/>
    <x v="6"/>
    <x v="1"/>
    <x v="1"/>
    <x v="1"/>
    <x v="1"/>
    <x v="1"/>
    <x v="1"/>
    <x v="1"/>
    <x v="1"/>
    <x v="1"/>
    <x v="1"/>
  </r>
  <r>
    <x v="4"/>
    <x v="4"/>
    <x v="7"/>
    <x v="7"/>
    <x v="7"/>
    <x v="7"/>
    <x v="7"/>
    <x v="6"/>
    <x v="6"/>
    <x v="6"/>
    <x v="5"/>
    <x v="5"/>
    <x v="6"/>
    <x v="0"/>
    <x v="2"/>
    <x v="0"/>
    <x v="3"/>
  </r>
  <r>
    <x v="0"/>
    <x v="0"/>
    <x v="8"/>
    <x v="8"/>
    <x v="8"/>
    <x v="8"/>
    <x v="8"/>
    <x v="7"/>
    <x v="7"/>
    <x v="7"/>
    <x v="6"/>
    <x v="6"/>
    <x v="7"/>
    <x v="4"/>
    <x v="4"/>
    <x v="4"/>
    <x v="5"/>
  </r>
  <r>
    <x v="5"/>
    <x v="5"/>
    <x v="9"/>
    <x v="8"/>
    <x v="9"/>
    <x v="9"/>
    <x v="9"/>
    <x v="8"/>
    <x v="8"/>
    <x v="8"/>
    <x v="7"/>
    <x v="7"/>
    <x v="8"/>
    <x v="5"/>
    <x v="5"/>
    <x v="5"/>
    <x v="6"/>
  </r>
  <r>
    <x v="6"/>
    <x v="6"/>
    <x v="10"/>
    <x v="9"/>
    <x v="10"/>
    <x v="10"/>
    <x v="10"/>
    <x v="1"/>
    <x v="1"/>
    <x v="1"/>
    <x v="1"/>
    <x v="1"/>
    <x v="1"/>
    <x v="1"/>
    <x v="1"/>
    <x v="1"/>
    <x v="1"/>
  </r>
  <r>
    <x v="7"/>
    <x v="7"/>
    <x v="11"/>
    <x v="10"/>
    <x v="11"/>
    <x v="11"/>
    <x v="11"/>
    <x v="1"/>
    <x v="1"/>
    <x v="1"/>
    <x v="1"/>
    <x v="1"/>
    <x v="1"/>
    <x v="1"/>
    <x v="1"/>
    <x v="1"/>
    <x v="1"/>
  </r>
  <r>
    <x v="8"/>
    <x v="8"/>
    <x v="12"/>
    <x v="11"/>
    <x v="12"/>
    <x v="12"/>
    <x v="12"/>
    <x v="1"/>
    <x v="1"/>
    <x v="9"/>
    <x v="1"/>
    <x v="1"/>
    <x v="9"/>
    <x v="1"/>
    <x v="1"/>
    <x v="1"/>
    <x v="1"/>
  </r>
  <r>
    <x v="4"/>
    <x v="4"/>
    <x v="13"/>
    <x v="12"/>
    <x v="13"/>
    <x v="13"/>
    <x v="13"/>
    <x v="9"/>
    <x v="9"/>
    <x v="10"/>
    <x v="8"/>
    <x v="8"/>
    <x v="10"/>
    <x v="6"/>
    <x v="6"/>
    <x v="6"/>
    <x v="7"/>
  </r>
  <r>
    <x v="9"/>
    <x v="9"/>
    <x v="14"/>
    <x v="13"/>
    <x v="14"/>
    <x v="14"/>
    <x v="14"/>
    <x v="10"/>
    <x v="10"/>
    <x v="11"/>
    <x v="9"/>
    <x v="9"/>
    <x v="11"/>
    <x v="1"/>
    <x v="3"/>
    <x v="1"/>
    <x v="4"/>
  </r>
  <r>
    <x v="10"/>
    <x v="10"/>
    <x v="15"/>
    <x v="14"/>
    <x v="15"/>
    <x v="15"/>
    <x v="15"/>
    <x v="2"/>
    <x v="11"/>
    <x v="12"/>
    <x v="0"/>
    <x v="0"/>
    <x v="12"/>
    <x v="0"/>
    <x v="0"/>
    <x v="0"/>
    <x v="2"/>
  </r>
  <r>
    <x v="11"/>
    <x v="11"/>
    <x v="16"/>
    <x v="1"/>
    <x v="16"/>
    <x v="16"/>
    <x v="16"/>
    <x v="1"/>
    <x v="1"/>
    <x v="1"/>
    <x v="1"/>
    <x v="1"/>
    <x v="1"/>
    <x v="1"/>
    <x v="1"/>
    <x v="1"/>
    <x v="1"/>
  </r>
  <r>
    <x v="11"/>
    <x v="11"/>
    <x v="17"/>
    <x v="15"/>
    <x v="17"/>
    <x v="17"/>
    <x v="17"/>
    <x v="1"/>
    <x v="1"/>
    <x v="1"/>
    <x v="1"/>
    <x v="1"/>
    <x v="1"/>
    <x v="1"/>
    <x v="1"/>
    <x v="1"/>
    <x v="1"/>
  </r>
  <r>
    <x v="12"/>
    <x v="12"/>
    <x v="18"/>
    <x v="0"/>
    <x v="18"/>
    <x v="17"/>
    <x v="18"/>
    <x v="10"/>
    <x v="12"/>
    <x v="13"/>
    <x v="9"/>
    <x v="9"/>
    <x v="13"/>
    <x v="1"/>
    <x v="3"/>
    <x v="1"/>
    <x v="4"/>
  </r>
  <r>
    <x v="5"/>
    <x v="5"/>
    <x v="19"/>
    <x v="6"/>
    <x v="19"/>
    <x v="18"/>
    <x v="19"/>
    <x v="10"/>
    <x v="13"/>
    <x v="14"/>
    <x v="9"/>
    <x v="9"/>
    <x v="14"/>
    <x v="1"/>
    <x v="3"/>
    <x v="1"/>
    <x v="4"/>
  </r>
  <r>
    <x v="13"/>
    <x v="13"/>
    <x v="20"/>
    <x v="16"/>
    <x v="20"/>
    <x v="19"/>
    <x v="20"/>
    <x v="11"/>
    <x v="14"/>
    <x v="15"/>
    <x v="10"/>
    <x v="10"/>
    <x v="15"/>
    <x v="7"/>
    <x v="7"/>
    <x v="7"/>
    <x v="8"/>
  </r>
  <r>
    <x v="14"/>
    <x v="14"/>
    <x v="21"/>
    <x v="17"/>
    <x v="21"/>
    <x v="20"/>
    <x v="21"/>
    <x v="12"/>
    <x v="15"/>
    <x v="16"/>
    <x v="11"/>
    <x v="11"/>
    <x v="16"/>
    <x v="7"/>
    <x v="8"/>
    <x v="8"/>
    <x v="9"/>
  </r>
  <r>
    <x v="15"/>
    <x v="15"/>
    <x v="22"/>
    <x v="18"/>
    <x v="22"/>
    <x v="21"/>
    <x v="22"/>
    <x v="13"/>
    <x v="16"/>
    <x v="17"/>
    <x v="4"/>
    <x v="4"/>
    <x v="17"/>
    <x v="1"/>
    <x v="0"/>
    <x v="1"/>
    <x v="10"/>
  </r>
  <r>
    <x v="15"/>
    <x v="15"/>
    <x v="23"/>
    <x v="19"/>
    <x v="23"/>
    <x v="22"/>
    <x v="23"/>
    <x v="1"/>
    <x v="1"/>
    <x v="1"/>
    <x v="1"/>
    <x v="1"/>
    <x v="1"/>
    <x v="1"/>
    <x v="1"/>
    <x v="1"/>
    <x v="1"/>
  </r>
  <r>
    <x v="16"/>
    <x v="16"/>
    <x v="24"/>
    <x v="20"/>
    <x v="24"/>
    <x v="23"/>
    <x v="24"/>
    <x v="1"/>
    <x v="1"/>
    <x v="1"/>
    <x v="1"/>
    <x v="1"/>
    <x v="1"/>
    <x v="1"/>
    <x v="1"/>
    <x v="1"/>
    <x v="1"/>
  </r>
  <r>
    <x v="17"/>
    <x v="17"/>
    <x v="25"/>
    <x v="21"/>
    <x v="25"/>
    <x v="24"/>
    <x v="25"/>
    <x v="14"/>
    <x v="17"/>
    <x v="18"/>
    <x v="4"/>
    <x v="4"/>
    <x v="18"/>
    <x v="0"/>
    <x v="3"/>
    <x v="9"/>
    <x v="11"/>
  </r>
  <r>
    <x v="18"/>
    <x v="18"/>
    <x v="26"/>
    <x v="18"/>
    <x v="26"/>
    <x v="25"/>
    <x v="26"/>
    <x v="10"/>
    <x v="18"/>
    <x v="19"/>
    <x v="9"/>
    <x v="9"/>
    <x v="2"/>
    <x v="0"/>
    <x v="1"/>
    <x v="0"/>
    <x v="1"/>
  </r>
  <r>
    <x v="19"/>
    <x v="19"/>
    <x v="27"/>
    <x v="6"/>
    <x v="27"/>
    <x v="26"/>
    <x v="27"/>
    <x v="1"/>
    <x v="1"/>
    <x v="1"/>
    <x v="1"/>
    <x v="1"/>
    <x v="1"/>
    <x v="1"/>
    <x v="1"/>
    <x v="1"/>
    <x v="1"/>
  </r>
  <r>
    <x v="20"/>
    <x v="20"/>
    <x v="28"/>
    <x v="22"/>
    <x v="28"/>
    <x v="27"/>
    <x v="28"/>
    <x v="1"/>
    <x v="1"/>
    <x v="1"/>
    <x v="1"/>
    <x v="1"/>
    <x v="1"/>
    <x v="1"/>
    <x v="1"/>
    <x v="1"/>
    <x v="1"/>
  </r>
  <r>
    <x v="21"/>
    <x v="21"/>
    <x v="29"/>
    <x v="20"/>
    <x v="29"/>
    <x v="28"/>
    <x v="29"/>
    <x v="1"/>
    <x v="1"/>
    <x v="1"/>
    <x v="1"/>
    <x v="1"/>
    <x v="1"/>
    <x v="1"/>
    <x v="1"/>
    <x v="1"/>
    <x v="1"/>
  </r>
  <r>
    <x v="22"/>
    <x v="22"/>
    <x v="30"/>
    <x v="23"/>
    <x v="30"/>
    <x v="29"/>
    <x v="30"/>
    <x v="15"/>
    <x v="19"/>
    <x v="20"/>
    <x v="0"/>
    <x v="12"/>
    <x v="19"/>
    <x v="3"/>
    <x v="1"/>
    <x v="10"/>
    <x v="1"/>
  </r>
  <r>
    <x v="23"/>
    <x v="23"/>
    <x v="31"/>
    <x v="24"/>
    <x v="31"/>
    <x v="30"/>
    <x v="31"/>
    <x v="16"/>
    <x v="20"/>
    <x v="21"/>
    <x v="12"/>
    <x v="13"/>
    <x v="20"/>
    <x v="2"/>
    <x v="9"/>
    <x v="11"/>
    <x v="12"/>
  </r>
  <r>
    <x v="24"/>
    <x v="24"/>
    <x v="32"/>
    <x v="25"/>
    <x v="32"/>
    <x v="31"/>
    <x v="32"/>
    <x v="17"/>
    <x v="21"/>
    <x v="22"/>
    <x v="0"/>
    <x v="0"/>
    <x v="21"/>
    <x v="8"/>
    <x v="3"/>
    <x v="12"/>
    <x v="11"/>
  </r>
  <r>
    <x v="21"/>
    <x v="21"/>
    <x v="33"/>
    <x v="26"/>
    <x v="33"/>
    <x v="32"/>
    <x v="33"/>
    <x v="1"/>
    <x v="1"/>
    <x v="1"/>
    <x v="1"/>
    <x v="1"/>
    <x v="1"/>
    <x v="1"/>
    <x v="1"/>
    <x v="1"/>
    <x v="1"/>
  </r>
  <r>
    <x v="25"/>
    <x v="25"/>
    <x v="34"/>
    <x v="5"/>
    <x v="34"/>
    <x v="33"/>
    <x v="34"/>
    <x v="10"/>
    <x v="22"/>
    <x v="23"/>
    <x v="9"/>
    <x v="9"/>
    <x v="22"/>
    <x v="1"/>
    <x v="3"/>
    <x v="1"/>
    <x v="4"/>
  </r>
  <r>
    <x v="26"/>
    <x v="26"/>
    <x v="35"/>
    <x v="26"/>
    <x v="35"/>
    <x v="34"/>
    <x v="35"/>
    <x v="1"/>
    <x v="1"/>
    <x v="1"/>
    <x v="1"/>
    <x v="1"/>
    <x v="1"/>
    <x v="1"/>
    <x v="1"/>
    <x v="1"/>
    <x v="1"/>
  </r>
  <r>
    <x v="27"/>
    <x v="27"/>
    <x v="36"/>
    <x v="15"/>
    <x v="36"/>
    <x v="35"/>
    <x v="36"/>
    <x v="1"/>
    <x v="1"/>
    <x v="1"/>
    <x v="1"/>
    <x v="1"/>
    <x v="1"/>
    <x v="1"/>
    <x v="1"/>
    <x v="1"/>
    <x v="1"/>
  </r>
  <r>
    <x v="27"/>
    <x v="27"/>
    <x v="37"/>
    <x v="15"/>
    <x v="37"/>
    <x v="36"/>
    <x v="37"/>
    <x v="1"/>
    <x v="1"/>
    <x v="1"/>
    <x v="1"/>
    <x v="1"/>
    <x v="1"/>
    <x v="1"/>
    <x v="1"/>
    <x v="1"/>
    <x v="1"/>
  </r>
  <r>
    <x v="26"/>
    <x v="26"/>
    <x v="38"/>
    <x v="27"/>
    <x v="38"/>
    <x v="37"/>
    <x v="38"/>
    <x v="18"/>
    <x v="23"/>
    <x v="24"/>
    <x v="13"/>
    <x v="14"/>
    <x v="23"/>
    <x v="0"/>
    <x v="10"/>
    <x v="0"/>
    <x v="13"/>
  </r>
  <r>
    <x v="28"/>
    <x v="28"/>
    <x v="39"/>
    <x v="1"/>
    <x v="39"/>
    <x v="38"/>
    <x v="39"/>
    <x v="10"/>
    <x v="24"/>
    <x v="25"/>
    <x v="9"/>
    <x v="9"/>
    <x v="18"/>
    <x v="1"/>
    <x v="3"/>
    <x v="1"/>
    <x v="4"/>
  </r>
  <r>
    <x v="29"/>
    <x v="29"/>
    <x v="40"/>
    <x v="28"/>
    <x v="40"/>
    <x v="39"/>
    <x v="40"/>
    <x v="1"/>
    <x v="1"/>
    <x v="1"/>
    <x v="1"/>
    <x v="1"/>
    <x v="1"/>
    <x v="1"/>
    <x v="1"/>
    <x v="1"/>
    <x v="1"/>
  </r>
  <r>
    <x v="30"/>
    <x v="30"/>
    <x v="41"/>
    <x v="29"/>
    <x v="41"/>
    <x v="40"/>
    <x v="41"/>
    <x v="19"/>
    <x v="25"/>
    <x v="26"/>
    <x v="14"/>
    <x v="15"/>
    <x v="24"/>
    <x v="9"/>
    <x v="5"/>
    <x v="13"/>
    <x v="14"/>
  </r>
  <r>
    <x v="31"/>
    <x v="31"/>
    <x v="42"/>
    <x v="30"/>
    <x v="42"/>
    <x v="41"/>
    <x v="42"/>
    <x v="20"/>
    <x v="26"/>
    <x v="27"/>
    <x v="12"/>
    <x v="16"/>
    <x v="25"/>
    <x v="3"/>
    <x v="11"/>
    <x v="14"/>
    <x v="15"/>
  </r>
  <r>
    <x v="30"/>
    <x v="30"/>
    <x v="43"/>
    <x v="31"/>
    <x v="43"/>
    <x v="42"/>
    <x v="43"/>
    <x v="21"/>
    <x v="27"/>
    <x v="28"/>
    <x v="3"/>
    <x v="3"/>
    <x v="26"/>
    <x v="4"/>
    <x v="1"/>
    <x v="15"/>
    <x v="1"/>
  </r>
  <r>
    <x v="32"/>
    <x v="32"/>
    <x v="44"/>
    <x v="32"/>
    <x v="44"/>
    <x v="43"/>
    <x v="44"/>
    <x v="5"/>
    <x v="28"/>
    <x v="29"/>
    <x v="4"/>
    <x v="4"/>
    <x v="27"/>
    <x v="8"/>
    <x v="1"/>
    <x v="16"/>
    <x v="1"/>
  </r>
  <r>
    <x v="33"/>
    <x v="33"/>
    <x v="45"/>
    <x v="28"/>
    <x v="45"/>
    <x v="44"/>
    <x v="45"/>
    <x v="1"/>
    <x v="1"/>
    <x v="1"/>
    <x v="1"/>
    <x v="1"/>
    <x v="1"/>
    <x v="1"/>
    <x v="1"/>
    <x v="1"/>
    <x v="1"/>
  </r>
  <r>
    <x v="34"/>
    <x v="34"/>
    <x v="46"/>
    <x v="32"/>
    <x v="46"/>
    <x v="45"/>
    <x v="46"/>
    <x v="22"/>
    <x v="29"/>
    <x v="30"/>
    <x v="15"/>
    <x v="17"/>
    <x v="28"/>
    <x v="3"/>
    <x v="3"/>
    <x v="14"/>
    <x v="4"/>
  </r>
  <r>
    <x v="35"/>
    <x v="35"/>
    <x v="47"/>
    <x v="28"/>
    <x v="47"/>
    <x v="46"/>
    <x v="47"/>
    <x v="1"/>
    <x v="1"/>
    <x v="1"/>
    <x v="1"/>
    <x v="1"/>
    <x v="1"/>
    <x v="1"/>
    <x v="1"/>
    <x v="1"/>
    <x v="1"/>
  </r>
  <r>
    <x v="36"/>
    <x v="36"/>
    <x v="48"/>
    <x v="33"/>
    <x v="48"/>
    <x v="47"/>
    <x v="48"/>
    <x v="1"/>
    <x v="1"/>
    <x v="1"/>
    <x v="1"/>
    <x v="1"/>
    <x v="1"/>
    <x v="1"/>
    <x v="1"/>
    <x v="1"/>
    <x v="1"/>
  </r>
  <r>
    <x v="36"/>
    <x v="36"/>
    <x v="49"/>
    <x v="34"/>
    <x v="49"/>
    <x v="48"/>
    <x v="19"/>
    <x v="23"/>
    <x v="30"/>
    <x v="31"/>
    <x v="9"/>
    <x v="9"/>
    <x v="29"/>
    <x v="0"/>
    <x v="1"/>
    <x v="9"/>
    <x v="1"/>
  </r>
  <r>
    <x v="37"/>
    <x v="37"/>
    <x v="50"/>
    <x v="35"/>
    <x v="50"/>
    <x v="49"/>
    <x v="49"/>
    <x v="4"/>
    <x v="31"/>
    <x v="32"/>
    <x v="3"/>
    <x v="3"/>
    <x v="30"/>
    <x v="6"/>
    <x v="8"/>
    <x v="17"/>
    <x v="16"/>
  </r>
  <r>
    <x v="38"/>
    <x v="38"/>
    <x v="51"/>
    <x v="20"/>
    <x v="51"/>
    <x v="36"/>
    <x v="50"/>
    <x v="1"/>
    <x v="1"/>
    <x v="1"/>
    <x v="1"/>
    <x v="1"/>
    <x v="1"/>
    <x v="1"/>
    <x v="1"/>
    <x v="1"/>
    <x v="1"/>
  </r>
  <r>
    <x v="39"/>
    <x v="39"/>
    <x v="52"/>
    <x v="27"/>
    <x v="52"/>
    <x v="50"/>
    <x v="51"/>
    <x v="24"/>
    <x v="32"/>
    <x v="33"/>
    <x v="4"/>
    <x v="4"/>
    <x v="31"/>
    <x v="1"/>
    <x v="0"/>
    <x v="1"/>
    <x v="0"/>
  </r>
  <r>
    <x v="40"/>
    <x v="40"/>
    <x v="53"/>
    <x v="36"/>
    <x v="53"/>
    <x v="51"/>
    <x v="52"/>
    <x v="25"/>
    <x v="33"/>
    <x v="34"/>
    <x v="16"/>
    <x v="18"/>
    <x v="32"/>
    <x v="10"/>
    <x v="12"/>
    <x v="18"/>
    <x v="17"/>
  </r>
  <r>
    <x v="39"/>
    <x v="39"/>
    <x v="54"/>
    <x v="9"/>
    <x v="54"/>
    <x v="52"/>
    <x v="53"/>
    <x v="26"/>
    <x v="34"/>
    <x v="35"/>
    <x v="13"/>
    <x v="14"/>
    <x v="33"/>
    <x v="0"/>
    <x v="10"/>
    <x v="0"/>
    <x v="18"/>
  </r>
  <r>
    <x v="27"/>
    <x v="27"/>
    <x v="55"/>
    <x v="20"/>
    <x v="55"/>
    <x v="17"/>
    <x v="54"/>
    <x v="1"/>
    <x v="1"/>
    <x v="1"/>
    <x v="1"/>
    <x v="1"/>
    <x v="1"/>
    <x v="1"/>
    <x v="1"/>
    <x v="1"/>
    <x v="1"/>
  </r>
  <r>
    <x v="10"/>
    <x v="10"/>
    <x v="51"/>
    <x v="20"/>
    <x v="51"/>
    <x v="53"/>
    <x v="55"/>
    <x v="1"/>
    <x v="1"/>
    <x v="1"/>
    <x v="1"/>
    <x v="1"/>
    <x v="1"/>
    <x v="1"/>
    <x v="1"/>
    <x v="1"/>
    <x v="1"/>
  </r>
  <r>
    <x v="41"/>
    <x v="41"/>
    <x v="56"/>
    <x v="11"/>
    <x v="56"/>
    <x v="12"/>
    <x v="12"/>
    <x v="1"/>
    <x v="1"/>
    <x v="9"/>
    <x v="1"/>
    <x v="1"/>
    <x v="9"/>
    <x v="1"/>
    <x v="1"/>
    <x v="1"/>
    <x v="1"/>
  </r>
  <r>
    <x v="14"/>
    <x v="14"/>
    <x v="56"/>
    <x v="11"/>
    <x v="56"/>
    <x v="12"/>
    <x v="12"/>
    <x v="1"/>
    <x v="1"/>
    <x v="9"/>
    <x v="1"/>
    <x v="1"/>
    <x v="9"/>
    <x v="1"/>
    <x v="1"/>
    <x v="1"/>
    <x v="1"/>
  </r>
  <r>
    <x v="42"/>
    <x v="42"/>
    <x v="55"/>
    <x v="20"/>
    <x v="55"/>
    <x v="54"/>
    <x v="56"/>
    <x v="1"/>
    <x v="1"/>
    <x v="1"/>
    <x v="1"/>
    <x v="1"/>
    <x v="1"/>
    <x v="1"/>
    <x v="1"/>
    <x v="1"/>
    <x v="1"/>
  </r>
  <r>
    <x v="43"/>
    <x v="43"/>
    <x v="57"/>
    <x v="11"/>
    <x v="12"/>
    <x v="12"/>
    <x v="12"/>
    <x v="1"/>
    <x v="1"/>
    <x v="9"/>
    <x v="1"/>
    <x v="1"/>
    <x v="9"/>
    <x v="1"/>
    <x v="1"/>
    <x v="1"/>
    <x v="1"/>
  </r>
  <r>
    <x v="15"/>
    <x v="15"/>
    <x v="58"/>
    <x v="11"/>
    <x v="12"/>
    <x v="12"/>
    <x v="12"/>
    <x v="1"/>
    <x v="1"/>
    <x v="9"/>
    <x v="1"/>
    <x v="1"/>
    <x v="9"/>
    <x v="1"/>
    <x v="1"/>
    <x v="1"/>
    <x v="1"/>
  </r>
  <r>
    <x v="32"/>
    <x v="32"/>
    <x v="59"/>
    <x v="37"/>
    <x v="57"/>
    <x v="55"/>
    <x v="57"/>
    <x v="27"/>
    <x v="35"/>
    <x v="36"/>
    <x v="17"/>
    <x v="16"/>
    <x v="34"/>
    <x v="2"/>
    <x v="4"/>
    <x v="19"/>
    <x v="19"/>
  </r>
  <r>
    <x v="44"/>
    <x v="44"/>
    <x v="60"/>
    <x v="15"/>
    <x v="58"/>
    <x v="56"/>
    <x v="58"/>
    <x v="1"/>
    <x v="1"/>
    <x v="1"/>
    <x v="1"/>
    <x v="1"/>
    <x v="1"/>
    <x v="1"/>
    <x v="1"/>
    <x v="1"/>
    <x v="1"/>
  </r>
  <r>
    <x v="37"/>
    <x v="37"/>
    <x v="61"/>
    <x v="38"/>
    <x v="59"/>
    <x v="57"/>
    <x v="59"/>
    <x v="28"/>
    <x v="36"/>
    <x v="37"/>
    <x v="6"/>
    <x v="6"/>
    <x v="35"/>
    <x v="11"/>
    <x v="13"/>
    <x v="20"/>
    <x v="20"/>
  </r>
  <r>
    <x v="45"/>
    <x v="45"/>
    <x v="62"/>
    <x v="11"/>
    <x v="12"/>
    <x v="12"/>
    <x v="12"/>
    <x v="1"/>
    <x v="1"/>
    <x v="9"/>
    <x v="1"/>
    <x v="1"/>
    <x v="9"/>
    <x v="1"/>
    <x v="1"/>
    <x v="1"/>
    <x v="1"/>
  </r>
  <r>
    <x v="24"/>
    <x v="24"/>
    <x v="63"/>
    <x v="11"/>
    <x v="12"/>
    <x v="12"/>
    <x v="12"/>
    <x v="1"/>
    <x v="1"/>
    <x v="9"/>
    <x v="1"/>
    <x v="1"/>
    <x v="9"/>
    <x v="1"/>
    <x v="1"/>
    <x v="1"/>
    <x v="1"/>
  </r>
  <r>
    <x v="30"/>
    <x v="30"/>
    <x v="64"/>
    <x v="39"/>
    <x v="60"/>
    <x v="58"/>
    <x v="60"/>
    <x v="29"/>
    <x v="37"/>
    <x v="38"/>
    <x v="18"/>
    <x v="19"/>
    <x v="36"/>
    <x v="12"/>
    <x v="11"/>
    <x v="21"/>
    <x v="21"/>
  </r>
  <r>
    <x v="19"/>
    <x v="19"/>
    <x v="65"/>
    <x v="23"/>
    <x v="61"/>
    <x v="59"/>
    <x v="61"/>
    <x v="10"/>
    <x v="38"/>
    <x v="39"/>
    <x v="9"/>
    <x v="9"/>
    <x v="16"/>
    <x v="1"/>
    <x v="3"/>
    <x v="1"/>
    <x v="4"/>
  </r>
  <r>
    <x v="35"/>
    <x v="35"/>
    <x v="66"/>
    <x v="26"/>
    <x v="62"/>
    <x v="60"/>
    <x v="62"/>
    <x v="1"/>
    <x v="1"/>
    <x v="1"/>
    <x v="1"/>
    <x v="1"/>
    <x v="1"/>
    <x v="1"/>
    <x v="1"/>
    <x v="1"/>
    <x v="1"/>
  </r>
  <r>
    <x v="21"/>
    <x v="21"/>
    <x v="67"/>
    <x v="11"/>
    <x v="12"/>
    <x v="12"/>
    <x v="12"/>
    <x v="1"/>
    <x v="1"/>
    <x v="9"/>
    <x v="1"/>
    <x v="1"/>
    <x v="9"/>
    <x v="1"/>
    <x v="1"/>
    <x v="1"/>
    <x v="1"/>
  </r>
  <r>
    <x v="22"/>
    <x v="22"/>
    <x v="68"/>
    <x v="20"/>
    <x v="63"/>
    <x v="61"/>
    <x v="63"/>
    <x v="1"/>
    <x v="1"/>
    <x v="1"/>
    <x v="1"/>
    <x v="1"/>
    <x v="1"/>
    <x v="1"/>
    <x v="1"/>
    <x v="1"/>
    <x v="1"/>
  </r>
  <r>
    <x v="46"/>
    <x v="46"/>
    <x v="69"/>
    <x v="40"/>
    <x v="64"/>
    <x v="39"/>
    <x v="64"/>
    <x v="1"/>
    <x v="1"/>
    <x v="1"/>
    <x v="1"/>
    <x v="1"/>
    <x v="1"/>
    <x v="1"/>
    <x v="1"/>
    <x v="1"/>
    <x v="1"/>
  </r>
  <r>
    <x v="34"/>
    <x v="34"/>
    <x v="51"/>
    <x v="15"/>
    <x v="65"/>
    <x v="62"/>
    <x v="65"/>
    <x v="1"/>
    <x v="1"/>
    <x v="1"/>
    <x v="1"/>
    <x v="1"/>
    <x v="1"/>
    <x v="1"/>
    <x v="1"/>
    <x v="1"/>
    <x v="1"/>
  </r>
  <r>
    <x v="6"/>
    <x v="6"/>
    <x v="56"/>
    <x v="11"/>
    <x v="56"/>
    <x v="12"/>
    <x v="12"/>
    <x v="1"/>
    <x v="1"/>
    <x v="9"/>
    <x v="1"/>
    <x v="1"/>
    <x v="9"/>
    <x v="1"/>
    <x v="1"/>
    <x v="1"/>
    <x v="1"/>
  </r>
  <r>
    <x v="16"/>
    <x v="16"/>
    <x v="67"/>
    <x v="11"/>
    <x v="12"/>
    <x v="12"/>
    <x v="12"/>
    <x v="1"/>
    <x v="1"/>
    <x v="9"/>
    <x v="1"/>
    <x v="1"/>
    <x v="9"/>
    <x v="1"/>
    <x v="1"/>
    <x v="1"/>
    <x v="1"/>
  </r>
  <r>
    <x v="47"/>
    <x v="47"/>
    <x v="70"/>
    <x v="41"/>
    <x v="66"/>
    <x v="63"/>
    <x v="66"/>
    <x v="30"/>
    <x v="39"/>
    <x v="40"/>
    <x v="19"/>
    <x v="20"/>
    <x v="37"/>
    <x v="11"/>
    <x v="4"/>
    <x v="22"/>
    <x v="22"/>
  </r>
  <r>
    <x v="48"/>
    <x v="48"/>
    <x v="71"/>
    <x v="42"/>
    <x v="67"/>
    <x v="64"/>
    <x v="67"/>
    <x v="31"/>
    <x v="40"/>
    <x v="41"/>
    <x v="13"/>
    <x v="14"/>
    <x v="38"/>
    <x v="6"/>
    <x v="3"/>
    <x v="17"/>
    <x v="11"/>
  </r>
  <r>
    <x v="49"/>
    <x v="49"/>
    <x v="72"/>
    <x v="11"/>
    <x v="12"/>
    <x v="12"/>
    <x v="12"/>
    <x v="1"/>
    <x v="1"/>
    <x v="9"/>
    <x v="1"/>
    <x v="1"/>
    <x v="9"/>
    <x v="1"/>
    <x v="1"/>
    <x v="1"/>
    <x v="1"/>
  </r>
  <r>
    <x v="39"/>
    <x v="39"/>
    <x v="73"/>
    <x v="11"/>
    <x v="12"/>
    <x v="12"/>
    <x v="12"/>
    <x v="1"/>
    <x v="1"/>
    <x v="9"/>
    <x v="1"/>
    <x v="1"/>
    <x v="9"/>
    <x v="1"/>
    <x v="1"/>
    <x v="1"/>
    <x v="1"/>
  </r>
  <r>
    <x v="28"/>
    <x v="28"/>
    <x v="57"/>
    <x v="11"/>
    <x v="12"/>
    <x v="12"/>
    <x v="12"/>
    <x v="1"/>
    <x v="1"/>
    <x v="9"/>
    <x v="1"/>
    <x v="1"/>
    <x v="9"/>
    <x v="1"/>
    <x v="1"/>
    <x v="1"/>
    <x v="1"/>
  </r>
  <r>
    <x v="50"/>
    <x v="50"/>
    <x v="74"/>
    <x v="21"/>
    <x v="68"/>
    <x v="65"/>
    <x v="68"/>
    <x v="10"/>
    <x v="41"/>
    <x v="42"/>
    <x v="9"/>
    <x v="9"/>
    <x v="39"/>
    <x v="1"/>
    <x v="3"/>
    <x v="1"/>
    <x v="4"/>
  </r>
  <r>
    <x v="51"/>
    <x v="51"/>
    <x v="75"/>
    <x v="40"/>
    <x v="69"/>
    <x v="66"/>
    <x v="69"/>
    <x v="23"/>
    <x v="42"/>
    <x v="43"/>
    <x v="9"/>
    <x v="9"/>
    <x v="40"/>
    <x v="0"/>
    <x v="1"/>
    <x v="9"/>
    <x v="1"/>
  </r>
  <r>
    <x v="50"/>
    <x v="50"/>
    <x v="76"/>
    <x v="20"/>
    <x v="70"/>
    <x v="66"/>
    <x v="70"/>
    <x v="1"/>
    <x v="1"/>
    <x v="1"/>
    <x v="1"/>
    <x v="1"/>
    <x v="1"/>
    <x v="1"/>
    <x v="1"/>
    <x v="1"/>
    <x v="1"/>
  </r>
  <r>
    <x v="52"/>
    <x v="52"/>
    <x v="77"/>
    <x v="23"/>
    <x v="71"/>
    <x v="67"/>
    <x v="71"/>
    <x v="5"/>
    <x v="43"/>
    <x v="44"/>
    <x v="9"/>
    <x v="4"/>
    <x v="16"/>
    <x v="8"/>
    <x v="1"/>
    <x v="16"/>
    <x v="1"/>
  </r>
  <r>
    <x v="53"/>
    <x v="53"/>
    <x v="78"/>
    <x v="34"/>
    <x v="72"/>
    <x v="39"/>
    <x v="72"/>
    <x v="10"/>
    <x v="44"/>
    <x v="45"/>
    <x v="9"/>
    <x v="9"/>
    <x v="29"/>
    <x v="1"/>
    <x v="3"/>
    <x v="1"/>
    <x v="4"/>
  </r>
  <r>
    <x v="54"/>
    <x v="54"/>
    <x v="79"/>
    <x v="11"/>
    <x v="12"/>
    <x v="12"/>
    <x v="12"/>
    <x v="1"/>
    <x v="1"/>
    <x v="9"/>
    <x v="1"/>
    <x v="1"/>
    <x v="9"/>
    <x v="1"/>
    <x v="1"/>
    <x v="1"/>
    <x v="1"/>
  </r>
  <r>
    <x v="55"/>
    <x v="55"/>
    <x v="80"/>
    <x v="25"/>
    <x v="73"/>
    <x v="68"/>
    <x v="73"/>
    <x v="2"/>
    <x v="45"/>
    <x v="46"/>
    <x v="0"/>
    <x v="0"/>
    <x v="21"/>
    <x v="6"/>
    <x v="1"/>
    <x v="6"/>
    <x v="1"/>
  </r>
  <r>
    <x v="56"/>
    <x v="56"/>
    <x v="81"/>
    <x v="15"/>
    <x v="74"/>
    <x v="28"/>
    <x v="74"/>
    <x v="1"/>
    <x v="1"/>
    <x v="1"/>
    <x v="1"/>
    <x v="1"/>
    <x v="1"/>
    <x v="1"/>
    <x v="1"/>
    <x v="1"/>
    <x v="1"/>
  </r>
  <r>
    <x v="57"/>
    <x v="57"/>
    <x v="82"/>
    <x v="43"/>
    <x v="75"/>
    <x v="69"/>
    <x v="75"/>
    <x v="32"/>
    <x v="46"/>
    <x v="47"/>
    <x v="2"/>
    <x v="11"/>
    <x v="41"/>
    <x v="4"/>
    <x v="6"/>
    <x v="23"/>
    <x v="23"/>
  </r>
  <r>
    <x v="58"/>
    <x v="58"/>
    <x v="83"/>
    <x v="28"/>
    <x v="76"/>
    <x v="70"/>
    <x v="76"/>
    <x v="1"/>
    <x v="1"/>
    <x v="1"/>
    <x v="1"/>
    <x v="1"/>
    <x v="1"/>
    <x v="1"/>
    <x v="1"/>
    <x v="1"/>
    <x v="1"/>
  </r>
  <r>
    <x v="59"/>
    <x v="59"/>
    <x v="84"/>
    <x v="2"/>
    <x v="77"/>
    <x v="71"/>
    <x v="77"/>
    <x v="5"/>
    <x v="47"/>
    <x v="48"/>
    <x v="4"/>
    <x v="4"/>
    <x v="42"/>
    <x v="0"/>
    <x v="3"/>
    <x v="0"/>
    <x v="4"/>
  </r>
  <r>
    <x v="55"/>
    <x v="55"/>
    <x v="85"/>
    <x v="44"/>
    <x v="78"/>
    <x v="72"/>
    <x v="78"/>
    <x v="1"/>
    <x v="1"/>
    <x v="1"/>
    <x v="1"/>
    <x v="1"/>
    <x v="1"/>
    <x v="1"/>
    <x v="1"/>
    <x v="1"/>
    <x v="1"/>
  </r>
  <r>
    <x v="60"/>
    <x v="60"/>
    <x v="86"/>
    <x v="34"/>
    <x v="79"/>
    <x v="73"/>
    <x v="79"/>
    <x v="10"/>
    <x v="48"/>
    <x v="49"/>
    <x v="9"/>
    <x v="9"/>
    <x v="29"/>
    <x v="1"/>
    <x v="3"/>
    <x v="1"/>
    <x v="4"/>
  </r>
  <r>
    <x v="61"/>
    <x v="61"/>
    <x v="87"/>
    <x v="18"/>
    <x v="80"/>
    <x v="74"/>
    <x v="80"/>
    <x v="1"/>
    <x v="1"/>
    <x v="1"/>
    <x v="1"/>
    <x v="1"/>
    <x v="1"/>
    <x v="1"/>
    <x v="1"/>
    <x v="1"/>
    <x v="1"/>
  </r>
  <r>
    <x v="62"/>
    <x v="62"/>
    <x v="88"/>
    <x v="11"/>
    <x v="12"/>
    <x v="12"/>
    <x v="12"/>
    <x v="1"/>
    <x v="1"/>
    <x v="9"/>
    <x v="1"/>
    <x v="1"/>
    <x v="9"/>
    <x v="1"/>
    <x v="1"/>
    <x v="1"/>
    <x v="1"/>
  </r>
  <r>
    <x v="54"/>
    <x v="54"/>
    <x v="89"/>
    <x v="20"/>
    <x v="81"/>
    <x v="2"/>
    <x v="81"/>
    <x v="1"/>
    <x v="1"/>
    <x v="1"/>
    <x v="1"/>
    <x v="1"/>
    <x v="1"/>
    <x v="1"/>
    <x v="1"/>
    <x v="1"/>
    <x v="1"/>
  </r>
  <r>
    <x v="55"/>
    <x v="55"/>
    <x v="90"/>
    <x v="40"/>
    <x v="82"/>
    <x v="2"/>
    <x v="82"/>
    <x v="1"/>
    <x v="1"/>
    <x v="1"/>
    <x v="1"/>
    <x v="1"/>
    <x v="1"/>
    <x v="1"/>
    <x v="1"/>
    <x v="1"/>
    <x v="1"/>
  </r>
  <r>
    <x v="63"/>
    <x v="63"/>
    <x v="91"/>
    <x v="45"/>
    <x v="83"/>
    <x v="75"/>
    <x v="83"/>
    <x v="1"/>
    <x v="1"/>
    <x v="1"/>
    <x v="1"/>
    <x v="1"/>
    <x v="1"/>
    <x v="1"/>
    <x v="1"/>
    <x v="1"/>
    <x v="1"/>
  </r>
  <r>
    <x v="64"/>
    <x v="64"/>
    <x v="92"/>
    <x v="46"/>
    <x v="84"/>
    <x v="76"/>
    <x v="84"/>
    <x v="0"/>
    <x v="49"/>
    <x v="50"/>
    <x v="4"/>
    <x v="0"/>
    <x v="2"/>
    <x v="1"/>
    <x v="10"/>
    <x v="1"/>
    <x v="24"/>
  </r>
  <r>
    <x v="65"/>
    <x v="65"/>
    <x v="93"/>
    <x v="28"/>
    <x v="85"/>
    <x v="77"/>
    <x v="85"/>
    <x v="10"/>
    <x v="50"/>
    <x v="51"/>
    <x v="9"/>
    <x v="9"/>
    <x v="19"/>
    <x v="0"/>
    <x v="1"/>
    <x v="0"/>
    <x v="1"/>
  </r>
  <r>
    <x v="64"/>
    <x v="64"/>
    <x v="94"/>
    <x v="1"/>
    <x v="86"/>
    <x v="78"/>
    <x v="86"/>
    <x v="23"/>
    <x v="51"/>
    <x v="52"/>
    <x v="9"/>
    <x v="9"/>
    <x v="18"/>
    <x v="1"/>
    <x v="3"/>
    <x v="1"/>
    <x v="11"/>
  </r>
  <r>
    <x v="66"/>
    <x v="66"/>
    <x v="95"/>
    <x v="33"/>
    <x v="87"/>
    <x v="79"/>
    <x v="87"/>
    <x v="0"/>
    <x v="52"/>
    <x v="53"/>
    <x v="0"/>
    <x v="0"/>
    <x v="43"/>
    <x v="0"/>
    <x v="0"/>
    <x v="9"/>
    <x v="2"/>
  </r>
  <r>
    <x v="10"/>
    <x v="10"/>
    <x v="96"/>
    <x v="11"/>
    <x v="12"/>
    <x v="12"/>
    <x v="12"/>
    <x v="1"/>
    <x v="1"/>
    <x v="9"/>
    <x v="1"/>
    <x v="1"/>
    <x v="9"/>
    <x v="1"/>
    <x v="1"/>
    <x v="1"/>
    <x v="1"/>
  </r>
  <r>
    <x v="14"/>
    <x v="14"/>
    <x v="97"/>
    <x v="11"/>
    <x v="12"/>
    <x v="12"/>
    <x v="12"/>
    <x v="1"/>
    <x v="1"/>
    <x v="9"/>
    <x v="1"/>
    <x v="1"/>
    <x v="9"/>
    <x v="1"/>
    <x v="1"/>
    <x v="1"/>
    <x v="1"/>
  </r>
  <r>
    <x v="10"/>
    <x v="10"/>
    <x v="98"/>
    <x v="34"/>
    <x v="88"/>
    <x v="80"/>
    <x v="88"/>
    <x v="10"/>
    <x v="53"/>
    <x v="54"/>
    <x v="9"/>
    <x v="9"/>
    <x v="29"/>
    <x v="0"/>
    <x v="1"/>
    <x v="0"/>
    <x v="1"/>
  </r>
  <r>
    <x v="13"/>
    <x v="13"/>
    <x v="99"/>
    <x v="0"/>
    <x v="89"/>
    <x v="81"/>
    <x v="89"/>
    <x v="33"/>
    <x v="54"/>
    <x v="55"/>
    <x v="13"/>
    <x v="14"/>
    <x v="44"/>
    <x v="1"/>
    <x v="8"/>
    <x v="1"/>
    <x v="25"/>
  </r>
  <r>
    <x v="30"/>
    <x v="30"/>
    <x v="100"/>
    <x v="20"/>
    <x v="90"/>
    <x v="82"/>
    <x v="90"/>
    <x v="10"/>
    <x v="55"/>
    <x v="56"/>
    <x v="9"/>
    <x v="9"/>
    <x v="45"/>
    <x v="0"/>
    <x v="1"/>
    <x v="0"/>
    <x v="1"/>
  </r>
  <r>
    <x v="31"/>
    <x v="31"/>
    <x v="101"/>
    <x v="6"/>
    <x v="91"/>
    <x v="26"/>
    <x v="27"/>
    <x v="1"/>
    <x v="1"/>
    <x v="1"/>
    <x v="1"/>
    <x v="1"/>
    <x v="1"/>
    <x v="1"/>
    <x v="1"/>
    <x v="1"/>
    <x v="1"/>
  </r>
  <r>
    <x v="67"/>
    <x v="67"/>
    <x v="102"/>
    <x v="45"/>
    <x v="92"/>
    <x v="83"/>
    <x v="73"/>
    <x v="34"/>
    <x v="56"/>
    <x v="57"/>
    <x v="0"/>
    <x v="0"/>
    <x v="46"/>
    <x v="8"/>
    <x v="3"/>
    <x v="16"/>
    <x v="26"/>
  </r>
  <r>
    <x v="68"/>
    <x v="68"/>
    <x v="103"/>
    <x v="11"/>
    <x v="12"/>
    <x v="12"/>
    <x v="12"/>
    <x v="1"/>
    <x v="1"/>
    <x v="9"/>
    <x v="1"/>
    <x v="1"/>
    <x v="9"/>
    <x v="1"/>
    <x v="1"/>
    <x v="1"/>
    <x v="1"/>
  </r>
  <r>
    <x v="68"/>
    <x v="68"/>
    <x v="104"/>
    <x v="0"/>
    <x v="93"/>
    <x v="84"/>
    <x v="91"/>
    <x v="35"/>
    <x v="57"/>
    <x v="58"/>
    <x v="20"/>
    <x v="12"/>
    <x v="47"/>
    <x v="6"/>
    <x v="0"/>
    <x v="17"/>
    <x v="2"/>
  </r>
  <r>
    <x v="69"/>
    <x v="69"/>
    <x v="105"/>
    <x v="40"/>
    <x v="94"/>
    <x v="85"/>
    <x v="92"/>
    <x v="1"/>
    <x v="1"/>
    <x v="1"/>
    <x v="1"/>
    <x v="1"/>
    <x v="1"/>
    <x v="1"/>
    <x v="1"/>
    <x v="1"/>
    <x v="1"/>
  </r>
  <r>
    <x v="70"/>
    <x v="70"/>
    <x v="102"/>
    <x v="5"/>
    <x v="95"/>
    <x v="86"/>
    <x v="93"/>
    <x v="36"/>
    <x v="58"/>
    <x v="59"/>
    <x v="0"/>
    <x v="0"/>
    <x v="48"/>
    <x v="0"/>
    <x v="0"/>
    <x v="0"/>
    <x v="27"/>
  </r>
  <r>
    <x v="69"/>
    <x v="69"/>
    <x v="106"/>
    <x v="34"/>
    <x v="96"/>
    <x v="61"/>
    <x v="76"/>
    <x v="10"/>
    <x v="59"/>
    <x v="60"/>
    <x v="9"/>
    <x v="9"/>
    <x v="29"/>
    <x v="0"/>
    <x v="1"/>
    <x v="0"/>
    <x v="1"/>
  </r>
  <r>
    <x v="71"/>
    <x v="71"/>
    <x v="107"/>
    <x v="20"/>
    <x v="97"/>
    <x v="66"/>
    <x v="70"/>
    <x v="1"/>
    <x v="1"/>
    <x v="1"/>
    <x v="1"/>
    <x v="1"/>
    <x v="1"/>
    <x v="1"/>
    <x v="1"/>
    <x v="1"/>
    <x v="1"/>
  </r>
  <r>
    <x v="70"/>
    <x v="70"/>
    <x v="108"/>
    <x v="9"/>
    <x v="98"/>
    <x v="87"/>
    <x v="94"/>
    <x v="1"/>
    <x v="1"/>
    <x v="1"/>
    <x v="1"/>
    <x v="1"/>
    <x v="1"/>
    <x v="1"/>
    <x v="1"/>
    <x v="1"/>
    <x v="1"/>
  </r>
  <r>
    <x v="72"/>
    <x v="72"/>
    <x v="109"/>
    <x v="34"/>
    <x v="99"/>
    <x v="88"/>
    <x v="95"/>
    <x v="1"/>
    <x v="1"/>
    <x v="1"/>
    <x v="1"/>
    <x v="1"/>
    <x v="1"/>
    <x v="1"/>
    <x v="1"/>
    <x v="1"/>
    <x v="1"/>
  </r>
  <r>
    <x v="73"/>
    <x v="73"/>
    <x v="110"/>
    <x v="28"/>
    <x v="100"/>
    <x v="77"/>
    <x v="85"/>
    <x v="1"/>
    <x v="1"/>
    <x v="1"/>
    <x v="1"/>
    <x v="1"/>
    <x v="1"/>
    <x v="1"/>
    <x v="1"/>
    <x v="1"/>
    <x v="1"/>
  </r>
  <r>
    <x v="74"/>
    <x v="74"/>
    <x v="111"/>
    <x v="11"/>
    <x v="12"/>
    <x v="12"/>
    <x v="12"/>
    <x v="1"/>
    <x v="1"/>
    <x v="9"/>
    <x v="1"/>
    <x v="1"/>
    <x v="9"/>
    <x v="1"/>
    <x v="1"/>
    <x v="1"/>
    <x v="1"/>
  </r>
  <r>
    <x v="72"/>
    <x v="72"/>
    <x v="112"/>
    <x v="11"/>
    <x v="12"/>
    <x v="12"/>
    <x v="12"/>
    <x v="1"/>
    <x v="1"/>
    <x v="9"/>
    <x v="1"/>
    <x v="1"/>
    <x v="9"/>
    <x v="1"/>
    <x v="1"/>
    <x v="1"/>
    <x v="1"/>
  </r>
  <r>
    <x v="73"/>
    <x v="73"/>
    <x v="113"/>
    <x v="11"/>
    <x v="12"/>
    <x v="12"/>
    <x v="12"/>
    <x v="1"/>
    <x v="1"/>
    <x v="9"/>
    <x v="1"/>
    <x v="1"/>
    <x v="9"/>
    <x v="1"/>
    <x v="1"/>
    <x v="1"/>
    <x v="1"/>
  </r>
  <r>
    <x v="75"/>
    <x v="75"/>
    <x v="114"/>
    <x v="11"/>
    <x v="12"/>
    <x v="12"/>
    <x v="12"/>
    <x v="1"/>
    <x v="1"/>
    <x v="9"/>
    <x v="1"/>
    <x v="1"/>
    <x v="9"/>
    <x v="1"/>
    <x v="1"/>
    <x v="1"/>
    <x v="1"/>
  </r>
  <r>
    <x v="76"/>
    <x v="76"/>
    <x v="115"/>
    <x v="34"/>
    <x v="101"/>
    <x v="48"/>
    <x v="19"/>
    <x v="1"/>
    <x v="1"/>
    <x v="1"/>
    <x v="1"/>
    <x v="1"/>
    <x v="1"/>
    <x v="1"/>
    <x v="1"/>
    <x v="1"/>
    <x v="1"/>
  </r>
  <r>
    <x v="76"/>
    <x v="76"/>
    <x v="116"/>
    <x v="28"/>
    <x v="102"/>
    <x v="89"/>
    <x v="96"/>
    <x v="1"/>
    <x v="1"/>
    <x v="1"/>
    <x v="1"/>
    <x v="1"/>
    <x v="1"/>
    <x v="1"/>
    <x v="1"/>
    <x v="1"/>
    <x v="1"/>
  </r>
  <r>
    <x v="77"/>
    <x v="77"/>
    <x v="117"/>
    <x v="28"/>
    <x v="103"/>
    <x v="61"/>
    <x v="97"/>
    <x v="1"/>
    <x v="1"/>
    <x v="1"/>
    <x v="1"/>
    <x v="1"/>
    <x v="1"/>
    <x v="1"/>
    <x v="1"/>
    <x v="1"/>
    <x v="1"/>
  </r>
  <r>
    <x v="78"/>
    <x v="78"/>
    <x v="118"/>
    <x v="11"/>
    <x v="12"/>
    <x v="12"/>
    <x v="12"/>
    <x v="1"/>
    <x v="1"/>
    <x v="9"/>
    <x v="1"/>
    <x v="1"/>
    <x v="9"/>
    <x v="1"/>
    <x v="1"/>
    <x v="1"/>
    <x v="1"/>
  </r>
  <r>
    <x v="79"/>
    <x v="79"/>
    <x v="97"/>
    <x v="20"/>
    <x v="104"/>
    <x v="90"/>
    <x v="98"/>
    <x v="10"/>
    <x v="60"/>
    <x v="61"/>
    <x v="9"/>
    <x v="9"/>
    <x v="45"/>
    <x v="0"/>
    <x v="1"/>
    <x v="0"/>
    <x v="1"/>
  </r>
  <r>
    <x v="80"/>
    <x v="80"/>
    <x v="119"/>
    <x v="20"/>
    <x v="105"/>
    <x v="91"/>
    <x v="99"/>
    <x v="1"/>
    <x v="1"/>
    <x v="1"/>
    <x v="1"/>
    <x v="1"/>
    <x v="1"/>
    <x v="1"/>
    <x v="1"/>
    <x v="1"/>
    <x v="1"/>
  </r>
  <r>
    <x v="81"/>
    <x v="81"/>
    <x v="120"/>
    <x v="1"/>
    <x v="106"/>
    <x v="92"/>
    <x v="100"/>
    <x v="37"/>
    <x v="61"/>
    <x v="62"/>
    <x v="9"/>
    <x v="9"/>
    <x v="18"/>
    <x v="0"/>
    <x v="1"/>
    <x v="24"/>
    <x v="1"/>
  </r>
  <r>
    <x v="80"/>
    <x v="80"/>
    <x v="121"/>
    <x v="11"/>
    <x v="12"/>
    <x v="12"/>
    <x v="12"/>
    <x v="1"/>
    <x v="1"/>
    <x v="9"/>
    <x v="1"/>
    <x v="1"/>
    <x v="9"/>
    <x v="1"/>
    <x v="1"/>
    <x v="1"/>
    <x v="1"/>
  </r>
  <r>
    <x v="79"/>
    <x v="79"/>
    <x v="122"/>
    <x v="11"/>
    <x v="12"/>
    <x v="12"/>
    <x v="12"/>
    <x v="1"/>
    <x v="1"/>
    <x v="9"/>
    <x v="1"/>
    <x v="1"/>
    <x v="9"/>
    <x v="1"/>
    <x v="1"/>
    <x v="1"/>
    <x v="1"/>
  </r>
  <r>
    <x v="78"/>
    <x v="78"/>
    <x v="89"/>
    <x v="11"/>
    <x v="12"/>
    <x v="12"/>
    <x v="12"/>
    <x v="1"/>
    <x v="1"/>
    <x v="9"/>
    <x v="1"/>
    <x v="1"/>
    <x v="9"/>
    <x v="1"/>
    <x v="1"/>
    <x v="1"/>
    <x v="1"/>
  </r>
  <r>
    <x v="77"/>
    <x v="77"/>
    <x v="123"/>
    <x v="28"/>
    <x v="107"/>
    <x v="93"/>
    <x v="101"/>
    <x v="1"/>
    <x v="1"/>
    <x v="1"/>
    <x v="1"/>
    <x v="1"/>
    <x v="1"/>
    <x v="1"/>
    <x v="1"/>
    <x v="1"/>
    <x v="1"/>
  </r>
  <r>
    <x v="82"/>
    <x v="82"/>
    <x v="124"/>
    <x v="28"/>
    <x v="108"/>
    <x v="94"/>
    <x v="102"/>
    <x v="10"/>
    <x v="62"/>
    <x v="63"/>
    <x v="9"/>
    <x v="9"/>
    <x v="19"/>
    <x v="1"/>
    <x v="3"/>
    <x v="1"/>
    <x v="4"/>
  </r>
  <r>
    <x v="83"/>
    <x v="83"/>
    <x v="125"/>
    <x v="0"/>
    <x v="109"/>
    <x v="95"/>
    <x v="103"/>
    <x v="1"/>
    <x v="1"/>
    <x v="1"/>
    <x v="1"/>
    <x v="1"/>
    <x v="1"/>
    <x v="1"/>
    <x v="1"/>
    <x v="1"/>
    <x v="1"/>
  </r>
  <r>
    <x v="84"/>
    <x v="84"/>
    <x v="126"/>
    <x v="34"/>
    <x v="110"/>
    <x v="96"/>
    <x v="104"/>
    <x v="10"/>
    <x v="63"/>
    <x v="64"/>
    <x v="9"/>
    <x v="9"/>
    <x v="29"/>
    <x v="0"/>
    <x v="1"/>
    <x v="0"/>
    <x v="1"/>
  </r>
  <r>
    <x v="82"/>
    <x v="82"/>
    <x v="127"/>
    <x v="11"/>
    <x v="12"/>
    <x v="12"/>
    <x v="12"/>
    <x v="1"/>
    <x v="1"/>
    <x v="9"/>
    <x v="1"/>
    <x v="1"/>
    <x v="9"/>
    <x v="1"/>
    <x v="1"/>
    <x v="1"/>
    <x v="1"/>
  </r>
  <r>
    <x v="85"/>
    <x v="85"/>
    <x v="128"/>
    <x v="22"/>
    <x v="111"/>
    <x v="97"/>
    <x v="105"/>
    <x v="1"/>
    <x v="1"/>
    <x v="1"/>
    <x v="1"/>
    <x v="1"/>
    <x v="1"/>
    <x v="1"/>
    <x v="1"/>
    <x v="1"/>
    <x v="1"/>
  </r>
  <r>
    <x v="86"/>
    <x v="86"/>
    <x v="129"/>
    <x v="19"/>
    <x v="112"/>
    <x v="98"/>
    <x v="106"/>
    <x v="10"/>
    <x v="64"/>
    <x v="65"/>
    <x v="9"/>
    <x v="9"/>
    <x v="21"/>
    <x v="1"/>
    <x v="3"/>
    <x v="1"/>
    <x v="4"/>
  </r>
  <r>
    <x v="85"/>
    <x v="85"/>
    <x v="130"/>
    <x v="47"/>
    <x v="113"/>
    <x v="99"/>
    <x v="107"/>
    <x v="38"/>
    <x v="65"/>
    <x v="66"/>
    <x v="8"/>
    <x v="8"/>
    <x v="49"/>
    <x v="4"/>
    <x v="0"/>
    <x v="25"/>
    <x v="2"/>
  </r>
  <r>
    <x v="87"/>
    <x v="87"/>
    <x v="131"/>
    <x v="48"/>
    <x v="114"/>
    <x v="100"/>
    <x v="108"/>
    <x v="2"/>
    <x v="66"/>
    <x v="67"/>
    <x v="0"/>
    <x v="0"/>
    <x v="50"/>
    <x v="6"/>
    <x v="1"/>
    <x v="6"/>
    <x v="1"/>
  </r>
  <r>
    <x v="88"/>
    <x v="88"/>
    <x v="132"/>
    <x v="49"/>
    <x v="115"/>
    <x v="101"/>
    <x v="109"/>
    <x v="39"/>
    <x v="67"/>
    <x v="68"/>
    <x v="18"/>
    <x v="21"/>
    <x v="51"/>
    <x v="5"/>
    <x v="11"/>
    <x v="26"/>
    <x v="22"/>
  </r>
  <r>
    <x v="89"/>
    <x v="89"/>
    <x v="133"/>
    <x v="50"/>
    <x v="116"/>
    <x v="102"/>
    <x v="110"/>
    <x v="40"/>
    <x v="68"/>
    <x v="69"/>
    <x v="13"/>
    <x v="14"/>
    <x v="52"/>
    <x v="0"/>
    <x v="10"/>
    <x v="0"/>
    <x v="28"/>
  </r>
  <r>
    <x v="90"/>
    <x v="90"/>
    <x v="134"/>
    <x v="32"/>
    <x v="117"/>
    <x v="103"/>
    <x v="111"/>
    <x v="10"/>
    <x v="69"/>
    <x v="70"/>
    <x v="9"/>
    <x v="9"/>
    <x v="53"/>
    <x v="0"/>
    <x v="1"/>
    <x v="0"/>
    <x v="1"/>
  </r>
  <r>
    <x v="91"/>
    <x v="91"/>
    <x v="56"/>
    <x v="11"/>
    <x v="56"/>
    <x v="12"/>
    <x v="12"/>
    <x v="1"/>
    <x v="1"/>
    <x v="9"/>
    <x v="1"/>
    <x v="1"/>
    <x v="9"/>
    <x v="1"/>
    <x v="1"/>
    <x v="1"/>
    <x v="1"/>
  </r>
  <r>
    <x v="89"/>
    <x v="89"/>
    <x v="56"/>
    <x v="11"/>
    <x v="56"/>
    <x v="12"/>
    <x v="12"/>
    <x v="1"/>
    <x v="1"/>
    <x v="9"/>
    <x v="1"/>
    <x v="1"/>
    <x v="9"/>
    <x v="1"/>
    <x v="1"/>
    <x v="1"/>
    <x v="1"/>
  </r>
  <r>
    <x v="88"/>
    <x v="88"/>
    <x v="135"/>
    <x v="51"/>
    <x v="118"/>
    <x v="104"/>
    <x v="112"/>
    <x v="41"/>
    <x v="70"/>
    <x v="71"/>
    <x v="2"/>
    <x v="2"/>
    <x v="54"/>
    <x v="11"/>
    <x v="14"/>
    <x v="22"/>
    <x v="29"/>
  </r>
  <r>
    <x v="87"/>
    <x v="87"/>
    <x v="136"/>
    <x v="52"/>
    <x v="119"/>
    <x v="105"/>
    <x v="113"/>
    <x v="42"/>
    <x v="71"/>
    <x v="72"/>
    <x v="13"/>
    <x v="14"/>
    <x v="55"/>
    <x v="6"/>
    <x v="3"/>
    <x v="6"/>
    <x v="4"/>
  </r>
  <r>
    <x v="90"/>
    <x v="90"/>
    <x v="137"/>
    <x v="28"/>
    <x v="120"/>
    <x v="106"/>
    <x v="114"/>
    <x v="10"/>
    <x v="72"/>
    <x v="73"/>
    <x v="9"/>
    <x v="9"/>
    <x v="19"/>
    <x v="0"/>
    <x v="1"/>
    <x v="0"/>
    <x v="1"/>
  </r>
  <r>
    <x v="88"/>
    <x v="88"/>
    <x v="138"/>
    <x v="53"/>
    <x v="121"/>
    <x v="107"/>
    <x v="115"/>
    <x v="43"/>
    <x v="73"/>
    <x v="74"/>
    <x v="5"/>
    <x v="5"/>
    <x v="56"/>
    <x v="3"/>
    <x v="10"/>
    <x v="14"/>
    <x v="24"/>
  </r>
  <r>
    <x v="92"/>
    <x v="92"/>
    <x v="139"/>
    <x v="22"/>
    <x v="122"/>
    <x v="108"/>
    <x v="116"/>
    <x v="5"/>
    <x v="74"/>
    <x v="75"/>
    <x v="4"/>
    <x v="4"/>
    <x v="13"/>
    <x v="1"/>
    <x v="0"/>
    <x v="1"/>
    <x v="2"/>
  </r>
  <r>
    <x v="93"/>
    <x v="93"/>
    <x v="140"/>
    <x v="54"/>
    <x v="123"/>
    <x v="109"/>
    <x v="117"/>
    <x v="40"/>
    <x v="75"/>
    <x v="76"/>
    <x v="13"/>
    <x v="14"/>
    <x v="57"/>
    <x v="8"/>
    <x v="0"/>
    <x v="27"/>
    <x v="2"/>
  </r>
  <r>
    <x v="92"/>
    <x v="92"/>
    <x v="141"/>
    <x v="26"/>
    <x v="124"/>
    <x v="110"/>
    <x v="118"/>
    <x v="5"/>
    <x v="76"/>
    <x v="77"/>
    <x v="4"/>
    <x v="4"/>
    <x v="28"/>
    <x v="0"/>
    <x v="3"/>
    <x v="0"/>
    <x v="4"/>
  </r>
  <r>
    <x v="93"/>
    <x v="93"/>
    <x v="142"/>
    <x v="40"/>
    <x v="125"/>
    <x v="111"/>
    <x v="119"/>
    <x v="1"/>
    <x v="1"/>
    <x v="1"/>
    <x v="1"/>
    <x v="1"/>
    <x v="1"/>
    <x v="1"/>
    <x v="1"/>
    <x v="1"/>
    <x v="1"/>
  </r>
  <r>
    <x v="91"/>
    <x v="91"/>
    <x v="143"/>
    <x v="20"/>
    <x v="126"/>
    <x v="39"/>
    <x v="120"/>
    <x v="1"/>
    <x v="1"/>
    <x v="1"/>
    <x v="1"/>
    <x v="1"/>
    <x v="1"/>
    <x v="1"/>
    <x v="1"/>
    <x v="1"/>
    <x v="1"/>
  </r>
  <r>
    <x v="94"/>
    <x v="94"/>
    <x v="51"/>
    <x v="11"/>
    <x v="12"/>
    <x v="12"/>
    <x v="12"/>
    <x v="1"/>
    <x v="1"/>
    <x v="9"/>
    <x v="1"/>
    <x v="1"/>
    <x v="9"/>
    <x v="1"/>
    <x v="1"/>
    <x v="1"/>
    <x v="1"/>
  </r>
  <r>
    <x v="95"/>
    <x v="95"/>
    <x v="144"/>
    <x v="11"/>
    <x v="12"/>
    <x v="12"/>
    <x v="12"/>
    <x v="1"/>
    <x v="1"/>
    <x v="9"/>
    <x v="1"/>
    <x v="1"/>
    <x v="9"/>
    <x v="1"/>
    <x v="1"/>
    <x v="1"/>
    <x v="1"/>
  </r>
  <r>
    <x v="96"/>
    <x v="96"/>
    <x v="145"/>
    <x v="26"/>
    <x v="127"/>
    <x v="34"/>
    <x v="35"/>
    <x v="10"/>
    <x v="77"/>
    <x v="78"/>
    <x v="9"/>
    <x v="9"/>
    <x v="58"/>
    <x v="1"/>
    <x v="3"/>
    <x v="1"/>
    <x v="4"/>
  </r>
  <r>
    <x v="87"/>
    <x v="87"/>
    <x v="146"/>
    <x v="26"/>
    <x v="128"/>
    <x v="112"/>
    <x v="121"/>
    <x v="1"/>
    <x v="1"/>
    <x v="1"/>
    <x v="1"/>
    <x v="1"/>
    <x v="1"/>
    <x v="1"/>
    <x v="1"/>
    <x v="1"/>
    <x v="1"/>
  </r>
  <r>
    <x v="97"/>
    <x v="97"/>
    <x v="147"/>
    <x v="0"/>
    <x v="129"/>
    <x v="113"/>
    <x v="122"/>
    <x v="0"/>
    <x v="78"/>
    <x v="79"/>
    <x v="0"/>
    <x v="0"/>
    <x v="0"/>
    <x v="6"/>
    <x v="1"/>
    <x v="17"/>
    <x v="1"/>
  </r>
  <r>
    <x v="98"/>
    <x v="98"/>
    <x v="148"/>
    <x v="55"/>
    <x v="130"/>
    <x v="114"/>
    <x v="123"/>
    <x v="1"/>
    <x v="1"/>
    <x v="1"/>
    <x v="1"/>
    <x v="1"/>
    <x v="1"/>
    <x v="1"/>
    <x v="1"/>
    <x v="1"/>
    <x v="1"/>
  </r>
  <r>
    <x v="99"/>
    <x v="99"/>
    <x v="149"/>
    <x v="56"/>
    <x v="131"/>
    <x v="115"/>
    <x v="124"/>
    <x v="42"/>
    <x v="79"/>
    <x v="80"/>
    <x v="13"/>
    <x v="14"/>
    <x v="59"/>
    <x v="0"/>
    <x v="10"/>
    <x v="0"/>
    <x v="30"/>
  </r>
  <r>
    <x v="100"/>
    <x v="100"/>
    <x v="150"/>
    <x v="57"/>
    <x v="132"/>
    <x v="116"/>
    <x v="125"/>
    <x v="44"/>
    <x v="80"/>
    <x v="81"/>
    <x v="15"/>
    <x v="17"/>
    <x v="43"/>
    <x v="0"/>
    <x v="14"/>
    <x v="0"/>
    <x v="31"/>
  </r>
  <r>
    <x v="101"/>
    <x v="101"/>
    <x v="151"/>
    <x v="58"/>
    <x v="133"/>
    <x v="117"/>
    <x v="126"/>
    <x v="45"/>
    <x v="81"/>
    <x v="82"/>
    <x v="21"/>
    <x v="22"/>
    <x v="60"/>
    <x v="2"/>
    <x v="5"/>
    <x v="19"/>
    <x v="6"/>
  </r>
  <r>
    <x v="95"/>
    <x v="95"/>
    <x v="152"/>
    <x v="59"/>
    <x v="134"/>
    <x v="118"/>
    <x v="127"/>
    <x v="43"/>
    <x v="82"/>
    <x v="83"/>
    <x v="5"/>
    <x v="5"/>
    <x v="61"/>
    <x v="8"/>
    <x v="6"/>
    <x v="12"/>
    <x v="7"/>
  </r>
  <r>
    <x v="95"/>
    <x v="95"/>
    <x v="153"/>
    <x v="19"/>
    <x v="135"/>
    <x v="119"/>
    <x v="89"/>
    <x v="5"/>
    <x v="83"/>
    <x v="84"/>
    <x v="4"/>
    <x v="4"/>
    <x v="58"/>
    <x v="1"/>
    <x v="0"/>
    <x v="1"/>
    <x v="2"/>
  </r>
  <r>
    <x v="102"/>
    <x v="102"/>
    <x v="72"/>
    <x v="11"/>
    <x v="12"/>
    <x v="12"/>
    <x v="12"/>
    <x v="1"/>
    <x v="1"/>
    <x v="9"/>
    <x v="1"/>
    <x v="1"/>
    <x v="9"/>
    <x v="1"/>
    <x v="1"/>
    <x v="1"/>
    <x v="1"/>
  </r>
  <r>
    <x v="98"/>
    <x v="98"/>
    <x v="154"/>
    <x v="11"/>
    <x v="12"/>
    <x v="12"/>
    <x v="12"/>
    <x v="1"/>
    <x v="1"/>
    <x v="9"/>
    <x v="1"/>
    <x v="1"/>
    <x v="9"/>
    <x v="1"/>
    <x v="1"/>
    <x v="1"/>
    <x v="1"/>
  </r>
  <r>
    <x v="100"/>
    <x v="100"/>
    <x v="155"/>
    <x v="40"/>
    <x v="49"/>
    <x v="88"/>
    <x v="128"/>
    <x v="1"/>
    <x v="1"/>
    <x v="1"/>
    <x v="1"/>
    <x v="1"/>
    <x v="1"/>
    <x v="1"/>
    <x v="1"/>
    <x v="1"/>
    <x v="1"/>
  </r>
  <r>
    <x v="103"/>
    <x v="103"/>
    <x v="156"/>
    <x v="26"/>
    <x v="136"/>
    <x v="120"/>
    <x v="129"/>
    <x v="10"/>
    <x v="84"/>
    <x v="85"/>
    <x v="9"/>
    <x v="9"/>
    <x v="58"/>
    <x v="1"/>
    <x v="3"/>
    <x v="1"/>
    <x v="4"/>
  </r>
  <r>
    <x v="101"/>
    <x v="101"/>
    <x v="157"/>
    <x v="40"/>
    <x v="137"/>
    <x v="121"/>
    <x v="130"/>
    <x v="1"/>
    <x v="1"/>
    <x v="1"/>
    <x v="1"/>
    <x v="1"/>
    <x v="1"/>
    <x v="1"/>
    <x v="1"/>
    <x v="1"/>
    <x v="1"/>
  </r>
  <r>
    <x v="103"/>
    <x v="103"/>
    <x v="158"/>
    <x v="10"/>
    <x v="138"/>
    <x v="122"/>
    <x v="131"/>
    <x v="46"/>
    <x v="85"/>
    <x v="86"/>
    <x v="20"/>
    <x v="12"/>
    <x v="58"/>
    <x v="6"/>
    <x v="0"/>
    <x v="6"/>
    <x v="2"/>
  </r>
  <r>
    <x v="104"/>
    <x v="104"/>
    <x v="159"/>
    <x v="34"/>
    <x v="139"/>
    <x v="123"/>
    <x v="132"/>
    <x v="5"/>
    <x v="86"/>
    <x v="87"/>
    <x v="4"/>
    <x v="4"/>
    <x v="40"/>
    <x v="8"/>
    <x v="1"/>
    <x v="16"/>
    <x v="1"/>
  </r>
  <r>
    <x v="105"/>
    <x v="82"/>
    <x v="160"/>
    <x v="15"/>
    <x v="140"/>
    <x v="39"/>
    <x v="133"/>
    <x v="47"/>
    <x v="87"/>
    <x v="88"/>
    <x v="9"/>
    <x v="9"/>
    <x v="33"/>
    <x v="1"/>
    <x v="3"/>
    <x v="1"/>
    <x v="32"/>
  </r>
  <r>
    <x v="106"/>
    <x v="105"/>
    <x v="161"/>
    <x v="20"/>
    <x v="141"/>
    <x v="124"/>
    <x v="134"/>
    <x v="1"/>
    <x v="1"/>
    <x v="1"/>
    <x v="1"/>
    <x v="1"/>
    <x v="1"/>
    <x v="1"/>
    <x v="1"/>
    <x v="1"/>
    <x v="1"/>
  </r>
  <r>
    <x v="107"/>
    <x v="83"/>
    <x v="67"/>
    <x v="11"/>
    <x v="12"/>
    <x v="12"/>
    <x v="12"/>
    <x v="1"/>
    <x v="1"/>
    <x v="9"/>
    <x v="1"/>
    <x v="1"/>
    <x v="9"/>
    <x v="1"/>
    <x v="1"/>
    <x v="1"/>
    <x v="1"/>
  </r>
  <r>
    <x v="108"/>
    <x v="84"/>
    <x v="57"/>
    <x v="11"/>
    <x v="12"/>
    <x v="12"/>
    <x v="12"/>
    <x v="1"/>
    <x v="1"/>
    <x v="9"/>
    <x v="1"/>
    <x v="1"/>
    <x v="9"/>
    <x v="1"/>
    <x v="1"/>
    <x v="1"/>
    <x v="1"/>
  </r>
  <r>
    <x v="105"/>
    <x v="82"/>
    <x v="57"/>
    <x v="11"/>
    <x v="12"/>
    <x v="12"/>
    <x v="12"/>
    <x v="1"/>
    <x v="1"/>
    <x v="9"/>
    <x v="1"/>
    <x v="1"/>
    <x v="9"/>
    <x v="1"/>
    <x v="1"/>
    <x v="1"/>
    <x v="1"/>
  </r>
  <r>
    <x v="106"/>
    <x v="105"/>
    <x v="57"/>
    <x v="11"/>
    <x v="12"/>
    <x v="12"/>
    <x v="12"/>
    <x v="1"/>
    <x v="1"/>
    <x v="9"/>
    <x v="1"/>
    <x v="1"/>
    <x v="9"/>
    <x v="1"/>
    <x v="1"/>
    <x v="1"/>
    <x v="1"/>
  </r>
  <r>
    <x v="109"/>
    <x v="62"/>
    <x v="162"/>
    <x v="28"/>
    <x v="142"/>
    <x v="125"/>
    <x v="135"/>
    <x v="1"/>
    <x v="1"/>
    <x v="1"/>
    <x v="1"/>
    <x v="1"/>
    <x v="1"/>
    <x v="1"/>
    <x v="1"/>
    <x v="1"/>
    <x v="1"/>
  </r>
  <r>
    <x v="110"/>
    <x v="47"/>
    <x v="163"/>
    <x v="34"/>
    <x v="143"/>
    <x v="126"/>
    <x v="136"/>
    <x v="1"/>
    <x v="1"/>
    <x v="1"/>
    <x v="1"/>
    <x v="1"/>
    <x v="1"/>
    <x v="1"/>
    <x v="1"/>
    <x v="1"/>
    <x v="1"/>
  </r>
  <r>
    <x v="111"/>
    <x v="106"/>
    <x v="164"/>
    <x v="11"/>
    <x v="12"/>
    <x v="12"/>
    <x v="12"/>
    <x v="1"/>
    <x v="1"/>
    <x v="9"/>
    <x v="1"/>
    <x v="1"/>
    <x v="9"/>
    <x v="1"/>
    <x v="1"/>
    <x v="1"/>
    <x v="1"/>
  </r>
  <r>
    <x v="112"/>
    <x v="48"/>
    <x v="165"/>
    <x v="20"/>
    <x v="144"/>
    <x v="90"/>
    <x v="98"/>
    <x v="1"/>
    <x v="1"/>
    <x v="1"/>
    <x v="1"/>
    <x v="1"/>
    <x v="1"/>
    <x v="1"/>
    <x v="1"/>
    <x v="1"/>
    <x v="1"/>
  </r>
  <r>
    <x v="109"/>
    <x v="62"/>
    <x v="166"/>
    <x v="11"/>
    <x v="12"/>
    <x v="12"/>
    <x v="12"/>
    <x v="1"/>
    <x v="1"/>
    <x v="9"/>
    <x v="1"/>
    <x v="1"/>
    <x v="9"/>
    <x v="1"/>
    <x v="1"/>
    <x v="1"/>
    <x v="1"/>
  </r>
  <r>
    <x v="110"/>
    <x v="47"/>
    <x v="167"/>
    <x v="11"/>
    <x v="12"/>
    <x v="12"/>
    <x v="12"/>
    <x v="1"/>
    <x v="1"/>
    <x v="9"/>
    <x v="1"/>
    <x v="1"/>
    <x v="9"/>
    <x v="1"/>
    <x v="1"/>
    <x v="1"/>
    <x v="1"/>
  </r>
  <r>
    <x v="111"/>
    <x v="106"/>
    <x v="73"/>
    <x v="11"/>
    <x v="12"/>
    <x v="12"/>
    <x v="12"/>
    <x v="1"/>
    <x v="1"/>
    <x v="9"/>
    <x v="1"/>
    <x v="1"/>
    <x v="9"/>
    <x v="1"/>
    <x v="1"/>
    <x v="1"/>
    <x v="1"/>
  </r>
  <r>
    <x v="112"/>
    <x v="48"/>
    <x v="168"/>
    <x v="11"/>
    <x v="12"/>
    <x v="12"/>
    <x v="12"/>
    <x v="1"/>
    <x v="1"/>
    <x v="9"/>
    <x v="1"/>
    <x v="1"/>
    <x v="9"/>
    <x v="1"/>
    <x v="1"/>
    <x v="1"/>
    <x v="1"/>
  </r>
  <r>
    <x v="113"/>
    <x v="75"/>
    <x v="169"/>
    <x v="40"/>
    <x v="145"/>
    <x v="127"/>
    <x v="137"/>
    <x v="1"/>
    <x v="1"/>
    <x v="1"/>
    <x v="1"/>
    <x v="1"/>
    <x v="1"/>
    <x v="1"/>
    <x v="1"/>
    <x v="1"/>
    <x v="1"/>
  </r>
  <r>
    <x v="114"/>
    <x v="72"/>
    <x v="170"/>
    <x v="28"/>
    <x v="146"/>
    <x v="128"/>
    <x v="138"/>
    <x v="1"/>
    <x v="1"/>
    <x v="1"/>
    <x v="1"/>
    <x v="1"/>
    <x v="1"/>
    <x v="1"/>
    <x v="1"/>
    <x v="1"/>
    <x v="1"/>
  </r>
  <r>
    <x v="115"/>
    <x v="74"/>
    <x v="57"/>
    <x v="11"/>
    <x v="12"/>
    <x v="12"/>
    <x v="12"/>
    <x v="1"/>
    <x v="1"/>
    <x v="9"/>
    <x v="1"/>
    <x v="1"/>
    <x v="9"/>
    <x v="1"/>
    <x v="1"/>
    <x v="1"/>
    <x v="1"/>
  </r>
  <r>
    <x v="113"/>
    <x v="75"/>
    <x v="67"/>
    <x v="11"/>
    <x v="12"/>
    <x v="12"/>
    <x v="12"/>
    <x v="1"/>
    <x v="1"/>
    <x v="9"/>
    <x v="1"/>
    <x v="1"/>
    <x v="9"/>
    <x v="1"/>
    <x v="1"/>
    <x v="1"/>
    <x v="1"/>
  </r>
  <r>
    <x v="116"/>
    <x v="73"/>
    <x v="57"/>
    <x v="11"/>
    <x v="12"/>
    <x v="12"/>
    <x v="12"/>
    <x v="1"/>
    <x v="1"/>
    <x v="9"/>
    <x v="1"/>
    <x v="1"/>
    <x v="9"/>
    <x v="1"/>
    <x v="1"/>
    <x v="1"/>
    <x v="1"/>
  </r>
  <r>
    <x v="114"/>
    <x v="72"/>
    <x v="57"/>
    <x v="11"/>
    <x v="12"/>
    <x v="12"/>
    <x v="12"/>
    <x v="1"/>
    <x v="1"/>
    <x v="9"/>
    <x v="1"/>
    <x v="1"/>
    <x v="9"/>
    <x v="1"/>
    <x v="1"/>
    <x v="1"/>
    <x v="1"/>
  </r>
  <r>
    <x v="117"/>
    <x v="28"/>
    <x v="171"/>
    <x v="28"/>
    <x v="147"/>
    <x v="129"/>
    <x v="139"/>
    <x v="1"/>
    <x v="1"/>
    <x v="1"/>
    <x v="1"/>
    <x v="1"/>
    <x v="1"/>
    <x v="1"/>
    <x v="1"/>
    <x v="1"/>
    <x v="1"/>
  </r>
  <r>
    <x v="118"/>
    <x v="31"/>
    <x v="172"/>
    <x v="21"/>
    <x v="148"/>
    <x v="118"/>
    <x v="140"/>
    <x v="1"/>
    <x v="1"/>
    <x v="1"/>
    <x v="1"/>
    <x v="1"/>
    <x v="1"/>
    <x v="1"/>
    <x v="1"/>
    <x v="1"/>
    <x v="1"/>
  </r>
  <r>
    <x v="119"/>
    <x v="107"/>
    <x v="173"/>
    <x v="9"/>
    <x v="149"/>
    <x v="130"/>
    <x v="141"/>
    <x v="1"/>
    <x v="1"/>
    <x v="1"/>
    <x v="1"/>
    <x v="1"/>
    <x v="1"/>
    <x v="1"/>
    <x v="1"/>
    <x v="1"/>
    <x v="1"/>
  </r>
  <r>
    <x v="120"/>
    <x v="46"/>
    <x v="174"/>
    <x v="6"/>
    <x v="150"/>
    <x v="131"/>
    <x v="142"/>
    <x v="47"/>
    <x v="88"/>
    <x v="89"/>
    <x v="9"/>
    <x v="9"/>
    <x v="14"/>
    <x v="0"/>
    <x v="1"/>
    <x v="28"/>
    <x v="1"/>
  </r>
  <r>
    <x v="118"/>
    <x v="31"/>
    <x v="175"/>
    <x v="14"/>
    <x v="151"/>
    <x v="132"/>
    <x v="143"/>
    <x v="48"/>
    <x v="89"/>
    <x v="90"/>
    <x v="15"/>
    <x v="17"/>
    <x v="62"/>
    <x v="6"/>
    <x v="10"/>
    <x v="29"/>
    <x v="33"/>
  </r>
  <r>
    <x v="121"/>
    <x v="49"/>
    <x v="176"/>
    <x v="1"/>
    <x v="152"/>
    <x v="133"/>
    <x v="144"/>
    <x v="1"/>
    <x v="1"/>
    <x v="1"/>
    <x v="1"/>
    <x v="1"/>
    <x v="1"/>
    <x v="1"/>
    <x v="1"/>
    <x v="1"/>
    <x v="1"/>
  </r>
  <r>
    <x v="122"/>
    <x v="40"/>
    <x v="177"/>
    <x v="34"/>
    <x v="153"/>
    <x v="134"/>
    <x v="145"/>
    <x v="1"/>
    <x v="1"/>
    <x v="1"/>
    <x v="1"/>
    <x v="1"/>
    <x v="1"/>
    <x v="1"/>
    <x v="1"/>
    <x v="1"/>
    <x v="1"/>
  </r>
  <r>
    <x v="122"/>
    <x v="40"/>
    <x v="178"/>
    <x v="60"/>
    <x v="154"/>
    <x v="135"/>
    <x v="146"/>
    <x v="49"/>
    <x v="90"/>
    <x v="91"/>
    <x v="4"/>
    <x v="4"/>
    <x v="63"/>
    <x v="8"/>
    <x v="1"/>
    <x v="30"/>
    <x v="1"/>
  </r>
  <r>
    <x v="123"/>
    <x v="108"/>
    <x v="179"/>
    <x v="61"/>
    <x v="56"/>
    <x v="12"/>
    <x v="147"/>
    <x v="50"/>
    <x v="1"/>
    <x v="9"/>
    <x v="22"/>
    <x v="23"/>
    <x v="9"/>
    <x v="13"/>
    <x v="15"/>
    <x v="31"/>
    <x v="34"/>
  </r>
</pivotCacheRecords>
</file>

<file path=xl/pivotCache/pivotCacheRecords45.xml><?xml version="1.0" encoding="utf-8"?>
<pivotCacheRecords xmlns="http://schemas.openxmlformats.org/spreadsheetml/2006/main" xmlns:r="http://schemas.openxmlformats.org/officeDocument/2006/relationships" count="216">
  <r>
    <x v="0"/>
    <x v="0"/>
    <x v="0"/>
    <x v="0"/>
    <x v="0"/>
    <x v="0"/>
    <x v="0"/>
    <x v="0"/>
    <x v="0"/>
    <x v="0"/>
    <x v="0"/>
    <x v="0"/>
    <x v="0"/>
    <x v="0"/>
    <x v="0"/>
    <x v="0"/>
    <x v="0"/>
  </r>
  <r>
    <x v="1"/>
    <x v="1"/>
    <x v="1"/>
    <x v="1"/>
    <x v="1"/>
    <x v="1"/>
    <x v="1"/>
    <x v="1"/>
    <x v="1"/>
    <x v="1"/>
    <x v="1"/>
    <x v="1"/>
    <x v="1"/>
    <x v="1"/>
    <x v="1"/>
    <x v="1"/>
    <x v="1"/>
  </r>
  <r>
    <x v="0"/>
    <x v="0"/>
    <x v="2"/>
    <x v="2"/>
    <x v="2"/>
    <x v="2"/>
    <x v="2"/>
    <x v="2"/>
    <x v="2"/>
    <x v="2"/>
    <x v="2"/>
    <x v="2"/>
    <x v="2"/>
    <x v="2"/>
    <x v="2"/>
    <x v="2"/>
    <x v="2"/>
  </r>
  <r>
    <x v="2"/>
    <x v="2"/>
    <x v="3"/>
    <x v="3"/>
    <x v="3"/>
    <x v="3"/>
    <x v="3"/>
    <x v="3"/>
    <x v="3"/>
    <x v="3"/>
    <x v="3"/>
    <x v="3"/>
    <x v="3"/>
    <x v="3"/>
    <x v="3"/>
    <x v="3"/>
    <x v="3"/>
  </r>
  <r>
    <x v="3"/>
    <x v="3"/>
    <x v="4"/>
    <x v="4"/>
    <x v="4"/>
    <x v="4"/>
    <x v="4"/>
    <x v="4"/>
    <x v="4"/>
    <x v="4"/>
    <x v="4"/>
    <x v="4"/>
    <x v="4"/>
    <x v="4"/>
    <x v="4"/>
    <x v="4"/>
    <x v="4"/>
  </r>
  <r>
    <x v="2"/>
    <x v="2"/>
    <x v="5"/>
    <x v="5"/>
    <x v="5"/>
    <x v="5"/>
    <x v="5"/>
    <x v="5"/>
    <x v="5"/>
    <x v="5"/>
    <x v="5"/>
    <x v="5"/>
    <x v="5"/>
    <x v="0"/>
    <x v="5"/>
    <x v="0"/>
    <x v="5"/>
  </r>
  <r>
    <x v="2"/>
    <x v="2"/>
    <x v="6"/>
    <x v="6"/>
    <x v="6"/>
    <x v="6"/>
    <x v="6"/>
    <x v="5"/>
    <x v="6"/>
    <x v="6"/>
    <x v="5"/>
    <x v="5"/>
    <x v="2"/>
    <x v="0"/>
    <x v="5"/>
    <x v="0"/>
    <x v="5"/>
  </r>
  <r>
    <x v="4"/>
    <x v="4"/>
    <x v="7"/>
    <x v="7"/>
    <x v="7"/>
    <x v="7"/>
    <x v="7"/>
    <x v="6"/>
    <x v="7"/>
    <x v="7"/>
    <x v="6"/>
    <x v="6"/>
    <x v="6"/>
    <x v="5"/>
    <x v="6"/>
    <x v="5"/>
    <x v="6"/>
  </r>
  <r>
    <x v="0"/>
    <x v="0"/>
    <x v="8"/>
    <x v="8"/>
    <x v="8"/>
    <x v="8"/>
    <x v="8"/>
    <x v="7"/>
    <x v="8"/>
    <x v="8"/>
    <x v="7"/>
    <x v="7"/>
    <x v="7"/>
    <x v="4"/>
    <x v="7"/>
    <x v="6"/>
    <x v="7"/>
  </r>
  <r>
    <x v="5"/>
    <x v="5"/>
    <x v="9"/>
    <x v="9"/>
    <x v="9"/>
    <x v="9"/>
    <x v="9"/>
    <x v="8"/>
    <x v="9"/>
    <x v="9"/>
    <x v="8"/>
    <x v="8"/>
    <x v="8"/>
    <x v="6"/>
    <x v="8"/>
    <x v="7"/>
    <x v="8"/>
  </r>
  <r>
    <x v="6"/>
    <x v="6"/>
    <x v="10"/>
    <x v="10"/>
    <x v="10"/>
    <x v="10"/>
    <x v="10"/>
    <x v="5"/>
    <x v="10"/>
    <x v="10"/>
    <x v="5"/>
    <x v="5"/>
    <x v="9"/>
    <x v="0"/>
    <x v="5"/>
    <x v="0"/>
    <x v="5"/>
  </r>
  <r>
    <x v="7"/>
    <x v="7"/>
    <x v="11"/>
    <x v="11"/>
    <x v="11"/>
    <x v="11"/>
    <x v="11"/>
    <x v="9"/>
    <x v="11"/>
    <x v="11"/>
    <x v="9"/>
    <x v="9"/>
    <x v="10"/>
    <x v="1"/>
    <x v="5"/>
    <x v="1"/>
    <x v="5"/>
  </r>
  <r>
    <x v="8"/>
    <x v="8"/>
    <x v="12"/>
    <x v="12"/>
    <x v="12"/>
    <x v="12"/>
    <x v="12"/>
    <x v="1"/>
    <x v="1"/>
    <x v="12"/>
    <x v="1"/>
    <x v="1"/>
    <x v="11"/>
    <x v="1"/>
    <x v="1"/>
    <x v="1"/>
    <x v="1"/>
  </r>
  <r>
    <x v="4"/>
    <x v="4"/>
    <x v="13"/>
    <x v="13"/>
    <x v="13"/>
    <x v="13"/>
    <x v="13"/>
    <x v="10"/>
    <x v="12"/>
    <x v="13"/>
    <x v="10"/>
    <x v="10"/>
    <x v="12"/>
    <x v="7"/>
    <x v="9"/>
    <x v="5"/>
    <x v="9"/>
  </r>
  <r>
    <x v="9"/>
    <x v="9"/>
    <x v="14"/>
    <x v="14"/>
    <x v="14"/>
    <x v="14"/>
    <x v="14"/>
    <x v="9"/>
    <x v="13"/>
    <x v="14"/>
    <x v="9"/>
    <x v="9"/>
    <x v="13"/>
    <x v="1"/>
    <x v="5"/>
    <x v="1"/>
    <x v="5"/>
  </r>
  <r>
    <x v="10"/>
    <x v="10"/>
    <x v="15"/>
    <x v="15"/>
    <x v="15"/>
    <x v="15"/>
    <x v="15"/>
    <x v="11"/>
    <x v="14"/>
    <x v="15"/>
    <x v="11"/>
    <x v="11"/>
    <x v="14"/>
    <x v="8"/>
    <x v="0"/>
    <x v="8"/>
    <x v="10"/>
  </r>
  <r>
    <x v="11"/>
    <x v="11"/>
    <x v="16"/>
    <x v="16"/>
    <x v="16"/>
    <x v="16"/>
    <x v="16"/>
    <x v="1"/>
    <x v="1"/>
    <x v="1"/>
    <x v="1"/>
    <x v="1"/>
    <x v="1"/>
    <x v="1"/>
    <x v="1"/>
    <x v="1"/>
    <x v="1"/>
  </r>
  <r>
    <x v="12"/>
    <x v="12"/>
    <x v="17"/>
    <x v="17"/>
    <x v="17"/>
    <x v="17"/>
    <x v="17"/>
    <x v="1"/>
    <x v="1"/>
    <x v="1"/>
    <x v="1"/>
    <x v="1"/>
    <x v="1"/>
    <x v="1"/>
    <x v="1"/>
    <x v="1"/>
    <x v="1"/>
  </r>
  <r>
    <x v="11"/>
    <x v="11"/>
    <x v="18"/>
    <x v="18"/>
    <x v="18"/>
    <x v="18"/>
    <x v="18"/>
    <x v="1"/>
    <x v="1"/>
    <x v="1"/>
    <x v="1"/>
    <x v="1"/>
    <x v="1"/>
    <x v="1"/>
    <x v="1"/>
    <x v="1"/>
    <x v="1"/>
  </r>
  <r>
    <x v="13"/>
    <x v="13"/>
    <x v="19"/>
    <x v="19"/>
    <x v="19"/>
    <x v="19"/>
    <x v="19"/>
    <x v="5"/>
    <x v="15"/>
    <x v="16"/>
    <x v="5"/>
    <x v="5"/>
    <x v="15"/>
    <x v="1"/>
    <x v="10"/>
    <x v="1"/>
    <x v="11"/>
  </r>
  <r>
    <x v="5"/>
    <x v="5"/>
    <x v="20"/>
    <x v="20"/>
    <x v="20"/>
    <x v="20"/>
    <x v="20"/>
    <x v="9"/>
    <x v="16"/>
    <x v="17"/>
    <x v="9"/>
    <x v="9"/>
    <x v="16"/>
    <x v="1"/>
    <x v="5"/>
    <x v="1"/>
    <x v="5"/>
  </r>
  <r>
    <x v="14"/>
    <x v="14"/>
    <x v="21"/>
    <x v="21"/>
    <x v="21"/>
    <x v="21"/>
    <x v="21"/>
    <x v="12"/>
    <x v="17"/>
    <x v="18"/>
    <x v="12"/>
    <x v="12"/>
    <x v="17"/>
    <x v="6"/>
    <x v="11"/>
    <x v="9"/>
    <x v="12"/>
  </r>
  <r>
    <x v="12"/>
    <x v="12"/>
    <x v="22"/>
    <x v="20"/>
    <x v="22"/>
    <x v="22"/>
    <x v="22"/>
    <x v="1"/>
    <x v="1"/>
    <x v="1"/>
    <x v="1"/>
    <x v="1"/>
    <x v="1"/>
    <x v="1"/>
    <x v="1"/>
    <x v="1"/>
    <x v="1"/>
  </r>
  <r>
    <x v="15"/>
    <x v="15"/>
    <x v="23"/>
    <x v="22"/>
    <x v="23"/>
    <x v="23"/>
    <x v="23"/>
    <x v="13"/>
    <x v="18"/>
    <x v="19"/>
    <x v="13"/>
    <x v="6"/>
    <x v="18"/>
    <x v="9"/>
    <x v="2"/>
    <x v="10"/>
    <x v="13"/>
  </r>
  <r>
    <x v="10"/>
    <x v="10"/>
    <x v="24"/>
    <x v="23"/>
    <x v="24"/>
    <x v="24"/>
    <x v="24"/>
    <x v="1"/>
    <x v="1"/>
    <x v="1"/>
    <x v="1"/>
    <x v="1"/>
    <x v="1"/>
    <x v="1"/>
    <x v="1"/>
    <x v="1"/>
    <x v="1"/>
  </r>
  <r>
    <x v="16"/>
    <x v="16"/>
    <x v="25"/>
    <x v="24"/>
    <x v="25"/>
    <x v="25"/>
    <x v="25"/>
    <x v="14"/>
    <x v="19"/>
    <x v="20"/>
    <x v="5"/>
    <x v="5"/>
    <x v="19"/>
    <x v="1"/>
    <x v="10"/>
    <x v="1"/>
    <x v="14"/>
  </r>
  <r>
    <x v="16"/>
    <x v="16"/>
    <x v="26"/>
    <x v="5"/>
    <x v="26"/>
    <x v="26"/>
    <x v="26"/>
    <x v="1"/>
    <x v="1"/>
    <x v="1"/>
    <x v="1"/>
    <x v="1"/>
    <x v="1"/>
    <x v="1"/>
    <x v="1"/>
    <x v="1"/>
    <x v="1"/>
  </r>
  <r>
    <x v="17"/>
    <x v="17"/>
    <x v="27"/>
    <x v="25"/>
    <x v="27"/>
    <x v="27"/>
    <x v="27"/>
    <x v="1"/>
    <x v="1"/>
    <x v="1"/>
    <x v="1"/>
    <x v="1"/>
    <x v="1"/>
    <x v="1"/>
    <x v="1"/>
    <x v="1"/>
    <x v="1"/>
  </r>
  <r>
    <x v="18"/>
    <x v="18"/>
    <x v="28"/>
    <x v="11"/>
    <x v="28"/>
    <x v="28"/>
    <x v="28"/>
    <x v="15"/>
    <x v="20"/>
    <x v="21"/>
    <x v="0"/>
    <x v="0"/>
    <x v="20"/>
    <x v="10"/>
    <x v="5"/>
    <x v="11"/>
    <x v="15"/>
  </r>
  <r>
    <x v="19"/>
    <x v="19"/>
    <x v="29"/>
    <x v="26"/>
    <x v="29"/>
    <x v="29"/>
    <x v="29"/>
    <x v="9"/>
    <x v="21"/>
    <x v="22"/>
    <x v="9"/>
    <x v="9"/>
    <x v="21"/>
    <x v="0"/>
    <x v="1"/>
    <x v="0"/>
    <x v="1"/>
  </r>
  <r>
    <x v="20"/>
    <x v="20"/>
    <x v="30"/>
    <x v="20"/>
    <x v="30"/>
    <x v="30"/>
    <x v="30"/>
    <x v="1"/>
    <x v="1"/>
    <x v="1"/>
    <x v="1"/>
    <x v="1"/>
    <x v="1"/>
    <x v="1"/>
    <x v="1"/>
    <x v="1"/>
    <x v="1"/>
  </r>
  <r>
    <x v="21"/>
    <x v="21"/>
    <x v="31"/>
    <x v="27"/>
    <x v="31"/>
    <x v="31"/>
    <x v="31"/>
    <x v="9"/>
    <x v="22"/>
    <x v="23"/>
    <x v="9"/>
    <x v="9"/>
    <x v="22"/>
    <x v="1"/>
    <x v="5"/>
    <x v="1"/>
    <x v="5"/>
  </r>
  <r>
    <x v="22"/>
    <x v="22"/>
    <x v="32"/>
    <x v="28"/>
    <x v="32"/>
    <x v="32"/>
    <x v="32"/>
    <x v="1"/>
    <x v="1"/>
    <x v="1"/>
    <x v="1"/>
    <x v="1"/>
    <x v="1"/>
    <x v="1"/>
    <x v="1"/>
    <x v="1"/>
    <x v="1"/>
  </r>
  <r>
    <x v="23"/>
    <x v="23"/>
    <x v="33"/>
    <x v="29"/>
    <x v="33"/>
    <x v="33"/>
    <x v="33"/>
    <x v="16"/>
    <x v="23"/>
    <x v="24"/>
    <x v="0"/>
    <x v="13"/>
    <x v="23"/>
    <x v="7"/>
    <x v="1"/>
    <x v="12"/>
    <x v="1"/>
  </r>
  <r>
    <x v="24"/>
    <x v="24"/>
    <x v="34"/>
    <x v="30"/>
    <x v="34"/>
    <x v="34"/>
    <x v="34"/>
    <x v="17"/>
    <x v="24"/>
    <x v="25"/>
    <x v="14"/>
    <x v="14"/>
    <x v="24"/>
    <x v="3"/>
    <x v="12"/>
    <x v="13"/>
    <x v="16"/>
  </r>
  <r>
    <x v="25"/>
    <x v="25"/>
    <x v="35"/>
    <x v="14"/>
    <x v="35"/>
    <x v="35"/>
    <x v="35"/>
    <x v="18"/>
    <x v="25"/>
    <x v="26"/>
    <x v="15"/>
    <x v="13"/>
    <x v="16"/>
    <x v="8"/>
    <x v="10"/>
    <x v="14"/>
    <x v="17"/>
  </r>
  <r>
    <x v="22"/>
    <x v="22"/>
    <x v="36"/>
    <x v="1"/>
    <x v="36"/>
    <x v="36"/>
    <x v="36"/>
    <x v="1"/>
    <x v="1"/>
    <x v="1"/>
    <x v="1"/>
    <x v="1"/>
    <x v="1"/>
    <x v="1"/>
    <x v="1"/>
    <x v="1"/>
    <x v="1"/>
  </r>
  <r>
    <x v="26"/>
    <x v="26"/>
    <x v="37"/>
    <x v="31"/>
    <x v="37"/>
    <x v="37"/>
    <x v="37"/>
    <x v="19"/>
    <x v="26"/>
    <x v="27"/>
    <x v="0"/>
    <x v="0"/>
    <x v="5"/>
    <x v="2"/>
    <x v="10"/>
    <x v="2"/>
    <x v="11"/>
  </r>
  <r>
    <x v="27"/>
    <x v="27"/>
    <x v="38"/>
    <x v="32"/>
    <x v="38"/>
    <x v="38"/>
    <x v="38"/>
    <x v="1"/>
    <x v="1"/>
    <x v="1"/>
    <x v="1"/>
    <x v="1"/>
    <x v="1"/>
    <x v="1"/>
    <x v="1"/>
    <x v="1"/>
    <x v="1"/>
  </r>
  <r>
    <x v="28"/>
    <x v="28"/>
    <x v="39"/>
    <x v="32"/>
    <x v="39"/>
    <x v="39"/>
    <x v="39"/>
    <x v="9"/>
    <x v="27"/>
    <x v="28"/>
    <x v="9"/>
    <x v="9"/>
    <x v="25"/>
    <x v="1"/>
    <x v="5"/>
    <x v="1"/>
    <x v="5"/>
  </r>
  <r>
    <x v="28"/>
    <x v="28"/>
    <x v="40"/>
    <x v="16"/>
    <x v="40"/>
    <x v="40"/>
    <x v="40"/>
    <x v="9"/>
    <x v="28"/>
    <x v="29"/>
    <x v="9"/>
    <x v="9"/>
    <x v="20"/>
    <x v="0"/>
    <x v="1"/>
    <x v="0"/>
    <x v="1"/>
  </r>
  <r>
    <x v="27"/>
    <x v="27"/>
    <x v="41"/>
    <x v="33"/>
    <x v="41"/>
    <x v="41"/>
    <x v="41"/>
    <x v="20"/>
    <x v="29"/>
    <x v="30"/>
    <x v="16"/>
    <x v="15"/>
    <x v="26"/>
    <x v="0"/>
    <x v="13"/>
    <x v="0"/>
    <x v="18"/>
  </r>
  <r>
    <x v="29"/>
    <x v="29"/>
    <x v="42"/>
    <x v="1"/>
    <x v="42"/>
    <x v="42"/>
    <x v="42"/>
    <x v="9"/>
    <x v="30"/>
    <x v="31"/>
    <x v="9"/>
    <x v="9"/>
    <x v="27"/>
    <x v="1"/>
    <x v="5"/>
    <x v="1"/>
    <x v="5"/>
  </r>
  <r>
    <x v="30"/>
    <x v="30"/>
    <x v="43"/>
    <x v="25"/>
    <x v="43"/>
    <x v="43"/>
    <x v="43"/>
    <x v="1"/>
    <x v="1"/>
    <x v="1"/>
    <x v="1"/>
    <x v="1"/>
    <x v="1"/>
    <x v="1"/>
    <x v="1"/>
    <x v="1"/>
    <x v="1"/>
  </r>
  <r>
    <x v="31"/>
    <x v="31"/>
    <x v="44"/>
    <x v="34"/>
    <x v="44"/>
    <x v="44"/>
    <x v="44"/>
    <x v="21"/>
    <x v="31"/>
    <x v="32"/>
    <x v="17"/>
    <x v="16"/>
    <x v="28"/>
    <x v="11"/>
    <x v="14"/>
    <x v="15"/>
    <x v="19"/>
  </r>
  <r>
    <x v="32"/>
    <x v="32"/>
    <x v="45"/>
    <x v="35"/>
    <x v="45"/>
    <x v="45"/>
    <x v="45"/>
    <x v="22"/>
    <x v="32"/>
    <x v="33"/>
    <x v="18"/>
    <x v="17"/>
    <x v="29"/>
    <x v="12"/>
    <x v="15"/>
    <x v="16"/>
    <x v="20"/>
  </r>
  <r>
    <x v="31"/>
    <x v="31"/>
    <x v="46"/>
    <x v="15"/>
    <x v="46"/>
    <x v="46"/>
    <x v="46"/>
    <x v="11"/>
    <x v="33"/>
    <x v="34"/>
    <x v="11"/>
    <x v="11"/>
    <x v="14"/>
    <x v="5"/>
    <x v="1"/>
    <x v="17"/>
    <x v="1"/>
  </r>
  <r>
    <x v="33"/>
    <x v="33"/>
    <x v="47"/>
    <x v="19"/>
    <x v="47"/>
    <x v="47"/>
    <x v="47"/>
    <x v="23"/>
    <x v="34"/>
    <x v="35"/>
    <x v="19"/>
    <x v="18"/>
    <x v="27"/>
    <x v="2"/>
    <x v="5"/>
    <x v="2"/>
    <x v="5"/>
  </r>
  <r>
    <x v="34"/>
    <x v="34"/>
    <x v="48"/>
    <x v="20"/>
    <x v="48"/>
    <x v="48"/>
    <x v="48"/>
    <x v="9"/>
    <x v="35"/>
    <x v="36"/>
    <x v="9"/>
    <x v="9"/>
    <x v="16"/>
    <x v="1"/>
    <x v="5"/>
    <x v="1"/>
    <x v="5"/>
  </r>
  <r>
    <x v="35"/>
    <x v="35"/>
    <x v="49"/>
    <x v="23"/>
    <x v="49"/>
    <x v="49"/>
    <x v="49"/>
    <x v="24"/>
    <x v="36"/>
    <x v="37"/>
    <x v="20"/>
    <x v="19"/>
    <x v="30"/>
    <x v="5"/>
    <x v="5"/>
    <x v="18"/>
    <x v="5"/>
  </r>
  <r>
    <x v="36"/>
    <x v="36"/>
    <x v="50"/>
    <x v="25"/>
    <x v="50"/>
    <x v="50"/>
    <x v="50"/>
    <x v="1"/>
    <x v="1"/>
    <x v="1"/>
    <x v="1"/>
    <x v="1"/>
    <x v="1"/>
    <x v="1"/>
    <x v="1"/>
    <x v="1"/>
    <x v="1"/>
  </r>
  <r>
    <x v="37"/>
    <x v="37"/>
    <x v="51"/>
    <x v="31"/>
    <x v="51"/>
    <x v="51"/>
    <x v="51"/>
    <x v="5"/>
    <x v="37"/>
    <x v="38"/>
    <x v="5"/>
    <x v="5"/>
    <x v="31"/>
    <x v="2"/>
    <x v="1"/>
    <x v="2"/>
    <x v="1"/>
  </r>
  <r>
    <x v="37"/>
    <x v="37"/>
    <x v="52"/>
    <x v="36"/>
    <x v="52"/>
    <x v="52"/>
    <x v="52"/>
    <x v="25"/>
    <x v="38"/>
    <x v="39"/>
    <x v="9"/>
    <x v="9"/>
    <x v="32"/>
    <x v="0"/>
    <x v="1"/>
    <x v="19"/>
    <x v="1"/>
  </r>
  <r>
    <x v="38"/>
    <x v="38"/>
    <x v="53"/>
    <x v="37"/>
    <x v="53"/>
    <x v="53"/>
    <x v="53"/>
    <x v="26"/>
    <x v="39"/>
    <x v="40"/>
    <x v="21"/>
    <x v="20"/>
    <x v="33"/>
    <x v="10"/>
    <x v="2"/>
    <x v="11"/>
    <x v="2"/>
  </r>
  <r>
    <x v="39"/>
    <x v="39"/>
    <x v="54"/>
    <x v="28"/>
    <x v="54"/>
    <x v="54"/>
    <x v="54"/>
    <x v="1"/>
    <x v="1"/>
    <x v="1"/>
    <x v="1"/>
    <x v="1"/>
    <x v="1"/>
    <x v="1"/>
    <x v="1"/>
    <x v="1"/>
    <x v="1"/>
  </r>
  <r>
    <x v="40"/>
    <x v="40"/>
    <x v="55"/>
    <x v="38"/>
    <x v="55"/>
    <x v="55"/>
    <x v="55"/>
    <x v="27"/>
    <x v="40"/>
    <x v="41"/>
    <x v="15"/>
    <x v="13"/>
    <x v="34"/>
    <x v="0"/>
    <x v="4"/>
    <x v="0"/>
    <x v="4"/>
  </r>
  <r>
    <x v="41"/>
    <x v="41"/>
    <x v="56"/>
    <x v="22"/>
    <x v="56"/>
    <x v="56"/>
    <x v="56"/>
    <x v="28"/>
    <x v="41"/>
    <x v="42"/>
    <x v="22"/>
    <x v="21"/>
    <x v="35"/>
    <x v="6"/>
    <x v="14"/>
    <x v="20"/>
    <x v="21"/>
  </r>
  <r>
    <x v="40"/>
    <x v="40"/>
    <x v="57"/>
    <x v="39"/>
    <x v="57"/>
    <x v="57"/>
    <x v="57"/>
    <x v="29"/>
    <x v="42"/>
    <x v="43"/>
    <x v="11"/>
    <x v="11"/>
    <x v="36"/>
    <x v="0"/>
    <x v="16"/>
    <x v="0"/>
    <x v="22"/>
  </r>
  <r>
    <x v="28"/>
    <x v="28"/>
    <x v="58"/>
    <x v="40"/>
    <x v="58"/>
    <x v="50"/>
    <x v="58"/>
    <x v="9"/>
    <x v="43"/>
    <x v="44"/>
    <x v="9"/>
    <x v="9"/>
    <x v="37"/>
    <x v="1"/>
    <x v="5"/>
    <x v="1"/>
    <x v="5"/>
  </r>
  <r>
    <x v="10"/>
    <x v="10"/>
    <x v="59"/>
    <x v="18"/>
    <x v="59"/>
    <x v="58"/>
    <x v="59"/>
    <x v="1"/>
    <x v="1"/>
    <x v="1"/>
    <x v="1"/>
    <x v="1"/>
    <x v="1"/>
    <x v="1"/>
    <x v="1"/>
    <x v="1"/>
    <x v="1"/>
  </r>
  <r>
    <x v="42"/>
    <x v="42"/>
    <x v="60"/>
    <x v="12"/>
    <x v="12"/>
    <x v="12"/>
    <x v="12"/>
    <x v="1"/>
    <x v="1"/>
    <x v="12"/>
    <x v="1"/>
    <x v="1"/>
    <x v="11"/>
    <x v="1"/>
    <x v="1"/>
    <x v="1"/>
    <x v="1"/>
  </r>
  <r>
    <x v="15"/>
    <x v="15"/>
    <x v="61"/>
    <x v="12"/>
    <x v="12"/>
    <x v="12"/>
    <x v="12"/>
    <x v="1"/>
    <x v="1"/>
    <x v="12"/>
    <x v="1"/>
    <x v="1"/>
    <x v="11"/>
    <x v="1"/>
    <x v="1"/>
    <x v="1"/>
    <x v="1"/>
  </r>
  <r>
    <x v="43"/>
    <x v="43"/>
    <x v="62"/>
    <x v="32"/>
    <x v="60"/>
    <x v="59"/>
    <x v="60"/>
    <x v="1"/>
    <x v="1"/>
    <x v="1"/>
    <x v="1"/>
    <x v="1"/>
    <x v="1"/>
    <x v="1"/>
    <x v="1"/>
    <x v="1"/>
    <x v="1"/>
  </r>
  <r>
    <x v="44"/>
    <x v="44"/>
    <x v="63"/>
    <x v="12"/>
    <x v="12"/>
    <x v="12"/>
    <x v="12"/>
    <x v="1"/>
    <x v="1"/>
    <x v="12"/>
    <x v="1"/>
    <x v="1"/>
    <x v="11"/>
    <x v="1"/>
    <x v="1"/>
    <x v="1"/>
    <x v="1"/>
  </r>
  <r>
    <x v="16"/>
    <x v="16"/>
    <x v="64"/>
    <x v="28"/>
    <x v="61"/>
    <x v="59"/>
    <x v="61"/>
    <x v="1"/>
    <x v="1"/>
    <x v="1"/>
    <x v="1"/>
    <x v="1"/>
    <x v="1"/>
    <x v="1"/>
    <x v="1"/>
    <x v="1"/>
    <x v="1"/>
  </r>
  <r>
    <x v="33"/>
    <x v="33"/>
    <x v="65"/>
    <x v="41"/>
    <x v="62"/>
    <x v="60"/>
    <x v="62"/>
    <x v="30"/>
    <x v="44"/>
    <x v="45"/>
    <x v="23"/>
    <x v="22"/>
    <x v="38"/>
    <x v="7"/>
    <x v="12"/>
    <x v="5"/>
    <x v="23"/>
  </r>
  <r>
    <x v="45"/>
    <x v="45"/>
    <x v="66"/>
    <x v="18"/>
    <x v="63"/>
    <x v="61"/>
    <x v="63"/>
    <x v="1"/>
    <x v="1"/>
    <x v="1"/>
    <x v="1"/>
    <x v="1"/>
    <x v="1"/>
    <x v="1"/>
    <x v="1"/>
    <x v="1"/>
    <x v="1"/>
  </r>
  <r>
    <x v="38"/>
    <x v="38"/>
    <x v="67"/>
    <x v="42"/>
    <x v="64"/>
    <x v="62"/>
    <x v="64"/>
    <x v="31"/>
    <x v="45"/>
    <x v="46"/>
    <x v="24"/>
    <x v="14"/>
    <x v="39"/>
    <x v="9"/>
    <x v="17"/>
    <x v="21"/>
    <x v="24"/>
  </r>
  <r>
    <x v="46"/>
    <x v="46"/>
    <x v="68"/>
    <x v="28"/>
    <x v="65"/>
    <x v="63"/>
    <x v="65"/>
    <x v="1"/>
    <x v="1"/>
    <x v="1"/>
    <x v="1"/>
    <x v="1"/>
    <x v="1"/>
    <x v="1"/>
    <x v="1"/>
    <x v="1"/>
    <x v="1"/>
  </r>
  <r>
    <x v="25"/>
    <x v="25"/>
    <x v="69"/>
    <x v="12"/>
    <x v="12"/>
    <x v="12"/>
    <x v="12"/>
    <x v="1"/>
    <x v="1"/>
    <x v="12"/>
    <x v="1"/>
    <x v="1"/>
    <x v="11"/>
    <x v="1"/>
    <x v="1"/>
    <x v="1"/>
    <x v="1"/>
  </r>
  <r>
    <x v="31"/>
    <x v="31"/>
    <x v="70"/>
    <x v="43"/>
    <x v="66"/>
    <x v="64"/>
    <x v="66"/>
    <x v="32"/>
    <x v="46"/>
    <x v="47"/>
    <x v="25"/>
    <x v="14"/>
    <x v="40"/>
    <x v="13"/>
    <x v="18"/>
    <x v="22"/>
    <x v="25"/>
  </r>
  <r>
    <x v="20"/>
    <x v="20"/>
    <x v="71"/>
    <x v="44"/>
    <x v="67"/>
    <x v="65"/>
    <x v="67"/>
    <x v="9"/>
    <x v="47"/>
    <x v="48"/>
    <x v="9"/>
    <x v="9"/>
    <x v="41"/>
    <x v="1"/>
    <x v="5"/>
    <x v="1"/>
    <x v="5"/>
  </r>
  <r>
    <x v="36"/>
    <x v="36"/>
    <x v="72"/>
    <x v="32"/>
    <x v="68"/>
    <x v="66"/>
    <x v="68"/>
    <x v="1"/>
    <x v="1"/>
    <x v="1"/>
    <x v="1"/>
    <x v="1"/>
    <x v="1"/>
    <x v="1"/>
    <x v="1"/>
    <x v="1"/>
    <x v="1"/>
  </r>
  <r>
    <x v="22"/>
    <x v="22"/>
    <x v="73"/>
    <x v="12"/>
    <x v="12"/>
    <x v="12"/>
    <x v="12"/>
    <x v="1"/>
    <x v="1"/>
    <x v="12"/>
    <x v="1"/>
    <x v="1"/>
    <x v="11"/>
    <x v="1"/>
    <x v="1"/>
    <x v="1"/>
    <x v="1"/>
  </r>
  <r>
    <x v="23"/>
    <x v="23"/>
    <x v="74"/>
    <x v="28"/>
    <x v="69"/>
    <x v="67"/>
    <x v="69"/>
    <x v="1"/>
    <x v="1"/>
    <x v="1"/>
    <x v="1"/>
    <x v="1"/>
    <x v="1"/>
    <x v="1"/>
    <x v="1"/>
    <x v="1"/>
    <x v="1"/>
  </r>
  <r>
    <x v="47"/>
    <x v="47"/>
    <x v="75"/>
    <x v="1"/>
    <x v="70"/>
    <x v="68"/>
    <x v="70"/>
    <x v="1"/>
    <x v="1"/>
    <x v="1"/>
    <x v="1"/>
    <x v="1"/>
    <x v="1"/>
    <x v="1"/>
    <x v="1"/>
    <x v="1"/>
    <x v="1"/>
  </r>
  <r>
    <x v="35"/>
    <x v="35"/>
    <x v="76"/>
    <x v="18"/>
    <x v="71"/>
    <x v="69"/>
    <x v="71"/>
    <x v="1"/>
    <x v="1"/>
    <x v="1"/>
    <x v="1"/>
    <x v="1"/>
    <x v="1"/>
    <x v="1"/>
    <x v="1"/>
    <x v="1"/>
    <x v="1"/>
  </r>
  <r>
    <x v="48"/>
    <x v="48"/>
    <x v="77"/>
    <x v="12"/>
    <x v="12"/>
    <x v="12"/>
    <x v="12"/>
    <x v="1"/>
    <x v="1"/>
    <x v="12"/>
    <x v="1"/>
    <x v="1"/>
    <x v="11"/>
    <x v="1"/>
    <x v="1"/>
    <x v="1"/>
    <x v="1"/>
  </r>
  <r>
    <x v="6"/>
    <x v="6"/>
    <x v="77"/>
    <x v="12"/>
    <x v="12"/>
    <x v="12"/>
    <x v="12"/>
    <x v="1"/>
    <x v="1"/>
    <x v="12"/>
    <x v="1"/>
    <x v="1"/>
    <x v="11"/>
    <x v="1"/>
    <x v="1"/>
    <x v="1"/>
    <x v="1"/>
  </r>
  <r>
    <x v="17"/>
    <x v="17"/>
    <x v="61"/>
    <x v="12"/>
    <x v="12"/>
    <x v="12"/>
    <x v="12"/>
    <x v="1"/>
    <x v="1"/>
    <x v="12"/>
    <x v="1"/>
    <x v="1"/>
    <x v="11"/>
    <x v="1"/>
    <x v="1"/>
    <x v="1"/>
    <x v="1"/>
  </r>
  <r>
    <x v="49"/>
    <x v="49"/>
    <x v="78"/>
    <x v="45"/>
    <x v="72"/>
    <x v="70"/>
    <x v="72"/>
    <x v="33"/>
    <x v="48"/>
    <x v="49"/>
    <x v="26"/>
    <x v="23"/>
    <x v="42"/>
    <x v="14"/>
    <x v="19"/>
    <x v="23"/>
    <x v="23"/>
  </r>
  <r>
    <x v="50"/>
    <x v="50"/>
    <x v="79"/>
    <x v="46"/>
    <x v="73"/>
    <x v="71"/>
    <x v="73"/>
    <x v="34"/>
    <x v="49"/>
    <x v="50"/>
    <x v="27"/>
    <x v="24"/>
    <x v="43"/>
    <x v="5"/>
    <x v="10"/>
    <x v="18"/>
    <x v="17"/>
  </r>
  <r>
    <x v="51"/>
    <x v="51"/>
    <x v="80"/>
    <x v="12"/>
    <x v="12"/>
    <x v="12"/>
    <x v="12"/>
    <x v="1"/>
    <x v="1"/>
    <x v="12"/>
    <x v="1"/>
    <x v="1"/>
    <x v="11"/>
    <x v="1"/>
    <x v="1"/>
    <x v="1"/>
    <x v="1"/>
  </r>
  <r>
    <x v="40"/>
    <x v="40"/>
    <x v="81"/>
    <x v="12"/>
    <x v="12"/>
    <x v="12"/>
    <x v="12"/>
    <x v="1"/>
    <x v="1"/>
    <x v="12"/>
    <x v="1"/>
    <x v="1"/>
    <x v="11"/>
    <x v="1"/>
    <x v="1"/>
    <x v="1"/>
    <x v="1"/>
  </r>
  <r>
    <x v="29"/>
    <x v="29"/>
    <x v="63"/>
    <x v="12"/>
    <x v="12"/>
    <x v="12"/>
    <x v="12"/>
    <x v="1"/>
    <x v="1"/>
    <x v="12"/>
    <x v="1"/>
    <x v="1"/>
    <x v="11"/>
    <x v="1"/>
    <x v="1"/>
    <x v="1"/>
    <x v="1"/>
  </r>
  <r>
    <x v="52"/>
    <x v="52"/>
    <x v="82"/>
    <x v="31"/>
    <x v="74"/>
    <x v="72"/>
    <x v="74"/>
    <x v="35"/>
    <x v="50"/>
    <x v="51"/>
    <x v="19"/>
    <x v="18"/>
    <x v="44"/>
    <x v="0"/>
    <x v="10"/>
    <x v="19"/>
    <x v="11"/>
  </r>
  <r>
    <x v="53"/>
    <x v="53"/>
    <x v="83"/>
    <x v="47"/>
    <x v="75"/>
    <x v="73"/>
    <x v="75"/>
    <x v="25"/>
    <x v="51"/>
    <x v="52"/>
    <x v="9"/>
    <x v="9"/>
    <x v="45"/>
    <x v="0"/>
    <x v="1"/>
    <x v="19"/>
    <x v="1"/>
  </r>
  <r>
    <x v="52"/>
    <x v="52"/>
    <x v="84"/>
    <x v="48"/>
    <x v="76"/>
    <x v="74"/>
    <x v="76"/>
    <x v="25"/>
    <x v="52"/>
    <x v="53"/>
    <x v="9"/>
    <x v="9"/>
    <x v="2"/>
    <x v="0"/>
    <x v="1"/>
    <x v="19"/>
    <x v="1"/>
  </r>
  <r>
    <x v="54"/>
    <x v="54"/>
    <x v="85"/>
    <x v="49"/>
    <x v="77"/>
    <x v="75"/>
    <x v="77"/>
    <x v="36"/>
    <x v="53"/>
    <x v="54"/>
    <x v="5"/>
    <x v="18"/>
    <x v="46"/>
    <x v="10"/>
    <x v="1"/>
    <x v="24"/>
    <x v="1"/>
  </r>
  <r>
    <x v="55"/>
    <x v="55"/>
    <x v="86"/>
    <x v="47"/>
    <x v="78"/>
    <x v="43"/>
    <x v="78"/>
    <x v="9"/>
    <x v="54"/>
    <x v="55"/>
    <x v="9"/>
    <x v="9"/>
    <x v="45"/>
    <x v="1"/>
    <x v="5"/>
    <x v="1"/>
    <x v="5"/>
  </r>
  <r>
    <x v="56"/>
    <x v="56"/>
    <x v="87"/>
    <x v="24"/>
    <x v="79"/>
    <x v="76"/>
    <x v="79"/>
    <x v="9"/>
    <x v="55"/>
    <x v="56"/>
    <x v="9"/>
    <x v="9"/>
    <x v="47"/>
    <x v="0"/>
    <x v="1"/>
    <x v="0"/>
    <x v="1"/>
  </r>
  <r>
    <x v="57"/>
    <x v="57"/>
    <x v="88"/>
    <x v="18"/>
    <x v="80"/>
    <x v="77"/>
    <x v="80"/>
    <x v="1"/>
    <x v="1"/>
    <x v="1"/>
    <x v="1"/>
    <x v="1"/>
    <x v="1"/>
    <x v="1"/>
    <x v="1"/>
    <x v="1"/>
    <x v="1"/>
  </r>
  <r>
    <x v="58"/>
    <x v="58"/>
    <x v="89"/>
    <x v="50"/>
    <x v="81"/>
    <x v="78"/>
    <x v="81"/>
    <x v="19"/>
    <x v="56"/>
    <x v="57"/>
    <x v="0"/>
    <x v="0"/>
    <x v="48"/>
    <x v="8"/>
    <x v="1"/>
    <x v="8"/>
    <x v="1"/>
  </r>
  <r>
    <x v="59"/>
    <x v="59"/>
    <x v="90"/>
    <x v="25"/>
    <x v="82"/>
    <x v="79"/>
    <x v="82"/>
    <x v="9"/>
    <x v="57"/>
    <x v="58"/>
    <x v="9"/>
    <x v="9"/>
    <x v="49"/>
    <x v="1"/>
    <x v="5"/>
    <x v="1"/>
    <x v="5"/>
  </r>
  <r>
    <x v="60"/>
    <x v="60"/>
    <x v="91"/>
    <x v="51"/>
    <x v="83"/>
    <x v="80"/>
    <x v="83"/>
    <x v="37"/>
    <x v="58"/>
    <x v="59"/>
    <x v="4"/>
    <x v="10"/>
    <x v="50"/>
    <x v="4"/>
    <x v="20"/>
    <x v="25"/>
    <x v="26"/>
  </r>
  <r>
    <x v="61"/>
    <x v="61"/>
    <x v="92"/>
    <x v="47"/>
    <x v="84"/>
    <x v="81"/>
    <x v="84"/>
    <x v="1"/>
    <x v="1"/>
    <x v="1"/>
    <x v="1"/>
    <x v="1"/>
    <x v="1"/>
    <x v="1"/>
    <x v="1"/>
    <x v="1"/>
    <x v="1"/>
  </r>
  <r>
    <x v="62"/>
    <x v="62"/>
    <x v="93"/>
    <x v="52"/>
    <x v="85"/>
    <x v="82"/>
    <x v="85"/>
    <x v="38"/>
    <x v="59"/>
    <x v="60"/>
    <x v="15"/>
    <x v="13"/>
    <x v="51"/>
    <x v="0"/>
    <x v="4"/>
    <x v="0"/>
    <x v="27"/>
  </r>
  <r>
    <x v="58"/>
    <x v="58"/>
    <x v="94"/>
    <x v="53"/>
    <x v="86"/>
    <x v="83"/>
    <x v="86"/>
    <x v="5"/>
    <x v="60"/>
    <x v="61"/>
    <x v="5"/>
    <x v="5"/>
    <x v="52"/>
    <x v="0"/>
    <x v="5"/>
    <x v="0"/>
    <x v="5"/>
  </r>
  <r>
    <x v="63"/>
    <x v="63"/>
    <x v="95"/>
    <x v="47"/>
    <x v="87"/>
    <x v="84"/>
    <x v="87"/>
    <x v="9"/>
    <x v="61"/>
    <x v="62"/>
    <x v="9"/>
    <x v="9"/>
    <x v="45"/>
    <x v="1"/>
    <x v="5"/>
    <x v="1"/>
    <x v="5"/>
  </r>
  <r>
    <x v="64"/>
    <x v="64"/>
    <x v="96"/>
    <x v="39"/>
    <x v="88"/>
    <x v="85"/>
    <x v="88"/>
    <x v="5"/>
    <x v="62"/>
    <x v="63"/>
    <x v="5"/>
    <x v="5"/>
    <x v="53"/>
    <x v="0"/>
    <x v="5"/>
    <x v="0"/>
    <x v="5"/>
  </r>
  <r>
    <x v="65"/>
    <x v="65"/>
    <x v="97"/>
    <x v="18"/>
    <x v="89"/>
    <x v="86"/>
    <x v="89"/>
    <x v="1"/>
    <x v="1"/>
    <x v="1"/>
    <x v="1"/>
    <x v="1"/>
    <x v="1"/>
    <x v="1"/>
    <x v="1"/>
    <x v="1"/>
    <x v="1"/>
  </r>
  <r>
    <x v="57"/>
    <x v="57"/>
    <x v="98"/>
    <x v="28"/>
    <x v="90"/>
    <x v="87"/>
    <x v="90"/>
    <x v="1"/>
    <x v="1"/>
    <x v="1"/>
    <x v="1"/>
    <x v="1"/>
    <x v="1"/>
    <x v="1"/>
    <x v="1"/>
    <x v="1"/>
    <x v="1"/>
  </r>
  <r>
    <x v="58"/>
    <x v="58"/>
    <x v="99"/>
    <x v="48"/>
    <x v="91"/>
    <x v="87"/>
    <x v="78"/>
    <x v="5"/>
    <x v="63"/>
    <x v="64"/>
    <x v="5"/>
    <x v="5"/>
    <x v="49"/>
    <x v="0"/>
    <x v="5"/>
    <x v="0"/>
    <x v="5"/>
  </r>
  <r>
    <x v="66"/>
    <x v="66"/>
    <x v="100"/>
    <x v="54"/>
    <x v="92"/>
    <x v="88"/>
    <x v="91"/>
    <x v="5"/>
    <x v="64"/>
    <x v="65"/>
    <x v="5"/>
    <x v="5"/>
    <x v="54"/>
    <x v="0"/>
    <x v="5"/>
    <x v="0"/>
    <x v="5"/>
  </r>
  <r>
    <x v="67"/>
    <x v="67"/>
    <x v="101"/>
    <x v="55"/>
    <x v="93"/>
    <x v="89"/>
    <x v="92"/>
    <x v="27"/>
    <x v="65"/>
    <x v="66"/>
    <x v="16"/>
    <x v="13"/>
    <x v="55"/>
    <x v="2"/>
    <x v="13"/>
    <x v="2"/>
    <x v="28"/>
  </r>
  <r>
    <x v="68"/>
    <x v="68"/>
    <x v="102"/>
    <x v="14"/>
    <x v="94"/>
    <x v="90"/>
    <x v="93"/>
    <x v="39"/>
    <x v="66"/>
    <x v="67"/>
    <x v="16"/>
    <x v="15"/>
    <x v="56"/>
    <x v="0"/>
    <x v="13"/>
    <x v="0"/>
    <x v="29"/>
  </r>
  <r>
    <x v="67"/>
    <x v="67"/>
    <x v="103"/>
    <x v="26"/>
    <x v="95"/>
    <x v="91"/>
    <x v="94"/>
    <x v="40"/>
    <x v="67"/>
    <x v="68"/>
    <x v="5"/>
    <x v="5"/>
    <x v="57"/>
    <x v="1"/>
    <x v="10"/>
    <x v="1"/>
    <x v="17"/>
  </r>
  <r>
    <x v="69"/>
    <x v="69"/>
    <x v="104"/>
    <x v="56"/>
    <x v="96"/>
    <x v="92"/>
    <x v="95"/>
    <x v="0"/>
    <x v="68"/>
    <x v="69"/>
    <x v="0"/>
    <x v="0"/>
    <x v="58"/>
    <x v="2"/>
    <x v="10"/>
    <x v="26"/>
    <x v="11"/>
  </r>
  <r>
    <x v="10"/>
    <x v="10"/>
    <x v="105"/>
    <x v="12"/>
    <x v="12"/>
    <x v="12"/>
    <x v="12"/>
    <x v="1"/>
    <x v="1"/>
    <x v="12"/>
    <x v="1"/>
    <x v="1"/>
    <x v="11"/>
    <x v="1"/>
    <x v="1"/>
    <x v="1"/>
    <x v="1"/>
  </r>
  <r>
    <x v="15"/>
    <x v="15"/>
    <x v="106"/>
    <x v="28"/>
    <x v="97"/>
    <x v="93"/>
    <x v="96"/>
    <x v="1"/>
    <x v="1"/>
    <x v="1"/>
    <x v="1"/>
    <x v="1"/>
    <x v="1"/>
    <x v="1"/>
    <x v="1"/>
    <x v="1"/>
    <x v="1"/>
  </r>
  <r>
    <x v="10"/>
    <x v="10"/>
    <x v="107"/>
    <x v="48"/>
    <x v="98"/>
    <x v="94"/>
    <x v="97"/>
    <x v="9"/>
    <x v="69"/>
    <x v="70"/>
    <x v="9"/>
    <x v="9"/>
    <x v="2"/>
    <x v="0"/>
    <x v="1"/>
    <x v="0"/>
    <x v="1"/>
  </r>
  <r>
    <x v="14"/>
    <x v="14"/>
    <x v="108"/>
    <x v="57"/>
    <x v="99"/>
    <x v="95"/>
    <x v="98"/>
    <x v="41"/>
    <x v="70"/>
    <x v="71"/>
    <x v="11"/>
    <x v="11"/>
    <x v="59"/>
    <x v="1"/>
    <x v="20"/>
    <x v="1"/>
    <x v="30"/>
  </r>
  <r>
    <x v="31"/>
    <x v="31"/>
    <x v="109"/>
    <x v="28"/>
    <x v="100"/>
    <x v="96"/>
    <x v="99"/>
    <x v="9"/>
    <x v="71"/>
    <x v="72"/>
    <x v="9"/>
    <x v="9"/>
    <x v="60"/>
    <x v="0"/>
    <x v="1"/>
    <x v="0"/>
    <x v="1"/>
  </r>
  <r>
    <x v="32"/>
    <x v="32"/>
    <x v="110"/>
    <x v="1"/>
    <x v="101"/>
    <x v="97"/>
    <x v="100"/>
    <x v="9"/>
    <x v="72"/>
    <x v="73"/>
    <x v="9"/>
    <x v="9"/>
    <x v="27"/>
    <x v="0"/>
    <x v="1"/>
    <x v="0"/>
    <x v="1"/>
  </r>
  <r>
    <x v="70"/>
    <x v="70"/>
    <x v="111"/>
    <x v="23"/>
    <x v="102"/>
    <x v="98"/>
    <x v="101"/>
    <x v="42"/>
    <x v="73"/>
    <x v="74"/>
    <x v="16"/>
    <x v="15"/>
    <x v="45"/>
    <x v="8"/>
    <x v="5"/>
    <x v="8"/>
    <x v="31"/>
  </r>
  <r>
    <x v="71"/>
    <x v="71"/>
    <x v="112"/>
    <x v="18"/>
    <x v="103"/>
    <x v="74"/>
    <x v="102"/>
    <x v="9"/>
    <x v="74"/>
    <x v="75"/>
    <x v="9"/>
    <x v="9"/>
    <x v="61"/>
    <x v="0"/>
    <x v="1"/>
    <x v="0"/>
    <x v="1"/>
  </r>
  <r>
    <x v="71"/>
    <x v="71"/>
    <x v="113"/>
    <x v="24"/>
    <x v="104"/>
    <x v="99"/>
    <x v="103"/>
    <x v="43"/>
    <x v="75"/>
    <x v="76"/>
    <x v="16"/>
    <x v="15"/>
    <x v="62"/>
    <x v="10"/>
    <x v="10"/>
    <x v="11"/>
    <x v="11"/>
  </r>
  <r>
    <x v="72"/>
    <x v="72"/>
    <x v="114"/>
    <x v="40"/>
    <x v="105"/>
    <x v="93"/>
    <x v="104"/>
    <x v="1"/>
    <x v="1"/>
    <x v="1"/>
    <x v="1"/>
    <x v="1"/>
    <x v="1"/>
    <x v="1"/>
    <x v="1"/>
    <x v="1"/>
    <x v="1"/>
  </r>
  <r>
    <x v="73"/>
    <x v="73"/>
    <x v="115"/>
    <x v="58"/>
    <x v="106"/>
    <x v="100"/>
    <x v="105"/>
    <x v="44"/>
    <x v="76"/>
    <x v="77"/>
    <x v="15"/>
    <x v="13"/>
    <x v="63"/>
    <x v="2"/>
    <x v="13"/>
    <x v="2"/>
    <x v="32"/>
  </r>
  <r>
    <x v="72"/>
    <x v="72"/>
    <x v="116"/>
    <x v="47"/>
    <x v="107"/>
    <x v="67"/>
    <x v="106"/>
    <x v="9"/>
    <x v="77"/>
    <x v="78"/>
    <x v="9"/>
    <x v="9"/>
    <x v="45"/>
    <x v="0"/>
    <x v="1"/>
    <x v="0"/>
    <x v="1"/>
  </r>
  <r>
    <x v="74"/>
    <x v="74"/>
    <x v="117"/>
    <x v="28"/>
    <x v="108"/>
    <x v="101"/>
    <x v="107"/>
    <x v="1"/>
    <x v="1"/>
    <x v="1"/>
    <x v="1"/>
    <x v="1"/>
    <x v="1"/>
    <x v="1"/>
    <x v="1"/>
    <x v="1"/>
    <x v="1"/>
  </r>
  <r>
    <x v="73"/>
    <x v="73"/>
    <x v="118"/>
    <x v="10"/>
    <x v="109"/>
    <x v="102"/>
    <x v="108"/>
    <x v="1"/>
    <x v="1"/>
    <x v="1"/>
    <x v="1"/>
    <x v="1"/>
    <x v="1"/>
    <x v="1"/>
    <x v="1"/>
    <x v="1"/>
    <x v="1"/>
  </r>
  <r>
    <x v="75"/>
    <x v="75"/>
    <x v="119"/>
    <x v="59"/>
    <x v="110"/>
    <x v="103"/>
    <x v="109"/>
    <x v="1"/>
    <x v="1"/>
    <x v="1"/>
    <x v="1"/>
    <x v="1"/>
    <x v="1"/>
    <x v="1"/>
    <x v="1"/>
    <x v="1"/>
    <x v="1"/>
  </r>
  <r>
    <x v="76"/>
    <x v="76"/>
    <x v="120"/>
    <x v="20"/>
    <x v="111"/>
    <x v="104"/>
    <x v="110"/>
    <x v="1"/>
    <x v="1"/>
    <x v="1"/>
    <x v="1"/>
    <x v="1"/>
    <x v="1"/>
    <x v="1"/>
    <x v="1"/>
    <x v="1"/>
    <x v="1"/>
  </r>
  <r>
    <x v="77"/>
    <x v="77"/>
    <x v="121"/>
    <x v="12"/>
    <x v="12"/>
    <x v="12"/>
    <x v="12"/>
    <x v="1"/>
    <x v="1"/>
    <x v="12"/>
    <x v="1"/>
    <x v="1"/>
    <x v="11"/>
    <x v="1"/>
    <x v="1"/>
    <x v="1"/>
    <x v="1"/>
  </r>
  <r>
    <x v="75"/>
    <x v="75"/>
    <x v="122"/>
    <x v="12"/>
    <x v="12"/>
    <x v="12"/>
    <x v="12"/>
    <x v="1"/>
    <x v="1"/>
    <x v="12"/>
    <x v="1"/>
    <x v="1"/>
    <x v="11"/>
    <x v="1"/>
    <x v="1"/>
    <x v="1"/>
    <x v="1"/>
  </r>
  <r>
    <x v="76"/>
    <x v="76"/>
    <x v="123"/>
    <x v="12"/>
    <x v="12"/>
    <x v="12"/>
    <x v="12"/>
    <x v="1"/>
    <x v="1"/>
    <x v="12"/>
    <x v="1"/>
    <x v="1"/>
    <x v="11"/>
    <x v="1"/>
    <x v="1"/>
    <x v="1"/>
    <x v="1"/>
  </r>
  <r>
    <x v="78"/>
    <x v="78"/>
    <x v="98"/>
    <x v="28"/>
    <x v="90"/>
    <x v="105"/>
    <x v="80"/>
    <x v="1"/>
    <x v="1"/>
    <x v="1"/>
    <x v="1"/>
    <x v="1"/>
    <x v="1"/>
    <x v="1"/>
    <x v="1"/>
    <x v="1"/>
    <x v="1"/>
  </r>
  <r>
    <x v="79"/>
    <x v="79"/>
    <x v="124"/>
    <x v="26"/>
    <x v="112"/>
    <x v="106"/>
    <x v="111"/>
    <x v="5"/>
    <x v="78"/>
    <x v="79"/>
    <x v="19"/>
    <x v="18"/>
    <x v="16"/>
    <x v="2"/>
    <x v="5"/>
    <x v="0"/>
    <x v="5"/>
  </r>
  <r>
    <x v="79"/>
    <x v="79"/>
    <x v="125"/>
    <x v="48"/>
    <x v="113"/>
    <x v="107"/>
    <x v="112"/>
    <x v="1"/>
    <x v="1"/>
    <x v="1"/>
    <x v="1"/>
    <x v="1"/>
    <x v="1"/>
    <x v="1"/>
    <x v="1"/>
    <x v="1"/>
    <x v="1"/>
  </r>
  <r>
    <x v="80"/>
    <x v="80"/>
    <x v="126"/>
    <x v="1"/>
    <x v="114"/>
    <x v="108"/>
    <x v="113"/>
    <x v="9"/>
    <x v="79"/>
    <x v="80"/>
    <x v="9"/>
    <x v="9"/>
    <x v="27"/>
    <x v="1"/>
    <x v="5"/>
    <x v="1"/>
    <x v="5"/>
  </r>
  <r>
    <x v="81"/>
    <x v="81"/>
    <x v="127"/>
    <x v="12"/>
    <x v="12"/>
    <x v="12"/>
    <x v="12"/>
    <x v="1"/>
    <x v="1"/>
    <x v="12"/>
    <x v="1"/>
    <x v="1"/>
    <x v="11"/>
    <x v="1"/>
    <x v="1"/>
    <x v="1"/>
    <x v="1"/>
  </r>
  <r>
    <x v="82"/>
    <x v="82"/>
    <x v="128"/>
    <x v="18"/>
    <x v="115"/>
    <x v="109"/>
    <x v="114"/>
    <x v="9"/>
    <x v="80"/>
    <x v="81"/>
    <x v="9"/>
    <x v="9"/>
    <x v="61"/>
    <x v="0"/>
    <x v="1"/>
    <x v="0"/>
    <x v="1"/>
  </r>
  <r>
    <x v="83"/>
    <x v="83"/>
    <x v="129"/>
    <x v="28"/>
    <x v="116"/>
    <x v="110"/>
    <x v="115"/>
    <x v="1"/>
    <x v="1"/>
    <x v="1"/>
    <x v="1"/>
    <x v="1"/>
    <x v="1"/>
    <x v="1"/>
    <x v="1"/>
    <x v="1"/>
    <x v="1"/>
  </r>
  <r>
    <x v="84"/>
    <x v="84"/>
    <x v="130"/>
    <x v="26"/>
    <x v="117"/>
    <x v="111"/>
    <x v="116"/>
    <x v="45"/>
    <x v="81"/>
    <x v="82"/>
    <x v="9"/>
    <x v="9"/>
    <x v="21"/>
    <x v="0"/>
    <x v="1"/>
    <x v="27"/>
    <x v="1"/>
  </r>
  <r>
    <x v="83"/>
    <x v="83"/>
    <x v="131"/>
    <x v="12"/>
    <x v="12"/>
    <x v="12"/>
    <x v="12"/>
    <x v="1"/>
    <x v="1"/>
    <x v="12"/>
    <x v="1"/>
    <x v="1"/>
    <x v="11"/>
    <x v="1"/>
    <x v="1"/>
    <x v="1"/>
    <x v="1"/>
  </r>
  <r>
    <x v="82"/>
    <x v="82"/>
    <x v="132"/>
    <x v="28"/>
    <x v="118"/>
    <x v="43"/>
    <x v="114"/>
    <x v="1"/>
    <x v="1"/>
    <x v="1"/>
    <x v="1"/>
    <x v="1"/>
    <x v="1"/>
    <x v="1"/>
    <x v="1"/>
    <x v="1"/>
    <x v="1"/>
  </r>
  <r>
    <x v="81"/>
    <x v="81"/>
    <x v="133"/>
    <x v="28"/>
    <x v="119"/>
    <x v="93"/>
    <x v="96"/>
    <x v="1"/>
    <x v="1"/>
    <x v="1"/>
    <x v="1"/>
    <x v="1"/>
    <x v="1"/>
    <x v="1"/>
    <x v="1"/>
    <x v="1"/>
    <x v="1"/>
  </r>
  <r>
    <x v="80"/>
    <x v="80"/>
    <x v="134"/>
    <x v="47"/>
    <x v="120"/>
    <x v="112"/>
    <x v="117"/>
    <x v="1"/>
    <x v="1"/>
    <x v="1"/>
    <x v="1"/>
    <x v="1"/>
    <x v="1"/>
    <x v="1"/>
    <x v="1"/>
    <x v="1"/>
    <x v="1"/>
  </r>
  <r>
    <x v="12"/>
    <x v="12"/>
    <x v="135"/>
    <x v="25"/>
    <x v="121"/>
    <x v="6"/>
    <x v="118"/>
    <x v="46"/>
    <x v="82"/>
    <x v="83"/>
    <x v="9"/>
    <x v="9"/>
    <x v="49"/>
    <x v="0"/>
    <x v="1"/>
    <x v="28"/>
    <x v="1"/>
  </r>
  <r>
    <x v="85"/>
    <x v="85"/>
    <x v="136"/>
    <x v="25"/>
    <x v="122"/>
    <x v="105"/>
    <x v="119"/>
    <x v="9"/>
    <x v="83"/>
    <x v="84"/>
    <x v="9"/>
    <x v="9"/>
    <x v="49"/>
    <x v="1"/>
    <x v="5"/>
    <x v="1"/>
    <x v="5"/>
  </r>
  <r>
    <x v="86"/>
    <x v="86"/>
    <x v="137"/>
    <x v="60"/>
    <x v="123"/>
    <x v="113"/>
    <x v="120"/>
    <x v="47"/>
    <x v="84"/>
    <x v="85"/>
    <x v="0"/>
    <x v="15"/>
    <x v="46"/>
    <x v="2"/>
    <x v="0"/>
    <x v="29"/>
    <x v="10"/>
  </r>
  <r>
    <x v="87"/>
    <x v="87"/>
    <x v="138"/>
    <x v="59"/>
    <x v="124"/>
    <x v="114"/>
    <x v="121"/>
    <x v="23"/>
    <x v="35"/>
    <x v="36"/>
    <x v="5"/>
    <x v="18"/>
    <x v="64"/>
    <x v="0"/>
    <x v="10"/>
    <x v="0"/>
    <x v="11"/>
  </r>
  <r>
    <x v="85"/>
    <x v="85"/>
    <x v="139"/>
    <x v="18"/>
    <x v="125"/>
    <x v="115"/>
    <x v="50"/>
    <x v="1"/>
    <x v="1"/>
    <x v="1"/>
    <x v="1"/>
    <x v="1"/>
    <x v="1"/>
    <x v="1"/>
    <x v="1"/>
    <x v="1"/>
    <x v="1"/>
  </r>
  <r>
    <x v="88"/>
    <x v="88"/>
    <x v="140"/>
    <x v="15"/>
    <x v="126"/>
    <x v="116"/>
    <x v="122"/>
    <x v="5"/>
    <x v="85"/>
    <x v="86"/>
    <x v="5"/>
    <x v="5"/>
    <x v="65"/>
    <x v="0"/>
    <x v="5"/>
    <x v="0"/>
    <x v="5"/>
  </r>
  <r>
    <x v="89"/>
    <x v="89"/>
    <x v="141"/>
    <x v="16"/>
    <x v="127"/>
    <x v="117"/>
    <x v="123"/>
    <x v="9"/>
    <x v="86"/>
    <x v="87"/>
    <x v="9"/>
    <x v="9"/>
    <x v="20"/>
    <x v="1"/>
    <x v="5"/>
    <x v="1"/>
    <x v="5"/>
  </r>
  <r>
    <x v="88"/>
    <x v="88"/>
    <x v="142"/>
    <x v="61"/>
    <x v="128"/>
    <x v="118"/>
    <x v="124"/>
    <x v="48"/>
    <x v="87"/>
    <x v="88"/>
    <x v="4"/>
    <x v="4"/>
    <x v="66"/>
    <x v="4"/>
    <x v="4"/>
    <x v="30"/>
    <x v="27"/>
  </r>
  <r>
    <x v="90"/>
    <x v="90"/>
    <x v="143"/>
    <x v="62"/>
    <x v="129"/>
    <x v="119"/>
    <x v="125"/>
    <x v="49"/>
    <x v="88"/>
    <x v="89"/>
    <x v="28"/>
    <x v="25"/>
    <x v="19"/>
    <x v="3"/>
    <x v="13"/>
    <x v="31"/>
    <x v="29"/>
  </r>
  <r>
    <x v="91"/>
    <x v="91"/>
    <x v="144"/>
    <x v="63"/>
    <x v="130"/>
    <x v="120"/>
    <x v="126"/>
    <x v="50"/>
    <x v="89"/>
    <x v="90"/>
    <x v="29"/>
    <x v="26"/>
    <x v="67"/>
    <x v="15"/>
    <x v="21"/>
    <x v="32"/>
    <x v="33"/>
  </r>
  <r>
    <x v="92"/>
    <x v="92"/>
    <x v="145"/>
    <x v="64"/>
    <x v="131"/>
    <x v="121"/>
    <x v="127"/>
    <x v="51"/>
    <x v="90"/>
    <x v="91"/>
    <x v="0"/>
    <x v="0"/>
    <x v="68"/>
    <x v="0"/>
    <x v="0"/>
    <x v="0"/>
    <x v="34"/>
  </r>
  <r>
    <x v="93"/>
    <x v="93"/>
    <x v="146"/>
    <x v="33"/>
    <x v="132"/>
    <x v="122"/>
    <x v="128"/>
    <x v="11"/>
    <x v="91"/>
    <x v="92"/>
    <x v="11"/>
    <x v="11"/>
    <x v="2"/>
    <x v="8"/>
    <x v="0"/>
    <x v="8"/>
    <x v="10"/>
  </r>
  <r>
    <x v="94"/>
    <x v="94"/>
    <x v="147"/>
    <x v="65"/>
    <x v="133"/>
    <x v="123"/>
    <x v="129"/>
    <x v="52"/>
    <x v="92"/>
    <x v="93"/>
    <x v="25"/>
    <x v="27"/>
    <x v="69"/>
    <x v="5"/>
    <x v="12"/>
    <x v="17"/>
    <x v="35"/>
  </r>
  <r>
    <x v="92"/>
    <x v="92"/>
    <x v="148"/>
    <x v="12"/>
    <x v="134"/>
    <x v="12"/>
    <x v="12"/>
    <x v="1"/>
    <x v="1"/>
    <x v="12"/>
    <x v="1"/>
    <x v="1"/>
    <x v="11"/>
    <x v="1"/>
    <x v="1"/>
    <x v="1"/>
    <x v="1"/>
  </r>
  <r>
    <x v="91"/>
    <x v="91"/>
    <x v="149"/>
    <x v="66"/>
    <x v="135"/>
    <x v="124"/>
    <x v="130"/>
    <x v="53"/>
    <x v="93"/>
    <x v="94"/>
    <x v="7"/>
    <x v="28"/>
    <x v="70"/>
    <x v="16"/>
    <x v="9"/>
    <x v="33"/>
    <x v="36"/>
  </r>
  <r>
    <x v="95"/>
    <x v="95"/>
    <x v="148"/>
    <x v="12"/>
    <x v="134"/>
    <x v="12"/>
    <x v="12"/>
    <x v="1"/>
    <x v="1"/>
    <x v="12"/>
    <x v="1"/>
    <x v="1"/>
    <x v="11"/>
    <x v="1"/>
    <x v="1"/>
    <x v="1"/>
    <x v="1"/>
  </r>
  <r>
    <x v="90"/>
    <x v="90"/>
    <x v="150"/>
    <x v="67"/>
    <x v="136"/>
    <x v="125"/>
    <x v="131"/>
    <x v="54"/>
    <x v="94"/>
    <x v="95"/>
    <x v="30"/>
    <x v="29"/>
    <x v="25"/>
    <x v="17"/>
    <x v="10"/>
    <x v="34"/>
    <x v="11"/>
  </r>
  <r>
    <x v="96"/>
    <x v="96"/>
    <x v="151"/>
    <x v="68"/>
    <x v="137"/>
    <x v="126"/>
    <x v="132"/>
    <x v="23"/>
    <x v="95"/>
    <x v="96"/>
    <x v="19"/>
    <x v="18"/>
    <x v="71"/>
    <x v="0"/>
    <x v="10"/>
    <x v="0"/>
    <x v="11"/>
  </r>
  <r>
    <x v="97"/>
    <x v="97"/>
    <x v="152"/>
    <x v="69"/>
    <x v="138"/>
    <x v="127"/>
    <x v="133"/>
    <x v="23"/>
    <x v="96"/>
    <x v="97"/>
    <x v="19"/>
    <x v="18"/>
    <x v="49"/>
    <x v="2"/>
    <x v="5"/>
    <x v="2"/>
    <x v="5"/>
  </r>
  <r>
    <x v="93"/>
    <x v="93"/>
    <x v="153"/>
    <x v="23"/>
    <x v="139"/>
    <x v="128"/>
    <x v="134"/>
    <x v="23"/>
    <x v="97"/>
    <x v="98"/>
    <x v="19"/>
    <x v="18"/>
    <x v="20"/>
    <x v="10"/>
    <x v="1"/>
    <x v="35"/>
    <x v="1"/>
  </r>
  <r>
    <x v="94"/>
    <x v="94"/>
    <x v="154"/>
    <x v="70"/>
    <x v="140"/>
    <x v="129"/>
    <x v="135"/>
    <x v="55"/>
    <x v="98"/>
    <x v="99"/>
    <x v="14"/>
    <x v="30"/>
    <x v="72"/>
    <x v="10"/>
    <x v="22"/>
    <x v="35"/>
    <x v="37"/>
  </r>
  <r>
    <x v="91"/>
    <x v="91"/>
    <x v="155"/>
    <x v="71"/>
    <x v="141"/>
    <x v="130"/>
    <x v="136"/>
    <x v="34"/>
    <x v="99"/>
    <x v="100"/>
    <x v="27"/>
    <x v="24"/>
    <x v="73"/>
    <x v="7"/>
    <x v="0"/>
    <x v="36"/>
    <x v="0"/>
  </r>
  <r>
    <x v="92"/>
    <x v="92"/>
    <x v="156"/>
    <x v="58"/>
    <x v="142"/>
    <x v="131"/>
    <x v="137"/>
    <x v="23"/>
    <x v="100"/>
    <x v="101"/>
    <x v="19"/>
    <x v="18"/>
    <x v="43"/>
    <x v="0"/>
    <x v="10"/>
    <x v="0"/>
    <x v="11"/>
  </r>
  <r>
    <x v="98"/>
    <x v="98"/>
    <x v="157"/>
    <x v="72"/>
    <x v="143"/>
    <x v="132"/>
    <x v="138"/>
    <x v="5"/>
    <x v="101"/>
    <x v="102"/>
    <x v="5"/>
    <x v="5"/>
    <x v="32"/>
    <x v="1"/>
    <x v="10"/>
    <x v="1"/>
    <x v="11"/>
  </r>
  <r>
    <x v="99"/>
    <x v="99"/>
    <x v="158"/>
    <x v="73"/>
    <x v="144"/>
    <x v="133"/>
    <x v="139"/>
    <x v="51"/>
    <x v="102"/>
    <x v="103"/>
    <x v="0"/>
    <x v="0"/>
    <x v="74"/>
    <x v="2"/>
    <x v="10"/>
    <x v="37"/>
    <x v="11"/>
  </r>
  <r>
    <x v="98"/>
    <x v="98"/>
    <x v="159"/>
    <x v="32"/>
    <x v="145"/>
    <x v="134"/>
    <x v="140"/>
    <x v="5"/>
    <x v="103"/>
    <x v="104"/>
    <x v="5"/>
    <x v="5"/>
    <x v="75"/>
    <x v="0"/>
    <x v="5"/>
    <x v="0"/>
    <x v="5"/>
  </r>
  <r>
    <x v="99"/>
    <x v="99"/>
    <x v="160"/>
    <x v="40"/>
    <x v="146"/>
    <x v="135"/>
    <x v="141"/>
    <x v="1"/>
    <x v="1"/>
    <x v="1"/>
    <x v="1"/>
    <x v="1"/>
    <x v="1"/>
    <x v="1"/>
    <x v="1"/>
    <x v="1"/>
    <x v="1"/>
  </r>
  <r>
    <x v="94"/>
    <x v="94"/>
    <x v="133"/>
    <x v="28"/>
    <x v="119"/>
    <x v="43"/>
    <x v="114"/>
    <x v="1"/>
    <x v="1"/>
    <x v="1"/>
    <x v="1"/>
    <x v="1"/>
    <x v="1"/>
    <x v="1"/>
    <x v="1"/>
    <x v="1"/>
    <x v="1"/>
  </r>
  <r>
    <x v="97"/>
    <x v="97"/>
    <x v="161"/>
    <x v="12"/>
    <x v="12"/>
    <x v="12"/>
    <x v="12"/>
    <x v="1"/>
    <x v="1"/>
    <x v="12"/>
    <x v="1"/>
    <x v="1"/>
    <x v="11"/>
    <x v="1"/>
    <x v="1"/>
    <x v="1"/>
    <x v="1"/>
  </r>
  <r>
    <x v="100"/>
    <x v="100"/>
    <x v="162"/>
    <x v="12"/>
    <x v="12"/>
    <x v="12"/>
    <x v="12"/>
    <x v="1"/>
    <x v="1"/>
    <x v="12"/>
    <x v="1"/>
    <x v="1"/>
    <x v="11"/>
    <x v="1"/>
    <x v="1"/>
    <x v="1"/>
    <x v="1"/>
  </r>
  <r>
    <x v="95"/>
    <x v="95"/>
    <x v="163"/>
    <x v="32"/>
    <x v="147"/>
    <x v="38"/>
    <x v="38"/>
    <x v="9"/>
    <x v="104"/>
    <x v="105"/>
    <x v="9"/>
    <x v="9"/>
    <x v="25"/>
    <x v="1"/>
    <x v="5"/>
    <x v="1"/>
    <x v="5"/>
  </r>
  <r>
    <x v="90"/>
    <x v="90"/>
    <x v="164"/>
    <x v="32"/>
    <x v="148"/>
    <x v="136"/>
    <x v="142"/>
    <x v="1"/>
    <x v="1"/>
    <x v="1"/>
    <x v="1"/>
    <x v="1"/>
    <x v="1"/>
    <x v="1"/>
    <x v="1"/>
    <x v="1"/>
    <x v="1"/>
  </r>
  <r>
    <x v="96"/>
    <x v="96"/>
    <x v="165"/>
    <x v="36"/>
    <x v="149"/>
    <x v="137"/>
    <x v="143"/>
    <x v="35"/>
    <x v="105"/>
    <x v="106"/>
    <x v="19"/>
    <x v="18"/>
    <x v="76"/>
    <x v="10"/>
    <x v="1"/>
    <x v="11"/>
    <x v="1"/>
  </r>
  <r>
    <x v="101"/>
    <x v="101"/>
    <x v="166"/>
    <x v="59"/>
    <x v="150"/>
    <x v="138"/>
    <x v="144"/>
    <x v="1"/>
    <x v="1"/>
    <x v="1"/>
    <x v="1"/>
    <x v="1"/>
    <x v="1"/>
    <x v="1"/>
    <x v="1"/>
    <x v="1"/>
    <x v="1"/>
  </r>
  <r>
    <x v="102"/>
    <x v="102"/>
    <x v="167"/>
    <x v="39"/>
    <x v="151"/>
    <x v="139"/>
    <x v="145"/>
    <x v="19"/>
    <x v="106"/>
    <x v="107"/>
    <x v="0"/>
    <x v="0"/>
    <x v="77"/>
    <x v="0"/>
    <x v="0"/>
    <x v="0"/>
    <x v="10"/>
  </r>
  <r>
    <x v="103"/>
    <x v="103"/>
    <x v="168"/>
    <x v="11"/>
    <x v="152"/>
    <x v="140"/>
    <x v="146"/>
    <x v="38"/>
    <x v="107"/>
    <x v="108"/>
    <x v="15"/>
    <x v="13"/>
    <x v="78"/>
    <x v="0"/>
    <x v="4"/>
    <x v="0"/>
    <x v="27"/>
  </r>
  <r>
    <x v="104"/>
    <x v="104"/>
    <x v="169"/>
    <x v="71"/>
    <x v="153"/>
    <x v="141"/>
    <x v="147"/>
    <x v="49"/>
    <x v="108"/>
    <x v="109"/>
    <x v="28"/>
    <x v="25"/>
    <x v="79"/>
    <x v="8"/>
    <x v="2"/>
    <x v="8"/>
    <x v="2"/>
  </r>
  <r>
    <x v="100"/>
    <x v="100"/>
    <x v="170"/>
    <x v="74"/>
    <x v="154"/>
    <x v="142"/>
    <x v="148"/>
    <x v="56"/>
    <x v="109"/>
    <x v="110"/>
    <x v="20"/>
    <x v="19"/>
    <x v="80"/>
    <x v="2"/>
    <x v="16"/>
    <x v="26"/>
    <x v="38"/>
  </r>
  <r>
    <x v="100"/>
    <x v="100"/>
    <x v="171"/>
    <x v="16"/>
    <x v="155"/>
    <x v="143"/>
    <x v="149"/>
    <x v="5"/>
    <x v="110"/>
    <x v="111"/>
    <x v="5"/>
    <x v="5"/>
    <x v="25"/>
    <x v="1"/>
    <x v="10"/>
    <x v="1"/>
    <x v="11"/>
  </r>
  <r>
    <x v="105"/>
    <x v="105"/>
    <x v="81"/>
    <x v="12"/>
    <x v="12"/>
    <x v="12"/>
    <x v="12"/>
    <x v="1"/>
    <x v="1"/>
    <x v="12"/>
    <x v="1"/>
    <x v="1"/>
    <x v="11"/>
    <x v="1"/>
    <x v="1"/>
    <x v="1"/>
    <x v="1"/>
  </r>
  <r>
    <x v="101"/>
    <x v="101"/>
    <x v="73"/>
    <x v="12"/>
    <x v="12"/>
    <x v="12"/>
    <x v="12"/>
    <x v="1"/>
    <x v="1"/>
    <x v="12"/>
    <x v="1"/>
    <x v="1"/>
    <x v="11"/>
    <x v="1"/>
    <x v="1"/>
    <x v="1"/>
    <x v="1"/>
  </r>
  <r>
    <x v="103"/>
    <x v="103"/>
    <x v="172"/>
    <x v="40"/>
    <x v="156"/>
    <x v="144"/>
    <x v="150"/>
    <x v="1"/>
    <x v="1"/>
    <x v="1"/>
    <x v="1"/>
    <x v="1"/>
    <x v="1"/>
    <x v="1"/>
    <x v="1"/>
    <x v="1"/>
    <x v="1"/>
  </r>
  <r>
    <x v="106"/>
    <x v="106"/>
    <x v="173"/>
    <x v="32"/>
    <x v="157"/>
    <x v="145"/>
    <x v="151"/>
    <x v="9"/>
    <x v="111"/>
    <x v="112"/>
    <x v="9"/>
    <x v="9"/>
    <x v="25"/>
    <x v="1"/>
    <x v="5"/>
    <x v="1"/>
    <x v="5"/>
  </r>
  <r>
    <x v="104"/>
    <x v="104"/>
    <x v="174"/>
    <x v="40"/>
    <x v="158"/>
    <x v="146"/>
    <x v="152"/>
    <x v="1"/>
    <x v="1"/>
    <x v="1"/>
    <x v="1"/>
    <x v="1"/>
    <x v="1"/>
    <x v="1"/>
    <x v="1"/>
    <x v="1"/>
    <x v="1"/>
  </r>
  <r>
    <x v="106"/>
    <x v="106"/>
    <x v="175"/>
    <x v="75"/>
    <x v="159"/>
    <x v="147"/>
    <x v="153"/>
    <x v="39"/>
    <x v="112"/>
    <x v="113"/>
    <x v="16"/>
    <x v="15"/>
    <x v="25"/>
    <x v="10"/>
    <x v="10"/>
    <x v="35"/>
    <x v="11"/>
  </r>
  <r>
    <x v="107"/>
    <x v="107"/>
    <x v="176"/>
    <x v="47"/>
    <x v="160"/>
    <x v="148"/>
    <x v="154"/>
    <x v="5"/>
    <x v="113"/>
    <x v="114"/>
    <x v="5"/>
    <x v="5"/>
    <x v="37"/>
    <x v="2"/>
    <x v="1"/>
    <x v="2"/>
    <x v="1"/>
  </r>
  <r>
    <x v="108"/>
    <x v="87"/>
    <x v="177"/>
    <x v="12"/>
    <x v="12"/>
    <x v="12"/>
    <x v="12"/>
    <x v="1"/>
    <x v="1"/>
    <x v="12"/>
    <x v="1"/>
    <x v="1"/>
    <x v="11"/>
    <x v="1"/>
    <x v="1"/>
    <x v="1"/>
    <x v="1"/>
  </r>
  <r>
    <x v="109"/>
    <x v="85"/>
    <x v="178"/>
    <x v="32"/>
    <x v="161"/>
    <x v="149"/>
    <x v="155"/>
    <x v="57"/>
    <x v="114"/>
    <x v="115"/>
    <x v="9"/>
    <x v="9"/>
    <x v="25"/>
    <x v="1"/>
    <x v="5"/>
    <x v="1"/>
    <x v="39"/>
  </r>
  <r>
    <x v="110"/>
    <x v="108"/>
    <x v="179"/>
    <x v="32"/>
    <x v="162"/>
    <x v="150"/>
    <x v="156"/>
    <x v="57"/>
    <x v="115"/>
    <x v="116"/>
    <x v="9"/>
    <x v="9"/>
    <x v="25"/>
    <x v="0"/>
    <x v="1"/>
    <x v="38"/>
    <x v="1"/>
  </r>
  <r>
    <x v="111"/>
    <x v="86"/>
    <x v="63"/>
    <x v="12"/>
    <x v="12"/>
    <x v="12"/>
    <x v="12"/>
    <x v="1"/>
    <x v="1"/>
    <x v="12"/>
    <x v="1"/>
    <x v="1"/>
    <x v="11"/>
    <x v="1"/>
    <x v="1"/>
    <x v="1"/>
    <x v="1"/>
  </r>
  <r>
    <x v="108"/>
    <x v="87"/>
    <x v="180"/>
    <x v="12"/>
    <x v="12"/>
    <x v="12"/>
    <x v="12"/>
    <x v="1"/>
    <x v="1"/>
    <x v="12"/>
    <x v="1"/>
    <x v="1"/>
    <x v="11"/>
    <x v="1"/>
    <x v="1"/>
    <x v="1"/>
    <x v="1"/>
  </r>
  <r>
    <x v="109"/>
    <x v="85"/>
    <x v="63"/>
    <x v="12"/>
    <x v="12"/>
    <x v="12"/>
    <x v="12"/>
    <x v="1"/>
    <x v="1"/>
    <x v="12"/>
    <x v="1"/>
    <x v="1"/>
    <x v="11"/>
    <x v="1"/>
    <x v="1"/>
    <x v="1"/>
    <x v="1"/>
  </r>
  <r>
    <x v="110"/>
    <x v="108"/>
    <x v="77"/>
    <x v="12"/>
    <x v="12"/>
    <x v="12"/>
    <x v="12"/>
    <x v="1"/>
    <x v="1"/>
    <x v="12"/>
    <x v="1"/>
    <x v="1"/>
    <x v="11"/>
    <x v="1"/>
    <x v="1"/>
    <x v="1"/>
    <x v="1"/>
  </r>
  <r>
    <x v="112"/>
    <x v="65"/>
    <x v="181"/>
    <x v="20"/>
    <x v="163"/>
    <x v="151"/>
    <x v="157"/>
    <x v="1"/>
    <x v="1"/>
    <x v="1"/>
    <x v="1"/>
    <x v="1"/>
    <x v="1"/>
    <x v="1"/>
    <x v="1"/>
    <x v="1"/>
    <x v="1"/>
  </r>
  <r>
    <x v="113"/>
    <x v="49"/>
    <x v="182"/>
    <x v="16"/>
    <x v="164"/>
    <x v="152"/>
    <x v="158"/>
    <x v="1"/>
    <x v="1"/>
    <x v="1"/>
    <x v="1"/>
    <x v="1"/>
    <x v="1"/>
    <x v="1"/>
    <x v="1"/>
    <x v="1"/>
    <x v="1"/>
  </r>
  <r>
    <x v="114"/>
    <x v="109"/>
    <x v="183"/>
    <x v="47"/>
    <x v="165"/>
    <x v="153"/>
    <x v="159"/>
    <x v="57"/>
    <x v="116"/>
    <x v="117"/>
    <x v="9"/>
    <x v="9"/>
    <x v="45"/>
    <x v="1"/>
    <x v="5"/>
    <x v="1"/>
    <x v="39"/>
  </r>
  <r>
    <x v="115"/>
    <x v="50"/>
    <x v="184"/>
    <x v="25"/>
    <x v="166"/>
    <x v="30"/>
    <x v="160"/>
    <x v="1"/>
    <x v="1"/>
    <x v="1"/>
    <x v="1"/>
    <x v="1"/>
    <x v="1"/>
    <x v="1"/>
    <x v="1"/>
    <x v="1"/>
    <x v="1"/>
  </r>
  <r>
    <x v="112"/>
    <x v="65"/>
    <x v="185"/>
    <x v="12"/>
    <x v="12"/>
    <x v="12"/>
    <x v="12"/>
    <x v="1"/>
    <x v="1"/>
    <x v="12"/>
    <x v="1"/>
    <x v="1"/>
    <x v="11"/>
    <x v="1"/>
    <x v="1"/>
    <x v="1"/>
    <x v="1"/>
  </r>
  <r>
    <x v="113"/>
    <x v="49"/>
    <x v="186"/>
    <x v="12"/>
    <x v="12"/>
    <x v="12"/>
    <x v="12"/>
    <x v="1"/>
    <x v="1"/>
    <x v="12"/>
    <x v="1"/>
    <x v="1"/>
    <x v="11"/>
    <x v="1"/>
    <x v="1"/>
    <x v="1"/>
    <x v="1"/>
  </r>
  <r>
    <x v="114"/>
    <x v="109"/>
    <x v="187"/>
    <x v="12"/>
    <x v="12"/>
    <x v="12"/>
    <x v="12"/>
    <x v="1"/>
    <x v="1"/>
    <x v="12"/>
    <x v="1"/>
    <x v="1"/>
    <x v="11"/>
    <x v="1"/>
    <x v="1"/>
    <x v="1"/>
    <x v="1"/>
  </r>
  <r>
    <x v="115"/>
    <x v="50"/>
    <x v="61"/>
    <x v="12"/>
    <x v="12"/>
    <x v="12"/>
    <x v="12"/>
    <x v="1"/>
    <x v="1"/>
    <x v="12"/>
    <x v="1"/>
    <x v="1"/>
    <x v="11"/>
    <x v="1"/>
    <x v="1"/>
    <x v="1"/>
    <x v="1"/>
  </r>
  <r>
    <x v="116"/>
    <x v="77"/>
    <x v="64"/>
    <x v="18"/>
    <x v="167"/>
    <x v="74"/>
    <x v="102"/>
    <x v="1"/>
    <x v="1"/>
    <x v="1"/>
    <x v="1"/>
    <x v="1"/>
    <x v="1"/>
    <x v="1"/>
    <x v="1"/>
    <x v="1"/>
    <x v="1"/>
  </r>
  <r>
    <x v="117"/>
    <x v="78"/>
    <x v="188"/>
    <x v="20"/>
    <x v="168"/>
    <x v="154"/>
    <x v="161"/>
    <x v="58"/>
    <x v="117"/>
    <x v="118"/>
    <x v="9"/>
    <x v="9"/>
    <x v="16"/>
    <x v="1"/>
    <x v="5"/>
    <x v="1"/>
    <x v="40"/>
  </r>
  <r>
    <x v="118"/>
    <x v="75"/>
    <x v="189"/>
    <x v="47"/>
    <x v="169"/>
    <x v="155"/>
    <x v="162"/>
    <x v="1"/>
    <x v="1"/>
    <x v="1"/>
    <x v="1"/>
    <x v="1"/>
    <x v="1"/>
    <x v="1"/>
    <x v="1"/>
    <x v="1"/>
    <x v="1"/>
  </r>
  <r>
    <x v="116"/>
    <x v="77"/>
    <x v="77"/>
    <x v="12"/>
    <x v="12"/>
    <x v="12"/>
    <x v="12"/>
    <x v="1"/>
    <x v="1"/>
    <x v="12"/>
    <x v="1"/>
    <x v="1"/>
    <x v="11"/>
    <x v="1"/>
    <x v="1"/>
    <x v="1"/>
    <x v="1"/>
  </r>
  <r>
    <x v="117"/>
    <x v="78"/>
    <x v="180"/>
    <x v="12"/>
    <x v="12"/>
    <x v="12"/>
    <x v="12"/>
    <x v="1"/>
    <x v="1"/>
    <x v="12"/>
    <x v="1"/>
    <x v="1"/>
    <x v="11"/>
    <x v="1"/>
    <x v="1"/>
    <x v="1"/>
    <x v="1"/>
  </r>
  <r>
    <x v="119"/>
    <x v="76"/>
    <x v="77"/>
    <x v="12"/>
    <x v="12"/>
    <x v="12"/>
    <x v="12"/>
    <x v="1"/>
    <x v="1"/>
    <x v="12"/>
    <x v="1"/>
    <x v="1"/>
    <x v="11"/>
    <x v="1"/>
    <x v="1"/>
    <x v="1"/>
    <x v="1"/>
  </r>
  <r>
    <x v="118"/>
    <x v="75"/>
    <x v="77"/>
    <x v="12"/>
    <x v="12"/>
    <x v="12"/>
    <x v="12"/>
    <x v="1"/>
    <x v="1"/>
    <x v="12"/>
    <x v="1"/>
    <x v="1"/>
    <x v="11"/>
    <x v="1"/>
    <x v="1"/>
    <x v="1"/>
    <x v="1"/>
  </r>
  <r>
    <x v="120"/>
    <x v="29"/>
    <x v="190"/>
    <x v="17"/>
    <x v="170"/>
    <x v="156"/>
    <x v="163"/>
    <x v="1"/>
    <x v="1"/>
    <x v="1"/>
    <x v="1"/>
    <x v="1"/>
    <x v="1"/>
    <x v="1"/>
    <x v="1"/>
    <x v="1"/>
    <x v="1"/>
  </r>
  <r>
    <x v="121"/>
    <x v="32"/>
    <x v="191"/>
    <x v="76"/>
    <x v="171"/>
    <x v="157"/>
    <x v="164"/>
    <x v="59"/>
    <x v="118"/>
    <x v="119"/>
    <x v="5"/>
    <x v="5"/>
    <x v="47"/>
    <x v="0"/>
    <x v="5"/>
    <x v="38"/>
    <x v="39"/>
  </r>
  <r>
    <x v="122"/>
    <x v="110"/>
    <x v="192"/>
    <x v="16"/>
    <x v="172"/>
    <x v="158"/>
    <x v="121"/>
    <x v="1"/>
    <x v="1"/>
    <x v="1"/>
    <x v="1"/>
    <x v="1"/>
    <x v="1"/>
    <x v="1"/>
    <x v="1"/>
    <x v="1"/>
    <x v="1"/>
  </r>
  <r>
    <x v="123"/>
    <x v="47"/>
    <x v="193"/>
    <x v="10"/>
    <x v="173"/>
    <x v="159"/>
    <x v="165"/>
    <x v="57"/>
    <x v="119"/>
    <x v="120"/>
    <x v="9"/>
    <x v="9"/>
    <x v="81"/>
    <x v="0"/>
    <x v="1"/>
    <x v="38"/>
    <x v="1"/>
  </r>
  <r>
    <x v="121"/>
    <x v="32"/>
    <x v="194"/>
    <x v="77"/>
    <x v="174"/>
    <x v="160"/>
    <x v="166"/>
    <x v="60"/>
    <x v="120"/>
    <x v="121"/>
    <x v="31"/>
    <x v="31"/>
    <x v="82"/>
    <x v="7"/>
    <x v="2"/>
    <x v="39"/>
    <x v="41"/>
  </r>
  <r>
    <x v="124"/>
    <x v="51"/>
    <x v="195"/>
    <x v="5"/>
    <x v="175"/>
    <x v="161"/>
    <x v="167"/>
    <x v="1"/>
    <x v="1"/>
    <x v="1"/>
    <x v="1"/>
    <x v="1"/>
    <x v="1"/>
    <x v="1"/>
    <x v="1"/>
    <x v="1"/>
    <x v="1"/>
  </r>
  <r>
    <x v="125"/>
    <x v="41"/>
    <x v="196"/>
    <x v="47"/>
    <x v="176"/>
    <x v="162"/>
    <x v="168"/>
    <x v="1"/>
    <x v="1"/>
    <x v="1"/>
    <x v="1"/>
    <x v="1"/>
    <x v="1"/>
    <x v="1"/>
    <x v="1"/>
    <x v="1"/>
    <x v="1"/>
  </r>
  <r>
    <x v="125"/>
    <x v="41"/>
    <x v="197"/>
    <x v="26"/>
    <x v="177"/>
    <x v="163"/>
    <x v="169"/>
    <x v="59"/>
    <x v="121"/>
    <x v="122"/>
    <x v="5"/>
    <x v="5"/>
    <x v="57"/>
    <x v="2"/>
    <x v="1"/>
    <x v="40"/>
    <x v="1"/>
  </r>
  <r>
    <x v="126"/>
    <x v="111"/>
    <x v="198"/>
    <x v="78"/>
    <x v="134"/>
    <x v="12"/>
    <x v="170"/>
    <x v="61"/>
    <x v="1"/>
    <x v="12"/>
    <x v="32"/>
    <x v="32"/>
    <x v="11"/>
    <x v="18"/>
    <x v="23"/>
    <x v="41"/>
    <x v="42"/>
  </r>
</pivotCacheRecords>
</file>

<file path=xl/pivotCache/pivotCacheRecords46.xml><?xml version="1.0" encoding="utf-8"?>
<pivotCacheRecords xmlns="http://schemas.openxmlformats.org/spreadsheetml/2006/main" xmlns:r="http://schemas.openxmlformats.org/officeDocument/2006/relationships" count="44">
  <r>
    <x v="0"/>
    <x v="0"/>
    <x v="0"/>
    <x v="0"/>
    <x v="0"/>
    <x v="0"/>
    <x v="0"/>
    <x v="0"/>
    <x v="0"/>
    <x v="0"/>
    <x v="0"/>
    <x v="0"/>
    <x v="0"/>
    <x v="0"/>
  </r>
  <r>
    <x v="1"/>
    <x v="1"/>
    <x v="1"/>
    <x v="1"/>
    <x v="1"/>
    <x v="1"/>
    <x v="1"/>
    <x v="1"/>
    <x v="1"/>
    <x v="1"/>
    <x v="1"/>
    <x v="1"/>
    <x v="0"/>
    <x v="1"/>
  </r>
  <r>
    <x v="2"/>
    <x v="2"/>
    <x v="2"/>
    <x v="2"/>
    <x v="2"/>
    <x v="2"/>
    <x v="2"/>
    <x v="2"/>
    <x v="2"/>
    <x v="2"/>
    <x v="2"/>
    <x v="2"/>
    <x v="0"/>
    <x v="2"/>
  </r>
  <r>
    <x v="3"/>
    <x v="3"/>
    <x v="3"/>
    <x v="3"/>
    <x v="0"/>
    <x v="3"/>
    <x v="0"/>
    <x v="3"/>
    <x v="0"/>
    <x v="3"/>
    <x v="0"/>
    <x v="3"/>
    <x v="0"/>
    <x v="3"/>
  </r>
  <r>
    <x v="4"/>
    <x v="4"/>
    <x v="4"/>
    <x v="4"/>
    <x v="0"/>
    <x v="4"/>
    <x v="0"/>
    <x v="4"/>
    <x v="3"/>
    <x v="4"/>
    <x v="3"/>
    <x v="4"/>
    <x v="0"/>
    <x v="4"/>
  </r>
  <r>
    <x v="5"/>
    <x v="5"/>
    <x v="5"/>
    <x v="5"/>
    <x v="3"/>
    <x v="5"/>
    <x v="3"/>
    <x v="5"/>
    <x v="4"/>
    <x v="5"/>
    <x v="4"/>
    <x v="5"/>
    <x v="0"/>
    <x v="5"/>
  </r>
  <r>
    <x v="6"/>
    <x v="6"/>
    <x v="6"/>
    <x v="6"/>
    <x v="4"/>
    <x v="6"/>
    <x v="4"/>
    <x v="6"/>
    <x v="2"/>
    <x v="6"/>
    <x v="2"/>
    <x v="6"/>
    <x v="0"/>
    <x v="6"/>
  </r>
  <r>
    <x v="7"/>
    <x v="7"/>
    <x v="7"/>
    <x v="7"/>
    <x v="5"/>
    <x v="7"/>
    <x v="5"/>
    <x v="7"/>
    <x v="5"/>
    <x v="7"/>
    <x v="5"/>
    <x v="7"/>
    <x v="1"/>
    <x v="7"/>
  </r>
  <r>
    <x v="8"/>
    <x v="8"/>
    <x v="8"/>
    <x v="8"/>
    <x v="6"/>
    <x v="8"/>
    <x v="6"/>
    <x v="8"/>
    <x v="6"/>
    <x v="8"/>
    <x v="6"/>
    <x v="8"/>
    <x v="0"/>
    <x v="8"/>
  </r>
  <r>
    <x v="9"/>
    <x v="9"/>
    <x v="9"/>
    <x v="9"/>
    <x v="5"/>
    <x v="9"/>
    <x v="5"/>
    <x v="9"/>
    <x v="7"/>
    <x v="9"/>
    <x v="7"/>
    <x v="9"/>
    <x v="2"/>
    <x v="8"/>
  </r>
  <r>
    <x v="10"/>
    <x v="10"/>
    <x v="10"/>
    <x v="10"/>
    <x v="5"/>
    <x v="10"/>
    <x v="5"/>
    <x v="10"/>
    <x v="8"/>
    <x v="10"/>
    <x v="8"/>
    <x v="10"/>
    <x v="0"/>
    <x v="9"/>
  </r>
  <r>
    <x v="11"/>
    <x v="11"/>
    <x v="11"/>
    <x v="11"/>
    <x v="7"/>
    <x v="11"/>
    <x v="7"/>
    <x v="11"/>
    <x v="9"/>
    <x v="11"/>
    <x v="9"/>
    <x v="11"/>
    <x v="0"/>
    <x v="10"/>
  </r>
  <r>
    <x v="12"/>
    <x v="12"/>
    <x v="12"/>
    <x v="12"/>
    <x v="8"/>
    <x v="12"/>
    <x v="8"/>
    <x v="12"/>
    <x v="10"/>
    <x v="12"/>
    <x v="10"/>
    <x v="12"/>
    <x v="0"/>
    <x v="11"/>
  </r>
  <r>
    <x v="13"/>
    <x v="13"/>
    <x v="13"/>
    <x v="13"/>
    <x v="9"/>
    <x v="13"/>
    <x v="9"/>
    <x v="13"/>
    <x v="11"/>
    <x v="13"/>
    <x v="11"/>
    <x v="13"/>
    <x v="0"/>
    <x v="12"/>
  </r>
  <r>
    <x v="14"/>
    <x v="14"/>
    <x v="14"/>
    <x v="14"/>
    <x v="10"/>
    <x v="14"/>
    <x v="10"/>
    <x v="14"/>
    <x v="9"/>
    <x v="14"/>
    <x v="9"/>
    <x v="3"/>
    <x v="0"/>
    <x v="13"/>
  </r>
  <r>
    <x v="15"/>
    <x v="15"/>
    <x v="15"/>
    <x v="15"/>
    <x v="7"/>
    <x v="15"/>
    <x v="7"/>
    <x v="15"/>
    <x v="9"/>
    <x v="15"/>
    <x v="9"/>
    <x v="14"/>
    <x v="0"/>
    <x v="13"/>
  </r>
  <r>
    <x v="16"/>
    <x v="16"/>
    <x v="16"/>
    <x v="16"/>
    <x v="9"/>
    <x v="16"/>
    <x v="9"/>
    <x v="16"/>
    <x v="11"/>
    <x v="16"/>
    <x v="11"/>
    <x v="3"/>
    <x v="0"/>
    <x v="13"/>
  </r>
  <r>
    <x v="17"/>
    <x v="17"/>
    <x v="17"/>
    <x v="17"/>
    <x v="11"/>
    <x v="17"/>
    <x v="11"/>
    <x v="17"/>
    <x v="12"/>
    <x v="17"/>
    <x v="12"/>
    <x v="15"/>
    <x v="0"/>
    <x v="13"/>
  </r>
  <r>
    <x v="18"/>
    <x v="18"/>
    <x v="18"/>
    <x v="18"/>
    <x v="12"/>
    <x v="18"/>
    <x v="12"/>
    <x v="18"/>
    <x v="6"/>
    <x v="13"/>
    <x v="6"/>
    <x v="3"/>
    <x v="0"/>
    <x v="14"/>
  </r>
  <r>
    <x v="19"/>
    <x v="19"/>
    <x v="19"/>
    <x v="19"/>
    <x v="12"/>
    <x v="19"/>
    <x v="12"/>
    <x v="19"/>
    <x v="13"/>
    <x v="18"/>
    <x v="13"/>
    <x v="16"/>
    <x v="0"/>
    <x v="14"/>
  </r>
  <r>
    <x v="20"/>
    <x v="20"/>
    <x v="20"/>
    <x v="20"/>
    <x v="11"/>
    <x v="20"/>
    <x v="11"/>
    <x v="16"/>
    <x v="12"/>
    <x v="16"/>
    <x v="12"/>
    <x v="3"/>
    <x v="3"/>
    <x v="14"/>
  </r>
  <r>
    <x v="21"/>
    <x v="21"/>
    <x v="21"/>
    <x v="21"/>
    <x v="13"/>
    <x v="21"/>
    <x v="13"/>
    <x v="20"/>
    <x v="14"/>
    <x v="19"/>
    <x v="14"/>
    <x v="3"/>
    <x v="3"/>
    <x v="15"/>
  </r>
  <r>
    <x v="22"/>
    <x v="22"/>
    <x v="22"/>
    <x v="22"/>
    <x v="11"/>
    <x v="22"/>
    <x v="11"/>
    <x v="21"/>
    <x v="11"/>
    <x v="20"/>
    <x v="11"/>
    <x v="3"/>
    <x v="0"/>
    <x v="15"/>
  </r>
  <r>
    <x v="23"/>
    <x v="23"/>
    <x v="23"/>
    <x v="23"/>
    <x v="11"/>
    <x v="23"/>
    <x v="11"/>
    <x v="22"/>
    <x v="12"/>
    <x v="21"/>
    <x v="12"/>
    <x v="3"/>
    <x v="0"/>
    <x v="15"/>
  </r>
  <r>
    <x v="24"/>
    <x v="24"/>
    <x v="24"/>
    <x v="24"/>
    <x v="13"/>
    <x v="24"/>
    <x v="13"/>
    <x v="23"/>
    <x v="14"/>
    <x v="22"/>
    <x v="14"/>
    <x v="3"/>
    <x v="3"/>
    <x v="15"/>
  </r>
  <r>
    <x v="25"/>
    <x v="25"/>
    <x v="25"/>
    <x v="25"/>
    <x v="9"/>
    <x v="25"/>
    <x v="9"/>
    <x v="24"/>
    <x v="15"/>
    <x v="23"/>
    <x v="15"/>
    <x v="3"/>
    <x v="0"/>
    <x v="11"/>
  </r>
  <r>
    <x v="26"/>
    <x v="26"/>
    <x v="26"/>
    <x v="26"/>
    <x v="9"/>
    <x v="26"/>
    <x v="9"/>
    <x v="25"/>
    <x v="11"/>
    <x v="24"/>
    <x v="11"/>
    <x v="3"/>
    <x v="0"/>
    <x v="16"/>
  </r>
  <r>
    <x v="27"/>
    <x v="27"/>
    <x v="27"/>
    <x v="27"/>
    <x v="9"/>
    <x v="27"/>
    <x v="9"/>
    <x v="26"/>
    <x v="11"/>
    <x v="25"/>
    <x v="11"/>
    <x v="17"/>
    <x v="3"/>
    <x v="16"/>
  </r>
  <r>
    <x v="28"/>
    <x v="28"/>
    <x v="28"/>
    <x v="28"/>
    <x v="11"/>
    <x v="28"/>
    <x v="11"/>
    <x v="27"/>
    <x v="12"/>
    <x v="26"/>
    <x v="12"/>
    <x v="3"/>
    <x v="0"/>
    <x v="17"/>
  </r>
  <r>
    <x v="29"/>
    <x v="29"/>
    <x v="29"/>
    <x v="29"/>
    <x v="11"/>
    <x v="29"/>
    <x v="11"/>
    <x v="28"/>
    <x v="12"/>
    <x v="27"/>
    <x v="12"/>
    <x v="3"/>
    <x v="0"/>
    <x v="17"/>
  </r>
  <r>
    <x v="30"/>
    <x v="30"/>
    <x v="30"/>
    <x v="30"/>
    <x v="13"/>
    <x v="30"/>
    <x v="13"/>
    <x v="29"/>
    <x v="14"/>
    <x v="28"/>
    <x v="14"/>
    <x v="3"/>
    <x v="3"/>
    <x v="18"/>
  </r>
  <r>
    <x v="31"/>
    <x v="31"/>
    <x v="31"/>
    <x v="31"/>
    <x v="13"/>
    <x v="31"/>
    <x v="13"/>
    <x v="30"/>
    <x v="14"/>
    <x v="29"/>
    <x v="14"/>
    <x v="3"/>
    <x v="3"/>
    <x v="18"/>
  </r>
  <r>
    <x v="32"/>
    <x v="32"/>
    <x v="32"/>
    <x v="32"/>
    <x v="13"/>
    <x v="32"/>
    <x v="13"/>
    <x v="31"/>
    <x v="14"/>
    <x v="30"/>
    <x v="14"/>
    <x v="3"/>
    <x v="3"/>
    <x v="18"/>
  </r>
  <r>
    <x v="33"/>
    <x v="33"/>
    <x v="33"/>
    <x v="33"/>
    <x v="13"/>
    <x v="33"/>
    <x v="13"/>
    <x v="32"/>
    <x v="14"/>
    <x v="31"/>
    <x v="14"/>
    <x v="3"/>
    <x v="3"/>
    <x v="18"/>
  </r>
  <r>
    <x v="34"/>
    <x v="34"/>
    <x v="34"/>
    <x v="34"/>
    <x v="11"/>
    <x v="34"/>
    <x v="11"/>
    <x v="33"/>
    <x v="12"/>
    <x v="32"/>
    <x v="12"/>
    <x v="3"/>
    <x v="0"/>
    <x v="18"/>
  </r>
  <r>
    <x v="35"/>
    <x v="35"/>
    <x v="35"/>
    <x v="35"/>
    <x v="13"/>
    <x v="35"/>
    <x v="13"/>
    <x v="34"/>
    <x v="14"/>
    <x v="33"/>
    <x v="14"/>
    <x v="3"/>
    <x v="3"/>
    <x v="17"/>
  </r>
  <r>
    <x v="36"/>
    <x v="36"/>
    <x v="36"/>
    <x v="36"/>
    <x v="10"/>
    <x v="36"/>
    <x v="10"/>
    <x v="34"/>
    <x v="9"/>
    <x v="33"/>
    <x v="9"/>
    <x v="18"/>
    <x v="4"/>
    <x v="18"/>
  </r>
  <r>
    <x v="37"/>
    <x v="37"/>
    <x v="37"/>
    <x v="37"/>
    <x v="13"/>
    <x v="37"/>
    <x v="13"/>
    <x v="35"/>
    <x v="14"/>
    <x v="34"/>
    <x v="14"/>
    <x v="3"/>
    <x v="3"/>
    <x v="18"/>
  </r>
  <r>
    <x v="38"/>
    <x v="38"/>
    <x v="38"/>
    <x v="38"/>
    <x v="13"/>
    <x v="38"/>
    <x v="13"/>
    <x v="36"/>
    <x v="14"/>
    <x v="35"/>
    <x v="14"/>
    <x v="19"/>
    <x v="3"/>
    <x v="18"/>
  </r>
  <r>
    <x v="39"/>
    <x v="39"/>
    <x v="39"/>
    <x v="39"/>
    <x v="13"/>
    <x v="39"/>
    <x v="13"/>
    <x v="35"/>
    <x v="14"/>
    <x v="34"/>
    <x v="14"/>
    <x v="3"/>
    <x v="3"/>
    <x v="18"/>
  </r>
  <r>
    <x v="40"/>
    <x v="40"/>
    <x v="40"/>
    <x v="40"/>
    <x v="11"/>
    <x v="40"/>
    <x v="11"/>
    <x v="37"/>
    <x v="12"/>
    <x v="36"/>
    <x v="12"/>
    <x v="3"/>
    <x v="0"/>
    <x v="18"/>
  </r>
  <r>
    <x v="41"/>
    <x v="41"/>
    <x v="41"/>
    <x v="41"/>
    <x v="13"/>
    <x v="41"/>
    <x v="13"/>
    <x v="38"/>
    <x v="14"/>
    <x v="37"/>
    <x v="14"/>
    <x v="3"/>
    <x v="3"/>
    <x v="19"/>
  </r>
  <r>
    <x v="42"/>
    <x v="42"/>
    <x v="42"/>
    <x v="42"/>
    <x v="13"/>
    <x v="42"/>
    <x v="13"/>
    <x v="39"/>
    <x v="14"/>
    <x v="38"/>
    <x v="14"/>
    <x v="3"/>
    <x v="3"/>
    <x v="17"/>
  </r>
  <r>
    <x v="43"/>
    <x v="43"/>
    <x v="43"/>
    <x v="43"/>
    <x v="14"/>
    <x v="43"/>
    <x v="14"/>
    <x v="40"/>
    <x v="16"/>
    <x v="39"/>
    <x v="16"/>
    <x v="20"/>
    <x v="5"/>
    <x v="20"/>
  </r>
</pivotCacheRecords>
</file>

<file path=xl/pivotCache/pivotCacheRecords47.xml><?xml version="1.0" encoding="utf-8"?>
<pivotCacheRecords xmlns="http://schemas.openxmlformats.org/spreadsheetml/2006/main" xmlns:r="http://schemas.openxmlformats.org/officeDocument/2006/relationships" count="53">
  <r>
    <x v="0"/>
    <x v="0"/>
    <x v="0"/>
    <x v="0"/>
    <x v="0"/>
    <x v="0"/>
    <x v="0"/>
    <x v="0"/>
    <x v="0"/>
    <x v="0"/>
    <x v="0"/>
    <x v="0"/>
    <x v="0"/>
    <x v="0"/>
  </r>
  <r>
    <x v="1"/>
    <x v="1"/>
    <x v="1"/>
    <x v="1"/>
    <x v="1"/>
    <x v="1"/>
    <x v="1"/>
    <x v="1"/>
    <x v="1"/>
    <x v="1"/>
    <x v="1"/>
    <x v="1"/>
    <x v="0"/>
    <x v="1"/>
  </r>
  <r>
    <x v="2"/>
    <x v="2"/>
    <x v="2"/>
    <x v="2"/>
    <x v="2"/>
    <x v="2"/>
    <x v="2"/>
    <x v="2"/>
    <x v="2"/>
    <x v="2"/>
    <x v="2"/>
    <x v="2"/>
    <x v="0"/>
    <x v="2"/>
  </r>
  <r>
    <x v="3"/>
    <x v="3"/>
    <x v="3"/>
    <x v="3"/>
    <x v="3"/>
    <x v="3"/>
    <x v="3"/>
    <x v="3"/>
    <x v="3"/>
    <x v="3"/>
    <x v="3"/>
    <x v="3"/>
    <x v="0"/>
    <x v="3"/>
  </r>
  <r>
    <x v="4"/>
    <x v="4"/>
    <x v="4"/>
    <x v="4"/>
    <x v="4"/>
    <x v="4"/>
    <x v="4"/>
    <x v="4"/>
    <x v="4"/>
    <x v="4"/>
    <x v="4"/>
    <x v="4"/>
    <x v="0"/>
    <x v="4"/>
  </r>
  <r>
    <x v="5"/>
    <x v="5"/>
    <x v="5"/>
    <x v="5"/>
    <x v="5"/>
    <x v="5"/>
    <x v="5"/>
    <x v="5"/>
    <x v="5"/>
    <x v="5"/>
    <x v="5"/>
    <x v="5"/>
    <x v="0"/>
    <x v="5"/>
  </r>
  <r>
    <x v="6"/>
    <x v="6"/>
    <x v="6"/>
    <x v="6"/>
    <x v="6"/>
    <x v="6"/>
    <x v="6"/>
    <x v="6"/>
    <x v="6"/>
    <x v="6"/>
    <x v="6"/>
    <x v="6"/>
    <x v="0"/>
    <x v="6"/>
  </r>
  <r>
    <x v="7"/>
    <x v="7"/>
    <x v="7"/>
    <x v="7"/>
    <x v="7"/>
    <x v="7"/>
    <x v="7"/>
    <x v="7"/>
    <x v="7"/>
    <x v="7"/>
    <x v="7"/>
    <x v="7"/>
    <x v="0"/>
    <x v="7"/>
  </r>
  <r>
    <x v="8"/>
    <x v="8"/>
    <x v="8"/>
    <x v="8"/>
    <x v="8"/>
    <x v="8"/>
    <x v="8"/>
    <x v="8"/>
    <x v="8"/>
    <x v="8"/>
    <x v="8"/>
    <x v="8"/>
    <x v="1"/>
    <x v="8"/>
  </r>
  <r>
    <x v="9"/>
    <x v="9"/>
    <x v="9"/>
    <x v="9"/>
    <x v="6"/>
    <x v="9"/>
    <x v="6"/>
    <x v="9"/>
    <x v="9"/>
    <x v="9"/>
    <x v="9"/>
    <x v="9"/>
    <x v="0"/>
    <x v="9"/>
  </r>
  <r>
    <x v="10"/>
    <x v="10"/>
    <x v="10"/>
    <x v="10"/>
    <x v="9"/>
    <x v="10"/>
    <x v="9"/>
    <x v="10"/>
    <x v="10"/>
    <x v="10"/>
    <x v="10"/>
    <x v="10"/>
    <x v="0"/>
    <x v="10"/>
  </r>
  <r>
    <x v="11"/>
    <x v="11"/>
    <x v="11"/>
    <x v="11"/>
    <x v="10"/>
    <x v="11"/>
    <x v="10"/>
    <x v="11"/>
    <x v="11"/>
    <x v="11"/>
    <x v="11"/>
    <x v="11"/>
    <x v="0"/>
    <x v="11"/>
  </r>
  <r>
    <x v="12"/>
    <x v="12"/>
    <x v="12"/>
    <x v="12"/>
    <x v="11"/>
    <x v="12"/>
    <x v="11"/>
    <x v="12"/>
    <x v="12"/>
    <x v="12"/>
    <x v="12"/>
    <x v="12"/>
    <x v="0"/>
    <x v="12"/>
  </r>
  <r>
    <x v="12"/>
    <x v="12"/>
    <x v="12"/>
    <x v="13"/>
    <x v="12"/>
    <x v="13"/>
    <x v="12"/>
    <x v="13"/>
    <x v="13"/>
    <x v="13"/>
    <x v="13"/>
    <x v="13"/>
    <x v="2"/>
    <x v="13"/>
  </r>
  <r>
    <x v="13"/>
    <x v="13"/>
    <x v="13"/>
    <x v="14"/>
    <x v="13"/>
    <x v="14"/>
    <x v="13"/>
    <x v="14"/>
    <x v="14"/>
    <x v="14"/>
    <x v="14"/>
    <x v="14"/>
    <x v="0"/>
    <x v="14"/>
  </r>
  <r>
    <x v="14"/>
    <x v="14"/>
    <x v="14"/>
    <x v="15"/>
    <x v="14"/>
    <x v="15"/>
    <x v="14"/>
    <x v="15"/>
    <x v="14"/>
    <x v="15"/>
    <x v="14"/>
    <x v="15"/>
    <x v="0"/>
    <x v="15"/>
  </r>
  <r>
    <x v="15"/>
    <x v="15"/>
    <x v="15"/>
    <x v="16"/>
    <x v="15"/>
    <x v="16"/>
    <x v="15"/>
    <x v="16"/>
    <x v="15"/>
    <x v="16"/>
    <x v="15"/>
    <x v="16"/>
    <x v="0"/>
    <x v="15"/>
  </r>
  <r>
    <x v="16"/>
    <x v="16"/>
    <x v="16"/>
    <x v="17"/>
    <x v="11"/>
    <x v="11"/>
    <x v="11"/>
    <x v="17"/>
    <x v="16"/>
    <x v="17"/>
    <x v="16"/>
    <x v="17"/>
    <x v="0"/>
    <x v="16"/>
  </r>
  <r>
    <x v="17"/>
    <x v="17"/>
    <x v="17"/>
    <x v="18"/>
    <x v="16"/>
    <x v="17"/>
    <x v="16"/>
    <x v="18"/>
    <x v="17"/>
    <x v="18"/>
    <x v="17"/>
    <x v="18"/>
    <x v="0"/>
    <x v="17"/>
  </r>
  <r>
    <x v="18"/>
    <x v="18"/>
    <x v="18"/>
    <x v="19"/>
    <x v="15"/>
    <x v="18"/>
    <x v="15"/>
    <x v="19"/>
    <x v="15"/>
    <x v="19"/>
    <x v="15"/>
    <x v="19"/>
    <x v="3"/>
    <x v="17"/>
  </r>
  <r>
    <x v="19"/>
    <x v="19"/>
    <x v="19"/>
    <x v="20"/>
    <x v="17"/>
    <x v="19"/>
    <x v="17"/>
    <x v="20"/>
    <x v="18"/>
    <x v="20"/>
    <x v="18"/>
    <x v="15"/>
    <x v="0"/>
    <x v="18"/>
  </r>
  <r>
    <x v="20"/>
    <x v="20"/>
    <x v="20"/>
    <x v="21"/>
    <x v="11"/>
    <x v="20"/>
    <x v="11"/>
    <x v="21"/>
    <x v="12"/>
    <x v="21"/>
    <x v="12"/>
    <x v="15"/>
    <x v="0"/>
    <x v="18"/>
  </r>
  <r>
    <x v="21"/>
    <x v="21"/>
    <x v="21"/>
    <x v="22"/>
    <x v="11"/>
    <x v="21"/>
    <x v="11"/>
    <x v="22"/>
    <x v="19"/>
    <x v="22"/>
    <x v="19"/>
    <x v="15"/>
    <x v="0"/>
    <x v="19"/>
  </r>
  <r>
    <x v="22"/>
    <x v="22"/>
    <x v="22"/>
    <x v="23"/>
    <x v="17"/>
    <x v="22"/>
    <x v="17"/>
    <x v="23"/>
    <x v="12"/>
    <x v="23"/>
    <x v="12"/>
    <x v="20"/>
    <x v="0"/>
    <x v="19"/>
  </r>
  <r>
    <x v="23"/>
    <x v="23"/>
    <x v="23"/>
    <x v="24"/>
    <x v="14"/>
    <x v="23"/>
    <x v="14"/>
    <x v="24"/>
    <x v="16"/>
    <x v="24"/>
    <x v="16"/>
    <x v="21"/>
    <x v="4"/>
    <x v="19"/>
  </r>
  <r>
    <x v="24"/>
    <x v="24"/>
    <x v="24"/>
    <x v="25"/>
    <x v="13"/>
    <x v="24"/>
    <x v="13"/>
    <x v="25"/>
    <x v="13"/>
    <x v="25"/>
    <x v="13"/>
    <x v="15"/>
    <x v="0"/>
    <x v="14"/>
  </r>
  <r>
    <x v="25"/>
    <x v="25"/>
    <x v="25"/>
    <x v="26"/>
    <x v="18"/>
    <x v="25"/>
    <x v="18"/>
    <x v="26"/>
    <x v="20"/>
    <x v="26"/>
    <x v="20"/>
    <x v="15"/>
    <x v="0"/>
    <x v="20"/>
  </r>
  <r>
    <x v="26"/>
    <x v="26"/>
    <x v="26"/>
    <x v="27"/>
    <x v="15"/>
    <x v="26"/>
    <x v="15"/>
    <x v="27"/>
    <x v="15"/>
    <x v="20"/>
    <x v="15"/>
    <x v="15"/>
    <x v="0"/>
    <x v="21"/>
  </r>
  <r>
    <x v="27"/>
    <x v="27"/>
    <x v="27"/>
    <x v="28"/>
    <x v="15"/>
    <x v="27"/>
    <x v="15"/>
    <x v="28"/>
    <x v="15"/>
    <x v="27"/>
    <x v="15"/>
    <x v="15"/>
    <x v="0"/>
    <x v="21"/>
  </r>
  <r>
    <x v="28"/>
    <x v="28"/>
    <x v="28"/>
    <x v="29"/>
    <x v="17"/>
    <x v="28"/>
    <x v="17"/>
    <x v="29"/>
    <x v="18"/>
    <x v="28"/>
    <x v="18"/>
    <x v="18"/>
    <x v="0"/>
    <x v="21"/>
  </r>
  <r>
    <x v="29"/>
    <x v="29"/>
    <x v="29"/>
    <x v="30"/>
    <x v="19"/>
    <x v="29"/>
    <x v="19"/>
    <x v="30"/>
    <x v="21"/>
    <x v="29"/>
    <x v="21"/>
    <x v="15"/>
    <x v="3"/>
    <x v="22"/>
  </r>
  <r>
    <x v="30"/>
    <x v="30"/>
    <x v="30"/>
    <x v="31"/>
    <x v="19"/>
    <x v="30"/>
    <x v="19"/>
    <x v="31"/>
    <x v="21"/>
    <x v="30"/>
    <x v="21"/>
    <x v="15"/>
    <x v="3"/>
    <x v="22"/>
  </r>
  <r>
    <x v="31"/>
    <x v="31"/>
    <x v="31"/>
    <x v="32"/>
    <x v="15"/>
    <x v="29"/>
    <x v="15"/>
    <x v="32"/>
    <x v="15"/>
    <x v="31"/>
    <x v="15"/>
    <x v="15"/>
    <x v="0"/>
    <x v="22"/>
  </r>
  <r>
    <x v="32"/>
    <x v="32"/>
    <x v="32"/>
    <x v="33"/>
    <x v="11"/>
    <x v="31"/>
    <x v="11"/>
    <x v="33"/>
    <x v="16"/>
    <x v="32"/>
    <x v="16"/>
    <x v="22"/>
    <x v="5"/>
    <x v="22"/>
  </r>
  <r>
    <x v="33"/>
    <x v="33"/>
    <x v="33"/>
    <x v="34"/>
    <x v="19"/>
    <x v="31"/>
    <x v="19"/>
    <x v="34"/>
    <x v="21"/>
    <x v="33"/>
    <x v="21"/>
    <x v="23"/>
    <x v="3"/>
    <x v="22"/>
  </r>
  <r>
    <x v="34"/>
    <x v="34"/>
    <x v="34"/>
    <x v="35"/>
    <x v="19"/>
    <x v="29"/>
    <x v="19"/>
    <x v="35"/>
    <x v="21"/>
    <x v="34"/>
    <x v="21"/>
    <x v="24"/>
    <x v="3"/>
    <x v="23"/>
  </r>
  <r>
    <x v="35"/>
    <x v="35"/>
    <x v="35"/>
    <x v="36"/>
    <x v="15"/>
    <x v="32"/>
    <x v="15"/>
    <x v="36"/>
    <x v="15"/>
    <x v="35"/>
    <x v="15"/>
    <x v="25"/>
    <x v="0"/>
    <x v="23"/>
  </r>
  <r>
    <x v="36"/>
    <x v="36"/>
    <x v="36"/>
    <x v="37"/>
    <x v="15"/>
    <x v="33"/>
    <x v="15"/>
    <x v="37"/>
    <x v="15"/>
    <x v="36"/>
    <x v="15"/>
    <x v="26"/>
    <x v="0"/>
    <x v="23"/>
  </r>
  <r>
    <x v="37"/>
    <x v="37"/>
    <x v="37"/>
    <x v="38"/>
    <x v="11"/>
    <x v="34"/>
    <x v="11"/>
    <x v="20"/>
    <x v="16"/>
    <x v="20"/>
    <x v="16"/>
    <x v="15"/>
    <x v="0"/>
    <x v="23"/>
  </r>
  <r>
    <x v="38"/>
    <x v="38"/>
    <x v="38"/>
    <x v="39"/>
    <x v="15"/>
    <x v="35"/>
    <x v="15"/>
    <x v="38"/>
    <x v="15"/>
    <x v="37"/>
    <x v="15"/>
    <x v="15"/>
    <x v="0"/>
    <x v="23"/>
  </r>
  <r>
    <x v="39"/>
    <x v="39"/>
    <x v="39"/>
    <x v="40"/>
    <x v="14"/>
    <x v="36"/>
    <x v="14"/>
    <x v="39"/>
    <x v="11"/>
    <x v="38"/>
    <x v="11"/>
    <x v="27"/>
    <x v="0"/>
    <x v="23"/>
  </r>
  <r>
    <x v="29"/>
    <x v="29"/>
    <x v="29"/>
    <x v="41"/>
    <x v="19"/>
    <x v="37"/>
    <x v="19"/>
    <x v="40"/>
    <x v="21"/>
    <x v="39"/>
    <x v="21"/>
    <x v="28"/>
    <x v="3"/>
    <x v="24"/>
  </r>
  <r>
    <x v="40"/>
    <x v="40"/>
    <x v="40"/>
    <x v="42"/>
    <x v="19"/>
    <x v="38"/>
    <x v="19"/>
    <x v="41"/>
    <x v="21"/>
    <x v="31"/>
    <x v="21"/>
    <x v="29"/>
    <x v="3"/>
    <x v="24"/>
  </r>
  <r>
    <x v="41"/>
    <x v="41"/>
    <x v="41"/>
    <x v="43"/>
    <x v="19"/>
    <x v="39"/>
    <x v="19"/>
    <x v="42"/>
    <x v="21"/>
    <x v="40"/>
    <x v="21"/>
    <x v="15"/>
    <x v="3"/>
    <x v="24"/>
  </r>
  <r>
    <x v="42"/>
    <x v="42"/>
    <x v="42"/>
    <x v="44"/>
    <x v="19"/>
    <x v="40"/>
    <x v="19"/>
    <x v="43"/>
    <x v="21"/>
    <x v="41"/>
    <x v="21"/>
    <x v="15"/>
    <x v="3"/>
    <x v="24"/>
  </r>
  <r>
    <x v="43"/>
    <x v="43"/>
    <x v="43"/>
    <x v="45"/>
    <x v="15"/>
    <x v="41"/>
    <x v="15"/>
    <x v="44"/>
    <x v="15"/>
    <x v="42"/>
    <x v="15"/>
    <x v="15"/>
    <x v="0"/>
    <x v="24"/>
  </r>
  <r>
    <x v="44"/>
    <x v="44"/>
    <x v="44"/>
    <x v="46"/>
    <x v="19"/>
    <x v="42"/>
    <x v="19"/>
    <x v="45"/>
    <x v="21"/>
    <x v="30"/>
    <x v="21"/>
    <x v="30"/>
    <x v="3"/>
    <x v="24"/>
  </r>
  <r>
    <x v="45"/>
    <x v="45"/>
    <x v="45"/>
    <x v="47"/>
    <x v="15"/>
    <x v="43"/>
    <x v="15"/>
    <x v="46"/>
    <x v="15"/>
    <x v="43"/>
    <x v="15"/>
    <x v="15"/>
    <x v="0"/>
    <x v="24"/>
  </r>
  <r>
    <x v="46"/>
    <x v="46"/>
    <x v="46"/>
    <x v="48"/>
    <x v="19"/>
    <x v="44"/>
    <x v="19"/>
    <x v="47"/>
    <x v="21"/>
    <x v="44"/>
    <x v="21"/>
    <x v="31"/>
    <x v="3"/>
    <x v="25"/>
  </r>
  <r>
    <x v="47"/>
    <x v="47"/>
    <x v="47"/>
    <x v="49"/>
    <x v="19"/>
    <x v="45"/>
    <x v="19"/>
    <x v="48"/>
    <x v="21"/>
    <x v="45"/>
    <x v="21"/>
    <x v="15"/>
    <x v="3"/>
    <x v="22"/>
  </r>
  <r>
    <x v="48"/>
    <x v="48"/>
    <x v="48"/>
    <x v="33"/>
    <x v="19"/>
    <x v="46"/>
    <x v="19"/>
    <x v="49"/>
    <x v="21"/>
    <x v="46"/>
    <x v="21"/>
    <x v="32"/>
    <x v="3"/>
    <x v="24"/>
  </r>
  <r>
    <x v="49"/>
    <x v="49"/>
    <x v="49"/>
    <x v="49"/>
    <x v="19"/>
    <x v="45"/>
    <x v="19"/>
    <x v="50"/>
    <x v="21"/>
    <x v="47"/>
    <x v="21"/>
    <x v="15"/>
    <x v="3"/>
    <x v="24"/>
  </r>
  <r>
    <x v="50"/>
    <x v="50"/>
    <x v="50"/>
    <x v="50"/>
    <x v="20"/>
    <x v="47"/>
    <x v="20"/>
    <x v="51"/>
    <x v="22"/>
    <x v="48"/>
    <x v="22"/>
    <x v="33"/>
    <x v="6"/>
    <x v="26"/>
  </r>
</pivotCacheRecords>
</file>

<file path=xl/pivotCache/pivotCacheRecords48.xml><?xml version="1.0" encoding="utf-8"?>
<pivotCacheRecords xmlns="http://schemas.openxmlformats.org/spreadsheetml/2006/main" xmlns:r="http://schemas.openxmlformats.org/officeDocument/2006/relationships" count="62">
  <r>
    <x v="0"/>
    <x v="0"/>
    <x v="0"/>
    <x v="0"/>
    <x v="0"/>
    <x v="0"/>
    <x v="0"/>
    <x v="0"/>
    <x v="0"/>
    <x v="0"/>
    <x v="0"/>
    <x v="0"/>
    <x v="0"/>
    <x v="0"/>
  </r>
  <r>
    <x v="1"/>
    <x v="1"/>
    <x v="1"/>
    <x v="1"/>
    <x v="1"/>
    <x v="1"/>
    <x v="1"/>
    <x v="1"/>
    <x v="1"/>
    <x v="1"/>
    <x v="1"/>
    <x v="1"/>
    <x v="1"/>
    <x v="1"/>
  </r>
  <r>
    <x v="2"/>
    <x v="2"/>
    <x v="2"/>
    <x v="2"/>
    <x v="2"/>
    <x v="2"/>
    <x v="2"/>
    <x v="2"/>
    <x v="2"/>
    <x v="2"/>
    <x v="2"/>
    <x v="2"/>
    <x v="2"/>
    <x v="2"/>
  </r>
  <r>
    <x v="3"/>
    <x v="3"/>
    <x v="3"/>
    <x v="3"/>
    <x v="3"/>
    <x v="3"/>
    <x v="3"/>
    <x v="3"/>
    <x v="3"/>
    <x v="3"/>
    <x v="3"/>
    <x v="3"/>
    <x v="3"/>
    <x v="3"/>
  </r>
  <r>
    <x v="4"/>
    <x v="4"/>
    <x v="4"/>
    <x v="4"/>
    <x v="4"/>
    <x v="4"/>
    <x v="4"/>
    <x v="4"/>
    <x v="4"/>
    <x v="4"/>
    <x v="4"/>
    <x v="4"/>
    <x v="2"/>
    <x v="4"/>
  </r>
  <r>
    <x v="5"/>
    <x v="5"/>
    <x v="5"/>
    <x v="5"/>
    <x v="5"/>
    <x v="5"/>
    <x v="5"/>
    <x v="5"/>
    <x v="5"/>
    <x v="5"/>
    <x v="5"/>
    <x v="5"/>
    <x v="2"/>
    <x v="5"/>
  </r>
  <r>
    <x v="6"/>
    <x v="6"/>
    <x v="6"/>
    <x v="6"/>
    <x v="6"/>
    <x v="6"/>
    <x v="6"/>
    <x v="6"/>
    <x v="6"/>
    <x v="6"/>
    <x v="6"/>
    <x v="6"/>
    <x v="2"/>
    <x v="6"/>
  </r>
  <r>
    <x v="7"/>
    <x v="7"/>
    <x v="7"/>
    <x v="7"/>
    <x v="7"/>
    <x v="7"/>
    <x v="7"/>
    <x v="7"/>
    <x v="7"/>
    <x v="7"/>
    <x v="7"/>
    <x v="7"/>
    <x v="2"/>
    <x v="7"/>
  </r>
  <r>
    <x v="8"/>
    <x v="8"/>
    <x v="8"/>
    <x v="8"/>
    <x v="8"/>
    <x v="8"/>
    <x v="8"/>
    <x v="8"/>
    <x v="8"/>
    <x v="8"/>
    <x v="8"/>
    <x v="8"/>
    <x v="4"/>
    <x v="8"/>
  </r>
  <r>
    <x v="6"/>
    <x v="6"/>
    <x v="6"/>
    <x v="9"/>
    <x v="7"/>
    <x v="9"/>
    <x v="7"/>
    <x v="9"/>
    <x v="9"/>
    <x v="9"/>
    <x v="9"/>
    <x v="9"/>
    <x v="2"/>
    <x v="9"/>
  </r>
  <r>
    <x v="9"/>
    <x v="9"/>
    <x v="9"/>
    <x v="10"/>
    <x v="9"/>
    <x v="10"/>
    <x v="9"/>
    <x v="10"/>
    <x v="10"/>
    <x v="10"/>
    <x v="10"/>
    <x v="10"/>
    <x v="2"/>
    <x v="10"/>
  </r>
  <r>
    <x v="10"/>
    <x v="10"/>
    <x v="10"/>
    <x v="11"/>
    <x v="10"/>
    <x v="11"/>
    <x v="10"/>
    <x v="11"/>
    <x v="11"/>
    <x v="11"/>
    <x v="11"/>
    <x v="11"/>
    <x v="5"/>
    <x v="11"/>
  </r>
  <r>
    <x v="11"/>
    <x v="11"/>
    <x v="11"/>
    <x v="12"/>
    <x v="11"/>
    <x v="12"/>
    <x v="11"/>
    <x v="12"/>
    <x v="12"/>
    <x v="12"/>
    <x v="12"/>
    <x v="12"/>
    <x v="2"/>
    <x v="12"/>
  </r>
  <r>
    <x v="12"/>
    <x v="12"/>
    <x v="12"/>
    <x v="13"/>
    <x v="12"/>
    <x v="13"/>
    <x v="12"/>
    <x v="13"/>
    <x v="13"/>
    <x v="13"/>
    <x v="13"/>
    <x v="13"/>
    <x v="2"/>
    <x v="13"/>
  </r>
  <r>
    <x v="13"/>
    <x v="13"/>
    <x v="13"/>
    <x v="14"/>
    <x v="13"/>
    <x v="14"/>
    <x v="13"/>
    <x v="14"/>
    <x v="14"/>
    <x v="14"/>
    <x v="14"/>
    <x v="14"/>
    <x v="6"/>
    <x v="14"/>
  </r>
  <r>
    <x v="14"/>
    <x v="14"/>
    <x v="14"/>
    <x v="15"/>
    <x v="14"/>
    <x v="15"/>
    <x v="14"/>
    <x v="15"/>
    <x v="15"/>
    <x v="15"/>
    <x v="15"/>
    <x v="0"/>
    <x v="2"/>
    <x v="15"/>
  </r>
  <r>
    <x v="15"/>
    <x v="15"/>
    <x v="15"/>
    <x v="16"/>
    <x v="15"/>
    <x v="16"/>
    <x v="15"/>
    <x v="16"/>
    <x v="16"/>
    <x v="16"/>
    <x v="16"/>
    <x v="15"/>
    <x v="2"/>
    <x v="16"/>
  </r>
  <r>
    <x v="16"/>
    <x v="16"/>
    <x v="16"/>
    <x v="17"/>
    <x v="11"/>
    <x v="17"/>
    <x v="11"/>
    <x v="17"/>
    <x v="17"/>
    <x v="17"/>
    <x v="17"/>
    <x v="16"/>
    <x v="2"/>
    <x v="17"/>
  </r>
  <r>
    <x v="17"/>
    <x v="17"/>
    <x v="17"/>
    <x v="18"/>
    <x v="11"/>
    <x v="15"/>
    <x v="11"/>
    <x v="18"/>
    <x v="18"/>
    <x v="18"/>
    <x v="18"/>
    <x v="17"/>
    <x v="2"/>
    <x v="18"/>
  </r>
  <r>
    <x v="18"/>
    <x v="18"/>
    <x v="18"/>
    <x v="19"/>
    <x v="16"/>
    <x v="18"/>
    <x v="16"/>
    <x v="19"/>
    <x v="16"/>
    <x v="19"/>
    <x v="16"/>
    <x v="18"/>
    <x v="2"/>
    <x v="18"/>
  </r>
  <r>
    <x v="19"/>
    <x v="19"/>
    <x v="19"/>
    <x v="20"/>
    <x v="13"/>
    <x v="19"/>
    <x v="13"/>
    <x v="20"/>
    <x v="18"/>
    <x v="20"/>
    <x v="18"/>
    <x v="2"/>
    <x v="2"/>
    <x v="19"/>
  </r>
  <r>
    <x v="20"/>
    <x v="20"/>
    <x v="20"/>
    <x v="21"/>
    <x v="17"/>
    <x v="20"/>
    <x v="17"/>
    <x v="21"/>
    <x v="19"/>
    <x v="21"/>
    <x v="19"/>
    <x v="19"/>
    <x v="2"/>
    <x v="20"/>
  </r>
  <r>
    <x v="11"/>
    <x v="11"/>
    <x v="11"/>
    <x v="22"/>
    <x v="13"/>
    <x v="21"/>
    <x v="13"/>
    <x v="22"/>
    <x v="14"/>
    <x v="22"/>
    <x v="14"/>
    <x v="20"/>
    <x v="5"/>
    <x v="20"/>
  </r>
  <r>
    <x v="21"/>
    <x v="21"/>
    <x v="21"/>
    <x v="23"/>
    <x v="18"/>
    <x v="22"/>
    <x v="18"/>
    <x v="23"/>
    <x v="20"/>
    <x v="23"/>
    <x v="20"/>
    <x v="20"/>
    <x v="2"/>
    <x v="21"/>
  </r>
  <r>
    <x v="22"/>
    <x v="22"/>
    <x v="22"/>
    <x v="24"/>
    <x v="15"/>
    <x v="23"/>
    <x v="15"/>
    <x v="24"/>
    <x v="21"/>
    <x v="24"/>
    <x v="21"/>
    <x v="18"/>
    <x v="2"/>
    <x v="22"/>
  </r>
  <r>
    <x v="23"/>
    <x v="23"/>
    <x v="23"/>
    <x v="25"/>
    <x v="16"/>
    <x v="24"/>
    <x v="16"/>
    <x v="25"/>
    <x v="16"/>
    <x v="25"/>
    <x v="16"/>
    <x v="21"/>
    <x v="2"/>
    <x v="23"/>
  </r>
  <r>
    <x v="24"/>
    <x v="24"/>
    <x v="24"/>
    <x v="26"/>
    <x v="17"/>
    <x v="25"/>
    <x v="17"/>
    <x v="26"/>
    <x v="22"/>
    <x v="26"/>
    <x v="22"/>
    <x v="22"/>
    <x v="2"/>
    <x v="23"/>
  </r>
  <r>
    <x v="25"/>
    <x v="25"/>
    <x v="25"/>
    <x v="27"/>
    <x v="17"/>
    <x v="26"/>
    <x v="17"/>
    <x v="27"/>
    <x v="23"/>
    <x v="27"/>
    <x v="23"/>
    <x v="18"/>
    <x v="2"/>
    <x v="24"/>
  </r>
  <r>
    <x v="26"/>
    <x v="26"/>
    <x v="26"/>
    <x v="28"/>
    <x v="13"/>
    <x v="27"/>
    <x v="13"/>
    <x v="28"/>
    <x v="13"/>
    <x v="28"/>
    <x v="13"/>
    <x v="18"/>
    <x v="2"/>
    <x v="24"/>
  </r>
  <r>
    <x v="27"/>
    <x v="27"/>
    <x v="27"/>
    <x v="29"/>
    <x v="19"/>
    <x v="28"/>
    <x v="19"/>
    <x v="29"/>
    <x v="24"/>
    <x v="29"/>
    <x v="24"/>
    <x v="23"/>
    <x v="7"/>
    <x v="24"/>
  </r>
  <r>
    <x v="28"/>
    <x v="28"/>
    <x v="28"/>
    <x v="30"/>
    <x v="18"/>
    <x v="29"/>
    <x v="18"/>
    <x v="30"/>
    <x v="15"/>
    <x v="30"/>
    <x v="15"/>
    <x v="24"/>
    <x v="2"/>
    <x v="25"/>
  </r>
  <r>
    <x v="29"/>
    <x v="29"/>
    <x v="29"/>
    <x v="31"/>
    <x v="20"/>
    <x v="30"/>
    <x v="20"/>
    <x v="31"/>
    <x v="25"/>
    <x v="31"/>
    <x v="25"/>
    <x v="25"/>
    <x v="2"/>
    <x v="26"/>
  </r>
  <r>
    <x v="30"/>
    <x v="30"/>
    <x v="30"/>
    <x v="32"/>
    <x v="16"/>
    <x v="31"/>
    <x v="16"/>
    <x v="32"/>
    <x v="16"/>
    <x v="32"/>
    <x v="16"/>
    <x v="26"/>
    <x v="2"/>
    <x v="27"/>
  </r>
  <r>
    <x v="31"/>
    <x v="31"/>
    <x v="31"/>
    <x v="33"/>
    <x v="20"/>
    <x v="30"/>
    <x v="20"/>
    <x v="33"/>
    <x v="25"/>
    <x v="33"/>
    <x v="25"/>
    <x v="27"/>
    <x v="2"/>
    <x v="28"/>
  </r>
  <r>
    <x v="32"/>
    <x v="32"/>
    <x v="32"/>
    <x v="34"/>
    <x v="20"/>
    <x v="32"/>
    <x v="20"/>
    <x v="34"/>
    <x v="25"/>
    <x v="34"/>
    <x v="25"/>
    <x v="28"/>
    <x v="2"/>
    <x v="27"/>
  </r>
  <r>
    <x v="33"/>
    <x v="33"/>
    <x v="33"/>
    <x v="35"/>
    <x v="17"/>
    <x v="33"/>
    <x v="17"/>
    <x v="35"/>
    <x v="22"/>
    <x v="35"/>
    <x v="22"/>
    <x v="5"/>
    <x v="2"/>
    <x v="28"/>
  </r>
  <r>
    <x v="34"/>
    <x v="34"/>
    <x v="34"/>
    <x v="36"/>
    <x v="20"/>
    <x v="34"/>
    <x v="20"/>
    <x v="33"/>
    <x v="25"/>
    <x v="33"/>
    <x v="25"/>
    <x v="18"/>
    <x v="2"/>
    <x v="29"/>
  </r>
  <r>
    <x v="35"/>
    <x v="35"/>
    <x v="35"/>
    <x v="37"/>
    <x v="15"/>
    <x v="35"/>
    <x v="15"/>
    <x v="36"/>
    <x v="19"/>
    <x v="36"/>
    <x v="19"/>
    <x v="5"/>
    <x v="2"/>
    <x v="29"/>
  </r>
  <r>
    <x v="36"/>
    <x v="36"/>
    <x v="36"/>
    <x v="38"/>
    <x v="21"/>
    <x v="36"/>
    <x v="21"/>
    <x v="37"/>
    <x v="26"/>
    <x v="37"/>
    <x v="26"/>
    <x v="18"/>
    <x v="2"/>
    <x v="29"/>
  </r>
  <r>
    <x v="29"/>
    <x v="29"/>
    <x v="29"/>
    <x v="39"/>
    <x v="19"/>
    <x v="37"/>
    <x v="19"/>
    <x v="38"/>
    <x v="24"/>
    <x v="38"/>
    <x v="24"/>
    <x v="18"/>
    <x v="7"/>
    <x v="30"/>
  </r>
  <r>
    <x v="37"/>
    <x v="37"/>
    <x v="37"/>
    <x v="40"/>
    <x v="19"/>
    <x v="38"/>
    <x v="19"/>
    <x v="39"/>
    <x v="24"/>
    <x v="39"/>
    <x v="24"/>
    <x v="18"/>
    <x v="7"/>
    <x v="30"/>
  </r>
  <r>
    <x v="38"/>
    <x v="38"/>
    <x v="38"/>
    <x v="41"/>
    <x v="20"/>
    <x v="39"/>
    <x v="20"/>
    <x v="40"/>
    <x v="25"/>
    <x v="34"/>
    <x v="25"/>
    <x v="29"/>
    <x v="2"/>
    <x v="30"/>
  </r>
  <r>
    <x v="39"/>
    <x v="39"/>
    <x v="39"/>
    <x v="42"/>
    <x v="15"/>
    <x v="40"/>
    <x v="15"/>
    <x v="41"/>
    <x v="16"/>
    <x v="40"/>
    <x v="16"/>
    <x v="30"/>
    <x v="8"/>
    <x v="30"/>
  </r>
  <r>
    <x v="40"/>
    <x v="40"/>
    <x v="40"/>
    <x v="43"/>
    <x v="19"/>
    <x v="41"/>
    <x v="19"/>
    <x v="42"/>
    <x v="24"/>
    <x v="29"/>
    <x v="24"/>
    <x v="31"/>
    <x v="7"/>
    <x v="30"/>
  </r>
  <r>
    <x v="41"/>
    <x v="41"/>
    <x v="41"/>
    <x v="44"/>
    <x v="19"/>
    <x v="40"/>
    <x v="19"/>
    <x v="43"/>
    <x v="24"/>
    <x v="41"/>
    <x v="24"/>
    <x v="32"/>
    <x v="7"/>
    <x v="30"/>
  </r>
  <r>
    <x v="42"/>
    <x v="42"/>
    <x v="42"/>
    <x v="45"/>
    <x v="20"/>
    <x v="42"/>
    <x v="20"/>
    <x v="44"/>
    <x v="25"/>
    <x v="42"/>
    <x v="25"/>
    <x v="33"/>
    <x v="2"/>
    <x v="31"/>
  </r>
  <r>
    <x v="43"/>
    <x v="43"/>
    <x v="43"/>
    <x v="46"/>
    <x v="19"/>
    <x v="38"/>
    <x v="19"/>
    <x v="45"/>
    <x v="24"/>
    <x v="39"/>
    <x v="24"/>
    <x v="18"/>
    <x v="7"/>
    <x v="32"/>
  </r>
  <r>
    <x v="44"/>
    <x v="44"/>
    <x v="44"/>
    <x v="47"/>
    <x v="19"/>
    <x v="43"/>
    <x v="19"/>
    <x v="46"/>
    <x v="24"/>
    <x v="43"/>
    <x v="24"/>
    <x v="18"/>
    <x v="7"/>
    <x v="32"/>
  </r>
  <r>
    <x v="45"/>
    <x v="45"/>
    <x v="45"/>
    <x v="48"/>
    <x v="19"/>
    <x v="44"/>
    <x v="19"/>
    <x v="47"/>
    <x v="24"/>
    <x v="44"/>
    <x v="24"/>
    <x v="18"/>
    <x v="7"/>
    <x v="32"/>
  </r>
  <r>
    <x v="46"/>
    <x v="46"/>
    <x v="46"/>
    <x v="49"/>
    <x v="20"/>
    <x v="43"/>
    <x v="20"/>
    <x v="46"/>
    <x v="25"/>
    <x v="43"/>
    <x v="25"/>
    <x v="18"/>
    <x v="2"/>
    <x v="32"/>
  </r>
  <r>
    <x v="47"/>
    <x v="47"/>
    <x v="47"/>
    <x v="31"/>
    <x v="21"/>
    <x v="30"/>
    <x v="21"/>
    <x v="48"/>
    <x v="26"/>
    <x v="31"/>
    <x v="26"/>
    <x v="34"/>
    <x v="2"/>
    <x v="32"/>
  </r>
  <r>
    <x v="48"/>
    <x v="48"/>
    <x v="48"/>
    <x v="50"/>
    <x v="20"/>
    <x v="39"/>
    <x v="20"/>
    <x v="49"/>
    <x v="25"/>
    <x v="34"/>
    <x v="25"/>
    <x v="35"/>
    <x v="2"/>
    <x v="32"/>
  </r>
  <r>
    <x v="49"/>
    <x v="49"/>
    <x v="49"/>
    <x v="50"/>
    <x v="19"/>
    <x v="39"/>
    <x v="19"/>
    <x v="50"/>
    <x v="24"/>
    <x v="38"/>
    <x v="24"/>
    <x v="36"/>
    <x v="7"/>
    <x v="32"/>
  </r>
  <r>
    <x v="50"/>
    <x v="50"/>
    <x v="50"/>
    <x v="51"/>
    <x v="20"/>
    <x v="44"/>
    <x v="20"/>
    <x v="51"/>
    <x v="25"/>
    <x v="44"/>
    <x v="25"/>
    <x v="18"/>
    <x v="2"/>
    <x v="32"/>
  </r>
  <r>
    <x v="51"/>
    <x v="51"/>
    <x v="51"/>
    <x v="52"/>
    <x v="19"/>
    <x v="45"/>
    <x v="19"/>
    <x v="52"/>
    <x v="24"/>
    <x v="39"/>
    <x v="24"/>
    <x v="18"/>
    <x v="7"/>
    <x v="32"/>
  </r>
  <r>
    <x v="52"/>
    <x v="52"/>
    <x v="52"/>
    <x v="40"/>
    <x v="20"/>
    <x v="38"/>
    <x v="20"/>
    <x v="53"/>
    <x v="25"/>
    <x v="43"/>
    <x v="25"/>
    <x v="18"/>
    <x v="2"/>
    <x v="32"/>
  </r>
  <r>
    <x v="53"/>
    <x v="53"/>
    <x v="53"/>
    <x v="53"/>
    <x v="22"/>
    <x v="46"/>
    <x v="22"/>
    <x v="54"/>
    <x v="22"/>
    <x v="45"/>
    <x v="27"/>
    <x v="37"/>
    <x v="2"/>
    <x v="33"/>
  </r>
  <r>
    <x v="54"/>
    <x v="54"/>
    <x v="54"/>
    <x v="54"/>
    <x v="19"/>
    <x v="47"/>
    <x v="19"/>
    <x v="55"/>
    <x v="24"/>
    <x v="46"/>
    <x v="24"/>
    <x v="18"/>
    <x v="7"/>
    <x v="34"/>
  </r>
  <r>
    <x v="55"/>
    <x v="55"/>
    <x v="55"/>
    <x v="41"/>
    <x v="15"/>
    <x v="48"/>
    <x v="23"/>
    <x v="56"/>
    <x v="21"/>
    <x v="47"/>
    <x v="28"/>
    <x v="38"/>
    <x v="2"/>
    <x v="30"/>
  </r>
  <r>
    <x v="56"/>
    <x v="56"/>
    <x v="56"/>
    <x v="55"/>
    <x v="19"/>
    <x v="49"/>
    <x v="19"/>
    <x v="57"/>
    <x v="24"/>
    <x v="48"/>
    <x v="24"/>
    <x v="18"/>
    <x v="7"/>
    <x v="31"/>
  </r>
  <r>
    <x v="57"/>
    <x v="57"/>
    <x v="57"/>
    <x v="56"/>
    <x v="20"/>
    <x v="50"/>
    <x v="24"/>
    <x v="58"/>
    <x v="25"/>
    <x v="49"/>
    <x v="29"/>
    <x v="39"/>
    <x v="2"/>
    <x v="32"/>
  </r>
  <r>
    <x v="58"/>
    <x v="58"/>
    <x v="58"/>
    <x v="57"/>
    <x v="23"/>
    <x v="51"/>
    <x v="25"/>
    <x v="59"/>
    <x v="27"/>
    <x v="50"/>
    <x v="30"/>
    <x v="40"/>
    <x v="9"/>
    <x v="35"/>
  </r>
</pivotCacheRecords>
</file>

<file path=xl/pivotCache/pivotCacheRecords49.xml><?xml version="1.0" encoding="utf-8"?>
<pivotCacheRecords xmlns="http://schemas.openxmlformats.org/spreadsheetml/2006/main" xmlns:r="http://schemas.openxmlformats.org/officeDocument/2006/relationships" count="82">
  <r>
    <x v="0"/>
    <x v="0"/>
    <x v="0"/>
    <x v="0"/>
    <x v="0"/>
    <x v="0"/>
    <x v="0"/>
    <x v="0"/>
    <x v="0"/>
    <x v="0"/>
    <x v="0"/>
    <x v="0"/>
    <x v="0"/>
    <x v="0"/>
    <x v="0"/>
    <x v="0"/>
    <x v="0"/>
  </r>
  <r>
    <x v="1"/>
    <x v="1"/>
    <x v="1"/>
    <x v="1"/>
    <x v="1"/>
    <x v="1"/>
    <x v="1"/>
    <x v="0"/>
    <x v="0"/>
    <x v="0"/>
    <x v="0"/>
    <x v="0"/>
    <x v="0"/>
    <x v="0"/>
    <x v="0"/>
    <x v="0"/>
    <x v="0"/>
  </r>
  <r>
    <x v="0"/>
    <x v="0"/>
    <x v="2"/>
    <x v="2"/>
    <x v="2"/>
    <x v="2"/>
    <x v="2"/>
    <x v="1"/>
    <x v="1"/>
    <x v="1"/>
    <x v="1"/>
    <x v="1"/>
    <x v="1"/>
    <x v="0"/>
    <x v="1"/>
    <x v="0"/>
    <x v="1"/>
  </r>
  <r>
    <x v="1"/>
    <x v="1"/>
    <x v="3"/>
    <x v="3"/>
    <x v="3"/>
    <x v="3"/>
    <x v="3"/>
    <x v="0"/>
    <x v="0"/>
    <x v="0"/>
    <x v="0"/>
    <x v="0"/>
    <x v="0"/>
    <x v="0"/>
    <x v="0"/>
    <x v="0"/>
    <x v="0"/>
  </r>
  <r>
    <x v="2"/>
    <x v="2"/>
    <x v="4"/>
    <x v="4"/>
    <x v="4"/>
    <x v="4"/>
    <x v="4"/>
    <x v="2"/>
    <x v="2"/>
    <x v="2"/>
    <x v="2"/>
    <x v="2"/>
    <x v="2"/>
    <x v="1"/>
    <x v="0"/>
    <x v="1"/>
    <x v="0"/>
  </r>
  <r>
    <x v="3"/>
    <x v="3"/>
    <x v="5"/>
    <x v="5"/>
    <x v="5"/>
    <x v="5"/>
    <x v="5"/>
    <x v="0"/>
    <x v="0"/>
    <x v="0"/>
    <x v="0"/>
    <x v="0"/>
    <x v="0"/>
    <x v="0"/>
    <x v="0"/>
    <x v="0"/>
    <x v="0"/>
  </r>
  <r>
    <x v="4"/>
    <x v="4"/>
    <x v="6"/>
    <x v="6"/>
    <x v="6"/>
    <x v="6"/>
    <x v="6"/>
    <x v="3"/>
    <x v="3"/>
    <x v="3"/>
    <x v="3"/>
    <x v="3"/>
    <x v="3"/>
    <x v="2"/>
    <x v="1"/>
    <x v="2"/>
    <x v="2"/>
  </r>
  <r>
    <x v="4"/>
    <x v="4"/>
    <x v="7"/>
    <x v="7"/>
    <x v="7"/>
    <x v="7"/>
    <x v="7"/>
    <x v="4"/>
    <x v="4"/>
    <x v="4"/>
    <x v="4"/>
    <x v="4"/>
    <x v="4"/>
    <x v="2"/>
    <x v="0"/>
    <x v="2"/>
    <x v="0"/>
  </r>
  <r>
    <x v="2"/>
    <x v="2"/>
    <x v="8"/>
    <x v="8"/>
    <x v="8"/>
    <x v="8"/>
    <x v="8"/>
    <x v="5"/>
    <x v="5"/>
    <x v="5"/>
    <x v="5"/>
    <x v="5"/>
    <x v="5"/>
    <x v="3"/>
    <x v="0"/>
    <x v="3"/>
    <x v="0"/>
  </r>
  <r>
    <x v="3"/>
    <x v="3"/>
    <x v="9"/>
    <x v="9"/>
    <x v="9"/>
    <x v="9"/>
    <x v="9"/>
    <x v="0"/>
    <x v="0"/>
    <x v="0"/>
    <x v="0"/>
    <x v="0"/>
    <x v="0"/>
    <x v="0"/>
    <x v="0"/>
    <x v="0"/>
    <x v="0"/>
  </r>
  <r>
    <x v="5"/>
    <x v="5"/>
    <x v="10"/>
    <x v="10"/>
    <x v="10"/>
    <x v="10"/>
    <x v="10"/>
    <x v="6"/>
    <x v="6"/>
    <x v="6"/>
    <x v="3"/>
    <x v="6"/>
    <x v="6"/>
    <x v="4"/>
    <x v="1"/>
    <x v="4"/>
    <x v="3"/>
  </r>
  <r>
    <x v="5"/>
    <x v="5"/>
    <x v="11"/>
    <x v="11"/>
    <x v="11"/>
    <x v="11"/>
    <x v="11"/>
    <x v="7"/>
    <x v="7"/>
    <x v="7"/>
    <x v="3"/>
    <x v="3"/>
    <x v="7"/>
    <x v="2"/>
    <x v="1"/>
    <x v="5"/>
    <x v="3"/>
  </r>
  <r>
    <x v="4"/>
    <x v="4"/>
    <x v="12"/>
    <x v="12"/>
    <x v="12"/>
    <x v="12"/>
    <x v="12"/>
    <x v="0"/>
    <x v="0"/>
    <x v="0"/>
    <x v="0"/>
    <x v="0"/>
    <x v="0"/>
    <x v="0"/>
    <x v="0"/>
    <x v="0"/>
    <x v="0"/>
  </r>
  <r>
    <x v="0"/>
    <x v="0"/>
    <x v="13"/>
    <x v="3"/>
    <x v="13"/>
    <x v="13"/>
    <x v="13"/>
    <x v="0"/>
    <x v="0"/>
    <x v="0"/>
    <x v="0"/>
    <x v="0"/>
    <x v="0"/>
    <x v="0"/>
    <x v="0"/>
    <x v="0"/>
    <x v="0"/>
  </r>
  <r>
    <x v="3"/>
    <x v="3"/>
    <x v="14"/>
    <x v="13"/>
    <x v="14"/>
    <x v="14"/>
    <x v="14"/>
    <x v="8"/>
    <x v="8"/>
    <x v="8"/>
    <x v="1"/>
    <x v="4"/>
    <x v="8"/>
    <x v="0"/>
    <x v="2"/>
    <x v="0"/>
    <x v="4"/>
  </r>
  <r>
    <x v="6"/>
    <x v="6"/>
    <x v="15"/>
    <x v="14"/>
    <x v="15"/>
    <x v="15"/>
    <x v="15"/>
    <x v="0"/>
    <x v="0"/>
    <x v="9"/>
    <x v="0"/>
    <x v="0"/>
    <x v="9"/>
    <x v="0"/>
    <x v="0"/>
    <x v="0"/>
    <x v="0"/>
  </r>
  <r>
    <x v="7"/>
    <x v="7"/>
    <x v="16"/>
    <x v="4"/>
    <x v="16"/>
    <x v="16"/>
    <x v="16"/>
    <x v="9"/>
    <x v="9"/>
    <x v="10"/>
    <x v="6"/>
    <x v="7"/>
    <x v="10"/>
    <x v="5"/>
    <x v="3"/>
    <x v="6"/>
    <x v="5"/>
  </r>
  <r>
    <x v="7"/>
    <x v="7"/>
    <x v="17"/>
    <x v="14"/>
    <x v="15"/>
    <x v="15"/>
    <x v="15"/>
    <x v="0"/>
    <x v="0"/>
    <x v="9"/>
    <x v="0"/>
    <x v="0"/>
    <x v="9"/>
    <x v="0"/>
    <x v="0"/>
    <x v="0"/>
    <x v="0"/>
  </r>
  <r>
    <x v="8"/>
    <x v="8"/>
    <x v="18"/>
    <x v="15"/>
    <x v="17"/>
    <x v="17"/>
    <x v="17"/>
    <x v="10"/>
    <x v="10"/>
    <x v="11"/>
    <x v="7"/>
    <x v="8"/>
    <x v="11"/>
    <x v="6"/>
    <x v="4"/>
    <x v="7"/>
    <x v="6"/>
  </r>
  <r>
    <x v="9"/>
    <x v="9"/>
    <x v="19"/>
    <x v="0"/>
    <x v="18"/>
    <x v="18"/>
    <x v="18"/>
    <x v="11"/>
    <x v="11"/>
    <x v="12"/>
    <x v="1"/>
    <x v="1"/>
    <x v="12"/>
    <x v="7"/>
    <x v="0"/>
    <x v="8"/>
    <x v="0"/>
  </r>
  <r>
    <x v="5"/>
    <x v="5"/>
    <x v="20"/>
    <x v="16"/>
    <x v="19"/>
    <x v="19"/>
    <x v="19"/>
    <x v="0"/>
    <x v="0"/>
    <x v="0"/>
    <x v="0"/>
    <x v="0"/>
    <x v="0"/>
    <x v="0"/>
    <x v="0"/>
    <x v="0"/>
    <x v="0"/>
  </r>
  <r>
    <x v="10"/>
    <x v="10"/>
    <x v="21"/>
    <x v="0"/>
    <x v="20"/>
    <x v="20"/>
    <x v="20"/>
    <x v="0"/>
    <x v="0"/>
    <x v="0"/>
    <x v="0"/>
    <x v="0"/>
    <x v="0"/>
    <x v="0"/>
    <x v="0"/>
    <x v="0"/>
    <x v="0"/>
  </r>
  <r>
    <x v="11"/>
    <x v="11"/>
    <x v="22"/>
    <x v="17"/>
    <x v="21"/>
    <x v="21"/>
    <x v="21"/>
    <x v="0"/>
    <x v="0"/>
    <x v="0"/>
    <x v="0"/>
    <x v="0"/>
    <x v="0"/>
    <x v="0"/>
    <x v="0"/>
    <x v="0"/>
    <x v="0"/>
  </r>
  <r>
    <x v="11"/>
    <x v="11"/>
    <x v="23"/>
    <x v="12"/>
    <x v="22"/>
    <x v="22"/>
    <x v="22"/>
    <x v="0"/>
    <x v="0"/>
    <x v="0"/>
    <x v="0"/>
    <x v="0"/>
    <x v="0"/>
    <x v="0"/>
    <x v="0"/>
    <x v="0"/>
    <x v="0"/>
  </r>
  <r>
    <x v="8"/>
    <x v="8"/>
    <x v="24"/>
    <x v="0"/>
    <x v="23"/>
    <x v="23"/>
    <x v="23"/>
    <x v="12"/>
    <x v="12"/>
    <x v="13"/>
    <x v="1"/>
    <x v="1"/>
    <x v="12"/>
    <x v="7"/>
    <x v="0"/>
    <x v="9"/>
    <x v="0"/>
  </r>
  <r>
    <x v="10"/>
    <x v="10"/>
    <x v="25"/>
    <x v="14"/>
    <x v="15"/>
    <x v="15"/>
    <x v="15"/>
    <x v="0"/>
    <x v="0"/>
    <x v="9"/>
    <x v="0"/>
    <x v="0"/>
    <x v="9"/>
    <x v="0"/>
    <x v="0"/>
    <x v="0"/>
    <x v="0"/>
  </r>
  <r>
    <x v="10"/>
    <x v="10"/>
    <x v="26"/>
    <x v="0"/>
    <x v="24"/>
    <x v="24"/>
    <x v="24"/>
    <x v="0"/>
    <x v="0"/>
    <x v="0"/>
    <x v="0"/>
    <x v="0"/>
    <x v="0"/>
    <x v="0"/>
    <x v="0"/>
    <x v="0"/>
    <x v="0"/>
  </r>
  <r>
    <x v="12"/>
    <x v="12"/>
    <x v="27"/>
    <x v="18"/>
    <x v="25"/>
    <x v="25"/>
    <x v="25"/>
    <x v="13"/>
    <x v="13"/>
    <x v="14"/>
    <x v="8"/>
    <x v="9"/>
    <x v="13"/>
    <x v="8"/>
    <x v="5"/>
    <x v="10"/>
    <x v="7"/>
  </r>
  <r>
    <x v="13"/>
    <x v="13"/>
    <x v="28"/>
    <x v="19"/>
    <x v="26"/>
    <x v="26"/>
    <x v="26"/>
    <x v="14"/>
    <x v="14"/>
    <x v="15"/>
    <x v="9"/>
    <x v="10"/>
    <x v="14"/>
    <x v="9"/>
    <x v="3"/>
    <x v="11"/>
    <x v="8"/>
  </r>
  <r>
    <x v="14"/>
    <x v="14"/>
    <x v="29"/>
    <x v="0"/>
    <x v="27"/>
    <x v="27"/>
    <x v="27"/>
    <x v="0"/>
    <x v="0"/>
    <x v="0"/>
    <x v="0"/>
    <x v="0"/>
    <x v="0"/>
    <x v="0"/>
    <x v="0"/>
    <x v="0"/>
    <x v="0"/>
  </r>
  <r>
    <x v="15"/>
    <x v="15"/>
    <x v="30"/>
    <x v="3"/>
    <x v="28"/>
    <x v="28"/>
    <x v="28"/>
    <x v="0"/>
    <x v="0"/>
    <x v="0"/>
    <x v="0"/>
    <x v="0"/>
    <x v="0"/>
    <x v="0"/>
    <x v="0"/>
    <x v="0"/>
    <x v="0"/>
  </r>
  <r>
    <x v="15"/>
    <x v="15"/>
    <x v="31"/>
    <x v="20"/>
    <x v="29"/>
    <x v="29"/>
    <x v="29"/>
    <x v="15"/>
    <x v="15"/>
    <x v="16"/>
    <x v="10"/>
    <x v="6"/>
    <x v="15"/>
    <x v="4"/>
    <x v="1"/>
    <x v="12"/>
    <x v="9"/>
  </r>
  <r>
    <x v="16"/>
    <x v="16"/>
    <x v="32"/>
    <x v="21"/>
    <x v="30"/>
    <x v="30"/>
    <x v="30"/>
    <x v="0"/>
    <x v="0"/>
    <x v="0"/>
    <x v="0"/>
    <x v="0"/>
    <x v="0"/>
    <x v="0"/>
    <x v="0"/>
    <x v="0"/>
    <x v="0"/>
  </r>
  <r>
    <x v="17"/>
    <x v="17"/>
    <x v="33"/>
    <x v="22"/>
    <x v="31"/>
    <x v="31"/>
    <x v="31"/>
    <x v="0"/>
    <x v="0"/>
    <x v="0"/>
    <x v="0"/>
    <x v="0"/>
    <x v="0"/>
    <x v="0"/>
    <x v="0"/>
    <x v="0"/>
    <x v="0"/>
  </r>
  <r>
    <x v="18"/>
    <x v="18"/>
    <x v="34"/>
    <x v="23"/>
    <x v="32"/>
    <x v="32"/>
    <x v="32"/>
    <x v="16"/>
    <x v="16"/>
    <x v="17"/>
    <x v="4"/>
    <x v="4"/>
    <x v="16"/>
    <x v="2"/>
    <x v="0"/>
    <x v="13"/>
    <x v="0"/>
  </r>
  <r>
    <x v="19"/>
    <x v="19"/>
    <x v="35"/>
    <x v="9"/>
    <x v="33"/>
    <x v="33"/>
    <x v="33"/>
    <x v="17"/>
    <x v="17"/>
    <x v="18"/>
    <x v="1"/>
    <x v="1"/>
    <x v="17"/>
    <x v="7"/>
    <x v="0"/>
    <x v="14"/>
    <x v="0"/>
  </r>
  <r>
    <x v="13"/>
    <x v="13"/>
    <x v="36"/>
    <x v="24"/>
    <x v="34"/>
    <x v="34"/>
    <x v="34"/>
    <x v="18"/>
    <x v="18"/>
    <x v="19"/>
    <x v="11"/>
    <x v="11"/>
    <x v="18"/>
    <x v="1"/>
    <x v="1"/>
    <x v="15"/>
    <x v="10"/>
  </r>
  <r>
    <x v="12"/>
    <x v="12"/>
    <x v="37"/>
    <x v="25"/>
    <x v="35"/>
    <x v="35"/>
    <x v="35"/>
    <x v="19"/>
    <x v="19"/>
    <x v="20"/>
    <x v="12"/>
    <x v="12"/>
    <x v="19"/>
    <x v="10"/>
    <x v="0"/>
    <x v="16"/>
    <x v="0"/>
  </r>
  <r>
    <x v="20"/>
    <x v="20"/>
    <x v="38"/>
    <x v="16"/>
    <x v="36"/>
    <x v="36"/>
    <x v="36"/>
    <x v="0"/>
    <x v="0"/>
    <x v="0"/>
    <x v="0"/>
    <x v="0"/>
    <x v="0"/>
    <x v="0"/>
    <x v="0"/>
    <x v="0"/>
    <x v="0"/>
  </r>
  <r>
    <x v="21"/>
    <x v="21"/>
    <x v="39"/>
    <x v="26"/>
    <x v="37"/>
    <x v="37"/>
    <x v="37"/>
    <x v="20"/>
    <x v="20"/>
    <x v="21"/>
    <x v="1"/>
    <x v="1"/>
    <x v="20"/>
    <x v="0"/>
    <x v="1"/>
    <x v="0"/>
    <x v="2"/>
  </r>
  <r>
    <x v="22"/>
    <x v="22"/>
    <x v="40"/>
    <x v="27"/>
    <x v="38"/>
    <x v="38"/>
    <x v="38"/>
    <x v="0"/>
    <x v="0"/>
    <x v="0"/>
    <x v="0"/>
    <x v="0"/>
    <x v="0"/>
    <x v="0"/>
    <x v="0"/>
    <x v="0"/>
    <x v="0"/>
  </r>
  <r>
    <x v="23"/>
    <x v="23"/>
    <x v="41"/>
    <x v="28"/>
    <x v="39"/>
    <x v="39"/>
    <x v="39"/>
    <x v="1"/>
    <x v="21"/>
    <x v="22"/>
    <x v="1"/>
    <x v="1"/>
    <x v="21"/>
    <x v="7"/>
    <x v="0"/>
    <x v="17"/>
    <x v="0"/>
  </r>
  <r>
    <x v="23"/>
    <x v="23"/>
    <x v="42"/>
    <x v="26"/>
    <x v="40"/>
    <x v="40"/>
    <x v="40"/>
    <x v="8"/>
    <x v="22"/>
    <x v="23"/>
    <x v="4"/>
    <x v="4"/>
    <x v="22"/>
    <x v="0"/>
    <x v="2"/>
    <x v="0"/>
    <x v="4"/>
  </r>
  <r>
    <x v="21"/>
    <x v="21"/>
    <x v="43"/>
    <x v="17"/>
    <x v="41"/>
    <x v="41"/>
    <x v="41"/>
    <x v="0"/>
    <x v="0"/>
    <x v="0"/>
    <x v="0"/>
    <x v="0"/>
    <x v="0"/>
    <x v="0"/>
    <x v="0"/>
    <x v="0"/>
    <x v="0"/>
  </r>
  <r>
    <x v="21"/>
    <x v="21"/>
    <x v="44"/>
    <x v="29"/>
    <x v="42"/>
    <x v="42"/>
    <x v="42"/>
    <x v="0"/>
    <x v="0"/>
    <x v="0"/>
    <x v="0"/>
    <x v="0"/>
    <x v="0"/>
    <x v="0"/>
    <x v="0"/>
    <x v="0"/>
    <x v="0"/>
  </r>
  <r>
    <x v="22"/>
    <x v="22"/>
    <x v="45"/>
    <x v="5"/>
    <x v="43"/>
    <x v="18"/>
    <x v="43"/>
    <x v="0"/>
    <x v="0"/>
    <x v="0"/>
    <x v="0"/>
    <x v="0"/>
    <x v="0"/>
    <x v="0"/>
    <x v="0"/>
    <x v="0"/>
    <x v="0"/>
  </r>
  <r>
    <x v="24"/>
    <x v="24"/>
    <x v="46"/>
    <x v="17"/>
    <x v="44"/>
    <x v="43"/>
    <x v="44"/>
    <x v="0"/>
    <x v="0"/>
    <x v="0"/>
    <x v="0"/>
    <x v="0"/>
    <x v="0"/>
    <x v="0"/>
    <x v="0"/>
    <x v="0"/>
    <x v="0"/>
  </r>
  <r>
    <x v="25"/>
    <x v="25"/>
    <x v="47"/>
    <x v="30"/>
    <x v="45"/>
    <x v="44"/>
    <x v="45"/>
    <x v="18"/>
    <x v="23"/>
    <x v="24"/>
    <x v="11"/>
    <x v="11"/>
    <x v="23"/>
    <x v="11"/>
    <x v="2"/>
    <x v="18"/>
    <x v="11"/>
  </r>
  <r>
    <x v="26"/>
    <x v="26"/>
    <x v="48"/>
    <x v="6"/>
    <x v="46"/>
    <x v="45"/>
    <x v="46"/>
    <x v="0"/>
    <x v="0"/>
    <x v="0"/>
    <x v="0"/>
    <x v="0"/>
    <x v="0"/>
    <x v="0"/>
    <x v="0"/>
    <x v="0"/>
    <x v="0"/>
  </r>
  <r>
    <x v="27"/>
    <x v="27"/>
    <x v="49"/>
    <x v="14"/>
    <x v="15"/>
    <x v="15"/>
    <x v="15"/>
    <x v="0"/>
    <x v="0"/>
    <x v="9"/>
    <x v="0"/>
    <x v="0"/>
    <x v="9"/>
    <x v="0"/>
    <x v="0"/>
    <x v="0"/>
    <x v="0"/>
  </r>
  <r>
    <x v="28"/>
    <x v="28"/>
    <x v="50"/>
    <x v="31"/>
    <x v="47"/>
    <x v="46"/>
    <x v="47"/>
    <x v="21"/>
    <x v="24"/>
    <x v="25"/>
    <x v="13"/>
    <x v="13"/>
    <x v="24"/>
    <x v="12"/>
    <x v="6"/>
    <x v="19"/>
    <x v="12"/>
  </r>
  <r>
    <x v="28"/>
    <x v="28"/>
    <x v="51"/>
    <x v="14"/>
    <x v="15"/>
    <x v="15"/>
    <x v="15"/>
    <x v="0"/>
    <x v="0"/>
    <x v="9"/>
    <x v="0"/>
    <x v="0"/>
    <x v="9"/>
    <x v="0"/>
    <x v="0"/>
    <x v="0"/>
    <x v="0"/>
  </r>
  <r>
    <x v="29"/>
    <x v="29"/>
    <x v="52"/>
    <x v="0"/>
    <x v="48"/>
    <x v="47"/>
    <x v="48"/>
    <x v="22"/>
    <x v="25"/>
    <x v="26"/>
    <x v="4"/>
    <x v="4"/>
    <x v="25"/>
    <x v="7"/>
    <x v="1"/>
    <x v="14"/>
    <x v="13"/>
  </r>
  <r>
    <x v="30"/>
    <x v="30"/>
    <x v="53"/>
    <x v="17"/>
    <x v="49"/>
    <x v="30"/>
    <x v="49"/>
    <x v="0"/>
    <x v="0"/>
    <x v="0"/>
    <x v="0"/>
    <x v="0"/>
    <x v="0"/>
    <x v="0"/>
    <x v="0"/>
    <x v="0"/>
    <x v="0"/>
  </r>
  <r>
    <x v="30"/>
    <x v="30"/>
    <x v="54"/>
    <x v="16"/>
    <x v="50"/>
    <x v="48"/>
    <x v="50"/>
    <x v="0"/>
    <x v="0"/>
    <x v="0"/>
    <x v="0"/>
    <x v="0"/>
    <x v="0"/>
    <x v="0"/>
    <x v="0"/>
    <x v="0"/>
    <x v="0"/>
  </r>
  <r>
    <x v="30"/>
    <x v="30"/>
    <x v="55"/>
    <x v="17"/>
    <x v="51"/>
    <x v="49"/>
    <x v="51"/>
    <x v="0"/>
    <x v="0"/>
    <x v="0"/>
    <x v="0"/>
    <x v="0"/>
    <x v="0"/>
    <x v="0"/>
    <x v="0"/>
    <x v="0"/>
    <x v="0"/>
  </r>
  <r>
    <x v="17"/>
    <x v="17"/>
    <x v="56"/>
    <x v="14"/>
    <x v="15"/>
    <x v="15"/>
    <x v="15"/>
    <x v="0"/>
    <x v="0"/>
    <x v="9"/>
    <x v="0"/>
    <x v="0"/>
    <x v="9"/>
    <x v="0"/>
    <x v="0"/>
    <x v="0"/>
    <x v="0"/>
  </r>
  <r>
    <x v="12"/>
    <x v="12"/>
    <x v="57"/>
    <x v="32"/>
    <x v="52"/>
    <x v="50"/>
    <x v="52"/>
    <x v="23"/>
    <x v="26"/>
    <x v="27"/>
    <x v="3"/>
    <x v="3"/>
    <x v="26"/>
    <x v="4"/>
    <x v="0"/>
    <x v="20"/>
    <x v="0"/>
  </r>
  <r>
    <x v="18"/>
    <x v="18"/>
    <x v="58"/>
    <x v="27"/>
    <x v="53"/>
    <x v="51"/>
    <x v="53"/>
    <x v="24"/>
    <x v="27"/>
    <x v="28"/>
    <x v="1"/>
    <x v="1"/>
    <x v="27"/>
    <x v="0"/>
    <x v="1"/>
    <x v="0"/>
    <x v="14"/>
  </r>
  <r>
    <x v="2"/>
    <x v="2"/>
    <x v="59"/>
    <x v="6"/>
    <x v="54"/>
    <x v="52"/>
    <x v="54"/>
    <x v="20"/>
    <x v="28"/>
    <x v="29"/>
    <x v="1"/>
    <x v="1"/>
    <x v="26"/>
    <x v="7"/>
    <x v="0"/>
    <x v="21"/>
    <x v="0"/>
  </r>
  <r>
    <x v="31"/>
    <x v="31"/>
    <x v="60"/>
    <x v="17"/>
    <x v="55"/>
    <x v="24"/>
    <x v="55"/>
    <x v="0"/>
    <x v="0"/>
    <x v="0"/>
    <x v="0"/>
    <x v="0"/>
    <x v="0"/>
    <x v="0"/>
    <x v="0"/>
    <x v="0"/>
    <x v="0"/>
  </r>
  <r>
    <x v="20"/>
    <x v="20"/>
    <x v="61"/>
    <x v="14"/>
    <x v="15"/>
    <x v="15"/>
    <x v="15"/>
    <x v="0"/>
    <x v="0"/>
    <x v="9"/>
    <x v="0"/>
    <x v="0"/>
    <x v="9"/>
    <x v="0"/>
    <x v="0"/>
    <x v="0"/>
    <x v="0"/>
  </r>
  <r>
    <x v="1"/>
    <x v="1"/>
    <x v="62"/>
    <x v="14"/>
    <x v="15"/>
    <x v="15"/>
    <x v="15"/>
    <x v="0"/>
    <x v="0"/>
    <x v="9"/>
    <x v="0"/>
    <x v="0"/>
    <x v="9"/>
    <x v="0"/>
    <x v="0"/>
    <x v="0"/>
    <x v="0"/>
  </r>
  <r>
    <x v="32"/>
    <x v="32"/>
    <x v="63"/>
    <x v="30"/>
    <x v="56"/>
    <x v="53"/>
    <x v="56"/>
    <x v="25"/>
    <x v="29"/>
    <x v="30"/>
    <x v="14"/>
    <x v="14"/>
    <x v="28"/>
    <x v="2"/>
    <x v="7"/>
    <x v="22"/>
    <x v="15"/>
  </r>
  <r>
    <x v="33"/>
    <x v="33"/>
    <x v="64"/>
    <x v="13"/>
    <x v="57"/>
    <x v="54"/>
    <x v="57"/>
    <x v="26"/>
    <x v="30"/>
    <x v="31"/>
    <x v="14"/>
    <x v="14"/>
    <x v="29"/>
    <x v="4"/>
    <x v="2"/>
    <x v="23"/>
    <x v="16"/>
  </r>
  <r>
    <x v="34"/>
    <x v="34"/>
    <x v="65"/>
    <x v="33"/>
    <x v="58"/>
    <x v="55"/>
    <x v="58"/>
    <x v="27"/>
    <x v="31"/>
    <x v="32"/>
    <x v="1"/>
    <x v="1"/>
    <x v="30"/>
    <x v="0"/>
    <x v="1"/>
    <x v="0"/>
    <x v="17"/>
  </r>
  <r>
    <x v="34"/>
    <x v="34"/>
    <x v="66"/>
    <x v="34"/>
    <x v="59"/>
    <x v="56"/>
    <x v="59"/>
    <x v="28"/>
    <x v="32"/>
    <x v="33"/>
    <x v="4"/>
    <x v="4"/>
    <x v="1"/>
    <x v="7"/>
    <x v="1"/>
    <x v="17"/>
    <x v="10"/>
  </r>
  <r>
    <x v="35"/>
    <x v="35"/>
    <x v="67"/>
    <x v="5"/>
    <x v="60"/>
    <x v="57"/>
    <x v="60"/>
    <x v="29"/>
    <x v="33"/>
    <x v="34"/>
    <x v="1"/>
    <x v="1"/>
    <x v="29"/>
    <x v="7"/>
    <x v="0"/>
    <x v="24"/>
    <x v="0"/>
  </r>
  <r>
    <x v="36"/>
    <x v="36"/>
    <x v="68"/>
    <x v="14"/>
    <x v="15"/>
    <x v="15"/>
    <x v="15"/>
    <x v="0"/>
    <x v="0"/>
    <x v="9"/>
    <x v="0"/>
    <x v="0"/>
    <x v="9"/>
    <x v="0"/>
    <x v="0"/>
    <x v="0"/>
    <x v="0"/>
  </r>
  <r>
    <x v="36"/>
    <x v="36"/>
    <x v="69"/>
    <x v="16"/>
    <x v="61"/>
    <x v="58"/>
    <x v="18"/>
    <x v="0"/>
    <x v="0"/>
    <x v="0"/>
    <x v="0"/>
    <x v="0"/>
    <x v="0"/>
    <x v="0"/>
    <x v="0"/>
    <x v="0"/>
    <x v="0"/>
  </r>
  <r>
    <x v="37"/>
    <x v="37"/>
    <x v="70"/>
    <x v="16"/>
    <x v="62"/>
    <x v="59"/>
    <x v="61"/>
    <x v="0"/>
    <x v="0"/>
    <x v="0"/>
    <x v="0"/>
    <x v="0"/>
    <x v="0"/>
    <x v="0"/>
    <x v="0"/>
    <x v="0"/>
    <x v="0"/>
  </r>
  <r>
    <x v="37"/>
    <x v="37"/>
    <x v="11"/>
    <x v="14"/>
    <x v="15"/>
    <x v="15"/>
    <x v="15"/>
    <x v="0"/>
    <x v="0"/>
    <x v="9"/>
    <x v="0"/>
    <x v="0"/>
    <x v="9"/>
    <x v="0"/>
    <x v="0"/>
    <x v="0"/>
    <x v="0"/>
  </r>
  <r>
    <x v="38"/>
    <x v="38"/>
    <x v="71"/>
    <x v="14"/>
    <x v="15"/>
    <x v="15"/>
    <x v="15"/>
    <x v="0"/>
    <x v="0"/>
    <x v="9"/>
    <x v="0"/>
    <x v="0"/>
    <x v="9"/>
    <x v="0"/>
    <x v="0"/>
    <x v="0"/>
    <x v="0"/>
  </r>
  <r>
    <x v="38"/>
    <x v="38"/>
    <x v="72"/>
    <x v="14"/>
    <x v="15"/>
    <x v="15"/>
    <x v="15"/>
    <x v="0"/>
    <x v="0"/>
    <x v="9"/>
    <x v="0"/>
    <x v="0"/>
    <x v="9"/>
    <x v="0"/>
    <x v="0"/>
    <x v="0"/>
    <x v="0"/>
  </r>
  <r>
    <x v="39"/>
    <x v="39"/>
    <x v="73"/>
    <x v="14"/>
    <x v="15"/>
    <x v="15"/>
    <x v="15"/>
    <x v="0"/>
    <x v="0"/>
    <x v="9"/>
    <x v="0"/>
    <x v="0"/>
    <x v="9"/>
    <x v="0"/>
    <x v="0"/>
    <x v="0"/>
    <x v="0"/>
  </r>
  <r>
    <x v="40"/>
    <x v="40"/>
    <x v="74"/>
    <x v="14"/>
    <x v="15"/>
    <x v="15"/>
    <x v="15"/>
    <x v="0"/>
    <x v="0"/>
    <x v="9"/>
    <x v="0"/>
    <x v="0"/>
    <x v="9"/>
    <x v="0"/>
    <x v="0"/>
    <x v="0"/>
    <x v="0"/>
  </r>
  <r>
    <x v="41"/>
    <x v="41"/>
    <x v="75"/>
    <x v="14"/>
    <x v="15"/>
    <x v="15"/>
    <x v="15"/>
    <x v="0"/>
    <x v="0"/>
    <x v="9"/>
    <x v="0"/>
    <x v="0"/>
    <x v="9"/>
    <x v="0"/>
    <x v="0"/>
    <x v="0"/>
    <x v="0"/>
  </r>
  <r>
    <x v="42"/>
    <x v="42"/>
    <x v="76"/>
    <x v="14"/>
    <x v="15"/>
    <x v="15"/>
    <x v="15"/>
    <x v="0"/>
    <x v="0"/>
    <x v="9"/>
    <x v="0"/>
    <x v="0"/>
    <x v="9"/>
    <x v="0"/>
    <x v="0"/>
    <x v="0"/>
    <x v="0"/>
  </r>
  <r>
    <x v="43"/>
    <x v="43"/>
    <x v="77"/>
    <x v="14"/>
    <x v="15"/>
    <x v="15"/>
    <x v="15"/>
    <x v="0"/>
    <x v="0"/>
    <x v="9"/>
    <x v="0"/>
    <x v="0"/>
    <x v="9"/>
    <x v="0"/>
    <x v="0"/>
    <x v="0"/>
    <x v="0"/>
  </r>
  <r>
    <x v="44"/>
    <x v="44"/>
    <x v="78"/>
    <x v="14"/>
    <x v="15"/>
    <x v="15"/>
    <x v="15"/>
    <x v="0"/>
    <x v="0"/>
    <x v="9"/>
    <x v="0"/>
    <x v="0"/>
    <x v="9"/>
    <x v="0"/>
    <x v="0"/>
    <x v="0"/>
    <x v="0"/>
  </r>
  <r>
    <x v="45"/>
    <x v="45"/>
    <x v="79"/>
    <x v="14"/>
    <x v="15"/>
    <x v="15"/>
    <x v="15"/>
    <x v="0"/>
    <x v="0"/>
    <x v="9"/>
    <x v="0"/>
    <x v="0"/>
    <x v="9"/>
    <x v="0"/>
    <x v="0"/>
    <x v="0"/>
    <x v="0"/>
  </r>
  <r>
    <x v="46"/>
    <x v="46"/>
    <x v="80"/>
    <x v="35"/>
    <x v="63"/>
    <x v="15"/>
    <x v="62"/>
    <x v="30"/>
    <x v="0"/>
    <x v="9"/>
    <x v="15"/>
    <x v="15"/>
    <x v="9"/>
    <x v="13"/>
    <x v="8"/>
    <x v="25"/>
    <x v="18"/>
  </r>
</pivotCacheRecords>
</file>

<file path=xl/pivotCache/pivotCacheRecords50.xml><?xml version="1.0" encoding="utf-8"?>
<pivotCacheRecords xmlns="http://schemas.openxmlformats.org/spreadsheetml/2006/main" xmlns:r="http://schemas.openxmlformats.org/officeDocument/2006/relationships" count="84">
  <r>
    <x v="0"/>
    <x v="0"/>
    <x v="0"/>
    <x v="0"/>
    <x v="0"/>
    <x v="0"/>
    <x v="0"/>
    <x v="0"/>
    <x v="0"/>
    <x v="0"/>
    <x v="0"/>
    <x v="0"/>
    <x v="0"/>
    <x v="0"/>
    <x v="0"/>
    <x v="0"/>
    <x v="0"/>
  </r>
  <r>
    <x v="1"/>
    <x v="1"/>
    <x v="1"/>
    <x v="1"/>
    <x v="1"/>
    <x v="1"/>
    <x v="1"/>
    <x v="1"/>
    <x v="1"/>
    <x v="1"/>
    <x v="1"/>
    <x v="1"/>
    <x v="1"/>
    <x v="1"/>
    <x v="0"/>
    <x v="1"/>
    <x v="0"/>
  </r>
  <r>
    <x v="0"/>
    <x v="0"/>
    <x v="2"/>
    <x v="2"/>
    <x v="2"/>
    <x v="2"/>
    <x v="2"/>
    <x v="2"/>
    <x v="2"/>
    <x v="2"/>
    <x v="1"/>
    <x v="1"/>
    <x v="2"/>
    <x v="0"/>
    <x v="1"/>
    <x v="0"/>
    <x v="1"/>
  </r>
  <r>
    <x v="2"/>
    <x v="2"/>
    <x v="3"/>
    <x v="3"/>
    <x v="3"/>
    <x v="3"/>
    <x v="3"/>
    <x v="3"/>
    <x v="3"/>
    <x v="3"/>
    <x v="2"/>
    <x v="2"/>
    <x v="3"/>
    <x v="2"/>
    <x v="0"/>
    <x v="2"/>
    <x v="0"/>
  </r>
  <r>
    <x v="1"/>
    <x v="1"/>
    <x v="4"/>
    <x v="4"/>
    <x v="4"/>
    <x v="4"/>
    <x v="4"/>
    <x v="0"/>
    <x v="0"/>
    <x v="0"/>
    <x v="0"/>
    <x v="0"/>
    <x v="0"/>
    <x v="0"/>
    <x v="0"/>
    <x v="0"/>
    <x v="0"/>
  </r>
  <r>
    <x v="3"/>
    <x v="3"/>
    <x v="5"/>
    <x v="5"/>
    <x v="5"/>
    <x v="5"/>
    <x v="5"/>
    <x v="4"/>
    <x v="4"/>
    <x v="4"/>
    <x v="3"/>
    <x v="3"/>
    <x v="4"/>
    <x v="3"/>
    <x v="1"/>
    <x v="3"/>
    <x v="2"/>
  </r>
  <r>
    <x v="4"/>
    <x v="4"/>
    <x v="6"/>
    <x v="6"/>
    <x v="6"/>
    <x v="6"/>
    <x v="6"/>
    <x v="0"/>
    <x v="0"/>
    <x v="0"/>
    <x v="0"/>
    <x v="0"/>
    <x v="0"/>
    <x v="0"/>
    <x v="0"/>
    <x v="0"/>
    <x v="0"/>
  </r>
  <r>
    <x v="5"/>
    <x v="5"/>
    <x v="7"/>
    <x v="7"/>
    <x v="7"/>
    <x v="7"/>
    <x v="7"/>
    <x v="5"/>
    <x v="5"/>
    <x v="5"/>
    <x v="4"/>
    <x v="4"/>
    <x v="5"/>
    <x v="2"/>
    <x v="1"/>
    <x v="4"/>
    <x v="3"/>
  </r>
  <r>
    <x v="5"/>
    <x v="5"/>
    <x v="8"/>
    <x v="8"/>
    <x v="8"/>
    <x v="8"/>
    <x v="8"/>
    <x v="6"/>
    <x v="6"/>
    <x v="6"/>
    <x v="5"/>
    <x v="5"/>
    <x v="6"/>
    <x v="4"/>
    <x v="0"/>
    <x v="5"/>
    <x v="0"/>
  </r>
  <r>
    <x v="3"/>
    <x v="3"/>
    <x v="9"/>
    <x v="9"/>
    <x v="9"/>
    <x v="9"/>
    <x v="9"/>
    <x v="7"/>
    <x v="7"/>
    <x v="7"/>
    <x v="6"/>
    <x v="6"/>
    <x v="7"/>
    <x v="5"/>
    <x v="0"/>
    <x v="6"/>
    <x v="0"/>
  </r>
  <r>
    <x v="4"/>
    <x v="4"/>
    <x v="10"/>
    <x v="10"/>
    <x v="10"/>
    <x v="10"/>
    <x v="10"/>
    <x v="8"/>
    <x v="8"/>
    <x v="8"/>
    <x v="5"/>
    <x v="7"/>
    <x v="8"/>
    <x v="4"/>
    <x v="1"/>
    <x v="7"/>
    <x v="1"/>
  </r>
  <r>
    <x v="6"/>
    <x v="6"/>
    <x v="11"/>
    <x v="11"/>
    <x v="11"/>
    <x v="11"/>
    <x v="11"/>
    <x v="9"/>
    <x v="9"/>
    <x v="9"/>
    <x v="7"/>
    <x v="8"/>
    <x v="9"/>
    <x v="6"/>
    <x v="2"/>
    <x v="8"/>
    <x v="4"/>
  </r>
  <r>
    <x v="6"/>
    <x v="6"/>
    <x v="12"/>
    <x v="12"/>
    <x v="12"/>
    <x v="12"/>
    <x v="12"/>
    <x v="10"/>
    <x v="10"/>
    <x v="10"/>
    <x v="8"/>
    <x v="9"/>
    <x v="10"/>
    <x v="7"/>
    <x v="3"/>
    <x v="9"/>
    <x v="5"/>
  </r>
  <r>
    <x v="5"/>
    <x v="5"/>
    <x v="13"/>
    <x v="13"/>
    <x v="13"/>
    <x v="13"/>
    <x v="13"/>
    <x v="11"/>
    <x v="11"/>
    <x v="11"/>
    <x v="4"/>
    <x v="4"/>
    <x v="11"/>
    <x v="1"/>
    <x v="4"/>
    <x v="10"/>
    <x v="6"/>
  </r>
  <r>
    <x v="0"/>
    <x v="0"/>
    <x v="14"/>
    <x v="3"/>
    <x v="14"/>
    <x v="14"/>
    <x v="14"/>
    <x v="0"/>
    <x v="0"/>
    <x v="0"/>
    <x v="0"/>
    <x v="0"/>
    <x v="0"/>
    <x v="0"/>
    <x v="0"/>
    <x v="0"/>
    <x v="0"/>
  </r>
  <r>
    <x v="4"/>
    <x v="4"/>
    <x v="15"/>
    <x v="12"/>
    <x v="15"/>
    <x v="15"/>
    <x v="15"/>
    <x v="12"/>
    <x v="12"/>
    <x v="12"/>
    <x v="4"/>
    <x v="5"/>
    <x v="12"/>
    <x v="2"/>
    <x v="4"/>
    <x v="11"/>
    <x v="7"/>
  </r>
  <r>
    <x v="7"/>
    <x v="7"/>
    <x v="16"/>
    <x v="14"/>
    <x v="16"/>
    <x v="16"/>
    <x v="16"/>
    <x v="0"/>
    <x v="0"/>
    <x v="13"/>
    <x v="0"/>
    <x v="0"/>
    <x v="13"/>
    <x v="0"/>
    <x v="0"/>
    <x v="0"/>
    <x v="0"/>
  </r>
  <r>
    <x v="8"/>
    <x v="8"/>
    <x v="17"/>
    <x v="15"/>
    <x v="17"/>
    <x v="17"/>
    <x v="17"/>
    <x v="13"/>
    <x v="13"/>
    <x v="14"/>
    <x v="9"/>
    <x v="10"/>
    <x v="14"/>
    <x v="8"/>
    <x v="5"/>
    <x v="12"/>
    <x v="8"/>
  </r>
  <r>
    <x v="8"/>
    <x v="8"/>
    <x v="18"/>
    <x v="16"/>
    <x v="18"/>
    <x v="18"/>
    <x v="18"/>
    <x v="0"/>
    <x v="0"/>
    <x v="0"/>
    <x v="0"/>
    <x v="0"/>
    <x v="0"/>
    <x v="0"/>
    <x v="0"/>
    <x v="0"/>
    <x v="0"/>
  </r>
  <r>
    <x v="9"/>
    <x v="9"/>
    <x v="19"/>
    <x v="17"/>
    <x v="19"/>
    <x v="19"/>
    <x v="19"/>
    <x v="14"/>
    <x v="14"/>
    <x v="15"/>
    <x v="10"/>
    <x v="11"/>
    <x v="15"/>
    <x v="9"/>
    <x v="6"/>
    <x v="13"/>
    <x v="9"/>
  </r>
  <r>
    <x v="10"/>
    <x v="10"/>
    <x v="20"/>
    <x v="18"/>
    <x v="20"/>
    <x v="20"/>
    <x v="20"/>
    <x v="15"/>
    <x v="15"/>
    <x v="16"/>
    <x v="2"/>
    <x v="2"/>
    <x v="16"/>
    <x v="2"/>
    <x v="0"/>
    <x v="14"/>
    <x v="0"/>
  </r>
  <r>
    <x v="6"/>
    <x v="6"/>
    <x v="21"/>
    <x v="19"/>
    <x v="21"/>
    <x v="21"/>
    <x v="21"/>
    <x v="16"/>
    <x v="16"/>
    <x v="17"/>
    <x v="1"/>
    <x v="1"/>
    <x v="5"/>
    <x v="0"/>
    <x v="1"/>
    <x v="0"/>
    <x v="2"/>
  </r>
  <r>
    <x v="11"/>
    <x v="11"/>
    <x v="22"/>
    <x v="20"/>
    <x v="22"/>
    <x v="22"/>
    <x v="22"/>
    <x v="0"/>
    <x v="0"/>
    <x v="0"/>
    <x v="0"/>
    <x v="0"/>
    <x v="0"/>
    <x v="0"/>
    <x v="0"/>
    <x v="0"/>
    <x v="0"/>
  </r>
  <r>
    <x v="12"/>
    <x v="12"/>
    <x v="23"/>
    <x v="18"/>
    <x v="23"/>
    <x v="23"/>
    <x v="23"/>
    <x v="0"/>
    <x v="0"/>
    <x v="0"/>
    <x v="0"/>
    <x v="0"/>
    <x v="0"/>
    <x v="0"/>
    <x v="0"/>
    <x v="0"/>
    <x v="0"/>
  </r>
  <r>
    <x v="12"/>
    <x v="12"/>
    <x v="24"/>
    <x v="3"/>
    <x v="24"/>
    <x v="24"/>
    <x v="24"/>
    <x v="0"/>
    <x v="0"/>
    <x v="0"/>
    <x v="0"/>
    <x v="0"/>
    <x v="0"/>
    <x v="0"/>
    <x v="0"/>
    <x v="0"/>
    <x v="0"/>
  </r>
  <r>
    <x v="9"/>
    <x v="9"/>
    <x v="25"/>
    <x v="20"/>
    <x v="25"/>
    <x v="18"/>
    <x v="25"/>
    <x v="16"/>
    <x v="17"/>
    <x v="18"/>
    <x v="1"/>
    <x v="1"/>
    <x v="16"/>
    <x v="1"/>
    <x v="0"/>
    <x v="15"/>
    <x v="0"/>
  </r>
  <r>
    <x v="11"/>
    <x v="11"/>
    <x v="26"/>
    <x v="14"/>
    <x v="16"/>
    <x v="16"/>
    <x v="16"/>
    <x v="0"/>
    <x v="0"/>
    <x v="13"/>
    <x v="0"/>
    <x v="0"/>
    <x v="13"/>
    <x v="0"/>
    <x v="0"/>
    <x v="0"/>
    <x v="0"/>
  </r>
  <r>
    <x v="11"/>
    <x v="11"/>
    <x v="27"/>
    <x v="20"/>
    <x v="26"/>
    <x v="25"/>
    <x v="26"/>
    <x v="0"/>
    <x v="0"/>
    <x v="0"/>
    <x v="0"/>
    <x v="0"/>
    <x v="0"/>
    <x v="0"/>
    <x v="0"/>
    <x v="0"/>
    <x v="0"/>
  </r>
  <r>
    <x v="13"/>
    <x v="13"/>
    <x v="28"/>
    <x v="21"/>
    <x v="27"/>
    <x v="26"/>
    <x v="27"/>
    <x v="17"/>
    <x v="18"/>
    <x v="19"/>
    <x v="11"/>
    <x v="12"/>
    <x v="17"/>
    <x v="10"/>
    <x v="7"/>
    <x v="16"/>
    <x v="10"/>
  </r>
  <r>
    <x v="14"/>
    <x v="14"/>
    <x v="29"/>
    <x v="22"/>
    <x v="28"/>
    <x v="27"/>
    <x v="28"/>
    <x v="18"/>
    <x v="19"/>
    <x v="20"/>
    <x v="12"/>
    <x v="13"/>
    <x v="18"/>
    <x v="8"/>
    <x v="8"/>
    <x v="17"/>
    <x v="11"/>
  </r>
  <r>
    <x v="15"/>
    <x v="15"/>
    <x v="30"/>
    <x v="23"/>
    <x v="29"/>
    <x v="28"/>
    <x v="29"/>
    <x v="0"/>
    <x v="0"/>
    <x v="0"/>
    <x v="0"/>
    <x v="0"/>
    <x v="0"/>
    <x v="0"/>
    <x v="0"/>
    <x v="0"/>
    <x v="0"/>
  </r>
  <r>
    <x v="16"/>
    <x v="16"/>
    <x v="31"/>
    <x v="24"/>
    <x v="30"/>
    <x v="29"/>
    <x v="30"/>
    <x v="19"/>
    <x v="20"/>
    <x v="21"/>
    <x v="2"/>
    <x v="2"/>
    <x v="19"/>
    <x v="2"/>
    <x v="0"/>
    <x v="18"/>
    <x v="0"/>
  </r>
  <r>
    <x v="16"/>
    <x v="16"/>
    <x v="32"/>
    <x v="25"/>
    <x v="31"/>
    <x v="30"/>
    <x v="31"/>
    <x v="20"/>
    <x v="21"/>
    <x v="22"/>
    <x v="13"/>
    <x v="14"/>
    <x v="20"/>
    <x v="11"/>
    <x v="1"/>
    <x v="19"/>
    <x v="12"/>
  </r>
  <r>
    <x v="17"/>
    <x v="17"/>
    <x v="33"/>
    <x v="26"/>
    <x v="32"/>
    <x v="31"/>
    <x v="32"/>
    <x v="0"/>
    <x v="0"/>
    <x v="0"/>
    <x v="0"/>
    <x v="0"/>
    <x v="0"/>
    <x v="0"/>
    <x v="0"/>
    <x v="0"/>
    <x v="0"/>
  </r>
  <r>
    <x v="18"/>
    <x v="18"/>
    <x v="34"/>
    <x v="7"/>
    <x v="33"/>
    <x v="32"/>
    <x v="33"/>
    <x v="21"/>
    <x v="22"/>
    <x v="23"/>
    <x v="1"/>
    <x v="1"/>
    <x v="21"/>
    <x v="1"/>
    <x v="0"/>
    <x v="20"/>
    <x v="0"/>
  </r>
  <r>
    <x v="19"/>
    <x v="19"/>
    <x v="35"/>
    <x v="27"/>
    <x v="34"/>
    <x v="33"/>
    <x v="34"/>
    <x v="22"/>
    <x v="23"/>
    <x v="24"/>
    <x v="14"/>
    <x v="15"/>
    <x v="22"/>
    <x v="12"/>
    <x v="1"/>
    <x v="21"/>
    <x v="2"/>
  </r>
  <r>
    <x v="20"/>
    <x v="20"/>
    <x v="36"/>
    <x v="28"/>
    <x v="35"/>
    <x v="34"/>
    <x v="35"/>
    <x v="23"/>
    <x v="24"/>
    <x v="25"/>
    <x v="2"/>
    <x v="2"/>
    <x v="23"/>
    <x v="2"/>
    <x v="0"/>
    <x v="22"/>
    <x v="0"/>
  </r>
  <r>
    <x v="14"/>
    <x v="14"/>
    <x v="37"/>
    <x v="29"/>
    <x v="36"/>
    <x v="35"/>
    <x v="36"/>
    <x v="24"/>
    <x v="25"/>
    <x v="26"/>
    <x v="15"/>
    <x v="16"/>
    <x v="24"/>
    <x v="13"/>
    <x v="1"/>
    <x v="23"/>
    <x v="13"/>
  </r>
  <r>
    <x v="13"/>
    <x v="13"/>
    <x v="38"/>
    <x v="30"/>
    <x v="37"/>
    <x v="36"/>
    <x v="37"/>
    <x v="25"/>
    <x v="26"/>
    <x v="27"/>
    <x v="7"/>
    <x v="17"/>
    <x v="25"/>
    <x v="14"/>
    <x v="1"/>
    <x v="24"/>
    <x v="14"/>
  </r>
  <r>
    <x v="21"/>
    <x v="21"/>
    <x v="39"/>
    <x v="16"/>
    <x v="38"/>
    <x v="37"/>
    <x v="38"/>
    <x v="0"/>
    <x v="0"/>
    <x v="0"/>
    <x v="0"/>
    <x v="0"/>
    <x v="0"/>
    <x v="0"/>
    <x v="0"/>
    <x v="0"/>
    <x v="0"/>
  </r>
  <r>
    <x v="22"/>
    <x v="22"/>
    <x v="40"/>
    <x v="31"/>
    <x v="39"/>
    <x v="38"/>
    <x v="39"/>
    <x v="26"/>
    <x v="27"/>
    <x v="28"/>
    <x v="2"/>
    <x v="2"/>
    <x v="26"/>
    <x v="1"/>
    <x v="1"/>
    <x v="15"/>
    <x v="3"/>
  </r>
  <r>
    <x v="23"/>
    <x v="23"/>
    <x v="41"/>
    <x v="32"/>
    <x v="40"/>
    <x v="39"/>
    <x v="40"/>
    <x v="27"/>
    <x v="28"/>
    <x v="29"/>
    <x v="2"/>
    <x v="2"/>
    <x v="27"/>
    <x v="1"/>
    <x v="1"/>
    <x v="25"/>
    <x v="2"/>
  </r>
  <r>
    <x v="24"/>
    <x v="24"/>
    <x v="42"/>
    <x v="33"/>
    <x v="41"/>
    <x v="40"/>
    <x v="41"/>
    <x v="2"/>
    <x v="29"/>
    <x v="30"/>
    <x v="1"/>
    <x v="1"/>
    <x v="28"/>
    <x v="1"/>
    <x v="0"/>
    <x v="26"/>
    <x v="0"/>
  </r>
  <r>
    <x v="24"/>
    <x v="24"/>
    <x v="43"/>
    <x v="34"/>
    <x v="42"/>
    <x v="41"/>
    <x v="42"/>
    <x v="12"/>
    <x v="30"/>
    <x v="31"/>
    <x v="5"/>
    <x v="5"/>
    <x v="29"/>
    <x v="2"/>
    <x v="4"/>
    <x v="11"/>
    <x v="7"/>
  </r>
  <r>
    <x v="22"/>
    <x v="22"/>
    <x v="44"/>
    <x v="35"/>
    <x v="43"/>
    <x v="42"/>
    <x v="43"/>
    <x v="0"/>
    <x v="0"/>
    <x v="0"/>
    <x v="0"/>
    <x v="0"/>
    <x v="0"/>
    <x v="0"/>
    <x v="0"/>
    <x v="0"/>
    <x v="0"/>
  </r>
  <r>
    <x v="22"/>
    <x v="22"/>
    <x v="45"/>
    <x v="36"/>
    <x v="44"/>
    <x v="43"/>
    <x v="44"/>
    <x v="0"/>
    <x v="0"/>
    <x v="0"/>
    <x v="0"/>
    <x v="0"/>
    <x v="0"/>
    <x v="0"/>
    <x v="0"/>
    <x v="0"/>
    <x v="0"/>
  </r>
  <r>
    <x v="23"/>
    <x v="23"/>
    <x v="46"/>
    <x v="37"/>
    <x v="45"/>
    <x v="44"/>
    <x v="45"/>
    <x v="0"/>
    <x v="0"/>
    <x v="0"/>
    <x v="0"/>
    <x v="0"/>
    <x v="0"/>
    <x v="0"/>
    <x v="0"/>
    <x v="0"/>
    <x v="0"/>
  </r>
  <r>
    <x v="25"/>
    <x v="25"/>
    <x v="47"/>
    <x v="4"/>
    <x v="46"/>
    <x v="45"/>
    <x v="46"/>
    <x v="0"/>
    <x v="0"/>
    <x v="0"/>
    <x v="0"/>
    <x v="0"/>
    <x v="0"/>
    <x v="0"/>
    <x v="0"/>
    <x v="0"/>
    <x v="0"/>
  </r>
  <r>
    <x v="26"/>
    <x v="26"/>
    <x v="48"/>
    <x v="38"/>
    <x v="47"/>
    <x v="46"/>
    <x v="47"/>
    <x v="28"/>
    <x v="31"/>
    <x v="32"/>
    <x v="15"/>
    <x v="16"/>
    <x v="30"/>
    <x v="6"/>
    <x v="4"/>
    <x v="27"/>
    <x v="15"/>
  </r>
  <r>
    <x v="27"/>
    <x v="27"/>
    <x v="49"/>
    <x v="39"/>
    <x v="48"/>
    <x v="47"/>
    <x v="48"/>
    <x v="0"/>
    <x v="0"/>
    <x v="0"/>
    <x v="0"/>
    <x v="0"/>
    <x v="0"/>
    <x v="0"/>
    <x v="0"/>
    <x v="0"/>
    <x v="0"/>
  </r>
  <r>
    <x v="28"/>
    <x v="28"/>
    <x v="50"/>
    <x v="14"/>
    <x v="16"/>
    <x v="16"/>
    <x v="16"/>
    <x v="0"/>
    <x v="0"/>
    <x v="13"/>
    <x v="0"/>
    <x v="0"/>
    <x v="13"/>
    <x v="0"/>
    <x v="0"/>
    <x v="0"/>
    <x v="0"/>
  </r>
  <r>
    <x v="29"/>
    <x v="29"/>
    <x v="51"/>
    <x v="40"/>
    <x v="49"/>
    <x v="48"/>
    <x v="49"/>
    <x v="29"/>
    <x v="32"/>
    <x v="33"/>
    <x v="16"/>
    <x v="18"/>
    <x v="31"/>
    <x v="15"/>
    <x v="6"/>
    <x v="28"/>
    <x v="16"/>
  </r>
  <r>
    <x v="29"/>
    <x v="29"/>
    <x v="52"/>
    <x v="14"/>
    <x v="16"/>
    <x v="16"/>
    <x v="16"/>
    <x v="0"/>
    <x v="0"/>
    <x v="13"/>
    <x v="0"/>
    <x v="0"/>
    <x v="13"/>
    <x v="0"/>
    <x v="0"/>
    <x v="0"/>
    <x v="0"/>
  </r>
  <r>
    <x v="30"/>
    <x v="30"/>
    <x v="53"/>
    <x v="18"/>
    <x v="50"/>
    <x v="49"/>
    <x v="50"/>
    <x v="23"/>
    <x v="33"/>
    <x v="34"/>
    <x v="2"/>
    <x v="2"/>
    <x v="16"/>
    <x v="1"/>
    <x v="1"/>
    <x v="29"/>
    <x v="17"/>
  </r>
  <r>
    <x v="31"/>
    <x v="31"/>
    <x v="54"/>
    <x v="41"/>
    <x v="51"/>
    <x v="50"/>
    <x v="51"/>
    <x v="0"/>
    <x v="0"/>
    <x v="0"/>
    <x v="0"/>
    <x v="0"/>
    <x v="0"/>
    <x v="0"/>
    <x v="0"/>
    <x v="0"/>
    <x v="0"/>
  </r>
  <r>
    <x v="31"/>
    <x v="31"/>
    <x v="55"/>
    <x v="42"/>
    <x v="52"/>
    <x v="51"/>
    <x v="52"/>
    <x v="0"/>
    <x v="0"/>
    <x v="0"/>
    <x v="0"/>
    <x v="0"/>
    <x v="0"/>
    <x v="0"/>
    <x v="0"/>
    <x v="0"/>
    <x v="0"/>
  </r>
  <r>
    <x v="31"/>
    <x v="31"/>
    <x v="56"/>
    <x v="43"/>
    <x v="53"/>
    <x v="52"/>
    <x v="53"/>
    <x v="30"/>
    <x v="34"/>
    <x v="35"/>
    <x v="1"/>
    <x v="1"/>
    <x v="32"/>
    <x v="1"/>
    <x v="0"/>
    <x v="30"/>
    <x v="0"/>
  </r>
  <r>
    <x v="18"/>
    <x v="18"/>
    <x v="57"/>
    <x v="14"/>
    <x v="16"/>
    <x v="16"/>
    <x v="16"/>
    <x v="0"/>
    <x v="0"/>
    <x v="13"/>
    <x v="0"/>
    <x v="0"/>
    <x v="13"/>
    <x v="0"/>
    <x v="0"/>
    <x v="0"/>
    <x v="0"/>
  </r>
  <r>
    <x v="13"/>
    <x v="13"/>
    <x v="58"/>
    <x v="1"/>
    <x v="54"/>
    <x v="53"/>
    <x v="54"/>
    <x v="31"/>
    <x v="35"/>
    <x v="36"/>
    <x v="5"/>
    <x v="5"/>
    <x v="23"/>
    <x v="4"/>
    <x v="0"/>
    <x v="31"/>
    <x v="0"/>
  </r>
  <r>
    <x v="19"/>
    <x v="19"/>
    <x v="59"/>
    <x v="44"/>
    <x v="55"/>
    <x v="54"/>
    <x v="55"/>
    <x v="32"/>
    <x v="36"/>
    <x v="37"/>
    <x v="4"/>
    <x v="4"/>
    <x v="33"/>
    <x v="2"/>
    <x v="1"/>
    <x v="32"/>
    <x v="18"/>
  </r>
  <r>
    <x v="3"/>
    <x v="3"/>
    <x v="60"/>
    <x v="45"/>
    <x v="56"/>
    <x v="55"/>
    <x v="56"/>
    <x v="33"/>
    <x v="37"/>
    <x v="38"/>
    <x v="4"/>
    <x v="4"/>
    <x v="34"/>
    <x v="16"/>
    <x v="0"/>
    <x v="33"/>
    <x v="0"/>
  </r>
  <r>
    <x v="32"/>
    <x v="32"/>
    <x v="61"/>
    <x v="18"/>
    <x v="57"/>
    <x v="56"/>
    <x v="57"/>
    <x v="0"/>
    <x v="0"/>
    <x v="0"/>
    <x v="0"/>
    <x v="0"/>
    <x v="0"/>
    <x v="0"/>
    <x v="0"/>
    <x v="0"/>
    <x v="0"/>
  </r>
  <r>
    <x v="21"/>
    <x v="21"/>
    <x v="62"/>
    <x v="16"/>
    <x v="58"/>
    <x v="57"/>
    <x v="58"/>
    <x v="0"/>
    <x v="0"/>
    <x v="0"/>
    <x v="0"/>
    <x v="0"/>
    <x v="0"/>
    <x v="0"/>
    <x v="0"/>
    <x v="0"/>
    <x v="0"/>
  </r>
  <r>
    <x v="1"/>
    <x v="1"/>
    <x v="63"/>
    <x v="14"/>
    <x v="16"/>
    <x v="16"/>
    <x v="16"/>
    <x v="0"/>
    <x v="0"/>
    <x v="13"/>
    <x v="0"/>
    <x v="0"/>
    <x v="13"/>
    <x v="0"/>
    <x v="0"/>
    <x v="0"/>
    <x v="0"/>
  </r>
  <r>
    <x v="33"/>
    <x v="33"/>
    <x v="64"/>
    <x v="46"/>
    <x v="59"/>
    <x v="58"/>
    <x v="59"/>
    <x v="34"/>
    <x v="38"/>
    <x v="39"/>
    <x v="14"/>
    <x v="15"/>
    <x v="35"/>
    <x v="16"/>
    <x v="9"/>
    <x v="34"/>
    <x v="19"/>
  </r>
  <r>
    <x v="34"/>
    <x v="34"/>
    <x v="65"/>
    <x v="12"/>
    <x v="60"/>
    <x v="59"/>
    <x v="60"/>
    <x v="35"/>
    <x v="39"/>
    <x v="40"/>
    <x v="17"/>
    <x v="19"/>
    <x v="36"/>
    <x v="12"/>
    <x v="10"/>
    <x v="35"/>
    <x v="20"/>
  </r>
  <r>
    <x v="35"/>
    <x v="35"/>
    <x v="66"/>
    <x v="35"/>
    <x v="61"/>
    <x v="60"/>
    <x v="61"/>
    <x v="36"/>
    <x v="40"/>
    <x v="41"/>
    <x v="1"/>
    <x v="1"/>
    <x v="37"/>
    <x v="0"/>
    <x v="1"/>
    <x v="0"/>
    <x v="21"/>
  </r>
  <r>
    <x v="35"/>
    <x v="35"/>
    <x v="67"/>
    <x v="46"/>
    <x v="62"/>
    <x v="61"/>
    <x v="62"/>
    <x v="37"/>
    <x v="41"/>
    <x v="42"/>
    <x v="4"/>
    <x v="4"/>
    <x v="8"/>
    <x v="1"/>
    <x v="4"/>
    <x v="26"/>
    <x v="22"/>
  </r>
  <r>
    <x v="36"/>
    <x v="36"/>
    <x v="68"/>
    <x v="47"/>
    <x v="63"/>
    <x v="62"/>
    <x v="63"/>
    <x v="38"/>
    <x v="42"/>
    <x v="43"/>
    <x v="1"/>
    <x v="1"/>
    <x v="38"/>
    <x v="1"/>
    <x v="0"/>
    <x v="36"/>
    <x v="0"/>
  </r>
  <r>
    <x v="37"/>
    <x v="37"/>
    <x v="69"/>
    <x v="14"/>
    <x v="16"/>
    <x v="16"/>
    <x v="16"/>
    <x v="0"/>
    <x v="0"/>
    <x v="13"/>
    <x v="0"/>
    <x v="0"/>
    <x v="13"/>
    <x v="0"/>
    <x v="0"/>
    <x v="0"/>
    <x v="0"/>
  </r>
  <r>
    <x v="37"/>
    <x v="37"/>
    <x v="70"/>
    <x v="16"/>
    <x v="64"/>
    <x v="63"/>
    <x v="64"/>
    <x v="0"/>
    <x v="0"/>
    <x v="0"/>
    <x v="0"/>
    <x v="0"/>
    <x v="0"/>
    <x v="0"/>
    <x v="0"/>
    <x v="0"/>
    <x v="0"/>
  </r>
  <r>
    <x v="38"/>
    <x v="38"/>
    <x v="71"/>
    <x v="16"/>
    <x v="65"/>
    <x v="64"/>
    <x v="65"/>
    <x v="0"/>
    <x v="0"/>
    <x v="0"/>
    <x v="0"/>
    <x v="0"/>
    <x v="0"/>
    <x v="0"/>
    <x v="0"/>
    <x v="0"/>
    <x v="0"/>
  </r>
  <r>
    <x v="38"/>
    <x v="38"/>
    <x v="72"/>
    <x v="14"/>
    <x v="16"/>
    <x v="16"/>
    <x v="16"/>
    <x v="0"/>
    <x v="0"/>
    <x v="13"/>
    <x v="0"/>
    <x v="0"/>
    <x v="13"/>
    <x v="0"/>
    <x v="0"/>
    <x v="0"/>
    <x v="0"/>
  </r>
  <r>
    <x v="39"/>
    <x v="39"/>
    <x v="73"/>
    <x v="14"/>
    <x v="16"/>
    <x v="16"/>
    <x v="16"/>
    <x v="0"/>
    <x v="0"/>
    <x v="13"/>
    <x v="0"/>
    <x v="0"/>
    <x v="13"/>
    <x v="0"/>
    <x v="0"/>
    <x v="0"/>
    <x v="0"/>
  </r>
  <r>
    <x v="39"/>
    <x v="39"/>
    <x v="52"/>
    <x v="14"/>
    <x v="16"/>
    <x v="16"/>
    <x v="16"/>
    <x v="0"/>
    <x v="0"/>
    <x v="13"/>
    <x v="0"/>
    <x v="0"/>
    <x v="13"/>
    <x v="0"/>
    <x v="0"/>
    <x v="0"/>
    <x v="0"/>
  </r>
  <r>
    <x v="40"/>
    <x v="40"/>
    <x v="74"/>
    <x v="14"/>
    <x v="16"/>
    <x v="16"/>
    <x v="16"/>
    <x v="0"/>
    <x v="0"/>
    <x v="13"/>
    <x v="0"/>
    <x v="0"/>
    <x v="13"/>
    <x v="0"/>
    <x v="0"/>
    <x v="0"/>
    <x v="0"/>
  </r>
  <r>
    <x v="41"/>
    <x v="41"/>
    <x v="75"/>
    <x v="14"/>
    <x v="16"/>
    <x v="16"/>
    <x v="16"/>
    <x v="0"/>
    <x v="0"/>
    <x v="13"/>
    <x v="0"/>
    <x v="0"/>
    <x v="13"/>
    <x v="0"/>
    <x v="0"/>
    <x v="0"/>
    <x v="0"/>
  </r>
  <r>
    <x v="42"/>
    <x v="42"/>
    <x v="76"/>
    <x v="14"/>
    <x v="16"/>
    <x v="16"/>
    <x v="16"/>
    <x v="0"/>
    <x v="0"/>
    <x v="13"/>
    <x v="0"/>
    <x v="0"/>
    <x v="13"/>
    <x v="0"/>
    <x v="0"/>
    <x v="0"/>
    <x v="0"/>
  </r>
  <r>
    <x v="43"/>
    <x v="43"/>
    <x v="77"/>
    <x v="14"/>
    <x v="16"/>
    <x v="16"/>
    <x v="16"/>
    <x v="0"/>
    <x v="0"/>
    <x v="13"/>
    <x v="0"/>
    <x v="0"/>
    <x v="13"/>
    <x v="0"/>
    <x v="0"/>
    <x v="0"/>
    <x v="0"/>
  </r>
  <r>
    <x v="44"/>
    <x v="44"/>
    <x v="78"/>
    <x v="14"/>
    <x v="16"/>
    <x v="16"/>
    <x v="16"/>
    <x v="0"/>
    <x v="0"/>
    <x v="13"/>
    <x v="0"/>
    <x v="0"/>
    <x v="13"/>
    <x v="0"/>
    <x v="0"/>
    <x v="0"/>
    <x v="0"/>
  </r>
  <r>
    <x v="45"/>
    <x v="45"/>
    <x v="79"/>
    <x v="14"/>
    <x v="16"/>
    <x v="16"/>
    <x v="16"/>
    <x v="0"/>
    <x v="0"/>
    <x v="13"/>
    <x v="0"/>
    <x v="0"/>
    <x v="13"/>
    <x v="0"/>
    <x v="0"/>
    <x v="0"/>
    <x v="0"/>
  </r>
  <r>
    <x v="46"/>
    <x v="46"/>
    <x v="80"/>
    <x v="14"/>
    <x v="16"/>
    <x v="16"/>
    <x v="16"/>
    <x v="0"/>
    <x v="0"/>
    <x v="13"/>
    <x v="0"/>
    <x v="0"/>
    <x v="13"/>
    <x v="0"/>
    <x v="0"/>
    <x v="0"/>
    <x v="0"/>
  </r>
  <r>
    <x v="47"/>
    <x v="47"/>
    <x v="52"/>
    <x v="14"/>
    <x v="16"/>
    <x v="16"/>
    <x v="16"/>
    <x v="0"/>
    <x v="0"/>
    <x v="13"/>
    <x v="0"/>
    <x v="0"/>
    <x v="13"/>
    <x v="0"/>
    <x v="0"/>
    <x v="0"/>
    <x v="0"/>
  </r>
  <r>
    <x v="48"/>
    <x v="48"/>
    <x v="81"/>
    <x v="48"/>
    <x v="66"/>
    <x v="16"/>
    <x v="66"/>
    <x v="39"/>
    <x v="0"/>
    <x v="13"/>
    <x v="18"/>
    <x v="20"/>
    <x v="13"/>
    <x v="17"/>
    <x v="11"/>
    <x v="37"/>
    <x v="23"/>
  </r>
</pivotCacheRecords>
</file>

<file path=xl/pivotCache/pivotCacheRecords51.xml><?xml version="1.0" encoding="utf-8"?>
<pivotCacheRecords xmlns="http://schemas.openxmlformats.org/spreadsheetml/2006/main" xmlns:r="http://schemas.openxmlformats.org/officeDocument/2006/relationships" count="88">
  <r>
    <x v="0"/>
    <x v="0"/>
    <x v="0"/>
    <x v="0"/>
    <x v="0"/>
    <x v="0"/>
    <x v="0"/>
    <x v="0"/>
    <x v="0"/>
    <x v="0"/>
    <x v="0"/>
    <x v="0"/>
    <x v="0"/>
    <x v="0"/>
    <x v="0"/>
    <x v="0"/>
    <x v="0"/>
  </r>
  <r>
    <x v="1"/>
    <x v="1"/>
    <x v="1"/>
    <x v="1"/>
    <x v="1"/>
    <x v="1"/>
    <x v="1"/>
    <x v="1"/>
    <x v="1"/>
    <x v="1"/>
    <x v="1"/>
    <x v="1"/>
    <x v="1"/>
    <x v="1"/>
    <x v="0"/>
    <x v="1"/>
    <x v="0"/>
  </r>
  <r>
    <x v="0"/>
    <x v="0"/>
    <x v="2"/>
    <x v="2"/>
    <x v="2"/>
    <x v="2"/>
    <x v="2"/>
    <x v="2"/>
    <x v="2"/>
    <x v="2"/>
    <x v="2"/>
    <x v="2"/>
    <x v="2"/>
    <x v="1"/>
    <x v="1"/>
    <x v="2"/>
    <x v="1"/>
  </r>
  <r>
    <x v="2"/>
    <x v="2"/>
    <x v="3"/>
    <x v="3"/>
    <x v="3"/>
    <x v="3"/>
    <x v="3"/>
    <x v="3"/>
    <x v="3"/>
    <x v="3"/>
    <x v="3"/>
    <x v="3"/>
    <x v="3"/>
    <x v="2"/>
    <x v="0"/>
    <x v="3"/>
    <x v="0"/>
  </r>
  <r>
    <x v="1"/>
    <x v="1"/>
    <x v="4"/>
    <x v="4"/>
    <x v="4"/>
    <x v="4"/>
    <x v="4"/>
    <x v="0"/>
    <x v="0"/>
    <x v="0"/>
    <x v="0"/>
    <x v="0"/>
    <x v="0"/>
    <x v="0"/>
    <x v="0"/>
    <x v="0"/>
    <x v="0"/>
  </r>
  <r>
    <x v="3"/>
    <x v="3"/>
    <x v="5"/>
    <x v="5"/>
    <x v="5"/>
    <x v="5"/>
    <x v="5"/>
    <x v="4"/>
    <x v="4"/>
    <x v="4"/>
    <x v="4"/>
    <x v="4"/>
    <x v="4"/>
    <x v="3"/>
    <x v="2"/>
    <x v="4"/>
    <x v="2"/>
  </r>
  <r>
    <x v="4"/>
    <x v="4"/>
    <x v="6"/>
    <x v="6"/>
    <x v="6"/>
    <x v="6"/>
    <x v="6"/>
    <x v="0"/>
    <x v="0"/>
    <x v="0"/>
    <x v="0"/>
    <x v="0"/>
    <x v="0"/>
    <x v="0"/>
    <x v="0"/>
    <x v="0"/>
    <x v="0"/>
  </r>
  <r>
    <x v="5"/>
    <x v="5"/>
    <x v="7"/>
    <x v="7"/>
    <x v="7"/>
    <x v="7"/>
    <x v="7"/>
    <x v="5"/>
    <x v="5"/>
    <x v="5"/>
    <x v="5"/>
    <x v="5"/>
    <x v="5"/>
    <x v="2"/>
    <x v="3"/>
    <x v="5"/>
    <x v="3"/>
  </r>
  <r>
    <x v="5"/>
    <x v="5"/>
    <x v="8"/>
    <x v="8"/>
    <x v="8"/>
    <x v="8"/>
    <x v="8"/>
    <x v="6"/>
    <x v="6"/>
    <x v="6"/>
    <x v="6"/>
    <x v="6"/>
    <x v="6"/>
    <x v="4"/>
    <x v="0"/>
    <x v="6"/>
    <x v="0"/>
  </r>
  <r>
    <x v="3"/>
    <x v="3"/>
    <x v="9"/>
    <x v="9"/>
    <x v="9"/>
    <x v="9"/>
    <x v="9"/>
    <x v="7"/>
    <x v="7"/>
    <x v="7"/>
    <x v="7"/>
    <x v="7"/>
    <x v="7"/>
    <x v="5"/>
    <x v="0"/>
    <x v="7"/>
    <x v="0"/>
  </r>
  <r>
    <x v="4"/>
    <x v="4"/>
    <x v="10"/>
    <x v="10"/>
    <x v="10"/>
    <x v="10"/>
    <x v="10"/>
    <x v="8"/>
    <x v="8"/>
    <x v="8"/>
    <x v="8"/>
    <x v="8"/>
    <x v="8"/>
    <x v="6"/>
    <x v="3"/>
    <x v="8"/>
    <x v="4"/>
  </r>
  <r>
    <x v="6"/>
    <x v="6"/>
    <x v="11"/>
    <x v="11"/>
    <x v="11"/>
    <x v="11"/>
    <x v="11"/>
    <x v="0"/>
    <x v="0"/>
    <x v="9"/>
    <x v="0"/>
    <x v="0"/>
    <x v="9"/>
    <x v="0"/>
    <x v="0"/>
    <x v="0"/>
    <x v="0"/>
  </r>
  <r>
    <x v="7"/>
    <x v="7"/>
    <x v="12"/>
    <x v="12"/>
    <x v="12"/>
    <x v="12"/>
    <x v="12"/>
    <x v="9"/>
    <x v="9"/>
    <x v="10"/>
    <x v="9"/>
    <x v="9"/>
    <x v="10"/>
    <x v="7"/>
    <x v="4"/>
    <x v="9"/>
    <x v="5"/>
  </r>
  <r>
    <x v="6"/>
    <x v="6"/>
    <x v="11"/>
    <x v="11"/>
    <x v="11"/>
    <x v="11"/>
    <x v="11"/>
    <x v="0"/>
    <x v="0"/>
    <x v="9"/>
    <x v="0"/>
    <x v="0"/>
    <x v="9"/>
    <x v="0"/>
    <x v="0"/>
    <x v="0"/>
    <x v="0"/>
  </r>
  <r>
    <x v="7"/>
    <x v="7"/>
    <x v="13"/>
    <x v="13"/>
    <x v="13"/>
    <x v="13"/>
    <x v="13"/>
    <x v="10"/>
    <x v="10"/>
    <x v="11"/>
    <x v="10"/>
    <x v="10"/>
    <x v="11"/>
    <x v="7"/>
    <x v="5"/>
    <x v="9"/>
    <x v="6"/>
  </r>
  <r>
    <x v="5"/>
    <x v="5"/>
    <x v="14"/>
    <x v="14"/>
    <x v="14"/>
    <x v="14"/>
    <x v="14"/>
    <x v="11"/>
    <x v="11"/>
    <x v="12"/>
    <x v="11"/>
    <x v="11"/>
    <x v="12"/>
    <x v="1"/>
    <x v="3"/>
    <x v="10"/>
    <x v="3"/>
  </r>
  <r>
    <x v="0"/>
    <x v="0"/>
    <x v="15"/>
    <x v="15"/>
    <x v="15"/>
    <x v="15"/>
    <x v="15"/>
    <x v="0"/>
    <x v="0"/>
    <x v="0"/>
    <x v="0"/>
    <x v="0"/>
    <x v="0"/>
    <x v="0"/>
    <x v="0"/>
    <x v="0"/>
    <x v="0"/>
  </r>
  <r>
    <x v="4"/>
    <x v="4"/>
    <x v="16"/>
    <x v="16"/>
    <x v="16"/>
    <x v="16"/>
    <x v="16"/>
    <x v="12"/>
    <x v="12"/>
    <x v="13"/>
    <x v="2"/>
    <x v="12"/>
    <x v="13"/>
    <x v="8"/>
    <x v="3"/>
    <x v="11"/>
    <x v="4"/>
  </r>
  <r>
    <x v="8"/>
    <x v="8"/>
    <x v="17"/>
    <x v="17"/>
    <x v="17"/>
    <x v="17"/>
    <x v="17"/>
    <x v="0"/>
    <x v="0"/>
    <x v="0"/>
    <x v="0"/>
    <x v="0"/>
    <x v="0"/>
    <x v="0"/>
    <x v="0"/>
    <x v="0"/>
    <x v="0"/>
  </r>
  <r>
    <x v="9"/>
    <x v="9"/>
    <x v="18"/>
    <x v="18"/>
    <x v="18"/>
    <x v="18"/>
    <x v="18"/>
    <x v="13"/>
    <x v="13"/>
    <x v="14"/>
    <x v="12"/>
    <x v="13"/>
    <x v="14"/>
    <x v="9"/>
    <x v="6"/>
    <x v="12"/>
    <x v="7"/>
  </r>
  <r>
    <x v="9"/>
    <x v="9"/>
    <x v="19"/>
    <x v="19"/>
    <x v="19"/>
    <x v="19"/>
    <x v="19"/>
    <x v="0"/>
    <x v="0"/>
    <x v="0"/>
    <x v="0"/>
    <x v="0"/>
    <x v="0"/>
    <x v="0"/>
    <x v="0"/>
    <x v="0"/>
    <x v="0"/>
  </r>
  <r>
    <x v="10"/>
    <x v="10"/>
    <x v="20"/>
    <x v="20"/>
    <x v="20"/>
    <x v="20"/>
    <x v="20"/>
    <x v="14"/>
    <x v="14"/>
    <x v="15"/>
    <x v="13"/>
    <x v="14"/>
    <x v="15"/>
    <x v="10"/>
    <x v="7"/>
    <x v="13"/>
    <x v="8"/>
  </r>
  <r>
    <x v="11"/>
    <x v="11"/>
    <x v="21"/>
    <x v="21"/>
    <x v="21"/>
    <x v="21"/>
    <x v="21"/>
    <x v="15"/>
    <x v="15"/>
    <x v="16"/>
    <x v="3"/>
    <x v="3"/>
    <x v="16"/>
    <x v="2"/>
    <x v="0"/>
    <x v="14"/>
    <x v="0"/>
  </r>
  <r>
    <x v="7"/>
    <x v="7"/>
    <x v="22"/>
    <x v="22"/>
    <x v="22"/>
    <x v="22"/>
    <x v="22"/>
    <x v="16"/>
    <x v="16"/>
    <x v="17"/>
    <x v="1"/>
    <x v="1"/>
    <x v="17"/>
    <x v="0"/>
    <x v="2"/>
    <x v="0"/>
    <x v="2"/>
  </r>
  <r>
    <x v="12"/>
    <x v="12"/>
    <x v="23"/>
    <x v="17"/>
    <x v="23"/>
    <x v="23"/>
    <x v="23"/>
    <x v="0"/>
    <x v="0"/>
    <x v="0"/>
    <x v="0"/>
    <x v="0"/>
    <x v="0"/>
    <x v="0"/>
    <x v="0"/>
    <x v="0"/>
    <x v="0"/>
  </r>
  <r>
    <x v="13"/>
    <x v="13"/>
    <x v="24"/>
    <x v="23"/>
    <x v="24"/>
    <x v="24"/>
    <x v="24"/>
    <x v="0"/>
    <x v="0"/>
    <x v="0"/>
    <x v="0"/>
    <x v="0"/>
    <x v="0"/>
    <x v="0"/>
    <x v="0"/>
    <x v="0"/>
    <x v="0"/>
  </r>
  <r>
    <x v="13"/>
    <x v="13"/>
    <x v="25"/>
    <x v="24"/>
    <x v="25"/>
    <x v="25"/>
    <x v="25"/>
    <x v="0"/>
    <x v="0"/>
    <x v="0"/>
    <x v="0"/>
    <x v="0"/>
    <x v="0"/>
    <x v="0"/>
    <x v="0"/>
    <x v="0"/>
    <x v="0"/>
  </r>
  <r>
    <x v="10"/>
    <x v="10"/>
    <x v="26"/>
    <x v="25"/>
    <x v="26"/>
    <x v="19"/>
    <x v="26"/>
    <x v="17"/>
    <x v="17"/>
    <x v="18"/>
    <x v="5"/>
    <x v="5"/>
    <x v="18"/>
    <x v="11"/>
    <x v="0"/>
    <x v="15"/>
    <x v="0"/>
  </r>
  <r>
    <x v="12"/>
    <x v="12"/>
    <x v="27"/>
    <x v="11"/>
    <x v="27"/>
    <x v="11"/>
    <x v="11"/>
    <x v="0"/>
    <x v="0"/>
    <x v="9"/>
    <x v="0"/>
    <x v="0"/>
    <x v="9"/>
    <x v="0"/>
    <x v="0"/>
    <x v="0"/>
    <x v="0"/>
  </r>
  <r>
    <x v="12"/>
    <x v="12"/>
    <x v="28"/>
    <x v="26"/>
    <x v="28"/>
    <x v="26"/>
    <x v="27"/>
    <x v="0"/>
    <x v="0"/>
    <x v="0"/>
    <x v="0"/>
    <x v="0"/>
    <x v="0"/>
    <x v="0"/>
    <x v="0"/>
    <x v="0"/>
    <x v="0"/>
  </r>
  <r>
    <x v="14"/>
    <x v="14"/>
    <x v="29"/>
    <x v="27"/>
    <x v="29"/>
    <x v="27"/>
    <x v="28"/>
    <x v="18"/>
    <x v="18"/>
    <x v="19"/>
    <x v="14"/>
    <x v="15"/>
    <x v="19"/>
    <x v="12"/>
    <x v="8"/>
    <x v="16"/>
    <x v="9"/>
  </r>
  <r>
    <x v="15"/>
    <x v="15"/>
    <x v="30"/>
    <x v="28"/>
    <x v="30"/>
    <x v="28"/>
    <x v="29"/>
    <x v="19"/>
    <x v="19"/>
    <x v="20"/>
    <x v="15"/>
    <x v="16"/>
    <x v="20"/>
    <x v="3"/>
    <x v="5"/>
    <x v="17"/>
    <x v="10"/>
  </r>
  <r>
    <x v="16"/>
    <x v="16"/>
    <x v="31"/>
    <x v="29"/>
    <x v="31"/>
    <x v="29"/>
    <x v="30"/>
    <x v="0"/>
    <x v="0"/>
    <x v="0"/>
    <x v="0"/>
    <x v="0"/>
    <x v="0"/>
    <x v="0"/>
    <x v="0"/>
    <x v="0"/>
    <x v="0"/>
  </r>
  <r>
    <x v="17"/>
    <x v="17"/>
    <x v="32"/>
    <x v="30"/>
    <x v="32"/>
    <x v="30"/>
    <x v="31"/>
    <x v="20"/>
    <x v="20"/>
    <x v="21"/>
    <x v="3"/>
    <x v="3"/>
    <x v="21"/>
    <x v="2"/>
    <x v="0"/>
    <x v="18"/>
    <x v="0"/>
  </r>
  <r>
    <x v="17"/>
    <x v="17"/>
    <x v="33"/>
    <x v="31"/>
    <x v="33"/>
    <x v="31"/>
    <x v="32"/>
    <x v="21"/>
    <x v="21"/>
    <x v="22"/>
    <x v="4"/>
    <x v="17"/>
    <x v="22"/>
    <x v="13"/>
    <x v="2"/>
    <x v="19"/>
    <x v="11"/>
  </r>
  <r>
    <x v="18"/>
    <x v="18"/>
    <x v="11"/>
    <x v="11"/>
    <x v="11"/>
    <x v="11"/>
    <x v="11"/>
    <x v="0"/>
    <x v="0"/>
    <x v="9"/>
    <x v="0"/>
    <x v="0"/>
    <x v="9"/>
    <x v="0"/>
    <x v="0"/>
    <x v="0"/>
    <x v="0"/>
  </r>
  <r>
    <x v="19"/>
    <x v="19"/>
    <x v="34"/>
    <x v="32"/>
    <x v="34"/>
    <x v="32"/>
    <x v="33"/>
    <x v="0"/>
    <x v="0"/>
    <x v="0"/>
    <x v="0"/>
    <x v="0"/>
    <x v="0"/>
    <x v="0"/>
    <x v="0"/>
    <x v="0"/>
    <x v="0"/>
  </r>
  <r>
    <x v="20"/>
    <x v="20"/>
    <x v="35"/>
    <x v="7"/>
    <x v="35"/>
    <x v="33"/>
    <x v="34"/>
    <x v="22"/>
    <x v="22"/>
    <x v="23"/>
    <x v="16"/>
    <x v="18"/>
    <x v="23"/>
    <x v="11"/>
    <x v="2"/>
    <x v="20"/>
    <x v="12"/>
  </r>
  <r>
    <x v="18"/>
    <x v="18"/>
    <x v="11"/>
    <x v="11"/>
    <x v="11"/>
    <x v="11"/>
    <x v="11"/>
    <x v="0"/>
    <x v="0"/>
    <x v="9"/>
    <x v="0"/>
    <x v="0"/>
    <x v="9"/>
    <x v="0"/>
    <x v="0"/>
    <x v="0"/>
    <x v="0"/>
  </r>
  <r>
    <x v="21"/>
    <x v="21"/>
    <x v="36"/>
    <x v="33"/>
    <x v="36"/>
    <x v="34"/>
    <x v="35"/>
    <x v="23"/>
    <x v="23"/>
    <x v="24"/>
    <x v="17"/>
    <x v="19"/>
    <x v="24"/>
    <x v="14"/>
    <x v="3"/>
    <x v="21"/>
    <x v="13"/>
  </r>
  <r>
    <x v="22"/>
    <x v="22"/>
    <x v="37"/>
    <x v="34"/>
    <x v="37"/>
    <x v="35"/>
    <x v="36"/>
    <x v="24"/>
    <x v="24"/>
    <x v="25"/>
    <x v="3"/>
    <x v="3"/>
    <x v="25"/>
    <x v="2"/>
    <x v="0"/>
    <x v="22"/>
    <x v="0"/>
  </r>
  <r>
    <x v="15"/>
    <x v="15"/>
    <x v="38"/>
    <x v="35"/>
    <x v="38"/>
    <x v="36"/>
    <x v="37"/>
    <x v="25"/>
    <x v="25"/>
    <x v="26"/>
    <x v="18"/>
    <x v="20"/>
    <x v="26"/>
    <x v="15"/>
    <x v="2"/>
    <x v="23"/>
    <x v="12"/>
  </r>
  <r>
    <x v="14"/>
    <x v="14"/>
    <x v="39"/>
    <x v="36"/>
    <x v="39"/>
    <x v="37"/>
    <x v="38"/>
    <x v="26"/>
    <x v="26"/>
    <x v="27"/>
    <x v="19"/>
    <x v="21"/>
    <x v="27"/>
    <x v="16"/>
    <x v="9"/>
    <x v="24"/>
    <x v="14"/>
  </r>
  <r>
    <x v="23"/>
    <x v="23"/>
    <x v="40"/>
    <x v="26"/>
    <x v="40"/>
    <x v="38"/>
    <x v="26"/>
    <x v="0"/>
    <x v="0"/>
    <x v="0"/>
    <x v="0"/>
    <x v="0"/>
    <x v="0"/>
    <x v="0"/>
    <x v="0"/>
    <x v="0"/>
    <x v="0"/>
  </r>
  <r>
    <x v="24"/>
    <x v="24"/>
    <x v="41"/>
    <x v="37"/>
    <x v="41"/>
    <x v="39"/>
    <x v="39"/>
    <x v="27"/>
    <x v="27"/>
    <x v="28"/>
    <x v="5"/>
    <x v="18"/>
    <x v="28"/>
    <x v="2"/>
    <x v="9"/>
    <x v="14"/>
    <x v="15"/>
  </r>
  <r>
    <x v="25"/>
    <x v="25"/>
    <x v="42"/>
    <x v="38"/>
    <x v="42"/>
    <x v="40"/>
    <x v="40"/>
    <x v="28"/>
    <x v="28"/>
    <x v="29"/>
    <x v="2"/>
    <x v="2"/>
    <x v="29"/>
    <x v="8"/>
    <x v="2"/>
    <x v="25"/>
    <x v="2"/>
  </r>
  <r>
    <x v="26"/>
    <x v="26"/>
    <x v="43"/>
    <x v="39"/>
    <x v="43"/>
    <x v="41"/>
    <x v="41"/>
    <x v="29"/>
    <x v="29"/>
    <x v="30"/>
    <x v="2"/>
    <x v="2"/>
    <x v="30"/>
    <x v="6"/>
    <x v="0"/>
    <x v="8"/>
    <x v="0"/>
  </r>
  <r>
    <x v="26"/>
    <x v="26"/>
    <x v="44"/>
    <x v="16"/>
    <x v="44"/>
    <x v="42"/>
    <x v="42"/>
    <x v="30"/>
    <x v="30"/>
    <x v="31"/>
    <x v="6"/>
    <x v="6"/>
    <x v="31"/>
    <x v="17"/>
    <x v="3"/>
    <x v="26"/>
    <x v="4"/>
  </r>
  <r>
    <x v="24"/>
    <x v="24"/>
    <x v="45"/>
    <x v="25"/>
    <x v="45"/>
    <x v="43"/>
    <x v="43"/>
    <x v="0"/>
    <x v="0"/>
    <x v="0"/>
    <x v="0"/>
    <x v="0"/>
    <x v="0"/>
    <x v="0"/>
    <x v="0"/>
    <x v="0"/>
    <x v="0"/>
  </r>
  <r>
    <x v="24"/>
    <x v="24"/>
    <x v="46"/>
    <x v="40"/>
    <x v="46"/>
    <x v="44"/>
    <x v="44"/>
    <x v="0"/>
    <x v="0"/>
    <x v="0"/>
    <x v="0"/>
    <x v="0"/>
    <x v="0"/>
    <x v="0"/>
    <x v="0"/>
    <x v="0"/>
    <x v="0"/>
  </r>
  <r>
    <x v="25"/>
    <x v="25"/>
    <x v="47"/>
    <x v="15"/>
    <x v="47"/>
    <x v="45"/>
    <x v="45"/>
    <x v="0"/>
    <x v="0"/>
    <x v="0"/>
    <x v="0"/>
    <x v="0"/>
    <x v="0"/>
    <x v="0"/>
    <x v="0"/>
    <x v="0"/>
    <x v="0"/>
  </r>
  <r>
    <x v="27"/>
    <x v="27"/>
    <x v="48"/>
    <x v="41"/>
    <x v="48"/>
    <x v="46"/>
    <x v="46"/>
    <x v="0"/>
    <x v="0"/>
    <x v="0"/>
    <x v="0"/>
    <x v="0"/>
    <x v="0"/>
    <x v="0"/>
    <x v="0"/>
    <x v="0"/>
    <x v="0"/>
  </r>
  <r>
    <x v="28"/>
    <x v="28"/>
    <x v="49"/>
    <x v="13"/>
    <x v="49"/>
    <x v="47"/>
    <x v="47"/>
    <x v="31"/>
    <x v="31"/>
    <x v="32"/>
    <x v="20"/>
    <x v="22"/>
    <x v="32"/>
    <x v="18"/>
    <x v="3"/>
    <x v="27"/>
    <x v="16"/>
  </r>
  <r>
    <x v="29"/>
    <x v="29"/>
    <x v="50"/>
    <x v="42"/>
    <x v="50"/>
    <x v="48"/>
    <x v="48"/>
    <x v="0"/>
    <x v="0"/>
    <x v="0"/>
    <x v="0"/>
    <x v="0"/>
    <x v="0"/>
    <x v="0"/>
    <x v="0"/>
    <x v="0"/>
    <x v="0"/>
  </r>
  <r>
    <x v="30"/>
    <x v="30"/>
    <x v="51"/>
    <x v="19"/>
    <x v="51"/>
    <x v="49"/>
    <x v="49"/>
    <x v="0"/>
    <x v="0"/>
    <x v="0"/>
    <x v="0"/>
    <x v="0"/>
    <x v="0"/>
    <x v="0"/>
    <x v="0"/>
    <x v="0"/>
    <x v="0"/>
  </r>
  <r>
    <x v="31"/>
    <x v="31"/>
    <x v="52"/>
    <x v="43"/>
    <x v="52"/>
    <x v="50"/>
    <x v="50"/>
    <x v="32"/>
    <x v="32"/>
    <x v="33"/>
    <x v="21"/>
    <x v="23"/>
    <x v="33"/>
    <x v="19"/>
    <x v="10"/>
    <x v="28"/>
    <x v="17"/>
  </r>
  <r>
    <x v="31"/>
    <x v="31"/>
    <x v="53"/>
    <x v="44"/>
    <x v="53"/>
    <x v="51"/>
    <x v="51"/>
    <x v="33"/>
    <x v="33"/>
    <x v="34"/>
    <x v="22"/>
    <x v="24"/>
    <x v="34"/>
    <x v="20"/>
    <x v="11"/>
    <x v="29"/>
    <x v="18"/>
  </r>
  <r>
    <x v="32"/>
    <x v="32"/>
    <x v="54"/>
    <x v="4"/>
    <x v="54"/>
    <x v="52"/>
    <x v="52"/>
    <x v="24"/>
    <x v="34"/>
    <x v="35"/>
    <x v="3"/>
    <x v="3"/>
    <x v="35"/>
    <x v="1"/>
    <x v="2"/>
    <x v="30"/>
    <x v="19"/>
  </r>
  <r>
    <x v="33"/>
    <x v="33"/>
    <x v="55"/>
    <x v="45"/>
    <x v="55"/>
    <x v="53"/>
    <x v="53"/>
    <x v="34"/>
    <x v="35"/>
    <x v="36"/>
    <x v="1"/>
    <x v="1"/>
    <x v="36"/>
    <x v="1"/>
    <x v="0"/>
    <x v="31"/>
    <x v="0"/>
  </r>
  <r>
    <x v="33"/>
    <x v="33"/>
    <x v="56"/>
    <x v="46"/>
    <x v="56"/>
    <x v="54"/>
    <x v="54"/>
    <x v="35"/>
    <x v="36"/>
    <x v="37"/>
    <x v="11"/>
    <x v="11"/>
    <x v="37"/>
    <x v="2"/>
    <x v="2"/>
    <x v="32"/>
    <x v="20"/>
  </r>
  <r>
    <x v="33"/>
    <x v="33"/>
    <x v="57"/>
    <x v="47"/>
    <x v="57"/>
    <x v="55"/>
    <x v="55"/>
    <x v="36"/>
    <x v="37"/>
    <x v="38"/>
    <x v="1"/>
    <x v="1"/>
    <x v="38"/>
    <x v="1"/>
    <x v="0"/>
    <x v="33"/>
    <x v="0"/>
  </r>
  <r>
    <x v="20"/>
    <x v="20"/>
    <x v="58"/>
    <x v="11"/>
    <x v="27"/>
    <x v="11"/>
    <x v="11"/>
    <x v="0"/>
    <x v="0"/>
    <x v="9"/>
    <x v="0"/>
    <x v="0"/>
    <x v="9"/>
    <x v="0"/>
    <x v="0"/>
    <x v="0"/>
    <x v="0"/>
  </r>
  <r>
    <x v="14"/>
    <x v="14"/>
    <x v="59"/>
    <x v="30"/>
    <x v="58"/>
    <x v="56"/>
    <x v="56"/>
    <x v="37"/>
    <x v="38"/>
    <x v="39"/>
    <x v="16"/>
    <x v="18"/>
    <x v="39"/>
    <x v="11"/>
    <x v="2"/>
    <x v="34"/>
    <x v="21"/>
  </r>
  <r>
    <x v="21"/>
    <x v="21"/>
    <x v="60"/>
    <x v="48"/>
    <x v="59"/>
    <x v="57"/>
    <x v="57"/>
    <x v="38"/>
    <x v="39"/>
    <x v="40"/>
    <x v="23"/>
    <x v="6"/>
    <x v="40"/>
    <x v="20"/>
    <x v="2"/>
    <x v="35"/>
    <x v="22"/>
  </r>
  <r>
    <x v="3"/>
    <x v="3"/>
    <x v="61"/>
    <x v="49"/>
    <x v="60"/>
    <x v="58"/>
    <x v="58"/>
    <x v="39"/>
    <x v="40"/>
    <x v="41"/>
    <x v="16"/>
    <x v="18"/>
    <x v="41"/>
    <x v="21"/>
    <x v="0"/>
    <x v="36"/>
    <x v="0"/>
  </r>
  <r>
    <x v="34"/>
    <x v="34"/>
    <x v="62"/>
    <x v="23"/>
    <x v="61"/>
    <x v="59"/>
    <x v="59"/>
    <x v="0"/>
    <x v="0"/>
    <x v="0"/>
    <x v="0"/>
    <x v="0"/>
    <x v="0"/>
    <x v="0"/>
    <x v="0"/>
    <x v="0"/>
    <x v="0"/>
  </r>
  <r>
    <x v="23"/>
    <x v="23"/>
    <x v="63"/>
    <x v="19"/>
    <x v="62"/>
    <x v="49"/>
    <x v="49"/>
    <x v="0"/>
    <x v="0"/>
    <x v="0"/>
    <x v="0"/>
    <x v="0"/>
    <x v="0"/>
    <x v="0"/>
    <x v="0"/>
    <x v="0"/>
    <x v="0"/>
  </r>
  <r>
    <x v="1"/>
    <x v="1"/>
    <x v="64"/>
    <x v="23"/>
    <x v="63"/>
    <x v="60"/>
    <x v="60"/>
    <x v="0"/>
    <x v="0"/>
    <x v="0"/>
    <x v="0"/>
    <x v="0"/>
    <x v="0"/>
    <x v="0"/>
    <x v="0"/>
    <x v="0"/>
    <x v="0"/>
  </r>
  <r>
    <x v="35"/>
    <x v="35"/>
    <x v="65"/>
    <x v="50"/>
    <x v="64"/>
    <x v="61"/>
    <x v="61"/>
    <x v="40"/>
    <x v="41"/>
    <x v="42"/>
    <x v="24"/>
    <x v="25"/>
    <x v="42"/>
    <x v="6"/>
    <x v="12"/>
    <x v="37"/>
    <x v="23"/>
  </r>
  <r>
    <x v="36"/>
    <x v="36"/>
    <x v="66"/>
    <x v="51"/>
    <x v="65"/>
    <x v="62"/>
    <x v="62"/>
    <x v="41"/>
    <x v="42"/>
    <x v="43"/>
    <x v="23"/>
    <x v="8"/>
    <x v="43"/>
    <x v="21"/>
    <x v="12"/>
    <x v="38"/>
    <x v="24"/>
  </r>
  <r>
    <x v="37"/>
    <x v="37"/>
    <x v="67"/>
    <x v="52"/>
    <x v="66"/>
    <x v="63"/>
    <x v="63"/>
    <x v="42"/>
    <x v="43"/>
    <x v="44"/>
    <x v="1"/>
    <x v="1"/>
    <x v="44"/>
    <x v="0"/>
    <x v="2"/>
    <x v="0"/>
    <x v="25"/>
  </r>
  <r>
    <x v="37"/>
    <x v="37"/>
    <x v="68"/>
    <x v="53"/>
    <x v="67"/>
    <x v="64"/>
    <x v="64"/>
    <x v="43"/>
    <x v="44"/>
    <x v="45"/>
    <x v="11"/>
    <x v="11"/>
    <x v="45"/>
    <x v="1"/>
    <x v="3"/>
    <x v="39"/>
    <x v="26"/>
  </r>
  <r>
    <x v="38"/>
    <x v="38"/>
    <x v="69"/>
    <x v="30"/>
    <x v="68"/>
    <x v="65"/>
    <x v="65"/>
    <x v="44"/>
    <x v="45"/>
    <x v="46"/>
    <x v="3"/>
    <x v="3"/>
    <x v="21"/>
    <x v="2"/>
    <x v="0"/>
    <x v="40"/>
    <x v="0"/>
  </r>
  <r>
    <x v="39"/>
    <x v="39"/>
    <x v="70"/>
    <x v="11"/>
    <x v="27"/>
    <x v="11"/>
    <x v="11"/>
    <x v="0"/>
    <x v="0"/>
    <x v="9"/>
    <x v="0"/>
    <x v="0"/>
    <x v="9"/>
    <x v="0"/>
    <x v="0"/>
    <x v="0"/>
    <x v="0"/>
  </r>
  <r>
    <x v="39"/>
    <x v="39"/>
    <x v="71"/>
    <x v="19"/>
    <x v="69"/>
    <x v="66"/>
    <x v="66"/>
    <x v="0"/>
    <x v="0"/>
    <x v="0"/>
    <x v="0"/>
    <x v="0"/>
    <x v="0"/>
    <x v="0"/>
    <x v="0"/>
    <x v="0"/>
    <x v="0"/>
  </r>
  <r>
    <x v="40"/>
    <x v="40"/>
    <x v="72"/>
    <x v="19"/>
    <x v="70"/>
    <x v="67"/>
    <x v="67"/>
    <x v="0"/>
    <x v="0"/>
    <x v="0"/>
    <x v="0"/>
    <x v="0"/>
    <x v="0"/>
    <x v="0"/>
    <x v="0"/>
    <x v="0"/>
    <x v="0"/>
  </r>
  <r>
    <x v="40"/>
    <x v="40"/>
    <x v="73"/>
    <x v="11"/>
    <x v="27"/>
    <x v="11"/>
    <x v="11"/>
    <x v="0"/>
    <x v="0"/>
    <x v="9"/>
    <x v="0"/>
    <x v="0"/>
    <x v="9"/>
    <x v="0"/>
    <x v="0"/>
    <x v="0"/>
    <x v="0"/>
  </r>
  <r>
    <x v="41"/>
    <x v="41"/>
    <x v="74"/>
    <x v="11"/>
    <x v="27"/>
    <x v="11"/>
    <x v="11"/>
    <x v="0"/>
    <x v="0"/>
    <x v="9"/>
    <x v="0"/>
    <x v="0"/>
    <x v="9"/>
    <x v="0"/>
    <x v="0"/>
    <x v="0"/>
    <x v="0"/>
  </r>
  <r>
    <x v="41"/>
    <x v="41"/>
    <x v="75"/>
    <x v="11"/>
    <x v="27"/>
    <x v="11"/>
    <x v="11"/>
    <x v="0"/>
    <x v="0"/>
    <x v="9"/>
    <x v="0"/>
    <x v="0"/>
    <x v="9"/>
    <x v="0"/>
    <x v="0"/>
    <x v="0"/>
    <x v="0"/>
  </r>
  <r>
    <x v="42"/>
    <x v="42"/>
    <x v="76"/>
    <x v="11"/>
    <x v="27"/>
    <x v="11"/>
    <x v="11"/>
    <x v="0"/>
    <x v="0"/>
    <x v="9"/>
    <x v="0"/>
    <x v="0"/>
    <x v="9"/>
    <x v="0"/>
    <x v="0"/>
    <x v="0"/>
    <x v="0"/>
  </r>
  <r>
    <x v="43"/>
    <x v="43"/>
    <x v="77"/>
    <x v="11"/>
    <x v="27"/>
    <x v="11"/>
    <x v="11"/>
    <x v="0"/>
    <x v="0"/>
    <x v="9"/>
    <x v="0"/>
    <x v="0"/>
    <x v="9"/>
    <x v="0"/>
    <x v="0"/>
    <x v="0"/>
    <x v="0"/>
  </r>
  <r>
    <x v="44"/>
    <x v="44"/>
    <x v="78"/>
    <x v="11"/>
    <x v="27"/>
    <x v="11"/>
    <x v="11"/>
    <x v="0"/>
    <x v="0"/>
    <x v="9"/>
    <x v="0"/>
    <x v="0"/>
    <x v="9"/>
    <x v="0"/>
    <x v="0"/>
    <x v="0"/>
    <x v="0"/>
  </r>
  <r>
    <x v="45"/>
    <x v="45"/>
    <x v="79"/>
    <x v="11"/>
    <x v="27"/>
    <x v="11"/>
    <x v="11"/>
    <x v="0"/>
    <x v="0"/>
    <x v="9"/>
    <x v="0"/>
    <x v="0"/>
    <x v="9"/>
    <x v="0"/>
    <x v="0"/>
    <x v="0"/>
    <x v="0"/>
  </r>
  <r>
    <x v="46"/>
    <x v="46"/>
    <x v="80"/>
    <x v="11"/>
    <x v="27"/>
    <x v="11"/>
    <x v="11"/>
    <x v="0"/>
    <x v="0"/>
    <x v="9"/>
    <x v="0"/>
    <x v="0"/>
    <x v="9"/>
    <x v="0"/>
    <x v="0"/>
    <x v="0"/>
    <x v="0"/>
  </r>
  <r>
    <x v="47"/>
    <x v="47"/>
    <x v="81"/>
    <x v="11"/>
    <x v="27"/>
    <x v="11"/>
    <x v="11"/>
    <x v="0"/>
    <x v="0"/>
    <x v="9"/>
    <x v="0"/>
    <x v="0"/>
    <x v="9"/>
    <x v="0"/>
    <x v="0"/>
    <x v="0"/>
    <x v="0"/>
  </r>
  <r>
    <x v="48"/>
    <x v="48"/>
    <x v="82"/>
    <x v="11"/>
    <x v="27"/>
    <x v="11"/>
    <x v="11"/>
    <x v="0"/>
    <x v="0"/>
    <x v="9"/>
    <x v="0"/>
    <x v="0"/>
    <x v="9"/>
    <x v="0"/>
    <x v="0"/>
    <x v="0"/>
    <x v="0"/>
  </r>
  <r>
    <x v="49"/>
    <x v="49"/>
    <x v="83"/>
    <x v="11"/>
    <x v="27"/>
    <x v="11"/>
    <x v="11"/>
    <x v="0"/>
    <x v="0"/>
    <x v="9"/>
    <x v="0"/>
    <x v="0"/>
    <x v="9"/>
    <x v="0"/>
    <x v="0"/>
    <x v="0"/>
    <x v="0"/>
  </r>
  <r>
    <x v="50"/>
    <x v="50"/>
    <x v="84"/>
    <x v="54"/>
    <x v="11"/>
    <x v="11"/>
    <x v="68"/>
    <x v="45"/>
    <x v="0"/>
    <x v="9"/>
    <x v="25"/>
    <x v="26"/>
    <x v="9"/>
    <x v="22"/>
    <x v="13"/>
    <x v="41"/>
    <x v="27"/>
  </r>
</pivotCacheRecords>
</file>

<file path=xl/pivotCache/pivotCacheRecords52.xml><?xml version="1.0" encoding="utf-8"?>
<pivotCacheRecords xmlns="http://schemas.openxmlformats.org/spreadsheetml/2006/main" xmlns:r="http://schemas.openxmlformats.org/officeDocument/2006/relationships" count="70">
  <r>
    <x v="0"/>
    <x v="0"/>
    <x v="0"/>
    <x v="0"/>
    <x v="0"/>
    <x v="0"/>
    <x v="0"/>
    <x v="0"/>
    <x v="0"/>
    <x v="0"/>
    <x v="0"/>
    <x v="0"/>
    <x v="0"/>
    <x v="0"/>
  </r>
  <r>
    <x v="1"/>
    <x v="1"/>
    <x v="1"/>
    <x v="1"/>
    <x v="1"/>
    <x v="1"/>
    <x v="1"/>
    <x v="1"/>
    <x v="0"/>
    <x v="1"/>
    <x v="0"/>
    <x v="1"/>
    <x v="0"/>
    <x v="1"/>
  </r>
  <r>
    <x v="2"/>
    <x v="2"/>
    <x v="2"/>
    <x v="2"/>
    <x v="2"/>
    <x v="2"/>
    <x v="2"/>
    <x v="2"/>
    <x v="1"/>
    <x v="2"/>
    <x v="1"/>
    <x v="2"/>
    <x v="0"/>
    <x v="2"/>
  </r>
  <r>
    <x v="3"/>
    <x v="3"/>
    <x v="3"/>
    <x v="3"/>
    <x v="3"/>
    <x v="3"/>
    <x v="3"/>
    <x v="3"/>
    <x v="2"/>
    <x v="3"/>
    <x v="2"/>
    <x v="3"/>
    <x v="0"/>
    <x v="2"/>
  </r>
  <r>
    <x v="4"/>
    <x v="4"/>
    <x v="4"/>
    <x v="4"/>
    <x v="3"/>
    <x v="4"/>
    <x v="3"/>
    <x v="4"/>
    <x v="3"/>
    <x v="4"/>
    <x v="3"/>
    <x v="4"/>
    <x v="0"/>
    <x v="3"/>
  </r>
  <r>
    <x v="5"/>
    <x v="5"/>
    <x v="5"/>
    <x v="5"/>
    <x v="4"/>
    <x v="5"/>
    <x v="4"/>
    <x v="5"/>
    <x v="3"/>
    <x v="5"/>
    <x v="3"/>
    <x v="5"/>
    <x v="1"/>
    <x v="4"/>
  </r>
  <r>
    <x v="6"/>
    <x v="6"/>
    <x v="6"/>
    <x v="6"/>
    <x v="5"/>
    <x v="6"/>
    <x v="5"/>
    <x v="6"/>
    <x v="4"/>
    <x v="6"/>
    <x v="4"/>
    <x v="6"/>
    <x v="2"/>
    <x v="4"/>
  </r>
  <r>
    <x v="7"/>
    <x v="7"/>
    <x v="7"/>
    <x v="7"/>
    <x v="4"/>
    <x v="7"/>
    <x v="4"/>
    <x v="7"/>
    <x v="3"/>
    <x v="7"/>
    <x v="3"/>
    <x v="4"/>
    <x v="0"/>
    <x v="5"/>
  </r>
  <r>
    <x v="8"/>
    <x v="8"/>
    <x v="8"/>
    <x v="8"/>
    <x v="5"/>
    <x v="8"/>
    <x v="5"/>
    <x v="8"/>
    <x v="4"/>
    <x v="8"/>
    <x v="4"/>
    <x v="4"/>
    <x v="2"/>
    <x v="5"/>
  </r>
  <r>
    <x v="9"/>
    <x v="9"/>
    <x v="9"/>
    <x v="9"/>
    <x v="6"/>
    <x v="9"/>
    <x v="6"/>
    <x v="9"/>
    <x v="2"/>
    <x v="9"/>
    <x v="2"/>
    <x v="4"/>
    <x v="0"/>
    <x v="5"/>
  </r>
  <r>
    <x v="10"/>
    <x v="10"/>
    <x v="10"/>
    <x v="10"/>
    <x v="6"/>
    <x v="10"/>
    <x v="6"/>
    <x v="10"/>
    <x v="5"/>
    <x v="10"/>
    <x v="5"/>
    <x v="7"/>
    <x v="0"/>
    <x v="4"/>
  </r>
  <r>
    <x v="11"/>
    <x v="11"/>
    <x v="11"/>
    <x v="11"/>
    <x v="7"/>
    <x v="11"/>
    <x v="7"/>
    <x v="11"/>
    <x v="6"/>
    <x v="11"/>
    <x v="6"/>
    <x v="8"/>
    <x v="0"/>
    <x v="6"/>
  </r>
  <r>
    <x v="12"/>
    <x v="12"/>
    <x v="12"/>
    <x v="12"/>
    <x v="7"/>
    <x v="12"/>
    <x v="7"/>
    <x v="12"/>
    <x v="6"/>
    <x v="12"/>
    <x v="6"/>
    <x v="9"/>
    <x v="2"/>
    <x v="5"/>
  </r>
  <r>
    <x v="13"/>
    <x v="13"/>
    <x v="13"/>
    <x v="13"/>
    <x v="7"/>
    <x v="13"/>
    <x v="7"/>
    <x v="13"/>
    <x v="6"/>
    <x v="13"/>
    <x v="6"/>
    <x v="10"/>
    <x v="2"/>
    <x v="7"/>
  </r>
  <r>
    <x v="14"/>
    <x v="14"/>
    <x v="14"/>
    <x v="14"/>
    <x v="7"/>
    <x v="14"/>
    <x v="7"/>
    <x v="14"/>
    <x v="6"/>
    <x v="14"/>
    <x v="6"/>
    <x v="4"/>
    <x v="0"/>
    <x v="7"/>
  </r>
  <r>
    <x v="15"/>
    <x v="15"/>
    <x v="15"/>
    <x v="15"/>
    <x v="4"/>
    <x v="15"/>
    <x v="4"/>
    <x v="15"/>
    <x v="3"/>
    <x v="15"/>
    <x v="3"/>
    <x v="11"/>
    <x v="0"/>
    <x v="7"/>
  </r>
  <r>
    <x v="16"/>
    <x v="16"/>
    <x v="16"/>
    <x v="16"/>
    <x v="5"/>
    <x v="16"/>
    <x v="5"/>
    <x v="16"/>
    <x v="4"/>
    <x v="16"/>
    <x v="4"/>
    <x v="4"/>
    <x v="2"/>
    <x v="7"/>
  </r>
  <r>
    <x v="17"/>
    <x v="17"/>
    <x v="17"/>
    <x v="17"/>
    <x v="4"/>
    <x v="17"/>
    <x v="4"/>
    <x v="17"/>
    <x v="7"/>
    <x v="17"/>
    <x v="7"/>
    <x v="12"/>
    <x v="0"/>
    <x v="7"/>
  </r>
  <r>
    <x v="18"/>
    <x v="18"/>
    <x v="18"/>
    <x v="18"/>
    <x v="3"/>
    <x v="18"/>
    <x v="3"/>
    <x v="18"/>
    <x v="3"/>
    <x v="18"/>
    <x v="3"/>
    <x v="13"/>
    <x v="0"/>
    <x v="4"/>
  </r>
  <r>
    <x v="19"/>
    <x v="19"/>
    <x v="19"/>
    <x v="19"/>
    <x v="5"/>
    <x v="19"/>
    <x v="5"/>
    <x v="19"/>
    <x v="4"/>
    <x v="19"/>
    <x v="4"/>
    <x v="4"/>
    <x v="2"/>
    <x v="8"/>
  </r>
  <r>
    <x v="20"/>
    <x v="20"/>
    <x v="20"/>
    <x v="20"/>
    <x v="5"/>
    <x v="20"/>
    <x v="5"/>
    <x v="20"/>
    <x v="4"/>
    <x v="20"/>
    <x v="4"/>
    <x v="4"/>
    <x v="2"/>
    <x v="7"/>
  </r>
  <r>
    <x v="21"/>
    <x v="21"/>
    <x v="21"/>
    <x v="21"/>
    <x v="5"/>
    <x v="21"/>
    <x v="5"/>
    <x v="21"/>
    <x v="4"/>
    <x v="21"/>
    <x v="4"/>
    <x v="14"/>
    <x v="2"/>
    <x v="8"/>
  </r>
  <r>
    <x v="22"/>
    <x v="22"/>
    <x v="22"/>
    <x v="22"/>
    <x v="5"/>
    <x v="22"/>
    <x v="5"/>
    <x v="22"/>
    <x v="4"/>
    <x v="22"/>
    <x v="4"/>
    <x v="15"/>
    <x v="2"/>
    <x v="8"/>
  </r>
  <r>
    <x v="23"/>
    <x v="23"/>
    <x v="23"/>
    <x v="23"/>
    <x v="7"/>
    <x v="23"/>
    <x v="7"/>
    <x v="23"/>
    <x v="0"/>
    <x v="23"/>
    <x v="0"/>
    <x v="4"/>
    <x v="0"/>
    <x v="8"/>
  </r>
  <r>
    <x v="24"/>
    <x v="24"/>
    <x v="24"/>
    <x v="24"/>
    <x v="4"/>
    <x v="24"/>
    <x v="4"/>
    <x v="24"/>
    <x v="7"/>
    <x v="24"/>
    <x v="7"/>
    <x v="4"/>
    <x v="0"/>
    <x v="8"/>
  </r>
  <r>
    <x v="25"/>
    <x v="25"/>
    <x v="25"/>
    <x v="25"/>
    <x v="3"/>
    <x v="25"/>
    <x v="3"/>
    <x v="25"/>
    <x v="8"/>
    <x v="25"/>
    <x v="8"/>
    <x v="4"/>
    <x v="0"/>
    <x v="7"/>
  </r>
  <r>
    <x v="26"/>
    <x v="26"/>
    <x v="26"/>
    <x v="26"/>
    <x v="4"/>
    <x v="26"/>
    <x v="4"/>
    <x v="26"/>
    <x v="3"/>
    <x v="26"/>
    <x v="3"/>
    <x v="4"/>
    <x v="0"/>
    <x v="9"/>
  </r>
  <r>
    <x v="27"/>
    <x v="27"/>
    <x v="27"/>
    <x v="27"/>
    <x v="5"/>
    <x v="27"/>
    <x v="5"/>
    <x v="27"/>
    <x v="4"/>
    <x v="27"/>
    <x v="4"/>
    <x v="4"/>
    <x v="2"/>
    <x v="9"/>
  </r>
  <r>
    <x v="28"/>
    <x v="28"/>
    <x v="28"/>
    <x v="28"/>
    <x v="5"/>
    <x v="28"/>
    <x v="5"/>
    <x v="28"/>
    <x v="4"/>
    <x v="28"/>
    <x v="4"/>
    <x v="4"/>
    <x v="2"/>
    <x v="9"/>
  </r>
  <r>
    <x v="29"/>
    <x v="29"/>
    <x v="29"/>
    <x v="29"/>
    <x v="5"/>
    <x v="29"/>
    <x v="5"/>
    <x v="29"/>
    <x v="4"/>
    <x v="29"/>
    <x v="4"/>
    <x v="16"/>
    <x v="2"/>
    <x v="8"/>
  </r>
  <r>
    <x v="30"/>
    <x v="30"/>
    <x v="30"/>
    <x v="30"/>
    <x v="7"/>
    <x v="30"/>
    <x v="7"/>
    <x v="30"/>
    <x v="7"/>
    <x v="30"/>
    <x v="7"/>
    <x v="4"/>
    <x v="0"/>
    <x v="9"/>
  </r>
  <r>
    <x v="31"/>
    <x v="31"/>
    <x v="31"/>
    <x v="31"/>
    <x v="4"/>
    <x v="31"/>
    <x v="4"/>
    <x v="31"/>
    <x v="3"/>
    <x v="31"/>
    <x v="3"/>
    <x v="4"/>
    <x v="0"/>
    <x v="9"/>
  </r>
  <r>
    <x v="32"/>
    <x v="32"/>
    <x v="32"/>
    <x v="19"/>
    <x v="5"/>
    <x v="19"/>
    <x v="5"/>
    <x v="32"/>
    <x v="4"/>
    <x v="32"/>
    <x v="4"/>
    <x v="4"/>
    <x v="2"/>
    <x v="9"/>
  </r>
  <r>
    <x v="33"/>
    <x v="33"/>
    <x v="33"/>
    <x v="32"/>
    <x v="5"/>
    <x v="32"/>
    <x v="5"/>
    <x v="33"/>
    <x v="4"/>
    <x v="33"/>
    <x v="4"/>
    <x v="4"/>
    <x v="2"/>
    <x v="9"/>
  </r>
  <r>
    <x v="16"/>
    <x v="16"/>
    <x v="34"/>
    <x v="16"/>
    <x v="5"/>
    <x v="16"/>
    <x v="5"/>
    <x v="16"/>
    <x v="4"/>
    <x v="16"/>
    <x v="4"/>
    <x v="4"/>
    <x v="2"/>
    <x v="9"/>
  </r>
  <r>
    <x v="34"/>
    <x v="34"/>
    <x v="35"/>
    <x v="33"/>
    <x v="5"/>
    <x v="33"/>
    <x v="5"/>
    <x v="34"/>
    <x v="4"/>
    <x v="34"/>
    <x v="4"/>
    <x v="4"/>
    <x v="2"/>
    <x v="9"/>
  </r>
  <r>
    <x v="35"/>
    <x v="35"/>
    <x v="36"/>
    <x v="25"/>
    <x v="6"/>
    <x v="25"/>
    <x v="6"/>
    <x v="35"/>
    <x v="1"/>
    <x v="35"/>
    <x v="1"/>
    <x v="4"/>
    <x v="0"/>
    <x v="9"/>
  </r>
  <r>
    <x v="36"/>
    <x v="36"/>
    <x v="37"/>
    <x v="34"/>
    <x v="3"/>
    <x v="34"/>
    <x v="3"/>
    <x v="36"/>
    <x v="3"/>
    <x v="36"/>
    <x v="3"/>
    <x v="13"/>
    <x v="0"/>
    <x v="9"/>
  </r>
  <r>
    <x v="37"/>
    <x v="37"/>
    <x v="38"/>
    <x v="35"/>
    <x v="5"/>
    <x v="35"/>
    <x v="5"/>
    <x v="37"/>
    <x v="4"/>
    <x v="37"/>
    <x v="4"/>
    <x v="17"/>
    <x v="2"/>
    <x v="9"/>
  </r>
  <r>
    <x v="38"/>
    <x v="38"/>
    <x v="39"/>
    <x v="36"/>
    <x v="4"/>
    <x v="36"/>
    <x v="4"/>
    <x v="38"/>
    <x v="3"/>
    <x v="38"/>
    <x v="3"/>
    <x v="18"/>
    <x v="0"/>
    <x v="9"/>
  </r>
  <r>
    <x v="39"/>
    <x v="39"/>
    <x v="40"/>
    <x v="19"/>
    <x v="5"/>
    <x v="19"/>
    <x v="5"/>
    <x v="39"/>
    <x v="4"/>
    <x v="39"/>
    <x v="4"/>
    <x v="19"/>
    <x v="2"/>
    <x v="10"/>
  </r>
  <r>
    <x v="40"/>
    <x v="40"/>
    <x v="41"/>
    <x v="28"/>
    <x v="5"/>
    <x v="28"/>
    <x v="5"/>
    <x v="40"/>
    <x v="4"/>
    <x v="40"/>
    <x v="4"/>
    <x v="20"/>
    <x v="2"/>
    <x v="10"/>
  </r>
  <r>
    <x v="41"/>
    <x v="41"/>
    <x v="42"/>
    <x v="37"/>
    <x v="7"/>
    <x v="37"/>
    <x v="7"/>
    <x v="32"/>
    <x v="6"/>
    <x v="32"/>
    <x v="6"/>
    <x v="4"/>
    <x v="0"/>
    <x v="10"/>
  </r>
  <r>
    <x v="42"/>
    <x v="42"/>
    <x v="43"/>
    <x v="28"/>
    <x v="5"/>
    <x v="28"/>
    <x v="5"/>
    <x v="30"/>
    <x v="4"/>
    <x v="30"/>
    <x v="4"/>
    <x v="4"/>
    <x v="2"/>
    <x v="10"/>
  </r>
  <r>
    <x v="27"/>
    <x v="27"/>
    <x v="44"/>
    <x v="27"/>
    <x v="5"/>
    <x v="27"/>
    <x v="5"/>
    <x v="27"/>
    <x v="4"/>
    <x v="27"/>
    <x v="4"/>
    <x v="4"/>
    <x v="2"/>
    <x v="10"/>
  </r>
  <r>
    <x v="43"/>
    <x v="43"/>
    <x v="45"/>
    <x v="28"/>
    <x v="5"/>
    <x v="28"/>
    <x v="5"/>
    <x v="41"/>
    <x v="4"/>
    <x v="41"/>
    <x v="4"/>
    <x v="21"/>
    <x v="2"/>
    <x v="10"/>
  </r>
  <r>
    <x v="44"/>
    <x v="44"/>
    <x v="46"/>
    <x v="19"/>
    <x v="5"/>
    <x v="19"/>
    <x v="5"/>
    <x v="42"/>
    <x v="4"/>
    <x v="42"/>
    <x v="4"/>
    <x v="22"/>
    <x v="2"/>
    <x v="10"/>
  </r>
  <r>
    <x v="45"/>
    <x v="45"/>
    <x v="47"/>
    <x v="26"/>
    <x v="5"/>
    <x v="26"/>
    <x v="5"/>
    <x v="42"/>
    <x v="4"/>
    <x v="42"/>
    <x v="4"/>
    <x v="4"/>
    <x v="2"/>
    <x v="10"/>
  </r>
  <r>
    <x v="46"/>
    <x v="46"/>
    <x v="48"/>
    <x v="28"/>
    <x v="5"/>
    <x v="28"/>
    <x v="5"/>
    <x v="43"/>
    <x v="4"/>
    <x v="43"/>
    <x v="4"/>
    <x v="23"/>
    <x v="2"/>
    <x v="10"/>
  </r>
  <r>
    <x v="47"/>
    <x v="47"/>
    <x v="49"/>
    <x v="38"/>
    <x v="5"/>
    <x v="38"/>
    <x v="5"/>
    <x v="41"/>
    <x v="4"/>
    <x v="41"/>
    <x v="4"/>
    <x v="4"/>
    <x v="2"/>
    <x v="10"/>
  </r>
  <r>
    <x v="48"/>
    <x v="48"/>
    <x v="50"/>
    <x v="39"/>
    <x v="5"/>
    <x v="39"/>
    <x v="5"/>
    <x v="23"/>
    <x v="4"/>
    <x v="23"/>
    <x v="4"/>
    <x v="4"/>
    <x v="2"/>
    <x v="10"/>
  </r>
  <r>
    <x v="49"/>
    <x v="49"/>
    <x v="51"/>
    <x v="40"/>
    <x v="5"/>
    <x v="40"/>
    <x v="5"/>
    <x v="44"/>
    <x v="4"/>
    <x v="44"/>
    <x v="4"/>
    <x v="4"/>
    <x v="2"/>
    <x v="10"/>
  </r>
  <r>
    <x v="50"/>
    <x v="50"/>
    <x v="52"/>
    <x v="41"/>
    <x v="5"/>
    <x v="41"/>
    <x v="5"/>
    <x v="45"/>
    <x v="4"/>
    <x v="45"/>
    <x v="4"/>
    <x v="24"/>
    <x v="2"/>
    <x v="10"/>
  </r>
  <r>
    <x v="51"/>
    <x v="51"/>
    <x v="53"/>
    <x v="39"/>
    <x v="5"/>
    <x v="39"/>
    <x v="5"/>
    <x v="46"/>
    <x v="4"/>
    <x v="46"/>
    <x v="4"/>
    <x v="25"/>
    <x v="2"/>
    <x v="10"/>
  </r>
  <r>
    <x v="14"/>
    <x v="14"/>
    <x v="54"/>
    <x v="14"/>
    <x v="7"/>
    <x v="14"/>
    <x v="7"/>
    <x v="14"/>
    <x v="6"/>
    <x v="14"/>
    <x v="6"/>
    <x v="4"/>
    <x v="0"/>
    <x v="10"/>
  </r>
  <r>
    <x v="52"/>
    <x v="52"/>
    <x v="55"/>
    <x v="42"/>
    <x v="4"/>
    <x v="42"/>
    <x v="4"/>
    <x v="47"/>
    <x v="3"/>
    <x v="47"/>
    <x v="3"/>
    <x v="4"/>
    <x v="0"/>
    <x v="10"/>
  </r>
  <r>
    <x v="53"/>
    <x v="53"/>
    <x v="56"/>
    <x v="43"/>
    <x v="5"/>
    <x v="43"/>
    <x v="5"/>
    <x v="48"/>
    <x v="4"/>
    <x v="48"/>
    <x v="4"/>
    <x v="4"/>
    <x v="2"/>
    <x v="10"/>
  </r>
  <r>
    <x v="54"/>
    <x v="54"/>
    <x v="57"/>
    <x v="26"/>
    <x v="5"/>
    <x v="26"/>
    <x v="5"/>
    <x v="32"/>
    <x v="4"/>
    <x v="32"/>
    <x v="4"/>
    <x v="4"/>
    <x v="2"/>
    <x v="10"/>
  </r>
  <r>
    <x v="55"/>
    <x v="55"/>
    <x v="58"/>
    <x v="30"/>
    <x v="5"/>
    <x v="30"/>
    <x v="5"/>
    <x v="49"/>
    <x v="4"/>
    <x v="49"/>
    <x v="4"/>
    <x v="4"/>
    <x v="2"/>
    <x v="10"/>
  </r>
  <r>
    <x v="56"/>
    <x v="56"/>
    <x v="59"/>
    <x v="39"/>
    <x v="5"/>
    <x v="39"/>
    <x v="5"/>
    <x v="46"/>
    <x v="4"/>
    <x v="46"/>
    <x v="4"/>
    <x v="4"/>
    <x v="2"/>
    <x v="10"/>
  </r>
  <r>
    <x v="57"/>
    <x v="57"/>
    <x v="60"/>
    <x v="44"/>
    <x v="5"/>
    <x v="44"/>
    <x v="5"/>
    <x v="50"/>
    <x v="4"/>
    <x v="50"/>
    <x v="4"/>
    <x v="4"/>
    <x v="2"/>
    <x v="10"/>
  </r>
  <r>
    <x v="33"/>
    <x v="33"/>
    <x v="61"/>
    <x v="32"/>
    <x v="5"/>
    <x v="32"/>
    <x v="5"/>
    <x v="33"/>
    <x v="4"/>
    <x v="33"/>
    <x v="4"/>
    <x v="4"/>
    <x v="2"/>
    <x v="10"/>
  </r>
  <r>
    <x v="58"/>
    <x v="58"/>
    <x v="62"/>
    <x v="45"/>
    <x v="4"/>
    <x v="45"/>
    <x v="4"/>
    <x v="23"/>
    <x v="7"/>
    <x v="23"/>
    <x v="7"/>
    <x v="4"/>
    <x v="0"/>
    <x v="10"/>
  </r>
  <r>
    <x v="59"/>
    <x v="59"/>
    <x v="63"/>
    <x v="37"/>
    <x v="5"/>
    <x v="37"/>
    <x v="5"/>
    <x v="19"/>
    <x v="4"/>
    <x v="19"/>
    <x v="4"/>
    <x v="4"/>
    <x v="2"/>
    <x v="10"/>
  </r>
  <r>
    <x v="60"/>
    <x v="60"/>
    <x v="64"/>
    <x v="46"/>
    <x v="3"/>
    <x v="46"/>
    <x v="3"/>
    <x v="45"/>
    <x v="3"/>
    <x v="45"/>
    <x v="3"/>
    <x v="4"/>
    <x v="0"/>
    <x v="10"/>
  </r>
  <r>
    <x v="61"/>
    <x v="61"/>
    <x v="65"/>
    <x v="26"/>
    <x v="5"/>
    <x v="26"/>
    <x v="5"/>
    <x v="51"/>
    <x v="4"/>
    <x v="51"/>
    <x v="4"/>
    <x v="4"/>
    <x v="2"/>
    <x v="8"/>
  </r>
  <r>
    <x v="62"/>
    <x v="62"/>
    <x v="66"/>
    <x v="18"/>
    <x v="4"/>
    <x v="18"/>
    <x v="4"/>
    <x v="52"/>
    <x v="7"/>
    <x v="52"/>
    <x v="7"/>
    <x v="4"/>
    <x v="0"/>
    <x v="10"/>
  </r>
  <r>
    <x v="63"/>
    <x v="63"/>
    <x v="67"/>
    <x v="47"/>
    <x v="5"/>
    <x v="47"/>
    <x v="5"/>
    <x v="53"/>
    <x v="4"/>
    <x v="53"/>
    <x v="4"/>
    <x v="4"/>
    <x v="2"/>
    <x v="10"/>
  </r>
  <r>
    <x v="64"/>
    <x v="64"/>
    <x v="68"/>
    <x v="48"/>
    <x v="3"/>
    <x v="48"/>
    <x v="3"/>
    <x v="54"/>
    <x v="3"/>
    <x v="54"/>
    <x v="3"/>
    <x v="4"/>
    <x v="0"/>
    <x v="10"/>
  </r>
  <r>
    <x v="65"/>
    <x v="65"/>
    <x v="69"/>
    <x v="49"/>
    <x v="8"/>
    <x v="49"/>
    <x v="8"/>
    <x v="55"/>
    <x v="9"/>
    <x v="55"/>
    <x v="9"/>
    <x v="26"/>
    <x v="3"/>
    <x v="11"/>
  </r>
</pivotCacheRecords>
</file>

<file path=xl/pivotCache/pivotCacheRecords53.xml><?xml version="1.0" encoding="utf-8"?>
<pivotCacheRecords xmlns="http://schemas.openxmlformats.org/spreadsheetml/2006/main" xmlns:r="http://schemas.openxmlformats.org/officeDocument/2006/relationships" count="87">
  <r>
    <x v="0"/>
    <x v="0"/>
    <x v="0"/>
    <x v="0"/>
    <x v="0"/>
    <x v="0"/>
    <x v="0"/>
    <x v="0"/>
    <x v="0"/>
    <x v="0"/>
    <x v="0"/>
    <x v="0"/>
    <x v="0"/>
    <x v="0"/>
  </r>
  <r>
    <x v="1"/>
    <x v="1"/>
    <x v="1"/>
    <x v="1"/>
    <x v="1"/>
    <x v="1"/>
    <x v="1"/>
    <x v="1"/>
    <x v="1"/>
    <x v="1"/>
    <x v="1"/>
    <x v="1"/>
    <x v="0"/>
    <x v="1"/>
  </r>
  <r>
    <x v="2"/>
    <x v="2"/>
    <x v="2"/>
    <x v="2"/>
    <x v="2"/>
    <x v="2"/>
    <x v="2"/>
    <x v="2"/>
    <x v="2"/>
    <x v="2"/>
    <x v="2"/>
    <x v="2"/>
    <x v="0"/>
    <x v="2"/>
  </r>
  <r>
    <x v="3"/>
    <x v="3"/>
    <x v="3"/>
    <x v="3"/>
    <x v="3"/>
    <x v="3"/>
    <x v="3"/>
    <x v="3"/>
    <x v="3"/>
    <x v="3"/>
    <x v="3"/>
    <x v="3"/>
    <x v="0"/>
    <x v="3"/>
  </r>
  <r>
    <x v="4"/>
    <x v="4"/>
    <x v="4"/>
    <x v="4"/>
    <x v="1"/>
    <x v="4"/>
    <x v="1"/>
    <x v="4"/>
    <x v="1"/>
    <x v="4"/>
    <x v="1"/>
    <x v="4"/>
    <x v="0"/>
    <x v="4"/>
  </r>
  <r>
    <x v="5"/>
    <x v="5"/>
    <x v="5"/>
    <x v="5"/>
    <x v="4"/>
    <x v="5"/>
    <x v="4"/>
    <x v="5"/>
    <x v="4"/>
    <x v="5"/>
    <x v="4"/>
    <x v="5"/>
    <x v="0"/>
    <x v="5"/>
  </r>
  <r>
    <x v="6"/>
    <x v="6"/>
    <x v="6"/>
    <x v="6"/>
    <x v="5"/>
    <x v="6"/>
    <x v="5"/>
    <x v="6"/>
    <x v="5"/>
    <x v="6"/>
    <x v="5"/>
    <x v="2"/>
    <x v="0"/>
    <x v="6"/>
  </r>
  <r>
    <x v="7"/>
    <x v="7"/>
    <x v="7"/>
    <x v="7"/>
    <x v="6"/>
    <x v="7"/>
    <x v="6"/>
    <x v="7"/>
    <x v="6"/>
    <x v="7"/>
    <x v="6"/>
    <x v="6"/>
    <x v="0"/>
    <x v="7"/>
  </r>
  <r>
    <x v="8"/>
    <x v="8"/>
    <x v="8"/>
    <x v="8"/>
    <x v="7"/>
    <x v="8"/>
    <x v="7"/>
    <x v="8"/>
    <x v="7"/>
    <x v="8"/>
    <x v="7"/>
    <x v="7"/>
    <x v="0"/>
    <x v="8"/>
  </r>
  <r>
    <x v="9"/>
    <x v="9"/>
    <x v="9"/>
    <x v="9"/>
    <x v="8"/>
    <x v="9"/>
    <x v="8"/>
    <x v="9"/>
    <x v="8"/>
    <x v="9"/>
    <x v="8"/>
    <x v="8"/>
    <x v="0"/>
    <x v="9"/>
  </r>
  <r>
    <x v="10"/>
    <x v="10"/>
    <x v="10"/>
    <x v="10"/>
    <x v="6"/>
    <x v="10"/>
    <x v="6"/>
    <x v="10"/>
    <x v="9"/>
    <x v="10"/>
    <x v="9"/>
    <x v="9"/>
    <x v="1"/>
    <x v="8"/>
  </r>
  <r>
    <x v="11"/>
    <x v="11"/>
    <x v="11"/>
    <x v="11"/>
    <x v="5"/>
    <x v="11"/>
    <x v="5"/>
    <x v="11"/>
    <x v="5"/>
    <x v="11"/>
    <x v="5"/>
    <x v="10"/>
    <x v="0"/>
    <x v="10"/>
  </r>
  <r>
    <x v="12"/>
    <x v="12"/>
    <x v="12"/>
    <x v="12"/>
    <x v="4"/>
    <x v="12"/>
    <x v="4"/>
    <x v="12"/>
    <x v="4"/>
    <x v="12"/>
    <x v="4"/>
    <x v="10"/>
    <x v="0"/>
    <x v="10"/>
  </r>
  <r>
    <x v="13"/>
    <x v="13"/>
    <x v="13"/>
    <x v="13"/>
    <x v="7"/>
    <x v="13"/>
    <x v="7"/>
    <x v="13"/>
    <x v="7"/>
    <x v="13"/>
    <x v="7"/>
    <x v="10"/>
    <x v="0"/>
    <x v="11"/>
  </r>
  <r>
    <x v="14"/>
    <x v="14"/>
    <x v="14"/>
    <x v="14"/>
    <x v="5"/>
    <x v="14"/>
    <x v="5"/>
    <x v="14"/>
    <x v="5"/>
    <x v="14"/>
    <x v="5"/>
    <x v="11"/>
    <x v="1"/>
    <x v="11"/>
  </r>
  <r>
    <x v="15"/>
    <x v="15"/>
    <x v="15"/>
    <x v="15"/>
    <x v="0"/>
    <x v="15"/>
    <x v="0"/>
    <x v="15"/>
    <x v="0"/>
    <x v="15"/>
    <x v="0"/>
    <x v="12"/>
    <x v="0"/>
    <x v="12"/>
  </r>
  <r>
    <x v="16"/>
    <x v="16"/>
    <x v="16"/>
    <x v="16"/>
    <x v="9"/>
    <x v="16"/>
    <x v="9"/>
    <x v="16"/>
    <x v="9"/>
    <x v="16"/>
    <x v="9"/>
    <x v="13"/>
    <x v="0"/>
    <x v="13"/>
  </r>
  <r>
    <x v="17"/>
    <x v="17"/>
    <x v="17"/>
    <x v="17"/>
    <x v="7"/>
    <x v="17"/>
    <x v="7"/>
    <x v="17"/>
    <x v="7"/>
    <x v="17"/>
    <x v="7"/>
    <x v="10"/>
    <x v="0"/>
    <x v="14"/>
  </r>
  <r>
    <x v="18"/>
    <x v="18"/>
    <x v="18"/>
    <x v="18"/>
    <x v="9"/>
    <x v="18"/>
    <x v="9"/>
    <x v="18"/>
    <x v="6"/>
    <x v="18"/>
    <x v="6"/>
    <x v="10"/>
    <x v="0"/>
    <x v="14"/>
  </r>
  <r>
    <x v="19"/>
    <x v="19"/>
    <x v="19"/>
    <x v="19"/>
    <x v="10"/>
    <x v="19"/>
    <x v="10"/>
    <x v="19"/>
    <x v="10"/>
    <x v="19"/>
    <x v="10"/>
    <x v="6"/>
    <x v="2"/>
    <x v="14"/>
  </r>
  <r>
    <x v="20"/>
    <x v="20"/>
    <x v="20"/>
    <x v="17"/>
    <x v="6"/>
    <x v="17"/>
    <x v="6"/>
    <x v="20"/>
    <x v="11"/>
    <x v="20"/>
    <x v="11"/>
    <x v="14"/>
    <x v="0"/>
    <x v="15"/>
  </r>
  <r>
    <x v="21"/>
    <x v="21"/>
    <x v="21"/>
    <x v="20"/>
    <x v="7"/>
    <x v="20"/>
    <x v="7"/>
    <x v="21"/>
    <x v="7"/>
    <x v="21"/>
    <x v="7"/>
    <x v="15"/>
    <x v="0"/>
    <x v="12"/>
  </r>
  <r>
    <x v="22"/>
    <x v="22"/>
    <x v="22"/>
    <x v="21"/>
    <x v="7"/>
    <x v="21"/>
    <x v="7"/>
    <x v="22"/>
    <x v="7"/>
    <x v="22"/>
    <x v="7"/>
    <x v="16"/>
    <x v="0"/>
    <x v="14"/>
  </r>
  <r>
    <x v="23"/>
    <x v="23"/>
    <x v="23"/>
    <x v="22"/>
    <x v="5"/>
    <x v="22"/>
    <x v="5"/>
    <x v="23"/>
    <x v="2"/>
    <x v="23"/>
    <x v="2"/>
    <x v="10"/>
    <x v="0"/>
    <x v="14"/>
  </r>
  <r>
    <x v="24"/>
    <x v="24"/>
    <x v="24"/>
    <x v="23"/>
    <x v="10"/>
    <x v="23"/>
    <x v="10"/>
    <x v="24"/>
    <x v="10"/>
    <x v="24"/>
    <x v="10"/>
    <x v="17"/>
    <x v="2"/>
    <x v="15"/>
  </r>
  <r>
    <x v="25"/>
    <x v="25"/>
    <x v="25"/>
    <x v="24"/>
    <x v="10"/>
    <x v="24"/>
    <x v="10"/>
    <x v="25"/>
    <x v="10"/>
    <x v="25"/>
    <x v="10"/>
    <x v="10"/>
    <x v="2"/>
    <x v="15"/>
  </r>
  <r>
    <x v="26"/>
    <x v="26"/>
    <x v="26"/>
    <x v="25"/>
    <x v="11"/>
    <x v="25"/>
    <x v="11"/>
    <x v="26"/>
    <x v="12"/>
    <x v="26"/>
    <x v="12"/>
    <x v="18"/>
    <x v="0"/>
    <x v="12"/>
  </r>
  <r>
    <x v="27"/>
    <x v="27"/>
    <x v="27"/>
    <x v="26"/>
    <x v="5"/>
    <x v="26"/>
    <x v="5"/>
    <x v="27"/>
    <x v="11"/>
    <x v="27"/>
    <x v="11"/>
    <x v="10"/>
    <x v="0"/>
    <x v="16"/>
  </r>
  <r>
    <x v="28"/>
    <x v="28"/>
    <x v="28"/>
    <x v="27"/>
    <x v="5"/>
    <x v="27"/>
    <x v="5"/>
    <x v="28"/>
    <x v="11"/>
    <x v="28"/>
    <x v="11"/>
    <x v="19"/>
    <x v="0"/>
    <x v="14"/>
  </r>
  <r>
    <x v="29"/>
    <x v="29"/>
    <x v="29"/>
    <x v="28"/>
    <x v="7"/>
    <x v="28"/>
    <x v="7"/>
    <x v="29"/>
    <x v="5"/>
    <x v="29"/>
    <x v="5"/>
    <x v="20"/>
    <x v="0"/>
    <x v="16"/>
  </r>
  <r>
    <x v="30"/>
    <x v="30"/>
    <x v="30"/>
    <x v="29"/>
    <x v="10"/>
    <x v="29"/>
    <x v="10"/>
    <x v="30"/>
    <x v="10"/>
    <x v="30"/>
    <x v="10"/>
    <x v="21"/>
    <x v="2"/>
    <x v="16"/>
  </r>
  <r>
    <x v="31"/>
    <x v="31"/>
    <x v="31"/>
    <x v="30"/>
    <x v="7"/>
    <x v="30"/>
    <x v="7"/>
    <x v="31"/>
    <x v="7"/>
    <x v="31"/>
    <x v="7"/>
    <x v="22"/>
    <x v="2"/>
    <x v="17"/>
  </r>
  <r>
    <x v="32"/>
    <x v="32"/>
    <x v="32"/>
    <x v="31"/>
    <x v="1"/>
    <x v="31"/>
    <x v="1"/>
    <x v="32"/>
    <x v="1"/>
    <x v="24"/>
    <x v="1"/>
    <x v="23"/>
    <x v="0"/>
    <x v="16"/>
  </r>
  <r>
    <x v="33"/>
    <x v="33"/>
    <x v="33"/>
    <x v="32"/>
    <x v="5"/>
    <x v="32"/>
    <x v="5"/>
    <x v="33"/>
    <x v="5"/>
    <x v="32"/>
    <x v="5"/>
    <x v="10"/>
    <x v="0"/>
    <x v="17"/>
  </r>
  <r>
    <x v="34"/>
    <x v="34"/>
    <x v="34"/>
    <x v="33"/>
    <x v="10"/>
    <x v="33"/>
    <x v="10"/>
    <x v="34"/>
    <x v="10"/>
    <x v="33"/>
    <x v="10"/>
    <x v="10"/>
    <x v="2"/>
    <x v="17"/>
  </r>
  <r>
    <x v="35"/>
    <x v="35"/>
    <x v="35"/>
    <x v="34"/>
    <x v="10"/>
    <x v="34"/>
    <x v="10"/>
    <x v="35"/>
    <x v="10"/>
    <x v="34"/>
    <x v="10"/>
    <x v="10"/>
    <x v="2"/>
    <x v="18"/>
  </r>
  <r>
    <x v="36"/>
    <x v="36"/>
    <x v="36"/>
    <x v="35"/>
    <x v="10"/>
    <x v="35"/>
    <x v="10"/>
    <x v="36"/>
    <x v="10"/>
    <x v="35"/>
    <x v="10"/>
    <x v="24"/>
    <x v="2"/>
    <x v="18"/>
  </r>
  <r>
    <x v="37"/>
    <x v="37"/>
    <x v="37"/>
    <x v="36"/>
    <x v="5"/>
    <x v="36"/>
    <x v="5"/>
    <x v="37"/>
    <x v="11"/>
    <x v="36"/>
    <x v="11"/>
    <x v="25"/>
    <x v="0"/>
    <x v="18"/>
  </r>
  <r>
    <x v="38"/>
    <x v="38"/>
    <x v="38"/>
    <x v="37"/>
    <x v="10"/>
    <x v="37"/>
    <x v="10"/>
    <x v="38"/>
    <x v="10"/>
    <x v="37"/>
    <x v="10"/>
    <x v="10"/>
    <x v="2"/>
    <x v="19"/>
  </r>
  <r>
    <x v="39"/>
    <x v="39"/>
    <x v="39"/>
    <x v="38"/>
    <x v="10"/>
    <x v="38"/>
    <x v="10"/>
    <x v="39"/>
    <x v="10"/>
    <x v="38"/>
    <x v="10"/>
    <x v="10"/>
    <x v="2"/>
    <x v="19"/>
  </r>
  <r>
    <x v="40"/>
    <x v="40"/>
    <x v="40"/>
    <x v="39"/>
    <x v="6"/>
    <x v="39"/>
    <x v="6"/>
    <x v="40"/>
    <x v="11"/>
    <x v="39"/>
    <x v="11"/>
    <x v="10"/>
    <x v="0"/>
    <x v="19"/>
  </r>
  <r>
    <x v="41"/>
    <x v="41"/>
    <x v="41"/>
    <x v="40"/>
    <x v="12"/>
    <x v="40"/>
    <x v="12"/>
    <x v="41"/>
    <x v="13"/>
    <x v="40"/>
    <x v="13"/>
    <x v="10"/>
    <x v="3"/>
    <x v="18"/>
  </r>
  <r>
    <x v="42"/>
    <x v="42"/>
    <x v="42"/>
    <x v="41"/>
    <x v="6"/>
    <x v="41"/>
    <x v="6"/>
    <x v="42"/>
    <x v="11"/>
    <x v="41"/>
    <x v="11"/>
    <x v="26"/>
    <x v="0"/>
    <x v="16"/>
  </r>
  <r>
    <x v="43"/>
    <x v="43"/>
    <x v="43"/>
    <x v="42"/>
    <x v="5"/>
    <x v="42"/>
    <x v="5"/>
    <x v="43"/>
    <x v="5"/>
    <x v="42"/>
    <x v="5"/>
    <x v="27"/>
    <x v="0"/>
    <x v="20"/>
  </r>
  <r>
    <x v="44"/>
    <x v="44"/>
    <x v="44"/>
    <x v="43"/>
    <x v="10"/>
    <x v="43"/>
    <x v="10"/>
    <x v="44"/>
    <x v="10"/>
    <x v="43"/>
    <x v="10"/>
    <x v="10"/>
    <x v="2"/>
    <x v="20"/>
  </r>
  <r>
    <x v="45"/>
    <x v="45"/>
    <x v="45"/>
    <x v="34"/>
    <x v="6"/>
    <x v="34"/>
    <x v="6"/>
    <x v="45"/>
    <x v="9"/>
    <x v="44"/>
    <x v="9"/>
    <x v="10"/>
    <x v="0"/>
    <x v="20"/>
  </r>
  <r>
    <x v="46"/>
    <x v="46"/>
    <x v="46"/>
    <x v="44"/>
    <x v="10"/>
    <x v="44"/>
    <x v="10"/>
    <x v="46"/>
    <x v="10"/>
    <x v="45"/>
    <x v="10"/>
    <x v="28"/>
    <x v="2"/>
    <x v="20"/>
  </r>
  <r>
    <x v="47"/>
    <x v="47"/>
    <x v="47"/>
    <x v="45"/>
    <x v="7"/>
    <x v="45"/>
    <x v="7"/>
    <x v="47"/>
    <x v="7"/>
    <x v="46"/>
    <x v="7"/>
    <x v="29"/>
    <x v="2"/>
    <x v="20"/>
  </r>
  <r>
    <x v="48"/>
    <x v="48"/>
    <x v="48"/>
    <x v="46"/>
    <x v="7"/>
    <x v="46"/>
    <x v="7"/>
    <x v="48"/>
    <x v="7"/>
    <x v="47"/>
    <x v="7"/>
    <x v="10"/>
    <x v="0"/>
    <x v="20"/>
  </r>
  <r>
    <x v="49"/>
    <x v="49"/>
    <x v="49"/>
    <x v="26"/>
    <x v="5"/>
    <x v="26"/>
    <x v="5"/>
    <x v="45"/>
    <x v="11"/>
    <x v="44"/>
    <x v="11"/>
    <x v="30"/>
    <x v="0"/>
    <x v="20"/>
  </r>
  <r>
    <x v="50"/>
    <x v="50"/>
    <x v="50"/>
    <x v="47"/>
    <x v="10"/>
    <x v="47"/>
    <x v="10"/>
    <x v="49"/>
    <x v="10"/>
    <x v="48"/>
    <x v="10"/>
    <x v="10"/>
    <x v="2"/>
    <x v="20"/>
  </r>
  <r>
    <x v="51"/>
    <x v="51"/>
    <x v="51"/>
    <x v="48"/>
    <x v="10"/>
    <x v="48"/>
    <x v="10"/>
    <x v="46"/>
    <x v="10"/>
    <x v="45"/>
    <x v="10"/>
    <x v="10"/>
    <x v="2"/>
    <x v="20"/>
  </r>
  <r>
    <x v="52"/>
    <x v="52"/>
    <x v="52"/>
    <x v="24"/>
    <x v="1"/>
    <x v="24"/>
    <x v="1"/>
    <x v="50"/>
    <x v="14"/>
    <x v="49"/>
    <x v="14"/>
    <x v="31"/>
    <x v="0"/>
    <x v="20"/>
  </r>
  <r>
    <x v="53"/>
    <x v="53"/>
    <x v="53"/>
    <x v="8"/>
    <x v="9"/>
    <x v="8"/>
    <x v="9"/>
    <x v="51"/>
    <x v="15"/>
    <x v="50"/>
    <x v="15"/>
    <x v="32"/>
    <x v="0"/>
    <x v="20"/>
  </r>
  <r>
    <x v="54"/>
    <x v="54"/>
    <x v="54"/>
    <x v="49"/>
    <x v="10"/>
    <x v="49"/>
    <x v="10"/>
    <x v="12"/>
    <x v="10"/>
    <x v="12"/>
    <x v="10"/>
    <x v="33"/>
    <x v="2"/>
    <x v="20"/>
  </r>
  <r>
    <x v="55"/>
    <x v="55"/>
    <x v="55"/>
    <x v="50"/>
    <x v="10"/>
    <x v="50"/>
    <x v="10"/>
    <x v="52"/>
    <x v="10"/>
    <x v="51"/>
    <x v="10"/>
    <x v="34"/>
    <x v="2"/>
    <x v="21"/>
  </r>
  <r>
    <x v="56"/>
    <x v="56"/>
    <x v="56"/>
    <x v="51"/>
    <x v="10"/>
    <x v="51"/>
    <x v="10"/>
    <x v="27"/>
    <x v="10"/>
    <x v="27"/>
    <x v="10"/>
    <x v="10"/>
    <x v="2"/>
    <x v="21"/>
  </r>
  <r>
    <x v="13"/>
    <x v="13"/>
    <x v="57"/>
    <x v="13"/>
    <x v="7"/>
    <x v="13"/>
    <x v="7"/>
    <x v="13"/>
    <x v="7"/>
    <x v="13"/>
    <x v="7"/>
    <x v="10"/>
    <x v="0"/>
    <x v="20"/>
  </r>
  <r>
    <x v="57"/>
    <x v="57"/>
    <x v="58"/>
    <x v="34"/>
    <x v="10"/>
    <x v="34"/>
    <x v="10"/>
    <x v="53"/>
    <x v="10"/>
    <x v="44"/>
    <x v="10"/>
    <x v="35"/>
    <x v="2"/>
    <x v="21"/>
  </r>
  <r>
    <x v="58"/>
    <x v="58"/>
    <x v="59"/>
    <x v="52"/>
    <x v="10"/>
    <x v="52"/>
    <x v="10"/>
    <x v="54"/>
    <x v="10"/>
    <x v="52"/>
    <x v="10"/>
    <x v="36"/>
    <x v="2"/>
    <x v="21"/>
  </r>
  <r>
    <x v="59"/>
    <x v="59"/>
    <x v="60"/>
    <x v="26"/>
    <x v="7"/>
    <x v="26"/>
    <x v="7"/>
    <x v="55"/>
    <x v="7"/>
    <x v="34"/>
    <x v="7"/>
    <x v="10"/>
    <x v="0"/>
    <x v="21"/>
  </r>
  <r>
    <x v="25"/>
    <x v="25"/>
    <x v="61"/>
    <x v="24"/>
    <x v="10"/>
    <x v="24"/>
    <x v="10"/>
    <x v="25"/>
    <x v="10"/>
    <x v="25"/>
    <x v="10"/>
    <x v="10"/>
    <x v="2"/>
    <x v="21"/>
  </r>
  <r>
    <x v="60"/>
    <x v="60"/>
    <x v="62"/>
    <x v="30"/>
    <x v="7"/>
    <x v="30"/>
    <x v="7"/>
    <x v="56"/>
    <x v="7"/>
    <x v="53"/>
    <x v="7"/>
    <x v="37"/>
    <x v="0"/>
    <x v="21"/>
  </r>
  <r>
    <x v="61"/>
    <x v="61"/>
    <x v="63"/>
    <x v="53"/>
    <x v="10"/>
    <x v="53"/>
    <x v="10"/>
    <x v="57"/>
    <x v="10"/>
    <x v="54"/>
    <x v="10"/>
    <x v="10"/>
    <x v="2"/>
    <x v="19"/>
  </r>
  <r>
    <x v="62"/>
    <x v="62"/>
    <x v="64"/>
    <x v="54"/>
    <x v="10"/>
    <x v="54"/>
    <x v="10"/>
    <x v="31"/>
    <x v="10"/>
    <x v="31"/>
    <x v="10"/>
    <x v="38"/>
    <x v="2"/>
    <x v="21"/>
  </r>
  <r>
    <x v="63"/>
    <x v="63"/>
    <x v="65"/>
    <x v="55"/>
    <x v="7"/>
    <x v="55"/>
    <x v="7"/>
    <x v="58"/>
    <x v="7"/>
    <x v="55"/>
    <x v="7"/>
    <x v="39"/>
    <x v="2"/>
    <x v="22"/>
  </r>
  <r>
    <x v="64"/>
    <x v="64"/>
    <x v="66"/>
    <x v="45"/>
    <x v="5"/>
    <x v="45"/>
    <x v="5"/>
    <x v="47"/>
    <x v="5"/>
    <x v="46"/>
    <x v="5"/>
    <x v="30"/>
    <x v="0"/>
    <x v="22"/>
  </r>
  <r>
    <x v="17"/>
    <x v="17"/>
    <x v="67"/>
    <x v="17"/>
    <x v="7"/>
    <x v="17"/>
    <x v="7"/>
    <x v="17"/>
    <x v="7"/>
    <x v="17"/>
    <x v="7"/>
    <x v="10"/>
    <x v="0"/>
    <x v="22"/>
  </r>
  <r>
    <x v="65"/>
    <x v="65"/>
    <x v="68"/>
    <x v="56"/>
    <x v="10"/>
    <x v="56"/>
    <x v="10"/>
    <x v="59"/>
    <x v="10"/>
    <x v="56"/>
    <x v="10"/>
    <x v="10"/>
    <x v="2"/>
    <x v="22"/>
  </r>
  <r>
    <x v="66"/>
    <x v="66"/>
    <x v="69"/>
    <x v="57"/>
    <x v="10"/>
    <x v="57"/>
    <x v="10"/>
    <x v="52"/>
    <x v="10"/>
    <x v="51"/>
    <x v="10"/>
    <x v="40"/>
    <x v="2"/>
    <x v="22"/>
  </r>
  <r>
    <x v="67"/>
    <x v="67"/>
    <x v="70"/>
    <x v="55"/>
    <x v="10"/>
    <x v="55"/>
    <x v="10"/>
    <x v="44"/>
    <x v="10"/>
    <x v="43"/>
    <x v="10"/>
    <x v="41"/>
    <x v="2"/>
    <x v="22"/>
  </r>
  <r>
    <x v="68"/>
    <x v="68"/>
    <x v="71"/>
    <x v="58"/>
    <x v="10"/>
    <x v="58"/>
    <x v="10"/>
    <x v="44"/>
    <x v="10"/>
    <x v="43"/>
    <x v="10"/>
    <x v="42"/>
    <x v="2"/>
    <x v="22"/>
  </r>
  <r>
    <x v="69"/>
    <x v="69"/>
    <x v="72"/>
    <x v="57"/>
    <x v="10"/>
    <x v="57"/>
    <x v="10"/>
    <x v="60"/>
    <x v="10"/>
    <x v="57"/>
    <x v="10"/>
    <x v="43"/>
    <x v="2"/>
    <x v="22"/>
  </r>
  <r>
    <x v="70"/>
    <x v="70"/>
    <x v="73"/>
    <x v="56"/>
    <x v="7"/>
    <x v="56"/>
    <x v="7"/>
    <x v="61"/>
    <x v="7"/>
    <x v="58"/>
    <x v="7"/>
    <x v="10"/>
    <x v="0"/>
    <x v="22"/>
  </r>
  <r>
    <x v="70"/>
    <x v="70"/>
    <x v="74"/>
    <x v="56"/>
    <x v="7"/>
    <x v="56"/>
    <x v="7"/>
    <x v="61"/>
    <x v="7"/>
    <x v="58"/>
    <x v="7"/>
    <x v="10"/>
    <x v="0"/>
    <x v="22"/>
  </r>
  <r>
    <x v="71"/>
    <x v="71"/>
    <x v="75"/>
    <x v="56"/>
    <x v="7"/>
    <x v="56"/>
    <x v="7"/>
    <x v="44"/>
    <x v="7"/>
    <x v="43"/>
    <x v="7"/>
    <x v="10"/>
    <x v="0"/>
    <x v="22"/>
  </r>
  <r>
    <x v="72"/>
    <x v="72"/>
    <x v="76"/>
    <x v="58"/>
    <x v="10"/>
    <x v="58"/>
    <x v="10"/>
    <x v="62"/>
    <x v="10"/>
    <x v="43"/>
    <x v="10"/>
    <x v="10"/>
    <x v="2"/>
    <x v="22"/>
  </r>
  <r>
    <x v="73"/>
    <x v="73"/>
    <x v="77"/>
    <x v="59"/>
    <x v="10"/>
    <x v="59"/>
    <x v="10"/>
    <x v="63"/>
    <x v="10"/>
    <x v="59"/>
    <x v="10"/>
    <x v="39"/>
    <x v="2"/>
    <x v="22"/>
  </r>
  <r>
    <x v="74"/>
    <x v="74"/>
    <x v="78"/>
    <x v="60"/>
    <x v="10"/>
    <x v="60"/>
    <x v="10"/>
    <x v="64"/>
    <x v="10"/>
    <x v="60"/>
    <x v="10"/>
    <x v="44"/>
    <x v="2"/>
    <x v="22"/>
  </r>
  <r>
    <x v="75"/>
    <x v="75"/>
    <x v="79"/>
    <x v="33"/>
    <x v="10"/>
    <x v="33"/>
    <x v="10"/>
    <x v="65"/>
    <x v="10"/>
    <x v="61"/>
    <x v="10"/>
    <x v="24"/>
    <x v="2"/>
    <x v="22"/>
  </r>
  <r>
    <x v="76"/>
    <x v="76"/>
    <x v="80"/>
    <x v="61"/>
    <x v="10"/>
    <x v="61"/>
    <x v="10"/>
    <x v="66"/>
    <x v="10"/>
    <x v="62"/>
    <x v="10"/>
    <x v="10"/>
    <x v="2"/>
    <x v="22"/>
  </r>
  <r>
    <x v="77"/>
    <x v="77"/>
    <x v="81"/>
    <x v="62"/>
    <x v="10"/>
    <x v="62"/>
    <x v="10"/>
    <x v="67"/>
    <x v="10"/>
    <x v="33"/>
    <x v="10"/>
    <x v="45"/>
    <x v="2"/>
    <x v="22"/>
  </r>
  <r>
    <x v="24"/>
    <x v="24"/>
    <x v="82"/>
    <x v="23"/>
    <x v="10"/>
    <x v="23"/>
    <x v="10"/>
    <x v="24"/>
    <x v="10"/>
    <x v="24"/>
    <x v="10"/>
    <x v="17"/>
    <x v="2"/>
    <x v="22"/>
  </r>
  <r>
    <x v="78"/>
    <x v="78"/>
    <x v="83"/>
    <x v="50"/>
    <x v="7"/>
    <x v="50"/>
    <x v="7"/>
    <x v="49"/>
    <x v="7"/>
    <x v="48"/>
    <x v="7"/>
    <x v="34"/>
    <x v="0"/>
    <x v="22"/>
  </r>
  <r>
    <x v="79"/>
    <x v="79"/>
    <x v="84"/>
    <x v="61"/>
    <x v="7"/>
    <x v="61"/>
    <x v="7"/>
    <x v="68"/>
    <x v="7"/>
    <x v="63"/>
    <x v="7"/>
    <x v="10"/>
    <x v="2"/>
    <x v="22"/>
  </r>
  <r>
    <x v="80"/>
    <x v="80"/>
    <x v="85"/>
    <x v="63"/>
    <x v="6"/>
    <x v="63"/>
    <x v="6"/>
    <x v="69"/>
    <x v="11"/>
    <x v="11"/>
    <x v="11"/>
    <x v="10"/>
    <x v="0"/>
    <x v="22"/>
  </r>
  <r>
    <x v="81"/>
    <x v="81"/>
    <x v="86"/>
    <x v="64"/>
    <x v="13"/>
    <x v="64"/>
    <x v="13"/>
    <x v="70"/>
    <x v="16"/>
    <x v="64"/>
    <x v="16"/>
    <x v="46"/>
    <x v="4"/>
    <x v="23"/>
  </r>
</pivotCacheRecords>
</file>

<file path=xl/pivotCache/pivotCacheRecords54.xml><?xml version="1.0" encoding="utf-8"?>
<pivotCacheRecords xmlns="http://schemas.openxmlformats.org/spreadsheetml/2006/main" xmlns:r="http://schemas.openxmlformats.org/officeDocument/2006/relationships" count="105">
  <r>
    <x v="0"/>
    <x v="0"/>
    <x v="0"/>
    <x v="0"/>
    <x v="0"/>
    <x v="0"/>
    <x v="0"/>
    <x v="0"/>
    <x v="0"/>
    <x v="0"/>
    <x v="0"/>
    <x v="0"/>
    <x v="0"/>
    <x v="0"/>
  </r>
  <r>
    <x v="1"/>
    <x v="1"/>
    <x v="1"/>
    <x v="1"/>
    <x v="1"/>
    <x v="1"/>
    <x v="1"/>
    <x v="1"/>
    <x v="1"/>
    <x v="1"/>
    <x v="1"/>
    <x v="1"/>
    <x v="0"/>
    <x v="1"/>
  </r>
  <r>
    <x v="2"/>
    <x v="2"/>
    <x v="2"/>
    <x v="2"/>
    <x v="2"/>
    <x v="2"/>
    <x v="2"/>
    <x v="2"/>
    <x v="2"/>
    <x v="2"/>
    <x v="2"/>
    <x v="2"/>
    <x v="0"/>
    <x v="2"/>
  </r>
  <r>
    <x v="3"/>
    <x v="3"/>
    <x v="3"/>
    <x v="3"/>
    <x v="3"/>
    <x v="3"/>
    <x v="3"/>
    <x v="3"/>
    <x v="3"/>
    <x v="3"/>
    <x v="3"/>
    <x v="3"/>
    <x v="0"/>
    <x v="3"/>
  </r>
  <r>
    <x v="4"/>
    <x v="4"/>
    <x v="4"/>
    <x v="4"/>
    <x v="4"/>
    <x v="4"/>
    <x v="4"/>
    <x v="4"/>
    <x v="4"/>
    <x v="4"/>
    <x v="4"/>
    <x v="4"/>
    <x v="0"/>
    <x v="4"/>
  </r>
  <r>
    <x v="5"/>
    <x v="5"/>
    <x v="5"/>
    <x v="5"/>
    <x v="5"/>
    <x v="5"/>
    <x v="5"/>
    <x v="5"/>
    <x v="5"/>
    <x v="5"/>
    <x v="5"/>
    <x v="5"/>
    <x v="1"/>
    <x v="5"/>
  </r>
  <r>
    <x v="6"/>
    <x v="6"/>
    <x v="6"/>
    <x v="6"/>
    <x v="6"/>
    <x v="6"/>
    <x v="6"/>
    <x v="6"/>
    <x v="5"/>
    <x v="6"/>
    <x v="5"/>
    <x v="6"/>
    <x v="0"/>
    <x v="6"/>
  </r>
  <r>
    <x v="7"/>
    <x v="7"/>
    <x v="7"/>
    <x v="7"/>
    <x v="7"/>
    <x v="7"/>
    <x v="7"/>
    <x v="7"/>
    <x v="3"/>
    <x v="7"/>
    <x v="3"/>
    <x v="7"/>
    <x v="0"/>
    <x v="7"/>
  </r>
  <r>
    <x v="8"/>
    <x v="8"/>
    <x v="8"/>
    <x v="8"/>
    <x v="5"/>
    <x v="8"/>
    <x v="5"/>
    <x v="8"/>
    <x v="6"/>
    <x v="8"/>
    <x v="6"/>
    <x v="8"/>
    <x v="0"/>
    <x v="8"/>
  </r>
  <r>
    <x v="9"/>
    <x v="9"/>
    <x v="9"/>
    <x v="9"/>
    <x v="8"/>
    <x v="9"/>
    <x v="8"/>
    <x v="9"/>
    <x v="7"/>
    <x v="9"/>
    <x v="7"/>
    <x v="9"/>
    <x v="0"/>
    <x v="9"/>
  </r>
  <r>
    <x v="10"/>
    <x v="10"/>
    <x v="10"/>
    <x v="10"/>
    <x v="9"/>
    <x v="10"/>
    <x v="9"/>
    <x v="10"/>
    <x v="4"/>
    <x v="10"/>
    <x v="4"/>
    <x v="8"/>
    <x v="0"/>
    <x v="10"/>
  </r>
  <r>
    <x v="11"/>
    <x v="11"/>
    <x v="11"/>
    <x v="11"/>
    <x v="10"/>
    <x v="11"/>
    <x v="10"/>
    <x v="11"/>
    <x v="8"/>
    <x v="11"/>
    <x v="8"/>
    <x v="10"/>
    <x v="0"/>
    <x v="11"/>
  </r>
  <r>
    <x v="12"/>
    <x v="12"/>
    <x v="12"/>
    <x v="12"/>
    <x v="8"/>
    <x v="12"/>
    <x v="8"/>
    <x v="12"/>
    <x v="9"/>
    <x v="12"/>
    <x v="9"/>
    <x v="11"/>
    <x v="0"/>
    <x v="12"/>
  </r>
  <r>
    <x v="13"/>
    <x v="13"/>
    <x v="13"/>
    <x v="13"/>
    <x v="11"/>
    <x v="13"/>
    <x v="11"/>
    <x v="13"/>
    <x v="10"/>
    <x v="13"/>
    <x v="10"/>
    <x v="12"/>
    <x v="2"/>
    <x v="11"/>
  </r>
  <r>
    <x v="14"/>
    <x v="14"/>
    <x v="14"/>
    <x v="14"/>
    <x v="4"/>
    <x v="14"/>
    <x v="4"/>
    <x v="14"/>
    <x v="11"/>
    <x v="14"/>
    <x v="11"/>
    <x v="13"/>
    <x v="0"/>
    <x v="13"/>
  </r>
  <r>
    <x v="15"/>
    <x v="15"/>
    <x v="15"/>
    <x v="15"/>
    <x v="12"/>
    <x v="15"/>
    <x v="12"/>
    <x v="15"/>
    <x v="12"/>
    <x v="15"/>
    <x v="12"/>
    <x v="14"/>
    <x v="0"/>
    <x v="14"/>
  </r>
  <r>
    <x v="16"/>
    <x v="16"/>
    <x v="16"/>
    <x v="16"/>
    <x v="12"/>
    <x v="16"/>
    <x v="12"/>
    <x v="16"/>
    <x v="12"/>
    <x v="16"/>
    <x v="12"/>
    <x v="15"/>
    <x v="0"/>
    <x v="15"/>
  </r>
  <r>
    <x v="17"/>
    <x v="17"/>
    <x v="17"/>
    <x v="17"/>
    <x v="4"/>
    <x v="17"/>
    <x v="4"/>
    <x v="17"/>
    <x v="13"/>
    <x v="17"/>
    <x v="13"/>
    <x v="16"/>
    <x v="0"/>
    <x v="15"/>
  </r>
  <r>
    <x v="18"/>
    <x v="18"/>
    <x v="18"/>
    <x v="18"/>
    <x v="13"/>
    <x v="18"/>
    <x v="13"/>
    <x v="18"/>
    <x v="14"/>
    <x v="18"/>
    <x v="14"/>
    <x v="17"/>
    <x v="3"/>
    <x v="16"/>
  </r>
  <r>
    <x v="19"/>
    <x v="19"/>
    <x v="19"/>
    <x v="19"/>
    <x v="9"/>
    <x v="19"/>
    <x v="9"/>
    <x v="19"/>
    <x v="15"/>
    <x v="19"/>
    <x v="15"/>
    <x v="18"/>
    <x v="4"/>
    <x v="16"/>
  </r>
  <r>
    <x v="20"/>
    <x v="20"/>
    <x v="20"/>
    <x v="20"/>
    <x v="12"/>
    <x v="20"/>
    <x v="12"/>
    <x v="20"/>
    <x v="12"/>
    <x v="20"/>
    <x v="12"/>
    <x v="19"/>
    <x v="0"/>
    <x v="15"/>
  </r>
  <r>
    <x v="21"/>
    <x v="21"/>
    <x v="21"/>
    <x v="21"/>
    <x v="9"/>
    <x v="21"/>
    <x v="9"/>
    <x v="21"/>
    <x v="4"/>
    <x v="21"/>
    <x v="4"/>
    <x v="20"/>
    <x v="0"/>
    <x v="16"/>
  </r>
  <r>
    <x v="22"/>
    <x v="22"/>
    <x v="22"/>
    <x v="22"/>
    <x v="5"/>
    <x v="22"/>
    <x v="5"/>
    <x v="22"/>
    <x v="16"/>
    <x v="22"/>
    <x v="16"/>
    <x v="21"/>
    <x v="4"/>
    <x v="17"/>
  </r>
  <r>
    <x v="23"/>
    <x v="23"/>
    <x v="23"/>
    <x v="23"/>
    <x v="12"/>
    <x v="23"/>
    <x v="12"/>
    <x v="23"/>
    <x v="12"/>
    <x v="23"/>
    <x v="12"/>
    <x v="22"/>
    <x v="0"/>
    <x v="18"/>
  </r>
  <r>
    <x v="24"/>
    <x v="24"/>
    <x v="24"/>
    <x v="24"/>
    <x v="13"/>
    <x v="24"/>
    <x v="13"/>
    <x v="24"/>
    <x v="14"/>
    <x v="24"/>
    <x v="14"/>
    <x v="23"/>
    <x v="3"/>
    <x v="19"/>
  </r>
  <r>
    <x v="25"/>
    <x v="25"/>
    <x v="25"/>
    <x v="25"/>
    <x v="14"/>
    <x v="25"/>
    <x v="14"/>
    <x v="25"/>
    <x v="17"/>
    <x v="25"/>
    <x v="17"/>
    <x v="8"/>
    <x v="0"/>
    <x v="19"/>
  </r>
  <r>
    <x v="26"/>
    <x v="26"/>
    <x v="26"/>
    <x v="26"/>
    <x v="6"/>
    <x v="26"/>
    <x v="6"/>
    <x v="26"/>
    <x v="5"/>
    <x v="26"/>
    <x v="5"/>
    <x v="24"/>
    <x v="0"/>
    <x v="20"/>
  </r>
  <r>
    <x v="27"/>
    <x v="27"/>
    <x v="27"/>
    <x v="24"/>
    <x v="9"/>
    <x v="24"/>
    <x v="9"/>
    <x v="27"/>
    <x v="4"/>
    <x v="27"/>
    <x v="4"/>
    <x v="0"/>
    <x v="5"/>
    <x v="21"/>
  </r>
  <r>
    <x v="28"/>
    <x v="28"/>
    <x v="28"/>
    <x v="27"/>
    <x v="15"/>
    <x v="27"/>
    <x v="15"/>
    <x v="28"/>
    <x v="13"/>
    <x v="28"/>
    <x v="13"/>
    <x v="8"/>
    <x v="0"/>
    <x v="21"/>
  </r>
  <r>
    <x v="29"/>
    <x v="29"/>
    <x v="29"/>
    <x v="28"/>
    <x v="12"/>
    <x v="28"/>
    <x v="12"/>
    <x v="29"/>
    <x v="12"/>
    <x v="29"/>
    <x v="12"/>
    <x v="25"/>
    <x v="0"/>
    <x v="21"/>
  </r>
  <r>
    <x v="30"/>
    <x v="30"/>
    <x v="30"/>
    <x v="29"/>
    <x v="12"/>
    <x v="29"/>
    <x v="12"/>
    <x v="21"/>
    <x v="12"/>
    <x v="21"/>
    <x v="12"/>
    <x v="26"/>
    <x v="0"/>
    <x v="22"/>
  </r>
  <r>
    <x v="31"/>
    <x v="31"/>
    <x v="31"/>
    <x v="30"/>
    <x v="15"/>
    <x v="30"/>
    <x v="15"/>
    <x v="30"/>
    <x v="18"/>
    <x v="30"/>
    <x v="18"/>
    <x v="27"/>
    <x v="0"/>
    <x v="21"/>
  </r>
  <r>
    <x v="32"/>
    <x v="32"/>
    <x v="32"/>
    <x v="31"/>
    <x v="15"/>
    <x v="31"/>
    <x v="15"/>
    <x v="31"/>
    <x v="19"/>
    <x v="31"/>
    <x v="19"/>
    <x v="8"/>
    <x v="0"/>
    <x v="23"/>
  </r>
  <r>
    <x v="33"/>
    <x v="33"/>
    <x v="33"/>
    <x v="32"/>
    <x v="9"/>
    <x v="32"/>
    <x v="9"/>
    <x v="32"/>
    <x v="4"/>
    <x v="32"/>
    <x v="4"/>
    <x v="28"/>
    <x v="0"/>
    <x v="23"/>
  </r>
  <r>
    <x v="34"/>
    <x v="34"/>
    <x v="34"/>
    <x v="33"/>
    <x v="4"/>
    <x v="30"/>
    <x v="4"/>
    <x v="33"/>
    <x v="4"/>
    <x v="33"/>
    <x v="4"/>
    <x v="27"/>
    <x v="0"/>
    <x v="23"/>
  </r>
  <r>
    <x v="35"/>
    <x v="35"/>
    <x v="35"/>
    <x v="34"/>
    <x v="5"/>
    <x v="33"/>
    <x v="5"/>
    <x v="34"/>
    <x v="11"/>
    <x v="34"/>
    <x v="11"/>
    <x v="8"/>
    <x v="0"/>
    <x v="24"/>
  </r>
  <r>
    <x v="36"/>
    <x v="36"/>
    <x v="36"/>
    <x v="35"/>
    <x v="16"/>
    <x v="34"/>
    <x v="16"/>
    <x v="35"/>
    <x v="11"/>
    <x v="34"/>
    <x v="11"/>
    <x v="2"/>
    <x v="0"/>
    <x v="25"/>
  </r>
  <r>
    <x v="37"/>
    <x v="37"/>
    <x v="37"/>
    <x v="36"/>
    <x v="0"/>
    <x v="35"/>
    <x v="0"/>
    <x v="36"/>
    <x v="20"/>
    <x v="35"/>
    <x v="20"/>
    <x v="29"/>
    <x v="6"/>
    <x v="21"/>
  </r>
  <r>
    <x v="38"/>
    <x v="38"/>
    <x v="38"/>
    <x v="37"/>
    <x v="13"/>
    <x v="36"/>
    <x v="13"/>
    <x v="37"/>
    <x v="14"/>
    <x v="36"/>
    <x v="14"/>
    <x v="8"/>
    <x v="3"/>
    <x v="26"/>
  </r>
  <r>
    <x v="39"/>
    <x v="39"/>
    <x v="39"/>
    <x v="38"/>
    <x v="13"/>
    <x v="37"/>
    <x v="13"/>
    <x v="38"/>
    <x v="14"/>
    <x v="37"/>
    <x v="14"/>
    <x v="30"/>
    <x v="3"/>
    <x v="25"/>
  </r>
  <r>
    <x v="40"/>
    <x v="40"/>
    <x v="40"/>
    <x v="39"/>
    <x v="13"/>
    <x v="38"/>
    <x v="13"/>
    <x v="39"/>
    <x v="14"/>
    <x v="38"/>
    <x v="14"/>
    <x v="8"/>
    <x v="3"/>
    <x v="26"/>
  </r>
  <r>
    <x v="41"/>
    <x v="41"/>
    <x v="41"/>
    <x v="40"/>
    <x v="13"/>
    <x v="39"/>
    <x v="13"/>
    <x v="40"/>
    <x v="14"/>
    <x v="39"/>
    <x v="14"/>
    <x v="8"/>
    <x v="3"/>
    <x v="26"/>
  </r>
  <r>
    <x v="42"/>
    <x v="42"/>
    <x v="42"/>
    <x v="41"/>
    <x v="13"/>
    <x v="40"/>
    <x v="13"/>
    <x v="41"/>
    <x v="14"/>
    <x v="40"/>
    <x v="14"/>
    <x v="8"/>
    <x v="3"/>
    <x v="25"/>
  </r>
  <r>
    <x v="29"/>
    <x v="29"/>
    <x v="43"/>
    <x v="28"/>
    <x v="12"/>
    <x v="28"/>
    <x v="12"/>
    <x v="29"/>
    <x v="12"/>
    <x v="29"/>
    <x v="12"/>
    <x v="25"/>
    <x v="0"/>
    <x v="26"/>
  </r>
  <r>
    <x v="43"/>
    <x v="43"/>
    <x v="44"/>
    <x v="42"/>
    <x v="12"/>
    <x v="41"/>
    <x v="12"/>
    <x v="21"/>
    <x v="18"/>
    <x v="21"/>
    <x v="18"/>
    <x v="31"/>
    <x v="0"/>
    <x v="26"/>
  </r>
  <r>
    <x v="44"/>
    <x v="44"/>
    <x v="45"/>
    <x v="43"/>
    <x v="4"/>
    <x v="42"/>
    <x v="4"/>
    <x v="42"/>
    <x v="4"/>
    <x v="41"/>
    <x v="4"/>
    <x v="32"/>
    <x v="0"/>
    <x v="26"/>
  </r>
  <r>
    <x v="45"/>
    <x v="45"/>
    <x v="46"/>
    <x v="44"/>
    <x v="12"/>
    <x v="43"/>
    <x v="12"/>
    <x v="43"/>
    <x v="12"/>
    <x v="42"/>
    <x v="12"/>
    <x v="8"/>
    <x v="0"/>
    <x v="27"/>
  </r>
  <r>
    <x v="46"/>
    <x v="46"/>
    <x v="47"/>
    <x v="38"/>
    <x v="15"/>
    <x v="37"/>
    <x v="15"/>
    <x v="44"/>
    <x v="13"/>
    <x v="43"/>
    <x v="13"/>
    <x v="33"/>
    <x v="0"/>
    <x v="27"/>
  </r>
  <r>
    <x v="35"/>
    <x v="35"/>
    <x v="35"/>
    <x v="45"/>
    <x v="5"/>
    <x v="10"/>
    <x v="5"/>
    <x v="45"/>
    <x v="16"/>
    <x v="34"/>
    <x v="16"/>
    <x v="34"/>
    <x v="0"/>
    <x v="26"/>
  </r>
  <r>
    <x v="33"/>
    <x v="33"/>
    <x v="33"/>
    <x v="46"/>
    <x v="9"/>
    <x v="44"/>
    <x v="9"/>
    <x v="46"/>
    <x v="11"/>
    <x v="44"/>
    <x v="11"/>
    <x v="8"/>
    <x v="0"/>
    <x v="27"/>
  </r>
  <r>
    <x v="47"/>
    <x v="47"/>
    <x v="48"/>
    <x v="47"/>
    <x v="16"/>
    <x v="45"/>
    <x v="16"/>
    <x v="47"/>
    <x v="21"/>
    <x v="27"/>
    <x v="21"/>
    <x v="35"/>
    <x v="0"/>
    <x v="27"/>
  </r>
  <r>
    <x v="48"/>
    <x v="48"/>
    <x v="49"/>
    <x v="48"/>
    <x v="13"/>
    <x v="46"/>
    <x v="13"/>
    <x v="48"/>
    <x v="14"/>
    <x v="45"/>
    <x v="14"/>
    <x v="8"/>
    <x v="3"/>
    <x v="28"/>
  </r>
  <r>
    <x v="49"/>
    <x v="49"/>
    <x v="50"/>
    <x v="38"/>
    <x v="12"/>
    <x v="37"/>
    <x v="12"/>
    <x v="38"/>
    <x v="18"/>
    <x v="37"/>
    <x v="18"/>
    <x v="36"/>
    <x v="0"/>
    <x v="28"/>
  </r>
  <r>
    <x v="8"/>
    <x v="8"/>
    <x v="51"/>
    <x v="8"/>
    <x v="5"/>
    <x v="8"/>
    <x v="5"/>
    <x v="8"/>
    <x v="6"/>
    <x v="8"/>
    <x v="6"/>
    <x v="8"/>
    <x v="0"/>
    <x v="27"/>
  </r>
  <r>
    <x v="50"/>
    <x v="50"/>
    <x v="52"/>
    <x v="49"/>
    <x v="13"/>
    <x v="47"/>
    <x v="13"/>
    <x v="49"/>
    <x v="14"/>
    <x v="46"/>
    <x v="14"/>
    <x v="37"/>
    <x v="3"/>
    <x v="28"/>
  </r>
  <r>
    <x v="51"/>
    <x v="51"/>
    <x v="53"/>
    <x v="50"/>
    <x v="12"/>
    <x v="48"/>
    <x v="12"/>
    <x v="50"/>
    <x v="12"/>
    <x v="47"/>
    <x v="12"/>
    <x v="38"/>
    <x v="0"/>
    <x v="28"/>
  </r>
  <r>
    <x v="52"/>
    <x v="52"/>
    <x v="54"/>
    <x v="51"/>
    <x v="4"/>
    <x v="49"/>
    <x v="4"/>
    <x v="51"/>
    <x v="13"/>
    <x v="48"/>
    <x v="13"/>
    <x v="8"/>
    <x v="0"/>
    <x v="26"/>
  </r>
  <r>
    <x v="53"/>
    <x v="53"/>
    <x v="55"/>
    <x v="52"/>
    <x v="15"/>
    <x v="50"/>
    <x v="15"/>
    <x v="52"/>
    <x v="18"/>
    <x v="49"/>
    <x v="18"/>
    <x v="39"/>
    <x v="0"/>
    <x v="29"/>
  </r>
  <r>
    <x v="54"/>
    <x v="54"/>
    <x v="56"/>
    <x v="53"/>
    <x v="9"/>
    <x v="51"/>
    <x v="9"/>
    <x v="53"/>
    <x v="15"/>
    <x v="36"/>
    <x v="15"/>
    <x v="8"/>
    <x v="0"/>
    <x v="29"/>
  </r>
  <r>
    <x v="55"/>
    <x v="55"/>
    <x v="57"/>
    <x v="54"/>
    <x v="13"/>
    <x v="51"/>
    <x v="13"/>
    <x v="54"/>
    <x v="14"/>
    <x v="31"/>
    <x v="14"/>
    <x v="40"/>
    <x v="3"/>
    <x v="29"/>
  </r>
  <r>
    <x v="56"/>
    <x v="56"/>
    <x v="58"/>
    <x v="55"/>
    <x v="12"/>
    <x v="52"/>
    <x v="12"/>
    <x v="44"/>
    <x v="12"/>
    <x v="43"/>
    <x v="12"/>
    <x v="8"/>
    <x v="0"/>
    <x v="29"/>
  </r>
  <r>
    <x v="57"/>
    <x v="57"/>
    <x v="59"/>
    <x v="54"/>
    <x v="13"/>
    <x v="51"/>
    <x v="13"/>
    <x v="55"/>
    <x v="14"/>
    <x v="50"/>
    <x v="14"/>
    <x v="41"/>
    <x v="3"/>
    <x v="29"/>
  </r>
  <r>
    <x v="58"/>
    <x v="58"/>
    <x v="60"/>
    <x v="56"/>
    <x v="4"/>
    <x v="53"/>
    <x v="4"/>
    <x v="49"/>
    <x v="13"/>
    <x v="46"/>
    <x v="13"/>
    <x v="42"/>
    <x v="0"/>
    <x v="26"/>
  </r>
  <r>
    <x v="59"/>
    <x v="59"/>
    <x v="61"/>
    <x v="57"/>
    <x v="13"/>
    <x v="46"/>
    <x v="13"/>
    <x v="56"/>
    <x v="14"/>
    <x v="51"/>
    <x v="14"/>
    <x v="43"/>
    <x v="3"/>
    <x v="30"/>
  </r>
  <r>
    <x v="60"/>
    <x v="60"/>
    <x v="62"/>
    <x v="58"/>
    <x v="13"/>
    <x v="54"/>
    <x v="13"/>
    <x v="57"/>
    <x v="14"/>
    <x v="52"/>
    <x v="14"/>
    <x v="44"/>
    <x v="3"/>
    <x v="30"/>
  </r>
  <r>
    <x v="61"/>
    <x v="61"/>
    <x v="63"/>
    <x v="59"/>
    <x v="15"/>
    <x v="55"/>
    <x v="15"/>
    <x v="58"/>
    <x v="18"/>
    <x v="53"/>
    <x v="18"/>
    <x v="45"/>
    <x v="0"/>
    <x v="30"/>
  </r>
  <r>
    <x v="62"/>
    <x v="62"/>
    <x v="64"/>
    <x v="60"/>
    <x v="13"/>
    <x v="37"/>
    <x v="13"/>
    <x v="59"/>
    <x v="14"/>
    <x v="54"/>
    <x v="14"/>
    <x v="46"/>
    <x v="3"/>
    <x v="30"/>
  </r>
  <r>
    <x v="63"/>
    <x v="63"/>
    <x v="65"/>
    <x v="61"/>
    <x v="13"/>
    <x v="40"/>
    <x v="13"/>
    <x v="60"/>
    <x v="14"/>
    <x v="55"/>
    <x v="14"/>
    <x v="47"/>
    <x v="3"/>
    <x v="30"/>
  </r>
  <r>
    <x v="64"/>
    <x v="64"/>
    <x v="66"/>
    <x v="48"/>
    <x v="13"/>
    <x v="46"/>
    <x v="13"/>
    <x v="48"/>
    <x v="14"/>
    <x v="45"/>
    <x v="14"/>
    <x v="8"/>
    <x v="3"/>
    <x v="30"/>
  </r>
  <r>
    <x v="65"/>
    <x v="65"/>
    <x v="67"/>
    <x v="18"/>
    <x v="5"/>
    <x v="18"/>
    <x v="5"/>
    <x v="61"/>
    <x v="6"/>
    <x v="56"/>
    <x v="6"/>
    <x v="14"/>
    <x v="0"/>
    <x v="30"/>
  </r>
  <r>
    <x v="65"/>
    <x v="65"/>
    <x v="67"/>
    <x v="62"/>
    <x v="5"/>
    <x v="56"/>
    <x v="5"/>
    <x v="62"/>
    <x v="6"/>
    <x v="57"/>
    <x v="6"/>
    <x v="26"/>
    <x v="0"/>
    <x v="30"/>
  </r>
  <r>
    <x v="66"/>
    <x v="66"/>
    <x v="68"/>
    <x v="63"/>
    <x v="9"/>
    <x v="57"/>
    <x v="9"/>
    <x v="63"/>
    <x v="15"/>
    <x v="58"/>
    <x v="15"/>
    <x v="41"/>
    <x v="0"/>
    <x v="30"/>
  </r>
  <r>
    <x v="66"/>
    <x v="66"/>
    <x v="68"/>
    <x v="64"/>
    <x v="13"/>
    <x v="58"/>
    <x v="13"/>
    <x v="64"/>
    <x v="14"/>
    <x v="59"/>
    <x v="14"/>
    <x v="8"/>
    <x v="3"/>
    <x v="30"/>
  </r>
  <r>
    <x v="67"/>
    <x v="67"/>
    <x v="69"/>
    <x v="65"/>
    <x v="12"/>
    <x v="59"/>
    <x v="12"/>
    <x v="65"/>
    <x v="12"/>
    <x v="60"/>
    <x v="12"/>
    <x v="48"/>
    <x v="3"/>
    <x v="30"/>
  </r>
  <r>
    <x v="68"/>
    <x v="68"/>
    <x v="70"/>
    <x v="66"/>
    <x v="15"/>
    <x v="36"/>
    <x v="15"/>
    <x v="38"/>
    <x v="18"/>
    <x v="37"/>
    <x v="18"/>
    <x v="49"/>
    <x v="0"/>
    <x v="31"/>
  </r>
  <r>
    <x v="69"/>
    <x v="69"/>
    <x v="71"/>
    <x v="59"/>
    <x v="13"/>
    <x v="55"/>
    <x v="13"/>
    <x v="66"/>
    <x v="14"/>
    <x v="61"/>
    <x v="14"/>
    <x v="50"/>
    <x v="3"/>
    <x v="31"/>
  </r>
  <r>
    <x v="70"/>
    <x v="70"/>
    <x v="72"/>
    <x v="57"/>
    <x v="12"/>
    <x v="46"/>
    <x v="12"/>
    <x v="67"/>
    <x v="12"/>
    <x v="62"/>
    <x v="12"/>
    <x v="51"/>
    <x v="0"/>
    <x v="31"/>
  </r>
  <r>
    <x v="71"/>
    <x v="71"/>
    <x v="73"/>
    <x v="67"/>
    <x v="13"/>
    <x v="60"/>
    <x v="13"/>
    <x v="68"/>
    <x v="14"/>
    <x v="62"/>
    <x v="14"/>
    <x v="8"/>
    <x v="3"/>
    <x v="31"/>
  </r>
  <r>
    <x v="20"/>
    <x v="20"/>
    <x v="74"/>
    <x v="20"/>
    <x v="12"/>
    <x v="20"/>
    <x v="12"/>
    <x v="20"/>
    <x v="12"/>
    <x v="20"/>
    <x v="12"/>
    <x v="19"/>
    <x v="0"/>
    <x v="31"/>
  </r>
  <r>
    <x v="72"/>
    <x v="72"/>
    <x v="75"/>
    <x v="68"/>
    <x v="12"/>
    <x v="61"/>
    <x v="12"/>
    <x v="69"/>
    <x v="12"/>
    <x v="30"/>
    <x v="12"/>
    <x v="33"/>
    <x v="0"/>
    <x v="31"/>
  </r>
  <r>
    <x v="73"/>
    <x v="73"/>
    <x v="76"/>
    <x v="69"/>
    <x v="12"/>
    <x v="62"/>
    <x v="12"/>
    <x v="70"/>
    <x v="12"/>
    <x v="63"/>
    <x v="12"/>
    <x v="52"/>
    <x v="3"/>
    <x v="32"/>
  </r>
  <r>
    <x v="16"/>
    <x v="16"/>
    <x v="77"/>
    <x v="16"/>
    <x v="12"/>
    <x v="16"/>
    <x v="12"/>
    <x v="16"/>
    <x v="12"/>
    <x v="16"/>
    <x v="12"/>
    <x v="15"/>
    <x v="0"/>
    <x v="32"/>
  </r>
  <r>
    <x v="49"/>
    <x v="49"/>
    <x v="78"/>
    <x v="38"/>
    <x v="12"/>
    <x v="37"/>
    <x v="12"/>
    <x v="38"/>
    <x v="18"/>
    <x v="37"/>
    <x v="18"/>
    <x v="36"/>
    <x v="0"/>
    <x v="32"/>
  </r>
  <r>
    <x v="74"/>
    <x v="74"/>
    <x v="79"/>
    <x v="70"/>
    <x v="13"/>
    <x v="63"/>
    <x v="13"/>
    <x v="71"/>
    <x v="14"/>
    <x v="61"/>
    <x v="14"/>
    <x v="53"/>
    <x v="3"/>
    <x v="32"/>
  </r>
  <r>
    <x v="75"/>
    <x v="75"/>
    <x v="80"/>
    <x v="71"/>
    <x v="12"/>
    <x v="64"/>
    <x v="12"/>
    <x v="72"/>
    <x v="18"/>
    <x v="64"/>
    <x v="18"/>
    <x v="54"/>
    <x v="0"/>
    <x v="32"/>
  </r>
  <r>
    <x v="76"/>
    <x v="76"/>
    <x v="81"/>
    <x v="72"/>
    <x v="13"/>
    <x v="65"/>
    <x v="13"/>
    <x v="73"/>
    <x v="14"/>
    <x v="65"/>
    <x v="14"/>
    <x v="55"/>
    <x v="3"/>
    <x v="32"/>
  </r>
  <r>
    <x v="77"/>
    <x v="77"/>
    <x v="82"/>
    <x v="73"/>
    <x v="13"/>
    <x v="65"/>
    <x v="13"/>
    <x v="74"/>
    <x v="14"/>
    <x v="66"/>
    <x v="14"/>
    <x v="56"/>
    <x v="3"/>
    <x v="32"/>
  </r>
  <r>
    <x v="78"/>
    <x v="78"/>
    <x v="83"/>
    <x v="74"/>
    <x v="12"/>
    <x v="38"/>
    <x v="12"/>
    <x v="75"/>
    <x v="12"/>
    <x v="38"/>
    <x v="12"/>
    <x v="8"/>
    <x v="0"/>
    <x v="32"/>
  </r>
  <r>
    <x v="70"/>
    <x v="70"/>
    <x v="84"/>
    <x v="57"/>
    <x v="12"/>
    <x v="46"/>
    <x v="12"/>
    <x v="67"/>
    <x v="12"/>
    <x v="62"/>
    <x v="12"/>
    <x v="51"/>
    <x v="0"/>
    <x v="32"/>
  </r>
  <r>
    <x v="79"/>
    <x v="79"/>
    <x v="85"/>
    <x v="57"/>
    <x v="12"/>
    <x v="46"/>
    <x v="12"/>
    <x v="76"/>
    <x v="12"/>
    <x v="67"/>
    <x v="12"/>
    <x v="8"/>
    <x v="0"/>
    <x v="32"/>
  </r>
  <r>
    <x v="80"/>
    <x v="80"/>
    <x v="86"/>
    <x v="73"/>
    <x v="13"/>
    <x v="65"/>
    <x v="13"/>
    <x v="77"/>
    <x v="14"/>
    <x v="68"/>
    <x v="14"/>
    <x v="57"/>
    <x v="3"/>
    <x v="32"/>
  </r>
  <r>
    <x v="81"/>
    <x v="81"/>
    <x v="87"/>
    <x v="75"/>
    <x v="13"/>
    <x v="66"/>
    <x v="13"/>
    <x v="78"/>
    <x v="14"/>
    <x v="69"/>
    <x v="14"/>
    <x v="58"/>
    <x v="3"/>
    <x v="32"/>
  </r>
  <r>
    <x v="82"/>
    <x v="82"/>
    <x v="88"/>
    <x v="76"/>
    <x v="12"/>
    <x v="67"/>
    <x v="12"/>
    <x v="79"/>
    <x v="12"/>
    <x v="68"/>
    <x v="12"/>
    <x v="59"/>
    <x v="0"/>
    <x v="32"/>
  </r>
  <r>
    <x v="83"/>
    <x v="83"/>
    <x v="89"/>
    <x v="77"/>
    <x v="12"/>
    <x v="68"/>
    <x v="12"/>
    <x v="79"/>
    <x v="12"/>
    <x v="68"/>
    <x v="12"/>
    <x v="8"/>
    <x v="0"/>
    <x v="32"/>
  </r>
  <r>
    <x v="84"/>
    <x v="84"/>
    <x v="90"/>
    <x v="78"/>
    <x v="13"/>
    <x v="69"/>
    <x v="13"/>
    <x v="74"/>
    <x v="14"/>
    <x v="66"/>
    <x v="14"/>
    <x v="60"/>
    <x v="3"/>
    <x v="32"/>
  </r>
  <r>
    <x v="85"/>
    <x v="85"/>
    <x v="91"/>
    <x v="79"/>
    <x v="13"/>
    <x v="70"/>
    <x v="13"/>
    <x v="80"/>
    <x v="14"/>
    <x v="70"/>
    <x v="14"/>
    <x v="8"/>
    <x v="3"/>
    <x v="32"/>
  </r>
  <r>
    <x v="86"/>
    <x v="86"/>
    <x v="92"/>
    <x v="80"/>
    <x v="13"/>
    <x v="70"/>
    <x v="13"/>
    <x v="81"/>
    <x v="14"/>
    <x v="71"/>
    <x v="14"/>
    <x v="8"/>
    <x v="3"/>
    <x v="32"/>
  </r>
  <r>
    <x v="87"/>
    <x v="87"/>
    <x v="93"/>
    <x v="81"/>
    <x v="15"/>
    <x v="71"/>
    <x v="15"/>
    <x v="57"/>
    <x v="13"/>
    <x v="52"/>
    <x v="13"/>
    <x v="61"/>
    <x v="0"/>
    <x v="32"/>
  </r>
  <r>
    <x v="88"/>
    <x v="88"/>
    <x v="94"/>
    <x v="57"/>
    <x v="13"/>
    <x v="46"/>
    <x v="13"/>
    <x v="82"/>
    <x v="14"/>
    <x v="66"/>
    <x v="14"/>
    <x v="8"/>
    <x v="3"/>
    <x v="32"/>
  </r>
  <r>
    <x v="89"/>
    <x v="89"/>
    <x v="95"/>
    <x v="57"/>
    <x v="12"/>
    <x v="46"/>
    <x v="12"/>
    <x v="83"/>
    <x v="12"/>
    <x v="72"/>
    <x v="12"/>
    <x v="56"/>
    <x v="0"/>
    <x v="32"/>
  </r>
  <r>
    <x v="90"/>
    <x v="90"/>
    <x v="96"/>
    <x v="82"/>
    <x v="12"/>
    <x v="72"/>
    <x v="12"/>
    <x v="84"/>
    <x v="12"/>
    <x v="73"/>
    <x v="12"/>
    <x v="8"/>
    <x v="3"/>
    <x v="32"/>
  </r>
  <r>
    <x v="91"/>
    <x v="91"/>
    <x v="97"/>
    <x v="83"/>
    <x v="15"/>
    <x v="73"/>
    <x v="15"/>
    <x v="71"/>
    <x v="18"/>
    <x v="61"/>
    <x v="18"/>
    <x v="8"/>
    <x v="0"/>
    <x v="32"/>
  </r>
  <r>
    <x v="72"/>
    <x v="72"/>
    <x v="75"/>
    <x v="84"/>
    <x v="13"/>
    <x v="60"/>
    <x v="13"/>
    <x v="85"/>
    <x v="14"/>
    <x v="67"/>
    <x v="14"/>
    <x v="8"/>
    <x v="3"/>
    <x v="32"/>
  </r>
  <r>
    <x v="92"/>
    <x v="92"/>
    <x v="98"/>
    <x v="40"/>
    <x v="4"/>
    <x v="39"/>
    <x v="4"/>
    <x v="86"/>
    <x v="13"/>
    <x v="74"/>
    <x v="13"/>
    <x v="8"/>
    <x v="0"/>
    <x v="32"/>
  </r>
  <r>
    <x v="93"/>
    <x v="93"/>
    <x v="99"/>
    <x v="85"/>
    <x v="17"/>
    <x v="74"/>
    <x v="17"/>
    <x v="87"/>
    <x v="22"/>
    <x v="75"/>
    <x v="22"/>
    <x v="62"/>
    <x v="7"/>
    <x v="33"/>
  </r>
</pivotCacheRecords>
</file>

<file path=xl/pivotCache/pivotCacheRecords55.xml><?xml version="1.0" encoding="utf-8"?>
<pivotCacheRecords xmlns="http://schemas.openxmlformats.org/spreadsheetml/2006/main" xmlns:r="http://schemas.openxmlformats.org/officeDocument/2006/relationships" count="285">
  <r>
    <x v="0"/>
    <x v="0"/>
    <x v="0"/>
    <x v="0"/>
    <x v="0"/>
    <x v="0"/>
    <x v="0"/>
    <x v="0"/>
    <x v="0"/>
    <x v="0"/>
    <x v="0"/>
    <x v="0"/>
    <x v="0"/>
    <x v="0"/>
    <x v="0"/>
    <x v="0"/>
    <x v="0"/>
  </r>
  <r>
    <x v="1"/>
    <x v="1"/>
    <x v="1"/>
    <x v="1"/>
    <x v="1"/>
    <x v="1"/>
    <x v="1"/>
    <x v="1"/>
    <x v="1"/>
    <x v="1"/>
    <x v="1"/>
    <x v="1"/>
    <x v="1"/>
    <x v="0"/>
    <x v="1"/>
    <x v="0"/>
    <x v="1"/>
  </r>
  <r>
    <x v="2"/>
    <x v="2"/>
    <x v="2"/>
    <x v="1"/>
    <x v="2"/>
    <x v="1"/>
    <x v="1"/>
    <x v="1"/>
    <x v="1"/>
    <x v="1"/>
    <x v="1"/>
    <x v="1"/>
    <x v="1"/>
    <x v="0"/>
    <x v="1"/>
    <x v="0"/>
    <x v="1"/>
  </r>
  <r>
    <x v="3"/>
    <x v="3"/>
    <x v="3"/>
    <x v="1"/>
    <x v="2"/>
    <x v="1"/>
    <x v="1"/>
    <x v="1"/>
    <x v="1"/>
    <x v="1"/>
    <x v="1"/>
    <x v="1"/>
    <x v="1"/>
    <x v="0"/>
    <x v="1"/>
    <x v="0"/>
    <x v="1"/>
  </r>
  <r>
    <x v="0"/>
    <x v="0"/>
    <x v="4"/>
    <x v="2"/>
    <x v="3"/>
    <x v="2"/>
    <x v="2"/>
    <x v="1"/>
    <x v="1"/>
    <x v="2"/>
    <x v="1"/>
    <x v="1"/>
    <x v="2"/>
    <x v="0"/>
    <x v="1"/>
    <x v="0"/>
    <x v="1"/>
  </r>
  <r>
    <x v="4"/>
    <x v="4"/>
    <x v="5"/>
    <x v="1"/>
    <x v="2"/>
    <x v="1"/>
    <x v="1"/>
    <x v="1"/>
    <x v="1"/>
    <x v="1"/>
    <x v="1"/>
    <x v="1"/>
    <x v="1"/>
    <x v="0"/>
    <x v="1"/>
    <x v="0"/>
    <x v="1"/>
  </r>
  <r>
    <x v="5"/>
    <x v="5"/>
    <x v="6"/>
    <x v="1"/>
    <x v="2"/>
    <x v="1"/>
    <x v="1"/>
    <x v="1"/>
    <x v="1"/>
    <x v="1"/>
    <x v="1"/>
    <x v="1"/>
    <x v="1"/>
    <x v="0"/>
    <x v="1"/>
    <x v="0"/>
    <x v="1"/>
  </r>
  <r>
    <x v="6"/>
    <x v="6"/>
    <x v="7"/>
    <x v="2"/>
    <x v="4"/>
    <x v="3"/>
    <x v="3"/>
    <x v="1"/>
    <x v="1"/>
    <x v="2"/>
    <x v="1"/>
    <x v="1"/>
    <x v="2"/>
    <x v="0"/>
    <x v="1"/>
    <x v="0"/>
    <x v="1"/>
  </r>
  <r>
    <x v="2"/>
    <x v="2"/>
    <x v="8"/>
    <x v="2"/>
    <x v="5"/>
    <x v="4"/>
    <x v="4"/>
    <x v="1"/>
    <x v="1"/>
    <x v="2"/>
    <x v="1"/>
    <x v="1"/>
    <x v="2"/>
    <x v="0"/>
    <x v="1"/>
    <x v="0"/>
    <x v="1"/>
  </r>
  <r>
    <x v="3"/>
    <x v="3"/>
    <x v="9"/>
    <x v="1"/>
    <x v="2"/>
    <x v="1"/>
    <x v="1"/>
    <x v="1"/>
    <x v="1"/>
    <x v="1"/>
    <x v="1"/>
    <x v="1"/>
    <x v="1"/>
    <x v="0"/>
    <x v="1"/>
    <x v="0"/>
    <x v="1"/>
  </r>
  <r>
    <x v="7"/>
    <x v="7"/>
    <x v="10"/>
    <x v="1"/>
    <x v="2"/>
    <x v="1"/>
    <x v="1"/>
    <x v="1"/>
    <x v="1"/>
    <x v="1"/>
    <x v="1"/>
    <x v="1"/>
    <x v="1"/>
    <x v="0"/>
    <x v="1"/>
    <x v="0"/>
    <x v="1"/>
  </r>
  <r>
    <x v="8"/>
    <x v="8"/>
    <x v="3"/>
    <x v="1"/>
    <x v="2"/>
    <x v="1"/>
    <x v="1"/>
    <x v="1"/>
    <x v="1"/>
    <x v="1"/>
    <x v="1"/>
    <x v="1"/>
    <x v="1"/>
    <x v="0"/>
    <x v="1"/>
    <x v="0"/>
    <x v="1"/>
  </r>
  <r>
    <x v="7"/>
    <x v="7"/>
    <x v="11"/>
    <x v="1"/>
    <x v="2"/>
    <x v="1"/>
    <x v="1"/>
    <x v="1"/>
    <x v="1"/>
    <x v="1"/>
    <x v="1"/>
    <x v="1"/>
    <x v="1"/>
    <x v="0"/>
    <x v="1"/>
    <x v="0"/>
    <x v="1"/>
  </r>
  <r>
    <x v="3"/>
    <x v="3"/>
    <x v="12"/>
    <x v="3"/>
    <x v="6"/>
    <x v="2"/>
    <x v="5"/>
    <x v="1"/>
    <x v="1"/>
    <x v="2"/>
    <x v="1"/>
    <x v="1"/>
    <x v="2"/>
    <x v="0"/>
    <x v="1"/>
    <x v="0"/>
    <x v="1"/>
  </r>
  <r>
    <x v="0"/>
    <x v="0"/>
    <x v="13"/>
    <x v="4"/>
    <x v="7"/>
    <x v="5"/>
    <x v="6"/>
    <x v="1"/>
    <x v="1"/>
    <x v="2"/>
    <x v="1"/>
    <x v="1"/>
    <x v="2"/>
    <x v="0"/>
    <x v="1"/>
    <x v="0"/>
    <x v="1"/>
  </r>
  <r>
    <x v="5"/>
    <x v="5"/>
    <x v="14"/>
    <x v="1"/>
    <x v="2"/>
    <x v="1"/>
    <x v="1"/>
    <x v="1"/>
    <x v="1"/>
    <x v="1"/>
    <x v="1"/>
    <x v="1"/>
    <x v="1"/>
    <x v="0"/>
    <x v="1"/>
    <x v="0"/>
    <x v="1"/>
  </r>
  <r>
    <x v="9"/>
    <x v="9"/>
    <x v="15"/>
    <x v="5"/>
    <x v="8"/>
    <x v="6"/>
    <x v="7"/>
    <x v="1"/>
    <x v="1"/>
    <x v="2"/>
    <x v="1"/>
    <x v="1"/>
    <x v="2"/>
    <x v="0"/>
    <x v="1"/>
    <x v="0"/>
    <x v="1"/>
  </r>
  <r>
    <x v="10"/>
    <x v="10"/>
    <x v="16"/>
    <x v="0"/>
    <x v="9"/>
    <x v="7"/>
    <x v="8"/>
    <x v="2"/>
    <x v="2"/>
    <x v="3"/>
    <x v="0"/>
    <x v="0"/>
    <x v="0"/>
    <x v="0"/>
    <x v="0"/>
    <x v="0"/>
    <x v="2"/>
  </r>
  <r>
    <x v="11"/>
    <x v="11"/>
    <x v="10"/>
    <x v="1"/>
    <x v="2"/>
    <x v="1"/>
    <x v="1"/>
    <x v="1"/>
    <x v="1"/>
    <x v="1"/>
    <x v="1"/>
    <x v="1"/>
    <x v="1"/>
    <x v="0"/>
    <x v="1"/>
    <x v="0"/>
    <x v="1"/>
  </r>
  <r>
    <x v="10"/>
    <x v="10"/>
    <x v="17"/>
    <x v="6"/>
    <x v="10"/>
    <x v="8"/>
    <x v="9"/>
    <x v="1"/>
    <x v="1"/>
    <x v="2"/>
    <x v="1"/>
    <x v="1"/>
    <x v="2"/>
    <x v="0"/>
    <x v="1"/>
    <x v="0"/>
    <x v="1"/>
  </r>
  <r>
    <x v="5"/>
    <x v="5"/>
    <x v="18"/>
    <x v="5"/>
    <x v="11"/>
    <x v="9"/>
    <x v="10"/>
    <x v="1"/>
    <x v="1"/>
    <x v="2"/>
    <x v="1"/>
    <x v="1"/>
    <x v="2"/>
    <x v="0"/>
    <x v="1"/>
    <x v="0"/>
    <x v="1"/>
  </r>
  <r>
    <x v="8"/>
    <x v="8"/>
    <x v="19"/>
    <x v="7"/>
    <x v="12"/>
    <x v="10"/>
    <x v="11"/>
    <x v="1"/>
    <x v="1"/>
    <x v="2"/>
    <x v="1"/>
    <x v="1"/>
    <x v="2"/>
    <x v="0"/>
    <x v="1"/>
    <x v="0"/>
    <x v="1"/>
  </r>
  <r>
    <x v="7"/>
    <x v="7"/>
    <x v="20"/>
    <x v="8"/>
    <x v="13"/>
    <x v="11"/>
    <x v="12"/>
    <x v="1"/>
    <x v="1"/>
    <x v="2"/>
    <x v="1"/>
    <x v="1"/>
    <x v="2"/>
    <x v="0"/>
    <x v="1"/>
    <x v="0"/>
    <x v="1"/>
  </r>
  <r>
    <x v="12"/>
    <x v="12"/>
    <x v="21"/>
    <x v="9"/>
    <x v="14"/>
    <x v="12"/>
    <x v="13"/>
    <x v="2"/>
    <x v="3"/>
    <x v="4"/>
    <x v="0"/>
    <x v="0"/>
    <x v="3"/>
    <x v="0"/>
    <x v="0"/>
    <x v="0"/>
    <x v="2"/>
  </r>
  <r>
    <x v="13"/>
    <x v="13"/>
    <x v="22"/>
    <x v="10"/>
    <x v="15"/>
    <x v="13"/>
    <x v="14"/>
    <x v="3"/>
    <x v="4"/>
    <x v="5"/>
    <x v="2"/>
    <x v="2"/>
    <x v="4"/>
    <x v="1"/>
    <x v="1"/>
    <x v="1"/>
    <x v="1"/>
  </r>
  <r>
    <x v="14"/>
    <x v="14"/>
    <x v="23"/>
    <x v="11"/>
    <x v="16"/>
    <x v="14"/>
    <x v="15"/>
    <x v="4"/>
    <x v="5"/>
    <x v="6"/>
    <x v="3"/>
    <x v="3"/>
    <x v="5"/>
    <x v="1"/>
    <x v="0"/>
    <x v="1"/>
    <x v="2"/>
  </r>
  <r>
    <x v="15"/>
    <x v="15"/>
    <x v="24"/>
    <x v="12"/>
    <x v="17"/>
    <x v="15"/>
    <x v="16"/>
    <x v="2"/>
    <x v="6"/>
    <x v="7"/>
    <x v="0"/>
    <x v="0"/>
    <x v="6"/>
    <x v="0"/>
    <x v="0"/>
    <x v="0"/>
    <x v="2"/>
  </r>
  <r>
    <x v="12"/>
    <x v="12"/>
    <x v="1"/>
    <x v="1"/>
    <x v="1"/>
    <x v="1"/>
    <x v="1"/>
    <x v="1"/>
    <x v="1"/>
    <x v="1"/>
    <x v="1"/>
    <x v="1"/>
    <x v="1"/>
    <x v="0"/>
    <x v="1"/>
    <x v="0"/>
    <x v="1"/>
  </r>
  <r>
    <x v="13"/>
    <x v="13"/>
    <x v="1"/>
    <x v="1"/>
    <x v="1"/>
    <x v="1"/>
    <x v="1"/>
    <x v="1"/>
    <x v="1"/>
    <x v="1"/>
    <x v="1"/>
    <x v="1"/>
    <x v="1"/>
    <x v="0"/>
    <x v="1"/>
    <x v="0"/>
    <x v="1"/>
  </r>
  <r>
    <x v="16"/>
    <x v="16"/>
    <x v="1"/>
    <x v="1"/>
    <x v="1"/>
    <x v="1"/>
    <x v="1"/>
    <x v="1"/>
    <x v="1"/>
    <x v="1"/>
    <x v="1"/>
    <x v="1"/>
    <x v="1"/>
    <x v="0"/>
    <x v="1"/>
    <x v="0"/>
    <x v="1"/>
  </r>
  <r>
    <x v="17"/>
    <x v="17"/>
    <x v="25"/>
    <x v="5"/>
    <x v="18"/>
    <x v="16"/>
    <x v="17"/>
    <x v="1"/>
    <x v="1"/>
    <x v="2"/>
    <x v="1"/>
    <x v="1"/>
    <x v="2"/>
    <x v="0"/>
    <x v="1"/>
    <x v="0"/>
    <x v="1"/>
  </r>
  <r>
    <x v="14"/>
    <x v="14"/>
    <x v="26"/>
    <x v="1"/>
    <x v="2"/>
    <x v="1"/>
    <x v="1"/>
    <x v="1"/>
    <x v="1"/>
    <x v="1"/>
    <x v="1"/>
    <x v="1"/>
    <x v="1"/>
    <x v="0"/>
    <x v="1"/>
    <x v="0"/>
    <x v="1"/>
  </r>
  <r>
    <x v="18"/>
    <x v="18"/>
    <x v="27"/>
    <x v="0"/>
    <x v="19"/>
    <x v="17"/>
    <x v="18"/>
    <x v="1"/>
    <x v="1"/>
    <x v="2"/>
    <x v="1"/>
    <x v="1"/>
    <x v="2"/>
    <x v="0"/>
    <x v="1"/>
    <x v="0"/>
    <x v="1"/>
  </r>
  <r>
    <x v="19"/>
    <x v="19"/>
    <x v="28"/>
    <x v="1"/>
    <x v="2"/>
    <x v="1"/>
    <x v="1"/>
    <x v="1"/>
    <x v="1"/>
    <x v="1"/>
    <x v="1"/>
    <x v="1"/>
    <x v="1"/>
    <x v="0"/>
    <x v="1"/>
    <x v="0"/>
    <x v="1"/>
  </r>
  <r>
    <x v="20"/>
    <x v="20"/>
    <x v="29"/>
    <x v="2"/>
    <x v="20"/>
    <x v="18"/>
    <x v="19"/>
    <x v="2"/>
    <x v="7"/>
    <x v="8"/>
    <x v="0"/>
    <x v="0"/>
    <x v="7"/>
    <x v="2"/>
    <x v="1"/>
    <x v="2"/>
    <x v="1"/>
  </r>
  <r>
    <x v="21"/>
    <x v="21"/>
    <x v="30"/>
    <x v="2"/>
    <x v="21"/>
    <x v="19"/>
    <x v="20"/>
    <x v="1"/>
    <x v="1"/>
    <x v="2"/>
    <x v="1"/>
    <x v="1"/>
    <x v="2"/>
    <x v="0"/>
    <x v="1"/>
    <x v="0"/>
    <x v="1"/>
  </r>
  <r>
    <x v="20"/>
    <x v="20"/>
    <x v="6"/>
    <x v="0"/>
    <x v="22"/>
    <x v="20"/>
    <x v="21"/>
    <x v="1"/>
    <x v="1"/>
    <x v="2"/>
    <x v="1"/>
    <x v="1"/>
    <x v="2"/>
    <x v="0"/>
    <x v="1"/>
    <x v="0"/>
    <x v="1"/>
  </r>
  <r>
    <x v="14"/>
    <x v="14"/>
    <x v="31"/>
    <x v="8"/>
    <x v="23"/>
    <x v="21"/>
    <x v="22"/>
    <x v="1"/>
    <x v="1"/>
    <x v="2"/>
    <x v="1"/>
    <x v="1"/>
    <x v="2"/>
    <x v="0"/>
    <x v="1"/>
    <x v="0"/>
    <x v="1"/>
  </r>
  <r>
    <x v="15"/>
    <x v="15"/>
    <x v="32"/>
    <x v="3"/>
    <x v="24"/>
    <x v="22"/>
    <x v="2"/>
    <x v="2"/>
    <x v="8"/>
    <x v="9"/>
    <x v="0"/>
    <x v="0"/>
    <x v="8"/>
    <x v="0"/>
    <x v="0"/>
    <x v="0"/>
    <x v="2"/>
  </r>
  <r>
    <x v="12"/>
    <x v="12"/>
    <x v="33"/>
    <x v="3"/>
    <x v="25"/>
    <x v="23"/>
    <x v="23"/>
    <x v="1"/>
    <x v="1"/>
    <x v="2"/>
    <x v="1"/>
    <x v="1"/>
    <x v="2"/>
    <x v="0"/>
    <x v="1"/>
    <x v="0"/>
    <x v="1"/>
  </r>
  <r>
    <x v="16"/>
    <x v="16"/>
    <x v="34"/>
    <x v="8"/>
    <x v="26"/>
    <x v="24"/>
    <x v="24"/>
    <x v="1"/>
    <x v="1"/>
    <x v="2"/>
    <x v="1"/>
    <x v="1"/>
    <x v="2"/>
    <x v="0"/>
    <x v="1"/>
    <x v="0"/>
    <x v="1"/>
  </r>
  <r>
    <x v="18"/>
    <x v="18"/>
    <x v="35"/>
    <x v="8"/>
    <x v="27"/>
    <x v="25"/>
    <x v="25"/>
    <x v="2"/>
    <x v="9"/>
    <x v="10"/>
    <x v="0"/>
    <x v="0"/>
    <x v="5"/>
    <x v="2"/>
    <x v="1"/>
    <x v="2"/>
    <x v="1"/>
  </r>
  <r>
    <x v="19"/>
    <x v="19"/>
    <x v="36"/>
    <x v="5"/>
    <x v="28"/>
    <x v="26"/>
    <x v="26"/>
    <x v="1"/>
    <x v="1"/>
    <x v="2"/>
    <x v="1"/>
    <x v="1"/>
    <x v="2"/>
    <x v="0"/>
    <x v="1"/>
    <x v="0"/>
    <x v="1"/>
  </r>
  <r>
    <x v="20"/>
    <x v="20"/>
    <x v="37"/>
    <x v="3"/>
    <x v="29"/>
    <x v="27"/>
    <x v="27"/>
    <x v="1"/>
    <x v="1"/>
    <x v="2"/>
    <x v="1"/>
    <x v="1"/>
    <x v="2"/>
    <x v="0"/>
    <x v="1"/>
    <x v="0"/>
    <x v="1"/>
  </r>
  <r>
    <x v="22"/>
    <x v="22"/>
    <x v="38"/>
    <x v="0"/>
    <x v="30"/>
    <x v="28"/>
    <x v="28"/>
    <x v="2"/>
    <x v="10"/>
    <x v="11"/>
    <x v="0"/>
    <x v="0"/>
    <x v="0"/>
    <x v="2"/>
    <x v="1"/>
    <x v="2"/>
    <x v="1"/>
  </r>
  <r>
    <x v="9"/>
    <x v="9"/>
    <x v="39"/>
    <x v="5"/>
    <x v="31"/>
    <x v="29"/>
    <x v="29"/>
    <x v="1"/>
    <x v="1"/>
    <x v="2"/>
    <x v="1"/>
    <x v="1"/>
    <x v="2"/>
    <x v="0"/>
    <x v="1"/>
    <x v="0"/>
    <x v="1"/>
  </r>
  <r>
    <x v="15"/>
    <x v="15"/>
    <x v="12"/>
    <x v="13"/>
    <x v="32"/>
    <x v="30"/>
    <x v="30"/>
    <x v="1"/>
    <x v="1"/>
    <x v="2"/>
    <x v="1"/>
    <x v="1"/>
    <x v="2"/>
    <x v="0"/>
    <x v="1"/>
    <x v="0"/>
    <x v="1"/>
  </r>
  <r>
    <x v="13"/>
    <x v="13"/>
    <x v="40"/>
    <x v="5"/>
    <x v="29"/>
    <x v="31"/>
    <x v="31"/>
    <x v="1"/>
    <x v="1"/>
    <x v="2"/>
    <x v="1"/>
    <x v="1"/>
    <x v="2"/>
    <x v="0"/>
    <x v="1"/>
    <x v="0"/>
    <x v="1"/>
  </r>
  <r>
    <x v="12"/>
    <x v="12"/>
    <x v="41"/>
    <x v="6"/>
    <x v="33"/>
    <x v="32"/>
    <x v="32"/>
    <x v="2"/>
    <x v="11"/>
    <x v="12"/>
    <x v="0"/>
    <x v="0"/>
    <x v="9"/>
    <x v="2"/>
    <x v="1"/>
    <x v="2"/>
    <x v="1"/>
  </r>
  <r>
    <x v="23"/>
    <x v="23"/>
    <x v="42"/>
    <x v="14"/>
    <x v="34"/>
    <x v="33"/>
    <x v="33"/>
    <x v="5"/>
    <x v="12"/>
    <x v="13"/>
    <x v="4"/>
    <x v="4"/>
    <x v="10"/>
    <x v="3"/>
    <x v="2"/>
    <x v="3"/>
    <x v="3"/>
  </r>
  <r>
    <x v="24"/>
    <x v="24"/>
    <x v="43"/>
    <x v="1"/>
    <x v="2"/>
    <x v="1"/>
    <x v="1"/>
    <x v="1"/>
    <x v="1"/>
    <x v="1"/>
    <x v="1"/>
    <x v="1"/>
    <x v="1"/>
    <x v="0"/>
    <x v="1"/>
    <x v="0"/>
    <x v="1"/>
  </r>
  <r>
    <x v="23"/>
    <x v="23"/>
    <x v="44"/>
    <x v="15"/>
    <x v="35"/>
    <x v="34"/>
    <x v="34"/>
    <x v="6"/>
    <x v="13"/>
    <x v="14"/>
    <x v="5"/>
    <x v="2"/>
    <x v="11"/>
    <x v="1"/>
    <x v="1"/>
    <x v="4"/>
    <x v="1"/>
  </r>
  <r>
    <x v="0"/>
    <x v="0"/>
    <x v="45"/>
    <x v="9"/>
    <x v="36"/>
    <x v="35"/>
    <x v="35"/>
    <x v="1"/>
    <x v="1"/>
    <x v="2"/>
    <x v="1"/>
    <x v="1"/>
    <x v="2"/>
    <x v="0"/>
    <x v="1"/>
    <x v="0"/>
    <x v="1"/>
  </r>
  <r>
    <x v="5"/>
    <x v="5"/>
    <x v="46"/>
    <x v="5"/>
    <x v="37"/>
    <x v="36"/>
    <x v="36"/>
    <x v="1"/>
    <x v="1"/>
    <x v="2"/>
    <x v="1"/>
    <x v="1"/>
    <x v="2"/>
    <x v="0"/>
    <x v="1"/>
    <x v="0"/>
    <x v="1"/>
  </r>
  <r>
    <x v="3"/>
    <x v="3"/>
    <x v="47"/>
    <x v="0"/>
    <x v="38"/>
    <x v="37"/>
    <x v="37"/>
    <x v="1"/>
    <x v="1"/>
    <x v="2"/>
    <x v="1"/>
    <x v="1"/>
    <x v="2"/>
    <x v="0"/>
    <x v="1"/>
    <x v="0"/>
    <x v="1"/>
  </r>
  <r>
    <x v="25"/>
    <x v="25"/>
    <x v="48"/>
    <x v="0"/>
    <x v="39"/>
    <x v="38"/>
    <x v="38"/>
    <x v="1"/>
    <x v="1"/>
    <x v="2"/>
    <x v="1"/>
    <x v="1"/>
    <x v="2"/>
    <x v="0"/>
    <x v="1"/>
    <x v="0"/>
    <x v="1"/>
  </r>
  <r>
    <x v="25"/>
    <x v="25"/>
    <x v="49"/>
    <x v="13"/>
    <x v="40"/>
    <x v="27"/>
    <x v="39"/>
    <x v="7"/>
    <x v="14"/>
    <x v="15"/>
    <x v="5"/>
    <x v="5"/>
    <x v="8"/>
    <x v="0"/>
    <x v="3"/>
    <x v="0"/>
    <x v="4"/>
  </r>
  <r>
    <x v="24"/>
    <x v="24"/>
    <x v="50"/>
    <x v="2"/>
    <x v="41"/>
    <x v="39"/>
    <x v="40"/>
    <x v="8"/>
    <x v="15"/>
    <x v="16"/>
    <x v="0"/>
    <x v="0"/>
    <x v="7"/>
    <x v="2"/>
    <x v="1"/>
    <x v="5"/>
    <x v="1"/>
  </r>
  <r>
    <x v="23"/>
    <x v="23"/>
    <x v="51"/>
    <x v="16"/>
    <x v="42"/>
    <x v="40"/>
    <x v="41"/>
    <x v="9"/>
    <x v="16"/>
    <x v="17"/>
    <x v="6"/>
    <x v="6"/>
    <x v="12"/>
    <x v="4"/>
    <x v="4"/>
    <x v="6"/>
    <x v="5"/>
  </r>
  <r>
    <x v="24"/>
    <x v="24"/>
    <x v="52"/>
    <x v="0"/>
    <x v="43"/>
    <x v="41"/>
    <x v="42"/>
    <x v="1"/>
    <x v="1"/>
    <x v="2"/>
    <x v="1"/>
    <x v="1"/>
    <x v="2"/>
    <x v="0"/>
    <x v="1"/>
    <x v="0"/>
    <x v="1"/>
  </r>
  <r>
    <x v="25"/>
    <x v="25"/>
    <x v="53"/>
    <x v="1"/>
    <x v="2"/>
    <x v="1"/>
    <x v="1"/>
    <x v="1"/>
    <x v="1"/>
    <x v="1"/>
    <x v="1"/>
    <x v="1"/>
    <x v="1"/>
    <x v="0"/>
    <x v="1"/>
    <x v="0"/>
    <x v="1"/>
  </r>
  <r>
    <x v="26"/>
    <x v="26"/>
    <x v="54"/>
    <x v="0"/>
    <x v="44"/>
    <x v="42"/>
    <x v="43"/>
    <x v="1"/>
    <x v="1"/>
    <x v="2"/>
    <x v="1"/>
    <x v="1"/>
    <x v="2"/>
    <x v="0"/>
    <x v="1"/>
    <x v="0"/>
    <x v="1"/>
  </r>
  <r>
    <x v="23"/>
    <x v="23"/>
    <x v="55"/>
    <x v="17"/>
    <x v="45"/>
    <x v="43"/>
    <x v="44"/>
    <x v="10"/>
    <x v="17"/>
    <x v="18"/>
    <x v="5"/>
    <x v="7"/>
    <x v="13"/>
    <x v="5"/>
    <x v="1"/>
    <x v="7"/>
    <x v="1"/>
  </r>
  <r>
    <x v="25"/>
    <x v="25"/>
    <x v="56"/>
    <x v="5"/>
    <x v="46"/>
    <x v="44"/>
    <x v="45"/>
    <x v="1"/>
    <x v="1"/>
    <x v="2"/>
    <x v="1"/>
    <x v="1"/>
    <x v="2"/>
    <x v="0"/>
    <x v="1"/>
    <x v="0"/>
    <x v="1"/>
  </r>
  <r>
    <x v="26"/>
    <x v="26"/>
    <x v="57"/>
    <x v="5"/>
    <x v="47"/>
    <x v="45"/>
    <x v="46"/>
    <x v="11"/>
    <x v="18"/>
    <x v="19"/>
    <x v="0"/>
    <x v="0"/>
    <x v="14"/>
    <x v="2"/>
    <x v="1"/>
    <x v="8"/>
    <x v="1"/>
  </r>
  <r>
    <x v="24"/>
    <x v="24"/>
    <x v="58"/>
    <x v="4"/>
    <x v="48"/>
    <x v="46"/>
    <x v="47"/>
    <x v="1"/>
    <x v="1"/>
    <x v="2"/>
    <x v="1"/>
    <x v="1"/>
    <x v="2"/>
    <x v="0"/>
    <x v="1"/>
    <x v="0"/>
    <x v="1"/>
  </r>
  <r>
    <x v="23"/>
    <x v="23"/>
    <x v="59"/>
    <x v="18"/>
    <x v="49"/>
    <x v="47"/>
    <x v="48"/>
    <x v="8"/>
    <x v="19"/>
    <x v="20"/>
    <x v="0"/>
    <x v="0"/>
    <x v="15"/>
    <x v="2"/>
    <x v="1"/>
    <x v="5"/>
    <x v="1"/>
  </r>
  <r>
    <x v="27"/>
    <x v="27"/>
    <x v="60"/>
    <x v="1"/>
    <x v="2"/>
    <x v="1"/>
    <x v="1"/>
    <x v="1"/>
    <x v="1"/>
    <x v="1"/>
    <x v="1"/>
    <x v="1"/>
    <x v="1"/>
    <x v="0"/>
    <x v="1"/>
    <x v="0"/>
    <x v="1"/>
  </r>
  <r>
    <x v="28"/>
    <x v="28"/>
    <x v="61"/>
    <x v="3"/>
    <x v="50"/>
    <x v="48"/>
    <x v="49"/>
    <x v="1"/>
    <x v="1"/>
    <x v="2"/>
    <x v="1"/>
    <x v="1"/>
    <x v="2"/>
    <x v="0"/>
    <x v="1"/>
    <x v="0"/>
    <x v="1"/>
  </r>
  <r>
    <x v="29"/>
    <x v="29"/>
    <x v="62"/>
    <x v="1"/>
    <x v="2"/>
    <x v="1"/>
    <x v="1"/>
    <x v="1"/>
    <x v="1"/>
    <x v="1"/>
    <x v="1"/>
    <x v="1"/>
    <x v="1"/>
    <x v="0"/>
    <x v="1"/>
    <x v="0"/>
    <x v="1"/>
  </r>
  <r>
    <x v="27"/>
    <x v="27"/>
    <x v="63"/>
    <x v="1"/>
    <x v="2"/>
    <x v="1"/>
    <x v="1"/>
    <x v="1"/>
    <x v="1"/>
    <x v="1"/>
    <x v="1"/>
    <x v="1"/>
    <x v="1"/>
    <x v="0"/>
    <x v="1"/>
    <x v="0"/>
    <x v="1"/>
  </r>
  <r>
    <x v="28"/>
    <x v="28"/>
    <x v="64"/>
    <x v="7"/>
    <x v="51"/>
    <x v="49"/>
    <x v="50"/>
    <x v="1"/>
    <x v="1"/>
    <x v="2"/>
    <x v="1"/>
    <x v="1"/>
    <x v="2"/>
    <x v="0"/>
    <x v="1"/>
    <x v="0"/>
    <x v="1"/>
  </r>
  <r>
    <x v="29"/>
    <x v="29"/>
    <x v="65"/>
    <x v="3"/>
    <x v="52"/>
    <x v="50"/>
    <x v="51"/>
    <x v="1"/>
    <x v="1"/>
    <x v="2"/>
    <x v="1"/>
    <x v="1"/>
    <x v="2"/>
    <x v="0"/>
    <x v="1"/>
    <x v="0"/>
    <x v="1"/>
  </r>
  <r>
    <x v="27"/>
    <x v="27"/>
    <x v="66"/>
    <x v="1"/>
    <x v="2"/>
    <x v="1"/>
    <x v="1"/>
    <x v="1"/>
    <x v="1"/>
    <x v="1"/>
    <x v="1"/>
    <x v="1"/>
    <x v="1"/>
    <x v="0"/>
    <x v="1"/>
    <x v="0"/>
    <x v="1"/>
  </r>
  <r>
    <x v="28"/>
    <x v="28"/>
    <x v="67"/>
    <x v="0"/>
    <x v="53"/>
    <x v="41"/>
    <x v="42"/>
    <x v="1"/>
    <x v="1"/>
    <x v="2"/>
    <x v="1"/>
    <x v="1"/>
    <x v="2"/>
    <x v="0"/>
    <x v="1"/>
    <x v="0"/>
    <x v="1"/>
  </r>
  <r>
    <x v="30"/>
    <x v="30"/>
    <x v="49"/>
    <x v="5"/>
    <x v="54"/>
    <x v="51"/>
    <x v="52"/>
    <x v="12"/>
    <x v="20"/>
    <x v="21"/>
    <x v="5"/>
    <x v="5"/>
    <x v="0"/>
    <x v="2"/>
    <x v="0"/>
    <x v="9"/>
    <x v="6"/>
  </r>
  <r>
    <x v="30"/>
    <x v="30"/>
    <x v="68"/>
    <x v="13"/>
    <x v="55"/>
    <x v="26"/>
    <x v="53"/>
    <x v="13"/>
    <x v="21"/>
    <x v="22"/>
    <x v="5"/>
    <x v="5"/>
    <x v="8"/>
    <x v="6"/>
    <x v="1"/>
    <x v="10"/>
    <x v="1"/>
  </r>
  <r>
    <x v="31"/>
    <x v="31"/>
    <x v="69"/>
    <x v="13"/>
    <x v="56"/>
    <x v="52"/>
    <x v="54"/>
    <x v="14"/>
    <x v="22"/>
    <x v="23"/>
    <x v="0"/>
    <x v="0"/>
    <x v="16"/>
    <x v="0"/>
    <x v="0"/>
    <x v="0"/>
    <x v="6"/>
  </r>
  <r>
    <x v="32"/>
    <x v="32"/>
    <x v="70"/>
    <x v="19"/>
    <x v="57"/>
    <x v="53"/>
    <x v="55"/>
    <x v="15"/>
    <x v="23"/>
    <x v="24"/>
    <x v="7"/>
    <x v="8"/>
    <x v="17"/>
    <x v="7"/>
    <x v="5"/>
    <x v="11"/>
    <x v="7"/>
  </r>
  <r>
    <x v="29"/>
    <x v="29"/>
    <x v="71"/>
    <x v="1"/>
    <x v="2"/>
    <x v="1"/>
    <x v="1"/>
    <x v="1"/>
    <x v="1"/>
    <x v="1"/>
    <x v="1"/>
    <x v="1"/>
    <x v="1"/>
    <x v="0"/>
    <x v="1"/>
    <x v="0"/>
    <x v="1"/>
  </r>
  <r>
    <x v="33"/>
    <x v="33"/>
    <x v="72"/>
    <x v="0"/>
    <x v="58"/>
    <x v="54"/>
    <x v="56"/>
    <x v="1"/>
    <x v="1"/>
    <x v="2"/>
    <x v="1"/>
    <x v="1"/>
    <x v="2"/>
    <x v="0"/>
    <x v="1"/>
    <x v="0"/>
    <x v="1"/>
  </r>
  <r>
    <x v="34"/>
    <x v="34"/>
    <x v="73"/>
    <x v="0"/>
    <x v="59"/>
    <x v="55"/>
    <x v="57"/>
    <x v="1"/>
    <x v="1"/>
    <x v="2"/>
    <x v="1"/>
    <x v="1"/>
    <x v="2"/>
    <x v="0"/>
    <x v="1"/>
    <x v="0"/>
    <x v="1"/>
  </r>
  <r>
    <x v="32"/>
    <x v="32"/>
    <x v="74"/>
    <x v="20"/>
    <x v="60"/>
    <x v="56"/>
    <x v="58"/>
    <x v="16"/>
    <x v="24"/>
    <x v="25"/>
    <x v="5"/>
    <x v="5"/>
    <x v="18"/>
    <x v="6"/>
    <x v="1"/>
    <x v="12"/>
    <x v="1"/>
  </r>
  <r>
    <x v="35"/>
    <x v="35"/>
    <x v="75"/>
    <x v="21"/>
    <x v="61"/>
    <x v="57"/>
    <x v="59"/>
    <x v="4"/>
    <x v="25"/>
    <x v="26"/>
    <x v="2"/>
    <x v="3"/>
    <x v="3"/>
    <x v="2"/>
    <x v="5"/>
    <x v="2"/>
    <x v="8"/>
  </r>
  <r>
    <x v="36"/>
    <x v="36"/>
    <x v="76"/>
    <x v="7"/>
    <x v="62"/>
    <x v="36"/>
    <x v="60"/>
    <x v="1"/>
    <x v="1"/>
    <x v="2"/>
    <x v="1"/>
    <x v="1"/>
    <x v="2"/>
    <x v="0"/>
    <x v="1"/>
    <x v="0"/>
    <x v="1"/>
  </r>
  <r>
    <x v="37"/>
    <x v="37"/>
    <x v="77"/>
    <x v="2"/>
    <x v="63"/>
    <x v="58"/>
    <x v="61"/>
    <x v="1"/>
    <x v="1"/>
    <x v="2"/>
    <x v="1"/>
    <x v="1"/>
    <x v="2"/>
    <x v="0"/>
    <x v="1"/>
    <x v="0"/>
    <x v="1"/>
  </r>
  <r>
    <x v="38"/>
    <x v="38"/>
    <x v="78"/>
    <x v="2"/>
    <x v="64"/>
    <x v="59"/>
    <x v="62"/>
    <x v="1"/>
    <x v="1"/>
    <x v="2"/>
    <x v="1"/>
    <x v="1"/>
    <x v="2"/>
    <x v="0"/>
    <x v="1"/>
    <x v="0"/>
    <x v="1"/>
  </r>
  <r>
    <x v="39"/>
    <x v="39"/>
    <x v="79"/>
    <x v="1"/>
    <x v="2"/>
    <x v="1"/>
    <x v="1"/>
    <x v="1"/>
    <x v="1"/>
    <x v="1"/>
    <x v="1"/>
    <x v="1"/>
    <x v="1"/>
    <x v="0"/>
    <x v="1"/>
    <x v="0"/>
    <x v="1"/>
  </r>
  <r>
    <x v="40"/>
    <x v="40"/>
    <x v="80"/>
    <x v="22"/>
    <x v="65"/>
    <x v="60"/>
    <x v="63"/>
    <x v="2"/>
    <x v="26"/>
    <x v="27"/>
    <x v="0"/>
    <x v="0"/>
    <x v="19"/>
    <x v="2"/>
    <x v="1"/>
    <x v="2"/>
    <x v="1"/>
  </r>
  <r>
    <x v="31"/>
    <x v="31"/>
    <x v="81"/>
    <x v="23"/>
    <x v="66"/>
    <x v="61"/>
    <x v="64"/>
    <x v="17"/>
    <x v="27"/>
    <x v="28"/>
    <x v="8"/>
    <x v="9"/>
    <x v="20"/>
    <x v="1"/>
    <x v="6"/>
    <x v="13"/>
    <x v="9"/>
  </r>
  <r>
    <x v="32"/>
    <x v="32"/>
    <x v="82"/>
    <x v="24"/>
    <x v="67"/>
    <x v="62"/>
    <x v="65"/>
    <x v="8"/>
    <x v="28"/>
    <x v="29"/>
    <x v="0"/>
    <x v="0"/>
    <x v="21"/>
    <x v="0"/>
    <x v="0"/>
    <x v="0"/>
    <x v="10"/>
  </r>
  <r>
    <x v="41"/>
    <x v="41"/>
    <x v="1"/>
    <x v="1"/>
    <x v="1"/>
    <x v="1"/>
    <x v="1"/>
    <x v="1"/>
    <x v="1"/>
    <x v="1"/>
    <x v="1"/>
    <x v="1"/>
    <x v="1"/>
    <x v="0"/>
    <x v="1"/>
    <x v="0"/>
    <x v="1"/>
  </r>
  <r>
    <x v="31"/>
    <x v="31"/>
    <x v="83"/>
    <x v="2"/>
    <x v="68"/>
    <x v="63"/>
    <x v="66"/>
    <x v="18"/>
    <x v="29"/>
    <x v="30"/>
    <x v="0"/>
    <x v="10"/>
    <x v="7"/>
    <x v="0"/>
    <x v="7"/>
    <x v="0"/>
    <x v="11"/>
  </r>
  <r>
    <x v="30"/>
    <x v="30"/>
    <x v="84"/>
    <x v="22"/>
    <x v="69"/>
    <x v="64"/>
    <x v="67"/>
    <x v="14"/>
    <x v="30"/>
    <x v="31"/>
    <x v="0"/>
    <x v="0"/>
    <x v="19"/>
    <x v="0"/>
    <x v="0"/>
    <x v="0"/>
    <x v="6"/>
  </r>
  <r>
    <x v="23"/>
    <x v="23"/>
    <x v="85"/>
    <x v="25"/>
    <x v="70"/>
    <x v="65"/>
    <x v="68"/>
    <x v="10"/>
    <x v="31"/>
    <x v="32"/>
    <x v="9"/>
    <x v="7"/>
    <x v="22"/>
    <x v="5"/>
    <x v="1"/>
    <x v="7"/>
    <x v="1"/>
  </r>
  <r>
    <x v="24"/>
    <x v="24"/>
    <x v="86"/>
    <x v="0"/>
    <x v="71"/>
    <x v="28"/>
    <x v="28"/>
    <x v="1"/>
    <x v="1"/>
    <x v="2"/>
    <x v="1"/>
    <x v="1"/>
    <x v="2"/>
    <x v="0"/>
    <x v="1"/>
    <x v="0"/>
    <x v="1"/>
  </r>
  <r>
    <x v="25"/>
    <x v="25"/>
    <x v="87"/>
    <x v="2"/>
    <x v="72"/>
    <x v="66"/>
    <x v="69"/>
    <x v="8"/>
    <x v="32"/>
    <x v="33"/>
    <x v="0"/>
    <x v="0"/>
    <x v="7"/>
    <x v="0"/>
    <x v="0"/>
    <x v="0"/>
    <x v="10"/>
  </r>
  <r>
    <x v="29"/>
    <x v="29"/>
    <x v="88"/>
    <x v="1"/>
    <x v="2"/>
    <x v="1"/>
    <x v="1"/>
    <x v="1"/>
    <x v="1"/>
    <x v="1"/>
    <x v="1"/>
    <x v="1"/>
    <x v="1"/>
    <x v="0"/>
    <x v="1"/>
    <x v="0"/>
    <x v="1"/>
  </r>
  <r>
    <x v="27"/>
    <x v="27"/>
    <x v="89"/>
    <x v="0"/>
    <x v="73"/>
    <x v="67"/>
    <x v="70"/>
    <x v="1"/>
    <x v="1"/>
    <x v="2"/>
    <x v="1"/>
    <x v="1"/>
    <x v="2"/>
    <x v="0"/>
    <x v="1"/>
    <x v="0"/>
    <x v="1"/>
  </r>
  <r>
    <x v="28"/>
    <x v="28"/>
    <x v="90"/>
    <x v="5"/>
    <x v="74"/>
    <x v="67"/>
    <x v="2"/>
    <x v="1"/>
    <x v="1"/>
    <x v="2"/>
    <x v="1"/>
    <x v="1"/>
    <x v="2"/>
    <x v="0"/>
    <x v="1"/>
    <x v="0"/>
    <x v="1"/>
  </r>
  <r>
    <x v="30"/>
    <x v="30"/>
    <x v="1"/>
    <x v="1"/>
    <x v="1"/>
    <x v="1"/>
    <x v="1"/>
    <x v="1"/>
    <x v="1"/>
    <x v="1"/>
    <x v="1"/>
    <x v="1"/>
    <x v="1"/>
    <x v="0"/>
    <x v="1"/>
    <x v="0"/>
    <x v="1"/>
  </r>
  <r>
    <x v="32"/>
    <x v="32"/>
    <x v="91"/>
    <x v="1"/>
    <x v="2"/>
    <x v="1"/>
    <x v="1"/>
    <x v="1"/>
    <x v="1"/>
    <x v="1"/>
    <x v="1"/>
    <x v="1"/>
    <x v="1"/>
    <x v="0"/>
    <x v="1"/>
    <x v="0"/>
    <x v="1"/>
  </r>
  <r>
    <x v="42"/>
    <x v="42"/>
    <x v="92"/>
    <x v="0"/>
    <x v="75"/>
    <x v="55"/>
    <x v="57"/>
    <x v="1"/>
    <x v="1"/>
    <x v="2"/>
    <x v="1"/>
    <x v="1"/>
    <x v="2"/>
    <x v="0"/>
    <x v="1"/>
    <x v="0"/>
    <x v="1"/>
  </r>
  <r>
    <x v="26"/>
    <x v="26"/>
    <x v="93"/>
    <x v="1"/>
    <x v="2"/>
    <x v="1"/>
    <x v="1"/>
    <x v="1"/>
    <x v="1"/>
    <x v="1"/>
    <x v="1"/>
    <x v="1"/>
    <x v="1"/>
    <x v="0"/>
    <x v="1"/>
    <x v="0"/>
    <x v="1"/>
  </r>
  <r>
    <x v="24"/>
    <x v="24"/>
    <x v="1"/>
    <x v="1"/>
    <x v="1"/>
    <x v="1"/>
    <x v="1"/>
    <x v="1"/>
    <x v="1"/>
    <x v="1"/>
    <x v="1"/>
    <x v="1"/>
    <x v="1"/>
    <x v="0"/>
    <x v="1"/>
    <x v="0"/>
    <x v="1"/>
  </r>
  <r>
    <x v="23"/>
    <x v="23"/>
    <x v="94"/>
    <x v="1"/>
    <x v="2"/>
    <x v="1"/>
    <x v="1"/>
    <x v="1"/>
    <x v="1"/>
    <x v="1"/>
    <x v="1"/>
    <x v="1"/>
    <x v="1"/>
    <x v="0"/>
    <x v="1"/>
    <x v="0"/>
    <x v="1"/>
  </r>
  <r>
    <x v="43"/>
    <x v="43"/>
    <x v="95"/>
    <x v="2"/>
    <x v="76"/>
    <x v="68"/>
    <x v="71"/>
    <x v="2"/>
    <x v="33"/>
    <x v="34"/>
    <x v="0"/>
    <x v="0"/>
    <x v="7"/>
    <x v="2"/>
    <x v="1"/>
    <x v="2"/>
    <x v="1"/>
  </r>
  <r>
    <x v="44"/>
    <x v="44"/>
    <x v="96"/>
    <x v="2"/>
    <x v="77"/>
    <x v="69"/>
    <x v="72"/>
    <x v="1"/>
    <x v="1"/>
    <x v="2"/>
    <x v="1"/>
    <x v="1"/>
    <x v="2"/>
    <x v="0"/>
    <x v="1"/>
    <x v="0"/>
    <x v="1"/>
  </r>
  <r>
    <x v="45"/>
    <x v="45"/>
    <x v="97"/>
    <x v="5"/>
    <x v="78"/>
    <x v="70"/>
    <x v="73"/>
    <x v="1"/>
    <x v="1"/>
    <x v="2"/>
    <x v="1"/>
    <x v="1"/>
    <x v="2"/>
    <x v="0"/>
    <x v="1"/>
    <x v="0"/>
    <x v="1"/>
  </r>
  <r>
    <x v="45"/>
    <x v="45"/>
    <x v="98"/>
    <x v="7"/>
    <x v="79"/>
    <x v="71"/>
    <x v="74"/>
    <x v="2"/>
    <x v="34"/>
    <x v="35"/>
    <x v="0"/>
    <x v="0"/>
    <x v="23"/>
    <x v="0"/>
    <x v="0"/>
    <x v="0"/>
    <x v="2"/>
  </r>
  <r>
    <x v="44"/>
    <x v="44"/>
    <x v="99"/>
    <x v="22"/>
    <x v="80"/>
    <x v="72"/>
    <x v="75"/>
    <x v="1"/>
    <x v="1"/>
    <x v="2"/>
    <x v="1"/>
    <x v="1"/>
    <x v="2"/>
    <x v="0"/>
    <x v="1"/>
    <x v="0"/>
    <x v="1"/>
  </r>
  <r>
    <x v="43"/>
    <x v="43"/>
    <x v="100"/>
    <x v="0"/>
    <x v="81"/>
    <x v="20"/>
    <x v="21"/>
    <x v="1"/>
    <x v="1"/>
    <x v="2"/>
    <x v="1"/>
    <x v="1"/>
    <x v="2"/>
    <x v="0"/>
    <x v="1"/>
    <x v="0"/>
    <x v="1"/>
  </r>
  <r>
    <x v="46"/>
    <x v="46"/>
    <x v="101"/>
    <x v="1"/>
    <x v="2"/>
    <x v="1"/>
    <x v="1"/>
    <x v="1"/>
    <x v="1"/>
    <x v="1"/>
    <x v="1"/>
    <x v="1"/>
    <x v="1"/>
    <x v="0"/>
    <x v="1"/>
    <x v="0"/>
    <x v="1"/>
  </r>
  <r>
    <x v="47"/>
    <x v="47"/>
    <x v="17"/>
    <x v="7"/>
    <x v="82"/>
    <x v="73"/>
    <x v="76"/>
    <x v="2"/>
    <x v="35"/>
    <x v="36"/>
    <x v="0"/>
    <x v="0"/>
    <x v="23"/>
    <x v="0"/>
    <x v="0"/>
    <x v="0"/>
    <x v="2"/>
  </r>
  <r>
    <x v="48"/>
    <x v="48"/>
    <x v="102"/>
    <x v="4"/>
    <x v="83"/>
    <x v="74"/>
    <x v="54"/>
    <x v="1"/>
    <x v="1"/>
    <x v="2"/>
    <x v="1"/>
    <x v="1"/>
    <x v="2"/>
    <x v="0"/>
    <x v="1"/>
    <x v="0"/>
    <x v="1"/>
  </r>
  <r>
    <x v="49"/>
    <x v="49"/>
    <x v="103"/>
    <x v="13"/>
    <x v="84"/>
    <x v="75"/>
    <x v="77"/>
    <x v="2"/>
    <x v="36"/>
    <x v="37"/>
    <x v="0"/>
    <x v="0"/>
    <x v="16"/>
    <x v="0"/>
    <x v="0"/>
    <x v="0"/>
    <x v="2"/>
  </r>
  <r>
    <x v="50"/>
    <x v="50"/>
    <x v="104"/>
    <x v="3"/>
    <x v="85"/>
    <x v="42"/>
    <x v="78"/>
    <x v="1"/>
    <x v="1"/>
    <x v="2"/>
    <x v="1"/>
    <x v="1"/>
    <x v="2"/>
    <x v="0"/>
    <x v="1"/>
    <x v="0"/>
    <x v="1"/>
  </r>
  <r>
    <x v="51"/>
    <x v="51"/>
    <x v="105"/>
    <x v="8"/>
    <x v="86"/>
    <x v="76"/>
    <x v="79"/>
    <x v="2"/>
    <x v="37"/>
    <x v="38"/>
    <x v="0"/>
    <x v="0"/>
    <x v="5"/>
    <x v="2"/>
    <x v="1"/>
    <x v="2"/>
    <x v="1"/>
  </r>
  <r>
    <x v="52"/>
    <x v="52"/>
    <x v="106"/>
    <x v="26"/>
    <x v="87"/>
    <x v="72"/>
    <x v="80"/>
    <x v="1"/>
    <x v="1"/>
    <x v="2"/>
    <x v="1"/>
    <x v="1"/>
    <x v="2"/>
    <x v="0"/>
    <x v="1"/>
    <x v="0"/>
    <x v="1"/>
  </r>
  <r>
    <x v="53"/>
    <x v="53"/>
    <x v="101"/>
    <x v="0"/>
    <x v="88"/>
    <x v="76"/>
    <x v="81"/>
    <x v="19"/>
    <x v="38"/>
    <x v="39"/>
    <x v="0"/>
    <x v="0"/>
    <x v="0"/>
    <x v="0"/>
    <x v="0"/>
    <x v="0"/>
    <x v="12"/>
  </r>
  <r>
    <x v="54"/>
    <x v="54"/>
    <x v="107"/>
    <x v="8"/>
    <x v="89"/>
    <x v="28"/>
    <x v="82"/>
    <x v="1"/>
    <x v="1"/>
    <x v="2"/>
    <x v="1"/>
    <x v="1"/>
    <x v="2"/>
    <x v="0"/>
    <x v="1"/>
    <x v="0"/>
    <x v="1"/>
  </r>
  <r>
    <x v="48"/>
    <x v="48"/>
    <x v="108"/>
    <x v="27"/>
    <x v="90"/>
    <x v="77"/>
    <x v="83"/>
    <x v="3"/>
    <x v="39"/>
    <x v="40"/>
    <x v="2"/>
    <x v="2"/>
    <x v="24"/>
    <x v="1"/>
    <x v="1"/>
    <x v="1"/>
    <x v="1"/>
  </r>
  <r>
    <x v="47"/>
    <x v="47"/>
    <x v="109"/>
    <x v="11"/>
    <x v="91"/>
    <x v="78"/>
    <x v="84"/>
    <x v="2"/>
    <x v="40"/>
    <x v="41"/>
    <x v="0"/>
    <x v="0"/>
    <x v="25"/>
    <x v="0"/>
    <x v="0"/>
    <x v="0"/>
    <x v="2"/>
  </r>
  <r>
    <x v="55"/>
    <x v="55"/>
    <x v="110"/>
    <x v="5"/>
    <x v="92"/>
    <x v="79"/>
    <x v="85"/>
    <x v="1"/>
    <x v="1"/>
    <x v="2"/>
    <x v="1"/>
    <x v="1"/>
    <x v="2"/>
    <x v="0"/>
    <x v="1"/>
    <x v="0"/>
    <x v="1"/>
  </r>
  <r>
    <x v="56"/>
    <x v="56"/>
    <x v="111"/>
    <x v="1"/>
    <x v="2"/>
    <x v="1"/>
    <x v="1"/>
    <x v="1"/>
    <x v="1"/>
    <x v="1"/>
    <x v="1"/>
    <x v="1"/>
    <x v="1"/>
    <x v="0"/>
    <x v="1"/>
    <x v="0"/>
    <x v="1"/>
  </r>
  <r>
    <x v="57"/>
    <x v="57"/>
    <x v="112"/>
    <x v="5"/>
    <x v="93"/>
    <x v="79"/>
    <x v="85"/>
    <x v="1"/>
    <x v="1"/>
    <x v="2"/>
    <x v="1"/>
    <x v="1"/>
    <x v="2"/>
    <x v="0"/>
    <x v="1"/>
    <x v="0"/>
    <x v="1"/>
  </r>
  <r>
    <x v="56"/>
    <x v="56"/>
    <x v="113"/>
    <x v="0"/>
    <x v="84"/>
    <x v="80"/>
    <x v="86"/>
    <x v="1"/>
    <x v="1"/>
    <x v="2"/>
    <x v="1"/>
    <x v="1"/>
    <x v="2"/>
    <x v="0"/>
    <x v="1"/>
    <x v="0"/>
    <x v="1"/>
  </r>
  <r>
    <x v="55"/>
    <x v="55"/>
    <x v="111"/>
    <x v="5"/>
    <x v="94"/>
    <x v="81"/>
    <x v="43"/>
    <x v="1"/>
    <x v="1"/>
    <x v="2"/>
    <x v="1"/>
    <x v="1"/>
    <x v="2"/>
    <x v="0"/>
    <x v="1"/>
    <x v="0"/>
    <x v="1"/>
  </r>
  <r>
    <x v="58"/>
    <x v="58"/>
    <x v="114"/>
    <x v="0"/>
    <x v="95"/>
    <x v="82"/>
    <x v="87"/>
    <x v="1"/>
    <x v="1"/>
    <x v="2"/>
    <x v="1"/>
    <x v="1"/>
    <x v="2"/>
    <x v="0"/>
    <x v="1"/>
    <x v="0"/>
    <x v="1"/>
  </r>
  <r>
    <x v="59"/>
    <x v="59"/>
    <x v="115"/>
    <x v="0"/>
    <x v="96"/>
    <x v="83"/>
    <x v="88"/>
    <x v="1"/>
    <x v="1"/>
    <x v="2"/>
    <x v="1"/>
    <x v="1"/>
    <x v="2"/>
    <x v="0"/>
    <x v="1"/>
    <x v="0"/>
    <x v="1"/>
  </r>
  <r>
    <x v="50"/>
    <x v="50"/>
    <x v="116"/>
    <x v="0"/>
    <x v="97"/>
    <x v="79"/>
    <x v="89"/>
    <x v="1"/>
    <x v="1"/>
    <x v="2"/>
    <x v="1"/>
    <x v="1"/>
    <x v="2"/>
    <x v="0"/>
    <x v="1"/>
    <x v="0"/>
    <x v="1"/>
  </r>
  <r>
    <x v="49"/>
    <x v="49"/>
    <x v="67"/>
    <x v="0"/>
    <x v="53"/>
    <x v="79"/>
    <x v="89"/>
    <x v="1"/>
    <x v="1"/>
    <x v="2"/>
    <x v="1"/>
    <x v="1"/>
    <x v="2"/>
    <x v="0"/>
    <x v="1"/>
    <x v="0"/>
    <x v="1"/>
  </r>
  <r>
    <x v="60"/>
    <x v="60"/>
    <x v="117"/>
    <x v="1"/>
    <x v="2"/>
    <x v="1"/>
    <x v="1"/>
    <x v="1"/>
    <x v="1"/>
    <x v="1"/>
    <x v="1"/>
    <x v="1"/>
    <x v="1"/>
    <x v="0"/>
    <x v="1"/>
    <x v="0"/>
    <x v="1"/>
  </r>
  <r>
    <x v="61"/>
    <x v="61"/>
    <x v="118"/>
    <x v="1"/>
    <x v="2"/>
    <x v="1"/>
    <x v="1"/>
    <x v="1"/>
    <x v="1"/>
    <x v="1"/>
    <x v="1"/>
    <x v="1"/>
    <x v="1"/>
    <x v="0"/>
    <x v="1"/>
    <x v="0"/>
    <x v="1"/>
  </r>
  <r>
    <x v="61"/>
    <x v="61"/>
    <x v="119"/>
    <x v="1"/>
    <x v="2"/>
    <x v="1"/>
    <x v="1"/>
    <x v="1"/>
    <x v="1"/>
    <x v="1"/>
    <x v="1"/>
    <x v="1"/>
    <x v="1"/>
    <x v="0"/>
    <x v="1"/>
    <x v="0"/>
    <x v="1"/>
  </r>
  <r>
    <x v="60"/>
    <x v="60"/>
    <x v="120"/>
    <x v="1"/>
    <x v="2"/>
    <x v="1"/>
    <x v="1"/>
    <x v="1"/>
    <x v="1"/>
    <x v="1"/>
    <x v="1"/>
    <x v="1"/>
    <x v="1"/>
    <x v="0"/>
    <x v="1"/>
    <x v="0"/>
    <x v="1"/>
  </r>
  <r>
    <x v="62"/>
    <x v="62"/>
    <x v="121"/>
    <x v="1"/>
    <x v="2"/>
    <x v="1"/>
    <x v="1"/>
    <x v="1"/>
    <x v="1"/>
    <x v="1"/>
    <x v="1"/>
    <x v="1"/>
    <x v="1"/>
    <x v="0"/>
    <x v="1"/>
    <x v="0"/>
    <x v="1"/>
  </r>
  <r>
    <x v="63"/>
    <x v="63"/>
    <x v="122"/>
    <x v="1"/>
    <x v="2"/>
    <x v="1"/>
    <x v="1"/>
    <x v="1"/>
    <x v="1"/>
    <x v="1"/>
    <x v="1"/>
    <x v="1"/>
    <x v="1"/>
    <x v="0"/>
    <x v="1"/>
    <x v="0"/>
    <x v="1"/>
  </r>
  <r>
    <x v="64"/>
    <x v="64"/>
    <x v="123"/>
    <x v="3"/>
    <x v="98"/>
    <x v="79"/>
    <x v="90"/>
    <x v="1"/>
    <x v="1"/>
    <x v="2"/>
    <x v="1"/>
    <x v="1"/>
    <x v="2"/>
    <x v="0"/>
    <x v="1"/>
    <x v="0"/>
    <x v="1"/>
  </r>
  <r>
    <x v="54"/>
    <x v="54"/>
    <x v="73"/>
    <x v="0"/>
    <x v="59"/>
    <x v="84"/>
    <x v="91"/>
    <x v="1"/>
    <x v="1"/>
    <x v="2"/>
    <x v="1"/>
    <x v="1"/>
    <x v="2"/>
    <x v="0"/>
    <x v="1"/>
    <x v="0"/>
    <x v="1"/>
  </r>
  <r>
    <x v="53"/>
    <x v="53"/>
    <x v="118"/>
    <x v="1"/>
    <x v="2"/>
    <x v="1"/>
    <x v="1"/>
    <x v="1"/>
    <x v="1"/>
    <x v="1"/>
    <x v="1"/>
    <x v="1"/>
    <x v="1"/>
    <x v="0"/>
    <x v="1"/>
    <x v="0"/>
    <x v="1"/>
  </r>
  <r>
    <x v="52"/>
    <x v="52"/>
    <x v="124"/>
    <x v="8"/>
    <x v="99"/>
    <x v="85"/>
    <x v="92"/>
    <x v="2"/>
    <x v="41"/>
    <x v="42"/>
    <x v="0"/>
    <x v="0"/>
    <x v="5"/>
    <x v="0"/>
    <x v="0"/>
    <x v="0"/>
    <x v="2"/>
  </r>
  <r>
    <x v="51"/>
    <x v="51"/>
    <x v="11"/>
    <x v="1"/>
    <x v="2"/>
    <x v="1"/>
    <x v="1"/>
    <x v="1"/>
    <x v="1"/>
    <x v="1"/>
    <x v="1"/>
    <x v="1"/>
    <x v="1"/>
    <x v="0"/>
    <x v="1"/>
    <x v="0"/>
    <x v="1"/>
  </r>
  <r>
    <x v="64"/>
    <x v="64"/>
    <x v="125"/>
    <x v="0"/>
    <x v="100"/>
    <x v="86"/>
    <x v="93"/>
    <x v="1"/>
    <x v="1"/>
    <x v="2"/>
    <x v="1"/>
    <x v="1"/>
    <x v="2"/>
    <x v="0"/>
    <x v="1"/>
    <x v="0"/>
    <x v="1"/>
  </r>
  <r>
    <x v="63"/>
    <x v="63"/>
    <x v="126"/>
    <x v="0"/>
    <x v="101"/>
    <x v="7"/>
    <x v="8"/>
    <x v="1"/>
    <x v="1"/>
    <x v="2"/>
    <x v="1"/>
    <x v="1"/>
    <x v="2"/>
    <x v="0"/>
    <x v="1"/>
    <x v="0"/>
    <x v="1"/>
  </r>
  <r>
    <x v="62"/>
    <x v="62"/>
    <x v="127"/>
    <x v="5"/>
    <x v="102"/>
    <x v="20"/>
    <x v="94"/>
    <x v="1"/>
    <x v="1"/>
    <x v="2"/>
    <x v="1"/>
    <x v="1"/>
    <x v="2"/>
    <x v="0"/>
    <x v="1"/>
    <x v="0"/>
    <x v="1"/>
  </r>
  <r>
    <x v="65"/>
    <x v="65"/>
    <x v="14"/>
    <x v="1"/>
    <x v="2"/>
    <x v="1"/>
    <x v="1"/>
    <x v="1"/>
    <x v="1"/>
    <x v="1"/>
    <x v="1"/>
    <x v="1"/>
    <x v="1"/>
    <x v="0"/>
    <x v="1"/>
    <x v="0"/>
    <x v="1"/>
  </r>
  <r>
    <x v="58"/>
    <x v="58"/>
    <x v="128"/>
    <x v="8"/>
    <x v="103"/>
    <x v="87"/>
    <x v="95"/>
    <x v="1"/>
    <x v="1"/>
    <x v="2"/>
    <x v="1"/>
    <x v="1"/>
    <x v="2"/>
    <x v="0"/>
    <x v="1"/>
    <x v="0"/>
    <x v="1"/>
  </r>
  <r>
    <x v="29"/>
    <x v="29"/>
    <x v="129"/>
    <x v="1"/>
    <x v="2"/>
    <x v="1"/>
    <x v="1"/>
    <x v="1"/>
    <x v="1"/>
    <x v="1"/>
    <x v="1"/>
    <x v="1"/>
    <x v="1"/>
    <x v="0"/>
    <x v="1"/>
    <x v="0"/>
    <x v="1"/>
  </r>
  <r>
    <x v="28"/>
    <x v="28"/>
    <x v="130"/>
    <x v="0"/>
    <x v="104"/>
    <x v="88"/>
    <x v="96"/>
    <x v="1"/>
    <x v="1"/>
    <x v="2"/>
    <x v="1"/>
    <x v="1"/>
    <x v="2"/>
    <x v="0"/>
    <x v="1"/>
    <x v="0"/>
    <x v="1"/>
  </r>
  <r>
    <x v="27"/>
    <x v="27"/>
    <x v="131"/>
    <x v="1"/>
    <x v="2"/>
    <x v="1"/>
    <x v="1"/>
    <x v="1"/>
    <x v="1"/>
    <x v="1"/>
    <x v="1"/>
    <x v="1"/>
    <x v="1"/>
    <x v="0"/>
    <x v="1"/>
    <x v="0"/>
    <x v="1"/>
  </r>
  <r>
    <x v="46"/>
    <x v="46"/>
    <x v="132"/>
    <x v="1"/>
    <x v="2"/>
    <x v="1"/>
    <x v="1"/>
    <x v="1"/>
    <x v="1"/>
    <x v="1"/>
    <x v="1"/>
    <x v="1"/>
    <x v="1"/>
    <x v="0"/>
    <x v="1"/>
    <x v="0"/>
    <x v="1"/>
  </r>
  <r>
    <x v="66"/>
    <x v="66"/>
    <x v="133"/>
    <x v="1"/>
    <x v="2"/>
    <x v="1"/>
    <x v="1"/>
    <x v="1"/>
    <x v="1"/>
    <x v="1"/>
    <x v="1"/>
    <x v="1"/>
    <x v="1"/>
    <x v="0"/>
    <x v="1"/>
    <x v="0"/>
    <x v="1"/>
  </r>
  <r>
    <x v="66"/>
    <x v="66"/>
    <x v="134"/>
    <x v="1"/>
    <x v="2"/>
    <x v="1"/>
    <x v="1"/>
    <x v="1"/>
    <x v="1"/>
    <x v="1"/>
    <x v="1"/>
    <x v="1"/>
    <x v="1"/>
    <x v="0"/>
    <x v="1"/>
    <x v="0"/>
    <x v="1"/>
  </r>
  <r>
    <x v="29"/>
    <x v="29"/>
    <x v="135"/>
    <x v="3"/>
    <x v="105"/>
    <x v="89"/>
    <x v="97"/>
    <x v="1"/>
    <x v="1"/>
    <x v="2"/>
    <x v="1"/>
    <x v="1"/>
    <x v="2"/>
    <x v="0"/>
    <x v="1"/>
    <x v="0"/>
    <x v="1"/>
  </r>
  <r>
    <x v="46"/>
    <x v="46"/>
    <x v="136"/>
    <x v="1"/>
    <x v="2"/>
    <x v="1"/>
    <x v="1"/>
    <x v="1"/>
    <x v="1"/>
    <x v="1"/>
    <x v="1"/>
    <x v="1"/>
    <x v="1"/>
    <x v="0"/>
    <x v="1"/>
    <x v="0"/>
    <x v="1"/>
  </r>
  <r>
    <x v="27"/>
    <x v="27"/>
    <x v="119"/>
    <x v="1"/>
    <x v="2"/>
    <x v="1"/>
    <x v="1"/>
    <x v="1"/>
    <x v="1"/>
    <x v="1"/>
    <x v="1"/>
    <x v="1"/>
    <x v="1"/>
    <x v="0"/>
    <x v="1"/>
    <x v="0"/>
    <x v="1"/>
  </r>
  <r>
    <x v="28"/>
    <x v="28"/>
    <x v="137"/>
    <x v="5"/>
    <x v="106"/>
    <x v="90"/>
    <x v="98"/>
    <x v="1"/>
    <x v="1"/>
    <x v="2"/>
    <x v="1"/>
    <x v="1"/>
    <x v="2"/>
    <x v="0"/>
    <x v="1"/>
    <x v="0"/>
    <x v="1"/>
  </r>
  <r>
    <x v="30"/>
    <x v="30"/>
    <x v="138"/>
    <x v="1"/>
    <x v="2"/>
    <x v="1"/>
    <x v="1"/>
    <x v="1"/>
    <x v="1"/>
    <x v="1"/>
    <x v="1"/>
    <x v="1"/>
    <x v="1"/>
    <x v="0"/>
    <x v="1"/>
    <x v="0"/>
    <x v="1"/>
  </r>
  <r>
    <x v="31"/>
    <x v="31"/>
    <x v="26"/>
    <x v="1"/>
    <x v="2"/>
    <x v="1"/>
    <x v="1"/>
    <x v="1"/>
    <x v="1"/>
    <x v="1"/>
    <x v="1"/>
    <x v="1"/>
    <x v="1"/>
    <x v="0"/>
    <x v="1"/>
    <x v="0"/>
    <x v="1"/>
  </r>
  <r>
    <x v="32"/>
    <x v="32"/>
    <x v="139"/>
    <x v="3"/>
    <x v="107"/>
    <x v="91"/>
    <x v="99"/>
    <x v="14"/>
    <x v="42"/>
    <x v="43"/>
    <x v="0"/>
    <x v="0"/>
    <x v="8"/>
    <x v="2"/>
    <x v="1"/>
    <x v="14"/>
    <x v="1"/>
  </r>
  <r>
    <x v="46"/>
    <x v="46"/>
    <x v="140"/>
    <x v="1"/>
    <x v="2"/>
    <x v="1"/>
    <x v="1"/>
    <x v="1"/>
    <x v="1"/>
    <x v="1"/>
    <x v="1"/>
    <x v="1"/>
    <x v="1"/>
    <x v="0"/>
    <x v="1"/>
    <x v="0"/>
    <x v="1"/>
  </r>
  <r>
    <x v="6"/>
    <x v="6"/>
    <x v="141"/>
    <x v="7"/>
    <x v="108"/>
    <x v="92"/>
    <x v="100"/>
    <x v="3"/>
    <x v="43"/>
    <x v="44"/>
    <x v="2"/>
    <x v="2"/>
    <x v="26"/>
    <x v="6"/>
    <x v="0"/>
    <x v="15"/>
    <x v="2"/>
  </r>
  <r>
    <x v="67"/>
    <x v="67"/>
    <x v="142"/>
    <x v="1"/>
    <x v="2"/>
    <x v="1"/>
    <x v="1"/>
    <x v="1"/>
    <x v="1"/>
    <x v="1"/>
    <x v="1"/>
    <x v="1"/>
    <x v="1"/>
    <x v="0"/>
    <x v="1"/>
    <x v="0"/>
    <x v="1"/>
  </r>
  <r>
    <x v="33"/>
    <x v="33"/>
    <x v="143"/>
    <x v="1"/>
    <x v="2"/>
    <x v="1"/>
    <x v="1"/>
    <x v="1"/>
    <x v="1"/>
    <x v="1"/>
    <x v="1"/>
    <x v="1"/>
    <x v="1"/>
    <x v="0"/>
    <x v="1"/>
    <x v="0"/>
    <x v="1"/>
  </r>
  <r>
    <x v="34"/>
    <x v="34"/>
    <x v="144"/>
    <x v="1"/>
    <x v="2"/>
    <x v="1"/>
    <x v="1"/>
    <x v="1"/>
    <x v="1"/>
    <x v="1"/>
    <x v="1"/>
    <x v="1"/>
    <x v="1"/>
    <x v="0"/>
    <x v="1"/>
    <x v="0"/>
    <x v="1"/>
  </r>
  <r>
    <x v="37"/>
    <x v="37"/>
    <x v="145"/>
    <x v="0"/>
    <x v="109"/>
    <x v="4"/>
    <x v="101"/>
    <x v="1"/>
    <x v="1"/>
    <x v="2"/>
    <x v="1"/>
    <x v="1"/>
    <x v="2"/>
    <x v="0"/>
    <x v="1"/>
    <x v="0"/>
    <x v="1"/>
  </r>
  <r>
    <x v="38"/>
    <x v="38"/>
    <x v="146"/>
    <x v="1"/>
    <x v="2"/>
    <x v="1"/>
    <x v="1"/>
    <x v="1"/>
    <x v="1"/>
    <x v="1"/>
    <x v="1"/>
    <x v="1"/>
    <x v="1"/>
    <x v="0"/>
    <x v="1"/>
    <x v="0"/>
    <x v="1"/>
  </r>
  <r>
    <x v="39"/>
    <x v="39"/>
    <x v="147"/>
    <x v="0"/>
    <x v="110"/>
    <x v="4"/>
    <x v="101"/>
    <x v="1"/>
    <x v="1"/>
    <x v="2"/>
    <x v="1"/>
    <x v="1"/>
    <x v="2"/>
    <x v="0"/>
    <x v="1"/>
    <x v="0"/>
    <x v="1"/>
  </r>
  <r>
    <x v="6"/>
    <x v="6"/>
    <x v="148"/>
    <x v="5"/>
    <x v="111"/>
    <x v="26"/>
    <x v="26"/>
    <x v="1"/>
    <x v="1"/>
    <x v="2"/>
    <x v="1"/>
    <x v="1"/>
    <x v="2"/>
    <x v="0"/>
    <x v="1"/>
    <x v="0"/>
    <x v="1"/>
  </r>
  <r>
    <x v="68"/>
    <x v="68"/>
    <x v="149"/>
    <x v="3"/>
    <x v="112"/>
    <x v="48"/>
    <x v="49"/>
    <x v="1"/>
    <x v="1"/>
    <x v="2"/>
    <x v="1"/>
    <x v="1"/>
    <x v="2"/>
    <x v="0"/>
    <x v="1"/>
    <x v="0"/>
    <x v="1"/>
  </r>
  <r>
    <x v="2"/>
    <x v="2"/>
    <x v="150"/>
    <x v="0"/>
    <x v="113"/>
    <x v="2"/>
    <x v="102"/>
    <x v="1"/>
    <x v="1"/>
    <x v="2"/>
    <x v="1"/>
    <x v="1"/>
    <x v="2"/>
    <x v="0"/>
    <x v="1"/>
    <x v="0"/>
    <x v="1"/>
  </r>
  <r>
    <x v="69"/>
    <x v="69"/>
    <x v="137"/>
    <x v="0"/>
    <x v="114"/>
    <x v="93"/>
    <x v="52"/>
    <x v="20"/>
    <x v="44"/>
    <x v="45"/>
    <x v="0"/>
    <x v="0"/>
    <x v="0"/>
    <x v="2"/>
    <x v="1"/>
    <x v="16"/>
    <x v="1"/>
  </r>
  <r>
    <x v="35"/>
    <x v="35"/>
    <x v="151"/>
    <x v="5"/>
    <x v="115"/>
    <x v="26"/>
    <x v="26"/>
    <x v="1"/>
    <x v="1"/>
    <x v="2"/>
    <x v="1"/>
    <x v="1"/>
    <x v="2"/>
    <x v="0"/>
    <x v="1"/>
    <x v="0"/>
    <x v="1"/>
  </r>
  <r>
    <x v="70"/>
    <x v="70"/>
    <x v="152"/>
    <x v="1"/>
    <x v="2"/>
    <x v="1"/>
    <x v="1"/>
    <x v="1"/>
    <x v="1"/>
    <x v="1"/>
    <x v="1"/>
    <x v="1"/>
    <x v="1"/>
    <x v="0"/>
    <x v="1"/>
    <x v="0"/>
    <x v="1"/>
  </r>
  <r>
    <x v="36"/>
    <x v="36"/>
    <x v="153"/>
    <x v="1"/>
    <x v="2"/>
    <x v="1"/>
    <x v="1"/>
    <x v="1"/>
    <x v="1"/>
    <x v="1"/>
    <x v="1"/>
    <x v="1"/>
    <x v="1"/>
    <x v="0"/>
    <x v="1"/>
    <x v="0"/>
    <x v="1"/>
  </r>
  <r>
    <x v="40"/>
    <x v="40"/>
    <x v="154"/>
    <x v="2"/>
    <x v="116"/>
    <x v="76"/>
    <x v="103"/>
    <x v="1"/>
    <x v="1"/>
    <x v="2"/>
    <x v="1"/>
    <x v="1"/>
    <x v="2"/>
    <x v="0"/>
    <x v="1"/>
    <x v="0"/>
    <x v="1"/>
  </r>
  <r>
    <x v="71"/>
    <x v="71"/>
    <x v="155"/>
    <x v="8"/>
    <x v="117"/>
    <x v="94"/>
    <x v="104"/>
    <x v="1"/>
    <x v="1"/>
    <x v="2"/>
    <x v="1"/>
    <x v="1"/>
    <x v="2"/>
    <x v="0"/>
    <x v="1"/>
    <x v="0"/>
    <x v="1"/>
  </r>
  <r>
    <x v="28"/>
    <x v="28"/>
    <x v="156"/>
    <x v="1"/>
    <x v="2"/>
    <x v="1"/>
    <x v="1"/>
    <x v="1"/>
    <x v="1"/>
    <x v="1"/>
    <x v="1"/>
    <x v="1"/>
    <x v="1"/>
    <x v="0"/>
    <x v="1"/>
    <x v="0"/>
    <x v="1"/>
  </r>
  <r>
    <x v="27"/>
    <x v="27"/>
    <x v="120"/>
    <x v="1"/>
    <x v="2"/>
    <x v="1"/>
    <x v="1"/>
    <x v="1"/>
    <x v="1"/>
    <x v="1"/>
    <x v="1"/>
    <x v="1"/>
    <x v="1"/>
    <x v="0"/>
    <x v="1"/>
    <x v="0"/>
    <x v="1"/>
  </r>
  <r>
    <x v="23"/>
    <x v="23"/>
    <x v="157"/>
    <x v="22"/>
    <x v="118"/>
    <x v="95"/>
    <x v="105"/>
    <x v="7"/>
    <x v="45"/>
    <x v="46"/>
    <x v="0"/>
    <x v="5"/>
    <x v="19"/>
    <x v="6"/>
    <x v="1"/>
    <x v="17"/>
    <x v="1"/>
  </r>
  <r>
    <x v="26"/>
    <x v="26"/>
    <x v="158"/>
    <x v="5"/>
    <x v="119"/>
    <x v="96"/>
    <x v="28"/>
    <x v="1"/>
    <x v="1"/>
    <x v="2"/>
    <x v="1"/>
    <x v="1"/>
    <x v="2"/>
    <x v="0"/>
    <x v="1"/>
    <x v="0"/>
    <x v="1"/>
  </r>
  <r>
    <x v="25"/>
    <x v="25"/>
    <x v="159"/>
    <x v="0"/>
    <x v="120"/>
    <x v="2"/>
    <x v="102"/>
    <x v="8"/>
    <x v="46"/>
    <x v="47"/>
    <x v="0"/>
    <x v="0"/>
    <x v="0"/>
    <x v="0"/>
    <x v="0"/>
    <x v="0"/>
    <x v="10"/>
  </r>
  <r>
    <x v="42"/>
    <x v="42"/>
    <x v="160"/>
    <x v="3"/>
    <x v="121"/>
    <x v="97"/>
    <x v="73"/>
    <x v="1"/>
    <x v="1"/>
    <x v="2"/>
    <x v="1"/>
    <x v="1"/>
    <x v="2"/>
    <x v="0"/>
    <x v="1"/>
    <x v="0"/>
    <x v="1"/>
  </r>
  <r>
    <x v="24"/>
    <x v="24"/>
    <x v="161"/>
    <x v="5"/>
    <x v="122"/>
    <x v="98"/>
    <x v="106"/>
    <x v="11"/>
    <x v="47"/>
    <x v="48"/>
    <x v="0"/>
    <x v="0"/>
    <x v="14"/>
    <x v="0"/>
    <x v="0"/>
    <x v="0"/>
    <x v="13"/>
  </r>
  <r>
    <x v="30"/>
    <x v="30"/>
    <x v="162"/>
    <x v="0"/>
    <x v="123"/>
    <x v="2"/>
    <x v="102"/>
    <x v="1"/>
    <x v="1"/>
    <x v="2"/>
    <x v="1"/>
    <x v="1"/>
    <x v="2"/>
    <x v="0"/>
    <x v="1"/>
    <x v="0"/>
    <x v="1"/>
  </r>
  <r>
    <x v="31"/>
    <x v="31"/>
    <x v="110"/>
    <x v="2"/>
    <x v="124"/>
    <x v="99"/>
    <x v="107"/>
    <x v="1"/>
    <x v="1"/>
    <x v="2"/>
    <x v="1"/>
    <x v="1"/>
    <x v="2"/>
    <x v="0"/>
    <x v="1"/>
    <x v="0"/>
    <x v="1"/>
  </r>
  <r>
    <x v="32"/>
    <x v="32"/>
    <x v="163"/>
    <x v="28"/>
    <x v="125"/>
    <x v="100"/>
    <x v="108"/>
    <x v="21"/>
    <x v="48"/>
    <x v="49"/>
    <x v="6"/>
    <x v="11"/>
    <x v="27"/>
    <x v="4"/>
    <x v="5"/>
    <x v="18"/>
    <x v="14"/>
  </r>
  <r>
    <x v="29"/>
    <x v="29"/>
    <x v="164"/>
    <x v="1"/>
    <x v="2"/>
    <x v="1"/>
    <x v="1"/>
    <x v="1"/>
    <x v="1"/>
    <x v="1"/>
    <x v="1"/>
    <x v="1"/>
    <x v="1"/>
    <x v="0"/>
    <x v="1"/>
    <x v="0"/>
    <x v="1"/>
  </r>
  <r>
    <x v="72"/>
    <x v="72"/>
    <x v="165"/>
    <x v="0"/>
    <x v="126"/>
    <x v="101"/>
    <x v="109"/>
    <x v="8"/>
    <x v="49"/>
    <x v="50"/>
    <x v="0"/>
    <x v="0"/>
    <x v="0"/>
    <x v="0"/>
    <x v="0"/>
    <x v="0"/>
    <x v="10"/>
  </r>
  <r>
    <x v="73"/>
    <x v="73"/>
    <x v="166"/>
    <x v="5"/>
    <x v="127"/>
    <x v="102"/>
    <x v="87"/>
    <x v="1"/>
    <x v="1"/>
    <x v="2"/>
    <x v="1"/>
    <x v="1"/>
    <x v="2"/>
    <x v="0"/>
    <x v="1"/>
    <x v="0"/>
    <x v="1"/>
  </r>
  <r>
    <x v="46"/>
    <x v="46"/>
    <x v="167"/>
    <x v="0"/>
    <x v="28"/>
    <x v="83"/>
    <x v="88"/>
    <x v="1"/>
    <x v="1"/>
    <x v="2"/>
    <x v="1"/>
    <x v="1"/>
    <x v="2"/>
    <x v="0"/>
    <x v="1"/>
    <x v="0"/>
    <x v="1"/>
  </r>
  <r>
    <x v="73"/>
    <x v="73"/>
    <x v="168"/>
    <x v="1"/>
    <x v="2"/>
    <x v="1"/>
    <x v="1"/>
    <x v="1"/>
    <x v="1"/>
    <x v="1"/>
    <x v="1"/>
    <x v="1"/>
    <x v="1"/>
    <x v="0"/>
    <x v="1"/>
    <x v="0"/>
    <x v="1"/>
  </r>
  <r>
    <x v="69"/>
    <x v="69"/>
    <x v="2"/>
    <x v="1"/>
    <x v="2"/>
    <x v="1"/>
    <x v="1"/>
    <x v="1"/>
    <x v="1"/>
    <x v="1"/>
    <x v="1"/>
    <x v="1"/>
    <x v="1"/>
    <x v="0"/>
    <x v="1"/>
    <x v="0"/>
    <x v="1"/>
  </r>
  <r>
    <x v="73"/>
    <x v="73"/>
    <x v="169"/>
    <x v="0"/>
    <x v="128"/>
    <x v="103"/>
    <x v="110"/>
    <x v="1"/>
    <x v="1"/>
    <x v="2"/>
    <x v="1"/>
    <x v="1"/>
    <x v="2"/>
    <x v="0"/>
    <x v="1"/>
    <x v="0"/>
    <x v="1"/>
  </r>
  <r>
    <x v="73"/>
    <x v="73"/>
    <x v="170"/>
    <x v="1"/>
    <x v="2"/>
    <x v="1"/>
    <x v="1"/>
    <x v="1"/>
    <x v="1"/>
    <x v="1"/>
    <x v="1"/>
    <x v="1"/>
    <x v="1"/>
    <x v="0"/>
    <x v="1"/>
    <x v="0"/>
    <x v="1"/>
  </r>
  <r>
    <x v="72"/>
    <x v="72"/>
    <x v="171"/>
    <x v="0"/>
    <x v="129"/>
    <x v="44"/>
    <x v="106"/>
    <x v="1"/>
    <x v="1"/>
    <x v="2"/>
    <x v="1"/>
    <x v="1"/>
    <x v="2"/>
    <x v="0"/>
    <x v="1"/>
    <x v="0"/>
    <x v="1"/>
  </r>
  <r>
    <x v="72"/>
    <x v="72"/>
    <x v="0"/>
    <x v="1"/>
    <x v="2"/>
    <x v="1"/>
    <x v="1"/>
    <x v="1"/>
    <x v="1"/>
    <x v="1"/>
    <x v="1"/>
    <x v="1"/>
    <x v="1"/>
    <x v="0"/>
    <x v="1"/>
    <x v="0"/>
    <x v="1"/>
  </r>
  <r>
    <x v="72"/>
    <x v="72"/>
    <x v="136"/>
    <x v="1"/>
    <x v="2"/>
    <x v="1"/>
    <x v="1"/>
    <x v="1"/>
    <x v="1"/>
    <x v="1"/>
    <x v="1"/>
    <x v="1"/>
    <x v="1"/>
    <x v="0"/>
    <x v="1"/>
    <x v="0"/>
    <x v="1"/>
  </r>
  <r>
    <x v="69"/>
    <x v="69"/>
    <x v="172"/>
    <x v="1"/>
    <x v="2"/>
    <x v="1"/>
    <x v="1"/>
    <x v="1"/>
    <x v="1"/>
    <x v="1"/>
    <x v="1"/>
    <x v="1"/>
    <x v="1"/>
    <x v="0"/>
    <x v="1"/>
    <x v="0"/>
    <x v="1"/>
  </r>
  <r>
    <x v="72"/>
    <x v="72"/>
    <x v="93"/>
    <x v="1"/>
    <x v="2"/>
    <x v="1"/>
    <x v="1"/>
    <x v="1"/>
    <x v="1"/>
    <x v="1"/>
    <x v="1"/>
    <x v="1"/>
    <x v="1"/>
    <x v="0"/>
    <x v="1"/>
    <x v="0"/>
    <x v="1"/>
  </r>
  <r>
    <x v="69"/>
    <x v="69"/>
    <x v="173"/>
    <x v="1"/>
    <x v="2"/>
    <x v="1"/>
    <x v="1"/>
    <x v="1"/>
    <x v="1"/>
    <x v="1"/>
    <x v="1"/>
    <x v="1"/>
    <x v="1"/>
    <x v="0"/>
    <x v="1"/>
    <x v="0"/>
    <x v="1"/>
  </r>
  <r>
    <x v="28"/>
    <x v="28"/>
    <x v="174"/>
    <x v="29"/>
    <x v="130"/>
    <x v="104"/>
    <x v="111"/>
    <x v="22"/>
    <x v="50"/>
    <x v="51"/>
    <x v="0"/>
    <x v="0"/>
    <x v="28"/>
    <x v="2"/>
    <x v="1"/>
    <x v="19"/>
    <x v="1"/>
  </r>
  <r>
    <x v="27"/>
    <x v="27"/>
    <x v="175"/>
    <x v="2"/>
    <x v="131"/>
    <x v="46"/>
    <x v="112"/>
    <x v="1"/>
    <x v="1"/>
    <x v="2"/>
    <x v="1"/>
    <x v="1"/>
    <x v="2"/>
    <x v="0"/>
    <x v="1"/>
    <x v="0"/>
    <x v="1"/>
  </r>
  <r>
    <x v="27"/>
    <x v="27"/>
    <x v="92"/>
    <x v="1"/>
    <x v="2"/>
    <x v="1"/>
    <x v="1"/>
    <x v="1"/>
    <x v="1"/>
    <x v="1"/>
    <x v="1"/>
    <x v="1"/>
    <x v="1"/>
    <x v="0"/>
    <x v="1"/>
    <x v="0"/>
    <x v="1"/>
  </r>
  <r>
    <x v="28"/>
    <x v="28"/>
    <x v="176"/>
    <x v="1"/>
    <x v="2"/>
    <x v="1"/>
    <x v="1"/>
    <x v="1"/>
    <x v="1"/>
    <x v="1"/>
    <x v="1"/>
    <x v="1"/>
    <x v="1"/>
    <x v="0"/>
    <x v="1"/>
    <x v="0"/>
    <x v="1"/>
  </r>
  <r>
    <x v="24"/>
    <x v="24"/>
    <x v="169"/>
    <x v="1"/>
    <x v="2"/>
    <x v="1"/>
    <x v="1"/>
    <x v="1"/>
    <x v="1"/>
    <x v="1"/>
    <x v="1"/>
    <x v="1"/>
    <x v="1"/>
    <x v="0"/>
    <x v="1"/>
    <x v="0"/>
    <x v="1"/>
  </r>
  <r>
    <x v="23"/>
    <x v="23"/>
    <x v="177"/>
    <x v="6"/>
    <x v="132"/>
    <x v="37"/>
    <x v="113"/>
    <x v="23"/>
    <x v="51"/>
    <x v="52"/>
    <x v="5"/>
    <x v="3"/>
    <x v="29"/>
    <x v="8"/>
    <x v="1"/>
    <x v="20"/>
    <x v="1"/>
  </r>
  <r>
    <x v="26"/>
    <x v="26"/>
    <x v="0"/>
    <x v="0"/>
    <x v="0"/>
    <x v="20"/>
    <x v="21"/>
    <x v="1"/>
    <x v="1"/>
    <x v="2"/>
    <x v="1"/>
    <x v="1"/>
    <x v="2"/>
    <x v="0"/>
    <x v="1"/>
    <x v="0"/>
    <x v="1"/>
  </r>
  <r>
    <x v="25"/>
    <x v="25"/>
    <x v="167"/>
    <x v="1"/>
    <x v="2"/>
    <x v="1"/>
    <x v="1"/>
    <x v="1"/>
    <x v="1"/>
    <x v="1"/>
    <x v="1"/>
    <x v="1"/>
    <x v="1"/>
    <x v="0"/>
    <x v="1"/>
    <x v="0"/>
    <x v="1"/>
  </r>
  <r>
    <x v="42"/>
    <x v="42"/>
    <x v="136"/>
    <x v="1"/>
    <x v="2"/>
    <x v="1"/>
    <x v="1"/>
    <x v="1"/>
    <x v="1"/>
    <x v="1"/>
    <x v="1"/>
    <x v="1"/>
    <x v="1"/>
    <x v="0"/>
    <x v="1"/>
    <x v="0"/>
    <x v="1"/>
  </r>
  <r>
    <x v="23"/>
    <x v="23"/>
    <x v="178"/>
    <x v="30"/>
    <x v="133"/>
    <x v="105"/>
    <x v="114"/>
    <x v="24"/>
    <x v="52"/>
    <x v="53"/>
    <x v="10"/>
    <x v="12"/>
    <x v="30"/>
    <x v="9"/>
    <x v="8"/>
    <x v="21"/>
    <x v="15"/>
  </r>
  <r>
    <x v="26"/>
    <x v="26"/>
    <x v="179"/>
    <x v="3"/>
    <x v="134"/>
    <x v="106"/>
    <x v="115"/>
    <x v="1"/>
    <x v="1"/>
    <x v="2"/>
    <x v="1"/>
    <x v="1"/>
    <x v="2"/>
    <x v="0"/>
    <x v="1"/>
    <x v="0"/>
    <x v="1"/>
  </r>
  <r>
    <x v="24"/>
    <x v="24"/>
    <x v="180"/>
    <x v="31"/>
    <x v="135"/>
    <x v="107"/>
    <x v="116"/>
    <x v="25"/>
    <x v="53"/>
    <x v="54"/>
    <x v="2"/>
    <x v="10"/>
    <x v="31"/>
    <x v="8"/>
    <x v="0"/>
    <x v="20"/>
    <x v="13"/>
  </r>
  <r>
    <x v="32"/>
    <x v="32"/>
    <x v="181"/>
    <x v="13"/>
    <x v="136"/>
    <x v="108"/>
    <x v="117"/>
    <x v="14"/>
    <x v="54"/>
    <x v="55"/>
    <x v="0"/>
    <x v="0"/>
    <x v="16"/>
    <x v="2"/>
    <x v="1"/>
    <x v="14"/>
    <x v="1"/>
  </r>
  <r>
    <x v="31"/>
    <x v="31"/>
    <x v="182"/>
    <x v="0"/>
    <x v="137"/>
    <x v="109"/>
    <x v="118"/>
    <x v="1"/>
    <x v="1"/>
    <x v="2"/>
    <x v="1"/>
    <x v="1"/>
    <x v="2"/>
    <x v="0"/>
    <x v="1"/>
    <x v="0"/>
    <x v="1"/>
  </r>
  <r>
    <x v="30"/>
    <x v="30"/>
    <x v="78"/>
    <x v="1"/>
    <x v="2"/>
    <x v="1"/>
    <x v="1"/>
    <x v="1"/>
    <x v="1"/>
    <x v="1"/>
    <x v="1"/>
    <x v="1"/>
    <x v="1"/>
    <x v="0"/>
    <x v="1"/>
    <x v="0"/>
    <x v="1"/>
  </r>
  <r>
    <x v="29"/>
    <x v="29"/>
    <x v="183"/>
    <x v="1"/>
    <x v="2"/>
    <x v="1"/>
    <x v="1"/>
    <x v="1"/>
    <x v="1"/>
    <x v="1"/>
    <x v="1"/>
    <x v="1"/>
    <x v="1"/>
    <x v="0"/>
    <x v="1"/>
    <x v="0"/>
    <x v="1"/>
  </r>
  <r>
    <x v="29"/>
    <x v="29"/>
    <x v="120"/>
    <x v="1"/>
    <x v="2"/>
    <x v="1"/>
    <x v="1"/>
    <x v="1"/>
    <x v="1"/>
    <x v="1"/>
    <x v="1"/>
    <x v="1"/>
    <x v="1"/>
    <x v="0"/>
    <x v="1"/>
    <x v="0"/>
    <x v="1"/>
  </r>
  <r>
    <x v="31"/>
    <x v="31"/>
    <x v="184"/>
    <x v="2"/>
    <x v="138"/>
    <x v="44"/>
    <x v="30"/>
    <x v="1"/>
    <x v="1"/>
    <x v="2"/>
    <x v="1"/>
    <x v="1"/>
    <x v="2"/>
    <x v="0"/>
    <x v="1"/>
    <x v="0"/>
    <x v="1"/>
  </r>
  <r>
    <x v="41"/>
    <x v="41"/>
    <x v="1"/>
    <x v="1"/>
    <x v="1"/>
    <x v="1"/>
    <x v="1"/>
    <x v="1"/>
    <x v="1"/>
    <x v="1"/>
    <x v="1"/>
    <x v="1"/>
    <x v="1"/>
    <x v="0"/>
    <x v="1"/>
    <x v="0"/>
    <x v="1"/>
  </r>
  <r>
    <x v="32"/>
    <x v="32"/>
    <x v="185"/>
    <x v="32"/>
    <x v="139"/>
    <x v="110"/>
    <x v="119"/>
    <x v="26"/>
    <x v="55"/>
    <x v="56"/>
    <x v="11"/>
    <x v="13"/>
    <x v="32"/>
    <x v="10"/>
    <x v="9"/>
    <x v="22"/>
    <x v="16"/>
  </r>
  <r>
    <x v="66"/>
    <x v="66"/>
    <x v="46"/>
    <x v="1"/>
    <x v="2"/>
    <x v="1"/>
    <x v="1"/>
    <x v="1"/>
    <x v="1"/>
    <x v="1"/>
    <x v="1"/>
    <x v="1"/>
    <x v="1"/>
    <x v="0"/>
    <x v="1"/>
    <x v="0"/>
    <x v="1"/>
  </r>
  <r>
    <x v="46"/>
    <x v="46"/>
    <x v="26"/>
    <x v="1"/>
    <x v="2"/>
    <x v="1"/>
    <x v="1"/>
    <x v="1"/>
    <x v="1"/>
    <x v="1"/>
    <x v="1"/>
    <x v="1"/>
    <x v="1"/>
    <x v="0"/>
    <x v="1"/>
    <x v="0"/>
    <x v="1"/>
  </r>
  <r>
    <x v="73"/>
    <x v="73"/>
    <x v="173"/>
    <x v="1"/>
    <x v="2"/>
    <x v="1"/>
    <x v="1"/>
    <x v="1"/>
    <x v="1"/>
    <x v="1"/>
    <x v="1"/>
    <x v="1"/>
    <x v="1"/>
    <x v="0"/>
    <x v="1"/>
    <x v="0"/>
    <x v="1"/>
  </r>
  <r>
    <x v="72"/>
    <x v="72"/>
    <x v="92"/>
    <x v="1"/>
    <x v="2"/>
    <x v="1"/>
    <x v="1"/>
    <x v="1"/>
    <x v="1"/>
    <x v="1"/>
    <x v="1"/>
    <x v="1"/>
    <x v="1"/>
    <x v="0"/>
    <x v="1"/>
    <x v="0"/>
    <x v="1"/>
  </r>
  <r>
    <x v="69"/>
    <x v="69"/>
    <x v="5"/>
    <x v="1"/>
    <x v="2"/>
    <x v="1"/>
    <x v="1"/>
    <x v="1"/>
    <x v="1"/>
    <x v="1"/>
    <x v="1"/>
    <x v="1"/>
    <x v="1"/>
    <x v="0"/>
    <x v="1"/>
    <x v="0"/>
    <x v="1"/>
  </r>
  <r>
    <x v="66"/>
    <x v="66"/>
    <x v="150"/>
    <x v="1"/>
    <x v="2"/>
    <x v="1"/>
    <x v="1"/>
    <x v="1"/>
    <x v="1"/>
    <x v="1"/>
    <x v="1"/>
    <x v="1"/>
    <x v="1"/>
    <x v="0"/>
    <x v="1"/>
    <x v="0"/>
    <x v="1"/>
  </r>
  <r>
    <x v="66"/>
    <x v="66"/>
    <x v="186"/>
    <x v="1"/>
    <x v="2"/>
    <x v="1"/>
    <x v="1"/>
    <x v="1"/>
    <x v="1"/>
    <x v="1"/>
    <x v="1"/>
    <x v="1"/>
    <x v="1"/>
    <x v="0"/>
    <x v="1"/>
    <x v="0"/>
    <x v="1"/>
  </r>
  <r>
    <x v="74"/>
    <x v="74"/>
    <x v="187"/>
    <x v="9"/>
    <x v="140"/>
    <x v="111"/>
    <x v="120"/>
    <x v="1"/>
    <x v="1"/>
    <x v="2"/>
    <x v="1"/>
    <x v="1"/>
    <x v="2"/>
    <x v="0"/>
    <x v="1"/>
    <x v="0"/>
    <x v="1"/>
  </r>
  <r>
    <x v="75"/>
    <x v="75"/>
    <x v="188"/>
    <x v="33"/>
    <x v="141"/>
    <x v="112"/>
    <x v="121"/>
    <x v="27"/>
    <x v="56"/>
    <x v="57"/>
    <x v="2"/>
    <x v="3"/>
    <x v="33"/>
    <x v="8"/>
    <x v="1"/>
    <x v="23"/>
    <x v="1"/>
  </r>
  <r>
    <x v="76"/>
    <x v="76"/>
    <x v="189"/>
    <x v="3"/>
    <x v="142"/>
    <x v="113"/>
    <x v="122"/>
    <x v="1"/>
    <x v="1"/>
    <x v="2"/>
    <x v="1"/>
    <x v="1"/>
    <x v="2"/>
    <x v="0"/>
    <x v="1"/>
    <x v="0"/>
    <x v="1"/>
  </r>
  <r>
    <x v="77"/>
    <x v="77"/>
    <x v="1"/>
    <x v="1"/>
    <x v="1"/>
    <x v="1"/>
    <x v="1"/>
    <x v="1"/>
    <x v="1"/>
    <x v="1"/>
    <x v="1"/>
    <x v="1"/>
    <x v="1"/>
    <x v="0"/>
    <x v="1"/>
    <x v="0"/>
    <x v="1"/>
  </r>
  <r>
    <x v="78"/>
    <x v="78"/>
    <x v="190"/>
    <x v="23"/>
    <x v="143"/>
    <x v="114"/>
    <x v="123"/>
    <x v="28"/>
    <x v="57"/>
    <x v="58"/>
    <x v="2"/>
    <x v="2"/>
    <x v="34"/>
    <x v="2"/>
    <x v="3"/>
    <x v="24"/>
    <x v="17"/>
  </r>
  <r>
    <x v="79"/>
    <x v="79"/>
    <x v="191"/>
    <x v="0"/>
    <x v="144"/>
    <x v="115"/>
    <x v="124"/>
    <x v="1"/>
    <x v="1"/>
    <x v="2"/>
    <x v="1"/>
    <x v="1"/>
    <x v="2"/>
    <x v="0"/>
    <x v="1"/>
    <x v="0"/>
    <x v="1"/>
  </r>
  <r>
    <x v="78"/>
    <x v="78"/>
    <x v="192"/>
    <x v="5"/>
    <x v="43"/>
    <x v="116"/>
    <x v="125"/>
    <x v="1"/>
    <x v="1"/>
    <x v="2"/>
    <x v="1"/>
    <x v="1"/>
    <x v="2"/>
    <x v="0"/>
    <x v="1"/>
    <x v="0"/>
    <x v="1"/>
  </r>
  <r>
    <x v="78"/>
    <x v="78"/>
    <x v="174"/>
    <x v="34"/>
    <x v="145"/>
    <x v="117"/>
    <x v="126"/>
    <x v="1"/>
    <x v="1"/>
    <x v="2"/>
    <x v="1"/>
    <x v="1"/>
    <x v="2"/>
    <x v="0"/>
    <x v="1"/>
    <x v="0"/>
    <x v="1"/>
  </r>
  <r>
    <x v="80"/>
    <x v="80"/>
    <x v="193"/>
    <x v="28"/>
    <x v="146"/>
    <x v="118"/>
    <x v="58"/>
    <x v="1"/>
    <x v="1"/>
    <x v="2"/>
    <x v="1"/>
    <x v="1"/>
    <x v="2"/>
    <x v="0"/>
    <x v="1"/>
    <x v="0"/>
    <x v="1"/>
  </r>
  <r>
    <x v="76"/>
    <x v="76"/>
    <x v="194"/>
    <x v="25"/>
    <x v="147"/>
    <x v="119"/>
    <x v="120"/>
    <x v="1"/>
    <x v="1"/>
    <x v="2"/>
    <x v="1"/>
    <x v="1"/>
    <x v="2"/>
    <x v="0"/>
    <x v="1"/>
    <x v="0"/>
    <x v="1"/>
  </r>
  <r>
    <x v="81"/>
    <x v="81"/>
    <x v="1"/>
    <x v="1"/>
    <x v="1"/>
    <x v="1"/>
    <x v="1"/>
    <x v="1"/>
    <x v="1"/>
    <x v="1"/>
    <x v="1"/>
    <x v="1"/>
    <x v="1"/>
    <x v="0"/>
    <x v="1"/>
    <x v="0"/>
    <x v="1"/>
  </r>
  <r>
    <x v="82"/>
    <x v="82"/>
    <x v="195"/>
    <x v="8"/>
    <x v="148"/>
    <x v="120"/>
    <x v="66"/>
    <x v="1"/>
    <x v="1"/>
    <x v="2"/>
    <x v="1"/>
    <x v="1"/>
    <x v="2"/>
    <x v="0"/>
    <x v="1"/>
    <x v="0"/>
    <x v="1"/>
  </r>
  <r>
    <x v="83"/>
    <x v="83"/>
    <x v="196"/>
    <x v="29"/>
    <x v="149"/>
    <x v="121"/>
    <x v="127"/>
    <x v="29"/>
    <x v="58"/>
    <x v="59"/>
    <x v="5"/>
    <x v="2"/>
    <x v="35"/>
    <x v="6"/>
    <x v="0"/>
    <x v="25"/>
    <x v="18"/>
  </r>
  <r>
    <x v="84"/>
    <x v="84"/>
    <x v="197"/>
    <x v="23"/>
    <x v="150"/>
    <x v="122"/>
    <x v="128"/>
    <x v="30"/>
    <x v="59"/>
    <x v="60"/>
    <x v="0"/>
    <x v="0"/>
    <x v="36"/>
    <x v="0"/>
    <x v="0"/>
    <x v="0"/>
    <x v="18"/>
  </r>
  <r>
    <x v="83"/>
    <x v="83"/>
    <x v="198"/>
    <x v="28"/>
    <x v="151"/>
    <x v="123"/>
    <x v="129"/>
    <x v="1"/>
    <x v="1"/>
    <x v="2"/>
    <x v="1"/>
    <x v="1"/>
    <x v="2"/>
    <x v="0"/>
    <x v="1"/>
    <x v="0"/>
    <x v="1"/>
  </r>
  <r>
    <x v="85"/>
    <x v="85"/>
    <x v="199"/>
    <x v="22"/>
    <x v="152"/>
    <x v="124"/>
    <x v="130"/>
    <x v="30"/>
    <x v="60"/>
    <x v="61"/>
    <x v="0"/>
    <x v="0"/>
    <x v="19"/>
    <x v="0"/>
    <x v="0"/>
    <x v="0"/>
    <x v="18"/>
  </r>
  <r>
    <x v="86"/>
    <x v="86"/>
    <x v="200"/>
    <x v="35"/>
    <x v="153"/>
    <x v="125"/>
    <x v="131"/>
    <x v="31"/>
    <x v="61"/>
    <x v="62"/>
    <x v="3"/>
    <x v="3"/>
    <x v="37"/>
    <x v="2"/>
    <x v="5"/>
    <x v="26"/>
    <x v="19"/>
  </r>
  <r>
    <x v="87"/>
    <x v="87"/>
    <x v="201"/>
    <x v="9"/>
    <x v="154"/>
    <x v="126"/>
    <x v="132"/>
    <x v="1"/>
    <x v="1"/>
    <x v="2"/>
    <x v="1"/>
    <x v="1"/>
    <x v="2"/>
    <x v="0"/>
    <x v="1"/>
    <x v="0"/>
    <x v="1"/>
  </r>
  <r>
    <x v="87"/>
    <x v="87"/>
    <x v="202"/>
    <x v="22"/>
    <x v="155"/>
    <x v="127"/>
    <x v="133"/>
    <x v="32"/>
    <x v="62"/>
    <x v="63"/>
    <x v="0"/>
    <x v="0"/>
    <x v="19"/>
    <x v="2"/>
    <x v="1"/>
    <x v="27"/>
    <x v="1"/>
  </r>
  <r>
    <x v="88"/>
    <x v="88"/>
    <x v="203"/>
    <x v="21"/>
    <x v="156"/>
    <x v="128"/>
    <x v="134"/>
    <x v="1"/>
    <x v="1"/>
    <x v="2"/>
    <x v="1"/>
    <x v="1"/>
    <x v="2"/>
    <x v="0"/>
    <x v="1"/>
    <x v="0"/>
    <x v="1"/>
  </r>
  <r>
    <x v="89"/>
    <x v="89"/>
    <x v="176"/>
    <x v="1"/>
    <x v="2"/>
    <x v="1"/>
    <x v="1"/>
    <x v="1"/>
    <x v="1"/>
    <x v="1"/>
    <x v="1"/>
    <x v="1"/>
    <x v="1"/>
    <x v="0"/>
    <x v="1"/>
    <x v="0"/>
    <x v="1"/>
  </r>
  <r>
    <x v="90"/>
    <x v="90"/>
    <x v="142"/>
    <x v="0"/>
    <x v="157"/>
    <x v="51"/>
    <x v="31"/>
    <x v="1"/>
    <x v="1"/>
    <x v="2"/>
    <x v="1"/>
    <x v="1"/>
    <x v="2"/>
    <x v="0"/>
    <x v="1"/>
    <x v="0"/>
    <x v="1"/>
  </r>
  <r>
    <x v="91"/>
    <x v="91"/>
    <x v="204"/>
    <x v="12"/>
    <x v="158"/>
    <x v="129"/>
    <x v="135"/>
    <x v="1"/>
    <x v="1"/>
    <x v="2"/>
    <x v="1"/>
    <x v="1"/>
    <x v="2"/>
    <x v="0"/>
    <x v="1"/>
    <x v="0"/>
    <x v="1"/>
  </r>
  <r>
    <x v="92"/>
    <x v="92"/>
    <x v="158"/>
    <x v="1"/>
    <x v="2"/>
    <x v="1"/>
    <x v="1"/>
    <x v="1"/>
    <x v="1"/>
    <x v="1"/>
    <x v="1"/>
    <x v="1"/>
    <x v="1"/>
    <x v="0"/>
    <x v="1"/>
    <x v="0"/>
    <x v="1"/>
  </r>
  <r>
    <x v="93"/>
    <x v="93"/>
    <x v="205"/>
    <x v="0"/>
    <x v="159"/>
    <x v="130"/>
    <x v="136"/>
    <x v="1"/>
    <x v="1"/>
    <x v="2"/>
    <x v="1"/>
    <x v="1"/>
    <x v="2"/>
    <x v="0"/>
    <x v="1"/>
    <x v="0"/>
    <x v="1"/>
  </r>
  <r>
    <x v="94"/>
    <x v="94"/>
    <x v="206"/>
    <x v="3"/>
    <x v="160"/>
    <x v="131"/>
    <x v="105"/>
    <x v="1"/>
    <x v="1"/>
    <x v="2"/>
    <x v="1"/>
    <x v="1"/>
    <x v="2"/>
    <x v="0"/>
    <x v="1"/>
    <x v="0"/>
    <x v="1"/>
  </r>
  <r>
    <x v="89"/>
    <x v="89"/>
    <x v="192"/>
    <x v="0"/>
    <x v="161"/>
    <x v="116"/>
    <x v="73"/>
    <x v="1"/>
    <x v="1"/>
    <x v="2"/>
    <x v="1"/>
    <x v="1"/>
    <x v="2"/>
    <x v="0"/>
    <x v="1"/>
    <x v="0"/>
    <x v="1"/>
  </r>
  <r>
    <x v="90"/>
    <x v="90"/>
    <x v="207"/>
    <x v="1"/>
    <x v="2"/>
    <x v="1"/>
    <x v="1"/>
    <x v="1"/>
    <x v="1"/>
    <x v="1"/>
    <x v="1"/>
    <x v="1"/>
    <x v="1"/>
    <x v="0"/>
    <x v="1"/>
    <x v="0"/>
    <x v="1"/>
  </r>
  <r>
    <x v="91"/>
    <x v="91"/>
    <x v="208"/>
    <x v="10"/>
    <x v="162"/>
    <x v="132"/>
    <x v="137"/>
    <x v="1"/>
    <x v="1"/>
    <x v="2"/>
    <x v="1"/>
    <x v="1"/>
    <x v="2"/>
    <x v="0"/>
    <x v="1"/>
    <x v="0"/>
    <x v="1"/>
  </r>
  <r>
    <x v="92"/>
    <x v="92"/>
    <x v="49"/>
    <x v="0"/>
    <x v="163"/>
    <x v="133"/>
    <x v="138"/>
    <x v="1"/>
    <x v="1"/>
    <x v="2"/>
    <x v="1"/>
    <x v="1"/>
    <x v="2"/>
    <x v="0"/>
    <x v="1"/>
    <x v="0"/>
    <x v="1"/>
  </r>
  <r>
    <x v="93"/>
    <x v="93"/>
    <x v="209"/>
    <x v="2"/>
    <x v="164"/>
    <x v="134"/>
    <x v="139"/>
    <x v="1"/>
    <x v="1"/>
    <x v="2"/>
    <x v="1"/>
    <x v="1"/>
    <x v="2"/>
    <x v="0"/>
    <x v="1"/>
    <x v="0"/>
    <x v="1"/>
  </r>
  <r>
    <x v="94"/>
    <x v="94"/>
    <x v="210"/>
    <x v="8"/>
    <x v="165"/>
    <x v="135"/>
    <x v="140"/>
    <x v="1"/>
    <x v="1"/>
    <x v="2"/>
    <x v="1"/>
    <x v="1"/>
    <x v="2"/>
    <x v="0"/>
    <x v="1"/>
    <x v="0"/>
    <x v="1"/>
  </r>
  <r>
    <x v="89"/>
    <x v="89"/>
    <x v="151"/>
    <x v="0"/>
    <x v="166"/>
    <x v="136"/>
    <x v="26"/>
    <x v="1"/>
    <x v="1"/>
    <x v="2"/>
    <x v="1"/>
    <x v="1"/>
    <x v="2"/>
    <x v="0"/>
    <x v="1"/>
    <x v="0"/>
    <x v="1"/>
  </r>
  <r>
    <x v="90"/>
    <x v="90"/>
    <x v="57"/>
    <x v="2"/>
    <x v="167"/>
    <x v="137"/>
    <x v="141"/>
    <x v="1"/>
    <x v="1"/>
    <x v="2"/>
    <x v="1"/>
    <x v="1"/>
    <x v="2"/>
    <x v="0"/>
    <x v="1"/>
    <x v="0"/>
    <x v="1"/>
  </r>
  <r>
    <x v="91"/>
    <x v="91"/>
    <x v="211"/>
    <x v="24"/>
    <x v="168"/>
    <x v="138"/>
    <x v="142"/>
    <x v="1"/>
    <x v="1"/>
    <x v="2"/>
    <x v="1"/>
    <x v="1"/>
    <x v="2"/>
    <x v="0"/>
    <x v="1"/>
    <x v="0"/>
    <x v="1"/>
  </r>
  <r>
    <x v="92"/>
    <x v="92"/>
    <x v="122"/>
    <x v="1"/>
    <x v="2"/>
    <x v="1"/>
    <x v="1"/>
    <x v="1"/>
    <x v="1"/>
    <x v="1"/>
    <x v="1"/>
    <x v="1"/>
    <x v="1"/>
    <x v="0"/>
    <x v="1"/>
    <x v="0"/>
    <x v="1"/>
  </r>
  <r>
    <x v="93"/>
    <x v="93"/>
    <x v="212"/>
    <x v="0"/>
    <x v="169"/>
    <x v="139"/>
    <x v="143"/>
    <x v="1"/>
    <x v="1"/>
    <x v="2"/>
    <x v="1"/>
    <x v="1"/>
    <x v="2"/>
    <x v="0"/>
    <x v="1"/>
    <x v="0"/>
    <x v="1"/>
  </r>
  <r>
    <x v="94"/>
    <x v="94"/>
    <x v="213"/>
    <x v="4"/>
    <x v="170"/>
    <x v="140"/>
    <x v="144"/>
    <x v="1"/>
    <x v="1"/>
    <x v="2"/>
    <x v="1"/>
    <x v="1"/>
    <x v="2"/>
    <x v="0"/>
    <x v="1"/>
    <x v="0"/>
    <x v="1"/>
  </r>
  <r>
    <x v="80"/>
    <x v="80"/>
    <x v="214"/>
    <x v="25"/>
    <x v="171"/>
    <x v="141"/>
    <x v="145"/>
    <x v="1"/>
    <x v="1"/>
    <x v="2"/>
    <x v="1"/>
    <x v="1"/>
    <x v="2"/>
    <x v="0"/>
    <x v="1"/>
    <x v="0"/>
    <x v="1"/>
  </r>
  <r>
    <x v="82"/>
    <x v="82"/>
    <x v="215"/>
    <x v="10"/>
    <x v="172"/>
    <x v="142"/>
    <x v="146"/>
    <x v="1"/>
    <x v="1"/>
    <x v="2"/>
    <x v="1"/>
    <x v="1"/>
    <x v="2"/>
    <x v="0"/>
    <x v="1"/>
    <x v="0"/>
    <x v="1"/>
  </r>
  <r>
    <x v="84"/>
    <x v="84"/>
    <x v="216"/>
    <x v="36"/>
    <x v="173"/>
    <x v="143"/>
    <x v="147"/>
    <x v="1"/>
    <x v="1"/>
    <x v="2"/>
    <x v="1"/>
    <x v="1"/>
    <x v="2"/>
    <x v="0"/>
    <x v="1"/>
    <x v="0"/>
    <x v="1"/>
  </r>
  <r>
    <x v="95"/>
    <x v="95"/>
    <x v="130"/>
    <x v="1"/>
    <x v="2"/>
    <x v="1"/>
    <x v="1"/>
    <x v="1"/>
    <x v="1"/>
    <x v="1"/>
    <x v="1"/>
    <x v="1"/>
    <x v="1"/>
    <x v="0"/>
    <x v="1"/>
    <x v="0"/>
    <x v="1"/>
  </r>
  <r>
    <x v="96"/>
    <x v="96"/>
    <x v="217"/>
    <x v="2"/>
    <x v="174"/>
    <x v="144"/>
    <x v="148"/>
    <x v="1"/>
    <x v="1"/>
    <x v="2"/>
    <x v="1"/>
    <x v="1"/>
    <x v="2"/>
    <x v="0"/>
    <x v="1"/>
    <x v="0"/>
    <x v="1"/>
  </r>
  <r>
    <x v="97"/>
    <x v="97"/>
    <x v="218"/>
    <x v="1"/>
    <x v="2"/>
    <x v="1"/>
    <x v="1"/>
    <x v="1"/>
    <x v="1"/>
    <x v="1"/>
    <x v="1"/>
    <x v="1"/>
    <x v="1"/>
    <x v="0"/>
    <x v="1"/>
    <x v="0"/>
    <x v="1"/>
  </r>
  <r>
    <x v="98"/>
    <x v="98"/>
    <x v="219"/>
    <x v="4"/>
    <x v="175"/>
    <x v="145"/>
    <x v="149"/>
    <x v="1"/>
    <x v="1"/>
    <x v="2"/>
    <x v="1"/>
    <x v="1"/>
    <x v="2"/>
    <x v="0"/>
    <x v="1"/>
    <x v="0"/>
    <x v="1"/>
  </r>
  <r>
    <x v="97"/>
    <x v="97"/>
    <x v="220"/>
    <x v="0"/>
    <x v="176"/>
    <x v="146"/>
    <x v="150"/>
    <x v="1"/>
    <x v="1"/>
    <x v="2"/>
    <x v="1"/>
    <x v="1"/>
    <x v="2"/>
    <x v="0"/>
    <x v="1"/>
    <x v="0"/>
    <x v="1"/>
  </r>
  <r>
    <x v="98"/>
    <x v="98"/>
    <x v="221"/>
    <x v="5"/>
    <x v="177"/>
    <x v="147"/>
    <x v="6"/>
    <x v="1"/>
    <x v="1"/>
    <x v="2"/>
    <x v="1"/>
    <x v="1"/>
    <x v="2"/>
    <x v="0"/>
    <x v="1"/>
    <x v="0"/>
    <x v="1"/>
  </r>
  <r>
    <x v="80"/>
    <x v="80"/>
    <x v="222"/>
    <x v="1"/>
    <x v="2"/>
    <x v="1"/>
    <x v="1"/>
    <x v="1"/>
    <x v="1"/>
    <x v="1"/>
    <x v="1"/>
    <x v="1"/>
    <x v="1"/>
    <x v="0"/>
    <x v="1"/>
    <x v="0"/>
    <x v="1"/>
  </r>
  <r>
    <x v="76"/>
    <x v="76"/>
    <x v="223"/>
    <x v="1"/>
    <x v="2"/>
    <x v="1"/>
    <x v="1"/>
    <x v="1"/>
    <x v="1"/>
    <x v="1"/>
    <x v="1"/>
    <x v="1"/>
    <x v="1"/>
    <x v="0"/>
    <x v="1"/>
    <x v="0"/>
    <x v="1"/>
  </r>
  <r>
    <x v="96"/>
    <x v="96"/>
    <x v="10"/>
    <x v="1"/>
    <x v="2"/>
    <x v="1"/>
    <x v="1"/>
    <x v="1"/>
    <x v="1"/>
    <x v="1"/>
    <x v="1"/>
    <x v="1"/>
    <x v="1"/>
    <x v="0"/>
    <x v="1"/>
    <x v="0"/>
    <x v="1"/>
  </r>
  <r>
    <x v="95"/>
    <x v="95"/>
    <x v="224"/>
    <x v="1"/>
    <x v="2"/>
    <x v="1"/>
    <x v="1"/>
    <x v="1"/>
    <x v="1"/>
    <x v="1"/>
    <x v="1"/>
    <x v="1"/>
    <x v="1"/>
    <x v="0"/>
    <x v="1"/>
    <x v="0"/>
    <x v="1"/>
  </r>
  <r>
    <x v="99"/>
    <x v="99"/>
    <x v="225"/>
    <x v="0"/>
    <x v="178"/>
    <x v="148"/>
    <x v="151"/>
    <x v="1"/>
    <x v="1"/>
    <x v="2"/>
    <x v="1"/>
    <x v="1"/>
    <x v="2"/>
    <x v="0"/>
    <x v="1"/>
    <x v="0"/>
    <x v="1"/>
  </r>
  <r>
    <x v="100"/>
    <x v="100"/>
    <x v="172"/>
    <x v="1"/>
    <x v="2"/>
    <x v="1"/>
    <x v="1"/>
    <x v="1"/>
    <x v="1"/>
    <x v="1"/>
    <x v="1"/>
    <x v="1"/>
    <x v="1"/>
    <x v="0"/>
    <x v="1"/>
    <x v="0"/>
    <x v="1"/>
  </r>
  <r>
    <x v="101"/>
    <x v="101"/>
    <x v="226"/>
    <x v="5"/>
    <x v="179"/>
    <x v="149"/>
    <x v="152"/>
    <x v="1"/>
    <x v="1"/>
    <x v="2"/>
    <x v="1"/>
    <x v="1"/>
    <x v="2"/>
    <x v="0"/>
    <x v="1"/>
    <x v="0"/>
    <x v="1"/>
  </r>
  <r>
    <x v="102"/>
    <x v="102"/>
    <x v="227"/>
    <x v="6"/>
    <x v="180"/>
    <x v="150"/>
    <x v="153"/>
    <x v="1"/>
    <x v="1"/>
    <x v="2"/>
    <x v="1"/>
    <x v="1"/>
    <x v="2"/>
    <x v="0"/>
    <x v="1"/>
    <x v="0"/>
    <x v="1"/>
  </r>
  <r>
    <x v="103"/>
    <x v="103"/>
    <x v="228"/>
    <x v="37"/>
    <x v="1"/>
    <x v="1"/>
    <x v="154"/>
    <x v="33"/>
    <x v="1"/>
    <x v="1"/>
    <x v="12"/>
    <x v="14"/>
    <x v="1"/>
    <x v="11"/>
    <x v="10"/>
    <x v="28"/>
    <x v="20"/>
  </r>
</pivotCacheRecords>
</file>

<file path=xl/pivotCache/pivotCacheRecords56.xml><?xml version="1.0" encoding="utf-8"?>
<pivotCacheRecords xmlns="http://schemas.openxmlformats.org/spreadsheetml/2006/main" xmlns:r="http://schemas.openxmlformats.org/officeDocument/2006/relationships" count="307">
  <r>
    <x v="0"/>
    <x v="0"/>
    <x v="0"/>
    <x v="0"/>
    <x v="0"/>
    <x v="0"/>
    <x v="0"/>
    <x v="0"/>
    <x v="0"/>
    <x v="0"/>
    <x v="0"/>
    <x v="0"/>
    <x v="0"/>
    <x v="0"/>
    <x v="0"/>
    <x v="0"/>
    <x v="0"/>
  </r>
  <r>
    <x v="1"/>
    <x v="1"/>
    <x v="1"/>
    <x v="1"/>
    <x v="1"/>
    <x v="1"/>
    <x v="1"/>
    <x v="1"/>
    <x v="1"/>
    <x v="1"/>
    <x v="1"/>
    <x v="1"/>
    <x v="1"/>
    <x v="0"/>
    <x v="1"/>
    <x v="0"/>
    <x v="1"/>
  </r>
  <r>
    <x v="2"/>
    <x v="2"/>
    <x v="2"/>
    <x v="0"/>
    <x v="2"/>
    <x v="2"/>
    <x v="2"/>
    <x v="1"/>
    <x v="1"/>
    <x v="2"/>
    <x v="1"/>
    <x v="1"/>
    <x v="2"/>
    <x v="0"/>
    <x v="1"/>
    <x v="0"/>
    <x v="1"/>
  </r>
  <r>
    <x v="3"/>
    <x v="3"/>
    <x v="3"/>
    <x v="0"/>
    <x v="3"/>
    <x v="2"/>
    <x v="2"/>
    <x v="2"/>
    <x v="2"/>
    <x v="3"/>
    <x v="0"/>
    <x v="0"/>
    <x v="0"/>
    <x v="0"/>
    <x v="0"/>
    <x v="0"/>
    <x v="2"/>
  </r>
  <r>
    <x v="0"/>
    <x v="0"/>
    <x v="4"/>
    <x v="2"/>
    <x v="4"/>
    <x v="3"/>
    <x v="3"/>
    <x v="2"/>
    <x v="3"/>
    <x v="4"/>
    <x v="0"/>
    <x v="0"/>
    <x v="3"/>
    <x v="1"/>
    <x v="1"/>
    <x v="1"/>
    <x v="1"/>
  </r>
  <r>
    <x v="4"/>
    <x v="4"/>
    <x v="5"/>
    <x v="1"/>
    <x v="5"/>
    <x v="1"/>
    <x v="1"/>
    <x v="1"/>
    <x v="1"/>
    <x v="1"/>
    <x v="1"/>
    <x v="1"/>
    <x v="1"/>
    <x v="0"/>
    <x v="1"/>
    <x v="0"/>
    <x v="1"/>
  </r>
  <r>
    <x v="5"/>
    <x v="5"/>
    <x v="6"/>
    <x v="1"/>
    <x v="5"/>
    <x v="1"/>
    <x v="1"/>
    <x v="1"/>
    <x v="1"/>
    <x v="1"/>
    <x v="1"/>
    <x v="1"/>
    <x v="1"/>
    <x v="0"/>
    <x v="1"/>
    <x v="0"/>
    <x v="1"/>
  </r>
  <r>
    <x v="6"/>
    <x v="6"/>
    <x v="7"/>
    <x v="3"/>
    <x v="6"/>
    <x v="4"/>
    <x v="4"/>
    <x v="1"/>
    <x v="1"/>
    <x v="2"/>
    <x v="1"/>
    <x v="1"/>
    <x v="2"/>
    <x v="0"/>
    <x v="1"/>
    <x v="0"/>
    <x v="1"/>
  </r>
  <r>
    <x v="2"/>
    <x v="2"/>
    <x v="8"/>
    <x v="4"/>
    <x v="7"/>
    <x v="5"/>
    <x v="5"/>
    <x v="1"/>
    <x v="1"/>
    <x v="2"/>
    <x v="1"/>
    <x v="1"/>
    <x v="2"/>
    <x v="0"/>
    <x v="1"/>
    <x v="0"/>
    <x v="1"/>
  </r>
  <r>
    <x v="3"/>
    <x v="3"/>
    <x v="9"/>
    <x v="5"/>
    <x v="8"/>
    <x v="6"/>
    <x v="6"/>
    <x v="2"/>
    <x v="4"/>
    <x v="5"/>
    <x v="0"/>
    <x v="0"/>
    <x v="4"/>
    <x v="1"/>
    <x v="1"/>
    <x v="1"/>
    <x v="1"/>
  </r>
  <r>
    <x v="7"/>
    <x v="7"/>
    <x v="10"/>
    <x v="1"/>
    <x v="5"/>
    <x v="1"/>
    <x v="1"/>
    <x v="1"/>
    <x v="1"/>
    <x v="1"/>
    <x v="1"/>
    <x v="1"/>
    <x v="1"/>
    <x v="0"/>
    <x v="1"/>
    <x v="0"/>
    <x v="1"/>
  </r>
  <r>
    <x v="8"/>
    <x v="8"/>
    <x v="11"/>
    <x v="0"/>
    <x v="9"/>
    <x v="7"/>
    <x v="7"/>
    <x v="1"/>
    <x v="1"/>
    <x v="2"/>
    <x v="1"/>
    <x v="1"/>
    <x v="2"/>
    <x v="0"/>
    <x v="1"/>
    <x v="0"/>
    <x v="1"/>
  </r>
  <r>
    <x v="7"/>
    <x v="7"/>
    <x v="2"/>
    <x v="1"/>
    <x v="5"/>
    <x v="1"/>
    <x v="1"/>
    <x v="1"/>
    <x v="1"/>
    <x v="1"/>
    <x v="1"/>
    <x v="1"/>
    <x v="1"/>
    <x v="0"/>
    <x v="1"/>
    <x v="0"/>
    <x v="1"/>
  </r>
  <r>
    <x v="3"/>
    <x v="3"/>
    <x v="12"/>
    <x v="3"/>
    <x v="10"/>
    <x v="8"/>
    <x v="8"/>
    <x v="1"/>
    <x v="1"/>
    <x v="2"/>
    <x v="1"/>
    <x v="1"/>
    <x v="2"/>
    <x v="0"/>
    <x v="1"/>
    <x v="0"/>
    <x v="1"/>
  </r>
  <r>
    <x v="0"/>
    <x v="0"/>
    <x v="13"/>
    <x v="6"/>
    <x v="11"/>
    <x v="9"/>
    <x v="9"/>
    <x v="1"/>
    <x v="1"/>
    <x v="2"/>
    <x v="1"/>
    <x v="1"/>
    <x v="2"/>
    <x v="0"/>
    <x v="1"/>
    <x v="0"/>
    <x v="1"/>
  </r>
  <r>
    <x v="5"/>
    <x v="5"/>
    <x v="14"/>
    <x v="7"/>
    <x v="12"/>
    <x v="10"/>
    <x v="10"/>
    <x v="1"/>
    <x v="1"/>
    <x v="2"/>
    <x v="1"/>
    <x v="1"/>
    <x v="2"/>
    <x v="0"/>
    <x v="1"/>
    <x v="0"/>
    <x v="1"/>
  </r>
  <r>
    <x v="9"/>
    <x v="9"/>
    <x v="15"/>
    <x v="7"/>
    <x v="13"/>
    <x v="11"/>
    <x v="11"/>
    <x v="1"/>
    <x v="1"/>
    <x v="2"/>
    <x v="1"/>
    <x v="1"/>
    <x v="2"/>
    <x v="0"/>
    <x v="1"/>
    <x v="0"/>
    <x v="1"/>
  </r>
  <r>
    <x v="10"/>
    <x v="10"/>
    <x v="16"/>
    <x v="4"/>
    <x v="14"/>
    <x v="12"/>
    <x v="12"/>
    <x v="2"/>
    <x v="5"/>
    <x v="6"/>
    <x v="0"/>
    <x v="0"/>
    <x v="5"/>
    <x v="0"/>
    <x v="0"/>
    <x v="0"/>
    <x v="2"/>
  </r>
  <r>
    <x v="11"/>
    <x v="11"/>
    <x v="17"/>
    <x v="1"/>
    <x v="5"/>
    <x v="1"/>
    <x v="1"/>
    <x v="1"/>
    <x v="1"/>
    <x v="1"/>
    <x v="1"/>
    <x v="1"/>
    <x v="1"/>
    <x v="0"/>
    <x v="1"/>
    <x v="0"/>
    <x v="1"/>
  </r>
  <r>
    <x v="10"/>
    <x v="10"/>
    <x v="18"/>
    <x v="1"/>
    <x v="5"/>
    <x v="1"/>
    <x v="1"/>
    <x v="1"/>
    <x v="1"/>
    <x v="1"/>
    <x v="1"/>
    <x v="1"/>
    <x v="1"/>
    <x v="0"/>
    <x v="1"/>
    <x v="0"/>
    <x v="1"/>
  </r>
  <r>
    <x v="10"/>
    <x v="10"/>
    <x v="19"/>
    <x v="8"/>
    <x v="15"/>
    <x v="13"/>
    <x v="13"/>
    <x v="3"/>
    <x v="6"/>
    <x v="7"/>
    <x v="2"/>
    <x v="2"/>
    <x v="3"/>
    <x v="1"/>
    <x v="0"/>
    <x v="1"/>
    <x v="2"/>
  </r>
  <r>
    <x v="5"/>
    <x v="5"/>
    <x v="20"/>
    <x v="2"/>
    <x v="16"/>
    <x v="14"/>
    <x v="14"/>
    <x v="2"/>
    <x v="7"/>
    <x v="8"/>
    <x v="0"/>
    <x v="0"/>
    <x v="3"/>
    <x v="1"/>
    <x v="1"/>
    <x v="1"/>
    <x v="1"/>
  </r>
  <r>
    <x v="8"/>
    <x v="8"/>
    <x v="21"/>
    <x v="9"/>
    <x v="17"/>
    <x v="15"/>
    <x v="15"/>
    <x v="2"/>
    <x v="8"/>
    <x v="9"/>
    <x v="0"/>
    <x v="0"/>
    <x v="6"/>
    <x v="1"/>
    <x v="1"/>
    <x v="1"/>
    <x v="1"/>
  </r>
  <r>
    <x v="7"/>
    <x v="7"/>
    <x v="22"/>
    <x v="5"/>
    <x v="18"/>
    <x v="16"/>
    <x v="16"/>
    <x v="1"/>
    <x v="1"/>
    <x v="2"/>
    <x v="1"/>
    <x v="1"/>
    <x v="2"/>
    <x v="0"/>
    <x v="1"/>
    <x v="0"/>
    <x v="1"/>
  </r>
  <r>
    <x v="12"/>
    <x v="12"/>
    <x v="23"/>
    <x v="10"/>
    <x v="19"/>
    <x v="17"/>
    <x v="17"/>
    <x v="4"/>
    <x v="9"/>
    <x v="10"/>
    <x v="3"/>
    <x v="3"/>
    <x v="7"/>
    <x v="0"/>
    <x v="2"/>
    <x v="0"/>
    <x v="3"/>
  </r>
  <r>
    <x v="13"/>
    <x v="13"/>
    <x v="24"/>
    <x v="11"/>
    <x v="20"/>
    <x v="18"/>
    <x v="18"/>
    <x v="5"/>
    <x v="10"/>
    <x v="11"/>
    <x v="4"/>
    <x v="4"/>
    <x v="4"/>
    <x v="2"/>
    <x v="1"/>
    <x v="2"/>
    <x v="1"/>
  </r>
  <r>
    <x v="14"/>
    <x v="14"/>
    <x v="25"/>
    <x v="12"/>
    <x v="21"/>
    <x v="19"/>
    <x v="19"/>
    <x v="6"/>
    <x v="11"/>
    <x v="12"/>
    <x v="5"/>
    <x v="5"/>
    <x v="8"/>
    <x v="3"/>
    <x v="3"/>
    <x v="3"/>
    <x v="4"/>
  </r>
  <r>
    <x v="15"/>
    <x v="15"/>
    <x v="26"/>
    <x v="13"/>
    <x v="22"/>
    <x v="20"/>
    <x v="20"/>
    <x v="2"/>
    <x v="12"/>
    <x v="13"/>
    <x v="0"/>
    <x v="0"/>
    <x v="9"/>
    <x v="0"/>
    <x v="0"/>
    <x v="0"/>
    <x v="2"/>
  </r>
  <r>
    <x v="12"/>
    <x v="12"/>
    <x v="1"/>
    <x v="1"/>
    <x v="1"/>
    <x v="1"/>
    <x v="1"/>
    <x v="1"/>
    <x v="1"/>
    <x v="1"/>
    <x v="1"/>
    <x v="1"/>
    <x v="1"/>
    <x v="0"/>
    <x v="1"/>
    <x v="0"/>
    <x v="1"/>
  </r>
  <r>
    <x v="13"/>
    <x v="13"/>
    <x v="1"/>
    <x v="1"/>
    <x v="1"/>
    <x v="1"/>
    <x v="1"/>
    <x v="1"/>
    <x v="1"/>
    <x v="1"/>
    <x v="1"/>
    <x v="1"/>
    <x v="1"/>
    <x v="0"/>
    <x v="1"/>
    <x v="0"/>
    <x v="1"/>
  </r>
  <r>
    <x v="16"/>
    <x v="16"/>
    <x v="1"/>
    <x v="1"/>
    <x v="1"/>
    <x v="1"/>
    <x v="1"/>
    <x v="1"/>
    <x v="1"/>
    <x v="1"/>
    <x v="1"/>
    <x v="1"/>
    <x v="1"/>
    <x v="0"/>
    <x v="1"/>
    <x v="0"/>
    <x v="1"/>
  </r>
  <r>
    <x v="17"/>
    <x v="17"/>
    <x v="27"/>
    <x v="14"/>
    <x v="23"/>
    <x v="21"/>
    <x v="21"/>
    <x v="1"/>
    <x v="1"/>
    <x v="2"/>
    <x v="1"/>
    <x v="1"/>
    <x v="2"/>
    <x v="0"/>
    <x v="1"/>
    <x v="0"/>
    <x v="1"/>
  </r>
  <r>
    <x v="14"/>
    <x v="14"/>
    <x v="28"/>
    <x v="0"/>
    <x v="24"/>
    <x v="22"/>
    <x v="22"/>
    <x v="1"/>
    <x v="1"/>
    <x v="2"/>
    <x v="1"/>
    <x v="1"/>
    <x v="2"/>
    <x v="0"/>
    <x v="1"/>
    <x v="0"/>
    <x v="1"/>
  </r>
  <r>
    <x v="18"/>
    <x v="18"/>
    <x v="29"/>
    <x v="4"/>
    <x v="25"/>
    <x v="23"/>
    <x v="23"/>
    <x v="1"/>
    <x v="1"/>
    <x v="2"/>
    <x v="1"/>
    <x v="1"/>
    <x v="2"/>
    <x v="0"/>
    <x v="1"/>
    <x v="0"/>
    <x v="1"/>
  </r>
  <r>
    <x v="19"/>
    <x v="19"/>
    <x v="30"/>
    <x v="0"/>
    <x v="26"/>
    <x v="24"/>
    <x v="24"/>
    <x v="1"/>
    <x v="1"/>
    <x v="2"/>
    <x v="1"/>
    <x v="1"/>
    <x v="2"/>
    <x v="0"/>
    <x v="1"/>
    <x v="0"/>
    <x v="1"/>
  </r>
  <r>
    <x v="20"/>
    <x v="20"/>
    <x v="31"/>
    <x v="3"/>
    <x v="27"/>
    <x v="25"/>
    <x v="3"/>
    <x v="7"/>
    <x v="13"/>
    <x v="14"/>
    <x v="2"/>
    <x v="2"/>
    <x v="10"/>
    <x v="4"/>
    <x v="1"/>
    <x v="4"/>
    <x v="1"/>
  </r>
  <r>
    <x v="21"/>
    <x v="21"/>
    <x v="32"/>
    <x v="15"/>
    <x v="28"/>
    <x v="26"/>
    <x v="25"/>
    <x v="1"/>
    <x v="1"/>
    <x v="2"/>
    <x v="1"/>
    <x v="1"/>
    <x v="2"/>
    <x v="0"/>
    <x v="1"/>
    <x v="0"/>
    <x v="1"/>
  </r>
  <r>
    <x v="20"/>
    <x v="20"/>
    <x v="33"/>
    <x v="14"/>
    <x v="29"/>
    <x v="27"/>
    <x v="26"/>
    <x v="1"/>
    <x v="1"/>
    <x v="2"/>
    <x v="1"/>
    <x v="1"/>
    <x v="2"/>
    <x v="0"/>
    <x v="1"/>
    <x v="0"/>
    <x v="1"/>
  </r>
  <r>
    <x v="14"/>
    <x v="14"/>
    <x v="34"/>
    <x v="2"/>
    <x v="30"/>
    <x v="28"/>
    <x v="27"/>
    <x v="2"/>
    <x v="14"/>
    <x v="15"/>
    <x v="0"/>
    <x v="0"/>
    <x v="3"/>
    <x v="0"/>
    <x v="0"/>
    <x v="0"/>
    <x v="2"/>
  </r>
  <r>
    <x v="15"/>
    <x v="15"/>
    <x v="35"/>
    <x v="16"/>
    <x v="31"/>
    <x v="29"/>
    <x v="28"/>
    <x v="3"/>
    <x v="15"/>
    <x v="16"/>
    <x v="2"/>
    <x v="2"/>
    <x v="11"/>
    <x v="0"/>
    <x v="4"/>
    <x v="0"/>
    <x v="5"/>
  </r>
  <r>
    <x v="12"/>
    <x v="12"/>
    <x v="36"/>
    <x v="4"/>
    <x v="32"/>
    <x v="30"/>
    <x v="29"/>
    <x v="1"/>
    <x v="1"/>
    <x v="2"/>
    <x v="1"/>
    <x v="1"/>
    <x v="2"/>
    <x v="0"/>
    <x v="1"/>
    <x v="0"/>
    <x v="1"/>
  </r>
  <r>
    <x v="16"/>
    <x v="16"/>
    <x v="37"/>
    <x v="17"/>
    <x v="33"/>
    <x v="31"/>
    <x v="30"/>
    <x v="1"/>
    <x v="1"/>
    <x v="2"/>
    <x v="1"/>
    <x v="1"/>
    <x v="2"/>
    <x v="0"/>
    <x v="1"/>
    <x v="0"/>
    <x v="1"/>
  </r>
  <r>
    <x v="18"/>
    <x v="18"/>
    <x v="38"/>
    <x v="17"/>
    <x v="34"/>
    <x v="32"/>
    <x v="31"/>
    <x v="2"/>
    <x v="16"/>
    <x v="17"/>
    <x v="0"/>
    <x v="0"/>
    <x v="12"/>
    <x v="1"/>
    <x v="1"/>
    <x v="1"/>
    <x v="1"/>
  </r>
  <r>
    <x v="19"/>
    <x v="19"/>
    <x v="39"/>
    <x v="14"/>
    <x v="35"/>
    <x v="33"/>
    <x v="32"/>
    <x v="1"/>
    <x v="1"/>
    <x v="2"/>
    <x v="1"/>
    <x v="1"/>
    <x v="2"/>
    <x v="0"/>
    <x v="1"/>
    <x v="0"/>
    <x v="1"/>
  </r>
  <r>
    <x v="20"/>
    <x v="20"/>
    <x v="40"/>
    <x v="3"/>
    <x v="36"/>
    <x v="34"/>
    <x v="33"/>
    <x v="1"/>
    <x v="1"/>
    <x v="2"/>
    <x v="1"/>
    <x v="1"/>
    <x v="2"/>
    <x v="0"/>
    <x v="1"/>
    <x v="0"/>
    <x v="1"/>
  </r>
  <r>
    <x v="22"/>
    <x v="22"/>
    <x v="41"/>
    <x v="17"/>
    <x v="37"/>
    <x v="35"/>
    <x v="34"/>
    <x v="2"/>
    <x v="17"/>
    <x v="18"/>
    <x v="0"/>
    <x v="0"/>
    <x v="12"/>
    <x v="1"/>
    <x v="1"/>
    <x v="1"/>
    <x v="1"/>
  </r>
  <r>
    <x v="9"/>
    <x v="9"/>
    <x v="42"/>
    <x v="5"/>
    <x v="38"/>
    <x v="36"/>
    <x v="35"/>
    <x v="1"/>
    <x v="1"/>
    <x v="2"/>
    <x v="1"/>
    <x v="1"/>
    <x v="2"/>
    <x v="0"/>
    <x v="1"/>
    <x v="0"/>
    <x v="1"/>
  </r>
  <r>
    <x v="15"/>
    <x v="15"/>
    <x v="43"/>
    <x v="3"/>
    <x v="39"/>
    <x v="37"/>
    <x v="36"/>
    <x v="2"/>
    <x v="18"/>
    <x v="19"/>
    <x v="0"/>
    <x v="0"/>
    <x v="13"/>
    <x v="0"/>
    <x v="0"/>
    <x v="0"/>
    <x v="2"/>
  </r>
  <r>
    <x v="13"/>
    <x v="13"/>
    <x v="44"/>
    <x v="5"/>
    <x v="40"/>
    <x v="38"/>
    <x v="37"/>
    <x v="1"/>
    <x v="1"/>
    <x v="2"/>
    <x v="1"/>
    <x v="1"/>
    <x v="2"/>
    <x v="0"/>
    <x v="1"/>
    <x v="0"/>
    <x v="1"/>
  </r>
  <r>
    <x v="12"/>
    <x v="12"/>
    <x v="45"/>
    <x v="18"/>
    <x v="41"/>
    <x v="39"/>
    <x v="38"/>
    <x v="7"/>
    <x v="19"/>
    <x v="20"/>
    <x v="2"/>
    <x v="2"/>
    <x v="14"/>
    <x v="1"/>
    <x v="0"/>
    <x v="1"/>
    <x v="6"/>
  </r>
  <r>
    <x v="23"/>
    <x v="23"/>
    <x v="46"/>
    <x v="19"/>
    <x v="42"/>
    <x v="40"/>
    <x v="39"/>
    <x v="8"/>
    <x v="20"/>
    <x v="21"/>
    <x v="6"/>
    <x v="6"/>
    <x v="15"/>
    <x v="5"/>
    <x v="5"/>
    <x v="5"/>
    <x v="7"/>
  </r>
  <r>
    <x v="24"/>
    <x v="24"/>
    <x v="47"/>
    <x v="1"/>
    <x v="5"/>
    <x v="1"/>
    <x v="1"/>
    <x v="1"/>
    <x v="1"/>
    <x v="1"/>
    <x v="1"/>
    <x v="1"/>
    <x v="1"/>
    <x v="0"/>
    <x v="1"/>
    <x v="0"/>
    <x v="1"/>
  </r>
  <r>
    <x v="23"/>
    <x v="23"/>
    <x v="48"/>
    <x v="20"/>
    <x v="43"/>
    <x v="41"/>
    <x v="40"/>
    <x v="9"/>
    <x v="21"/>
    <x v="22"/>
    <x v="7"/>
    <x v="3"/>
    <x v="5"/>
    <x v="6"/>
    <x v="1"/>
    <x v="6"/>
    <x v="1"/>
  </r>
  <r>
    <x v="0"/>
    <x v="0"/>
    <x v="49"/>
    <x v="21"/>
    <x v="44"/>
    <x v="42"/>
    <x v="41"/>
    <x v="1"/>
    <x v="1"/>
    <x v="2"/>
    <x v="1"/>
    <x v="1"/>
    <x v="2"/>
    <x v="0"/>
    <x v="1"/>
    <x v="0"/>
    <x v="1"/>
  </r>
  <r>
    <x v="5"/>
    <x v="5"/>
    <x v="50"/>
    <x v="7"/>
    <x v="9"/>
    <x v="43"/>
    <x v="42"/>
    <x v="1"/>
    <x v="1"/>
    <x v="2"/>
    <x v="1"/>
    <x v="1"/>
    <x v="2"/>
    <x v="0"/>
    <x v="1"/>
    <x v="0"/>
    <x v="1"/>
  </r>
  <r>
    <x v="3"/>
    <x v="3"/>
    <x v="51"/>
    <x v="22"/>
    <x v="45"/>
    <x v="44"/>
    <x v="43"/>
    <x v="1"/>
    <x v="1"/>
    <x v="2"/>
    <x v="1"/>
    <x v="1"/>
    <x v="2"/>
    <x v="0"/>
    <x v="1"/>
    <x v="0"/>
    <x v="1"/>
  </r>
  <r>
    <x v="25"/>
    <x v="25"/>
    <x v="52"/>
    <x v="7"/>
    <x v="46"/>
    <x v="45"/>
    <x v="43"/>
    <x v="1"/>
    <x v="1"/>
    <x v="2"/>
    <x v="1"/>
    <x v="1"/>
    <x v="2"/>
    <x v="0"/>
    <x v="1"/>
    <x v="0"/>
    <x v="1"/>
  </r>
  <r>
    <x v="25"/>
    <x v="25"/>
    <x v="53"/>
    <x v="15"/>
    <x v="47"/>
    <x v="46"/>
    <x v="44"/>
    <x v="10"/>
    <x v="22"/>
    <x v="23"/>
    <x v="7"/>
    <x v="7"/>
    <x v="16"/>
    <x v="0"/>
    <x v="3"/>
    <x v="0"/>
    <x v="8"/>
  </r>
  <r>
    <x v="24"/>
    <x v="24"/>
    <x v="54"/>
    <x v="4"/>
    <x v="48"/>
    <x v="47"/>
    <x v="45"/>
    <x v="11"/>
    <x v="23"/>
    <x v="24"/>
    <x v="0"/>
    <x v="0"/>
    <x v="5"/>
    <x v="1"/>
    <x v="1"/>
    <x v="7"/>
    <x v="1"/>
  </r>
  <r>
    <x v="23"/>
    <x v="23"/>
    <x v="55"/>
    <x v="10"/>
    <x v="49"/>
    <x v="48"/>
    <x v="46"/>
    <x v="12"/>
    <x v="24"/>
    <x v="25"/>
    <x v="8"/>
    <x v="8"/>
    <x v="17"/>
    <x v="7"/>
    <x v="6"/>
    <x v="8"/>
    <x v="9"/>
  </r>
  <r>
    <x v="24"/>
    <x v="24"/>
    <x v="56"/>
    <x v="0"/>
    <x v="50"/>
    <x v="49"/>
    <x v="47"/>
    <x v="1"/>
    <x v="1"/>
    <x v="2"/>
    <x v="1"/>
    <x v="1"/>
    <x v="2"/>
    <x v="0"/>
    <x v="1"/>
    <x v="0"/>
    <x v="1"/>
  </r>
  <r>
    <x v="25"/>
    <x v="25"/>
    <x v="28"/>
    <x v="1"/>
    <x v="5"/>
    <x v="1"/>
    <x v="1"/>
    <x v="1"/>
    <x v="1"/>
    <x v="1"/>
    <x v="1"/>
    <x v="1"/>
    <x v="1"/>
    <x v="0"/>
    <x v="1"/>
    <x v="0"/>
    <x v="1"/>
  </r>
  <r>
    <x v="26"/>
    <x v="26"/>
    <x v="6"/>
    <x v="0"/>
    <x v="51"/>
    <x v="50"/>
    <x v="48"/>
    <x v="1"/>
    <x v="1"/>
    <x v="2"/>
    <x v="1"/>
    <x v="1"/>
    <x v="2"/>
    <x v="0"/>
    <x v="1"/>
    <x v="0"/>
    <x v="1"/>
  </r>
  <r>
    <x v="23"/>
    <x v="23"/>
    <x v="57"/>
    <x v="12"/>
    <x v="52"/>
    <x v="51"/>
    <x v="49"/>
    <x v="13"/>
    <x v="25"/>
    <x v="26"/>
    <x v="3"/>
    <x v="9"/>
    <x v="18"/>
    <x v="7"/>
    <x v="1"/>
    <x v="8"/>
    <x v="1"/>
  </r>
  <r>
    <x v="25"/>
    <x v="25"/>
    <x v="58"/>
    <x v="23"/>
    <x v="53"/>
    <x v="52"/>
    <x v="50"/>
    <x v="10"/>
    <x v="26"/>
    <x v="27"/>
    <x v="2"/>
    <x v="7"/>
    <x v="5"/>
    <x v="1"/>
    <x v="4"/>
    <x v="9"/>
    <x v="10"/>
  </r>
  <r>
    <x v="26"/>
    <x v="26"/>
    <x v="59"/>
    <x v="22"/>
    <x v="54"/>
    <x v="53"/>
    <x v="51"/>
    <x v="14"/>
    <x v="27"/>
    <x v="28"/>
    <x v="2"/>
    <x v="2"/>
    <x v="19"/>
    <x v="1"/>
    <x v="0"/>
    <x v="10"/>
    <x v="11"/>
  </r>
  <r>
    <x v="24"/>
    <x v="24"/>
    <x v="60"/>
    <x v="24"/>
    <x v="55"/>
    <x v="54"/>
    <x v="52"/>
    <x v="15"/>
    <x v="28"/>
    <x v="29"/>
    <x v="0"/>
    <x v="0"/>
    <x v="20"/>
    <x v="0"/>
    <x v="0"/>
    <x v="0"/>
    <x v="12"/>
  </r>
  <r>
    <x v="23"/>
    <x v="23"/>
    <x v="61"/>
    <x v="25"/>
    <x v="56"/>
    <x v="55"/>
    <x v="53"/>
    <x v="16"/>
    <x v="29"/>
    <x v="30"/>
    <x v="2"/>
    <x v="2"/>
    <x v="21"/>
    <x v="4"/>
    <x v="1"/>
    <x v="11"/>
    <x v="1"/>
  </r>
  <r>
    <x v="27"/>
    <x v="27"/>
    <x v="62"/>
    <x v="14"/>
    <x v="57"/>
    <x v="56"/>
    <x v="54"/>
    <x v="17"/>
    <x v="30"/>
    <x v="31"/>
    <x v="0"/>
    <x v="0"/>
    <x v="19"/>
    <x v="0"/>
    <x v="0"/>
    <x v="0"/>
    <x v="13"/>
  </r>
  <r>
    <x v="28"/>
    <x v="28"/>
    <x v="63"/>
    <x v="24"/>
    <x v="58"/>
    <x v="57"/>
    <x v="55"/>
    <x v="17"/>
    <x v="31"/>
    <x v="32"/>
    <x v="0"/>
    <x v="0"/>
    <x v="20"/>
    <x v="1"/>
    <x v="1"/>
    <x v="12"/>
    <x v="1"/>
  </r>
  <r>
    <x v="29"/>
    <x v="29"/>
    <x v="64"/>
    <x v="4"/>
    <x v="59"/>
    <x v="58"/>
    <x v="56"/>
    <x v="1"/>
    <x v="1"/>
    <x v="2"/>
    <x v="1"/>
    <x v="1"/>
    <x v="2"/>
    <x v="0"/>
    <x v="1"/>
    <x v="0"/>
    <x v="1"/>
  </r>
  <r>
    <x v="27"/>
    <x v="27"/>
    <x v="36"/>
    <x v="5"/>
    <x v="60"/>
    <x v="59"/>
    <x v="34"/>
    <x v="18"/>
    <x v="32"/>
    <x v="33"/>
    <x v="0"/>
    <x v="0"/>
    <x v="4"/>
    <x v="1"/>
    <x v="1"/>
    <x v="13"/>
    <x v="1"/>
  </r>
  <r>
    <x v="28"/>
    <x v="28"/>
    <x v="65"/>
    <x v="26"/>
    <x v="61"/>
    <x v="60"/>
    <x v="57"/>
    <x v="19"/>
    <x v="33"/>
    <x v="34"/>
    <x v="9"/>
    <x v="10"/>
    <x v="22"/>
    <x v="8"/>
    <x v="3"/>
    <x v="14"/>
    <x v="14"/>
  </r>
  <r>
    <x v="29"/>
    <x v="29"/>
    <x v="66"/>
    <x v="4"/>
    <x v="62"/>
    <x v="61"/>
    <x v="58"/>
    <x v="1"/>
    <x v="1"/>
    <x v="2"/>
    <x v="1"/>
    <x v="1"/>
    <x v="2"/>
    <x v="0"/>
    <x v="1"/>
    <x v="0"/>
    <x v="1"/>
  </r>
  <r>
    <x v="27"/>
    <x v="27"/>
    <x v="67"/>
    <x v="0"/>
    <x v="63"/>
    <x v="49"/>
    <x v="47"/>
    <x v="1"/>
    <x v="1"/>
    <x v="2"/>
    <x v="1"/>
    <x v="1"/>
    <x v="2"/>
    <x v="0"/>
    <x v="1"/>
    <x v="0"/>
    <x v="1"/>
  </r>
  <r>
    <x v="28"/>
    <x v="28"/>
    <x v="68"/>
    <x v="15"/>
    <x v="64"/>
    <x v="62"/>
    <x v="59"/>
    <x v="1"/>
    <x v="1"/>
    <x v="2"/>
    <x v="1"/>
    <x v="1"/>
    <x v="2"/>
    <x v="0"/>
    <x v="1"/>
    <x v="0"/>
    <x v="1"/>
  </r>
  <r>
    <x v="30"/>
    <x v="30"/>
    <x v="69"/>
    <x v="22"/>
    <x v="65"/>
    <x v="63"/>
    <x v="60"/>
    <x v="20"/>
    <x v="34"/>
    <x v="35"/>
    <x v="2"/>
    <x v="2"/>
    <x v="19"/>
    <x v="1"/>
    <x v="0"/>
    <x v="15"/>
    <x v="12"/>
  </r>
  <r>
    <x v="30"/>
    <x v="30"/>
    <x v="70"/>
    <x v="15"/>
    <x v="66"/>
    <x v="64"/>
    <x v="61"/>
    <x v="21"/>
    <x v="35"/>
    <x v="36"/>
    <x v="7"/>
    <x v="7"/>
    <x v="16"/>
    <x v="3"/>
    <x v="1"/>
    <x v="16"/>
    <x v="1"/>
  </r>
  <r>
    <x v="31"/>
    <x v="31"/>
    <x v="71"/>
    <x v="6"/>
    <x v="67"/>
    <x v="65"/>
    <x v="62"/>
    <x v="22"/>
    <x v="36"/>
    <x v="37"/>
    <x v="3"/>
    <x v="3"/>
    <x v="23"/>
    <x v="0"/>
    <x v="2"/>
    <x v="0"/>
    <x v="15"/>
  </r>
  <r>
    <x v="32"/>
    <x v="32"/>
    <x v="72"/>
    <x v="27"/>
    <x v="68"/>
    <x v="66"/>
    <x v="63"/>
    <x v="23"/>
    <x v="37"/>
    <x v="38"/>
    <x v="10"/>
    <x v="11"/>
    <x v="24"/>
    <x v="9"/>
    <x v="3"/>
    <x v="17"/>
    <x v="8"/>
  </r>
  <r>
    <x v="33"/>
    <x v="33"/>
    <x v="73"/>
    <x v="28"/>
    <x v="69"/>
    <x v="67"/>
    <x v="64"/>
    <x v="24"/>
    <x v="38"/>
    <x v="39"/>
    <x v="8"/>
    <x v="12"/>
    <x v="25"/>
    <x v="10"/>
    <x v="3"/>
    <x v="18"/>
    <x v="16"/>
  </r>
  <r>
    <x v="29"/>
    <x v="29"/>
    <x v="74"/>
    <x v="14"/>
    <x v="70"/>
    <x v="68"/>
    <x v="65"/>
    <x v="1"/>
    <x v="1"/>
    <x v="2"/>
    <x v="1"/>
    <x v="1"/>
    <x v="2"/>
    <x v="0"/>
    <x v="1"/>
    <x v="0"/>
    <x v="1"/>
  </r>
  <r>
    <x v="34"/>
    <x v="34"/>
    <x v="75"/>
    <x v="14"/>
    <x v="71"/>
    <x v="56"/>
    <x v="54"/>
    <x v="1"/>
    <x v="1"/>
    <x v="2"/>
    <x v="1"/>
    <x v="1"/>
    <x v="2"/>
    <x v="0"/>
    <x v="1"/>
    <x v="0"/>
    <x v="1"/>
  </r>
  <r>
    <x v="35"/>
    <x v="35"/>
    <x v="76"/>
    <x v="7"/>
    <x v="72"/>
    <x v="0"/>
    <x v="66"/>
    <x v="1"/>
    <x v="1"/>
    <x v="2"/>
    <x v="1"/>
    <x v="1"/>
    <x v="2"/>
    <x v="0"/>
    <x v="1"/>
    <x v="0"/>
    <x v="1"/>
  </r>
  <r>
    <x v="33"/>
    <x v="33"/>
    <x v="77"/>
    <x v="8"/>
    <x v="73"/>
    <x v="69"/>
    <x v="67"/>
    <x v="25"/>
    <x v="39"/>
    <x v="40"/>
    <x v="2"/>
    <x v="2"/>
    <x v="3"/>
    <x v="4"/>
    <x v="1"/>
    <x v="19"/>
    <x v="1"/>
  </r>
  <r>
    <x v="36"/>
    <x v="36"/>
    <x v="78"/>
    <x v="29"/>
    <x v="74"/>
    <x v="70"/>
    <x v="68"/>
    <x v="26"/>
    <x v="40"/>
    <x v="41"/>
    <x v="11"/>
    <x v="13"/>
    <x v="26"/>
    <x v="11"/>
    <x v="7"/>
    <x v="20"/>
    <x v="17"/>
  </r>
  <r>
    <x v="37"/>
    <x v="37"/>
    <x v="79"/>
    <x v="30"/>
    <x v="75"/>
    <x v="71"/>
    <x v="69"/>
    <x v="4"/>
    <x v="41"/>
    <x v="42"/>
    <x v="3"/>
    <x v="3"/>
    <x v="27"/>
    <x v="1"/>
    <x v="3"/>
    <x v="21"/>
    <x v="18"/>
  </r>
  <r>
    <x v="38"/>
    <x v="38"/>
    <x v="80"/>
    <x v="6"/>
    <x v="76"/>
    <x v="72"/>
    <x v="70"/>
    <x v="1"/>
    <x v="1"/>
    <x v="2"/>
    <x v="1"/>
    <x v="1"/>
    <x v="2"/>
    <x v="0"/>
    <x v="1"/>
    <x v="0"/>
    <x v="1"/>
  </r>
  <r>
    <x v="39"/>
    <x v="39"/>
    <x v="81"/>
    <x v="31"/>
    <x v="77"/>
    <x v="73"/>
    <x v="71"/>
    <x v="2"/>
    <x v="42"/>
    <x v="43"/>
    <x v="0"/>
    <x v="0"/>
    <x v="28"/>
    <x v="1"/>
    <x v="1"/>
    <x v="1"/>
    <x v="1"/>
  </r>
  <r>
    <x v="40"/>
    <x v="40"/>
    <x v="82"/>
    <x v="3"/>
    <x v="78"/>
    <x v="74"/>
    <x v="72"/>
    <x v="1"/>
    <x v="1"/>
    <x v="2"/>
    <x v="1"/>
    <x v="1"/>
    <x v="2"/>
    <x v="0"/>
    <x v="1"/>
    <x v="0"/>
    <x v="1"/>
  </r>
  <r>
    <x v="41"/>
    <x v="41"/>
    <x v="83"/>
    <x v="16"/>
    <x v="79"/>
    <x v="75"/>
    <x v="73"/>
    <x v="7"/>
    <x v="43"/>
    <x v="44"/>
    <x v="2"/>
    <x v="2"/>
    <x v="11"/>
    <x v="1"/>
    <x v="0"/>
    <x v="1"/>
    <x v="6"/>
  </r>
  <r>
    <x v="32"/>
    <x v="32"/>
    <x v="84"/>
    <x v="1"/>
    <x v="5"/>
    <x v="1"/>
    <x v="1"/>
    <x v="1"/>
    <x v="1"/>
    <x v="1"/>
    <x v="1"/>
    <x v="1"/>
    <x v="1"/>
    <x v="0"/>
    <x v="1"/>
    <x v="0"/>
    <x v="1"/>
  </r>
  <r>
    <x v="31"/>
    <x v="31"/>
    <x v="85"/>
    <x v="32"/>
    <x v="80"/>
    <x v="76"/>
    <x v="74"/>
    <x v="27"/>
    <x v="44"/>
    <x v="45"/>
    <x v="12"/>
    <x v="13"/>
    <x v="29"/>
    <x v="2"/>
    <x v="6"/>
    <x v="22"/>
    <x v="19"/>
  </r>
  <r>
    <x v="33"/>
    <x v="33"/>
    <x v="86"/>
    <x v="21"/>
    <x v="81"/>
    <x v="77"/>
    <x v="75"/>
    <x v="11"/>
    <x v="45"/>
    <x v="46"/>
    <x v="0"/>
    <x v="0"/>
    <x v="30"/>
    <x v="0"/>
    <x v="0"/>
    <x v="0"/>
    <x v="11"/>
  </r>
  <r>
    <x v="32"/>
    <x v="32"/>
    <x v="87"/>
    <x v="33"/>
    <x v="82"/>
    <x v="78"/>
    <x v="76"/>
    <x v="28"/>
    <x v="46"/>
    <x v="47"/>
    <x v="13"/>
    <x v="9"/>
    <x v="5"/>
    <x v="11"/>
    <x v="4"/>
    <x v="23"/>
    <x v="20"/>
  </r>
  <r>
    <x v="31"/>
    <x v="31"/>
    <x v="88"/>
    <x v="17"/>
    <x v="83"/>
    <x v="79"/>
    <x v="77"/>
    <x v="29"/>
    <x v="47"/>
    <x v="48"/>
    <x v="2"/>
    <x v="5"/>
    <x v="31"/>
    <x v="1"/>
    <x v="8"/>
    <x v="9"/>
    <x v="21"/>
  </r>
  <r>
    <x v="30"/>
    <x v="30"/>
    <x v="89"/>
    <x v="8"/>
    <x v="84"/>
    <x v="80"/>
    <x v="78"/>
    <x v="25"/>
    <x v="48"/>
    <x v="49"/>
    <x v="2"/>
    <x v="2"/>
    <x v="3"/>
    <x v="0"/>
    <x v="4"/>
    <x v="0"/>
    <x v="22"/>
  </r>
  <r>
    <x v="23"/>
    <x v="23"/>
    <x v="90"/>
    <x v="24"/>
    <x v="85"/>
    <x v="81"/>
    <x v="79"/>
    <x v="30"/>
    <x v="49"/>
    <x v="50"/>
    <x v="14"/>
    <x v="14"/>
    <x v="32"/>
    <x v="11"/>
    <x v="1"/>
    <x v="24"/>
    <x v="1"/>
  </r>
  <r>
    <x v="24"/>
    <x v="24"/>
    <x v="91"/>
    <x v="14"/>
    <x v="86"/>
    <x v="81"/>
    <x v="80"/>
    <x v="1"/>
    <x v="1"/>
    <x v="2"/>
    <x v="1"/>
    <x v="1"/>
    <x v="2"/>
    <x v="0"/>
    <x v="1"/>
    <x v="0"/>
    <x v="1"/>
  </r>
  <r>
    <x v="25"/>
    <x v="25"/>
    <x v="92"/>
    <x v="3"/>
    <x v="87"/>
    <x v="82"/>
    <x v="81"/>
    <x v="11"/>
    <x v="50"/>
    <x v="51"/>
    <x v="0"/>
    <x v="0"/>
    <x v="13"/>
    <x v="0"/>
    <x v="0"/>
    <x v="0"/>
    <x v="11"/>
  </r>
  <r>
    <x v="29"/>
    <x v="29"/>
    <x v="93"/>
    <x v="0"/>
    <x v="88"/>
    <x v="83"/>
    <x v="82"/>
    <x v="1"/>
    <x v="1"/>
    <x v="2"/>
    <x v="1"/>
    <x v="1"/>
    <x v="2"/>
    <x v="0"/>
    <x v="1"/>
    <x v="0"/>
    <x v="1"/>
  </r>
  <r>
    <x v="27"/>
    <x v="27"/>
    <x v="94"/>
    <x v="14"/>
    <x v="89"/>
    <x v="84"/>
    <x v="83"/>
    <x v="1"/>
    <x v="1"/>
    <x v="2"/>
    <x v="1"/>
    <x v="1"/>
    <x v="2"/>
    <x v="0"/>
    <x v="1"/>
    <x v="0"/>
    <x v="1"/>
  </r>
  <r>
    <x v="28"/>
    <x v="28"/>
    <x v="95"/>
    <x v="15"/>
    <x v="90"/>
    <x v="85"/>
    <x v="84"/>
    <x v="17"/>
    <x v="51"/>
    <x v="52"/>
    <x v="0"/>
    <x v="0"/>
    <x v="14"/>
    <x v="1"/>
    <x v="1"/>
    <x v="12"/>
    <x v="1"/>
  </r>
  <r>
    <x v="30"/>
    <x v="30"/>
    <x v="1"/>
    <x v="1"/>
    <x v="1"/>
    <x v="1"/>
    <x v="1"/>
    <x v="1"/>
    <x v="1"/>
    <x v="1"/>
    <x v="1"/>
    <x v="1"/>
    <x v="1"/>
    <x v="0"/>
    <x v="1"/>
    <x v="0"/>
    <x v="1"/>
  </r>
  <r>
    <x v="31"/>
    <x v="31"/>
    <x v="1"/>
    <x v="1"/>
    <x v="1"/>
    <x v="1"/>
    <x v="1"/>
    <x v="1"/>
    <x v="1"/>
    <x v="1"/>
    <x v="1"/>
    <x v="1"/>
    <x v="1"/>
    <x v="0"/>
    <x v="1"/>
    <x v="0"/>
    <x v="1"/>
  </r>
  <r>
    <x v="32"/>
    <x v="32"/>
    <x v="96"/>
    <x v="1"/>
    <x v="5"/>
    <x v="1"/>
    <x v="1"/>
    <x v="1"/>
    <x v="1"/>
    <x v="1"/>
    <x v="1"/>
    <x v="1"/>
    <x v="1"/>
    <x v="0"/>
    <x v="1"/>
    <x v="0"/>
    <x v="1"/>
  </r>
  <r>
    <x v="33"/>
    <x v="33"/>
    <x v="97"/>
    <x v="1"/>
    <x v="5"/>
    <x v="1"/>
    <x v="1"/>
    <x v="1"/>
    <x v="1"/>
    <x v="1"/>
    <x v="1"/>
    <x v="1"/>
    <x v="1"/>
    <x v="0"/>
    <x v="1"/>
    <x v="0"/>
    <x v="1"/>
  </r>
  <r>
    <x v="42"/>
    <x v="42"/>
    <x v="98"/>
    <x v="14"/>
    <x v="91"/>
    <x v="86"/>
    <x v="85"/>
    <x v="1"/>
    <x v="1"/>
    <x v="2"/>
    <x v="1"/>
    <x v="1"/>
    <x v="2"/>
    <x v="0"/>
    <x v="1"/>
    <x v="0"/>
    <x v="1"/>
  </r>
  <r>
    <x v="26"/>
    <x v="26"/>
    <x v="99"/>
    <x v="1"/>
    <x v="5"/>
    <x v="1"/>
    <x v="1"/>
    <x v="1"/>
    <x v="1"/>
    <x v="1"/>
    <x v="1"/>
    <x v="1"/>
    <x v="1"/>
    <x v="0"/>
    <x v="1"/>
    <x v="0"/>
    <x v="1"/>
  </r>
  <r>
    <x v="24"/>
    <x v="24"/>
    <x v="1"/>
    <x v="1"/>
    <x v="1"/>
    <x v="1"/>
    <x v="1"/>
    <x v="1"/>
    <x v="1"/>
    <x v="1"/>
    <x v="1"/>
    <x v="1"/>
    <x v="1"/>
    <x v="0"/>
    <x v="1"/>
    <x v="0"/>
    <x v="1"/>
  </r>
  <r>
    <x v="23"/>
    <x v="23"/>
    <x v="100"/>
    <x v="1"/>
    <x v="5"/>
    <x v="1"/>
    <x v="1"/>
    <x v="1"/>
    <x v="1"/>
    <x v="1"/>
    <x v="1"/>
    <x v="1"/>
    <x v="1"/>
    <x v="0"/>
    <x v="1"/>
    <x v="0"/>
    <x v="1"/>
  </r>
  <r>
    <x v="43"/>
    <x v="43"/>
    <x v="101"/>
    <x v="4"/>
    <x v="92"/>
    <x v="87"/>
    <x v="86"/>
    <x v="2"/>
    <x v="52"/>
    <x v="53"/>
    <x v="0"/>
    <x v="0"/>
    <x v="5"/>
    <x v="1"/>
    <x v="1"/>
    <x v="1"/>
    <x v="1"/>
  </r>
  <r>
    <x v="44"/>
    <x v="44"/>
    <x v="102"/>
    <x v="15"/>
    <x v="93"/>
    <x v="88"/>
    <x v="87"/>
    <x v="3"/>
    <x v="53"/>
    <x v="54"/>
    <x v="2"/>
    <x v="2"/>
    <x v="4"/>
    <x v="1"/>
    <x v="0"/>
    <x v="1"/>
    <x v="2"/>
  </r>
  <r>
    <x v="45"/>
    <x v="45"/>
    <x v="103"/>
    <x v="17"/>
    <x v="94"/>
    <x v="89"/>
    <x v="88"/>
    <x v="1"/>
    <x v="1"/>
    <x v="2"/>
    <x v="1"/>
    <x v="1"/>
    <x v="2"/>
    <x v="0"/>
    <x v="1"/>
    <x v="0"/>
    <x v="1"/>
  </r>
  <r>
    <x v="45"/>
    <x v="45"/>
    <x v="104"/>
    <x v="34"/>
    <x v="95"/>
    <x v="90"/>
    <x v="89"/>
    <x v="7"/>
    <x v="54"/>
    <x v="55"/>
    <x v="2"/>
    <x v="2"/>
    <x v="33"/>
    <x v="0"/>
    <x v="4"/>
    <x v="0"/>
    <x v="23"/>
  </r>
  <r>
    <x v="44"/>
    <x v="44"/>
    <x v="105"/>
    <x v="35"/>
    <x v="96"/>
    <x v="91"/>
    <x v="90"/>
    <x v="7"/>
    <x v="55"/>
    <x v="56"/>
    <x v="2"/>
    <x v="2"/>
    <x v="34"/>
    <x v="1"/>
    <x v="0"/>
    <x v="1"/>
    <x v="6"/>
  </r>
  <r>
    <x v="43"/>
    <x v="43"/>
    <x v="106"/>
    <x v="22"/>
    <x v="97"/>
    <x v="92"/>
    <x v="91"/>
    <x v="1"/>
    <x v="1"/>
    <x v="2"/>
    <x v="1"/>
    <x v="1"/>
    <x v="2"/>
    <x v="0"/>
    <x v="1"/>
    <x v="0"/>
    <x v="1"/>
  </r>
  <r>
    <x v="46"/>
    <x v="46"/>
    <x v="107"/>
    <x v="1"/>
    <x v="5"/>
    <x v="1"/>
    <x v="1"/>
    <x v="1"/>
    <x v="1"/>
    <x v="1"/>
    <x v="1"/>
    <x v="1"/>
    <x v="1"/>
    <x v="0"/>
    <x v="1"/>
    <x v="0"/>
    <x v="1"/>
  </r>
  <r>
    <x v="47"/>
    <x v="47"/>
    <x v="108"/>
    <x v="34"/>
    <x v="98"/>
    <x v="93"/>
    <x v="92"/>
    <x v="2"/>
    <x v="56"/>
    <x v="57"/>
    <x v="0"/>
    <x v="0"/>
    <x v="35"/>
    <x v="0"/>
    <x v="0"/>
    <x v="0"/>
    <x v="2"/>
  </r>
  <r>
    <x v="48"/>
    <x v="48"/>
    <x v="109"/>
    <x v="32"/>
    <x v="99"/>
    <x v="94"/>
    <x v="93"/>
    <x v="7"/>
    <x v="57"/>
    <x v="58"/>
    <x v="2"/>
    <x v="2"/>
    <x v="36"/>
    <x v="1"/>
    <x v="0"/>
    <x v="1"/>
    <x v="6"/>
  </r>
  <r>
    <x v="49"/>
    <x v="49"/>
    <x v="110"/>
    <x v="4"/>
    <x v="100"/>
    <x v="95"/>
    <x v="94"/>
    <x v="2"/>
    <x v="58"/>
    <x v="59"/>
    <x v="0"/>
    <x v="0"/>
    <x v="5"/>
    <x v="0"/>
    <x v="0"/>
    <x v="0"/>
    <x v="2"/>
  </r>
  <r>
    <x v="50"/>
    <x v="50"/>
    <x v="111"/>
    <x v="2"/>
    <x v="101"/>
    <x v="96"/>
    <x v="95"/>
    <x v="7"/>
    <x v="59"/>
    <x v="60"/>
    <x v="2"/>
    <x v="2"/>
    <x v="37"/>
    <x v="1"/>
    <x v="0"/>
    <x v="9"/>
    <x v="2"/>
  </r>
  <r>
    <x v="51"/>
    <x v="51"/>
    <x v="112"/>
    <x v="16"/>
    <x v="102"/>
    <x v="97"/>
    <x v="96"/>
    <x v="31"/>
    <x v="60"/>
    <x v="61"/>
    <x v="3"/>
    <x v="3"/>
    <x v="38"/>
    <x v="1"/>
    <x v="3"/>
    <x v="1"/>
    <x v="24"/>
  </r>
  <r>
    <x v="52"/>
    <x v="52"/>
    <x v="113"/>
    <x v="35"/>
    <x v="103"/>
    <x v="98"/>
    <x v="97"/>
    <x v="32"/>
    <x v="61"/>
    <x v="62"/>
    <x v="2"/>
    <x v="7"/>
    <x v="34"/>
    <x v="0"/>
    <x v="3"/>
    <x v="0"/>
    <x v="4"/>
  </r>
  <r>
    <x v="53"/>
    <x v="53"/>
    <x v="114"/>
    <x v="3"/>
    <x v="104"/>
    <x v="99"/>
    <x v="98"/>
    <x v="33"/>
    <x v="62"/>
    <x v="63"/>
    <x v="2"/>
    <x v="2"/>
    <x v="10"/>
    <x v="0"/>
    <x v="4"/>
    <x v="0"/>
    <x v="25"/>
  </r>
  <r>
    <x v="54"/>
    <x v="54"/>
    <x v="115"/>
    <x v="36"/>
    <x v="105"/>
    <x v="100"/>
    <x v="99"/>
    <x v="34"/>
    <x v="63"/>
    <x v="64"/>
    <x v="0"/>
    <x v="0"/>
    <x v="39"/>
    <x v="0"/>
    <x v="0"/>
    <x v="0"/>
    <x v="6"/>
  </r>
  <r>
    <x v="48"/>
    <x v="48"/>
    <x v="116"/>
    <x v="37"/>
    <x v="106"/>
    <x v="101"/>
    <x v="100"/>
    <x v="35"/>
    <x v="64"/>
    <x v="65"/>
    <x v="15"/>
    <x v="9"/>
    <x v="40"/>
    <x v="2"/>
    <x v="2"/>
    <x v="25"/>
    <x v="26"/>
  </r>
  <r>
    <x v="47"/>
    <x v="47"/>
    <x v="117"/>
    <x v="38"/>
    <x v="107"/>
    <x v="102"/>
    <x v="101"/>
    <x v="3"/>
    <x v="65"/>
    <x v="66"/>
    <x v="2"/>
    <x v="2"/>
    <x v="41"/>
    <x v="1"/>
    <x v="0"/>
    <x v="1"/>
    <x v="2"/>
  </r>
  <r>
    <x v="55"/>
    <x v="55"/>
    <x v="118"/>
    <x v="4"/>
    <x v="108"/>
    <x v="33"/>
    <x v="102"/>
    <x v="1"/>
    <x v="1"/>
    <x v="2"/>
    <x v="1"/>
    <x v="1"/>
    <x v="2"/>
    <x v="0"/>
    <x v="1"/>
    <x v="0"/>
    <x v="1"/>
  </r>
  <r>
    <x v="56"/>
    <x v="56"/>
    <x v="119"/>
    <x v="1"/>
    <x v="5"/>
    <x v="1"/>
    <x v="1"/>
    <x v="1"/>
    <x v="1"/>
    <x v="1"/>
    <x v="1"/>
    <x v="1"/>
    <x v="1"/>
    <x v="0"/>
    <x v="1"/>
    <x v="0"/>
    <x v="1"/>
  </r>
  <r>
    <x v="57"/>
    <x v="57"/>
    <x v="120"/>
    <x v="3"/>
    <x v="109"/>
    <x v="103"/>
    <x v="103"/>
    <x v="2"/>
    <x v="66"/>
    <x v="67"/>
    <x v="0"/>
    <x v="0"/>
    <x v="13"/>
    <x v="1"/>
    <x v="1"/>
    <x v="1"/>
    <x v="1"/>
  </r>
  <r>
    <x v="56"/>
    <x v="56"/>
    <x v="121"/>
    <x v="0"/>
    <x v="110"/>
    <x v="104"/>
    <x v="104"/>
    <x v="1"/>
    <x v="1"/>
    <x v="2"/>
    <x v="1"/>
    <x v="1"/>
    <x v="2"/>
    <x v="0"/>
    <x v="1"/>
    <x v="0"/>
    <x v="1"/>
  </r>
  <r>
    <x v="55"/>
    <x v="55"/>
    <x v="122"/>
    <x v="5"/>
    <x v="111"/>
    <x v="105"/>
    <x v="105"/>
    <x v="1"/>
    <x v="1"/>
    <x v="2"/>
    <x v="1"/>
    <x v="1"/>
    <x v="2"/>
    <x v="0"/>
    <x v="1"/>
    <x v="0"/>
    <x v="1"/>
  </r>
  <r>
    <x v="58"/>
    <x v="58"/>
    <x v="123"/>
    <x v="14"/>
    <x v="112"/>
    <x v="106"/>
    <x v="106"/>
    <x v="1"/>
    <x v="1"/>
    <x v="2"/>
    <x v="1"/>
    <x v="1"/>
    <x v="2"/>
    <x v="0"/>
    <x v="1"/>
    <x v="0"/>
    <x v="1"/>
  </r>
  <r>
    <x v="59"/>
    <x v="59"/>
    <x v="124"/>
    <x v="22"/>
    <x v="113"/>
    <x v="107"/>
    <x v="107"/>
    <x v="1"/>
    <x v="1"/>
    <x v="2"/>
    <x v="1"/>
    <x v="1"/>
    <x v="2"/>
    <x v="0"/>
    <x v="1"/>
    <x v="0"/>
    <x v="1"/>
  </r>
  <r>
    <x v="50"/>
    <x v="50"/>
    <x v="125"/>
    <x v="0"/>
    <x v="114"/>
    <x v="64"/>
    <x v="108"/>
    <x v="1"/>
    <x v="1"/>
    <x v="2"/>
    <x v="1"/>
    <x v="1"/>
    <x v="2"/>
    <x v="0"/>
    <x v="1"/>
    <x v="0"/>
    <x v="1"/>
  </r>
  <r>
    <x v="49"/>
    <x v="49"/>
    <x v="126"/>
    <x v="0"/>
    <x v="115"/>
    <x v="64"/>
    <x v="108"/>
    <x v="1"/>
    <x v="1"/>
    <x v="2"/>
    <x v="1"/>
    <x v="1"/>
    <x v="2"/>
    <x v="0"/>
    <x v="1"/>
    <x v="0"/>
    <x v="1"/>
  </r>
  <r>
    <x v="60"/>
    <x v="60"/>
    <x v="127"/>
    <x v="1"/>
    <x v="5"/>
    <x v="1"/>
    <x v="1"/>
    <x v="1"/>
    <x v="1"/>
    <x v="1"/>
    <x v="1"/>
    <x v="1"/>
    <x v="1"/>
    <x v="0"/>
    <x v="1"/>
    <x v="0"/>
    <x v="1"/>
  </r>
  <r>
    <x v="61"/>
    <x v="61"/>
    <x v="128"/>
    <x v="1"/>
    <x v="5"/>
    <x v="1"/>
    <x v="1"/>
    <x v="1"/>
    <x v="1"/>
    <x v="1"/>
    <x v="1"/>
    <x v="1"/>
    <x v="1"/>
    <x v="0"/>
    <x v="1"/>
    <x v="0"/>
    <x v="1"/>
  </r>
  <r>
    <x v="61"/>
    <x v="61"/>
    <x v="129"/>
    <x v="1"/>
    <x v="5"/>
    <x v="1"/>
    <x v="1"/>
    <x v="1"/>
    <x v="1"/>
    <x v="1"/>
    <x v="1"/>
    <x v="1"/>
    <x v="1"/>
    <x v="0"/>
    <x v="1"/>
    <x v="0"/>
    <x v="1"/>
  </r>
  <r>
    <x v="60"/>
    <x v="60"/>
    <x v="130"/>
    <x v="1"/>
    <x v="5"/>
    <x v="1"/>
    <x v="1"/>
    <x v="1"/>
    <x v="1"/>
    <x v="1"/>
    <x v="1"/>
    <x v="1"/>
    <x v="1"/>
    <x v="0"/>
    <x v="1"/>
    <x v="0"/>
    <x v="1"/>
  </r>
  <r>
    <x v="62"/>
    <x v="62"/>
    <x v="131"/>
    <x v="7"/>
    <x v="116"/>
    <x v="92"/>
    <x v="109"/>
    <x v="1"/>
    <x v="1"/>
    <x v="2"/>
    <x v="1"/>
    <x v="1"/>
    <x v="2"/>
    <x v="0"/>
    <x v="1"/>
    <x v="0"/>
    <x v="1"/>
  </r>
  <r>
    <x v="63"/>
    <x v="63"/>
    <x v="132"/>
    <x v="7"/>
    <x v="117"/>
    <x v="5"/>
    <x v="83"/>
    <x v="2"/>
    <x v="67"/>
    <x v="68"/>
    <x v="0"/>
    <x v="0"/>
    <x v="42"/>
    <x v="1"/>
    <x v="1"/>
    <x v="1"/>
    <x v="1"/>
  </r>
  <r>
    <x v="64"/>
    <x v="64"/>
    <x v="133"/>
    <x v="4"/>
    <x v="118"/>
    <x v="108"/>
    <x v="4"/>
    <x v="1"/>
    <x v="1"/>
    <x v="2"/>
    <x v="1"/>
    <x v="1"/>
    <x v="2"/>
    <x v="0"/>
    <x v="1"/>
    <x v="0"/>
    <x v="1"/>
  </r>
  <r>
    <x v="54"/>
    <x v="54"/>
    <x v="134"/>
    <x v="7"/>
    <x v="119"/>
    <x v="109"/>
    <x v="110"/>
    <x v="1"/>
    <x v="1"/>
    <x v="2"/>
    <x v="1"/>
    <x v="1"/>
    <x v="2"/>
    <x v="0"/>
    <x v="1"/>
    <x v="0"/>
    <x v="1"/>
  </r>
  <r>
    <x v="53"/>
    <x v="53"/>
    <x v="135"/>
    <x v="1"/>
    <x v="5"/>
    <x v="1"/>
    <x v="1"/>
    <x v="1"/>
    <x v="1"/>
    <x v="1"/>
    <x v="1"/>
    <x v="1"/>
    <x v="1"/>
    <x v="0"/>
    <x v="1"/>
    <x v="0"/>
    <x v="1"/>
  </r>
  <r>
    <x v="52"/>
    <x v="52"/>
    <x v="136"/>
    <x v="17"/>
    <x v="120"/>
    <x v="97"/>
    <x v="111"/>
    <x v="2"/>
    <x v="68"/>
    <x v="69"/>
    <x v="0"/>
    <x v="0"/>
    <x v="12"/>
    <x v="0"/>
    <x v="0"/>
    <x v="0"/>
    <x v="2"/>
  </r>
  <r>
    <x v="51"/>
    <x v="51"/>
    <x v="62"/>
    <x v="0"/>
    <x v="121"/>
    <x v="81"/>
    <x v="112"/>
    <x v="1"/>
    <x v="1"/>
    <x v="2"/>
    <x v="1"/>
    <x v="1"/>
    <x v="2"/>
    <x v="0"/>
    <x v="1"/>
    <x v="0"/>
    <x v="1"/>
  </r>
  <r>
    <x v="64"/>
    <x v="64"/>
    <x v="31"/>
    <x v="7"/>
    <x v="122"/>
    <x v="11"/>
    <x v="11"/>
    <x v="1"/>
    <x v="1"/>
    <x v="2"/>
    <x v="1"/>
    <x v="1"/>
    <x v="2"/>
    <x v="0"/>
    <x v="1"/>
    <x v="0"/>
    <x v="1"/>
  </r>
  <r>
    <x v="63"/>
    <x v="63"/>
    <x v="137"/>
    <x v="14"/>
    <x v="123"/>
    <x v="106"/>
    <x v="106"/>
    <x v="1"/>
    <x v="1"/>
    <x v="2"/>
    <x v="1"/>
    <x v="1"/>
    <x v="2"/>
    <x v="0"/>
    <x v="1"/>
    <x v="0"/>
    <x v="1"/>
  </r>
  <r>
    <x v="62"/>
    <x v="62"/>
    <x v="138"/>
    <x v="4"/>
    <x v="124"/>
    <x v="27"/>
    <x v="113"/>
    <x v="1"/>
    <x v="1"/>
    <x v="2"/>
    <x v="1"/>
    <x v="1"/>
    <x v="2"/>
    <x v="0"/>
    <x v="1"/>
    <x v="0"/>
    <x v="1"/>
  </r>
  <r>
    <x v="65"/>
    <x v="65"/>
    <x v="139"/>
    <x v="1"/>
    <x v="5"/>
    <x v="1"/>
    <x v="1"/>
    <x v="1"/>
    <x v="1"/>
    <x v="1"/>
    <x v="1"/>
    <x v="1"/>
    <x v="1"/>
    <x v="0"/>
    <x v="1"/>
    <x v="0"/>
    <x v="1"/>
  </r>
  <r>
    <x v="58"/>
    <x v="58"/>
    <x v="140"/>
    <x v="23"/>
    <x v="125"/>
    <x v="110"/>
    <x v="114"/>
    <x v="1"/>
    <x v="1"/>
    <x v="2"/>
    <x v="1"/>
    <x v="1"/>
    <x v="2"/>
    <x v="0"/>
    <x v="1"/>
    <x v="0"/>
    <x v="1"/>
  </r>
  <r>
    <x v="29"/>
    <x v="29"/>
    <x v="127"/>
    <x v="1"/>
    <x v="5"/>
    <x v="1"/>
    <x v="1"/>
    <x v="1"/>
    <x v="1"/>
    <x v="1"/>
    <x v="1"/>
    <x v="1"/>
    <x v="1"/>
    <x v="0"/>
    <x v="1"/>
    <x v="0"/>
    <x v="1"/>
  </r>
  <r>
    <x v="28"/>
    <x v="28"/>
    <x v="141"/>
    <x v="31"/>
    <x v="126"/>
    <x v="111"/>
    <x v="115"/>
    <x v="36"/>
    <x v="69"/>
    <x v="70"/>
    <x v="2"/>
    <x v="2"/>
    <x v="12"/>
    <x v="4"/>
    <x v="1"/>
    <x v="26"/>
    <x v="1"/>
  </r>
  <r>
    <x v="27"/>
    <x v="27"/>
    <x v="142"/>
    <x v="1"/>
    <x v="5"/>
    <x v="1"/>
    <x v="1"/>
    <x v="1"/>
    <x v="1"/>
    <x v="1"/>
    <x v="1"/>
    <x v="1"/>
    <x v="1"/>
    <x v="0"/>
    <x v="1"/>
    <x v="0"/>
    <x v="1"/>
  </r>
  <r>
    <x v="46"/>
    <x v="46"/>
    <x v="143"/>
    <x v="1"/>
    <x v="5"/>
    <x v="1"/>
    <x v="1"/>
    <x v="1"/>
    <x v="1"/>
    <x v="1"/>
    <x v="1"/>
    <x v="1"/>
    <x v="1"/>
    <x v="0"/>
    <x v="1"/>
    <x v="0"/>
    <x v="1"/>
  </r>
  <r>
    <x v="66"/>
    <x v="66"/>
    <x v="144"/>
    <x v="0"/>
    <x v="127"/>
    <x v="44"/>
    <x v="116"/>
    <x v="1"/>
    <x v="1"/>
    <x v="2"/>
    <x v="1"/>
    <x v="1"/>
    <x v="2"/>
    <x v="0"/>
    <x v="1"/>
    <x v="0"/>
    <x v="1"/>
  </r>
  <r>
    <x v="66"/>
    <x v="66"/>
    <x v="145"/>
    <x v="14"/>
    <x v="128"/>
    <x v="112"/>
    <x v="117"/>
    <x v="1"/>
    <x v="1"/>
    <x v="2"/>
    <x v="1"/>
    <x v="1"/>
    <x v="2"/>
    <x v="0"/>
    <x v="1"/>
    <x v="0"/>
    <x v="1"/>
  </r>
  <r>
    <x v="29"/>
    <x v="29"/>
    <x v="146"/>
    <x v="17"/>
    <x v="129"/>
    <x v="113"/>
    <x v="118"/>
    <x v="37"/>
    <x v="70"/>
    <x v="71"/>
    <x v="0"/>
    <x v="0"/>
    <x v="12"/>
    <x v="1"/>
    <x v="1"/>
    <x v="27"/>
    <x v="1"/>
  </r>
  <r>
    <x v="46"/>
    <x v="46"/>
    <x v="2"/>
    <x v="1"/>
    <x v="5"/>
    <x v="1"/>
    <x v="1"/>
    <x v="1"/>
    <x v="1"/>
    <x v="1"/>
    <x v="1"/>
    <x v="1"/>
    <x v="1"/>
    <x v="0"/>
    <x v="1"/>
    <x v="0"/>
    <x v="1"/>
  </r>
  <r>
    <x v="27"/>
    <x v="27"/>
    <x v="33"/>
    <x v="14"/>
    <x v="29"/>
    <x v="114"/>
    <x v="119"/>
    <x v="1"/>
    <x v="1"/>
    <x v="2"/>
    <x v="1"/>
    <x v="1"/>
    <x v="2"/>
    <x v="0"/>
    <x v="1"/>
    <x v="0"/>
    <x v="1"/>
  </r>
  <r>
    <x v="28"/>
    <x v="28"/>
    <x v="147"/>
    <x v="5"/>
    <x v="130"/>
    <x v="115"/>
    <x v="120"/>
    <x v="1"/>
    <x v="1"/>
    <x v="2"/>
    <x v="1"/>
    <x v="1"/>
    <x v="2"/>
    <x v="0"/>
    <x v="1"/>
    <x v="0"/>
    <x v="1"/>
  </r>
  <r>
    <x v="30"/>
    <x v="30"/>
    <x v="148"/>
    <x v="1"/>
    <x v="5"/>
    <x v="1"/>
    <x v="1"/>
    <x v="1"/>
    <x v="1"/>
    <x v="1"/>
    <x v="1"/>
    <x v="1"/>
    <x v="1"/>
    <x v="0"/>
    <x v="1"/>
    <x v="0"/>
    <x v="1"/>
  </r>
  <r>
    <x v="31"/>
    <x v="31"/>
    <x v="149"/>
    <x v="1"/>
    <x v="5"/>
    <x v="1"/>
    <x v="1"/>
    <x v="1"/>
    <x v="1"/>
    <x v="1"/>
    <x v="1"/>
    <x v="1"/>
    <x v="1"/>
    <x v="0"/>
    <x v="1"/>
    <x v="0"/>
    <x v="1"/>
  </r>
  <r>
    <x v="32"/>
    <x v="32"/>
    <x v="150"/>
    <x v="7"/>
    <x v="131"/>
    <x v="116"/>
    <x v="117"/>
    <x v="15"/>
    <x v="71"/>
    <x v="72"/>
    <x v="0"/>
    <x v="0"/>
    <x v="42"/>
    <x v="1"/>
    <x v="1"/>
    <x v="28"/>
    <x v="1"/>
  </r>
  <r>
    <x v="33"/>
    <x v="33"/>
    <x v="151"/>
    <x v="7"/>
    <x v="132"/>
    <x v="117"/>
    <x v="121"/>
    <x v="15"/>
    <x v="72"/>
    <x v="73"/>
    <x v="0"/>
    <x v="0"/>
    <x v="42"/>
    <x v="1"/>
    <x v="1"/>
    <x v="28"/>
    <x v="1"/>
  </r>
  <r>
    <x v="46"/>
    <x v="46"/>
    <x v="152"/>
    <x v="14"/>
    <x v="133"/>
    <x v="118"/>
    <x v="122"/>
    <x v="1"/>
    <x v="1"/>
    <x v="2"/>
    <x v="1"/>
    <x v="1"/>
    <x v="2"/>
    <x v="0"/>
    <x v="1"/>
    <x v="0"/>
    <x v="1"/>
  </r>
  <r>
    <x v="6"/>
    <x v="6"/>
    <x v="153"/>
    <x v="38"/>
    <x v="134"/>
    <x v="119"/>
    <x v="123"/>
    <x v="38"/>
    <x v="73"/>
    <x v="74"/>
    <x v="5"/>
    <x v="5"/>
    <x v="5"/>
    <x v="2"/>
    <x v="0"/>
    <x v="29"/>
    <x v="2"/>
  </r>
  <r>
    <x v="67"/>
    <x v="67"/>
    <x v="154"/>
    <x v="0"/>
    <x v="135"/>
    <x v="120"/>
    <x v="124"/>
    <x v="1"/>
    <x v="1"/>
    <x v="2"/>
    <x v="1"/>
    <x v="1"/>
    <x v="2"/>
    <x v="0"/>
    <x v="1"/>
    <x v="0"/>
    <x v="1"/>
  </r>
  <r>
    <x v="34"/>
    <x v="34"/>
    <x v="155"/>
    <x v="14"/>
    <x v="136"/>
    <x v="106"/>
    <x v="106"/>
    <x v="1"/>
    <x v="1"/>
    <x v="2"/>
    <x v="1"/>
    <x v="1"/>
    <x v="2"/>
    <x v="0"/>
    <x v="1"/>
    <x v="0"/>
    <x v="1"/>
  </r>
  <r>
    <x v="35"/>
    <x v="35"/>
    <x v="156"/>
    <x v="1"/>
    <x v="5"/>
    <x v="1"/>
    <x v="1"/>
    <x v="1"/>
    <x v="1"/>
    <x v="1"/>
    <x v="1"/>
    <x v="1"/>
    <x v="1"/>
    <x v="0"/>
    <x v="1"/>
    <x v="0"/>
    <x v="1"/>
  </r>
  <r>
    <x v="38"/>
    <x v="38"/>
    <x v="157"/>
    <x v="14"/>
    <x v="137"/>
    <x v="92"/>
    <x v="125"/>
    <x v="1"/>
    <x v="1"/>
    <x v="2"/>
    <x v="1"/>
    <x v="1"/>
    <x v="2"/>
    <x v="0"/>
    <x v="1"/>
    <x v="0"/>
    <x v="1"/>
  </r>
  <r>
    <x v="39"/>
    <x v="39"/>
    <x v="158"/>
    <x v="22"/>
    <x v="138"/>
    <x v="121"/>
    <x v="126"/>
    <x v="2"/>
    <x v="74"/>
    <x v="75"/>
    <x v="0"/>
    <x v="0"/>
    <x v="37"/>
    <x v="1"/>
    <x v="1"/>
    <x v="1"/>
    <x v="1"/>
  </r>
  <r>
    <x v="40"/>
    <x v="40"/>
    <x v="159"/>
    <x v="0"/>
    <x v="139"/>
    <x v="92"/>
    <x v="127"/>
    <x v="1"/>
    <x v="1"/>
    <x v="2"/>
    <x v="1"/>
    <x v="1"/>
    <x v="2"/>
    <x v="0"/>
    <x v="1"/>
    <x v="0"/>
    <x v="1"/>
  </r>
  <r>
    <x v="6"/>
    <x v="6"/>
    <x v="160"/>
    <x v="22"/>
    <x v="92"/>
    <x v="122"/>
    <x v="128"/>
    <x v="1"/>
    <x v="1"/>
    <x v="2"/>
    <x v="1"/>
    <x v="1"/>
    <x v="2"/>
    <x v="0"/>
    <x v="1"/>
    <x v="0"/>
    <x v="1"/>
  </r>
  <r>
    <x v="68"/>
    <x v="68"/>
    <x v="161"/>
    <x v="4"/>
    <x v="140"/>
    <x v="33"/>
    <x v="102"/>
    <x v="1"/>
    <x v="1"/>
    <x v="2"/>
    <x v="1"/>
    <x v="1"/>
    <x v="2"/>
    <x v="0"/>
    <x v="1"/>
    <x v="0"/>
    <x v="1"/>
  </r>
  <r>
    <x v="2"/>
    <x v="2"/>
    <x v="162"/>
    <x v="0"/>
    <x v="141"/>
    <x v="3"/>
    <x v="129"/>
    <x v="1"/>
    <x v="1"/>
    <x v="2"/>
    <x v="1"/>
    <x v="1"/>
    <x v="2"/>
    <x v="0"/>
    <x v="1"/>
    <x v="0"/>
    <x v="1"/>
  </r>
  <r>
    <x v="69"/>
    <x v="69"/>
    <x v="163"/>
    <x v="17"/>
    <x v="142"/>
    <x v="123"/>
    <x v="130"/>
    <x v="39"/>
    <x v="75"/>
    <x v="76"/>
    <x v="2"/>
    <x v="2"/>
    <x v="31"/>
    <x v="4"/>
    <x v="1"/>
    <x v="30"/>
    <x v="1"/>
  </r>
  <r>
    <x v="36"/>
    <x v="36"/>
    <x v="112"/>
    <x v="22"/>
    <x v="143"/>
    <x v="121"/>
    <x v="126"/>
    <x v="1"/>
    <x v="1"/>
    <x v="2"/>
    <x v="1"/>
    <x v="1"/>
    <x v="2"/>
    <x v="0"/>
    <x v="1"/>
    <x v="0"/>
    <x v="1"/>
  </r>
  <r>
    <x v="70"/>
    <x v="70"/>
    <x v="164"/>
    <x v="0"/>
    <x v="144"/>
    <x v="121"/>
    <x v="131"/>
    <x v="1"/>
    <x v="1"/>
    <x v="2"/>
    <x v="1"/>
    <x v="1"/>
    <x v="2"/>
    <x v="0"/>
    <x v="1"/>
    <x v="0"/>
    <x v="1"/>
  </r>
  <r>
    <x v="37"/>
    <x v="37"/>
    <x v="165"/>
    <x v="1"/>
    <x v="5"/>
    <x v="1"/>
    <x v="1"/>
    <x v="1"/>
    <x v="1"/>
    <x v="1"/>
    <x v="1"/>
    <x v="1"/>
    <x v="1"/>
    <x v="0"/>
    <x v="1"/>
    <x v="0"/>
    <x v="1"/>
  </r>
  <r>
    <x v="41"/>
    <x v="41"/>
    <x v="166"/>
    <x v="17"/>
    <x v="145"/>
    <x v="124"/>
    <x v="132"/>
    <x v="2"/>
    <x v="76"/>
    <x v="77"/>
    <x v="0"/>
    <x v="0"/>
    <x v="12"/>
    <x v="0"/>
    <x v="0"/>
    <x v="0"/>
    <x v="2"/>
  </r>
  <r>
    <x v="71"/>
    <x v="71"/>
    <x v="167"/>
    <x v="17"/>
    <x v="146"/>
    <x v="125"/>
    <x v="133"/>
    <x v="40"/>
    <x v="77"/>
    <x v="78"/>
    <x v="2"/>
    <x v="2"/>
    <x v="31"/>
    <x v="0"/>
    <x v="4"/>
    <x v="0"/>
    <x v="27"/>
  </r>
  <r>
    <x v="28"/>
    <x v="28"/>
    <x v="168"/>
    <x v="23"/>
    <x v="147"/>
    <x v="126"/>
    <x v="134"/>
    <x v="1"/>
    <x v="1"/>
    <x v="2"/>
    <x v="1"/>
    <x v="1"/>
    <x v="2"/>
    <x v="0"/>
    <x v="1"/>
    <x v="0"/>
    <x v="1"/>
  </r>
  <r>
    <x v="27"/>
    <x v="27"/>
    <x v="169"/>
    <x v="22"/>
    <x v="148"/>
    <x v="127"/>
    <x v="119"/>
    <x v="1"/>
    <x v="1"/>
    <x v="2"/>
    <x v="1"/>
    <x v="1"/>
    <x v="2"/>
    <x v="0"/>
    <x v="1"/>
    <x v="0"/>
    <x v="1"/>
  </r>
  <r>
    <x v="23"/>
    <x v="23"/>
    <x v="170"/>
    <x v="23"/>
    <x v="149"/>
    <x v="128"/>
    <x v="135"/>
    <x v="16"/>
    <x v="78"/>
    <x v="79"/>
    <x v="0"/>
    <x v="2"/>
    <x v="43"/>
    <x v="4"/>
    <x v="1"/>
    <x v="11"/>
    <x v="1"/>
  </r>
  <r>
    <x v="26"/>
    <x v="26"/>
    <x v="171"/>
    <x v="14"/>
    <x v="150"/>
    <x v="129"/>
    <x v="136"/>
    <x v="1"/>
    <x v="1"/>
    <x v="2"/>
    <x v="1"/>
    <x v="1"/>
    <x v="2"/>
    <x v="0"/>
    <x v="1"/>
    <x v="0"/>
    <x v="1"/>
  </r>
  <r>
    <x v="25"/>
    <x v="25"/>
    <x v="172"/>
    <x v="0"/>
    <x v="37"/>
    <x v="3"/>
    <x v="129"/>
    <x v="11"/>
    <x v="79"/>
    <x v="80"/>
    <x v="0"/>
    <x v="0"/>
    <x v="0"/>
    <x v="0"/>
    <x v="0"/>
    <x v="0"/>
    <x v="11"/>
  </r>
  <r>
    <x v="42"/>
    <x v="42"/>
    <x v="173"/>
    <x v="2"/>
    <x v="151"/>
    <x v="130"/>
    <x v="137"/>
    <x v="1"/>
    <x v="1"/>
    <x v="2"/>
    <x v="1"/>
    <x v="1"/>
    <x v="2"/>
    <x v="0"/>
    <x v="1"/>
    <x v="0"/>
    <x v="1"/>
  </r>
  <r>
    <x v="24"/>
    <x v="24"/>
    <x v="174"/>
    <x v="14"/>
    <x v="152"/>
    <x v="22"/>
    <x v="138"/>
    <x v="41"/>
    <x v="80"/>
    <x v="81"/>
    <x v="0"/>
    <x v="0"/>
    <x v="19"/>
    <x v="0"/>
    <x v="0"/>
    <x v="0"/>
    <x v="28"/>
  </r>
  <r>
    <x v="30"/>
    <x v="30"/>
    <x v="175"/>
    <x v="22"/>
    <x v="153"/>
    <x v="131"/>
    <x v="25"/>
    <x v="1"/>
    <x v="1"/>
    <x v="2"/>
    <x v="1"/>
    <x v="1"/>
    <x v="2"/>
    <x v="0"/>
    <x v="1"/>
    <x v="0"/>
    <x v="1"/>
  </r>
  <r>
    <x v="31"/>
    <x v="31"/>
    <x v="91"/>
    <x v="4"/>
    <x v="154"/>
    <x v="132"/>
    <x v="139"/>
    <x v="1"/>
    <x v="1"/>
    <x v="2"/>
    <x v="1"/>
    <x v="1"/>
    <x v="2"/>
    <x v="0"/>
    <x v="1"/>
    <x v="0"/>
    <x v="1"/>
  </r>
  <r>
    <x v="32"/>
    <x v="32"/>
    <x v="176"/>
    <x v="21"/>
    <x v="155"/>
    <x v="133"/>
    <x v="140"/>
    <x v="42"/>
    <x v="81"/>
    <x v="82"/>
    <x v="3"/>
    <x v="15"/>
    <x v="44"/>
    <x v="10"/>
    <x v="1"/>
    <x v="18"/>
    <x v="1"/>
  </r>
  <r>
    <x v="33"/>
    <x v="33"/>
    <x v="177"/>
    <x v="11"/>
    <x v="156"/>
    <x v="134"/>
    <x v="141"/>
    <x v="43"/>
    <x v="82"/>
    <x v="83"/>
    <x v="13"/>
    <x v="12"/>
    <x v="45"/>
    <x v="10"/>
    <x v="3"/>
    <x v="18"/>
    <x v="29"/>
  </r>
  <r>
    <x v="29"/>
    <x v="29"/>
    <x v="178"/>
    <x v="0"/>
    <x v="157"/>
    <x v="135"/>
    <x v="142"/>
    <x v="1"/>
    <x v="1"/>
    <x v="2"/>
    <x v="1"/>
    <x v="1"/>
    <x v="2"/>
    <x v="0"/>
    <x v="1"/>
    <x v="0"/>
    <x v="1"/>
  </r>
  <r>
    <x v="72"/>
    <x v="72"/>
    <x v="179"/>
    <x v="14"/>
    <x v="158"/>
    <x v="21"/>
    <x v="21"/>
    <x v="11"/>
    <x v="83"/>
    <x v="84"/>
    <x v="0"/>
    <x v="0"/>
    <x v="19"/>
    <x v="0"/>
    <x v="0"/>
    <x v="0"/>
    <x v="11"/>
  </r>
  <r>
    <x v="73"/>
    <x v="73"/>
    <x v="180"/>
    <x v="7"/>
    <x v="124"/>
    <x v="136"/>
    <x v="82"/>
    <x v="1"/>
    <x v="1"/>
    <x v="2"/>
    <x v="1"/>
    <x v="1"/>
    <x v="2"/>
    <x v="0"/>
    <x v="1"/>
    <x v="0"/>
    <x v="1"/>
  </r>
  <r>
    <x v="46"/>
    <x v="46"/>
    <x v="181"/>
    <x v="0"/>
    <x v="159"/>
    <x v="137"/>
    <x v="143"/>
    <x v="1"/>
    <x v="1"/>
    <x v="2"/>
    <x v="1"/>
    <x v="1"/>
    <x v="2"/>
    <x v="0"/>
    <x v="1"/>
    <x v="0"/>
    <x v="1"/>
  </r>
  <r>
    <x v="73"/>
    <x v="73"/>
    <x v="182"/>
    <x v="1"/>
    <x v="5"/>
    <x v="1"/>
    <x v="1"/>
    <x v="1"/>
    <x v="1"/>
    <x v="1"/>
    <x v="1"/>
    <x v="1"/>
    <x v="1"/>
    <x v="0"/>
    <x v="1"/>
    <x v="0"/>
    <x v="1"/>
  </r>
  <r>
    <x v="69"/>
    <x v="69"/>
    <x v="183"/>
    <x v="1"/>
    <x v="5"/>
    <x v="1"/>
    <x v="1"/>
    <x v="1"/>
    <x v="1"/>
    <x v="1"/>
    <x v="1"/>
    <x v="1"/>
    <x v="1"/>
    <x v="0"/>
    <x v="1"/>
    <x v="0"/>
    <x v="1"/>
  </r>
  <r>
    <x v="73"/>
    <x v="73"/>
    <x v="184"/>
    <x v="7"/>
    <x v="50"/>
    <x v="138"/>
    <x v="144"/>
    <x v="1"/>
    <x v="1"/>
    <x v="2"/>
    <x v="1"/>
    <x v="1"/>
    <x v="2"/>
    <x v="0"/>
    <x v="1"/>
    <x v="0"/>
    <x v="1"/>
  </r>
  <r>
    <x v="73"/>
    <x v="73"/>
    <x v="185"/>
    <x v="1"/>
    <x v="5"/>
    <x v="1"/>
    <x v="1"/>
    <x v="1"/>
    <x v="1"/>
    <x v="1"/>
    <x v="1"/>
    <x v="1"/>
    <x v="1"/>
    <x v="0"/>
    <x v="1"/>
    <x v="0"/>
    <x v="1"/>
  </r>
  <r>
    <x v="72"/>
    <x v="72"/>
    <x v="186"/>
    <x v="0"/>
    <x v="160"/>
    <x v="68"/>
    <x v="138"/>
    <x v="44"/>
    <x v="84"/>
    <x v="85"/>
    <x v="0"/>
    <x v="0"/>
    <x v="0"/>
    <x v="1"/>
    <x v="1"/>
    <x v="31"/>
    <x v="1"/>
  </r>
  <r>
    <x v="72"/>
    <x v="72"/>
    <x v="187"/>
    <x v="14"/>
    <x v="161"/>
    <x v="139"/>
    <x v="145"/>
    <x v="1"/>
    <x v="1"/>
    <x v="2"/>
    <x v="1"/>
    <x v="1"/>
    <x v="2"/>
    <x v="0"/>
    <x v="1"/>
    <x v="0"/>
    <x v="1"/>
  </r>
  <r>
    <x v="72"/>
    <x v="72"/>
    <x v="188"/>
    <x v="1"/>
    <x v="5"/>
    <x v="1"/>
    <x v="1"/>
    <x v="1"/>
    <x v="1"/>
    <x v="1"/>
    <x v="1"/>
    <x v="1"/>
    <x v="1"/>
    <x v="0"/>
    <x v="1"/>
    <x v="0"/>
    <x v="1"/>
  </r>
  <r>
    <x v="69"/>
    <x v="69"/>
    <x v="189"/>
    <x v="18"/>
    <x v="162"/>
    <x v="140"/>
    <x v="146"/>
    <x v="45"/>
    <x v="85"/>
    <x v="86"/>
    <x v="2"/>
    <x v="2"/>
    <x v="14"/>
    <x v="1"/>
    <x v="0"/>
    <x v="32"/>
    <x v="30"/>
  </r>
  <r>
    <x v="72"/>
    <x v="72"/>
    <x v="190"/>
    <x v="0"/>
    <x v="163"/>
    <x v="141"/>
    <x v="147"/>
    <x v="1"/>
    <x v="1"/>
    <x v="2"/>
    <x v="1"/>
    <x v="1"/>
    <x v="2"/>
    <x v="0"/>
    <x v="1"/>
    <x v="0"/>
    <x v="1"/>
  </r>
  <r>
    <x v="69"/>
    <x v="69"/>
    <x v="191"/>
    <x v="14"/>
    <x v="164"/>
    <x v="142"/>
    <x v="148"/>
    <x v="1"/>
    <x v="1"/>
    <x v="2"/>
    <x v="1"/>
    <x v="1"/>
    <x v="2"/>
    <x v="0"/>
    <x v="1"/>
    <x v="0"/>
    <x v="1"/>
  </r>
  <r>
    <x v="28"/>
    <x v="28"/>
    <x v="192"/>
    <x v="39"/>
    <x v="165"/>
    <x v="143"/>
    <x v="149"/>
    <x v="46"/>
    <x v="86"/>
    <x v="87"/>
    <x v="16"/>
    <x v="16"/>
    <x v="46"/>
    <x v="12"/>
    <x v="4"/>
    <x v="33"/>
    <x v="31"/>
  </r>
  <r>
    <x v="27"/>
    <x v="27"/>
    <x v="193"/>
    <x v="17"/>
    <x v="166"/>
    <x v="144"/>
    <x v="150"/>
    <x v="1"/>
    <x v="1"/>
    <x v="2"/>
    <x v="1"/>
    <x v="1"/>
    <x v="2"/>
    <x v="0"/>
    <x v="1"/>
    <x v="0"/>
    <x v="1"/>
  </r>
  <r>
    <x v="27"/>
    <x v="27"/>
    <x v="194"/>
    <x v="1"/>
    <x v="5"/>
    <x v="1"/>
    <x v="1"/>
    <x v="1"/>
    <x v="1"/>
    <x v="1"/>
    <x v="1"/>
    <x v="1"/>
    <x v="1"/>
    <x v="0"/>
    <x v="1"/>
    <x v="0"/>
    <x v="1"/>
  </r>
  <r>
    <x v="28"/>
    <x v="28"/>
    <x v="39"/>
    <x v="7"/>
    <x v="167"/>
    <x v="120"/>
    <x v="151"/>
    <x v="17"/>
    <x v="87"/>
    <x v="88"/>
    <x v="0"/>
    <x v="0"/>
    <x v="42"/>
    <x v="1"/>
    <x v="1"/>
    <x v="12"/>
    <x v="1"/>
  </r>
  <r>
    <x v="24"/>
    <x v="24"/>
    <x v="195"/>
    <x v="1"/>
    <x v="5"/>
    <x v="1"/>
    <x v="1"/>
    <x v="1"/>
    <x v="1"/>
    <x v="1"/>
    <x v="1"/>
    <x v="1"/>
    <x v="1"/>
    <x v="0"/>
    <x v="1"/>
    <x v="0"/>
    <x v="1"/>
  </r>
  <r>
    <x v="23"/>
    <x v="23"/>
    <x v="196"/>
    <x v="40"/>
    <x v="168"/>
    <x v="145"/>
    <x v="152"/>
    <x v="47"/>
    <x v="88"/>
    <x v="89"/>
    <x v="3"/>
    <x v="16"/>
    <x v="47"/>
    <x v="6"/>
    <x v="6"/>
    <x v="6"/>
    <x v="32"/>
  </r>
  <r>
    <x v="26"/>
    <x v="26"/>
    <x v="0"/>
    <x v="0"/>
    <x v="0"/>
    <x v="27"/>
    <x v="153"/>
    <x v="1"/>
    <x v="1"/>
    <x v="2"/>
    <x v="1"/>
    <x v="1"/>
    <x v="2"/>
    <x v="0"/>
    <x v="1"/>
    <x v="0"/>
    <x v="1"/>
  </r>
  <r>
    <x v="25"/>
    <x v="25"/>
    <x v="197"/>
    <x v="1"/>
    <x v="5"/>
    <x v="1"/>
    <x v="1"/>
    <x v="1"/>
    <x v="1"/>
    <x v="1"/>
    <x v="1"/>
    <x v="1"/>
    <x v="1"/>
    <x v="0"/>
    <x v="1"/>
    <x v="0"/>
    <x v="1"/>
  </r>
  <r>
    <x v="42"/>
    <x v="42"/>
    <x v="198"/>
    <x v="7"/>
    <x v="169"/>
    <x v="146"/>
    <x v="154"/>
    <x v="48"/>
    <x v="89"/>
    <x v="90"/>
    <x v="0"/>
    <x v="0"/>
    <x v="42"/>
    <x v="1"/>
    <x v="1"/>
    <x v="34"/>
    <x v="1"/>
  </r>
  <r>
    <x v="23"/>
    <x v="23"/>
    <x v="199"/>
    <x v="41"/>
    <x v="170"/>
    <x v="147"/>
    <x v="155"/>
    <x v="49"/>
    <x v="90"/>
    <x v="91"/>
    <x v="11"/>
    <x v="17"/>
    <x v="48"/>
    <x v="13"/>
    <x v="9"/>
    <x v="35"/>
    <x v="33"/>
  </r>
  <r>
    <x v="26"/>
    <x v="26"/>
    <x v="200"/>
    <x v="22"/>
    <x v="171"/>
    <x v="148"/>
    <x v="156"/>
    <x v="1"/>
    <x v="1"/>
    <x v="2"/>
    <x v="1"/>
    <x v="1"/>
    <x v="2"/>
    <x v="0"/>
    <x v="1"/>
    <x v="0"/>
    <x v="1"/>
  </r>
  <r>
    <x v="24"/>
    <x v="24"/>
    <x v="201"/>
    <x v="42"/>
    <x v="172"/>
    <x v="149"/>
    <x v="157"/>
    <x v="50"/>
    <x v="91"/>
    <x v="92"/>
    <x v="3"/>
    <x v="5"/>
    <x v="49"/>
    <x v="6"/>
    <x v="4"/>
    <x v="6"/>
    <x v="31"/>
  </r>
  <r>
    <x v="33"/>
    <x v="33"/>
    <x v="202"/>
    <x v="4"/>
    <x v="173"/>
    <x v="150"/>
    <x v="158"/>
    <x v="15"/>
    <x v="92"/>
    <x v="93"/>
    <x v="0"/>
    <x v="0"/>
    <x v="5"/>
    <x v="1"/>
    <x v="1"/>
    <x v="28"/>
    <x v="1"/>
  </r>
  <r>
    <x v="32"/>
    <x v="32"/>
    <x v="203"/>
    <x v="23"/>
    <x v="174"/>
    <x v="151"/>
    <x v="159"/>
    <x v="41"/>
    <x v="93"/>
    <x v="94"/>
    <x v="0"/>
    <x v="0"/>
    <x v="43"/>
    <x v="0"/>
    <x v="0"/>
    <x v="0"/>
    <x v="28"/>
  </r>
  <r>
    <x v="31"/>
    <x v="31"/>
    <x v="139"/>
    <x v="0"/>
    <x v="175"/>
    <x v="116"/>
    <x v="160"/>
    <x v="1"/>
    <x v="1"/>
    <x v="2"/>
    <x v="1"/>
    <x v="1"/>
    <x v="2"/>
    <x v="0"/>
    <x v="1"/>
    <x v="0"/>
    <x v="1"/>
  </r>
  <r>
    <x v="30"/>
    <x v="30"/>
    <x v="204"/>
    <x v="1"/>
    <x v="5"/>
    <x v="1"/>
    <x v="1"/>
    <x v="1"/>
    <x v="1"/>
    <x v="1"/>
    <x v="1"/>
    <x v="1"/>
    <x v="1"/>
    <x v="0"/>
    <x v="1"/>
    <x v="0"/>
    <x v="1"/>
  </r>
  <r>
    <x v="29"/>
    <x v="29"/>
    <x v="205"/>
    <x v="1"/>
    <x v="5"/>
    <x v="1"/>
    <x v="1"/>
    <x v="1"/>
    <x v="1"/>
    <x v="1"/>
    <x v="1"/>
    <x v="1"/>
    <x v="1"/>
    <x v="0"/>
    <x v="1"/>
    <x v="0"/>
    <x v="1"/>
  </r>
  <r>
    <x v="29"/>
    <x v="29"/>
    <x v="127"/>
    <x v="1"/>
    <x v="5"/>
    <x v="1"/>
    <x v="1"/>
    <x v="1"/>
    <x v="1"/>
    <x v="1"/>
    <x v="1"/>
    <x v="1"/>
    <x v="1"/>
    <x v="0"/>
    <x v="1"/>
    <x v="0"/>
    <x v="1"/>
  </r>
  <r>
    <x v="31"/>
    <x v="31"/>
    <x v="206"/>
    <x v="22"/>
    <x v="176"/>
    <x v="68"/>
    <x v="122"/>
    <x v="1"/>
    <x v="1"/>
    <x v="2"/>
    <x v="1"/>
    <x v="1"/>
    <x v="2"/>
    <x v="0"/>
    <x v="1"/>
    <x v="0"/>
    <x v="1"/>
  </r>
  <r>
    <x v="32"/>
    <x v="32"/>
    <x v="207"/>
    <x v="43"/>
    <x v="177"/>
    <x v="152"/>
    <x v="161"/>
    <x v="51"/>
    <x v="94"/>
    <x v="95"/>
    <x v="17"/>
    <x v="18"/>
    <x v="50"/>
    <x v="14"/>
    <x v="3"/>
    <x v="36"/>
    <x v="34"/>
  </r>
  <r>
    <x v="33"/>
    <x v="33"/>
    <x v="208"/>
    <x v="44"/>
    <x v="178"/>
    <x v="153"/>
    <x v="162"/>
    <x v="52"/>
    <x v="95"/>
    <x v="96"/>
    <x v="18"/>
    <x v="19"/>
    <x v="51"/>
    <x v="15"/>
    <x v="10"/>
    <x v="37"/>
    <x v="35"/>
  </r>
  <r>
    <x v="66"/>
    <x v="66"/>
    <x v="209"/>
    <x v="0"/>
    <x v="179"/>
    <x v="68"/>
    <x v="138"/>
    <x v="1"/>
    <x v="1"/>
    <x v="2"/>
    <x v="1"/>
    <x v="1"/>
    <x v="2"/>
    <x v="0"/>
    <x v="1"/>
    <x v="0"/>
    <x v="1"/>
  </r>
  <r>
    <x v="46"/>
    <x v="46"/>
    <x v="210"/>
    <x v="1"/>
    <x v="5"/>
    <x v="1"/>
    <x v="1"/>
    <x v="1"/>
    <x v="1"/>
    <x v="1"/>
    <x v="1"/>
    <x v="1"/>
    <x v="1"/>
    <x v="0"/>
    <x v="1"/>
    <x v="0"/>
    <x v="1"/>
  </r>
  <r>
    <x v="73"/>
    <x v="73"/>
    <x v="210"/>
    <x v="1"/>
    <x v="5"/>
    <x v="1"/>
    <x v="1"/>
    <x v="1"/>
    <x v="1"/>
    <x v="1"/>
    <x v="1"/>
    <x v="1"/>
    <x v="1"/>
    <x v="0"/>
    <x v="1"/>
    <x v="0"/>
    <x v="1"/>
  </r>
  <r>
    <x v="72"/>
    <x v="72"/>
    <x v="211"/>
    <x v="7"/>
    <x v="180"/>
    <x v="154"/>
    <x v="163"/>
    <x v="1"/>
    <x v="1"/>
    <x v="2"/>
    <x v="1"/>
    <x v="1"/>
    <x v="2"/>
    <x v="0"/>
    <x v="1"/>
    <x v="0"/>
    <x v="1"/>
  </r>
  <r>
    <x v="69"/>
    <x v="69"/>
    <x v="212"/>
    <x v="0"/>
    <x v="181"/>
    <x v="85"/>
    <x v="164"/>
    <x v="1"/>
    <x v="1"/>
    <x v="2"/>
    <x v="1"/>
    <x v="1"/>
    <x v="2"/>
    <x v="0"/>
    <x v="1"/>
    <x v="0"/>
    <x v="1"/>
  </r>
  <r>
    <x v="74"/>
    <x v="74"/>
    <x v="213"/>
    <x v="35"/>
    <x v="182"/>
    <x v="155"/>
    <x v="165"/>
    <x v="1"/>
    <x v="1"/>
    <x v="2"/>
    <x v="1"/>
    <x v="1"/>
    <x v="2"/>
    <x v="0"/>
    <x v="1"/>
    <x v="0"/>
    <x v="1"/>
  </r>
  <r>
    <x v="74"/>
    <x v="74"/>
    <x v="214"/>
    <x v="17"/>
    <x v="183"/>
    <x v="156"/>
    <x v="166"/>
    <x v="1"/>
    <x v="1"/>
    <x v="2"/>
    <x v="1"/>
    <x v="1"/>
    <x v="2"/>
    <x v="0"/>
    <x v="1"/>
    <x v="0"/>
    <x v="1"/>
  </r>
  <r>
    <x v="74"/>
    <x v="74"/>
    <x v="215"/>
    <x v="0"/>
    <x v="184"/>
    <x v="157"/>
    <x v="167"/>
    <x v="1"/>
    <x v="1"/>
    <x v="2"/>
    <x v="1"/>
    <x v="1"/>
    <x v="2"/>
    <x v="0"/>
    <x v="1"/>
    <x v="0"/>
    <x v="1"/>
  </r>
  <r>
    <x v="75"/>
    <x v="75"/>
    <x v="216"/>
    <x v="23"/>
    <x v="185"/>
    <x v="158"/>
    <x v="168"/>
    <x v="1"/>
    <x v="1"/>
    <x v="2"/>
    <x v="1"/>
    <x v="1"/>
    <x v="2"/>
    <x v="0"/>
    <x v="1"/>
    <x v="0"/>
    <x v="1"/>
  </r>
  <r>
    <x v="76"/>
    <x v="76"/>
    <x v="217"/>
    <x v="2"/>
    <x v="186"/>
    <x v="159"/>
    <x v="169"/>
    <x v="53"/>
    <x v="96"/>
    <x v="97"/>
    <x v="0"/>
    <x v="0"/>
    <x v="3"/>
    <x v="0"/>
    <x v="0"/>
    <x v="0"/>
    <x v="36"/>
  </r>
  <r>
    <x v="66"/>
    <x v="66"/>
    <x v="218"/>
    <x v="1"/>
    <x v="5"/>
    <x v="1"/>
    <x v="1"/>
    <x v="1"/>
    <x v="1"/>
    <x v="1"/>
    <x v="1"/>
    <x v="1"/>
    <x v="1"/>
    <x v="0"/>
    <x v="1"/>
    <x v="0"/>
    <x v="1"/>
  </r>
  <r>
    <x v="66"/>
    <x v="66"/>
    <x v="219"/>
    <x v="5"/>
    <x v="187"/>
    <x v="160"/>
    <x v="4"/>
    <x v="1"/>
    <x v="1"/>
    <x v="2"/>
    <x v="1"/>
    <x v="1"/>
    <x v="2"/>
    <x v="0"/>
    <x v="1"/>
    <x v="0"/>
    <x v="1"/>
  </r>
  <r>
    <x v="77"/>
    <x v="77"/>
    <x v="220"/>
    <x v="45"/>
    <x v="188"/>
    <x v="161"/>
    <x v="170"/>
    <x v="54"/>
    <x v="97"/>
    <x v="98"/>
    <x v="0"/>
    <x v="0"/>
    <x v="52"/>
    <x v="1"/>
    <x v="1"/>
    <x v="38"/>
    <x v="1"/>
  </r>
  <r>
    <x v="77"/>
    <x v="77"/>
    <x v="221"/>
    <x v="46"/>
    <x v="189"/>
    <x v="162"/>
    <x v="171"/>
    <x v="55"/>
    <x v="98"/>
    <x v="99"/>
    <x v="0"/>
    <x v="7"/>
    <x v="53"/>
    <x v="3"/>
    <x v="1"/>
    <x v="39"/>
    <x v="1"/>
  </r>
  <r>
    <x v="74"/>
    <x v="74"/>
    <x v="222"/>
    <x v="28"/>
    <x v="190"/>
    <x v="163"/>
    <x v="172"/>
    <x v="56"/>
    <x v="99"/>
    <x v="100"/>
    <x v="3"/>
    <x v="4"/>
    <x v="54"/>
    <x v="6"/>
    <x v="0"/>
    <x v="40"/>
    <x v="37"/>
  </r>
  <r>
    <x v="78"/>
    <x v="78"/>
    <x v="223"/>
    <x v="47"/>
    <x v="191"/>
    <x v="164"/>
    <x v="173"/>
    <x v="57"/>
    <x v="100"/>
    <x v="101"/>
    <x v="0"/>
    <x v="0"/>
    <x v="55"/>
    <x v="1"/>
    <x v="1"/>
    <x v="41"/>
    <x v="1"/>
  </r>
  <r>
    <x v="79"/>
    <x v="79"/>
    <x v="224"/>
    <x v="48"/>
    <x v="192"/>
    <x v="165"/>
    <x v="174"/>
    <x v="58"/>
    <x v="101"/>
    <x v="102"/>
    <x v="2"/>
    <x v="2"/>
    <x v="56"/>
    <x v="1"/>
    <x v="0"/>
    <x v="42"/>
    <x v="38"/>
  </r>
  <r>
    <x v="80"/>
    <x v="80"/>
    <x v="225"/>
    <x v="0"/>
    <x v="193"/>
    <x v="166"/>
    <x v="175"/>
    <x v="1"/>
    <x v="1"/>
    <x v="2"/>
    <x v="1"/>
    <x v="1"/>
    <x v="2"/>
    <x v="0"/>
    <x v="1"/>
    <x v="0"/>
    <x v="1"/>
  </r>
  <r>
    <x v="81"/>
    <x v="81"/>
    <x v="226"/>
    <x v="25"/>
    <x v="194"/>
    <x v="167"/>
    <x v="176"/>
    <x v="59"/>
    <x v="102"/>
    <x v="103"/>
    <x v="0"/>
    <x v="0"/>
    <x v="57"/>
    <x v="0"/>
    <x v="0"/>
    <x v="0"/>
    <x v="39"/>
  </r>
  <r>
    <x v="82"/>
    <x v="82"/>
    <x v="227"/>
    <x v="49"/>
    <x v="195"/>
    <x v="168"/>
    <x v="177"/>
    <x v="1"/>
    <x v="1"/>
    <x v="2"/>
    <x v="1"/>
    <x v="1"/>
    <x v="2"/>
    <x v="0"/>
    <x v="1"/>
    <x v="0"/>
    <x v="1"/>
  </r>
  <r>
    <x v="75"/>
    <x v="75"/>
    <x v="17"/>
    <x v="1"/>
    <x v="5"/>
    <x v="1"/>
    <x v="1"/>
    <x v="1"/>
    <x v="1"/>
    <x v="1"/>
    <x v="1"/>
    <x v="1"/>
    <x v="1"/>
    <x v="0"/>
    <x v="1"/>
    <x v="0"/>
    <x v="1"/>
  </r>
  <r>
    <x v="83"/>
    <x v="83"/>
    <x v="228"/>
    <x v="12"/>
    <x v="196"/>
    <x v="169"/>
    <x v="178"/>
    <x v="60"/>
    <x v="103"/>
    <x v="104"/>
    <x v="3"/>
    <x v="4"/>
    <x v="18"/>
    <x v="1"/>
    <x v="2"/>
    <x v="43"/>
    <x v="40"/>
  </r>
  <r>
    <x v="84"/>
    <x v="84"/>
    <x v="229"/>
    <x v="6"/>
    <x v="197"/>
    <x v="170"/>
    <x v="179"/>
    <x v="53"/>
    <x v="104"/>
    <x v="105"/>
    <x v="0"/>
    <x v="0"/>
    <x v="21"/>
    <x v="1"/>
    <x v="1"/>
    <x v="44"/>
    <x v="1"/>
  </r>
  <r>
    <x v="85"/>
    <x v="85"/>
    <x v="230"/>
    <x v="8"/>
    <x v="198"/>
    <x v="171"/>
    <x v="180"/>
    <x v="61"/>
    <x v="105"/>
    <x v="106"/>
    <x v="2"/>
    <x v="2"/>
    <x v="3"/>
    <x v="0"/>
    <x v="4"/>
    <x v="0"/>
    <x v="41"/>
  </r>
  <r>
    <x v="83"/>
    <x v="83"/>
    <x v="231"/>
    <x v="35"/>
    <x v="199"/>
    <x v="172"/>
    <x v="181"/>
    <x v="1"/>
    <x v="1"/>
    <x v="2"/>
    <x v="1"/>
    <x v="1"/>
    <x v="2"/>
    <x v="0"/>
    <x v="1"/>
    <x v="0"/>
    <x v="1"/>
  </r>
  <r>
    <x v="80"/>
    <x v="80"/>
    <x v="232"/>
    <x v="20"/>
    <x v="200"/>
    <x v="173"/>
    <x v="182"/>
    <x v="1"/>
    <x v="1"/>
    <x v="2"/>
    <x v="1"/>
    <x v="1"/>
    <x v="2"/>
    <x v="0"/>
    <x v="1"/>
    <x v="0"/>
    <x v="1"/>
  </r>
  <r>
    <x v="83"/>
    <x v="83"/>
    <x v="233"/>
    <x v="50"/>
    <x v="201"/>
    <x v="174"/>
    <x v="183"/>
    <x v="59"/>
    <x v="106"/>
    <x v="107"/>
    <x v="0"/>
    <x v="0"/>
    <x v="58"/>
    <x v="0"/>
    <x v="0"/>
    <x v="0"/>
    <x v="39"/>
  </r>
  <r>
    <x v="82"/>
    <x v="82"/>
    <x v="234"/>
    <x v="16"/>
    <x v="202"/>
    <x v="175"/>
    <x v="184"/>
    <x v="62"/>
    <x v="107"/>
    <x v="108"/>
    <x v="2"/>
    <x v="2"/>
    <x v="11"/>
    <x v="0"/>
    <x v="4"/>
    <x v="0"/>
    <x v="42"/>
  </r>
  <r>
    <x v="86"/>
    <x v="86"/>
    <x v="235"/>
    <x v="30"/>
    <x v="203"/>
    <x v="176"/>
    <x v="185"/>
    <x v="1"/>
    <x v="1"/>
    <x v="2"/>
    <x v="1"/>
    <x v="1"/>
    <x v="2"/>
    <x v="0"/>
    <x v="1"/>
    <x v="0"/>
    <x v="1"/>
  </r>
  <r>
    <x v="78"/>
    <x v="78"/>
    <x v="236"/>
    <x v="11"/>
    <x v="204"/>
    <x v="177"/>
    <x v="186"/>
    <x v="1"/>
    <x v="1"/>
    <x v="2"/>
    <x v="1"/>
    <x v="1"/>
    <x v="2"/>
    <x v="0"/>
    <x v="1"/>
    <x v="0"/>
    <x v="1"/>
  </r>
  <r>
    <x v="79"/>
    <x v="79"/>
    <x v="237"/>
    <x v="36"/>
    <x v="205"/>
    <x v="178"/>
    <x v="187"/>
    <x v="63"/>
    <x v="108"/>
    <x v="109"/>
    <x v="0"/>
    <x v="2"/>
    <x v="39"/>
    <x v="4"/>
    <x v="1"/>
    <x v="45"/>
    <x v="1"/>
  </r>
  <r>
    <x v="87"/>
    <x v="87"/>
    <x v="238"/>
    <x v="4"/>
    <x v="206"/>
    <x v="179"/>
    <x v="188"/>
    <x v="1"/>
    <x v="1"/>
    <x v="2"/>
    <x v="1"/>
    <x v="1"/>
    <x v="2"/>
    <x v="0"/>
    <x v="1"/>
    <x v="0"/>
    <x v="1"/>
  </r>
  <r>
    <x v="88"/>
    <x v="88"/>
    <x v="239"/>
    <x v="46"/>
    <x v="207"/>
    <x v="180"/>
    <x v="189"/>
    <x v="64"/>
    <x v="109"/>
    <x v="110"/>
    <x v="2"/>
    <x v="7"/>
    <x v="59"/>
    <x v="4"/>
    <x v="0"/>
    <x v="46"/>
    <x v="43"/>
  </r>
  <r>
    <x v="89"/>
    <x v="89"/>
    <x v="240"/>
    <x v="46"/>
    <x v="208"/>
    <x v="181"/>
    <x v="190"/>
    <x v="37"/>
    <x v="110"/>
    <x v="111"/>
    <x v="0"/>
    <x v="0"/>
    <x v="53"/>
    <x v="0"/>
    <x v="0"/>
    <x v="0"/>
    <x v="43"/>
  </r>
  <r>
    <x v="88"/>
    <x v="88"/>
    <x v="241"/>
    <x v="13"/>
    <x v="209"/>
    <x v="182"/>
    <x v="191"/>
    <x v="1"/>
    <x v="1"/>
    <x v="2"/>
    <x v="1"/>
    <x v="1"/>
    <x v="2"/>
    <x v="0"/>
    <x v="1"/>
    <x v="0"/>
    <x v="1"/>
  </r>
  <r>
    <x v="75"/>
    <x v="75"/>
    <x v="242"/>
    <x v="20"/>
    <x v="210"/>
    <x v="183"/>
    <x v="20"/>
    <x v="37"/>
    <x v="111"/>
    <x v="112"/>
    <x v="0"/>
    <x v="0"/>
    <x v="41"/>
    <x v="0"/>
    <x v="0"/>
    <x v="0"/>
    <x v="43"/>
  </r>
  <r>
    <x v="76"/>
    <x v="76"/>
    <x v="243"/>
    <x v="50"/>
    <x v="211"/>
    <x v="184"/>
    <x v="192"/>
    <x v="65"/>
    <x v="112"/>
    <x v="113"/>
    <x v="3"/>
    <x v="3"/>
    <x v="60"/>
    <x v="1"/>
    <x v="3"/>
    <x v="27"/>
    <x v="44"/>
  </r>
  <r>
    <x v="80"/>
    <x v="80"/>
    <x v="244"/>
    <x v="3"/>
    <x v="212"/>
    <x v="185"/>
    <x v="193"/>
    <x v="1"/>
    <x v="1"/>
    <x v="2"/>
    <x v="1"/>
    <x v="1"/>
    <x v="2"/>
    <x v="0"/>
    <x v="1"/>
    <x v="0"/>
    <x v="1"/>
  </r>
  <r>
    <x v="81"/>
    <x v="81"/>
    <x v="245"/>
    <x v="0"/>
    <x v="213"/>
    <x v="58"/>
    <x v="194"/>
    <x v="1"/>
    <x v="1"/>
    <x v="2"/>
    <x v="1"/>
    <x v="1"/>
    <x v="2"/>
    <x v="0"/>
    <x v="1"/>
    <x v="0"/>
    <x v="1"/>
  </r>
  <r>
    <x v="80"/>
    <x v="80"/>
    <x v="246"/>
    <x v="24"/>
    <x v="214"/>
    <x v="186"/>
    <x v="195"/>
    <x v="59"/>
    <x v="113"/>
    <x v="114"/>
    <x v="0"/>
    <x v="0"/>
    <x v="20"/>
    <x v="1"/>
    <x v="1"/>
    <x v="42"/>
    <x v="1"/>
  </r>
  <r>
    <x v="81"/>
    <x v="81"/>
    <x v="247"/>
    <x v="10"/>
    <x v="215"/>
    <x v="187"/>
    <x v="196"/>
    <x v="59"/>
    <x v="114"/>
    <x v="115"/>
    <x v="0"/>
    <x v="0"/>
    <x v="61"/>
    <x v="0"/>
    <x v="0"/>
    <x v="0"/>
    <x v="39"/>
  </r>
  <r>
    <x v="90"/>
    <x v="90"/>
    <x v="248"/>
    <x v="1"/>
    <x v="5"/>
    <x v="1"/>
    <x v="1"/>
    <x v="1"/>
    <x v="1"/>
    <x v="1"/>
    <x v="1"/>
    <x v="1"/>
    <x v="1"/>
    <x v="0"/>
    <x v="1"/>
    <x v="0"/>
    <x v="1"/>
  </r>
  <r>
    <x v="91"/>
    <x v="91"/>
    <x v="249"/>
    <x v="0"/>
    <x v="216"/>
    <x v="188"/>
    <x v="197"/>
    <x v="1"/>
    <x v="1"/>
    <x v="2"/>
    <x v="1"/>
    <x v="1"/>
    <x v="2"/>
    <x v="0"/>
    <x v="1"/>
    <x v="0"/>
    <x v="1"/>
  </r>
  <r>
    <x v="92"/>
    <x v="92"/>
    <x v="250"/>
    <x v="16"/>
    <x v="217"/>
    <x v="189"/>
    <x v="198"/>
    <x v="1"/>
    <x v="1"/>
    <x v="2"/>
    <x v="1"/>
    <x v="1"/>
    <x v="2"/>
    <x v="0"/>
    <x v="1"/>
    <x v="0"/>
    <x v="1"/>
  </r>
  <r>
    <x v="93"/>
    <x v="93"/>
    <x v="251"/>
    <x v="1"/>
    <x v="5"/>
    <x v="1"/>
    <x v="1"/>
    <x v="1"/>
    <x v="1"/>
    <x v="1"/>
    <x v="1"/>
    <x v="1"/>
    <x v="1"/>
    <x v="0"/>
    <x v="1"/>
    <x v="0"/>
    <x v="1"/>
  </r>
  <r>
    <x v="94"/>
    <x v="94"/>
    <x v="252"/>
    <x v="0"/>
    <x v="218"/>
    <x v="190"/>
    <x v="25"/>
    <x v="1"/>
    <x v="1"/>
    <x v="2"/>
    <x v="1"/>
    <x v="1"/>
    <x v="2"/>
    <x v="0"/>
    <x v="1"/>
    <x v="0"/>
    <x v="1"/>
  </r>
  <r>
    <x v="95"/>
    <x v="95"/>
    <x v="253"/>
    <x v="7"/>
    <x v="175"/>
    <x v="191"/>
    <x v="135"/>
    <x v="1"/>
    <x v="1"/>
    <x v="2"/>
    <x v="1"/>
    <x v="1"/>
    <x v="2"/>
    <x v="0"/>
    <x v="1"/>
    <x v="0"/>
    <x v="1"/>
  </r>
  <r>
    <x v="90"/>
    <x v="90"/>
    <x v="185"/>
    <x v="0"/>
    <x v="112"/>
    <x v="192"/>
    <x v="107"/>
    <x v="1"/>
    <x v="1"/>
    <x v="2"/>
    <x v="1"/>
    <x v="1"/>
    <x v="2"/>
    <x v="0"/>
    <x v="1"/>
    <x v="0"/>
    <x v="1"/>
  </r>
  <r>
    <x v="91"/>
    <x v="91"/>
    <x v="254"/>
    <x v="1"/>
    <x v="5"/>
    <x v="1"/>
    <x v="1"/>
    <x v="1"/>
    <x v="1"/>
    <x v="1"/>
    <x v="1"/>
    <x v="1"/>
    <x v="1"/>
    <x v="0"/>
    <x v="1"/>
    <x v="0"/>
    <x v="1"/>
  </r>
  <r>
    <x v="92"/>
    <x v="92"/>
    <x v="255"/>
    <x v="40"/>
    <x v="219"/>
    <x v="193"/>
    <x v="199"/>
    <x v="1"/>
    <x v="1"/>
    <x v="2"/>
    <x v="1"/>
    <x v="1"/>
    <x v="2"/>
    <x v="0"/>
    <x v="1"/>
    <x v="0"/>
    <x v="1"/>
  </r>
  <r>
    <x v="93"/>
    <x v="93"/>
    <x v="256"/>
    <x v="0"/>
    <x v="220"/>
    <x v="194"/>
    <x v="200"/>
    <x v="1"/>
    <x v="1"/>
    <x v="2"/>
    <x v="1"/>
    <x v="1"/>
    <x v="2"/>
    <x v="0"/>
    <x v="1"/>
    <x v="0"/>
    <x v="1"/>
  </r>
  <r>
    <x v="94"/>
    <x v="94"/>
    <x v="257"/>
    <x v="22"/>
    <x v="221"/>
    <x v="195"/>
    <x v="81"/>
    <x v="1"/>
    <x v="1"/>
    <x v="2"/>
    <x v="1"/>
    <x v="1"/>
    <x v="2"/>
    <x v="0"/>
    <x v="1"/>
    <x v="0"/>
    <x v="1"/>
  </r>
  <r>
    <x v="95"/>
    <x v="95"/>
    <x v="258"/>
    <x v="5"/>
    <x v="222"/>
    <x v="196"/>
    <x v="201"/>
    <x v="1"/>
    <x v="1"/>
    <x v="2"/>
    <x v="1"/>
    <x v="1"/>
    <x v="2"/>
    <x v="0"/>
    <x v="1"/>
    <x v="0"/>
    <x v="1"/>
  </r>
  <r>
    <x v="90"/>
    <x v="90"/>
    <x v="259"/>
    <x v="0"/>
    <x v="136"/>
    <x v="197"/>
    <x v="32"/>
    <x v="1"/>
    <x v="1"/>
    <x v="2"/>
    <x v="1"/>
    <x v="1"/>
    <x v="2"/>
    <x v="0"/>
    <x v="1"/>
    <x v="0"/>
    <x v="1"/>
  </r>
  <r>
    <x v="91"/>
    <x v="91"/>
    <x v="260"/>
    <x v="22"/>
    <x v="223"/>
    <x v="198"/>
    <x v="202"/>
    <x v="1"/>
    <x v="1"/>
    <x v="2"/>
    <x v="1"/>
    <x v="1"/>
    <x v="2"/>
    <x v="0"/>
    <x v="1"/>
    <x v="0"/>
    <x v="1"/>
  </r>
  <r>
    <x v="92"/>
    <x v="92"/>
    <x v="261"/>
    <x v="21"/>
    <x v="224"/>
    <x v="199"/>
    <x v="203"/>
    <x v="1"/>
    <x v="1"/>
    <x v="2"/>
    <x v="1"/>
    <x v="1"/>
    <x v="2"/>
    <x v="0"/>
    <x v="1"/>
    <x v="0"/>
    <x v="1"/>
  </r>
  <r>
    <x v="93"/>
    <x v="93"/>
    <x v="262"/>
    <x v="1"/>
    <x v="5"/>
    <x v="1"/>
    <x v="1"/>
    <x v="1"/>
    <x v="1"/>
    <x v="1"/>
    <x v="1"/>
    <x v="1"/>
    <x v="1"/>
    <x v="0"/>
    <x v="1"/>
    <x v="0"/>
    <x v="1"/>
  </r>
  <r>
    <x v="94"/>
    <x v="94"/>
    <x v="263"/>
    <x v="0"/>
    <x v="225"/>
    <x v="200"/>
    <x v="204"/>
    <x v="1"/>
    <x v="1"/>
    <x v="2"/>
    <x v="1"/>
    <x v="1"/>
    <x v="2"/>
    <x v="0"/>
    <x v="1"/>
    <x v="0"/>
    <x v="1"/>
  </r>
  <r>
    <x v="95"/>
    <x v="95"/>
    <x v="264"/>
    <x v="2"/>
    <x v="226"/>
    <x v="201"/>
    <x v="205"/>
    <x v="1"/>
    <x v="1"/>
    <x v="2"/>
    <x v="1"/>
    <x v="1"/>
    <x v="2"/>
    <x v="0"/>
    <x v="1"/>
    <x v="0"/>
    <x v="1"/>
  </r>
  <r>
    <x v="86"/>
    <x v="86"/>
    <x v="265"/>
    <x v="31"/>
    <x v="227"/>
    <x v="202"/>
    <x v="206"/>
    <x v="1"/>
    <x v="1"/>
    <x v="2"/>
    <x v="1"/>
    <x v="1"/>
    <x v="2"/>
    <x v="0"/>
    <x v="1"/>
    <x v="0"/>
    <x v="1"/>
  </r>
  <r>
    <x v="87"/>
    <x v="87"/>
    <x v="266"/>
    <x v="40"/>
    <x v="228"/>
    <x v="203"/>
    <x v="207"/>
    <x v="1"/>
    <x v="1"/>
    <x v="2"/>
    <x v="1"/>
    <x v="1"/>
    <x v="2"/>
    <x v="0"/>
    <x v="1"/>
    <x v="0"/>
    <x v="1"/>
  </r>
  <r>
    <x v="89"/>
    <x v="89"/>
    <x v="267"/>
    <x v="20"/>
    <x v="229"/>
    <x v="204"/>
    <x v="208"/>
    <x v="1"/>
    <x v="1"/>
    <x v="2"/>
    <x v="1"/>
    <x v="1"/>
    <x v="2"/>
    <x v="0"/>
    <x v="1"/>
    <x v="0"/>
    <x v="1"/>
  </r>
  <r>
    <x v="96"/>
    <x v="96"/>
    <x v="172"/>
    <x v="1"/>
    <x v="5"/>
    <x v="1"/>
    <x v="1"/>
    <x v="1"/>
    <x v="1"/>
    <x v="1"/>
    <x v="1"/>
    <x v="1"/>
    <x v="1"/>
    <x v="0"/>
    <x v="1"/>
    <x v="0"/>
    <x v="1"/>
  </r>
  <r>
    <x v="97"/>
    <x v="97"/>
    <x v="268"/>
    <x v="22"/>
    <x v="230"/>
    <x v="205"/>
    <x v="209"/>
    <x v="1"/>
    <x v="1"/>
    <x v="2"/>
    <x v="1"/>
    <x v="1"/>
    <x v="2"/>
    <x v="0"/>
    <x v="1"/>
    <x v="0"/>
    <x v="1"/>
  </r>
  <r>
    <x v="98"/>
    <x v="98"/>
    <x v="269"/>
    <x v="1"/>
    <x v="5"/>
    <x v="1"/>
    <x v="1"/>
    <x v="1"/>
    <x v="1"/>
    <x v="1"/>
    <x v="1"/>
    <x v="1"/>
    <x v="1"/>
    <x v="0"/>
    <x v="1"/>
    <x v="0"/>
    <x v="1"/>
  </r>
  <r>
    <x v="99"/>
    <x v="99"/>
    <x v="270"/>
    <x v="2"/>
    <x v="231"/>
    <x v="206"/>
    <x v="179"/>
    <x v="1"/>
    <x v="1"/>
    <x v="2"/>
    <x v="1"/>
    <x v="1"/>
    <x v="2"/>
    <x v="0"/>
    <x v="1"/>
    <x v="0"/>
    <x v="1"/>
  </r>
  <r>
    <x v="98"/>
    <x v="98"/>
    <x v="271"/>
    <x v="0"/>
    <x v="232"/>
    <x v="207"/>
    <x v="210"/>
    <x v="1"/>
    <x v="1"/>
    <x v="2"/>
    <x v="1"/>
    <x v="1"/>
    <x v="2"/>
    <x v="0"/>
    <x v="1"/>
    <x v="0"/>
    <x v="1"/>
  </r>
  <r>
    <x v="99"/>
    <x v="99"/>
    <x v="272"/>
    <x v="14"/>
    <x v="233"/>
    <x v="208"/>
    <x v="211"/>
    <x v="1"/>
    <x v="1"/>
    <x v="2"/>
    <x v="1"/>
    <x v="1"/>
    <x v="2"/>
    <x v="0"/>
    <x v="1"/>
    <x v="0"/>
    <x v="1"/>
  </r>
  <r>
    <x v="86"/>
    <x v="86"/>
    <x v="273"/>
    <x v="1"/>
    <x v="5"/>
    <x v="1"/>
    <x v="1"/>
    <x v="1"/>
    <x v="1"/>
    <x v="1"/>
    <x v="1"/>
    <x v="1"/>
    <x v="1"/>
    <x v="0"/>
    <x v="1"/>
    <x v="0"/>
    <x v="1"/>
  </r>
  <r>
    <x v="78"/>
    <x v="78"/>
    <x v="274"/>
    <x v="1"/>
    <x v="5"/>
    <x v="1"/>
    <x v="1"/>
    <x v="1"/>
    <x v="1"/>
    <x v="1"/>
    <x v="1"/>
    <x v="1"/>
    <x v="1"/>
    <x v="0"/>
    <x v="1"/>
    <x v="0"/>
    <x v="1"/>
  </r>
  <r>
    <x v="97"/>
    <x v="97"/>
    <x v="10"/>
    <x v="1"/>
    <x v="5"/>
    <x v="1"/>
    <x v="1"/>
    <x v="1"/>
    <x v="1"/>
    <x v="1"/>
    <x v="1"/>
    <x v="1"/>
    <x v="1"/>
    <x v="0"/>
    <x v="1"/>
    <x v="0"/>
    <x v="1"/>
  </r>
  <r>
    <x v="96"/>
    <x v="96"/>
    <x v="275"/>
    <x v="1"/>
    <x v="5"/>
    <x v="1"/>
    <x v="1"/>
    <x v="1"/>
    <x v="1"/>
    <x v="1"/>
    <x v="1"/>
    <x v="1"/>
    <x v="1"/>
    <x v="0"/>
    <x v="1"/>
    <x v="0"/>
    <x v="1"/>
  </r>
  <r>
    <x v="100"/>
    <x v="100"/>
    <x v="276"/>
    <x v="0"/>
    <x v="234"/>
    <x v="209"/>
    <x v="212"/>
    <x v="1"/>
    <x v="1"/>
    <x v="2"/>
    <x v="1"/>
    <x v="1"/>
    <x v="2"/>
    <x v="0"/>
    <x v="1"/>
    <x v="0"/>
    <x v="1"/>
  </r>
  <r>
    <x v="101"/>
    <x v="101"/>
    <x v="277"/>
    <x v="1"/>
    <x v="5"/>
    <x v="1"/>
    <x v="1"/>
    <x v="1"/>
    <x v="1"/>
    <x v="1"/>
    <x v="1"/>
    <x v="1"/>
    <x v="1"/>
    <x v="0"/>
    <x v="1"/>
    <x v="0"/>
    <x v="1"/>
  </r>
  <r>
    <x v="102"/>
    <x v="102"/>
    <x v="278"/>
    <x v="14"/>
    <x v="235"/>
    <x v="210"/>
    <x v="213"/>
    <x v="1"/>
    <x v="1"/>
    <x v="2"/>
    <x v="1"/>
    <x v="1"/>
    <x v="2"/>
    <x v="0"/>
    <x v="1"/>
    <x v="0"/>
    <x v="1"/>
  </r>
  <r>
    <x v="103"/>
    <x v="103"/>
    <x v="279"/>
    <x v="17"/>
    <x v="236"/>
    <x v="211"/>
    <x v="214"/>
    <x v="1"/>
    <x v="1"/>
    <x v="2"/>
    <x v="1"/>
    <x v="1"/>
    <x v="2"/>
    <x v="0"/>
    <x v="1"/>
    <x v="0"/>
    <x v="1"/>
  </r>
  <r>
    <x v="104"/>
    <x v="104"/>
    <x v="280"/>
    <x v="51"/>
    <x v="1"/>
    <x v="1"/>
    <x v="215"/>
    <x v="66"/>
    <x v="1"/>
    <x v="1"/>
    <x v="19"/>
    <x v="20"/>
    <x v="1"/>
    <x v="16"/>
    <x v="11"/>
    <x v="47"/>
    <x v="45"/>
  </r>
</pivotCacheRecords>
</file>

<file path=xl/pivotCache/pivotCacheRecords57.xml><?xml version="1.0" encoding="utf-8"?>
<pivotCacheRecords xmlns="http://schemas.openxmlformats.org/spreadsheetml/2006/main" xmlns:r="http://schemas.openxmlformats.org/officeDocument/2006/relationships" count="317">
  <r>
    <x v="0"/>
    <x v="0"/>
    <x v="0"/>
    <x v="0"/>
    <x v="0"/>
    <x v="0"/>
    <x v="0"/>
    <x v="0"/>
    <x v="0"/>
    <x v="0"/>
    <x v="0"/>
    <x v="0"/>
    <x v="0"/>
    <x v="0"/>
    <x v="0"/>
    <x v="0"/>
    <x v="0"/>
  </r>
  <r>
    <x v="1"/>
    <x v="1"/>
    <x v="1"/>
    <x v="1"/>
    <x v="1"/>
    <x v="1"/>
    <x v="1"/>
    <x v="1"/>
    <x v="1"/>
    <x v="1"/>
    <x v="1"/>
    <x v="1"/>
    <x v="1"/>
    <x v="0"/>
    <x v="1"/>
    <x v="0"/>
    <x v="1"/>
  </r>
  <r>
    <x v="2"/>
    <x v="2"/>
    <x v="2"/>
    <x v="2"/>
    <x v="2"/>
    <x v="2"/>
    <x v="2"/>
    <x v="1"/>
    <x v="1"/>
    <x v="2"/>
    <x v="1"/>
    <x v="1"/>
    <x v="2"/>
    <x v="0"/>
    <x v="1"/>
    <x v="0"/>
    <x v="1"/>
  </r>
  <r>
    <x v="3"/>
    <x v="3"/>
    <x v="3"/>
    <x v="3"/>
    <x v="3"/>
    <x v="3"/>
    <x v="3"/>
    <x v="2"/>
    <x v="2"/>
    <x v="3"/>
    <x v="0"/>
    <x v="0"/>
    <x v="3"/>
    <x v="0"/>
    <x v="0"/>
    <x v="0"/>
    <x v="2"/>
  </r>
  <r>
    <x v="0"/>
    <x v="0"/>
    <x v="4"/>
    <x v="4"/>
    <x v="4"/>
    <x v="4"/>
    <x v="4"/>
    <x v="3"/>
    <x v="3"/>
    <x v="4"/>
    <x v="2"/>
    <x v="2"/>
    <x v="4"/>
    <x v="1"/>
    <x v="1"/>
    <x v="1"/>
    <x v="1"/>
  </r>
  <r>
    <x v="4"/>
    <x v="4"/>
    <x v="5"/>
    <x v="1"/>
    <x v="5"/>
    <x v="1"/>
    <x v="1"/>
    <x v="1"/>
    <x v="1"/>
    <x v="1"/>
    <x v="1"/>
    <x v="1"/>
    <x v="1"/>
    <x v="0"/>
    <x v="1"/>
    <x v="0"/>
    <x v="1"/>
  </r>
  <r>
    <x v="5"/>
    <x v="5"/>
    <x v="6"/>
    <x v="5"/>
    <x v="6"/>
    <x v="5"/>
    <x v="5"/>
    <x v="1"/>
    <x v="1"/>
    <x v="2"/>
    <x v="1"/>
    <x v="1"/>
    <x v="2"/>
    <x v="0"/>
    <x v="1"/>
    <x v="0"/>
    <x v="1"/>
  </r>
  <r>
    <x v="6"/>
    <x v="6"/>
    <x v="7"/>
    <x v="6"/>
    <x v="7"/>
    <x v="6"/>
    <x v="6"/>
    <x v="3"/>
    <x v="4"/>
    <x v="5"/>
    <x v="2"/>
    <x v="2"/>
    <x v="5"/>
    <x v="2"/>
    <x v="0"/>
    <x v="2"/>
    <x v="2"/>
  </r>
  <r>
    <x v="2"/>
    <x v="2"/>
    <x v="8"/>
    <x v="7"/>
    <x v="8"/>
    <x v="7"/>
    <x v="7"/>
    <x v="1"/>
    <x v="1"/>
    <x v="2"/>
    <x v="1"/>
    <x v="1"/>
    <x v="2"/>
    <x v="0"/>
    <x v="1"/>
    <x v="0"/>
    <x v="1"/>
  </r>
  <r>
    <x v="3"/>
    <x v="3"/>
    <x v="9"/>
    <x v="8"/>
    <x v="9"/>
    <x v="8"/>
    <x v="8"/>
    <x v="3"/>
    <x v="5"/>
    <x v="6"/>
    <x v="2"/>
    <x v="2"/>
    <x v="6"/>
    <x v="2"/>
    <x v="0"/>
    <x v="2"/>
    <x v="2"/>
  </r>
  <r>
    <x v="7"/>
    <x v="7"/>
    <x v="10"/>
    <x v="1"/>
    <x v="5"/>
    <x v="1"/>
    <x v="1"/>
    <x v="1"/>
    <x v="1"/>
    <x v="1"/>
    <x v="1"/>
    <x v="1"/>
    <x v="1"/>
    <x v="0"/>
    <x v="1"/>
    <x v="0"/>
    <x v="1"/>
  </r>
  <r>
    <x v="8"/>
    <x v="8"/>
    <x v="11"/>
    <x v="2"/>
    <x v="10"/>
    <x v="9"/>
    <x v="9"/>
    <x v="1"/>
    <x v="1"/>
    <x v="2"/>
    <x v="1"/>
    <x v="1"/>
    <x v="2"/>
    <x v="0"/>
    <x v="1"/>
    <x v="0"/>
    <x v="1"/>
  </r>
  <r>
    <x v="7"/>
    <x v="7"/>
    <x v="5"/>
    <x v="1"/>
    <x v="5"/>
    <x v="1"/>
    <x v="1"/>
    <x v="1"/>
    <x v="1"/>
    <x v="1"/>
    <x v="1"/>
    <x v="1"/>
    <x v="1"/>
    <x v="0"/>
    <x v="1"/>
    <x v="0"/>
    <x v="1"/>
  </r>
  <r>
    <x v="3"/>
    <x v="3"/>
    <x v="12"/>
    <x v="7"/>
    <x v="11"/>
    <x v="10"/>
    <x v="10"/>
    <x v="2"/>
    <x v="6"/>
    <x v="7"/>
    <x v="0"/>
    <x v="0"/>
    <x v="7"/>
    <x v="2"/>
    <x v="1"/>
    <x v="2"/>
    <x v="1"/>
  </r>
  <r>
    <x v="0"/>
    <x v="0"/>
    <x v="13"/>
    <x v="9"/>
    <x v="12"/>
    <x v="11"/>
    <x v="11"/>
    <x v="2"/>
    <x v="7"/>
    <x v="8"/>
    <x v="0"/>
    <x v="0"/>
    <x v="8"/>
    <x v="2"/>
    <x v="1"/>
    <x v="2"/>
    <x v="1"/>
  </r>
  <r>
    <x v="5"/>
    <x v="5"/>
    <x v="14"/>
    <x v="10"/>
    <x v="13"/>
    <x v="12"/>
    <x v="12"/>
    <x v="1"/>
    <x v="1"/>
    <x v="2"/>
    <x v="1"/>
    <x v="1"/>
    <x v="2"/>
    <x v="0"/>
    <x v="1"/>
    <x v="0"/>
    <x v="1"/>
  </r>
  <r>
    <x v="9"/>
    <x v="9"/>
    <x v="15"/>
    <x v="1"/>
    <x v="5"/>
    <x v="1"/>
    <x v="1"/>
    <x v="1"/>
    <x v="1"/>
    <x v="1"/>
    <x v="1"/>
    <x v="1"/>
    <x v="1"/>
    <x v="0"/>
    <x v="1"/>
    <x v="0"/>
    <x v="1"/>
  </r>
  <r>
    <x v="10"/>
    <x v="10"/>
    <x v="16"/>
    <x v="11"/>
    <x v="14"/>
    <x v="13"/>
    <x v="13"/>
    <x v="1"/>
    <x v="1"/>
    <x v="2"/>
    <x v="1"/>
    <x v="1"/>
    <x v="2"/>
    <x v="0"/>
    <x v="1"/>
    <x v="0"/>
    <x v="1"/>
  </r>
  <r>
    <x v="11"/>
    <x v="11"/>
    <x v="17"/>
    <x v="12"/>
    <x v="15"/>
    <x v="14"/>
    <x v="14"/>
    <x v="2"/>
    <x v="8"/>
    <x v="9"/>
    <x v="0"/>
    <x v="0"/>
    <x v="9"/>
    <x v="0"/>
    <x v="0"/>
    <x v="0"/>
    <x v="2"/>
  </r>
  <r>
    <x v="12"/>
    <x v="12"/>
    <x v="10"/>
    <x v="1"/>
    <x v="5"/>
    <x v="1"/>
    <x v="1"/>
    <x v="1"/>
    <x v="1"/>
    <x v="1"/>
    <x v="1"/>
    <x v="1"/>
    <x v="1"/>
    <x v="0"/>
    <x v="1"/>
    <x v="0"/>
    <x v="1"/>
  </r>
  <r>
    <x v="11"/>
    <x v="11"/>
    <x v="18"/>
    <x v="1"/>
    <x v="5"/>
    <x v="1"/>
    <x v="1"/>
    <x v="1"/>
    <x v="1"/>
    <x v="1"/>
    <x v="1"/>
    <x v="1"/>
    <x v="1"/>
    <x v="0"/>
    <x v="1"/>
    <x v="0"/>
    <x v="1"/>
  </r>
  <r>
    <x v="11"/>
    <x v="11"/>
    <x v="19"/>
    <x v="13"/>
    <x v="16"/>
    <x v="15"/>
    <x v="15"/>
    <x v="4"/>
    <x v="9"/>
    <x v="10"/>
    <x v="3"/>
    <x v="3"/>
    <x v="10"/>
    <x v="1"/>
    <x v="0"/>
    <x v="1"/>
    <x v="2"/>
  </r>
  <r>
    <x v="5"/>
    <x v="5"/>
    <x v="20"/>
    <x v="14"/>
    <x v="17"/>
    <x v="16"/>
    <x v="16"/>
    <x v="4"/>
    <x v="10"/>
    <x v="11"/>
    <x v="3"/>
    <x v="3"/>
    <x v="11"/>
    <x v="3"/>
    <x v="1"/>
    <x v="3"/>
    <x v="1"/>
  </r>
  <r>
    <x v="8"/>
    <x v="8"/>
    <x v="21"/>
    <x v="15"/>
    <x v="18"/>
    <x v="17"/>
    <x v="17"/>
    <x v="5"/>
    <x v="11"/>
    <x v="12"/>
    <x v="4"/>
    <x v="4"/>
    <x v="12"/>
    <x v="4"/>
    <x v="0"/>
    <x v="4"/>
    <x v="2"/>
  </r>
  <r>
    <x v="7"/>
    <x v="7"/>
    <x v="22"/>
    <x v="16"/>
    <x v="19"/>
    <x v="18"/>
    <x v="18"/>
    <x v="2"/>
    <x v="12"/>
    <x v="13"/>
    <x v="0"/>
    <x v="0"/>
    <x v="13"/>
    <x v="0"/>
    <x v="0"/>
    <x v="0"/>
    <x v="2"/>
  </r>
  <r>
    <x v="13"/>
    <x v="13"/>
    <x v="23"/>
    <x v="17"/>
    <x v="20"/>
    <x v="19"/>
    <x v="19"/>
    <x v="6"/>
    <x v="13"/>
    <x v="14"/>
    <x v="5"/>
    <x v="5"/>
    <x v="14"/>
    <x v="2"/>
    <x v="2"/>
    <x v="2"/>
    <x v="3"/>
  </r>
  <r>
    <x v="14"/>
    <x v="14"/>
    <x v="24"/>
    <x v="18"/>
    <x v="21"/>
    <x v="20"/>
    <x v="20"/>
    <x v="7"/>
    <x v="14"/>
    <x v="15"/>
    <x v="6"/>
    <x v="6"/>
    <x v="15"/>
    <x v="5"/>
    <x v="3"/>
    <x v="5"/>
    <x v="4"/>
  </r>
  <r>
    <x v="15"/>
    <x v="15"/>
    <x v="25"/>
    <x v="19"/>
    <x v="22"/>
    <x v="8"/>
    <x v="21"/>
    <x v="8"/>
    <x v="15"/>
    <x v="16"/>
    <x v="7"/>
    <x v="7"/>
    <x v="16"/>
    <x v="6"/>
    <x v="4"/>
    <x v="6"/>
    <x v="5"/>
  </r>
  <r>
    <x v="16"/>
    <x v="16"/>
    <x v="26"/>
    <x v="20"/>
    <x v="23"/>
    <x v="21"/>
    <x v="22"/>
    <x v="5"/>
    <x v="16"/>
    <x v="17"/>
    <x v="4"/>
    <x v="4"/>
    <x v="17"/>
    <x v="2"/>
    <x v="5"/>
    <x v="2"/>
    <x v="6"/>
  </r>
  <r>
    <x v="13"/>
    <x v="13"/>
    <x v="27"/>
    <x v="1"/>
    <x v="5"/>
    <x v="1"/>
    <x v="1"/>
    <x v="1"/>
    <x v="1"/>
    <x v="1"/>
    <x v="1"/>
    <x v="1"/>
    <x v="1"/>
    <x v="0"/>
    <x v="1"/>
    <x v="0"/>
    <x v="1"/>
  </r>
  <r>
    <x v="14"/>
    <x v="14"/>
    <x v="28"/>
    <x v="1"/>
    <x v="5"/>
    <x v="1"/>
    <x v="1"/>
    <x v="1"/>
    <x v="1"/>
    <x v="1"/>
    <x v="1"/>
    <x v="1"/>
    <x v="1"/>
    <x v="0"/>
    <x v="1"/>
    <x v="0"/>
    <x v="1"/>
  </r>
  <r>
    <x v="17"/>
    <x v="17"/>
    <x v="29"/>
    <x v="1"/>
    <x v="5"/>
    <x v="1"/>
    <x v="1"/>
    <x v="1"/>
    <x v="1"/>
    <x v="1"/>
    <x v="1"/>
    <x v="1"/>
    <x v="1"/>
    <x v="0"/>
    <x v="1"/>
    <x v="0"/>
    <x v="1"/>
  </r>
  <r>
    <x v="18"/>
    <x v="18"/>
    <x v="30"/>
    <x v="0"/>
    <x v="24"/>
    <x v="22"/>
    <x v="23"/>
    <x v="2"/>
    <x v="17"/>
    <x v="18"/>
    <x v="0"/>
    <x v="0"/>
    <x v="0"/>
    <x v="2"/>
    <x v="1"/>
    <x v="2"/>
    <x v="1"/>
  </r>
  <r>
    <x v="15"/>
    <x v="15"/>
    <x v="31"/>
    <x v="2"/>
    <x v="25"/>
    <x v="23"/>
    <x v="24"/>
    <x v="1"/>
    <x v="1"/>
    <x v="2"/>
    <x v="1"/>
    <x v="1"/>
    <x v="2"/>
    <x v="0"/>
    <x v="1"/>
    <x v="0"/>
    <x v="1"/>
  </r>
  <r>
    <x v="19"/>
    <x v="19"/>
    <x v="32"/>
    <x v="21"/>
    <x v="26"/>
    <x v="24"/>
    <x v="25"/>
    <x v="1"/>
    <x v="1"/>
    <x v="2"/>
    <x v="1"/>
    <x v="1"/>
    <x v="2"/>
    <x v="0"/>
    <x v="1"/>
    <x v="0"/>
    <x v="1"/>
  </r>
  <r>
    <x v="20"/>
    <x v="20"/>
    <x v="33"/>
    <x v="5"/>
    <x v="27"/>
    <x v="25"/>
    <x v="26"/>
    <x v="1"/>
    <x v="1"/>
    <x v="2"/>
    <x v="1"/>
    <x v="1"/>
    <x v="2"/>
    <x v="0"/>
    <x v="1"/>
    <x v="0"/>
    <x v="1"/>
  </r>
  <r>
    <x v="21"/>
    <x v="21"/>
    <x v="34"/>
    <x v="9"/>
    <x v="28"/>
    <x v="24"/>
    <x v="27"/>
    <x v="9"/>
    <x v="18"/>
    <x v="19"/>
    <x v="3"/>
    <x v="3"/>
    <x v="18"/>
    <x v="3"/>
    <x v="1"/>
    <x v="7"/>
    <x v="1"/>
  </r>
  <r>
    <x v="22"/>
    <x v="22"/>
    <x v="35"/>
    <x v="22"/>
    <x v="29"/>
    <x v="26"/>
    <x v="28"/>
    <x v="1"/>
    <x v="1"/>
    <x v="2"/>
    <x v="1"/>
    <x v="1"/>
    <x v="2"/>
    <x v="0"/>
    <x v="1"/>
    <x v="0"/>
    <x v="1"/>
  </r>
  <r>
    <x v="21"/>
    <x v="21"/>
    <x v="36"/>
    <x v="0"/>
    <x v="30"/>
    <x v="27"/>
    <x v="29"/>
    <x v="1"/>
    <x v="1"/>
    <x v="2"/>
    <x v="1"/>
    <x v="1"/>
    <x v="2"/>
    <x v="0"/>
    <x v="1"/>
    <x v="0"/>
    <x v="1"/>
  </r>
  <r>
    <x v="15"/>
    <x v="15"/>
    <x v="37"/>
    <x v="23"/>
    <x v="31"/>
    <x v="28"/>
    <x v="30"/>
    <x v="2"/>
    <x v="9"/>
    <x v="10"/>
    <x v="0"/>
    <x v="0"/>
    <x v="19"/>
    <x v="0"/>
    <x v="0"/>
    <x v="0"/>
    <x v="2"/>
  </r>
  <r>
    <x v="16"/>
    <x v="16"/>
    <x v="38"/>
    <x v="24"/>
    <x v="32"/>
    <x v="29"/>
    <x v="31"/>
    <x v="10"/>
    <x v="19"/>
    <x v="20"/>
    <x v="8"/>
    <x v="8"/>
    <x v="20"/>
    <x v="1"/>
    <x v="3"/>
    <x v="1"/>
    <x v="4"/>
  </r>
  <r>
    <x v="13"/>
    <x v="13"/>
    <x v="39"/>
    <x v="8"/>
    <x v="33"/>
    <x v="30"/>
    <x v="32"/>
    <x v="2"/>
    <x v="20"/>
    <x v="21"/>
    <x v="0"/>
    <x v="0"/>
    <x v="21"/>
    <x v="2"/>
    <x v="1"/>
    <x v="2"/>
    <x v="1"/>
  </r>
  <r>
    <x v="17"/>
    <x v="17"/>
    <x v="40"/>
    <x v="8"/>
    <x v="34"/>
    <x v="31"/>
    <x v="33"/>
    <x v="3"/>
    <x v="21"/>
    <x v="22"/>
    <x v="2"/>
    <x v="2"/>
    <x v="6"/>
    <x v="2"/>
    <x v="0"/>
    <x v="2"/>
    <x v="2"/>
  </r>
  <r>
    <x v="19"/>
    <x v="19"/>
    <x v="41"/>
    <x v="21"/>
    <x v="35"/>
    <x v="32"/>
    <x v="34"/>
    <x v="2"/>
    <x v="22"/>
    <x v="23"/>
    <x v="0"/>
    <x v="0"/>
    <x v="22"/>
    <x v="2"/>
    <x v="1"/>
    <x v="2"/>
    <x v="1"/>
  </r>
  <r>
    <x v="20"/>
    <x v="20"/>
    <x v="42"/>
    <x v="3"/>
    <x v="36"/>
    <x v="33"/>
    <x v="35"/>
    <x v="1"/>
    <x v="1"/>
    <x v="2"/>
    <x v="1"/>
    <x v="1"/>
    <x v="2"/>
    <x v="0"/>
    <x v="1"/>
    <x v="0"/>
    <x v="1"/>
  </r>
  <r>
    <x v="21"/>
    <x v="21"/>
    <x v="43"/>
    <x v="9"/>
    <x v="37"/>
    <x v="34"/>
    <x v="36"/>
    <x v="1"/>
    <x v="1"/>
    <x v="2"/>
    <x v="1"/>
    <x v="1"/>
    <x v="2"/>
    <x v="0"/>
    <x v="1"/>
    <x v="0"/>
    <x v="1"/>
  </r>
  <r>
    <x v="23"/>
    <x v="23"/>
    <x v="44"/>
    <x v="23"/>
    <x v="38"/>
    <x v="35"/>
    <x v="37"/>
    <x v="3"/>
    <x v="23"/>
    <x v="24"/>
    <x v="2"/>
    <x v="2"/>
    <x v="23"/>
    <x v="1"/>
    <x v="1"/>
    <x v="1"/>
    <x v="1"/>
  </r>
  <r>
    <x v="10"/>
    <x v="10"/>
    <x v="45"/>
    <x v="12"/>
    <x v="39"/>
    <x v="36"/>
    <x v="38"/>
    <x v="2"/>
    <x v="24"/>
    <x v="25"/>
    <x v="0"/>
    <x v="0"/>
    <x v="9"/>
    <x v="2"/>
    <x v="1"/>
    <x v="2"/>
    <x v="1"/>
  </r>
  <r>
    <x v="16"/>
    <x v="16"/>
    <x v="46"/>
    <x v="25"/>
    <x v="40"/>
    <x v="37"/>
    <x v="39"/>
    <x v="3"/>
    <x v="25"/>
    <x v="26"/>
    <x v="2"/>
    <x v="2"/>
    <x v="24"/>
    <x v="0"/>
    <x v="3"/>
    <x v="0"/>
    <x v="4"/>
  </r>
  <r>
    <x v="14"/>
    <x v="14"/>
    <x v="47"/>
    <x v="10"/>
    <x v="41"/>
    <x v="38"/>
    <x v="40"/>
    <x v="1"/>
    <x v="1"/>
    <x v="2"/>
    <x v="1"/>
    <x v="1"/>
    <x v="2"/>
    <x v="0"/>
    <x v="1"/>
    <x v="0"/>
    <x v="1"/>
  </r>
  <r>
    <x v="13"/>
    <x v="13"/>
    <x v="48"/>
    <x v="26"/>
    <x v="42"/>
    <x v="39"/>
    <x v="41"/>
    <x v="11"/>
    <x v="26"/>
    <x v="27"/>
    <x v="4"/>
    <x v="4"/>
    <x v="25"/>
    <x v="2"/>
    <x v="5"/>
    <x v="2"/>
    <x v="7"/>
  </r>
  <r>
    <x v="24"/>
    <x v="24"/>
    <x v="49"/>
    <x v="27"/>
    <x v="43"/>
    <x v="40"/>
    <x v="42"/>
    <x v="12"/>
    <x v="27"/>
    <x v="28"/>
    <x v="9"/>
    <x v="9"/>
    <x v="26"/>
    <x v="7"/>
    <x v="6"/>
    <x v="8"/>
    <x v="8"/>
  </r>
  <r>
    <x v="25"/>
    <x v="25"/>
    <x v="50"/>
    <x v="2"/>
    <x v="44"/>
    <x v="41"/>
    <x v="43"/>
    <x v="1"/>
    <x v="1"/>
    <x v="2"/>
    <x v="1"/>
    <x v="1"/>
    <x v="2"/>
    <x v="0"/>
    <x v="1"/>
    <x v="0"/>
    <x v="1"/>
  </r>
  <r>
    <x v="24"/>
    <x v="24"/>
    <x v="51"/>
    <x v="28"/>
    <x v="45"/>
    <x v="42"/>
    <x v="44"/>
    <x v="13"/>
    <x v="28"/>
    <x v="29"/>
    <x v="4"/>
    <x v="10"/>
    <x v="27"/>
    <x v="4"/>
    <x v="3"/>
    <x v="9"/>
    <x v="9"/>
  </r>
  <r>
    <x v="0"/>
    <x v="0"/>
    <x v="52"/>
    <x v="29"/>
    <x v="46"/>
    <x v="43"/>
    <x v="45"/>
    <x v="4"/>
    <x v="29"/>
    <x v="30"/>
    <x v="3"/>
    <x v="3"/>
    <x v="28"/>
    <x v="3"/>
    <x v="1"/>
    <x v="3"/>
    <x v="1"/>
  </r>
  <r>
    <x v="5"/>
    <x v="5"/>
    <x v="53"/>
    <x v="0"/>
    <x v="47"/>
    <x v="44"/>
    <x v="46"/>
    <x v="1"/>
    <x v="1"/>
    <x v="2"/>
    <x v="1"/>
    <x v="1"/>
    <x v="2"/>
    <x v="0"/>
    <x v="1"/>
    <x v="0"/>
    <x v="1"/>
  </r>
  <r>
    <x v="3"/>
    <x v="3"/>
    <x v="54"/>
    <x v="0"/>
    <x v="48"/>
    <x v="45"/>
    <x v="47"/>
    <x v="1"/>
    <x v="1"/>
    <x v="2"/>
    <x v="1"/>
    <x v="1"/>
    <x v="2"/>
    <x v="0"/>
    <x v="1"/>
    <x v="0"/>
    <x v="1"/>
  </r>
  <r>
    <x v="26"/>
    <x v="26"/>
    <x v="55"/>
    <x v="30"/>
    <x v="49"/>
    <x v="46"/>
    <x v="48"/>
    <x v="1"/>
    <x v="1"/>
    <x v="2"/>
    <x v="1"/>
    <x v="1"/>
    <x v="2"/>
    <x v="0"/>
    <x v="1"/>
    <x v="0"/>
    <x v="1"/>
  </r>
  <r>
    <x v="26"/>
    <x v="26"/>
    <x v="56"/>
    <x v="31"/>
    <x v="50"/>
    <x v="47"/>
    <x v="49"/>
    <x v="14"/>
    <x v="30"/>
    <x v="31"/>
    <x v="3"/>
    <x v="3"/>
    <x v="29"/>
    <x v="0"/>
    <x v="7"/>
    <x v="0"/>
    <x v="10"/>
  </r>
  <r>
    <x v="25"/>
    <x v="25"/>
    <x v="57"/>
    <x v="25"/>
    <x v="51"/>
    <x v="48"/>
    <x v="50"/>
    <x v="15"/>
    <x v="31"/>
    <x v="32"/>
    <x v="0"/>
    <x v="0"/>
    <x v="30"/>
    <x v="2"/>
    <x v="1"/>
    <x v="10"/>
    <x v="1"/>
  </r>
  <r>
    <x v="24"/>
    <x v="24"/>
    <x v="58"/>
    <x v="32"/>
    <x v="52"/>
    <x v="49"/>
    <x v="51"/>
    <x v="16"/>
    <x v="32"/>
    <x v="33"/>
    <x v="7"/>
    <x v="11"/>
    <x v="31"/>
    <x v="8"/>
    <x v="8"/>
    <x v="11"/>
    <x v="11"/>
  </r>
  <r>
    <x v="25"/>
    <x v="25"/>
    <x v="59"/>
    <x v="2"/>
    <x v="53"/>
    <x v="50"/>
    <x v="52"/>
    <x v="1"/>
    <x v="1"/>
    <x v="2"/>
    <x v="1"/>
    <x v="1"/>
    <x v="2"/>
    <x v="0"/>
    <x v="1"/>
    <x v="0"/>
    <x v="1"/>
  </r>
  <r>
    <x v="26"/>
    <x v="26"/>
    <x v="60"/>
    <x v="2"/>
    <x v="54"/>
    <x v="51"/>
    <x v="53"/>
    <x v="17"/>
    <x v="33"/>
    <x v="34"/>
    <x v="0"/>
    <x v="8"/>
    <x v="32"/>
    <x v="0"/>
    <x v="5"/>
    <x v="0"/>
    <x v="12"/>
  </r>
  <r>
    <x v="27"/>
    <x v="27"/>
    <x v="61"/>
    <x v="2"/>
    <x v="55"/>
    <x v="52"/>
    <x v="54"/>
    <x v="1"/>
    <x v="1"/>
    <x v="2"/>
    <x v="1"/>
    <x v="1"/>
    <x v="2"/>
    <x v="0"/>
    <x v="1"/>
    <x v="0"/>
    <x v="1"/>
  </r>
  <r>
    <x v="24"/>
    <x v="24"/>
    <x v="62"/>
    <x v="33"/>
    <x v="56"/>
    <x v="53"/>
    <x v="55"/>
    <x v="18"/>
    <x v="34"/>
    <x v="35"/>
    <x v="8"/>
    <x v="12"/>
    <x v="33"/>
    <x v="8"/>
    <x v="1"/>
    <x v="11"/>
    <x v="1"/>
  </r>
  <r>
    <x v="26"/>
    <x v="26"/>
    <x v="63"/>
    <x v="34"/>
    <x v="57"/>
    <x v="54"/>
    <x v="56"/>
    <x v="19"/>
    <x v="35"/>
    <x v="36"/>
    <x v="10"/>
    <x v="13"/>
    <x v="34"/>
    <x v="2"/>
    <x v="9"/>
    <x v="12"/>
    <x v="13"/>
  </r>
  <r>
    <x v="28"/>
    <x v="28"/>
    <x v="64"/>
    <x v="1"/>
    <x v="5"/>
    <x v="1"/>
    <x v="1"/>
    <x v="1"/>
    <x v="1"/>
    <x v="1"/>
    <x v="1"/>
    <x v="1"/>
    <x v="1"/>
    <x v="0"/>
    <x v="1"/>
    <x v="0"/>
    <x v="1"/>
  </r>
  <r>
    <x v="27"/>
    <x v="27"/>
    <x v="65"/>
    <x v="25"/>
    <x v="58"/>
    <x v="55"/>
    <x v="57"/>
    <x v="20"/>
    <x v="36"/>
    <x v="37"/>
    <x v="3"/>
    <x v="3"/>
    <x v="35"/>
    <x v="2"/>
    <x v="3"/>
    <x v="13"/>
    <x v="14"/>
  </r>
  <r>
    <x v="25"/>
    <x v="25"/>
    <x v="66"/>
    <x v="35"/>
    <x v="59"/>
    <x v="56"/>
    <x v="58"/>
    <x v="21"/>
    <x v="37"/>
    <x v="38"/>
    <x v="2"/>
    <x v="2"/>
    <x v="33"/>
    <x v="0"/>
    <x v="3"/>
    <x v="0"/>
    <x v="15"/>
  </r>
  <r>
    <x v="24"/>
    <x v="24"/>
    <x v="67"/>
    <x v="36"/>
    <x v="60"/>
    <x v="57"/>
    <x v="59"/>
    <x v="22"/>
    <x v="38"/>
    <x v="39"/>
    <x v="2"/>
    <x v="2"/>
    <x v="36"/>
    <x v="1"/>
    <x v="1"/>
    <x v="14"/>
    <x v="1"/>
  </r>
  <r>
    <x v="29"/>
    <x v="29"/>
    <x v="68"/>
    <x v="0"/>
    <x v="61"/>
    <x v="58"/>
    <x v="60"/>
    <x v="23"/>
    <x v="39"/>
    <x v="40"/>
    <x v="0"/>
    <x v="0"/>
    <x v="0"/>
    <x v="0"/>
    <x v="0"/>
    <x v="0"/>
    <x v="16"/>
  </r>
  <r>
    <x v="30"/>
    <x v="30"/>
    <x v="69"/>
    <x v="24"/>
    <x v="62"/>
    <x v="59"/>
    <x v="61"/>
    <x v="24"/>
    <x v="40"/>
    <x v="41"/>
    <x v="8"/>
    <x v="8"/>
    <x v="20"/>
    <x v="4"/>
    <x v="1"/>
    <x v="15"/>
    <x v="1"/>
  </r>
  <r>
    <x v="31"/>
    <x v="31"/>
    <x v="70"/>
    <x v="25"/>
    <x v="63"/>
    <x v="60"/>
    <x v="62"/>
    <x v="25"/>
    <x v="41"/>
    <x v="42"/>
    <x v="0"/>
    <x v="0"/>
    <x v="30"/>
    <x v="2"/>
    <x v="1"/>
    <x v="16"/>
    <x v="1"/>
  </r>
  <r>
    <x v="29"/>
    <x v="29"/>
    <x v="71"/>
    <x v="12"/>
    <x v="64"/>
    <x v="61"/>
    <x v="63"/>
    <x v="26"/>
    <x v="42"/>
    <x v="43"/>
    <x v="0"/>
    <x v="0"/>
    <x v="9"/>
    <x v="2"/>
    <x v="1"/>
    <x v="17"/>
    <x v="1"/>
  </r>
  <r>
    <x v="30"/>
    <x v="30"/>
    <x v="72"/>
    <x v="37"/>
    <x v="65"/>
    <x v="62"/>
    <x v="64"/>
    <x v="27"/>
    <x v="43"/>
    <x v="44"/>
    <x v="11"/>
    <x v="11"/>
    <x v="37"/>
    <x v="9"/>
    <x v="7"/>
    <x v="18"/>
    <x v="17"/>
  </r>
  <r>
    <x v="31"/>
    <x v="31"/>
    <x v="73"/>
    <x v="38"/>
    <x v="66"/>
    <x v="63"/>
    <x v="65"/>
    <x v="1"/>
    <x v="1"/>
    <x v="2"/>
    <x v="1"/>
    <x v="1"/>
    <x v="2"/>
    <x v="0"/>
    <x v="1"/>
    <x v="0"/>
    <x v="1"/>
  </r>
  <r>
    <x v="29"/>
    <x v="29"/>
    <x v="74"/>
    <x v="2"/>
    <x v="67"/>
    <x v="50"/>
    <x v="52"/>
    <x v="1"/>
    <x v="1"/>
    <x v="2"/>
    <x v="1"/>
    <x v="1"/>
    <x v="2"/>
    <x v="0"/>
    <x v="1"/>
    <x v="0"/>
    <x v="1"/>
  </r>
  <r>
    <x v="30"/>
    <x v="30"/>
    <x v="75"/>
    <x v="25"/>
    <x v="68"/>
    <x v="64"/>
    <x v="66"/>
    <x v="1"/>
    <x v="1"/>
    <x v="2"/>
    <x v="1"/>
    <x v="1"/>
    <x v="2"/>
    <x v="0"/>
    <x v="1"/>
    <x v="0"/>
    <x v="1"/>
  </r>
  <r>
    <x v="32"/>
    <x v="32"/>
    <x v="76"/>
    <x v="11"/>
    <x v="69"/>
    <x v="65"/>
    <x v="67"/>
    <x v="28"/>
    <x v="44"/>
    <x v="45"/>
    <x v="2"/>
    <x v="2"/>
    <x v="38"/>
    <x v="2"/>
    <x v="0"/>
    <x v="19"/>
    <x v="18"/>
  </r>
  <r>
    <x v="32"/>
    <x v="32"/>
    <x v="77"/>
    <x v="39"/>
    <x v="70"/>
    <x v="66"/>
    <x v="68"/>
    <x v="29"/>
    <x v="45"/>
    <x v="46"/>
    <x v="10"/>
    <x v="10"/>
    <x v="0"/>
    <x v="6"/>
    <x v="0"/>
    <x v="20"/>
    <x v="19"/>
  </r>
  <r>
    <x v="33"/>
    <x v="33"/>
    <x v="78"/>
    <x v="23"/>
    <x v="71"/>
    <x v="67"/>
    <x v="69"/>
    <x v="30"/>
    <x v="46"/>
    <x v="47"/>
    <x v="8"/>
    <x v="8"/>
    <x v="39"/>
    <x v="0"/>
    <x v="5"/>
    <x v="0"/>
    <x v="20"/>
  </r>
  <r>
    <x v="34"/>
    <x v="34"/>
    <x v="79"/>
    <x v="40"/>
    <x v="72"/>
    <x v="68"/>
    <x v="70"/>
    <x v="31"/>
    <x v="47"/>
    <x v="48"/>
    <x v="12"/>
    <x v="14"/>
    <x v="40"/>
    <x v="10"/>
    <x v="9"/>
    <x v="21"/>
    <x v="21"/>
  </r>
  <r>
    <x v="35"/>
    <x v="35"/>
    <x v="80"/>
    <x v="41"/>
    <x v="73"/>
    <x v="69"/>
    <x v="71"/>
    <x v="32"/>
    <x v="48"/>
    <x v="49"/>
    <x v="13"/>
    <x v="6"/>
    <x v="41"/>
    <x v="11"/>
    <x v="5"/>
    <x v="22"/>
    <x v="22"/>
  </r>
  <r>
    <x v="31"/>
    <x v="31"/>
    <x v="81"/>
    <x v="5"/>
    <x v="74"/>
    <x v="70"/>
    <x v="72"/>
    <x v="1"/>
    <x v="1"/>
    <x v="2"/>
    <x v="1"/>
    <x v="1"/>
    <x v="2"/>
    <x v="0"/>
    <x v="1"/>
    <x v="0"/>
    <x v="1"/>
  </r>
  <r>
    <x v="36"/>
    <x v="36"/>
    <x v="82"/>
    <x v="0"/>
    <x v="75"/>
    <x v="71"/>
    <x v="73"/>
    <x v="1"/>
    <x v="1"/>
    <x v="2"/>
    <x v="1"/>
    <x v="1"/>
    <x v="2"/>
    <x v="0"/>
    <x v="1"/>
    <x v="0"/>
    <x v="1"/>
  </r>
  <r>
    <x v="37"/>
    <x v="37"/>
    <x v="83"/>
    <x v="5"/>
    <x v="76"/>
    <x v="72"/>
    <x v="74"/>
    <x v="1"/>
    <x v="1"/>
    <x v="2"/>
    <x v="1"/>
    <x v="1"/>
    <x v="2"/>
    <x v="0"/>
    <x v="1"/>
    <x v="0"/>
    <x v="1"/>
  </r>
  <r>
    <x v="35"/>
    <x v="35"/>
    <x v="84"/>
    <x v="16"/>
    <x v="77"/>
    <x v="73"/>
    <x v="75"/>
    <x v="33"/>
    <x v="49"/>
    <x v="50"/>
    <x v="2"/>
    <x v="2"/>
    <x v="9"/>
    <x v="1"/>
    <x v="1"/>
    <x v="23"/>
    <x v="1"/>
  </r>
  <r>
    <x v="38"/>
    <x v="38"/>
    <x v="85"/>
    <x v="40"/>
    <x v="78"/>
    <x v="74"/>
    <x v="76"/>
    <x v="34"/>
    <x v="50"/>
    <x v="51"/>
    <x v="14"/>
    <x v="15"/>
    <x v="42"/>
    <x v="11"/>
    <x v="8"/>
    <x v="24"/>
    <x v="23"/>
  </r>
  <r>
    <x v="39"/>
    <x v="39"/>
    <x v="86"/>
    <x v="42"/>
    <x v="79"/>
    <x v="75"/>
    <x v="77"/>
    <x v="35"/>
    <x v="51"/>
    <x v="52"/>
    <x v="4"/>
    <x v="4"/>
    <x v="43"/>
    <x v="2"/>
    <x v="5"/>
    <x v="25"/>
    <x v="7"/>
  </r>
  <r>
    <x v="40"/>
    <x v="40"/>
    <x v="87"/>
    <x v="43"/>
    <x v="80"/>
    <x v="76"/>
    <x v="78"/>
    <x v="2"/>
    <x v="52"/>
    <x v="53"/>
    <x v="0"/>
    <x v="0"/>
    <x v="44"/>
    <x v="2"/>
    <x v="1"/>
    <x v="2"/>
    <x v="1"/>
  </r>
  <r>
    <x v="41"/>
    <x v="41"/>
    <x v="88"/>
    <x v="44"/>
    <x v="81"/>
    <x v="77"/>
    <x v="79"/>
    <x v="36"/>
    <x v="53"/>
    <x v="54"/>
    <x v="3"/>
    <x v="3"/>
    <x v="45"/>
    <x v="3"/>
    <x v="1"/>
    <x v="26"/>
    <x v="1"/>
  </r>
  <r>
    <x v="42"/>
    <x v="42"/>
    <x v="89"/>
    <x v="16"/>
    <x v="82"/>
    <x v="78"/>
    <x v="80"/>
    <x v="2"/>
    <x v="54"/>
    <x v="55"/>
    <x v="0"/>
    <x v="0"/>
    <x v="13"/>
    <x v="2"/>
    <x v="1"/>
    <x v="2"/>
    <x v="1"/>
  </r>
  <r>
    <x v="43"/>
    <x v="43"/>
    <x v="90"/>
    <x v="43"/>
    <x v="83"/>
    <x v="79"/>
    <x v="81"/>
    <x v="37"/>
    <x v="55"/>
    <x v="56"/>
    <x v="2"/>
    <x v="2"/>
    <x v="46"/>
    <x v="2"/>
    <x v="0"/>
    <x v="2"/>
    <x v="24"/>
  </r>
  <r>
    <x v="34"/>
    <x v="34"/>
    <x v="91"/>
    <x v="1"/>
    <x v="5"/>
    <x v="1"/>
    <x v="1"/>
    <x v="1"/>
    <x v="1"/>
    <x v="1"/>
    <x v="1"/>
    <x v="1"/>
    <x v="1"/>
    <x v="0"/>
    <x v="1"/>
    <x v="0"/>
    <x v="1"/>
  </r>
  <r>
    <x v="33"/>
    <x v="33"/>
    <x v="92"/>
    <x v="45"/>
    <x v="84"/>
    <x v="80"/>
    <x v="82"/>
    <x v="38"/>
    <x v="56"/>
    <x v="57"/>
    <x v="14"/>
    <x v="16"/>
    <x v="47"/>
    <x v="12"/>
    <x v="10"/>
    <x v="27"/>
    <x v="25"/>
  </r>
  <r>
    <x v="35"/>
    <x v="35"/>
    <x v="93"/>
    <x v="22"/>
    <x v="85"/>
    <x v="81"/>
    <x v="83"/>
    <x v="15"/>
    <x v="57"/>
    <x v="58"/>
    <x v="0"/>
    <x v="0"/>
    <x v="48"/>
    <x v="0"/>
    <x v="0"/>
    <x v="0"/>
    <x v="26"/>
  </r>
  <r>
    <x v="34"/>
    <x v="34"/>
    <x v="94"/>
    <x v="46"/>
    <x v="86"/>
    <x v="82"/>
    <x v="84"/>
    <x v="39"/>
    <x v="58"/>
    <x v="59"/>
    <x v="6"/>
    <x v="17"/>
    <x v="49"/>
    <x v="13"/>
    <x v="3"/>
    <x v="28"/>
    <x v="27"/>
  </r>
  <r>
    <x v="33"/>
    <x v="33"/>
    <x v="95"/>
    <x v="12"/>
    <x v="87"/>
    <x v="83"/>
    <x v="85"/>
    <x v="40"/>
    <x v="59"/>
    <x v="60"/>
    <x v="2"/>
    <x v="10"/>
    <x v="0"/>
    <x v="2"/>
    <x v="4"/>
    <x v="12"/>
    <x v="28"/>
  </r>
  <r>
    <x v="32"/>
    <x v="32"/>
    <x v="96"/>
    <x v="28"/>
    <x v="88"/>
    <x v="84"/>
    <x v="86"/>
    <x v="41"/>
    <x v="60"/>
    <x v="61"/>
    <x v="3"/>
    <x v="3"/>
    <x v="50"/>
    <x v="0"/>
    <x v="7"/>
    <x v="0"/>
    <x v="29"/>
  </r>
  <r>
    <x v="24"/>
    <x v="24"/>
    <x v="97"/>
    <x v="16"/>
    <x v="89"/>
    <x v="85"/>
    <x v="87"/>
    <x v="42"/>
    <x v="61"/>
    <x v="62"/>
    <x v="15"/>
    <x v="13"/>
    <x v="51"/>
    <x v="14"/>
    <x v="1"/>
    <x v="29"/>
    <x v="1"/>
  </r>
  <r>
    <x v="25"/>
    <x v="25"/>
    <x v="98"/>
    <x v="5"/>
    <x v="90"/>
    <x v="86"/>
    <x v="88"/>
    <x v="1"/>
    <x v="1"/>
    <x v="2"/>
    <x v="1"/>
    <x v="1"/>
    <x v="2"/>
    <x v="0"/>
    <x v="1"/>
    <x v="0"/>
    <x v="1"/>
  </r>
  <r>
    <x v="26"/>
    <x v="26"/>
    <x v="99"/>
    <x v="38"/>
    <x v="91"/>
    <x v="87"/>
    <x v="89"/>
    <x v="43"/>
    <x v="62"/>
    <x v="63"/>
    <x v="2"/>
    <x v="2"/>
    <x v="52"/>
    <x v="0"/>
    <x v="3"/>
    <x v="0"/>
    <x v="30"/>
  </r>
  <r>
    <x v="31"/>
    <x v="31"/>
    <x v="100"/>
    <x v="47"/>
    <x v="92"/>
    <x v="88"/>
    <x v="90"/>
    <x v="1"/>
    <x v="1"/>
    <x v="2"/>
    <x v="1"/>
    <x v="1"/>
    <x v="2"/>
    <x v="0"/>
    <x v="1"/>
    <x v="0"/>
    <x v="1"/>
  </r>
  <r>
    <x v="29"/>
    <x v="29"/>
    <x v="101"/>
    <x v="5"/>
    <x v="93"/>
    <x v="89"/>
    <x v="91"/>
    <x v="1"/>
    <x v="1"/>
    <x v="2"/>
    <x v="1"/>
    <x v="1"/>
    <x v="2"/>
    <x v="0"/>
    <x v="1"/>
    <x v="0"/>
    <x v="1"/>
  </r>
  <r>
    <x v="30"/>
    <x v="30"/>
    <x v="102"/>
    <x v="23"/>
    <x v="94"/>
    <x v="90"/>
    <x v="92"/>
    <x v="44"/>
    <x v="63"/>
    <x v="64"/>
    <x v="2"/>
    <x v="2"/>
    <x v="23"/>
    <x v="1"/>
    <x v="1"/>
    <x v="30"/>
    <x v="1"/>
  </r>
  <r>
    <x v="32"/>
    <x v="32"/>
    <x v="64"/>
    <x v="1"/>
    <x v="5"/>
    <x v="1"/>
    <x v="1"/>
    <x v="1"/>
    <x v="1"/>
    <x v="1"/>
    <x v="1"/>
    <x v="1"/>
    <x v="1"/>
    <x v="0"/>
    <x v="1"/>
    <x v="0"/>
    <x v="1"/>
  </r>
  <r>
    <x v="33"/>
    <x v="33"/>
    <x v="1"/>
    <x v="1"/>
    <x v="1"/>
    <x v="1"/>
    <x v="1"/>
    <x v="1"/>
    <x v="1"/>
    <x v="1"/>
    <x v="1"/>
    <x v="1"/>
    <x v="1"/>
    <x v="0"/>
    <x v="1"/>
    <x v="0"/>
    <x v="1"/>
  </r>
  <r>
    <x v="34"/>
    <x v="34"/>
    <x v="28"/>
    <x v="1"/>
    <x v="5"/>
    <x v="1"/>
    <x v="1"/>
    <x v="1"/>
    <x v="1"/>
    <x v="1"/>
    <x v="1"/>
    <x v="1"/>
    <x v="1"/>
    <x v="0"/>
    <x v="1"/>
    <x v="0"/>
    <x v="1"/>
  </r>
  <r>
    <x v="35"/>
    <x v="35"/>
    <x v="18"/>
    <x v="1"/>
    <x v="5"/>
    <x v="1"/>
    <x v="1"/>
    <x v="1"/>
    <x v="1"/>
    <x v="1"/>
    <x v="1"/>
    <x v="1"/>
    <x v="1"/>
    <x v="0"/>
    <x v="1"/>
    <x v="0"/>
    <x v="1"/>
  </r>
  <r>
    <x v="28"/>
    <x v="28"/>
    <x v="103"/>
    <x v="11"/>
    <x v="95"/>
    <x v="91"/>
    <x v="93"/>
    <x v="1"/>
    <x v="1"/>
    <x v="2"/>
    <x v="1"/>
    <x v="1"/>
    <x v="2"/>
    <x v="0"/>
    <x v="1"/>
    <x v="0"/>
    <x v="1"/>
  </r>
  <r>
    <x v="27"/>
    <x v="27"/>
    <x v="104"/>
    <x v="1"/>
    <x v="5"/>
    <x v="1"/>
    <x v="1"/>
    <x v="1"/>
    <x v="1"/>
    <x v="1"/>
    <x v="1"/>
    <x v="1"/>
    <x v="1"/>
    <x v="0"/>
    <x v="1"/>
    <x v="0"/>
    <x v="1"/>
  </r>
  <r>
    <x v="25"/>
    <x v="25"/>
    <x v="1"/>
    <x v="1"/>
    <x v="1"/>
    <x v="1"/>
    <x v="1"/>
    <x v="1"/>
    <x v="1"/>
    <x v="1"/>
    <x v="1"/>
    <x v="1"/>
    <x v="1"/>
    <x v="0"/>
    <x v="1"/>
    <x v="0"/>
    <x v="1"/>
  </r>
  <r>
    <x v="24"/>
    <x v="24"/>
    <x v="105"/>
    <x v="1"/>
    <x v="5"/>
    <x v="1"/>
    <x v="1"/>
    <x v="1"/>
    <x v="1"/>
    <x v="1"/>
    <x v="1"/>
    <x v="1"/>
    <x v="1"/>
    <x v="0"/>
    <x v="1"/>
    <x v="0"/>
    <x v="1"/>
  </r>
  <r>
    <x v="44"/>
    <x v="44"/>
    <x v="106"/>
    <x v="25"/>
    <x v="96"/>
    <x v="37"/>
    <x v="39"/>
    <x v="3"/>
    <x v="25"/>
    <x v="26"/>
    <x v="2"/>
    <x v="2"/>
    <x v="24"/>
    <x v="1"/>
    <x v="1"/>
    <x v="1"/>
    <x v="1"/>
  </r>
  <r>
    <x v="45"/>
    <x v="45"/>
    <x v="107"/>
    <x v="25"/>
    <x v="97"/>
    <x v="92"/>
    <x v="94"/>
    <x v="3"/>
    <x v="64"/>
    <x v="65"/>
    <x v="2"/>
    <x v="2"/>
    <x v="24"/>
    <x v="2"/>
    <x v="0"/>
    <x v="2"/>
    <x v="2"/>
  </r>
  <r>
    <x v="46"/>
    <x v="46"/>
    <x v="108"/>
    <x v="31"/>
    <x v="98"/>
    <x v="93"/>
    <x v="95"/>
    <x v="2"/>
    <x v="65"/>
    <x v="66"/>
    <x v="0"/>
    <x v="0"/>
    <x v="53"/>
    <x v="2"/>
    <x v="1"/>
    <x v="2"/>
    <x v="1"/>
  </r>
  <r>
    <x v="46"/>
    <x v="46"/>
    <x v="109"/>
    <x v="48"/>
    <x v="99"/>
    <x v="94"/>
    <x v="96"/>
    <x v="45"/>
    <x v="66"/>
    <x v="67"/>
    <x v="10"/>
    <x v="10"/>
    <x v="54"/>
    <x v="3"/>
    <x v="7"/>
    <x v="3"/>
    <x v="31"/>
  </r>
  <r>
    <x v="45"/>
    <x v="45"/>
    <x v="110"/>
    <x v="49"/>
    <x v="100"/>
    <x v="95"/>
    <x v="97"/>
    <x v="46"/>
    <x v="67"/>
    <x v="68"/>
    <x v="8"/>
    <x v="8"/>
    <x v="46"/>
    <x v="3"/>
    <x v="0"/>
    <x v="3"/>
    <x v="24"/>
  </r>
  <r>
    <x v="44"/>
    <x v="44"/>
    <x v="111"/>
    <x v="30"/>
    <x v="101"/>
    <x v="96"/>
    <x v="98"/>
    <x v="1"/>
    <x v="1"/>
    <x v="2"/>
    <x v="1"/>
    <x v="1"/>
    <x v="2"/>
    <x v="0"/>
    <x v="1"/>
    <x v="0"/>
    <x v="1"/>
  </r>
  <r>
    <x v="47"/>
    <x v="47"/>
    <x v="112"/>
    <x v="1"/>
    <x v="5"/>
    <x v="1"/>
    <x v="1"/>
    <x v="1"/>
    <x v="1"/>
    <x v="1"/>
    <x v="1"/>
    <x v="1"/>
    <x v="1"/>
    <x v="0"/>
    <x v="1"/>
    <x v="0"/>
    <x v="1"/>
  </r>
  <r>
    <x v="48"/>
    <x v="48"/>
    <x v="113"/>
    <x v="50"/>
    <x v="102"/>
    <x v="97"/>
    <x v="99"/>
    <x v="4"/>
    <x v="68"/>
    <x v="69"/>
    <x v="3"/>
    <x v="3"/>
    <x v="55"/>
    <x v="2"/>
    <x v="3"/>
    <x v="2"/>
    <x v="4"/>
  </r>
  <r>
    <x v="49"/>
    <x v="49"/>
    <x v="114"/>
    <x v="50"/>
    <x v="103"/>
    <x v="98"/>
    <x v="100"/>
    <x v="9"/>
    <x v="69"/>
    <x v="70"/>
    <x v="3"/>
    <x v="3"/>
    <x v="55"/>
    <x v="1"/>
    <x v="0"/>
    <x v="1"/>
    <x v="24"/>
  </r>
  <r>
    <x v="50"/>
    <x v="50"/>
    <x v="115"/>
    <x v="21"/>
    <x v="104"/>
    <x v="99"/>
    <x v="101"/>
    <x v="4"/>
    <x v="70"/>
    <x v="71"/>
    <x v="2"/>
    <x v="3"/>
    <x v="56"/>
    <x v="0"/>
    <x v="7"/>
    <x v="0"/>
    <x v="32"/>
  </r>
  <r>
    <x v="51"/>
    <x v="51"/>
    <x v="116"/>
    <x v="28"/>
    <x v="105"/>
    <x v="100"/>
    <x v="102"/>
    <x v="37"/>
    <x v="71"/>
    <x v="72"/>
    <x v="2"/>
    <x v="2"/>
    <x v="57"/>
    <x v="2"/>
    <x v="0"/>
    <x v="12"/>
    <x v="2"/>
  </r>
  <r>
    <x v="52"/>
    <x v="52"/>
    <x v="117"/>
    <x v="24"/>
    <x v="106"/>
    <x v="101"/>
    <x v="103"/>
    <x v="47"/>
    <x v="72"/>
    <x v="73"/>
    <x v="15"/>
    <x v="13"/>
    <x v="58"/>
    <x v="2"/>
    <x v="9"/>
    <x v="2"/>
    <x v="33"/>
  </r>
  <r>
    <x v="53"/>
    <x v="53"/>
    <x v="118"/>
    <x v="42"/>
    <x v="107"/>
    <x v="102"/>
    <x v="104"/>
    <x v="48"/>
    <x v="73"/>
    <x v="74"/>
    <x v="4"/>
    <x v="10"/>
    <x v="43"/>
    <x v="0"/>
    <x v="9"/>
    <x v="0"/>
    <x v="21"/>
  </r>
  <r>
    <x v="54"/>
    <x v="54"/>
    <x v="119"/>
    <x v="35"/>
    <x v="108"/>
    <x v="103"/>
    <x v="105"/>
    <x v="49"/>
    <x v="74"/>
    <x v="75"/>
    <x v="8"/>
    <x v="8"/>
    <x v="59"/>
    <x v="2"/>
    <x v="7"/>
    <x v="2"/>
    <x v="34"/>
  </r>
  <r>
    <x v="55"/>
    <x v="55"/>
    <x v="120"/>
    <x v="51"/>
    <x v="109"/>
    <x v="104"/>
    <x v="106"/>
    <x v="37"/>
    <x v="75"/>
    <x v="76"/>
    <x v="2"/>
    <x v="2"/>
    <x v="13"/>
    <x v="2"/>
    <x v="0"/>
    <x v="2"/>
    <x v="24"/>
  </r>
  <r>
    <x v="56"/>
    <x v="56"/>
    <x v="121"/>
    <x v="47"/>
    <x v="110"/>
    <x v="71"/>
    <x v="107"/>
    <x v="1"/>
    <x v="1"/>
    <x v="2"/>
    <x v="1"/>
    <x v="1"/>
    <x v="2"/>
    <x v="0"/>
    <x v="1"/>
    <x v="0"/>
    <x v="1"/>
  </r>
  <r>
    <x v="49"/>
    <x v="49"/>
    <x v="122"/>
    <x v="52"/>
    <x v="111"/>
    <x v="105"/>
    <x v="108"/>
    <x v="50"/>
    <x v="76"/>
    <x v="77"/>
    <x v="6"/>
    <x v="6"/>
    <x v="60"/>
    <x v="11"/>
    <x v="5"/>
    <x v="31"/>
    <x v="35"/>
  </r>
  <r>
    <x v="48"/>
    <x v="48"/>
    <x v="123"/>
    <x v="53"/>
    <x v="112"/>
    <x v="106"/>
    <x v="109"/>
    <x v="10"/>
    <x v="77"/>
    <x v="78"/>
    <x v="8"/>
    <x v="8"/>
    <x v="61"/>
    <x v="3"/>
    <x v="0"/>
    <x v="3"/>
    <x v="2"/>
  </r>
  <r>
    <x v="57"/>
    <x v="57"/>
    <x v="124"/>
    <x v="12"/>
    <x v="113"/>
    <x v="107"/>
    <x v="110"/>
    <x v="1"/>
    <x v="1"/>
    <x v="2"/>
    <x v="1"/>
    <x v="1"/>
    <x v="2"/>
    <x v="0"/>
    <x v="1"/>
    <x v="0"/>
    <x v="1"/>
  </r>
  <r>
    <x v="58"/>
    <x v="58"/>
    <x v="125"/>
    <x v="5"/>
    <x v="114"/>
    <x v="108"/>
    <x v="111"/>
    <x v="1"/>
    <x v="1"/>
    <x v="2"/>
    <x v="1"/>
    <x v="1"/>
    <x v="2"/>
    <x v="0"/>
    <x v="1"/>
    <x v="0"/>
    <x v="1"/>
  </r>
  <r>
    <x v="59"/>
    <x v="59"/>
    <x v="126"/>
    <x v="7"/>
    <x v="115"/>
    <x v="109"/>
    <x v="112"/>
    <x v="2"/>
    <x v="78"/>
    <x v="79"/>
    <x v="0"/>
    <x v="0"/>
    <x v="7"/>
    <x v="2"/>
    <x v="1"/>
    <x v="2"/>
    <x v="1"/>
  </r>
  <r>
    <x v="58"/>
    <x v="58"/>
    <x v="127"/>
    <x v="0"/>
    <x v="116"/>
    <x v="9"/>
    <x v="113"/>
    <x v="1"/>
    <x v="1"/>
    <x v="2"/>
    <x v="1"/>
    <x v="1"/>
    <x v="2"/>
    <x v="0"/>
    <x v="1"/>
    <x v="0"/>
    <x v="1"/>
  </r>
  <r>
    <x v="57"/>
    <x v="57"/>
    <x v="128"/>
    <x v="12"/>
    <x v="117"/>
    <x v="110"/>
    <x v="88"/>
    <x v="1"/>
    <x v="1"/>
    <x v="2"/>
    <x v="1"/>
    <x v="1"/>
    <x v="2"/>
    <x v="0"/>
    <x v="1"/>
    <x v="0"/>
    <x v="1"/>
  </r>
  <r>
    <x v="56"/>
    <x v="56"/>
    <x v="129"/>
    <x v="16"/>
    <x v="118"/>
    <x v="66"/>
    <x v="114"/>
    <x v="2"/>
    <x v="79"/>
    <x v="80"/>
    <x v="0"/>
    <x v="0"/>
    <x v="13"/>
    <x v="2"/>
    <x v="1"/>
    <x v="2"/>
    <x v="1"/>
  </r>
  <r>
    <x v="60"/>
    <x v="60"/>
    <x v="130"/>
    <x v="21"/>
    <x v="119"/>
    <x v="22"/>
    <x v="115"/>
    <x v="1"/>
    <x v="1"/>
    <x v="2"/>
    <x v="1"/>
    <x v="1"/>
    <x v="2"/>
    <x v="0"/>
    <x v="1"/>
    <x v="0"/>
    <x v="1"/>
  </r>
  <r>
    <x v="61"/>
    <x v="61"/>
    <x v="131"/>
    <x v="10"/>
    <x v="120"/>
    <x v="111"/>
    <x v="116"/>
    <x v="1"/>
    <x v="1"/>
    <x v="2"/>
    <x v="1"/>
    <x v="1"/>
    <x v="2"/>
    <x v="0"/>
    <x v="1"/>
    <x v="0"/>
    <x v="1"/>
  </r>
  <r>
    <x v="51"/>
    <x v="51"/>
    <x v="132"/>
    <x v="3"/>
    <x v="121"/>
    <x v="112"/>
    <x v="117"/>
    <x v="1"/>
    <x v="1"/>
    <x v="2"/>
    <x v="1"/>
    <x v="1"/>
    <x v="2"/>
    <x v="0"/>
    <x v="1"/>
    <x v="0"/>
    <x v="1"/>
  </r>
  <r>
    <x v="50"/>
    <x v="50"/>
    <x v="133"/>
    <x v="2"/>
    <x v="122"/>
    <x v="113"/>
    <x v="118"/>
    <x v="1"/>
    <x v="1"/>
    <x v="2"/>
    <x v="1"/>
    <x v="1"/>
    <x v="2"/>
    <x v="0"/>
    <x v="1"/>
    <x v="0"/>
    <x v="1"/>
  </r>
  <r>
    <x v="62"/>
    <x v="62"/>
    <x v="134"/>
    <x v="2"/>
    <x v="123"/>
    <x v="72"/>
    <x v="119"/>
    <x v="1"/>
    <x v="1"/>
    <x v="2"/>
    <x v="1"/>
    <x v="1"/>
    <x v="2"/>
    <x v="0"/>
    <x v="1"/>
    <x v="0"/>
    <x v="1"/>
  </r>
  <r>
    <x v="63"/>
    <x v="63"/>
    <x v="135"/>
    <x v="2"/>
    <x v="124"/>
    <x v="114"/>
    <x v="120"/>
    <x v="1"/>
    <x v="1"/>
    <x v="2"/>
    <x v="1"/>
    <x v="1"/>
    <x v="2"/>
    <x v="0"/>
    <x v="1"/>
    <x v="0"/>
    <x v="1"/>
  </r>
  <r>
    <x v="63"/>
    <x v="63"/>
    <x v="136"/>
    <x v="1"/>
    <x v="5"/>
    <x v="1"/>
    <x v="1"/>
    <x v="1"/>
    <x v="1"/>
    <x v="1"/>
    <x v="1"/>
    <x v="1"/>
    <x v="1"/>
    <x v="0"/>
    <x v="1"/>
    <x v="0"/>
    <x v="1"/>
  </r>
  <r>
    <x v="62"/>
    <x v="62"/>
    <x v="137"/>
    <x v="3"/>
    <x v="125"/>
    <x v="23"/>
    <x v="121"/>
    <x v="1"/>
    <x v="1"/>
    <x v="2"/>
    <x v="1"/>
    <x v="1"/>
    <x v="2"/>
    <x v="0"/>
    <x v="1"/>
    <x v="0"/>
    <x v="1"/>
  </r>
  <r>
    <x v="64"/>
    <x v="64"/>
    <x v="138"/>
    <x v="12"/>
    <x v="126"/>
    <x v="115"/>
    <x v="122"/>
    <x v="2"/>
    <x v="80"/>
    <x v="81"/>
    <x v="0"/>
    <x v="0"/>
    <x v="9"/>
    <x v="0"/>
    <x v="0"/>
    <x v="0"/>
    <x v="2"/>
  </r>
  <r>
    <x v="65"/>
    <x v="65"/>
    <x v="139"/>
    <x v="5"/>
    <x v="127"/>
    <x v="116"/>
    <x v="123"/>
    <x v="2"/>
    <x v="81"/>
    <x v="82"/>
    <x v="0"/>
    <x v="0"/>
    <x v="62"/>
    <x v="2"/>
    <x v="1"/>
    <x v="2"/>
    <x v="1"/>
  </r>
  <r>
    <x v="66"/>
    <x v="66"/>
    <x v="140"/>
    <x v="12"/>
    <x v="128"/>
    <x v="67"/>
    <x v="124"/>
    <x v="3"/>
    <x v="82"/>
    <x v="83"/>
    <x v="0"/>
    <x v="2"/>
    <x v="9"/>
    <x v="1"/>
    <x v="1"/>
    <x v="1"/>
    <x v="1"/>
  </r>
  <r>
    <x v="55"/>
    <x v="55"/>
    <x v="141"/>
    <x v="12"/>
    <x v="129"/>
    <x v="117"/>
    <x v="125"/>
    <x v="1"/>
    <x v="1"/>
    <x v="2"/>
    <x v="1"/>
    <x v="1"/>
    <x v="2"/>
    <x v="0"/>
    <x v="1"/>
    <x v="0"/>
    <x v="1"/>
  </r>
  <r>
    <x v="54"/>
    <x v="54"/>
    <x v="142"/>
    <x v="3"/>
    <x v="130"/>
    <x v="118"/>
    <x v="126"/>
    <x v="2"/>
    <x v="83"/>
    <x v="84"/>
    <x v="0"/>
    <x v="0"/>
    <x v="3"/>
    <x v="0"/>
    <x v="0"/>
    <x v="0"/>
    <x v="2"/>
  </r>
  <r>
    <x v="53"/>
    <x v="53"/>
    <x v="143"/>
    <x v="25"/>
    <x v="131"/>
    <x v="119"/>
    <x v="48"/>
    <x v="2"/>
    <x v="84"/>
    <x v="85"/>
    <x v="0"/>
    <x v="0"/>
    <x v="30"/>
    <x v="0"/>
    <x v="0"/>
    <x v="0"/>
    <x v="2"/>
  </r>
  <r>
    <x v="52"/>
    <x v="52"/>
    <x v="144"/>
    <x v="3"/>
    <x v="132"/>
    <x v="120"/>
    <x v="113"/>
    <x v="1"/>
    <x v="1"/>
    <x v="2"/>
    <x v="1"/>
    <x v="1"/>
    <x v="2"/>
    <x v="0"/>
    <x v="1"/>
    <x v="0"/>
    <x v="1"/>
  </r>
  <r>
    <x v="66"/>
    <x v="66"/>
    <x v="145"/>
    <x v="47"/>
    <x v="133"/>
    <x v="121"/>
    <x v="127"/>
    <x v="1"/>
    <x v="1"/>
    <x v="2"/>
    <x v="1"/>
    <x v="1"/>
    <x v="2"/>
    <x v="0"/>
    <x v="1"/>
    <x v="0"/>
    <x v="1"/>
  </r>
  <r>
    <x v="65"/>
    <x v="65"/>
    <x v="146"/>
    <x v="0"/>
    <x v="134"/>
    <x v="122"/>
    <x v="128"/>
    <x v="1"/>
    <x v="1"/>
    <x v="2"/>
    <x v="1"/>
    <x v="1"/>
    <x v="2"/>
    <x v="0"/>
    <x v="1"/>
    <x v="0"/>
    <x v="1"/>
  </r>
  <r>
    <x v="64"/>
    <x v="64"/>
    <x v="147"/>
    <x v="47"/>
    <x v="135"/>
    <x v="123"/>
    <x v="129"/>
    <x v="1"/>
    <x v="1"/>
    <x v="2"/>
    <x v="1"/>
    <x v="1"/>
    <x v="2"/>
    <x v="0"/>
    <x v="1"/>
    <x v="0"/>
    <x v="1"/>
  </r>
  <r>
    <x v="67"/>
    <x v="67"/>
    <x v="148"/>
    <x v="3"/>
    <x v="136"/>
    <x v="114"/>
    <x v="130"/>
    <x v="2"/>
    <x v="85"/>
    <x v="86"/>
    <x v="0"/>
    <x v="0"/>
    <x v="3"/>
    <x v="2"/>
    <x v="1"/>
    <x v="2"/>
    <x v="1"/>
  </r>
  <r>
    <x v="60"/>
    <x v="60"/>
    <x v="149"/>
    <x v="28"/>
    <x v="137"/>
    <x v="124"/>
    <x v="131"/>
    <x v="4"/>
    <x v="86"/>
    <x v="87"/>
    <x v="3"/>
    <x v="3"/>
    <x v="50"/>
    <x v="2"/>
    <x v="3"/>
    <x v="2"/>
    <x v="4"/>
  </r>
  <r>
    <x v="31"/>
    <x v="31"/>
    <x v="150"/>
    <x v="1"/>
    <x v="5"/>
    <x v="1"/>
    <x v="1"/>
    <x v="1"/>
    <x v="1"/>
    <x v="1"/>
    <x v="1"/>
    <x v="1"/>
    <x v="1"/>
    <x v="0"/>
    <x v="1"/>
    <x v="0"/>
    <x v="1"/>
  </r>
  <r>
    <x v="30"/>
    <x v="30"/>
    <x v="151"/>
    <x v="8"/>
    <x v="138"/>
    <x v="125"/>
    <x v="132"/>
    <x v="44"/>
    <x v="87"/>
    <x v="88"/>
    <x v="2"/>
    <x v="2"/>
    <x v="6"/>
    <x v="1"/>
    <x v="1"/>
    <x v="30"/>
    <x v="1"/>
  </r>
  <r>
    <x v="29"/>
    <x v="29"/>
    <x v="127"/>
    <x v="1"/>
    <x v="5"/>
    <x v="1"/>
    <x v="1"/>
    <x v="1"/>
    <x v="1"/>
    <x v="1"/>
    <x v="1"/>
    <x v="1"/>
    <x v="1"/>
    <x v="0"/>
    <x v="1"/>
    <x v="0"/>
    <x v="1"/>
  </r>
  <r>
    <x v="47"/>
    <x v="47"/>
    <x v="152"/>
    <x v="3"/>
    <x v="139"/>
    <x v="113"/>
    <x v="133"/>
    <x v="51"/>
    <x v="88"/>
    <x v="89"/>
    <x v="2"/>
    <x v="2"/>
    <x v="32"/>
    <x v="0"/>
    <x v="3"/>
    <x v="0"/>
    <x v="36"/>
  </r>
  <r>
    <x v="68"/>
    <x v="68"/>
    <x v="153"/>
    <x v="2"/>
    <x v="140"/>
    <x v="45"/>
    <x v="134"/>
    <x v="1"/>
    <x v="1"/>
    <x v="2"/>
    <x v="1"/>
    <x v="1"/>
    <x v="2"/>
    <x v="0"/>
    <x v="1"/>
    <x v="0"/>
    <x v="1"/>
  </r>
  <r>
    <x v="68"/>
    <x v="68"/>
    <x v="154"/>
    <x v="5"/>
    <x v="141"/>
    <x v="126"/>
    <x v="135"/>
    <x v="1"/>
    <x v="1"/>
    <x v="2"/>
    <x v="1"/>
    <x v="1"/>
    <x v="2"/>
    <x v="0"/>
    <x v="1"/>
    <x v="0"/>
    <x v="1"/>
  </r>
  <r>
    <x v="31"/>
    <x v="31"/>
    <x v="155"/>
    <x v="10"/>
    <x v="142"/>
    <x v="127"/>
    <x v="136"/>
    <x v="52"/>
    <x v="89"/>
    <x v="90"/>
    <x v="0"/>
    <x v="0"/>
    <x v="23"/>
    <x v="2"/>
    <x v="1"/>
    <x v="32"/>
    <x v="1"/>
  </r>
  <r>
    <x v="47"/>
    <x v="47"/>
    <x v="29"/>
    <x v="1"/>
    <x v="5"/>
    <x v="1"/>
    <x v="1"/>
    <x v="1"/>
    <x v="1"/>
    <x v="1"/>
    <x v="1"/>
    <x v="1"/>
    <x v="1"/>
    <x v="0"/>
    <x v="1"/>
    <x v="0"/>
    <x v="1"/>
  </r>
  <r>
    <x v="29"/>
    <x v="29"/>
    <x v="156"/>
    <x v="3"/>
    <x v="143"/>
    <x v="128"/>
    <x v="137"/>
    <x v="1"/>
    <x v="1"/>
    <x v="2"/>
    <x v="1"/>
    <x v="1"/>
    <x v="2"/>
    <x v="0"/>
    <x v="1"/>
    <x v="0"/>
    <x v="1"/>
  </r>
  <r>
    <x v="30"/>
    <x v="30"/>
    <x v="157"/>
    <x v="30"/>
    <x v="144"/>
    <x v="129"/>
    <x v="138"/>
    <x v="1"/>
    <x v="1"/>
    <x v="2"/>
    <x v="1"/>
    <x v="1"/>
    <x v="2"/>
    <x v="0"/>
    <x v="1"/>
    <x v="0"/>
    <x v="1"/>
  </r>
  <r>
    <x v="32"/>
    <x v="32"/>
    <x v="158"/>
    <x v="2"/>
    <x v="145"/>
    <x v="130"/>
    <x v="139"/>
    <x v="1"/>
    <x v="1"/>
    <x v="2"/>
    <x v="1"/>
    <x v="1"/>
    <x v="2"/>
    <x v="0"/>
    <x v="1"/>
    <x v="0"/>
    <x v="1"/>
  </r>
  <r>
    <x v="33"/>
    <x v="33"/>
    <x v="29"/>
    <x v="1"/>
    <x v="5"/>
    <x v="1"/>
    <x v="1"/>
    <x v="1"/>
    <x v="1"/>
    <x v="1"/>
    <x v="1"/>
    <x v="1"/>
    <x v="1"/>
    <x v="0"/>
    <x v="1"/>
    <x v="0"/>
    <x v="1"/>
  </r>
  <r>
    <x v="34"/>
    <x v="34"/>
    <x v="159"/>
    <x v="11"/>
    <x v="146"/>
    <x v="130"/>
    <x v="140"/>
    <x v="53"/>
    <x v="90"/>
    <x v="91"/>
    <x v="0"/>
    <x v="0"/>
    <x v="56"/>
    <x v="2"/>
    <x v="1"/>
    <x v="33"/>
    <x v="1"/>
  </r>
  <r>
    <x v="35"/>
    <x v="35"/>
    <x v="35"/>
    <x v="5"/>
    <x v="147"/>
    <x v="131"/>
    <x v="141"/>
    <x v="53"/>
    <x v="91"/>
    <x v="92"/>
    <x v="0"/>
    <x v="0"/>
    <x v="62"/>
    <x v="2"/>
    <x v="1"/>
    <x v="33"/>
    <x v="1"/>
  </r>
  <r>
    <x v="47"/>
    <x v="47"/>
    <x v="10"/>
    <x v="3"/>
    <x v="148"/>
    <x v="132"/>
    <x v="142"/>
    <x v="1"/>
    <x v="1"/>
    <x v="2"/>
    <x v="1"/>
    <x v="1"/>
    <x v="2"/>
    <x v="0"/>
    <x v="1"/>
    <x v="0"/>
    <x v="1"/>
  </r>
  <r>
    <x v="6"/>
    <x v="6"/>
    <x v="160"/>
    <x v="54"/>
    <x v="149"/>
    <x v="133"/>
    <x v="143"/>
    <x v="54"/>
    <x v="92"/>
    <x v="93"/>
    <x v="16"/>
    <x v="18"/>
    <x v="63"/>
    <x v="13"/>
    <x v="11"/>
    <x v="34"/>
    <x v="37"/>
  </r>
  <r>
    <x v="69"/>
    <x v="69"/>
    <x v="161"/>
    <x v="5"/>
    <x v="150"/>
    <x v="134"/>
    <x v="144"/>
    <x v="1"/>
    <x v="1"/>
    <x v="2"/>
    <x v="1"/>
    <x v="1"/>
    <x v="2"/>
    <x v="0"/>
    <x v="1"/>
    <x v="0"/>
    <x v="1"/>
  </r>
  <r>
    <x v="36"/>
    <x v="36"/>
    <x v="162"/>
    <x v="0"/>
    <x v="151"/>
    <x v="4"/>
    <x v="145"/>
    <x v="1"/>
    <x v="1"/>
    <x v="2"/>
    <x v="1"/>
    <x v="1"/>
    <x v="2"/>
    <x v="0"/>
    <x v="1"/>
    <x v="0"/>
    <x v="1"/>
  </r>
  <r>
    <x v="37"/>
    <x v="37"/>
    <x v="163"/>
    <x v="1"/>
    <x v="5"/>
    <x v="1"/>
    <x v="1"/>
    <x v="1"/>
    <x v="1"/>
    <x v="1"/>
    <x v="1"/>
    <x v="1"/>
    <x v="1"/>
    <x v="0"/>
    <x v="1"/>
    <x v="0"/>
    <x v="1"/>
  </r>
  <r>
    <x v="40"/>
    <x v="40"/>
    <x v="164"/>
    <x v="11"/>
    <x v="152"/>
    <x v="135"/>
    <x v="146"/>
    <x v="1"/>
    <x v="1"/>
    <x v="2"/>
    <x v="1"/>
    <x v="1"/>
    <x v="2"/>
    <x v="0"/>
    <x v="1"/>
    <x v="0"/>
    <x v="1"/>
  </r>
  <r>
    <x v="41"/>
    <x v="41"/>
    <x v="165"/>
    <x v="47"/>
    <x v="153"/>
    <x v="136"/>
    <x v="147"/>
    <x v="2"/>
    <x v="93"/>
    <x v="94"/>
    <x v="0"/>
    <x v="0"/>
    <x v="64"/>
    <x v="2"/>
    <x v="1"/>
    <x v="2"/>
    <x v="1"/>
  </r>
  <r>
    <x v="42"/>
    <x v="42"/>
    <x v="166"/>
    <x v="25"/>
    <x v="154"/>
    <x v="137"/>
    <x v="148"/>
    <x v="2"/>
    <x v="94"/>
    <x v="95"/>
    <x v="0"/>
    <x v="0"/>
    <x v="30"/>
    <x v="2"/>
    <x v="1"/>
    <x v="2"/>
    <x v="1"/>
  </r>
  <r>
    <x v="6"/>
    <x v="6"/>
    <x v="133"/>
    <x v="10"/>
    <x v="155"/>
    <x v="138"/>
    <x v="149"/>
    <x v="1"/>
    <x v="1"/>
    <x v="2"/>
    <x v="1"/>
    <x v="1"/>
    <x v="2"/>
    <x v="0"/>
    <x v="1"/>
    <x v="0"/>
    <x v="1"/>
  </r>
  <r>
    <x v="70"/>
    <x v="70"/>
    <x v="167"/>
    <x v="21"/>
    <x v="156"/>
    <x v="139"/>
    <x v="150"/>
    <x v="1"/>
    <x v="1"/>
    <x v="2"/>
    <x v="1"/>
    <x v="1"/>
    <x v="2"/>
    <x v="0"/>
    <x v="1"/>
    <x v="0"/>
    <x v="1"/>
  </r>
  <r>
    <x v="2"/>
    <x v="2"/>
    <x v="168"/>
    <x v="2"/>
    <x v="157"/>
    <x v="4"/>
    <x v="151"/>
    <x v="1"/>
    <x v="1"/>
    <x v="2"/>
    <x v="1"/>
    <x v="1"/>
    <x v="2"/>
    <x v="0"/>
    <x v="1"/>
    <x v="0"/>
    <x v="1"/>
  </r>
  <r>
    <x v="71"/>
    <x v="71"/>
    <x v="169"/>
    <x v="7"/>
    <x v="158"/>
    <x v="140"/>
    <x v="152"/>
    <x v="55"/>
    <x v="95"/>
    <x v="96"/>
    <x v="2"/>
    <x v="2"/>
    <x v="64"/>
    <x v="1"/>
    <x v="1"/>
    <x v="35"/>
    <x v="1"/>
  </r>
  <r>
    <x v="38"/>
    <x v="38"/>
    <x v="170"/>
    <x v="10"/>
    <x v="159"/>
    <x v="141"/>
    <x v="153"/>
    <x v="1"/>
    <x v="1"/>
    <x v="2"/>
    <x v="1"/>
    <x v="1"/>
    <x v="2"/>
    <x v="0"/>
    <x v="1"/>
    <x v="0"/>
    <x v="1"/>
  </r>
  <r>
    <x v="72"/>
    <x v="72"/>
    <x v="171"/>
    <x v="10"/>
    <x v="160"/>
    <x v="142"/>
    <x v="154"/>
    <x v="2"/>
    <x v="96"/>
    <x v="97"/>
    <x v="0"/>
    <x v="0"/>
    <x v="23"/>
    <x v="2"/>
    <x v="1"/>
    <x v="2"/>
    <x v="1"/>
  </r>
  <r>
    <x v="39"/>
    <x v="39"/>
    <x v="172"/>
    <x v="11"/>
    <x v="161"/>
    <x v="143"/>
    <x v="155"/>
    <x v="3"/>
    <x v="97"/>
    <x v="98"/>
    <x v="2"/>
    <x v="2"/>
    <x v="38"/>
    <x v="1"/>
    <x v="1"/>
    <x v="1"/>
    <x v="1"/>
  </r>
  <r>
    <x v="43"/>
    <x v="43"/>
    <x v="173"/>
    <x v="23"/>
    <x v="162"/>
    <x v="144"/>
    <x v="156"/>
    <x v="2"/>
    <x v="98"/>
    <x v="99"/>
    <x v="0"/>
    <x v="0"/>
    <x v="19"/>
    <x v="0"/>
    <x v="0"/>
    <x v="0"/>
    <x v="2"/>
  </r>
  <r>
    <x v="73"/>
    <x v="73"/>
    <x v="174"/>
    <x v="25"/>
    <x v="163"/>
    <x v="145"/>
    <x v="157"/>
    <x v="21"/>
    <x v="99"/>
    <x v="100"/>
    <x v="2"/>
    <x v="2"/>
    <x v="24"/>
    <x v="0"/>
    <x v="3"/>
    <x v="0"/>
    <x v="15"/>
  </r>
  <r>
    <x v="30"/>
    <x v="30"/>
    <x v="175"/>
    <x v="9"/>
    <x v="164"/>
    <x v="146"/>
    <x v="158"/>
    <x v="1"/>
    <x v="1"/>
    <x v="2"/>
    <x v="1"/>
    <x v="1"/>
    <x v="2"/>
    <x v="0"/>
    <x v="1"/>
    <x v="0"/>
    <x v="1"/>
  </r>
  <r>
    <x v="29"/>
    <x v="29"/>
    <x v="176"/>
    <x v="11"/>
    <x v="165"/>
    <x v="22"/>
    <x v="159"/>
    <x v="1"/>
    <x v="1"/>
    <x v="2"/>
    <x v="1"/>
    <x v="1"/>
    <x v="2"/>
    <x v="0"/>
    <x v="1"/>
    <x v="0"/>
    <x v="1"/>
  </r>
  <r>
    <x v="24"/>
    <x v="24"/>
    <x v="177"/>
    <x v="7"/>
    <x v="166"/>
    <x v="121"/>
    <x v="160"/>
    <x v="22"/>
    <x v="100"/>
    <x v="101"/>
    <x v="0"/>
    <x v="2"/>
    <x v="7"/>
    <x v="1"/>
    <x v="1"/>
    <x v="14"/>
    <x v="1"/>
  </r>
  <r>
    <x v="27"/>
    <x v="27"/>
    <x v="178"/>
    <x v="0"/>
    <x v="167"/>
    <x v="147"/>
    <x v="161"/>
    <x v="1"/>
    <x v="1"/>
    <x v="2"/>
    <x v="1"/>
    <x v="1"/>
    <x v="2"/>
    <x v="0"/>
    <x v="1"/>
    <x v="0"/>
    <x v="1"/>
  </r>
  <r>
    <x v="26"/>
    <x v="26"/>
    <x v="179"/>
    <x v="2"/>
    <x v="168"/>
    <x v="4"/>
    <x v="151"/>
    <x v="15"/>
    <x v="101"/>
    <x v="102"/>
    <x v="0"/>
    <x v="0"/>
    <x v="32"/>
    <x v="0"/>
    <x v="0"/>
    <x v="0"/>
    <x v="26"/>
  </r>
  <r>
    <x v="28"/>
    <x v="28"/>
    <x v="180"/>
    <x v="16"/>
    <x v="169"/>
    <x v="148"/>
    <x v="162"/>
    <x v="56"/>
    <x v="102"/>
    <x v="103"/>
    <x v="3"/>
    <x v="3"/>
    <x v="65"/>
    <x v="1"/>
    <x v="0"/>
    <x v="36"/>
    <x v="38"/>
  </r>
  <r>
    <x v="25"/>
    <x v="25"/>
    <x v="181"/>
    <x v="3"/>
    <x v="170"/>
    <x v="23"/>
    <x v="121"/>
    <x v="57"/>
    <x v="103"/>
    <x v="104"/>
    <x v="0"/>
    <x v="0"/>
    <x v="3"/>
    <x v="0"/>
    <x v="0"/>
    <x v="0"/>
    <x v="38"/>
  </r>
  <r>
    <x v="32"/>
    <x v="32"/>
    <x v="182"/>
    <x v="11"/>
    <x v="171"/>
    <x v="149"/>
    <x v="88"/>
    <x v="1"/>
    <x v="1"/>
    <x v="2"/>
    <x v="1"/>
    <x v="1"/>
    <x v="2"/>
    <x v="0"/>
    <x v="1"/>
    <x v="0"/>
    <x v="1"/>
  </r>
  <r>
    <x v="33"/>
    <x v="33"/>
    <x v="183"/>
    <x v="30"/>
    <x v="172"/>
    <x v="150"/>
    <x v="163"/>
    <x v="57"/>
    <x v="104"/>
    <x v="105"/>
    <x v="0"/>
    <x v="0"/>
    <x v="52"/>
    <x v="0"/>
    <x v="0"/>
    <x v="0"/>
    <x v="38"/>
  </r>
  <r>
    <x v="34"/>
    <x v="34"/>
    <x v="184"/>
    <x v="55"/>
    <x v="173"/>
    <x v="151"/>
    <x v="164"/>
    <x v="58"/>
    <x v="105"/>
    <x v="106"/>
    <x v="15"/>
    <x v="19"/>
    <x v="66"/>
    <x v="13"/>
    <x v="1"/>
    <x v="28"/>
    <x v="1"/>
  </r>
  <r>
    <x v="35"/>
    <x v="35"/>
    <x v="185"/>
    <x v="36"/>
    <x v="174"/>
    <x v="152"/>
    <x v="165"/>
    <x v="59"/>
    <x v="106"/>
    <x v="107"/>
    <x v="17"/>
    <x v="6"/>
    <x v="47"/>
    <x v="11"/>
    <x v="5"/>
    <x v="22"/>
    <x v="39"/>
  </r>
  <r>
    <x v="31"/>
    <x v="31"/>
    <x v="186"/>
    <x v="11"/>
    <x v="175"/>
    <x v="153"/>
    <x v="166"/>
    <x v="1"/>
    <x v="1"/>
    <x v="2"/>
    <x v="1"/>
    <x v="1"/>
    <x v="2"/>
    <x v="0"/>
    <x v="1"/>
    <x v="0"/>
    <x v="1"/>
  </r>
  <r>
    <x v="74"/>
    <x v="74"/>
    <x v="187"/>
    <x v="11"/>
    <x v="176"/>
    <x v="154"/>
    <x v="144"/>
    <x v="15"/>
    <x v="107"/>
    <x v="108"/>
    <x v="0"/>
    <x v="0"/>
    <x v="56"/>
    <x v="0"/>
    <x v="0"/>
    <x v="0"/>
    <x v="26"/>
  </r>
  <r>
    <x v="75"/>
    <x v="75"/>
    <x v="188"/>
    <x v="0"/>
    <x v="177"/>
    <x v="155"/>
    <x v="167"/>
    <x v="60"/>
    <x v="108"/>
    <x v="109"/>
    <x v="0"/>
    <x v="0"/>
    <x v="0"/>
    <x v="0"/>
    <x v="0"/>
    <x v="0"/>
    <x v="40"/>
  </r>
  <r>
    <x v="47"/>
    <x v="47"/>
    <x v="189"/>
    <x v="2"/>
    <x v="178"/>
    <x v="3"/>
    <x v="168"/>
    <x v="1"/>
    <x v="1"/>
    <x v="2"/>
    <x v="1"/>
    <x v="1"/>
    <x v="2"/>
    <x v="0"/>
    <x v="1"/>
    <x v="0"/>
    <x v="1"/>
  </r>
  <r>
    <x v="75"/>
    <x v="75"/>
    <x v="190"/>
    <x v="2"/>
    <x v="179"/>
    <x v="156"/>
    <x v="169"/>
    <x v="1"/>
    <x v="1"/>
    <x v="2"/>
    <x v="1"/>
    <x v="1"/>
    <x v="2"/>
    <x v="0"/>
    <x v="1"/>
    <x v="0"/>
    <x v="1"/>
  </r>
  <r>
    <x v="71"/>
    <x v="71"/>
    <x v="191"/>
    <x v="1"/>
    <x v="5"/>
    <x v="1"/>
    <x v="1"/>
    <x v="1"/>
    <x v="1"/>
    <x v="1"/>
    <x v="1"/>
    <x v="1"/>
    <x v="1"/>
    <x v="0"/>
    <x v="1"/>
    <x v="0"/>
    <x v="1"/>
  </r>
  <r>
    <x v="75"/>
    <x v="75"/>
    <x v="176"/>
    <x v="5"/>
    <x v="180"/>
    <x v="157"/>
    <x v="170"/>
    <x v="60"/>
    <x v="109"/>
    <x v="110"/>
    <x v="0"/>
    <x v="0"/>
    <x v="62"/>
    <x v="0"/>
    <x v="0"/>
    <x v="0"/>
    <x v="40"/>
  </r>
  <r>
    <x v="75"/>
    <x v="75"/>
    <x v="192"/>
    <x v="1"/>
    <x v="5"/>
    <x v="1"/>
    <x v="1"/>
    <x v="1"/>
    <x v="1"/>
    <x v="1"/>
    <x v="1"/>
    <x v="1"/>
    <x v="1"/>
    <x v="0"/>
    <x v="1"/>
    <x v="0"/>
    <x v="1"/>
  </r>
  <r>
    <x v="74"/>
    <x v="74"/>
    <x v="43"/>
    <x v="2"/>
    <x v="181"/>
    <x v="158"/>
    <x v="121"/>
    <x v="60"/>
    <x v="110"/>
    <x v="111"/>
    <x v="0"/>
    <x v="0"/>
    <x v="32"/>
    <x v="2"/>
    <x v="1"/>
    <x v="37"/>
    <x v="1"/>
  </r>
  <r>
    <x v="74"/>
    <x v="74"/>
    <x v="193"/>
    <x v="5"/>
    <x v="182"/>
    <x v="159"/>
    <x v="171"/>
    <x v="1"/>
    <x v="1"/>
    <x v="2"/>
    <x v="1"/>
    <x v="1"/>
    <x v="2"/>
    <x v="0"/>
    <x v="1"/>
    <x v="0"/>
    <x v="1"/>
  </r>
  <r>
    <x v="74"/>
    <x v="74"/>
    <x v="194"/>
    <x v="2"/>
    <x v="183"/>
    <x v="156"/>
    <x v="169"/>
    <x v="60"/>
    <x v="111"/>
    <x v="112"/>
    <x v="0"/>
    <x v="0"/>
    <x v="32"/>
    <x v="2"/>
    <x v="1"/>
    <x v="37"/>
    <x v="1"/>
  </r>
  <r>
    <x v="71"/>
    <x v="71"/>
    <x v="195"/>
    <x v="24"/>
    <x v="184"/>
    <x v="160"/>
    <x v="172"/>
    <x v="61"/>
    <x v="112"/>
    <x v="113"/>
    <x v="2"/>
    <x v="2"/>
    <x v="67"/>
    <x v="2"/>
    <x v="0"/>
    <x v="38"/>
    <x v="41"/>
  </r>
  <r>
    <x v="74"/>
    <x v="74"/>
    <x v="196"/>
    <x v="5"/>
    <x v="185"/>
    <x v="161"/>
    <x v="173"/>
    <x v="1"/>
    <x v="1"/>
    <x v="2"/>
    <x v="1"/>
    <x v="1"/>
    <x v="2"/>
    <x v="0"/>
    <x v="1"/>
    <x v="0"/>
    <x v="1"/>
  </r>
  <r>
    <x v="71"/>
    <x v="71"/>
    <x v="197"/>
    <x v="3"/>
    <x v="186"/>
    <x v="162"/>
    <x v="174"/>
    <x v="1"/>
    <x v="1"/>
    <x v="2"/>
    <x v="1"/>
    <x v="1"/>
    <x v="2"/>
    <x v="0"/>
    <x v="1"/>
    <x v="0"/>
    <x v="1"/>
  </r>
  <r>
    <x v="30"/>
    <x v="30"/>
    <x v="198"/>
    <x v="56"/>
    <x v="187"/>
    <x v="163"/>
    <x v="175"/>
    <x v="62"/>
    <x v="113"/>
    <x v="114"/>
    <x v="16"/>
    <x v="20"/>
    <x v="68"/>
    <x v="15"/>
    <x v="3"/>
    <x v="39"/>
    <x v="9"/>
  </r>
  <r>
    <x v="29"/>
    <x v="29"/>
    <x v="199"/>
    <x v="10"/>
    <x v="188"/>
    <x v="164"/>
    <x v="176"/>
    <x v="1"/>
    <x v="1"/>
    <x v="2"/>
    <x v="1"/>
    <x v="1"/>
    <x v="2"/>
    <x v="0"/>
    <x v="1"/>
    <x v="0"/>
    <x v="1"/>
  </r>
  <r>
    <x v="29"/>
    <x v="29"/>
    <x v="200"/>
    <x v="2"/>
    <x v="189"/>
    <x v="114"/>
    <x v="120"/>
    <x v="1"/>
    <x v="1"/>
    <x v="2"/>
    <x v="1"/>
    <x v="1"/>
    <x v="2"/>
    <x v="0"/>
    <x v="1"/>
    <x v="0"/>
    <x v="1"/>
  </r>
  <r>
    <x v="30"/>
    <x v="30"/>
    <x v="201"/>
    <x v="5"/>
    <x v="190"/>
    <x v="134"/>
    <x v="144"/>
    <x v="23"/>
    <x v="114"/>
    <x v="115"/>
    <x v="0"/>
    <x v="0"/>
    <x v="62"/>
    <x v="2"/>
    <x v="1"/>
    <x v="40"/>
    <x v="1"/>
  </r>
  <r>
    <x v="25"/>
    <x v="25"/>
    <x v="202"/>
    <x v="1"/>
    <x v="5"/>
    <x v="1"/>
    <x v="1"/>
    <x v="1"/>
    <x v="1"/>
    <x v="1"/>
    <x v="1"/>
    <x v="1"/>
    <x v="1"/>
    <x v="0"/>
    <x v="1"/>
    <x v="0"/>
    <x v="1"/>
  </r>
  <r>
    <x v="24"/>
    <x v="24"/>
    <x v="203"/>
    <x v="25"/>
    <x v="191"/>
    <x v="165"/>
    <x v="177"/>
    <x v="63"/>
    <x v="115"/>
    <x v="116"/>
    <x v="8"/>
    <x v="20"/>
    <x v="69"/>
    <x v="4"/>
    <x v="8"/>
    <x v="9"/>
    <x v="42"/>
  </r>
  <r>
    <x v="27"/>
    <x v="27"/>
    <x v="204"/>
    <x v="5"/>
    <x v="192"/>
    <x v="58"/>
    <x v="178"/>
    <x v="64"/>
    <x v="116"/>
    <x v="117"/>
    <x v="0"/>
    <x v="0"/>
    <x v="62"/>
    <x v="0"/>
    <x v="0"/>
    <x v="0"/>
    <x v="43"/>
  </r>
  <r>
    <x v="26"/>
    <x v="26"/>
    <x v="205"/>
    <x v="3"/>
    <x v="193"/>
    <x v="130"/>
    <x v="179"/>
    <x v="1"/>
    <x v="1"/>
    <x v="2"/>
    <x v="1"/>
    <x v="1"/>
    <x v="2"/>
    <x v="0"/>
    <x v="1"/>
    <x v="0"/>
    <x v="1"/>
  </r>
  <r>
    <x v="28"/>
    <x v="28"/>
    <x v="206"/>
    <x v="47"/>
    <x v="194"/>
    <x v="112"/>
    <x v="180"/>
    <x v="64"/>
    <x v="117"/>
    <x v="118"/>
    <x v="0"/>
    <x v="0"/>
    <x v="64"/>
    <x v="2"/>
    <x v="1"/>
    <x v="41"/>
    <x v="1"/>
  </r>
  <r>
    <x v="24"/>
    <x v="24"/>
    <x v="207"/>
    <x v="20"/>
    <x v="195"/>
    <x v="166"/>
    <x v="181"/>
    <x v="65"/>
    <x v="118"/>
    <x v="119"/>
    <x v="18"/>
    <x v="21"/>
    <x v="70"/>
    <x v="16"/>
    <x v="12"/>
    <x v="42"/>
    <x v="44"/>
  </r>
  <r>
    <x v="27"/>
    <x v="27"/>
    <x v="208"/>
    <x v="30"/>
    <x v="196"/>
    <x v="167"/>
    <x v="182"/>
    <x v="1"/>
    <x v="1"/>
    <x v="2"/>
    <x v="1"/>
    <x v="1"/>
    <x v="2"/>
    <x v="0"/>
    <x v="1"/>
    <x v="0"/>
    <x v="1"/>
  </r>
  <r>
    <x v="28"/>
    <x v="28"/>
    <x v="64"/>
    <x v="1"/>
    <x v="5"/>
    <x v="1"/>
    <x v="1"/>
    <x v="1"/>
    <x v="1"/>
    <x v="1"/>
    <x v="1"/>
    <x v="1"/>
    <x v="1"/>
    <x v="0"/>
    <x v="1"/>
    <x v="0"/>
    <x v="1"/>
  </r>
  <r>
    <x v="25"/>
    <x v="25"/>
    <x v="209"/>
    <x v="33"/>
    <x v="197"/>
    <x v="168"/>
    <x v="183"/>
    <x v="66"/>
    <x v="119"/>
    <x v="120"/>
    <x v="10"/>
    <x v="5"/>
    <x v="23"/>
    <x v="6"/>
    <x v="7"/>
    <x v="43"/>
    <x v="45"/>
  </r>
  <r>
    <x v="35"/>
    <x v="35"/>
    <x v="210"/>
    <x v="30"/>
    <x v="198"/>
    <x v="169"/>
    <x v="184"/>
    <x v="67"/>
    <x v="120"/>
    <x v="121"/>
    <x v="3"/>
    <x v="8"/>
    <x v="62"/>
    <x v="2"/>
    <x v="7"/>
    <x v="33"/>
    <x v="46"/>
  </r>
  <r>
    <x v="34"/>
    <x v="34"/>
    <x v="211"/>
    <x v="34"/>
    <x v="199"/>
    <x v="170"/>
    <x v="185"/>
    <x v="21"/>
    <x v="121"/>
    <x v="122"/>
    <x v="2"/>
    <x v="2"/>
    <x v="71"/>
    <x v="2"/>
    <x v="0"/>
    <x v="33"/>
    <x v="38"/>
  </r>
  <r>
    <x v="33"/>
    <x v="33"/>
    <x v="212"/>
    <x v="11"/>
    <x v="200"/>
    <x v="171"/>
    <x v="107"/>
    <x v="1"/>
    <x v="1"/>
    <x v="2"/>
    <x v="1"/>
    <x v="1"/>
    <x v="2"/>
    <x v="0"/>
    <x v="1"/>
    <x v="0"/>
    <x v="1"/>
  </r>
  <r>
    <x v="32"/>
    <x v="32"/>
    <x v="213"/>
    <x v="11"/>
    <x v="201"/>
    <x v="172"/>
    <x v="186"/>
    <x v="68"/>
    <x v="122"/>
    <x v="123"/>
    <x v="2"/>
    <x v="3"/>
    <x v="38"/>
    <x v="3"/>
    <x v="1"/>
    <x v="44"/>
    <x v="1"/>
  </r>
  <r>
    <x v="31"/>
    <x v="31"/>
    <x v="214"/>
    <x v="0"/>
    <x v="202"/>
    <x v="162"/>
    <x v="187"/>
    <x v="1"/>
    <x v="1"/>
    <x v="2"/>
    <x v="1"/>
    <x v="1"/>
    <x v="2"/>
    <x v="0"/>
    <x v="1"/>
    <x v="0"/>
    <x v="1"/>
  </r>
  <r>
    <x v="31"/>
    <x v="31"/>
    <x v="215"/>
    <x v="3"/>
    <x v="203"/>
    <x v="4"/>
    <x v="169"/>
    <x v="1"/>
    <x v="1"/>
    <x v="2"/>
    <x v="1"/>
    <x v="1"/>
    <x v="2"/>
    <x v="0"/>
    <x v="1"/>
    <x v="0"/>
    <x v="1"/>
  </r>
  <r>
    <x v="33"/>
    <x v="33"/>
    <x v="216"/>
    <x v="0"/>
    <x v="204"/>
    <x v="158"/>
    <x v="142"/>
    <x v="1"/>
    <x v="1"/>
    <x v="2"/>
    <x v="1"/>
    <x v="1"/>
    <x v="2"/>
    <x v="0"/>
    <x v="1"/>
    <x v="0"/>
    <x v="1"/>
  </r>
  <r>
    <x v="34"/>
    <x v="34"/>
    <x v="217"/>
    <x v="57"/>
    <x v="205"/>
    <x v="173"/>
    <x v="188"/>
    <x v="69"/>
    <x v="123"/>
    <x v="124"/>
    <x v="19"/>
    <x v="22"/>
    <x v="72"/>
    <x v="17"/>
    <x v="4"/>
    <x v="45"/>
    <x v="47"/>
  </r>
  <r>
    <x v="35"/>
    <x v="35"/>
    <x v="218"/>
    <x v="56"/>
    <x v="206"/>
    <x v="174"/>
    <x v="189"/>
    <x v="70"/>
    <x v="124"/>
    <x v="125"/>
    <x v="20"/>
    <x v="23"/>
    <x v="73"/>
    <x v="18"/>
    <x v="11"/>
    <x v="46"/>
    <x v="48"/>
  </r>
  <r>
    <x v="68"/>
    <x v="68"/>
    <x v="219"/>
    <x v="3"/>
    <x v="207"/>
    <x v="158"/>
    <x v="190"/>
    <x v="1"/>
    <x v="1"/>
    <x v="2"/>
    <x v="1"/>
    <x v="1"/>
    <x v="2"/>
    <x v="0"/>
    <x v="1"/>
    <x v="0"/>
    <x v="1"/>
  </r>
  <r>
    <x v="47"/>
    <x v="47"/>
    <x v="220"/>
    <x v="1"/>
    <x v="5"/>
    <x v="1"/>
    <x v="1"/>
    <x v="1"/>
    <x v="1"/>
    <x v="1"/>
    <x v="1"/>
    <x v="1"/>
    <x v="1"/>
    <x v="0"/>
    <x v="1"/>
    <x v="0"/>
    <x v="1"/>
  </r>
  <r>
    <x v="75"/>
    <x v="75"/>
    <x v="221"/>
    <x v="1"/>
    <x v="5"/>
    <x v="1"/>
    <x v="1"/>
    <x v="1"/>
    <x v="1"/>
    <x v="1"/>
    <x v="1"/>
    <x v="1"/>
    <x v="1"/>
    <x v="0"/>
    <x v="1"/>
    <x v="0"/>
    <x v="1"/>
  </r>
  <r>
    <x v="74"/>
    <x v="74"/>
    <x v="222"/>
    <x v="5"/>
    <x v="208"/>
    <x v="175"/>
    <x v="191"/>
    <x v="1"/>
    <x v="1"/>
    <x v="2"/>
    <x v="1"/>
    <x v="1"/>
    <x v="2"/>
    <x v="0"/>
    <x v="1"/>
    <x v="0"/>
    <x v="1"/>
  </r>
  <r>
    <x v="71"/>
    <x v="71"/>
    <x v="223"/>
    <x v="3"/>
    <x v="209"/>
    <x v="176"/>
    <x v="192"/>
    <x v="1"/>
    <x v="1"/>
    <x v="2"/>
    <x v="1"/>
    <x v="1"/>
    <x v="2"/>
    <x v="0"/>
    <x v="1"/>
    <x v="0"/>
    <x v="1"/>
  </r>
  <r>
    <x v="76"/>
    <x v="76"/>
    <x v="224"/>
    <x v="45"/>
    <x v="210"/>
    <x v="177"/>
    <x v="193"/>
    <x v="71"/>
    <x v="125"/>
    <x v="126"/>
    <x v="0"/>
    <x v="2"/>
    <x v="74"/>
    <x v="1"/>
    <x v="1"/>
    <x v="47"/>
    <x v="1"/>
  </r>
  <r>
    <x v="76"/>
    <x v="76"/>
    <x v="225"/>
    <x v="45"/>
    <x v="211"/>
    <x v="178"/>
    <x v="194"/>
    <x v="72"/>
    <x v="126"/>
    <x v="127"/>
    <x v="0"/>
    <x v="0"/>
    <x v="74"/>
    <x v="2"/>
    <x v="1"/>
    <x v="48"/>
    <x v="1"/>
  </r>
  <r>
    <x v="76"/>
    <x v="76"/>
    <x v="226"/>
    <x v="2"/>
    <x v="212"/>
    <x v="179"/>
    <x v="113"/>
    <x v="1"/>
    <x v="1"/>
    <x v="2"/>
    <x v="1"/>
    <x v="1"/>
    <x v="2"/>
    <x v="0"/>
    <x v="1"/>
    <x v="0"/>
    <x v="1"/>
  </r>
  <r>
    <x v="77"/>
    <x v="77"/>
    <x v="227"/>
    <x v="58"/>
    <x v="213"/>
    <x v="180"/>
    <x v="195"/>
    <x v="73"/>
    <x v="127"/>
    <x v="128"/>
    <x v="2"/>
    <x v="2"/>
    <x v="75"/>
    <x v="1"/>
    <x v="1"/>
    <x v="49"/>
    <x v="1"/>
  </r>
  <r>
    <x v="78"/>
    <x v="78"/>
    <x v="228"/>
    <x v="59"/>
    <x v="214"/>
    <x v="181"/>
    <x v="196"/>
    <x v="74"/>
    <x v="128"/>
    <x v="129"/>
    <x v="10"/>
    <x v="10"/>
    <x v="19"/>
    <x v="3"/>
    <x v="7"/>
    <x v="50"/>
    <x v="49"/>
  </r>
  <r>
    <x v="77"/>
    <x v="77"/>
    <x v="229"/>
    <x v="23"/>
    <x v="215"/>
    <x v="182"/>
    <x v="197"/>
    <x v="75"/>
    <x v="129"/>
    <x v="130"/>
    <x v="0"/>
    <x v="0"/>
    <x v="19"/>
    <x v="2"/>
    <x v="1"/>
    <x v="51"/>
    <x v="1"/>
  </r>
  <r>
    <x v="79"/>
    <x v="79"/>
    <x v="230"/>
    <x v="60"/>
    <x v="216"/>
    <x v="183"/>
    <x v="198"/>
    <x v="76"/>
    <x v="130"/>
    <x v="131"/>
    <x v="4"/>
    <x v="4"/>
    <x v="19"/>
    <x v="1"/>
    <x v="7"/>
    <x v="52"/>
    <x v="50"/>
  </r>
  <r>
    <x v="68"/>
    <x v="68"/>
    <x v="231"/>
    <x v="1"/>
    <x v="5"/>
    <x v="1"/>
    <x v="1"/>
    <x v="1"/>
    <x v="1"/>
    <x v="1"/>
    <x v="1"/>
    <x v="1"/>
    <x v="1"/>
    <x v="0"/>
    <x v="1"/>
    <x v="0"/>
    <x v="1"/>
  </r>
  <r>
    <x v="68"/>
    <x v="68"/>
    <x v="232"/>
    <x v="47"/>
    <x v="217"/>
    <x v="44"/>
    <x v="199"/>
    <x v="1"/>
    <x v="1"/>
    <x v="2"/>
    <x v="1"/>
    <x v="1"/>
    <x v="2"/>
    <x v="0"/>
    <x v="1"/>
    <x v="0"/>
    <x v="1"/>
  </r>
  <r>
    <x v="77"/>
    <x v="77"/>
    <x v="233"/>
    <x v="5"/>
    <x v="218"/>
    <x v="184"/>
    <x v="200"/>
    <x v="1"/>
    <x v="1"/>
    <x v="2"/>
    <x v="1"/>
    <x v="1"/>
    <x v="2"/>
    <x v="0"/>
    <x v="1"/>
    <x v="0"/>
    <x v="1"/>
  </r>
  <r>
    <x v="77"/>
    <x v="77"/>
    <x v="234"/>
    <x v="46"/>
    <x v="219"/>
    <x v="185"/>
    <x v="201"/>
    <x v="77"/>
    <x v="131"/>
    <x v="132"/>
    <x v="4"/>
    <x v="19"/>
    <x v="71"/>
    <x v="13"/>
    <x v="1"/>
    <x v="53"/>
    <x v="1"/>
  </r>
  <r>
    <x v="77"/>
    <x v="77"/>
    <x v="235"/>
    <x v="56"/>
    <x v="220"/>
    <x v="186"/>
    <x v="202"/>
    <x v="78"/>
    <x v="132"/>
    <x v="133"/>
    <x v="13"/>
    <x v="18"/>
    <x v="76"/>
    <x v="19"/>
    <x v="1"/>
    <x v="54"/>
    <x v="1"/>
  </r>
  <r>
    <x v="77"/>
    <x v="77"/>
    <x v="236"/>
    <x v="8"/>
    <x v="221"/>
    <x v="187"/>
    <x v="203"/>
    <x v="1"/>
    <x v="1"/>
    <x v="2"/>
    <x v="1"/>
    <x v="1"/>
    <x v="2"/>
    <x v="0"/>
    <x v="1"/>
    <x v="0"/>
    <x v="1"/>
  </r>
  <r>
    <x v="76"/>
    <x v="76"/>
    <x v="237"/>
    <x v="5"/>
    <x v="222"/>
    <x v="188"/>
    <x v="204"/>
    <x v="1"/>
    <x v="1"/>
    <x v="2"/>
    <x v="1"/>
    <x v="1"/>
    <x v="2"/>
    <x v="0"/>
    <x v="1"/>
    <x v="0"/>
    <x v="1"/>
  </r>
  <r>
    <x v="76"/>
    <x v="76"/>
    <x v="238"/>
    <x v="20"/>
    <x v="223"/>
    <x v="189"/>
    <x v="205"/>
    <x v="79"/>
    <x v="133"/>
    <x v="134"/>
    <x v="8"/>
    <x v="4"/>
    <x v="77"/>
    <x v="4"/>
    <x v="0"/>
    <x v="55"/>
    <x v="51"/>
  </r>
  <r>
    <x v="80"/>
    <x v="80"/>
    <x v="239"/>
    <x v="61"/>
    <x v="224"/>
    <x v="190"/>
    <x v="206"/>
    <x v="80"/>
    <x v="134"/>
    <x v="135"/>
    <x v="3"/>
    <x v="3"/>
    <x v="78"/>
    <x v="3"/>
    <x v="1"/>
    <x v="56"/>
    <x v="1"/>
  </r>
  <r>
    <x v="81"/>
    <x v="81"/>
    <x v="240"/>
    <x v="62"/>
    <x v="225"/>
    <x v="191"/>
    <x v="207"/>
    <x v="81"/>
    <x v="135"/>
    <x v="136"/>
    <x v="15"/>
    <x v="13"/>
    <x v="79"/>
    <x v="6"/>
    <x v="3"/>
    <x v="57"/>
    <x v="52"/>
  </r>
  <r>
    <x v="82"/>
    <x v="82"/>
    <x v="241"/>
    <x v="0"/>
    <x v="226"/>
    <x v="65"/>
    <x v="208"/>
    <x v="1"/>
    <x v="1"/>
    <x v="2"/>
    <x v="1"/>
    <x v="1"/>
    <x v="2"/>
    <x v="0"/>
    <x v="1"/>
    <x v="0"/>
    <x v="1"/>
  </r>
  <r>
    <x v="83"/>
    <x v="83"/>
    <x v="242"/>
    <x v="45"/>
    <x v="227"/>
    <x v="192"/>
    <x v="209"/>
    <x v="82"/>
    <x v="136"/>
    <x v="137"/>
    <x v="3"/>
    <x v="3"/>
    <x v="80"/>
    <x v="0"/>
    <x v="7"/>
    <x v="0"/>
    <x v="53"/>
  </r>
  <r>
    <x v="84"/>
    <x v="84"/>
    <x v="243"/>
    <x v="63"/>
    <x v="228"/>
    <x v="193"/>
    <x v="210"/>
    <x v="83"/>
    <x v="137"/>
    <x v="138"/>
    <x v="4"/>
    <x v="4"/>
    <x v="81"/>
    <x v="6"/>
    <x v="1"/>
    <x v="58"/>
    <x v="1"/>
  </r>
  <r>
    <x v="78"/>
    <x v="78"/>
    <x v="244"/>
    <x v="1"/>
    <x v="5"/>
    <x v="1"/>
    <x v="1"/>
    <x v="1"/>
    <x v="1"/>
    <x v="1"/>
    <x v="1"/>
    <x v="1"/>
    <x v="1"/>
    <x v="0"/>
    <x v="1"/>
    <x v="0"/>
    <x v="1"/>
  </r>
  <r>
    <x v="85"/>
    <x v="85"/>
    <x v="245"/>
    <x v="64"/>
    <x v="229"/>
    <x v="194"/>
    <x v="211"/>
    <x v="84"/>
    <x v="138"/>
    <x v="139"/>
    <x v="7"/>
    <x v="19"/>
    <x v="82"/>
    <x v="3"/>
    <x v="11"/>
    <x v="59"/>
    <x v="54"/>
  </r>
  <r>
    <x v="86"/>
    <x v="86"/>
    <x v="246"/>
    <x v="65"/>
    <x v="230"/>
    <x v="195"/>
    <x v="212"/>
    <x v="85"/>
    <x v="139"/>
    <x v="140"/>
    <x v="3"/>
    <x v="3"/>
    <x v="30"/>
    <x v="2"/>
    <x v="3"/>
    <x v="48"/>
    <x v="55"/>
  </r>
  <r>
    <x v="87"/>
    <x v="87"/>
    <x v="247"/>
    <x v="65"/>
    <x v="231"/>
    <x v="196"/>
    <x v="213"/>
    <x v="86"/>
    <x v="140"/>
    <x v="141"/>
    <x v="2"/>
    <x v="2"/>
    <x v="83"/>
    <x v="0"/>
    <x v="3"/>
    <x v="0"/>
    <x v="56"/>
  </r>
  <r>
    <x v="85"/>
    <x v="85"/>
    <x v="99"/>
    <x v="6"/>
    <x v="232"/>
    <x v="197"/>
    <x v="214"/>
    <x v="1"/>
    <x v="1"/>
    <x v="2"/>
    <x v="1"/>
    <x v="1"/>
    <x v="2"/>
    <x v="0"/>
    <x v="1"/>
    <x v="0"/>
    <x v="1"/>
  </r>
  <r>
    <x v="82"/>
    <x v="82"/>
    <x v="248"/>
    <x v="38"/>
    <x v="233"/>
    <x v="198"/>
    <x v="215"/>
    <x v="1"/>
    <x v="1"/>
    <x v="2"/>
    <x v="1"/>
    <x v="1"/>
    <x v="2"/>
    <x v="0"/>
    <x v="1"/>
    <x v="0"/>
    <x v="1"/>
  </r>
  <r>
    <x v="85"/>
    <x v="85"/>
    <x v="249"/>
    <x v="33"/>
    <x v="234"/>
    <x v="199"/>
    <x v="216"/>
    <x v="87"/>
    <x v="141"/>
    <x v="142"/>
    <x v="0"/>
    <x v="0"/>
    <x v="84"/>
    <x v="0"/>
    <x v="0"/>
    <x v="0"/>
    <x v="57"/>
  </r>
  <r>
    <x v="84"/>
    <x v="84"/>
    <x v="250"/>
    <x v="9"/>
    <x v="235"/>
    <x v="200"/>
    <x v="68"/>
    <x v="88"/>
    <x v="142"/>
    <x v="143"/>
    <x v="2"/>
    <x v="2"/>
    <x v="85"/>
    <x v="0"/>
    <x v="3"/>
    <x v="0"/>
    <x v="58"/>
  </r>
  <r>
    <x v="88"/>
    <x v="88"/>
    <x v="251"/>
    <x v="36"/>
    <x v="236"/>
    <x v="201"/>
    <x v="217"/>
    <x v="1"/>
    <x v="1"/>
    <x v="2"/>
    <x v="1"/>
    <x v="1"/>
    <x v="2"/>
    <x v="0"/>
    <x v="1"/>
    <x v="0"/>
    <x v="1"/>
  </r>
  <r>
    <x v="80"/>
    <x v="80"/>
    <x v="252"/>
    <x v="24"/>
    <x v="237"/>
    <x v="202"/>
    <x v="218"/>
    <x v="1"/>
    <x v="1"/>
    <x v="2"/>
    <x v="1"/>
    <x v="1"/>
    <x v="2"/>
    <x v="0"/>
    <x v="1"/>
    <x v="0"/>
    <x v="1"/>
  </r>
  <r>
    <x v="81"/>
    <x v="81"/>
    <x v="253"/>
    <x v="28"/>
    <x v="238"/>
    <x v="203"/>
    <x v="219"/>
    <x v="89"/>
    <x v="143"/>
    <x v="144"/>
    <x v="0"/>
    <x v="2"/>
    <x v="86"/>
    <x v="1"/>
    <x v="1"/>
    <x v="60"/>
    <x v="1"/>
  </r>
  <r>
    <x v="89"/>
    <x v="89"/>
    <x v="254"/>
    <x v="47"/>
    <x v="239"/>
    <x v="204"/>
    <x v="220"/>
    <x v="1"/>
    <x v="1"/>
    <x v="2"/>
    <x v="1"/>
    <x v="1"/>
    <x v="2"/>
    <x v="0"/>
    <x v="1"/>
    <x v="0"/>
    <x v="1"/>
  </r>
  <r>
    <x v="90"/>
    <x v="90"/>
    <x v="255"/>
    <x v="65"/>
    <x v="240"/>
    <x v="205"/>
    <x v="221"/>
    <x v="90"/>
    <x v="144"/>
    <x v="145"/>
    <x v="2"/>
    <x v="3"/>
    <x v="83"/>
    <x v="1"/>
    <x v="0"/>
    <x v="47"/>
    <x v="59"/>
  </r>
  <r>
    <x v="91"/>
    <x v="91"/>
    <x v="256"/>
    <x v="65"/>
    <x v="241"/>
    <x v="206"/>
    <x v="222"/>
    <x v="52"/>
    <x v="145"/>
    <x v="146"/>
    <x v="0"/>
    <x v="0"/>
    <x v="87"/>
    <x v="0"/>
    <x v="0"/>
    <x v="0"/>
    <x v="59"/>
  </r>
  <r>
    <x v="90"/>
    <x v="90"/>
    <x v="257"/>
    <x v="13"/>
    <x v="242"/>
    <x v="207"/>
    <x v="223"/>
    <x v="1"/>
    <x v="1"/>
    <x v="2"/>
    <x v="1"/>
    <x v="1"/>
    <x v="2"/>
    <x v="0"/>
    <x v="1"/>
    <x v="0"/>
    <x v="1"/>
  </r>
  <r>
    <x v="78"/>
    <x v="78"/>
    <x v="258"/>
    <x v="38"/>
    <x v="243"/>
    <x v="208"/>
    <x v="224"/>
    <x v="52"/>
    <x v="146"/>
    <x v="147"/>
    <x v="0"/>
    <x v="0"/>
    <x v="75"/>
    <x v="0"/>
    <x v="0"/>
    <x v="0"/>
    <x v="59"/>
  </r>
  <r>
    <x v="79"/>
    <x v="79"/>
    <x v="259"/>
    <x v="33"/>
    <x v="244"/>
    <x v="209"/>
    <x v="225"/>
    <x v="91"/>
    <x v="147"/>
    <x v="148"/>
    <x v="8"/>
    <x v="8"/>
    <x v="33"/>
    <x v="2"/>
    <x v="7"/>
    <x v="32"/>
    <x v="49"/>
  </r>
  <r>
    <x v="82"/>
    <x v="82"/>
    <x v="260"/>
    <x v="30"/>
    <x v="245"/>
    <x v="210"/>
    <x v="226"/>
    <x v="1"/>
    <x v="1"/>
    <x v="2"/>
    <x v="1"/>
    <x v="1"/>
    <x v="2"/>
    <x v="0"/>
    <x v="1"/>
    <x v="0"/>
    <x v="1"/>
  </r>
  <r>
    <x v="83"/>
    <x v="83"/>
    <x v="261"/>
    <x v="2"/>
    <x v="246"/>
    <x v="211"/>
    <x v="167"/>
    <x v="1"/>
    <x v="1"/>
    <x v="2"/>
    <x v="1"/>
    <x v="1"/>
    <x v="2"/>
    <x v="0"/>
    <x v="1"/>
    <x v="0"/>
    <x v="1"/>
  </r>
  <r>
    <x v="82"/>
    <x v="82"/>
    <x v="262"/>
    <x v="8"/>
    <x v="247"/>
    <x v="212"/>
    <x v="41"/>
    <x v="87"/>
    <x v="148"/>
    <x v="149"/>
    <x v="0"/>
    <x v="0"/>
    <x v="21"/>
    <x v="2"/>
    <x v="1"/>
    <x v="61"/>
    <x v="1"/>
  </r>
  <r>
    <x v="83"/>
    <x v="83"/>
    <x v="263"/>
    <x v="55"/>
    <x v="248"/>
    <x v="213"/>
    <x v="227"/>
    <x v="87"/>
    <x v="149"/>
    <x v="150"/>
    <x v="0"/>
    <x v="0"/>
    <x v="88"/>
    <x v="0"/>
    <x v="0"/>
    <x v="0"/>
    <x v="57"/>
  </r>
  <r>
    <x v="92"/>
    <x v="92"/>
    <x v="264"/>
    <x v="1"/>
    <x v="5"/>
    <x v="1"/>
    <x v="1"/>
    <x v="1"/>
    <x v="1"/>
    <x v="1"/>
    <x v="1"/>
    <x v="1"/>
    <x v="1"/>
    <x v="0"/>
    <x v="1"/>
    <x v="0"/>
    <x v="1"/>
  </r>
  <r>
    <x v="93"/>
    <x v="93"/>
    <x v="265"/>
    <x v="2"/>
    <x v="249"/>
    <x v="214"/>
    <x v="228"/>
    <x v="1"/>
    <x v="1"/>
    <x v="2"/>
    <x v="1"/>
    <x v="1"/>
    <x v="2"/>
    <x v="0"/>
    <x v="1"/>
    <x v="0"/>
    <x v="1"/>
  </r>
  <r>
    <x v="94"/>
    <x v="94"/>
    <x v="266"/>
    <x v="9"/>
    <x v="250"/>
    <x v="215"/>
    <x v="229"/>
    <x v="1"/>
    <x v="1"/>
    <x v="2"/>
    <x v="1"/>
    <x v="1"/>
    <x v="2"/>
    <x v="0"/>
    <x v="1"/>
    <x v="0"/>
    <x v="1"/>
  </r>
  <r>
    <x v="95"/>
    <x v="95"/>
    <x v="267"/>
    <x v="1"/>
    <x v="5"/>
    <x v="1"/>
    <x v="1"/>
    <x v="1"/>
    <x v="1"/>
    <x v="1"/>
    <x v="1"/>
    <x v="1"/>
    <x v="1"/>
    <x v="0"/>
    <x v="1"/>
    <x v="0"/>
    <x v="1"/>
  </r>
  <r>
    <x v="96"/>
    <x v="96"/>
    <x v="268"/>
    <x v="2"/>
    <x v="251"/>
    <x v="216"/>
    <x v="159"/>
    <x v="1"/>
    <x v="1"/>
    <x v="2"/>
    <x v="1"/>
    <x v="1"/>
    <x v="2"/>
    <x v="0"/>
    <x v="1"/>
    <x v="0"/>
    <x v="1"/>
  </r>
  <r>
    <x v="97"/>
    <x v="97"/>
    <x v="269"/>
    <x v="5"/>
    <x v="252"/>
    <x v="217"/>
    <x v="160"/>
    <x v="1"/>
    <x v="1"/>
    <x v="2"/>
    <x v="1"/>
    <x v="1"/>
    <x v="2"/>
    <x v="0"/>
    <x v="1"/>
    <x v="0"/>
    <x v="1"/>
  </r>
  <r>
    <x v="92"/>
    <x v="92"/>
    <x v="270"/>
    <x v="2"/>
    <x v="190"/>
    <x v="218"/>
    <x v="230"/>
    <x v="1"/>
    <x v="1"/>
    <x v="2"/>
    <x v="1"/>
    <x v="1"/>
    <x v="2"/>
    <x v="0"/>
    <x v="1"/>
    <x v="0"/>
    <x v="1"/>
  </r>
  <r>
    <x v="93"/>
    <x v="93"/>
    <x v="3"/>
    <x v="1"/>
    <x v="5"/>
    <x v="1"/>
    <x v="1"/>
    <x v="1"/>
    <x v="1"/>
    <x v="1"/>
    <x v="1"/>
    <x v="1"/>
    <x v="1"/>
    <x v="0"/>
    <x v="1"/>
    <x v="0"/>
    <x v="1"/>
  </r>
  <r>
    <x v="94"/>
    <x v="94"/>
    <x v="271"/>
    <x v="25"/>
    <x v="253"/>
    <x v="219"/>
    <x v="231"/>
    <x v="1"/>
    <x v="1"/>
    <x v="2"/>
    <x v="1"/>
    <x v="1"/>
    <x v="2"/>
    <x v="0"/>
    <x v="1"/>
    <x v="0"/>
    <x v="1"/>
  </r>
  <r>
    <x v="95"/>
    <x v="95"/>
    <x v="188"/>
    <x v="2"/>
    <x v="254"/>
    <x v="220"/>
    <x v="73"/>
    <x v="1"/>
    <x v="1"/>
    <x v="2"/>
    <x v="1"/>
    <x v="1"/>
    <x v="2"/>
    <x v="0"/>
    <x v="1"/>
    <x v="0"/>
    <x v="1"/>
  </r>
  <r>
    <x v="96"/>
    <x v="96"/>
    <x v="272"/>
    <x v="0"/>
    <x v="255"/>
    <x v="221"/>
    <x v="232"/>
    <x v="1"/>
    <x v="1"/>
    <x v="2"/>
    <x v="1"/>
    <x v="1"/>
    <x v="2"/>
    <x v="0"/>
    <x v="1"/>
    <x v="0"/>
    <x v="1"/>
  </r>
  <r>
    <x v="97"/>
    <x v="97"/>
    <x v="273"/>
    <x v="11"/>
    <x v="256"/>
    <x v="222"/>
    <x v="233"/>
    <x v="1"/>
    <x v="1"/>
    <x v="2"/>
    <x v="1"/>
    <x v="1"/>
    <x v="2"/>
    <x v="0"/>
    <x v="1"/>
    <x v="0"/>
    <x v="1"/>
  </r>
  <r>
    <x v="92"/>
    <x v="92"/>
    <x v="274"/>
    <x v="2"/>
    <x v="257"/>
    <x v="223"/>
    <x v="35"/>
    <x v="1"/>
    <x v="1"/>
    <x v="2"/>
    <x v="1"/>
    <x v="1"/>
    <x v="2"/>
    <x v="0"/>
    <x v="1"/>
    <x v="0"/>
    <x v="1"/>
  </r>
  <r>
    <x v="93"/>
    <x v="93"/>
    <x v="275"/>
    <x v="0"/>
    <x v="258"/>
    <x v="224"/>
    <x v="234"/>
    <x v="1"/>
    <x v="1"/>
    <x v="2"/>
    <x v="1"/>
    <x v="1"/>
    <x v="2"/>
    <x v="0"/>
    <x v="1"/>
    <x v="0"/>
    <x v="1"/>
  </r>
  <r>
    <x v="94"/>
    <x v="94"/>
    <x v="276"/>
    <x v="22"/>
    <x v="259"/>
    <x v="225"/>
    <x v="235"/>
    <x v="1"/>
    <x v="1"/>
    <x v="2"/>
    <x v="1"/>
    <x v="1"/>
    <x v="2"/>
    <x v="0"/>
    <x v="1"/>
    <x v="0"/>
    <x v="1"/>
  </r>
  <r>
    <x v="95"/>
    <x v="95"/>
    <x v="277"/>
    <x v="1"/>
    <x v="5"/>
    <x v="1"/>
    <x v="1"/>
    <x v="1"/>
    <x v="1"/>
    <x v="1"/>
    <x v="1"/>
    <x v="1"/>
    <x v="1"/>
    <x v="0"/>
    <x v="1"/>
    <x v="0"/>
    <x v="1"/>
  </r>
  <r>
    <x v="96"/>
    <x v="96"/>
    <x v="278"/>
    <x v="2"/>
    <x v="260"/>
    <x v="161"/>
    <x v="236"/>
    <x v="1"/>
    <x v="1"/>
    <x v="2"/>
    <x v="1"/>
    <x v="1"/>
    <x v="2"/>
    <x v="0"/>
    <x v="1"/>
    <x v="0"/>
    <x v="1"/>
  </r>
  <r>
    <x v="97"/>
    <x v="97"/>
    <x v="279"/>
    <x v="12"/>
    <x v="261"/>
    <x v="226"/>
    <x v="237"/>
    <x v="1"/>
    <x v="1"/>
    <x v="2"/>
    <x v="1"/>
    <x v="1"/>
    <x v="2"/>
    <x v="0"/>
    <x v="1"/>
    <x v="0"/>
    <x v="1"/>
  </r>
  <r>
    <x v="88"/>
    <x v="88"/>
    <x v="280"/>
    <x v="23"/>
    <x v="262"/>
    <x v="227"/>
    <x v="238"/>
    <x v="1"/>
    <x v="1"/>
    <x v="2"/>
    <x v="1"/>
    <x v="1"/>
    <x v="2"/>
    <x v="0"/>
    <x v="1"/>
    <x v="0"/>
    <x v="1"/>
  </r>
  <r>
    <x v="89"/>
    <x v="89"/>
    <x v="281"/>
    <x v="25"/>
    <x v="263"/>
    <x v="228"/>
    <x v="239"/>
    <x v="1"/>
    <x v="1"/>
    <x v="2"/>
    <x v="1"/>
    <x v="1"/>
    <x v="2"/>
    <x v="0"/>
    <x v="1"/>
    <x v="0"/>
    <x v="1"/>
  </r>
  <r>
    <x v="91"/>
    <x v="91"/>
    <x v="282"/>
    <x v="38"/>
    <x v="264"/>
    <x v="229"/>
    <x v="240"/>
    <x v="1"/>
    <x v="1"/>
    <x v="2"/>
    <x v="1"/>
    <x v="1"/>
    <x v="2"/>
    <x v="0"/>
    <x v="1"/>
    <x v="0"/>
    <x v="1"/>
  </r>
  <r>
    <x v="98"/>
    <x v="98"/>
    <x v="283"/>
    <x v="1"/>
    <x v="5"/>
    <x v="1"/>
    <x v="1"/>
    <x v="1"/>
    <x v="1"/>
    <x v="1"/>
    <x v="1"/>
    <x v="1"/>
    <x v="1"/>
    <x v="0"/>
    <x v="1"/>
    <x v="0"/>
    <x v="1"/>
  </r>
  <r>
    <x v="99"/>
    <x v="99"/>
    <x v="284"/>
    <x v="0"/>
    <x v="265"/>
    <x v="230"/>
    <x v="241"/>
    <x v="1"/>
    <x v="1"/>
    <x v="2"/>
    <x v="1"/>
    <x v="1"/>
    <x v="2"/>
    <x v="0"/>
    <x v="1"/>
    <x v="0"/>
    <x v="1"/>
  </r>
  <r>
    <x v="100"/>
    <x v="100"/>
    <x v="285"/>
    <x v="1"/>
    <x v="5"/>
    <x v="1"/>
    <x v="1"/>
    <x v="1"/>
    <x v="1"/>
    <x v="1"/>
    <x v="1"/>
    <x v="1"/>
    <x v="1"/>
    <x v="0"/>
    <x v="1"/>
    <x v="0"/>
    <x v="1"/>
  </r>
  <r>
    <x v="101"/>
    <x v="101"/>
    <x v="286"/>
    <x v="12"/>
    <x v="266"/>
    <x v="231"/>
    <x v="242"/>
    <x v="1"/>
    <x v="1"/>
    <x v="2"/>
    <x v="1"/>
    <x v="1"/>
    <x v="2"/>
    <x v="0"/>
    <x v="1"/>
    <x v="0"/>
    <x v="1"/>
  </r>
  <r>
    <x v="100"/>
    <x v="100"/>
    <x v="287"/>
    <x v="2"/>
    <x v="267"/>
    <x v="232"/>
    <x v="243"/>
    <x v="1"/>
    <x v="1"/>
    <x v="2"/>
    <x v="1"/>
    <x v="1"/>
    <x v="2"/>
    <x v="0"/>
    <x v="1"/>
    <x v="0"/>
    <x v="1"/>
  </r>
  <r>
    <x v="101"/>
    <x v="101"/>
    <x v="288"/>
    <x v="3"/>
    <x v="268"/>
    <x v="233"/>
    <x v="244"/>
    <x v="1"/>
    <x v="1"/>
    <x v="2"/>
    <x v="1"/>
    <x v="1"/>
    <x v="2"/>
    <x v="0"/>
    <x v="1"/>
    <x v="0"/>
    <x v="1"/>
  </r>
  <r>
    <x v="88"/>
    <x v="88"/>
    <x v="289"/>
    <x v="1"/>
    <x v="5"/>
    <x v="1"/>
    <x v="1"/>
    <x v="1"/>
    <x v="1"/>
    <x v="1"/>
    <x v="1"/>
    <x v="1"/>
    <x v="1"/>
    <x v="0"/>
    <x v="1"/>
    <x v="0"/>
    <x v="1"/>
  </r>
  <r>
    <x v="80"/>
    <x v="80"/>
    <x v="290"/>
    <x v="1"/>
    <x v="5"/>
    <x v="1"/>
    <x v="1"/>
    <x v="1"/>
    <x v="1"/>
    <x v="1"/>
    <x v="1"/>
    <x v="1"/>
    <x v="1"/>
    <x v="0"/>
    <x v="1"/>
    <x v="0"/>
    <x v="1"/>
  </r>
  <r>
    <x v="99"/>
    <x v="99"/>
    <x v="27"/>
    <x v="1"/>
    <x v="5"/>
    <x v="1"/>
    <x v="1"/>
    <x v="1"/>
    <x v="1"/>
    <x v="1"/>
    <x v="1"/>
    <x v="1"/>
    <x v="1"/>
    <x v="0"/>
    <x v="1"/>
    <x v="0"/>
    <x v="1"/>
  </r>
  <r>
    <x v="98"/>
    <x v="98"/>
    <x v="59"/>
    <x v="1"/>
    <x v="5"/>
    <x v="1"/>
    <x v="1"/>
    <x v="1"/>
    <x v="1"/>
    <x v="1"/>
    <x v="1"/>
    <x v="1"/>
    <x v="1"/>
    <x v="0"/>
    <x v="1"/>
    <x v="0"/>
    <x v="1"/>
  </r>
  <r>
    <x v="102"/>
    <x v="102"/>
    <x v="291"/>
    <x v="2"/>
    <x v="269"/>
    <x v="234"/>
    <x v="111"/>
    <x v="1"/>
    <x v="1"/>
    <x v="2"/>
    <x v="1"/>
    <x v="1"/>
    <x v="2"/>
    <x v="0"/>
    <x v="1"/>
    <x v="0"/>
    <x v="1"/>
  </r>
  <r>
    <x v="103"/>
    <x v="103"/>
    <x v="292"/>
    <x v="1"/>
    <x v="5"/>
    <x v="1"/>
    <x v="1"/>
    <x v="1"/>
    <x v="1"/>
    <x v="1"/>
    <x v="1"/>
    <x v="1"/>
    <x v="1"/>
    <x v="0"/>
    <x v="1"/>
    <x v="0"/>
    <x v="1"/>
  </r>
  <r>
    <x v="104"/>
    <x v="104"/>
    <x v="293"/>
    <x v="3"/>
    <x v="270"/>
    <x v="235"/>
    <x v="245"/>
    <x v="1"/>
    <x v="1"/>
    <x v="2"/>
    <x v="1"/>
    <x v="1"/>
    <x v="2"/>
    <x v="0"/>
    <x v="1"/>
    <x v="0"/>
    <x v="1"/>
  </r>
  <r>
    <x v="105"/>
    <x v="105"/>
    <x v="294"/>
    <x v="10"/>
    <x v="271"/>
    <x v="236"/>
    <x v="246"/>
    <x v="1"/>
    <x v="1"/>
    <x v="2"/>
    <x v="1"/>
    <x v="1"/>
    <x v="2"/>
    <x v="0"/>
    <x v="1"/>
    <x v="0"/>
    <x v="1"/>
  </r>
  <r>
    <x v="106"/>
    <x v="106"/>
    <x v="295"/>
    <x v="66"/>
    <x v="1"/>
    <x v="1"/>
    <x v="247"/>
    <x v="92"/>
    <x v="1"/>
    <x v="1"/>
    <x v="21"/>
    <x v="24"/>
    <x v="1"/>
    <x v="20"/>
    <x v="13"/>
    <x v="62"/>
    <x v="60"/>
  </r>
</pivotCacheRecords>
</file>

<file path=xl/pivotCache/pivotCacheRecords58.xml><?xml version="1.0" encoding="utf-8"?>
<pivotCacheRecords xmlns="http://schemas.openxmlformats.org/spreadsheetml/2006/main" xmlns:r="http://schemas.openxmlformats.org/officeDocument/2006/relationships" count="110">
  <r>
    <x v="0"/>
    <x v="0"/>
    <x v="0"/>
    <x v="0"/>
    <x v="0"/>
    <x v="0"/>
    <x v="0"/>
    <x v="0"/>
    <x v="0"/>
    <x v="0"/>
    <x v="0"/>
    <x v="0"/>
    <x v="0"/>
    <x v="0"/>
    <x v="0"/>
    <x v="0"/>
    <x v="0"/>
    <x v="0"/>
    <x v="0"/>
    <x v="0"/>
    <x v="0"/>
    <x v="0"/>
    <x v="0"/>
    <x v="0"/>
    <x v="0"/>
    <x v="0"/>
  </r>
  <r>
    <x v="1"/>
    <x v="1"/>
    <x v="1"/>
    <x v="0"/>
    <x v="0"/>
    <x v="1"/>
    <x v="0"/>
    <x v="0"/>
    <x v="0"/>
    <x v="0"/>
    <x v="0"/>
    <x v="0"/>
    <x v="0"/>
    <x v="0"/>
    <x v="0"/>
    <x v="0"/>
    <x v="0"/>
    <x v="0"/>
    <x v="0"/>
    <x v="0"/>
    <x v="0"/>
    <x v="0"/>
    <x v="0"/>
    <x v="0"/>
    <x v="0"/>
    <x v="0"/>
  </r>
  <r>
    <x v="2"/>
    <x v="2"/>
    <x v="1"/>
    <x v="0"/>
    <x v="0"/>
    <x v="1"/>
    <x v="0"/>
    <x v="0"/>
    <x v="0"/>
    <x v="0"/>
    <x v="0"/>
    <x v="0"/>
    <x v="0"/>
    <x v="0"/>
    <x v="0"/>
    <x v="0"/>
    <x v="0"/>
    <x v="0"/>
    <x v="0"/>
    <x v="0"/>
    <x v="0"/>
    <x v="0"/>
    <x v="0"/>
    <x v="0"/>
    <x v="0"/>
    <x v="0"/>
  </r>
  <r>
    <x v="3"/>
    <x v="3"/>
    <x v="1"/>
    <x v="0"/>
    <x v="0"/>
    <x v="1"/>
    <x v="0"/>
    <x v="0"/>
    <x v="0"/>
    <x v="0"/>
    <x v="0"/>
    <x v="0"/>
    <x v="0"/>
    <x v="0"/>
    <x v="0"/>
    <x v="0"/>
    <x v="0"/>
    <x v="0"/>
    <x v="0"/>
    <x v="0"/>
    <x v="0"/>
    <x v="0"/>
    <x v="0"/>
    <x v="0"/>
    <x v="0"/>
    <x v="0"/>
  </r>
  <r>
    <x v="4"/>
    <x v="4"/>
    <x v="1"/>
    <x v="0"/>
    <x v="0"/>
    <x v="1"/>
    <x v="0"/>
    <x v="0"/>
    <x v="0"/>
    <x v="0"/>
    <x v="0"/>
    <x v="0"/>
    <x v="0"/>
    <x v="0"/>
    <x v="0"/>
    <x v="0"/>
    <x v="0"/>
    <x v="0"/>
    <x v="0"/>
    <x v="0"/>
    <x v="0"/>
    <x v="0"/>
    <x v="0"/>
    <x v="0"/>
    <x v="0"/>
    <x v="0"/>
  </r>
  <r>
    <x v="5"/>
    <x v="5"/>
    <x v="1"/>
    <x v="0"/>
    <x v="0"/>
    <x v="1"/>
    <x v="0"/>
    <x v="0"/>
    <x v="0"/>
    <x v="0"/>
    <x v="0"/>
    <x v="0"/>
    <x v="0"/>
    <x v="0"/>
    <x v="0"/>
    <x v="0"/>
    <x v="0"/>
    <x v="0"/>
    <x v="0"/>
    <x v="0"/>
    <x v="0"/>
    <x v="0"/>
    <x v="0"/>
    <x v="0"/>
    <x v="0"/>
    <x v="0"/>
  </r>
  <r>
    <x v="2"/>
    <x v="2"/>
    <x v="1"/>
    <x v="0"/>
    <x v="0"/>
    <x v="1"/>
    <x v="0"/>
    <x v="0"/>
    <x v="0"/>
    <x v="0"/>
    <x v="0"/>
    <x v="0"/>
    <x v="0"/>
    <x v="0"/>
    <x v="0"/>
    <x v="0"/>
    <x v="0"/>
    <x v="0"/>
    <x v="0"/>
    <x v="0"/>
    <x v="0"/>
    <x v="0"/>
    <x v="0"/>
    <x v="0"/>
    <x v="0"/>
    <x v="0"/>
  </r>
  <r>
    <x v="6"/>
    <x v="6"/>
    <x v="1"/>
    <x v="0"/>
    <x v="0"/>
    <x v="1"/>
    <x v="0"/>
    <x v="0"/>
    <x v="0"/>
    <x v="0"/>
    <x v="0"/>
    <x v="0"/>
    <x v="0"/>
    <x v="0"/>
    <x v="0"/>
    <x v="0"/>
    <x v="0"/>
    <x v="0"/>
    <x v="0"/>
    <x v="0"/>
    <x v="0"/>
    <x v="0"/>
    <x v="0"/>
    <x v="0"/>
    <x v="0"/>
    <x v="0"/>
  </r>
  <r>
    <x v="7"/>
    <x v="7"/>
    <x v="1"/>
    <x v="0"/>
    <x v="0"/>
    <x v="1"/>
    <x v="0"/>
    <x v="0"/>
    <x v="0"/>
    <x v="0"/>
    <x v="0"/>
    <x v="0"/>
    <x v="0"/>
    <x v="0"/>
    <x v="0"/>
    <x v="0"/>
    <x v="0"/>
    <x v="0"/>
    <x v="0"/>
    <x v="0"/>
    <x v="0"/>
    <x v="0"/>
    <x v="0"/>
    <x v="0"/>
    <x v="0"/>
    <x v="0"/>
  </r>
  <r>
    <x v="8"/>
    <x v="8"/>
    <x v="1"/>
    <x v="0"/>
    <x v="0"/>
    <x v="1"/>
    <x v="0"/>
    <x v="0"/>
    <x v="0"/>
    <x v="0"/>
    <x v="0"/>
    <x v="0"/>
    <x v="0"/>
    <x v="0"/>
    <x v="0"/>
    <x v="0"/>
    <x v="0"/>
    <x v="0"/>
    <x v="0"/>
    <x v="0"/>
    <x v="0"/>
    <x v="0"/>
    <x v="0"/>
    <x v="0"/>
    <x v="0"/>
    <x v="0"/>
  </r>
  <r>
    <x v="9"/>
    <x v="9"/>
    <x v="1"/>
    <x v="0"/>
    <x v="0"/>
    <x v="1"/>
    <x v="0"/>
    <x v="0"/>
    <x v="0"/>
    <x v="0"/>
    <x v="0"/>
    <x v="0"/>
    <x v="0"/>
    <x v="0"/>
    <x v="0"/>
    <x v="0"/>
    <x v="0"/>
    <x v="0"/>
    <x v="0"/>
    <x v="0"/>
    <x v="0"/>
    <x v="0"/>
    <x v="0"/>
    <x v="0"/>
    <x v="0"/>
    <x v="0"/>
  </r>
  <r>
    <x v="0"/>
    <x v="0"/>
    <x v="2"/>
    <x v="0"/>
    <x v="1"/>
    <x v="2"/>
    <x v="1"/>
    <x v="1"/>
    <x v="1"/>
    <x v="0"/>
    <x v="0"/>
    <x v="1"/>
    <x v="0"/>
    <x v="0"/>
    <x v="0"/>
    <x v="0"/>
    <x v="0"/>
    <x v="0"/>
    <x v="0"/>
    <x v="1"/>
    <x v="0"/>
    <x v="0"/>
    <x v="0"/>
    <x v="0"/>
    <x v="0"/>
    <x v="0"/>
  </r>
  <r>
    <x v="1"/>
    <x v="1"/>
    <x v="1"/>
    <x v="0"/>
    <x v="0"/>
    <x v="1"/>
    <x v="0"/>
    <x v="0"/>
    <x v="0"/>
    <x v="0"/>
    <x v="0"/>
    <x v="0"/>
    <x v="0"/>
    <x v="0"/>
    <x v="0"/>
    <x v="0"/>
    <x v="0"/>
    <x v="0"/>
    <x v="0"/>
    <x v="0"/>
    <x v="0"/>
    <x v="0"/>
    <x v="0"/>
    <x v="0"/>
    <x v="0"/>
    <x v="0"/>
  </r>
  <r>
    <x v="10"/>
    <x v="10"/>
    <x v="1"/>
    <x v="0"/>
    <x v="0"/>
    <x v="1"/>
    <x v="0"/>
    <x v="0"/>
    <x v="0"/>
    <x v="0"/>
    <x v="0"/>
    <x v="0"/>
    <x v="0"/>
    <x v="0"/>
    <x v="0"/>
    <x v="0"/>
    <x v="0"/>
    <x v="0"/>
    <x v="0"/>
    <x v="0"/>
    <x v="0"/>
    <x v="0"/>
    <x v="0"/>
    <x v="0"/>
    <x v="0"/>
    <x v="0"/>
  </r>
  <r>
    <x v="11"/>
    <x v="11"/>
    <x v="1"/>
    <x v="0"/>
    <x v="0"/>
    <x v="1"/>
    <x v="0"/>
    <x v="0"/>
    <x v="0"/>
    <x v="0"/>
    <x v="0"/>
    <x v="0"/>
    <x v="0"/>
    <x v="0"/>
    <x v="0"/>
    <x v="0"/>
    <x v="0"/>
    <x v="0"/>
    <x v="0"/>
    <x v="0"/>
    <x v="0"/>
    <x v="0"/>
    <x v="0"/>
    <x v="0"/>
    <x v="0"/>
    <x v="0"/>
  </r>
  <r>
    <x v="2"/>
    <x v="2"/>
    <x v="1"/>
    <x v="0"/>
    <x v="0"/>
    <x v="1"/>
    <x v="0"/>
    <x v="0"/>
    <x v="0"/>
    <x v="0"/>
    <x v="0"/>
    <x v="0"/>
    <x v="0"/>
    <x v="0"/>
    <x v="0"/>
    <x v="0"/>
    <x v="0"/>
    <x v="0"/>
    <x v="0"/>
    <x v="0"/>
    <x v="0"/>
    <x v="0"/>
    <x v="0"/>
    <x v="0"/>
    <x v="0"/>
    <x v="0"/>
  </r>
  <r>
    <x v="3"/>
    <x v="3"/>
    <x v="1"/>
    <x v="0"/>
    <x v="0"/>
    <x v="1"/>
    <x v="0"/>
    <x v="0"/>
    <x v="0"/>
    <x v="0"/>
    <x v="0"/>
    <x v="0"/>
    <x v="0"/>
    <x v="0"/>
    <x v="0"/>
    <x v="0"/>
    <x v="0"/>
    <x v="0"/>
    <x v="0"/>
    <x v="0"/>
    <x v="0"/>
    <x v="0"/>
    <x v="0"/>
    <x v="0"/>
    <x v="0"/>
    <x v="0"/>
  </r>
  <r>
    <x v="5"/>
    <x v="5"/>
    <x v="3"/>
    <x v="0"/>
    <x v="2"/>
    <x v="3"/>
    <x v="2"/>
    <x v="2"/>
    <x v="2"/>
    <x v="0"/>
    <x v="0"/>
    <x v="1"/>
    <x v="0"/>
    <x v="0"/>
    <x v="0"/>
    <x v="0"/>
    <x v="0"/>
    <x v="0"/>
    <x v="0"/>
    <x v="1"/>
    <x v="0"/>
    <x v="0"/>
    <x v="0"/>
    <x v="0"/>
    <x v="0"/>
    <x v="0"/>
  </r>
  <r>
    <x v="4"/>
    <x v="4"/>
    <x v="4"/>
    <x v="0"/>
    <x v="2"/>
    <x v="4"/>
    <x v="3"/>
    <x v="3"/>
    <x v="3"/>
    <x v="0"/>
    <x v="1"/>
    <x v="2"/>
    <x v="1"/>
    <x v="1"/>
    <x v="1"/>
    <x v="1"/>
    <x v="1"/>
    <x v="1"/>
    <x v="1"/>
    <x v="2"/>
    <x v="1"/>
    <x v="1"/>
    <x v="1"/>
    <x v="1"/>
    <x v="1"/>
    <x v="1"/>
  </r>
  <r>
    <x v="7"/>
    <x v="7"/>
    <x v="1"/>
    <x v="0"/>
    <x v="0"/>
    <x v="1"/>
    <x v="0"/>
    <x v="0"/>
    <x v="0"/>
    <x v="0"/>
    <x v="0"/>
    <x v="0"/>
    <x v="0"/>
    <x v="0"/>
    <x v="0"/>
    <x v="0"/>
    <x v="0"/>
    <x v="0"/>
    <x v="0"/>
    <x v="0"/>
    <x v="0"/>
    <x v="0"/>
    <x v="0"/>
    <x v="0"/>
    <x v="0"/>
    <x v="0"/>
  </r>
  <r>
    <x v="6"/>
    <x v="6"/>
    <x v="1"/>
    <x v="0"/>
    <x v="0"/>
    <x v="1"/>
    <x v="0"/>
    <x v="0"/>
    <x v="0"/>
    <x v="0"/>
    <x v="0"/>
    <x v="0"/>
    <x v="0"/>
    <x v="0"/>
    <x v="0"/>
    <x v="0"/>
    <x v="0"/>
    <x v="0"/>
    <x v="0"/>
    <x v="0"/>
    <x v="0"/>
    <x v="0"/>
    <x v="0"/>
    <x v="0"/>
    <x v="0"/>
    <x v="0"/>
  </r>
  <r>
    <x v="9"/>
    <x v="9"/>
    <x v="1"/>
    <x v="0"/>
    <x v="0"/>
    <x v="1"/>
    <x v="0"/>
    <x v="0"/>
    <x v="0"/>
    <x v="0"/>
    <x v="0"/>
    <x v="0"/>
    <x v="0"/>
    <x v="0"/>
    <x v="0"/>
    <x v="0"/>
    <x v="0"/>
    <x v="0"/>
    <x v="0"/>
    <x v="0"/>
    <x v="0"/>
    <x v="0"/>
    <x v="0"/>
    <x v="0"/>
    <x v="0"/>
    <x v="0"/>
  </r>
  <r>
    <x v="8"/>
    <x v="8"/>
    <x v="1"/>
    <x v="0"/>
    <x v="0"/>
    <x v="1"/>
    <x v="0"/>
    <x v="0"/>
    <x v="0"/>
    <x v="0"/>
    <x v="0"/>
    <x v="0"/>
    <x v="0"/>
    <x v="0"/>
    <x v="0"/>
    <x v="0"/>
    <x v="0"/>
    <x v="0"/>
    <x v="0"/>
    <x v="0"/>
    <x v="0"/>
    <x v="0"/>
    <x v="0"/>
    <x v="0"/>
    <x v="0"/>
    <x v="0"/>
  </r>
  <r>
    <x v="5"/>
    <x v="5"/>
    <x v="5"/>
    <x v="0"/>
    <x v="3"/>
    <x v="5"/>
    <x v="4"/>
    <x v="4"/>
    <x v="4"/>
    <x v="0"/>
    <x v="0"/>
    <x v="1"/>
    <x v="0"/>
    <x v="0"/>
    <x v="0"/>
    <x v="0"/>
    <x v="0"/>
    <x v="0"/>
    <x v="0"/>
    <x v="1"/>
    <x v="0"/>
    <x v="0"/>
    <x v="0"/>
    <x v="0"/>
    <x v="0"/>
    <x v="0"/>
  </r>
  <r>
    <x v="4"/>
    <x v="4"/>
    <x v="6"/>
    <x v="0"/>
    <x v="4"/>
    <x v="6"/>
    <x v="5"/>
    <x v="5"/>
    <x v="5"/>
    <x v="0"/>
    <x v="2"/>
    <x v="3"/>
    <x v="2"/>
    <x v="2"/>
    <x v="2"/>
    <x v="2"/>
    <x v="2"/>
    <x v="2"/>
    <x v="2"/>
    <x v="3"/>
    <x v="2"/>
    <x v="2"/>
    <x v="2"/>
    <x v="2"/>
    <x v="2"/>
    <x v="2"/>
  </r>
  <r>
    <x v="0"/>
    <x v="0"/>
    <x v="7"/>
    <x v="0"/>
    <x v="0"/>
    <x v="0"/>
    <x v="0"/>
    <x v="0"/>
    <x v="0"/>
    <x v="0"/>
    <x v="0"/>
    <x v="0"/>
    <x v="0"/>
    <x v="0"/>
    <x v="0"/>
    <x v="0"/>
    <x v="0"/>
    <x v="0"/>
    <x v="0"/>
    <x v="0"/>
    <x v="0"/>
    <x v="0"/>
    <x v="0"/>
    <x v="0"/>
    <x v="0"/>
    <x v="0"/>
  </r>
  <r>
    <x v="1"/>
    <x v="1"/>
    <x v="1"/>
    <x v="0"/>
    <x v="0"/>
    <x v="1"/>
    <x v="0"/>
    <x v="0"/>
    <x v="0"/>
    <x v="0"/>
    <x v="0"/>
    <x v="0"/>
    <x v="0"/>
    <x v="0"/>
    <x v="0"/>
    <x v="0"/>
    <x v="0"/>
    <x v="0"/>
    <x v="0"/>
    <x v="0"/>
    <x v="0"/>
    <x v="0"/>
    <x v="0"/>
    <x v="0"/>
    <x v="0"/>
    <x v="0"/>
  </r>
  <r>
    <x v="10"/>
    <x v="10"/>
    <x v="1"/>
    <x v="0"/>
    <x v="0"/>
    <x v="1"/>
    <x v="0"/>
    <x v="0"/>
    <x v="0"/>
    <x v="0"/>
    <x v="0"/>
    <x v="0"/>
    <x v="0"/>
    <x v="0"/>
    <x v="0"/>
    <x v="0"/>
    <x v="0"/>
    <x v="0"/>
    <x v="0"/>
    <x v="0"/>
    <x v="0"/>
    <x v="0"/>
    <x v="0"/>
    <x v="0"/>
    <x v="0"/>
    <x v="0"/>
  </r>
  <r>
    <x v="11"/>
    <x v="11"/>
    <x v="1"/>
    <x v="0"/>
    <x v="0"/>
    <x v="1"/>
    <x v="0"/>
    <x v="0"/>
    <x v="0"/>
    <x v="0"/>
    <x v="0"/>
    <x v="0"/>
    <x v="0"/>
    <x v="0"/>
    <x v="0"/>
    <x v="0"/>
    <x v="0"/>
    <x v="0"/>
    <x v="0"/>
    <x v="0"/>
    <x v="0"/>
    <x v="0"/>
    <x v="0"/>
    <x v="0"/>
    <x v="0"/>
    <x v="0"/>
  </r>
  <r>
    <x v="2"/>
    <x v="2"/>
    <x v="1"/>
    <x v="0"/>
    <x v="0"/>
    <x v="1"/>
    <x v="0"/>
    <x v="0"/>
    <x v="0"/>
    <x v="0"/>
    <x v="0"/>
    <x v="0"/>
    <x v="0"/>
    <x v="0"/>
    <x v="0"/>
    <x v="0"/>
    <x v="0"/>
    <x v="0"/>
    <x v="0"/>
    <x v="0"/>
    <x v="0"/>
    <x v="0"/>
    <x v="0"/>
    <x v="0"/>
    <x v="0"/>
    <x v="0"/>
  </r>
  <r>
    <x v="3"/>
    <x v="3"/>
    <x v="1"/>
    <x v="0"/>
    <x v="0"/>
    <x v="1"/>
    <x v="0"/>
    <x v="0"/>
    <x v="0"/>
    <x v="0"/>
    <x v="0"/>
    <x v="0"/>
    <x v="0"/>
    <x v="0"/>
    <x v="0"/>
    <x v="0"/>
    <x v="0"/>
    <x v="0"/>
    <x v="0"/>
    <x v="0"/>
    <x v="0"/>
    <x v="0"/>
    <x v="0"/>
    <x v="0"/>
    <x v="0"/>
    <x v="0"/>
  </r>
  <r>
    <x v="10"/>
    <x v="10"/>
    <x v="1"/>
    <x v="0"/>
    <x v="0"/>
    <x v="1"/>
    <x v="0"/>
    <x v="0"/>
    <x v="0"/>
    <x v="0"/>
    <x v="0"/>
    <x v="0"/>
    <x v="0"/>
    <x v="0"/>
    <x v="0"/>
    <x v="0"/>
    <x v="0"/>
    <x v="0"/>
    <x v="0"/>
    <x v="0"/>
    <x v="0"/>
    <x v="0"/>
    <x v="0"/>
    <x v="0"/>
    <x v="0"/>
    <x v="0"/>
  </r>
  <r>
    <x v="11"/>
    <x v="11"/>
    <x v="1"/>
    <x v="0"/>
    <x v="0"/>
    <x v="1"/>
    <x v="0"/>
    <x v="0"/>
    <x v="0"/>
    <x v="0"/>
    <x v="0"/>
    <x v="0"/>
    <x v="0"/>
    <x v="0"/>
    <x v="0"/>
    <x v="0"/>
    <x v="0"/>
    <x v="0"/>
    <x v="0"/>
    <x v="0"/>
    <x v="0"/>
    <x v="0"/>
    <x v="0"/>
    <x v="0"/>
    <x v="0"/>
    <x v="0"/>
  </r>
  <r>
    <x v="7"/>
    <x v="7"/>
    <x v="1"/>
    <x v="0"/>
    <x v="0"/>
    <x v="1"/>
    <x v="0"/>
    <x v="0"/>
    <x v="0"/>
    <x v="0"/>
    <x v="0"/>
    <x v="0"/>
    <x v="0"/>
    <x v="0"/>
    <x v="0"/>
    <x v="0"/>
    <x v="0"/>
    <x v="0"/>
    <x v="0"/>
    <x v="0"/>
    <x v="0"/>
    <x v="0"/>
    <x v="0"/>
    <x v="0"/>
    <x v="0"/>
    <x v="0"/>
  </r>
  <r>
    <x v="6"/>
    <x v="6"/>
    <x v="1"/>
    <x v="0"/>
    <x v="0"/>
    <x v="1"/>
    <x v="0"/>
    <x v="0"/>
    <x v="0"/>
    <x v="0"/>
    <x v="0"/>
    <x v="0"/>
    <x v="0"/>
    <x v="0"/>
    <x v="0"/>
    <x v="0"/>
    <x v="0"/>
    <x v="0"/>
    <x v="0"/>
    <x v="0"/>
    <x v="0"/>
    <x v="0"/>
    <x v="0"/>
    <x v="0"/>
    <x v="0"/>
    <x v="0"/>
  </r>
  <r>
    <x v="9"/>
    <x v="9"/>
    <x v="1"/>
    <x v="0"/>
    <x v="0"/>
    <x v="1"/>
    <x v="0"/>
    <x v="0"/>
    <x v="0"/>
    <x v="0"/>
    <x v="0"/>
    <x v="0"/>
    <x v="0"/>
    <x v="0"/>
    <x v="0"/>
    <x v="0"/>
    <x v="0"/>
    <x v="0"/>
    <x v="0"/>
    <x v="0"/>
    <x v="0"/>
    <x v="0"/>
    <x v="0"/>
    <x v="0"/>
    <x v="0"/>
    <x v="0"/>
  </r>
  <r>
    <x v="8"/>
    <x v="8"/>
    <x v="1"/>
    <x v="0"/>
    <x v="0"/>
    <x v="1"/>
    <x v="0"/>
    <x v="0"/>
    <x v="0"/>
    <x v="0"/>
    <x v="0"/>
    <x v="0"/>
    <x v="0"/>
    <x v="0"/>
    <x v="0"/>
    <x v="0"/>
    <x v="0"/>
    <x v="0"/>
    <x v="0"/>
    <x v="0"/>
    <x v="0"/>
    <x v="0"/>
    <x v="0"/>
    <x v="0"/>
    <x v="0"/>
    <x v="0"/>
  </r>
  <r>
    <x v="10"/>
    <x v="10"/>
    <x v="1"/>
    <x v="0"/>
    <x v="0"/>
    <x v="1"/>
    <x v="0"/>
    <x v="0"/>
    <x v="0"/>
    <x v="0"/>
    <x v="0"/>
    <x v="0"/>
    <x v="0"/>
    <x v="0"/>
    <x v="0"/>
    <x v="0"/>
    <x v="0"/>
    <x v="0"/>
    <x v="0"/>
    <x v="0"/>
    <x v="0"/>
    <x v="0"/>
    <x v="0"/>
    <x v="0"/>
    <x v="0"/>
    <x v="0"/>
  </r>
  <r>
    <x v="11"/>
    <x v="11"/>
    <x v="1"/>
    <x v="0"/>
    <x v="0"/>
    <x v="1"/>
    <x v="0"/>
    <x v="0"/>
    <x v="0"/>
    <x v="0"/>
    <x v="0"/>
    <x v="0"/>
    <x v="0"/>
    <x v="0"/>
    <x v="0"/>
    <x v="0"/>
    <x v="0"/>
    <x v="0"/>
    <x v="0"/>
    <x v="0"/>
    <x v="0"/>
    <x v="0"/>
    <x v="0"/>
    <x v="0"/>
    <x v="0"/>
    <x v="0"/>
  </r>
  <r>
    <x v="3"/>
    <x v="3"/>
    <x v="1"/>
    <x v="0"/>
    <x v="0"/>
    <x v="1"/>
    <x v="0"/>
    <x v="0"/>
    <x v="0"/>
    <x v="0"/>
    <x v="0"/>
    <x v="0"/>
    <x v="0"/>
    <x v="0"/>
    <x v="0"/>
    <x v="0"/>
    <x v="0"/>
    <x v="0"/>
    <x v="0"/>
    <x v="0"/>
    <x v="0"/>
    <x v="0"/>
    <x v="0"/>
    <x v="0"/>
    <x v="0"/>
    <x v="0"/>
  </r>
  <r>
    <x v="1"/>
    <x v="1"/>
    <x v="1"/>
    <x v="0"/>
    <x v="0"/>
    <x v="1"/>
    <x v="0"/>
    <x v="0"/>
    <x v="0"/>
    <x v="0"/>
    <x v="0"/>
    <x v="0"/>
    <x v="0"/>
    <x v="0"/>
    <x v="0"/>
    <x v="0"/>
    <x v="0"/>
    <x v="0"/>
    <x v="0"/>
    <x v="0"/>
    <x v="0"/>
    <x v="0"/>
    <x v="0"/>
    <x v="0"/>
    <x v="0"/>
    <x v="0"/>
  </r>
  <r>
    <x v="0"/>
    <x v="0"/>
    <x v="8"/>
    <x v="1"/>
    <x v="0"/>
    <x v="0"/>
    <x v="0"/>
    <x v="6"/>
    <x v="0"/>
    <x v="1"/>
    <x v="0"/>
    <x v="1"/>
    <x v="0"/>
    <x v="0"/>
    <x v="0"/>
    <x v="0"/>
    <x v="0"/>
    <x v="0"/>
    <x v="0"/>
    <x v="1"/>
    <x v="0"/>
    <x v="0"/>
    <x v="0"/>
    <x v="0"/>
    <x v="0"/>
    <x v="0"/>
  </r>
  <r>
    <x v="10"/>
    <x v="10"/>
    <x v="1"/>
    <x v="0"/>
    <x v="0"/>
    <x v="1"/>
    <x v="0"/>
    <x v="0"/>
    <x v="0"/>
    <x v="0"/>
    <x v="0"/>
    <x v="0"/>
    <x v="0"/>
    <x v="0"/>
    <x v="0"/>
    <x v="0"/>
    <x v="0"/>
    <x v="0"/>
    <x v="0"/>
    <x v="0"/>
    <x v="0"/>
    <x v="0"/>
    <x v="0"/>
    <x v="0"/>
    <x v="0"/>
    <x v="0"/>
  </r>
  <r>
    <x v="1"/>
    <x v="1"/>
    <x v="1"/>
    <x v="0"/>
    <x v="0"/>
    <x v="1"/>
    <x v="0"/>
    <x v="0"/>
    <x v="0"/>
    <x v="0"/>
    <x v="0"/>
    <x v="0"/>
    <x v="0"/>
    <x v="0"/>
    <x v="0"/>
    <x v="0"/>
    <x v="0"/>
    <x v="0"/>
    <x v="0"/>
    <x v="0"/>
    <x v="0"/>
    <x v="0"/>
    <x v="0"/>
    <x v="0"/>
    <x v="0"/>
    <x v="0"/>
  </r>
  <r>
    <x v="0"/>
    <x v="0"/>
    <x v="1"/>
    <x v="0"/>
    <x v="0"/>
    <x v="1"/>
    <x v="0"/>
    <x v="0"/>
    <x v="0"/>
    <x v="0"/>
    <x v="0"/>
    <x v="0"/>
    <x v="0"/>
    <x v="0"/>
    <x v="0"/>
    <x v="0"/>
    <x v="0"/>
    <x v="0"/>
    <x v="0"/>
    <x v="0"/>
    <x v="0"/>
    <x v="0"/>
    <x v="0"/>
    <x v="0"/>
    <x v="0"/>
    <x v="0"/>
  </r>
  <r>
    <x v="1"/>
    <x v="1"/>
    <x v="1"/>
    <x v="0"/>
    <x v="0"/>
    <x v="1"/>
    <x v="0"/>
    <x v="0"/>
    <x v="0"/>
    <x v="0"/>
    <x v="0"/>
    <x v="0"/>
    <x v="0"/>
    <x v="0"/>
    <x v="0"/>
    <x v="0"/>
    <x v="0"/>
    <x v="0"/>
    <x v="0"/>
    <x v="0"/>
    <x v="0"/>
    <x v="0"/>
    <x v="0"/>
    <x v="0"/>
    <x v="0"/>
    <x v="0"/>
  </r>
  <r>
    <x v="10"/>
    <x v="10"/>
    <x v="1"/>
    <x v="0"/>
    <x v="0"/>
    <x v="1"/>
    <x v="0"/>
    <x v="0"/>
    <x v="0"/>
    <x v="0"/>
    <x v="0"/>
    <x v="0"/>
    <x v="0"/>
    <x v="0"/>
    <x v="0"/>
    <x v="0"/>
    <x v="0"/>
    <x v="0"/>
    <x v="0"/>
    <x v="0"/>
    <x v="0"/>
    <x v="0"/>
    <x v="0"/>
    <x v="0"/>
    <x v="0"/>
    <x v="0"/>
  </r>
  <r>
    <x v="1"/>
    <x v="1"/>
    <x v="1"/>
    <x v="0"/>
    <x v="0"/>
    <x v="1"/>
    <x v="0"/>
    <x v="0"/>
    <x v="0"/>
    <x v="0"/>
    <x v="0"/>
    <x v="0"/>
    <x v="0"/>
    <x v="0"/>
    <x v="0"/>
    <x v="0"/>
    <x v="0"/>
    <x v="0"/>
    <x v="0"/>
    <x v="0"/>
    <x v="0"/>
    <x v="0"/>
    <x v="0"/>
    <x v="0"/>
    <x v="0"/>
    <x v="0"/>
  </r>
  <r>
    <x v="10"/>
    <x v="10"/>
    <x v="1"/>
    <x v="0"/>
    <x v="0"/>
    <x v="1"/>
    <x v="0"/>
    <x v="0"/>
    <x v="0"/>
    <x v="0"/>
    <x v="0"/>
    <x v="0"/>
    <x v="0"/>
    <x v="0"/>
    <x v="0"/>
    <x v="0"/>
    <x v="0"/>
    <x v="0"/>
    <x v="0"/>
    <x v="0"/>
    <x v="0"/>
    <x v="0"/>
    <x v="0"/>
    <x v="0"/>
    <x v="0"/>
    <x v="0"/>
  </r>
  <r>
    <x v="7"/>
    <x v="7"/>
    <x v="1"/>
    <x v="0"/>
    <x v="0"/>
    <x v="1"/>
    <x v="0"/>
    <x v="0"/>
    <x v="0"/>
    <x v="0"/>
    <x v="0"/>
    <x v="0"/>
    <x v="0"/>
    <x v="0"/>
    <x v="0"/>
    <x v="0"/>
    <x v="0"/>
    <x v="0"/>
    <x v="0"/>
    <x v="0"/>
    <x v="0"/>
    <x v="0"/>
    <x v="0"/>
    <x v="0"/>
    <x v="0"/>
    <x v="0"/>
  </r>
  <r>
    <x v="6"/>
    <x v="6"/>
    <x v="1"/>
    <x v="0"/>
    <x v="0"/>
    <x v="1"/>
    <x v="0"/>
    <x v="0"/>
    <x v="0"/>
    <x v="0"/>
    <x v="0"/>
    <x v="0"/>
    <x v="0"/>
    <x v="0"/>
    <x v="0"/>
    <x v="0"/>
    <x v="0"/>
    <x v="0"/>
    <x v="0"/>
    <x v="0"/>
    <x v="0"/>
    <x v="0"/>
    <x v="0"/>
    <x v="0"/>
    <x v="0"/>
    <x v="0"/>
  </r>
  <r>
    <x v="9"/>
    <x v="9"/>
    <x v="1"/>
    <x v="0"/>
    <x v="0"/>
    <x v="1"/>
    <x v="0"/>
    <x v="0"/>
    <x v="0"/>
    <x v="0"/>
    <x v="0"/>
    <x v="0"/>
    <x v="0"/>
    <x v="0"/>
    <x v="0"/>
    <x v="0"/>
    <x v="0"/>
    <x v="0"/>
    <x v="0"/>
    <x v="0"/>
    <x v="0"/>
    <x v="0"/>
    <x v="0"/>
    <x v="0"/>
    <x v="0"/>
    <x v="0"/>
  </r>
  <r>
    <x v="6"/>
    <x v="6"/>
    <x v="1"/>
    <x v="0"/>
    <x v="0"/>
    <x v="1"/>
    <x v="0"/>
    <x v="0"/>
    <x v="0"/>
    <x v="0"/>
    <x v="0"/>
    <x v="0"/>
    <x v="0"/>
    <x v="0"/>
    <x v="0"/>
    <x v="0"/>
    <x v="0"/>
    <x v="0"/>
    <x v="0"/>
    <x v="0"/>
    <x v="0"/>
    <x v="0"/>
    <x v="0"/>
    <x v="0"/>
    <x v="0"/>
    <x v="0"/>
  </r>
  <r>
    <x v="7"/>
    <x v="7"/>
    <x v="1"/>
    <x v="0"/>
    <x v="0"/>
    <x v="1"/>
    <x v="0"/>
    <x v="0"/>
    <x v="0"/>
    <x v="0"/>
    <x v="0"/>
    <x v="0"/>
    <x v="0"/>
    <x v="0"/>
    <x v="0"/>
    <x v="0"/>
    <x v="0"/>
    <x v="0"/>
    <x v="0"/>
    <x v="0"/>
    <x v="0"/>
    <x v="0"/>
    <x v="0"/>
    <x v="0"/>
    <x v="0"/>
    <x v="0"/>
  </r>
  <r>
    <x v="9"/>
    <x v="9"/>
    <x v="1"/>
    <x v="0"/>
    <x v="0"/>
    <x v="1"/>
    <x v="0"/>
    <x v="0"/>
    <x v="0"/>
    <x v="0"/>
    <x v="0"/>
    <x v="0"/>
    <x v="0"/>
    <x v="0"/>
    <x v="0"/>
    <x v="0"/>
    <x v="0"/>
    <x v="0"/>
    <x v="0"/>
    <x v="0"/>
    <x v="0"/>
    <x v="0"/>
    <x v="0"/>
    <x v="0"/>
    <x v="0"/>
    <x v="0"/>
  </r>
  <r>
    <x v="8"/>
    <x v="8"/>
    <x v="1"/>
    <x v="0"/>
    <x v="0"/>
    <x v="1"/>
    <x v="0"/>
    <x v="0"/>
    <x v="0"/>
    <x v="0"/>
    <x v="0"/>
    <x v="0"/>
    <x v="0"/>
    <x v="0"/>
    <x v="0"/>
    <x v="0"/>
    <x v="0"/>
    <x v="0"/>
    <x v="0"/>
    <x v="0"/>
    <x v="0"/>
    <x v="0"/>
    <x v="0"/>
    <x v="0"/>
    <x v="0"/>
    <x v="0"/>
  </r>
  <r>
    <x v="0"/>
    <x v="0"/>
    <x v="1"/>
    <x v="0"/>
    <x v="0"/>
    <x v="1"/>
    <x v="0"/>
    <x v="0"/>
    <x v="0"/>
    <x v="0"/>
    <x v="0"/>
    <x v="0"/>
    <x v="0"/>
    <x v="0"/>
    <x v="0"/>
    <x v="0"/>
    <x v="0"/>
    <x v="0"/>
    <x v="0"/>
    <x v="0"/>
    <x v="0"/>
    <x v="0"/>
    <x v="0"/>
    <x v="0"/>
    <x v="0"/>
    <x v="0"/>
  </r>
  <r>
    <x v="7"/>
    <x v="7"/>
    <x v="1"/>
    <x v="0"/>
    <x v="0"/>
    <x v="1"/>
    <x v="0"/>
    <x v="0"/>
    <x v="0"/>
    <x v="0"/>
    <x v="0"/>
    <x v="0"/>
    <x v="0"/>
    <x v="0"/>
    <x v="0"/>
    <x v="0"/>
    <x v="0"/>
    <x v="0"/>
    <x v="0"/>
    <x v="0"/>
    <x v="0"/>
    <x v="0"/>
    <x v="0"/>
    <x v="0"/>
    <x v="0"/>
    <x v="0"/>
  </r>
  <r>
    <x v="8"/>
    <x v="8"/>
    <x v="1"/>
    <x v="0"/>
    <x v="0"/>
    <x v="1"/>
    <x v="0"/>
    <x v="0"/>
    <x v="0"/>
    <x v="0"/>
    <x v="0"/>
    <x v="0"/>
    <x v="0"/>
    <x v="0"/>
    <x v="0"/>
    <x v="0"/>
    <x v="0"/>
    <x v="0"/>
    <x v="0"/>
    <x v="0"/>
    <x v="0"/>
    <x v="0"/>
    <x v="0"/>
    <x v="0"/>
    <x v="0"/>
    <x v="0"/>
  </r>
  <r>
    <x v="5"/>
    <x v="5"/>
    <x v="1"/>
    <x v="0"/>
    <x v="0"/>
    <x v="1"/>
    <x v="0"/>
    <x v="0"/>
    <x v="0"/>
    <x v="0"/>
    <x v="0"/>
    <x v="0"/>
    <x v="0"/>
    <x v="0"/>
    <x v="0"/>
    <x v="0"/>
    <x v="0"/>
    <x v="0"/>
    <x v="0"/>
    <x v="0"/>
    <x v="0"/>
    <x v="0"/>
    <x v="0"/>
    <x v="0"/>
    <x v="0"/>
    <x v="0"/>
  </r>
  <r>
    <x v="4"/>
    <x v="4"/>
    <x v="1"/>
    <x v="0"/>
    <x v="0"/>
    <x v="1"/>
    <x v="0"/>
    <x v="0"/>
    <x v="0"/>
    <x v="0"/>
    <x v="0"/>
    <x v="0"/>
    <x v="0"/>
    <x v="0"/>
    <x v="0"/>
    <x v="0"/>
    <x v="0"/>
    <x v="0"/>
    <x v="0"/>
    <x v="0"/>
    <x v="0"/>
    <x v="0"/>
    <x v="0"/>
    <x v="0"/>
    <x v="0"/>
    <x v="0"/>
  </r>
  <r>
    <x v="5"/>
    <x v="5"/>
    <x v="9"/>
    <x v="0"/>
    <x v="5"/>
    <x v="7"/>
    <x v="4"/>
    <x v="7"/>
    <x v="6"/>
    <x v="0"/>
    <x v="3"/>
    <x v="4"/>
    <x v="1"/>
    <x v="1"/>
    <x v="1"/>
    <x v="1"/>
    <x v="1"/>
    <x v="1"/>
    <x v="3"/>
    <x v="4"/>
    <x v="1"/>
    <x v="1"/>
    <x v="1"/>
    <x v="1"/>
    <x v="1"/>
    <x v="1"/>
  </r>
  <r>
    <x v="4"/>
    <x v="4"/>
    <x v="10"/>
    <x v="0"/>
    <x v="0"/>
    <x v="0"/>
    <x v="0"/>
    <x v="0"/>
    <x v="0"/>
    <x v="0"/>
    <x v="0"/>
    <x v="0"/>
    <x v="0"/>
    <x v="0"/>
    <x v="0"/>
    <x v="0"/>
    <x v="0"/>
    <x v="0"/>
    <x v="0"/>
    <x v="0"/>
    <x v="0"/>
    <x v="0"/>
    <x v="0"/>
    <x v="0"/>
    <x v="0"/>
    <x v="0"/>
  </r>
  <r>
    <x v="9"/>
    <x v="9"/>
    <x v="1"/>
    <x v="0"/>
    <x v="0"/>
    <x v="1"/>
    <x v="0"/>
    <x v="0"/>
    <x v="0"/>
    <x v="0"/>
    <x v="0"/>
    <x v="0"/>
    <x v="0"/>
    <x v="0"/>
    <x v="0"/>
    <x v="0"/>
    <x v="0"/>
    <x v="0"/>
    <x v="0"/>
    <x v="0"/>
    <x v="0"/>
    <x v="0"/>
    <x v="0"/>
    <x v="0"/>
    <x v="0"/>
    <x v="0"/>
  </r>
  <r>
    <x v="6"/>
    <x v="6"/>
    <x v="1"/>
    <x v="0"/>
    <x v="0"/>
    <x v="1"/>
    <x v="0"/>
    <x v="0"/>
    <x v="0"/>
    <x v="0"/>
    <x v="0"/>
    <x v="0"/>
    <x v="0"/>
    <x v="0"/>
    <x v="0"/>
    <x v="0"/>
    <x v="0"/>
    <x v="0"/>
    <x v="0"/>
    <x v="0"/>
    <x v="0"/>
    <x v="0"/>
    <x v="0"/>
    <x v="0"/>
    <x v="0"/>
    <x v="0"/>
  </r>
  <r>
    <x v="7"/>
    <x v="7"/>
    <x v="1"/>
    <x v="0"/>
    <x v="0"/>
    <x v="1"/>
    <x v="0"/>
    <x v="0"/>
    <x v="0"/>
    <x v="0"/>
    <x v="0"/>
    <x v="0"/>
    <x v="0"/>
    <x v="0"/>
    <x v="0"/>
    <x v="0"/>
    <x v="0"/>
    <x v="0"/>
    <x v="0"/>
    <x v="0"/>
    <x v="0"/>
    <x v="0"/>
    <x v="0"/>
    <x v="0"/>
    <x v="0"/>
    <x v="0"/>
  </r>
  <r>
    <x v="5"/>
    <x v="5"/>
    <x v="1"/>
    <x v="0"/>
    <x v="0"/>
    <x v="1"/>
    <x v="0"/>
    <x v="0"/>
    <x v="0"/>
    <x v="0"/>
    <x v="0"/>
    <x v="0"/>
    <x v="0"/>
    <x v="0"/>
    <x v="0"/>
    <x v="0"/>
    <x v="0"/>
    <x v="0"/>
    <x v="0"/>
    <x v="0"/>
    <x v="0"/>
    <x v="0"/>
    <x v="0"/>
    <x v="0"/>
    <x v="0"/>
    <x v="0"/>
  </r>
  <r>
    <x v="4"/>
    <x v="4"/>
    <x v="1"/>
    <x v="0"/>
    <x v="0"/>
    <x v="1"/>
    <x v="0"/>
    <x v="0"/>
    <x v="0"/>
    <x v="0"/>
    <x v="0"/>
    <x v="0"/>
    <x v="0"/>
    <x v="0"/>
    <x v="0"/>
    <x v="0"/>
    <x v="0"/>
    <x v="0"/>
    <x v="0"/>
    <x v="0"/>
    <x v="0"/>
    <x v="0"/>
    <x v="0"/>
    <x v="0"/>
    <x v="0"/>
    <x v="0"/>
  </r>
  <r>
    <x v="1"/>
    <x v="1"/>
    <x v="1"/>
    <x v="0"/>
    <x v="0"/>
    <x v="1"/>
    <x v="0"/>
    <x v="0"/>
    <x v="0"/>
    <x v="0"/>
    <x v="0"/>
    <x v="0"/>
    <x v="0"/>
    <x v="0"/>
    <x v="0"/>
    <x v="0"/>
    <x v="0"/>
    <x v="0"/>
    <x v="0"/>
    <x v="0"/>
    <x v="0"/>
    <x v="0"/>
    <x v="0"/>
    <x v="0"/>
    <x v="0"/>
    <x v="0"/>
  </r>
  <r>
    <x v="10"/>
    <x v="10"/>
    <x v="1"/>
    <x v="0"/>
    <x v="0"/>
    <x v="1"/>
    <x v="0"/>
    <x v="0"/>
    <x v="0"/>
    <x v="0"/>
    <x v="0"/>
    <x v="0"/>
    <x v="0"/>
    <x v="0"/>
    <x v="0"/>
    <x v="0"/>
    <x v="0"/>
    <x v="0"/>
    <x v="0"/>
    <x v="0"/>
    <x v="0"/>
    <x v="0"/>
    <x v="0"/>
    <x v="0"/>
    <x v="0"/>
    <x v="0"/>
  </r>
  <r>
    <x v="11"/>
    <x v="11"/>
    <x v="1"/>
    <x v="0"/>
    <x v="0"/>
    <x v="1"/>
    <x v="0"/>
    <x v="0"/>
    <x v="0"/>
    <x v="0"/>
    <x v="0"/>
    <x v="0"/>
    <x v="0"/>
    <x v="0"/>
    <x v="0"/>
    <x v="0"/>
    <x v="0"/>
    <x v="0"/>
    <x v="0"/>
    <x v="0"/>
    <x v="0"/>
    <x v="0"/>
    <x v="0"/>
    <x v="0"/>
    <x v="0"/>
    <x v="0"/>
  </r>
  <r>
    <x v="1"/>
    <x v="1"/>
    <x v="1"/>
    <x v="0"/>
    <x v="0"/>
    <x v="1"/>
    <x v="0"/>
    <x v="0"/>
    <x v="0"/>
    <x v="0"/>
    <x v="0"/>
    <x v="0"/>
    <x v="0"/>
    <x v="0"/>
    <x v="0"/>
    <x v="0"/>
    <x v="0"/>
    <x v="0"/>
    <x v="0"/>
    <x v="0"/>
    <x v="0"/>
    <x v="0"/>
    <x v="0"/>
    <x v="0"/>
    <x v="0"/>
    <x v="0"/>
  </r>
  <r>
    <x v="10"/>
    <x v="10"/>
    <x v="1"/>
    <x v="0"/>
    <x v="0"/>
    <x v="1"/>
    <x v="0"/>
    <x v="0"/>
    <x v="0"/>
    <x v="0"/>
    <x v="0"/>
    <x v="0"/>
    <x v="0"/>
    <x v="0"/>
    <x v="0"/>
    <x v="0"/>
    <x v="0"/>
    <x v="0"/>
    <x v="0"/>
    <x v="0"/>
    <x v="0"/>
    <x v="0"/>
    <x v="0"/>
    <x v="0"/>
    <x v="0"/>
    <x v="0"/>
  </r>
  <r>
    <x v="11"/>
    <x v="11"/>
    <x v="1"/>
    <x v="0"/>
    <x v="0"/>
    <x v="1"/>
    <x v="0"/>
    <x v="0"/>
    <x v="0"/>
    <x v="0"/>
    <x v="0"/>
    <x v="0"/>
    <x v="0"/>
    <x v="0"/>
    <x v="0"/>
    <x v="0"/>
    <x v="0"/>
    <x v="0"/>
    <x v="0"/>
    <x v="0"/>
    <x v="0"/>
    <x v="0"/>
    <x v="0"/>
    <x v="0"/>
    <x v="0"/>
    <x v="0"/>
  </r>
  <r>
    <x v="2"/>
    <x v="2"/>
    <x v="1"/>
    <x v="0"/>
    <x v="0"/>
    <x v="1"/>
    <x v="0"/>
    <x v="0"/>
    <x v="0"/>
    <x v="0"/>
    <x v="0"/>
    <x v="0"/>
    <x v="0"/>
    <x v="0"/>
    <x v="0"/>
    <x v="0"/>
    <x v="0"/>
    <x v="0"/>
    <x v="0"/>
    <x v="0"/>
    <x v="0"/>
    <x v="0"/>
    <x v="0"/>
    <x v="0"/>
    <x v="0"/>
    <x v="0"/>
  </r>
  <r>
    <x v="3"/>
    <x v="3"/>
    <x v="1"/>
    <x v="0"/>
    <x v="0"/>
    <x v="1"/>
    <x v="0"/>
    <x v="0"/>
    <x v="0"/>
    <x v="0"/>
    <x v="0"/>
    <x v="0"/>
    <x v="0"/>
    <x v="0"/>
    <x v="0"/>
    <x v="0"/>
    <x v="0"/>
    <x v="0"/>
    <x v="0"/>
    <x v="0"/>
    <x v="0"/>
    <x v="0"/>
    <x v="0"/>
    <x v="0"/>
    <x v="0"/>
    <x v="0"/>
  </r>
  <r>
    <x v="7"/>
    <x v="7"/>
    <x v="1"/>
    <x v="0"/>
    <x v="0"/>
    <x v="1"/>
    <x v="0"/>
    <x v="0"/>
    <x v="0"/>
    <x v="0"/>
    <x v="0"/>
    <x v="0"/>
    <x v="0"/>
    <x v="0"/>
    <x v="0"/>
    <x v="0"/>
    <x v="0"/>
    <x v="0"/>
    <x v="0"/>
    <x v="0"/>
    <x v="0"/>
    <x v="0"/>
    <x v="0"/>
    <x v="0"/>
    <x v="0"/>
    <x v="0"/>
  </r>
  <r>
    <x v="6"/>
    <x v="6"/>
    <x v="1"/>
    <x v="0"/>
    <x v="0"/>
    <x v="1"/>
    <x v="0"/>
    <x v="0"/>
    <x v="0"/>
    <x v="0"/>
    <x v="0"/>
    <x v="0"/>
    <x v="0"/>
    <x v="0"/>
    <x v="0"/>
    <x v="0"/>
    <x v="0"/>
    <x v="0"/>
    <x v="0"/>
    <x v="0"/>
    <x v="0"/>
    <x v="0"/>
    <x v="0"/>
    <x v="0"/>
    <x v="0"/>
    <x v="0"/>
  </r>
  <r>
    <x v="8"/>
    <x v="8"/>
    <x v="1"/>
    <x v="0"/>
    <x v="0"/>
    <x v="1"/>
    <x v="0"/>
    <x v="0"/>
    <x v="0"/>
    <x v="0"/>
    <x v="0"/>
    <x v="0"/>
    <x v="0"/>
    <x v="0"/>
    <x v="0"/>
    <x v="0"/>
    <x v="0"/>
    <x v="0"/>
    <x v="0"/>
    <x v="0"/>
    <x v="0"/>
    <x v="0"/>
    <x v="0"/>
    <x v="0"/>
    <x v="0"/>
    <x v="0"/>
  </r>
  <r>
    <x v="9"/>
    <x v="9"/>
    <x v="1"/>
    <x v="0"/>
    <x v="0"/>
    <x v="1"/>
    <x v="0"/>
    <x v="0"/>
    <x v="0"/>
    <x v="0"/>
    <x v="0"/>
    <x v="0"/>
    <x v="0"/>
    <x v="0"/>
    <x v="0"/>
    <x v="0"/>
    <x v="0"/>
    <x v="0"/>
    <x v="0"/>
    <x v="0"/>
    <x v="0"/>
    <x v="0"/>
    <x v="0"/>
    <x v="0"/>
    <x v="0"/>
    <x v="0"/>
  </r>
  <r>
    <x v="4"/>
    <x v="4"/>
    <x v="1"/>
    <x v="0"/>
    <x v="0"/>
    <x v="1"/>
    <x v="0"/>
    <x v="0"/>
    <x v="0"/>
    <x v="0"/>
    <x v="0"/>
    <x v="0"/>
    <x v="0"/>
    <x v="0"/>
    <x v="0"/>
    <x v="0"/>
    <x v="0"/>
    <x v="0"/>
    <x v="0"/>
    <x v="0"/>
    <x v="0"/>
    <x v="0"/>
    <x v="0"/>
    <x v="0"/>
    <x v="0"/>
    <x v="0"/>
  </r>
  <r>
    <x v="5"/>
    <x v="5"/>
    <x v="1"/>
    <x v="0"/>
    <x v="0"/>
    <x v="1"/>
    <x v="0"/>
    <x v="0"/>
    <x v="0"/>
    <x v="0"/>
    <x v="0"/>
    <x v="0"/>
    <x v="0"/>
    <x v="0"/>
    <x v="0"/>
    <x v="0"/>
    <x v="0"/>
    <x v="0"/>
    <x v="0"/>
    <x v="0"/>
    <x v="0"/>
    <x v="0"/>
    <x v="0"/>
    <x v="0"/>
    <x v="0"/>
    <x v="0"/>
  </r>
  <r>
    <x v="0"/>
    <x v="0"/>
    <x v="1"/>
    <x v="0"/>
    <x v="0"/>
    <x v="1"/>
    <x v="0"/>
    <x v="0"/>
    <x v="0"/>
    <x v="0"/>
    <x v="0"/>
    <x v="0"/>
    <x v="0"/>
    <x v="0"/>
    <x v="0"/>
    <x v="0"/>
    <x v="0"/>
    <x v="0"/>
    <x v="0"/>
    <x v="0"/>
    <x v="0"/>
    <x v="0"/>
    <x v="0"/>
    <x v="0"/>
    <x v="0"/>
    <x v="0"/>
  </r>
  <r>
    <x v="0"/>
    <x v="0"/>
    <x v="1"/>
    <x v="0"/>
    <x v="0"/>
    <x v="1"/>
    <x v="0"/>
    <x v="0"/>
    <x v="0"/>
    <x v="0"/>
    <x v="0"/>
    <x v="0"/>
    <x v="0"/>
    <x v="0"/>
    <x v="0"/>
    <x v="0"/>
    <x v="0"/>
    <x v="0"/>
    <x v="0"/>
    <x v="0"/>
    <x v="0"/>
    <x v="0"/>
    <x v="0"/>
    <x v="0"/>
    <x v="0"/>
    <x v="0"/>
  </r>
  <r>
    <x v="1"/>
    <x v="1"/>
    <x v="1"/>
    <x v="0"/>
    <x v="0"/>
    <x v="1"/>
    <x v="0"/>
    <x v="0"/>
    <x v="0"/>
    <x v="0"/>
    <x v="0"/>
    <x v="0"/>
    <x v="0"/>
    <x v="0"/>
    <x v="0"/>
    <x v="0"/>
    <x v="0"/>
    <x v="0"/>
    <x v="0"/>
    <x v="0"/>
    <x v="0"/>
    <x v="0"/>
    <x v="0"/>
    <x v="0"/>
    <x v="0"/>
    <x v="0"/>
  </r>
  <r>
    <x v="10"/>
    <x v="10"/>
    <x v="1"/>
    <x v="0"/>
    <x v="0"/>
    <x v="1"/>
    <x v="0"/>
    <x v="0"/>
    <x v="0"/>
    <x v="0"/>
    <x v="0"/>
    <x v="0"/>
    <x v="0"/>
    <x v="0"/>
    <x v="0"/>
    <x v="0"/>
    <x v="0"/>
    <x v="0"/>
    <x v="0"/>
    <x v="0"/>
    <x v="0"/>
    <x v="0"/>
    <x v="0"/>
    <x v="0"/>
    <x v="0"/>
    <x v="0"/>
  </r>
  <r>
    <x v="11"/>
    <x v="11"/>
    <x v="1"/>
    <x v="0"/>
    <x v="0"/>
    <x v="1"/>
    <x v="0"/>
    <x v="0"/>
    <x v="0"/>
    <x v="0"/>
    <x v="0"/>
    <x v="0"/>
    <x v="0"/>
    <x v="0"/>
    <x v="0"/>
    <x v="0"/>
    <x v="0"/>
    <x v="0"/>
    <x v="0"/>
    <x v="0"/>
    <x v="0"/>
    <x v="0"/>
    <x v="0"/>
    <x v="0"/>
    <x v="0"/>
    <x v="0"/>
  </r>
  <r>
    <x v="2"/>
    <x v="2"/>
    <x v="1"/>
    <x v="0"/>
    <x v="0"/>
    <x v="1"/>
    <x v="0"/>
    <x v="0"/>
    <x v="0"/>
    <x v="0"/>
    <x v="0"/>
    <x v="0"/>
    <x v="0"/>
    <x v="0"/>
    <x v="0"/>
    <x v="0"/>
    <x v="0"/>
    <x v="0"/>
    <x v="0"/>
    <x v="0"/>
    <x v="0"/>
    <x v="0"/>
    <x v="0"/>
    <x v="0"/>
    <x v="0"/>
    <x v="0"/>
  </r>
  <r>
    <x v="3"/>
    <x v="3"/>
    <x v="1"/>
    <x v="0"/>
    <x v="0"/>
    <x v="1"/>
    <x v="0"/>
    <x v="0"/>
    <x v="0"/>
    <x v="0"/>
    <x v="0"/>
    <x v="0"/>
    <x v="0"/>
    <x v="0"/>
    <x v="0"/>
    <x v="0"/>
    <x v="0"/>
    <x v="0"/>
    <x v="0"/>
    <x v="0"/>
    <x v="0"/>
    <x v="0"/>
    <x v="0"/>
    <x v="0"/>
    <x v="0"/>
    <x v="0"/>
  </r>
  <r>
    <x v="7"/>
    <x v="7"/>
    <x v="1"/>
    <x v="0"/>
    <x v="0"/>
    <x v="1"/>
    <x v="0"/>
    <x v="0"/>
    <x v="0"/>
    <x v="0"/>
    <x v="0"/>
    <x v="0"/>
    <x v="0"/>
    <x v="0"/>
    <x v="0"/>
    <x v="0"/>
    <x v="0"/>
    <x v="0"/>
    <x v="0"/>
    <x v="0"/>
    <x v="0"/>
    <x v="0"/>
    <x v="0"/>
    <x v="0"/>
    <x v="0"/>
    <x v="0"/>
  </r>
  <r>
    <x v="6"/>
    <x v="6"/>
    <x v="1"/>
    <x v="0"/>
    <x v="0"/>
    <x v="1"/>
    <x v="0"/>
    <x v="0"/>
    <x v="0"/>
    <x v="0"/>
    <x v="0"/>
    <x v="0"/>
    <x v="0"/>
    <x v="0"/>
    <x v="0"/>
    <x v="0"/>
    <x v="0"/>
    <x v="0"/>
    <x v="0"/>
    <x v="0"/>
    <x v="0"/>
    <x v="0"/>
    <x v="0"/>
    <x v="0"/>
    <x v="0"/>
    <x v="0"/>
  </r>
  <r>
    <x v="8"/>
    <x v="8"/>
    <x v="1"/>
    <x v="0"/>
    <x v="0"/>
    <x v="1"/>
    <x v="0"/>
    <x v="0"/>
    <x v="0"/>
    <x v="0"/>
    <x v="0"/>
    <x v="0"/>
    <x v="0"/>
    <x v="0"/>
    <x v="0"/>
    <x v="0"/>
    <x v="0"/>
    <x v="0"/>
    <x v="0"/>
    <x v="0"/>
    <x v="0"/>
    <x v="0"/>
    <x v="0"/>
    <x v="0"/>
    <x v="0"/>
    <x v="0"/>
  </r>
  <r>
    <x v="9"/>
    <x v="9"/>
    <x v="1"/>
    <x v="0"/>
    <x v="0"/>
    <x v="1"/>
    <x v="0"/>
    <x v="0"/>
    <x v="0"/>
    <x v="0"/>
    <x v="0"/>
    <x v="0"/>
    <x v="0"/>
    <x v="0"/>
    <x v="0"/>
    <x v="0"/>
    <x v="0"/>
    <x v="0"/>
    <x v="0"/>
    <x v="0"/>
    <x v="0"/>
    <x v="0"/>
    <x v="0"/>
    <x v="0"/>
    <x v="0"/>
    <x v="0"/>
  </r>
  <r>
    <x v="4"/>
    <x v="4"/>
    <x v="1"/>
    <x v="0"/>
    <x v="0"/>
    <x v="1"/>
    <x v="0"/>
    <x v="0"/>
    <x v="0"/>
    <x v="0"/>
    <x v="0"/>
    <x v="0"/>
    <x v="0"/>
    <x v="0"/>
    <x v="0"/>
    <x v="0"/>
    <x v="0"/>
    <x v="0"/>
    <x v="0"/>
    <x v="0"/>
    <x v="0"/>
    <x v="0"/>
    <x v="0"/>
    <x v="0"/>
    <x v="0"/>
    <x v="0"/>
  </r>
  <r>
    <x v="5"/>
    <x v="5"/>
    <x v="1"/>
    <x v="0"/>
    <x v="0"/>
    <x v="1"/>
    <x v="0"/>
    <x v="0"/>
    <x v="0"/>
    <x v="0"/>
    <x v="0"/>
    <x v="0"/>
    <x v="0"/>
    <x v="0"/>
    <x v="0"/>
    <x v="0"/>
    <x v="0"/>
    <x v="0"/>
    <x v="0"/>
    <x v="0"/>
    <x v="0"/>
    <x v="0"/>
    <x v="0"/>
    <x v="0"/>
    <x v="0"/>
    <x v="0"/>
  </r>
  <r>
    <x v="4"/>
    <x v="4"/>
    <x v="11"/>
    <x v="0"/>
    <x v="0"/>
    <x v="0"/>
    <x v="0"/>
    <x v="0"/>
    <x v="0"/>
    <x v="0"/>
    <x v="0"/>
    <x v="0"/>
    <x v="0"/>
    <x v="0"/>
    <x v="0"/>
    <x v="0"/>
    <x v="0"/>
    <x v="0"/>
    <x v="0"/>
    <x v="0"/>
    <x v="0"/>
    <x v="0"/>
    <x v="0"/>
    <x v="0"/>
    <x v="0"/>
    <x v="0"/>
  </r>
  <r>
    <x v="5"/>
    <x v="5"/>
    <x v="12"/>
    <x v="0"/>
    <x v="6"/>
    <x v="8"/>
    <x v="6"/>
    <x v="8"/>
    <x v="7"/>
    <x v="0"/>
    <x v="0"/>
    <x v="1"/>
    <x v="0"/>
    <x v="0"/>
    <x v="0"/>
    <x v="0"/>
    <x v="0"/>
    <x v="0"/>
    <x v="0"/>
    <x v="1"/>
    <x v="0"/>
    <x v="0"/>
    <x v="0"/>
    <x v="0"/>
    <x v="0"/>
    <x v="0"/>
  </r>
  <r>
    <x v="4"/>
    <x v="4"/>
    <x v="1"/>
    <x v="0"/>
    <x v="0"/>
    <x v="1"/>
    <x v="0"/>
    <x v="0"/>
    <x v="0"/>
    <x v="0"/>
    <x v="0"/>
    <x v="0"/>
    <x v="0"/>
    <x v="0"/>
    <x v="0"/>
    <x v="0"/>
    <x v="0"/>
    <x v="0"/>
    <x v="0"/>
    <x v="0"/>
    <x v="0"/>
    <x v="0"/>
    <x v="0"/>
    <x v="0"/>
    <x v="0"/>
    <x v="0"/>
  </r>
  <r>
    <x v="5"/>
    <x v="5"/>
    <x v="1"/>
    <x v="0"/>
    <x v="0"/>
    <x v="1"/>
    <x v="0"/>
    <x v="0"/>
    <x v="0"/>
    <x v="0"/>
    <x v="0"/>
    <x v="0"/>
    <x v="0"/>
    <x v="0"/>
    <x v="0"/>
    <x v="0"/>
    <x v="0"/>
    <x v="0"/>
    <x v="0"/>
    <x v="0"/>
    <x v="0"/>
    <x v="0"/>
    <x v="0"/>
    <x v="0"/>
    <x v="0"/>
    <x v="0"/>
  </r>
  <r>
    <x v="12"/>
    <x v="12"/>
    <x v="13"/>
    <x v="0"/>
    <x v="0"/>
    <x v="0"/>
    <x v="0"/>
    <x v="0"/>
    <x v="0"/>
    <x v="0"/>
    <x v="0"/>
    <x v="0"/>
    <x v="0"/>
    <x v="0"/>
    <x v="0"/>
    <x v="0"/>
    <x v="0"/>
    <x v="0"/>
    <x v="0"/>
    <x v="0"/>
    <x v="0"/>
    <x v="0"/>
    <x v="0"/>
    <x v="0"/>
    <x v="0"/>
    <x v="0"/>
  </r>
  <r>
    <x v="12"/>
    <x v="12"/>
    <x v="1"/>
    <x v="0"/>
    <x v="0"/>
    <x v="1"/>
    <x v="0"/>
    <x v="0"/>
    <x v="0"/>
    <x v="0"/>
    <x v="0"/>
    <x v="0"/>
    <x v="0"/>
    <x v="0"/>
    <x v="0"/>
    <x v="0"/>
    <x v="0"/>
    <x v="0"/>
    <x v="0"/>
    <x v="0"/>
    <x v="0"/>
    <x v="0"/>
    <x v="0"/>
    <x v="0"/>
    <x v="0"/>
    <x v="0"/>
  </r>
  <r>
    <x v="13"/>
    <x v="13"/>
    <x v="1"/>
    <x v="0"/>
    <x v="0"/>
    <x v="1"/>
    <x v="0"/>
    <x v="0"/>
    <x v="0"/>
    <x v="0"/>
    <x v="0"/>
    <x v="0"/>
    <x v="0"/>
    <x v="0"/>
    <x v="0"/>
    <x v="0"/>
    <x v="0"/>
    <x v="0"/>
    <x v="0"/>
    <x v="0"/>
    <x v="0"/>
    <x v="0"/>
    <x v="0"/>
    <x v="0"/>
    <x v="0"/>
    <x v="0"/>
  </r>
  <r>
    <x v="13"/>
    <x v="13"/>
    <x v="14"/>
    <x v="0"/>
    <x v="0"/>
    <x v="0"/>
    <x v="0"/>
    <x v="0"/>
    <x v="0"/>
    <x v="0"/>
    <x v="0"/>
    <x v="0"/>
    <x v="0"/>
    <x v="0"/>
    <x v="0"/>
    <x v="0"/>
    <x v="0"/>
    <x v="0"/>
    <x v="0"/>
    <x v="0"/>
    <x v="0"/>
    <x v="0"/>
    <x v="0"/>
    <x v="0"/>
    <x v="0"/>
    <x v="0"/>
  </r>
  <r>
    <x v="14"/>
    <x v="14"/>
    <x v="15"/>
    <x v="0"/>
    <x v="0"/>
    <x v="0"/>
    <x v="0"/>
    <x v="0"/>
    <x v="0"/>
    <x v="0"/>
    <x v="0"/>
    <x v="0"/>
    <x v="0"/>
    <x v="0"/>
    <x v="0"/>
    <x v="0"/>
    <x v="0"/>
    <x v="0"/>
    <x v="0"/>
    <x v="0"/>
    <x v="0"/>
    <x v="0"/>
    <x v="0"/>
    <x v="0"/>
    <x v="0"/>
    <x v="0"/>
  </r>
  <r>
    <x v="14"/>
    <x v="14"/>
    <x v="16"/>
    <x v="0"/>
    <x v="0"/>
    <x v="0"/>
    <x v="0"/>
    <x v="0"/>
    <x v="0"/>
    <x v="0"/>
    <x v="0"/>
    <x v="0"/>
    <x v="0"/>
    <x v="0"/>
    <x v="0"/>
    <x v="0"/>
    <x v="0"/>
    <x v="0"/>
    <x v="0"/>
    <x v="0"/>
    <x v="0"/>
    <x v="0"/>
    <x v="0"/>
    <x v="0"/>
    <x v="0"/>
    <x v="0"/>
  </r>
  <r>
    <x v="15"/>
    <x v="15"/>
    <x v="17"/>
    <x v="0"/>
    <x v="0"/>
    <x v="0"/>
    <x v="0"/>
    <x v="0"/>
    <x v="0"/>
    <x v="0"/>
    <x v="0"/>
    <x v="0"/>
    <x v="0"/>
    <x v="0"/>
    <x v="0"/>
    <x v="0"/>
    <x v="0"/>
    <x v="0"/>
    <x v="0"/>
    <x v="0"/>
    <x v="0"/>
    <x v="0"/>
    <x v="0"/>
    <x v="0"/>
    <x v="0"/>
    <x v="0"/>
  </r>
  <r>
    <x v="16"/>
    <x v="16"/>
    <x v="1"/>
    <x v="0"/>
    <x v="0"/>
    <x v="1"/>
    <x v="0"/>
    <x v="0"/>
    <x v="0"/>
    <x v="0"/>
    <x v="0"/>
    <x v="0"/>
    <x v="0"/>
    <x v="0"/>
    <x v="0"/>
    <x v="0"/>
    <x v="0"/>
    <x v="0"/>
    <x v="0"/>
    <x v="0"/>
    <x v="0"/>
    <x v="0"/>
    <x v="0"/>
    <x v="0"/>
    <x v="0"/>
    <x v="0"/>
  </r>
  <r>
    <x v="15"/>
    <x v="15"/>
    <x v="18"/>
    <x v="0"/>
    <x v="0"/>
    <x v="0"/>
    <x v="0"/>
    <x v="0"/>
    <x v="0"/>
    <x v="0"/>
    <x v="0"/>
    <x v="0"/>
    <x v="0"/>
    <x v="0"/>
    <x v="0"/>
    <x v="0"/>
    <x v="0"/>
    <x v="0"/>
    <x v="0"/>
    <x v="0"/>
    <x v="0"/>
    <x v="0"/>
    <x v="0"/>
    <x v="0"/>
    <x v="0"/>
    <x v="0"/>
  </r>
  <r>
    <x v="16"/>
    <x v="16"/>
    <x v="19"/>
    <x v="0"/>
    <x v="0"/>
    <x v="0"/>
    <x v="0"/>
    <x v="0"/>
    <x v="0"/>
    <x v="0"/>
    <x v="0"/>
    <x v="0"/>
    <x v="0"/>
    <x v="0"/>
    <x v="0"/>
    <x v="0"/>
    <x v="0"/>
    <x v="0"/>
    <x v="0"/>
    <x v="0"/>
    <x v="0"/>
    <x v="0"/>
    <x v="0"/>
    <x v="0"/>
    <x v="0"/>
    <x v="0"/>
  </r>
  <r>
    <x v="17"/>
    <x v="17"/>
    <x v="20"/>
    <x v="2"/>
    <x v="7"/>
    <x v="1"/>
    <x v="7"/>
    <x v="9"/>
    <x v="0"/>
    <x v="0"/>
    <x v="0"/>
    <x v="0"/>
    <x v="3"/>
    <x v="3"/>
    <x v="3"/>
    <x v="3"/>
    <x v="3"/>
    <x v="3"/>
    <x v="0"/>
    <x v="0"/>
    <x v="3"/>
    <x v="3"/>
    <x v="3"/>
    <x v="3"/>
    <x v="3"/>
    <x v="3"/>
  </r>
</pivotCacheRecords>
</file>

<file path=xl/pivotCache/pivotCacheRecords59.xml><?xml version="1.0" encoding="utf-8"?>
<pivotCacheRecords xmlns="http://schemas.openxmlformats.org/spreadsheetml/2006/main" xmlns:r="http://schemas.openxmlformats.org/officeDocument/2006/relationships" count="118">
  <r>
    <x v="0"/>
    <x v="0"/>
    <x v="0"/>
    <x v="0"/>
    <x v="0"/>
    <x v="0"/>
    <x v="0"/>
    <x v="0"/>
    <x v="0"/>
    <x v="0"/>
    <x v="0"/>
    <x v="0"/>
    <x v="0"/>
    <x v="0"/>
    <x v="0"/>
    <x v="0"/>
    <x v="0"/>
    <x v="0"/>
    <x v="0"/>
    <x v="0"/>
    <x v="0"/>
    <x v="0"/>
    <x v="0"/>
    <x v="0"/>
    <x v="0"/>
    <x v="0"/>
  </r>
  <r>
    <x v="0"/>
    <x v="0"/>
    <x v="0"/>
    <x v="0"/>
    <x v="0"/>
    <x v="0"/>
    <x v="0"/>
    <x v="0"/>
    <x v="0"/>
    <x v="0"/>
    <x v="0"/>
    <x v="0"/>
    <x v="0"/>
    <x v="0"/>
    <x v="0"/>
    <x v="0"/>
    <x v="0"/>
    <x v="0"/>
    <x v="0"/>
    <x v="0"/>
    <x v="0"/>
    <x v="0"/>
    <x v="0"/>
    <x v="0"/>
    <x v="0"/>
    <x v="0"/>
  </r>
  <r>
    <x v="1"/>
    <x v="1"/>
    <x v="1"/>
    <x v="0"/>
    <x v="1"/>
    <x v="1"/>
    <x v="1"/>
    <x v="1"/>
    <x v="1"/>
    <x v="0"/>
    <x v="0"/>
    <x v="1"/>
    <x v="0"/>
    <x v="0"/>
    <x v="0"/>
    <x v="0"/>
    <x v="0"/>
    <x v="0"/>
    <x v="0"/>
    <x v="1"/>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5"/>
    <x v="5"/>
    <x v="0"/>
    <x v="0"/>
    <x v="0"/>
    <x v="0"/>
    <x v="0"/>
    <x v="0"/>
    <x v="0"/>
    <x v="0"/>
    <x v="0"/>
    <x v="0"/>
    <x v="0"/>
    <x v="0"/>
    <x v="0"/>
    <x v="0"/>
    <x v="0"/>
    <x v="0"/>
    <x v="0"/>
    <x v="0"/>
    <x v="0"/>
    <x v="0"/>
    <x v="0"/>
    <x v="0"/>
    <x v="0"/>
    <x v="0"/>
  </r>
  <r>
    <x v="9"/>
    <x v="9"/>
    <x v="0"/>
    <x v="0"/>
    <x v="0"/>
    <x v="0"/>
    <x v="0"/>
    <x v="0"/>
    <x v="0"/>
    <x v="0"/>
    <x v="0"/>
    <x v="0"/>
    <x v="0"/>
    <x v="0"/>
    <x v="0"/>
    <x v="0"/>
    <x v="0"/>
    <x v="0"/>
    <x v="0"/>
    <x v="0"/>
    <x v="0"/>
    <x v="0"/>
    <x v="0"/>
    <x v="0"/>
    <x v="0"/>
    <x v="0"/>
  </r>
  <r>
    <x v="10"/>
    <x v="10"/>
    <x v="0"/>
    <x v="0"/>
    <x v="0"/>
    <x v="0"/>
    <x v="0"/>
    <x v="0"/>
    <x v="0"/>
    <x v="0"/>
    <x v="0"/>
    <x v="0"/>
    <x v="0"/>
    <x v="0"/>
    <x v="0"/>
    <x v="0"/>
    <x v="0"/>
    <x v="0"/>
    <x v="0"/>
    <x v="0"/>
    <x v="0"/>
    <x v="0"/>
    <x v="0"/>
    <x v="0"/>
    <x v="0"/>
    <x v="0"/>
  </r>
  <r>
    <x v="11"/>
    <x v="11"/>
    <x v="0"/>
    <x v="0"/>
    <x v="0"/>
    <x v="0"/>
    <x v="0"/>
    <x v="0"/>
    <x v="0"/>
    <x v="0"/>
    <x v="0"/>
    <x v="0"/>
    <x v="0"/>
    <x v="0"/>
    <x v="0"/>
    <x v="0"/>
    <x v="0"/>
    <x v="0"/>
    <x v="0"/>
    <x v="0"/>
    <x v="0"/>
    <x v="0"/>
    <x v="0"/>
    <x v="0"/>
    <x v="0"/>
    <x v="0"/>
  </r>
  <r>
    <x v="12"/>
    <x v="12"/>
    <x v="0"/>
    <x v="0"/>
    <x v="0"/>
    <x v="0"/>
    <x v="0"/>
    <x v="0"/>
    <x v="0"/>
    <x v="0"/>
    <x v="0"/>
    <x v="0"/>
    <x v="0"/>
    <x v="0"/>
    <x v="0"/>
    <x v="0"/>
    <x v="0"/>
    <x v="0"/>
    <x v="0"/>
    <x v="0"/>
    <x v="0"/>
    <x v="0"/>
    <x v="0"/>
    <x v="0"/>
    <x v="0"/>
    <x v="0"/>
  </r>
  <r>
    <x v="1"/>
    <x v="1"/>
    <x v="2"/>
    <x v="0"/>
    <x v="2"/>
    <x v="2"/>
    <x v="2"/>
    <x v="2"/>
    <x v="2"/>
    <x v="0"/>
    <x v="1"/>
    <x v="2"/>
    <x v="1"/>
    <x v="1"/>
    <x v="1"/>
    <x v="1"/>
    <x v="1"/>
    <x v="1"/>
    <x v="1"/>
    <x v="2"/>
    <x v="1"/>
    <x v="1"/>
    <x v="1"/>
    <x v="1"/>
    <x v="1"/>
    <x v="1"/>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8"/>
    <x v="8"/>
    <x v="3"/>
    <x v="0"/>
    <x v="3"/>
    <x v="3"/>
    <x v="3"/>
    <x v="3"/>
    <x v="3"/>
    <x v="0"/>
    <x v="2"/>
    <x v="3"/>
    <x v="2"/>
    <x v="2"/>
    <x v="2"/>
    <x v="2"/>
    <x v="2"/>
    <x v="2"/>
    <x v="2"/>
    <x v="3"/>
    <x v="2"/>
    <x v="2"/>
    <x v="2"/>
    <x v="2"/>
    <x v="2"/>
    <x v="2"/>
  </r>
  <r>
    <x v="7"/>
    <x v="7"/>
    <x v="4"/>
    <x v="0"/>
    <x v="4"/>
    <x v="4"/>
    <x v="4"/>
    <x v="4"/>
    <x v="4"/>
    <x v="0"/>
    <x v="3"/>
    <x v="4"/>
    <x v="3"/>
    <x v="3"/>
    <x v="3"/>
    <x v="3"/>
    <x v="3"/>
    <x v="3"/>
    <x v="3"/>
    <x v="4"/>
    <x v="3"/>
    <x v="3"/>
    <x v="3"/>
    <x v="3"/>
    <x v="3"/>
    <x v="3"/>
  </r>
  <r>
    <x v="10"/>
    <x v="10"/>
    <x v="0"/>
    <x v="0"/>
    <x v="0"/>
    <x v="0"/>
    <x v="0"/>
    <x v="0"/>
    <x v="0"/>
    <x v="0"/>
    <x v="0"/>
    <x v="0"/>
    <x v="0"/>
    <x v="0"/>
    <x v="0"/>
    <x v="0"/>
    <x v="0"/>
    <x v="0"/>
    <x v="0"/>
    <x v="0"/>
    <x v="0"/>
    <x v="0"/>
    <x v="0"/>
    <x v="0"/>
    <x v="0"/>
    <x v="0"/>
  </r>
  <r>
    <x v="9"/>
    <x v="9"/>
    <x v="0"/>
    <x v="0"/>
    <x v="0"/>
    <x v="0"/>
    <x v="0"/>
    <x v="0"/>
    <x v="0"/>
    <x v="0"/>
    <x v="0"/>
    <x v="0"/>
    <x v="0"/>
    <x v="0"/>
    <x v="0"/>
    <x v="0"/>
    <x v="0"/>
    <x v="0"/>
    <x v="0"/>
    <x v="0"/>
    <x v="0"/>
    <x v="0"/>
    <x v="0"/>
    <x v="0"/>
    <x v="0"/>
    <x v="0"/>
  </r>
  <r>
    <x v="12"/>
    <x v="12"/>
    <x v="0"/>
    <x v="0"/>
    <x v="0"/>
    <x v="0"/>
    <x v="0"/>
    <x v="0"/>
    <x v="0"/>
    <x v="0"/>
    <x v="0"/>
    <x v="0"/>
    <x v="0"/>
    <x v="0"/>
    <x v="0"/>
    <x v="0"/>
    <x v="0"/>
    <x v="0"/>
    <x v="0"/>
    <x v="0"/>
    <x v="0"/>
    <x v="0"/>
    <x v="0"/>
    <x v="0"/>
    <x v="0"/>
    <x v="0"/>
  </r>
  <r>
    <x v="11"/>
    <x v="11"/>
    <x v="0"/>
    <x v="0"/>
    <x v="0"/>
    <x v="0"/>
    <x v="0"/>
    <x v="0"/>
    <x v="0"/>
    <x v="0"/>
    <x v="0"/>
    <x v="0"/>
    <x v="0"/>
    <x v="0"/>
    <x v="0"/>
    <x v="0"/>
    <x v="0"/>
    <x v="0"/>
    <x v="0"/>
    <x v="0"/>
    <x v="0"/>
    <x v="0"/>
    <x v="0"/>
    <x v="0"/>
    <x v="0"/>
    <x v="0"/>
  </r>
  <r>
    <x v="8"/>
    <x v="8"/>
    <x v="5"/>
    <x v="0"/>
    <x v="5"/>
    <x v="5"/>
    <x v="5"/>
    <x v="5"/>
    <x v="5"/>
    <x v="0"/>
    <x v="0"/>
    <x v="1"/>
    <x v="0"/>
    <x v="0"/>
    <x v="0"/>
    <x v="0"/>
    <x v="0"/>
    <x v="0"/>
    <x v="0"/>
    <x v="1"/>
    <x v="0"/>
    <x v="0"/>
    <x v="0"/>
    <x v="0"/>
    <x v="0"/>
    <x v="0"/>
  </r>
  <r>
    <x v="7"/>
    <x v="7"/>
    <x v="6"/>
    <x v="0"/>
    <x v="6"/>
    <x v="6"/>
    <x v="6"/>
    <x v="6"/>
    <x v="6"/>
    <x v="0"/>
    <x v="4"/>
    <x v="5"/>
    <x v="4"/>
    <x v="4"/>
    <x v="4"/>
    <x v="4"/>
    <x v="4"/>
    <x v="4"/>
    <x v="4"/>
    <x v="5"/>
    <x v="4"/>
    <x v="4"/>
    <x v="4"/>
    <x v="4"/>
    <x v="4"/>
    <x v="4"/>
  </r>
  <r>
    <x v="1"/>
    <x v="1"/>
    <x v="7"/>
    <x v="0"/>
    <x v="3"/>
    <x v="7"/>
    <x v="7"/>
    <x v="7"/>
    <x v="7"/>
    <x v="0"/>
    <x v="0"/>
    <x v="1"/>
    <x v="0"/>
    <x v="0"/>
    <x v="0"/>
    <x v="0"/>
    <x v="0"/>
    <x v="0"/>
    <x v="0"/>
    <x v="1"/>
    <x v="0"/>
    <x v="0"/>
    <x v="0"/>
    <x v="0"/>
    <x v="0"/>
    <x v="0"/>
  </r>
  <r>
    <x v="13"/>
    <x v="13"/>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10"/>
    <x v="10"/>
    <x v="0"/>
    <x v="0"/>
    <x v="0"/>
    <x v="0"/>
    <x v="0"/>
    <x v="0"/>
    <x v="0"/>
    <x v="0"/>
    <x v="0"/>
    <x v="0"/>
    <x v="0"/>
    <x v="0"/>
    <x v="0"/>
    <x v="0"/>
    <x v="0"/>
    <x v="0"/>
    <x v="0"/>
    <x v="0"/>
    <x v="0"/>
    <x v="0"/>
    <x v="0"/>
    <x v="0"/>
    <x v="0"/>
    <x v="0"/>
  </r>
  <r>
    <x v="9"/>
    <x v="9"/>
    <x v="0"/>
    <x v="0"/>
    <x v="0"/>
    <x v="0"/>
    <x v="0"/>
    <x v="0"/>
    <x v="0"/>
    <x v="0"/>
    <x v="0"/>
    <x v="0"/>
    <x v="0"/>
    <x v="0"/>
    <x v="0"/>
    <x v="0"/>
    <x v="0"/>
    <x v="0"/>
    <x v="0"/>
    <x v="0"/>
    <x v="0"/>
    <x v="0"/>
    <x v="0"/>
    <x v="0"/>
    <x v="0"/>
    <x v="0"/>
  </r>
  <r>
    <x v="12"/>
    <x v="12"/>
    <x v="0"/>
    <x v="0"/>
    <x v="0"/>
    <x v="0"/>
    <x v="0"/>
    <x v="0"/>
    <x v="0"/>
    <x v="0"/>
    <x v="0"/>
    <x v="0"/>
    <x v="0"/>
    <x v="0"/>
    <x v="0"/>
    <x v="0"/>
    <x v="0"/>
    <x v="0"/>
    <x v="0"/>
    <x v="0"/>
    <x v="0"/>
    <x v="0"/>
    <x v="0"/>
    <x v="0"/>
    <x v="0"/>
    <x v="0"/>
  </r>
  <r>
    <x v="11"/>
    <x v="11"/>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6"/>
    <x v="6"/>
    <x v="0"/>
    <x v="0"/>
    <x v="0"/>
    <x v="0"/>
    <x v="0"/>
    <x v="0"/>
    <x v="0"/>
    <x v="0"/>
    <x v="0"/>
    <x v="0"/>
    <x v="0"/>
    <x v="0"/>
    <x v="0"/>
    <x v="0"/>
    <x v="0"/>
    <x v="0"/>
    <x v="0"/>
    <x v="0"/>
    <x v="0"/>
    <x v="0"/>
    <x v="0"/>
    <x v="0"/>
    <x v="0"/>
    <x v="0"/>
  </r>
  <r>
    <x v="2"/>
    <x v="2"/>
    <x v="0"/>
    <x v="0"/>
    <x v="0"/>
    <x v="0"/>
    <x v="0"/>
    <x v="0"/>
    <x v="0"/>
    <x v="0"/>
    <x v="0"/>
    <x v="0"/>
    <x v="0"/>
    <x v="0"/>
    <x v="0"/>
    <x v="0"/>
    <x v="0"/>
    <x v="0"/>
    <x v="0"/>
    <x v="0"/>
    <x v="0"/>
    <x v="0"/>
    <x v="0"/>
    <x v="0"/>
    <x v="0"/>
    <x v="0"/>
  </r>
  <r>
    <x v="1"/>
    <x v="1"/>
    <x v="8"/>
    <x v="1"/>
    <x v="0"/>
    <x v="8"/>
    <x v="0"/>
    <x v="8"/>
    <x v="0"/>
    <x v="1"/>
    <x v="0"/>
    <x v="1"/>
    <x v="0"/>
    <x v="0"/>
    <x v="0"/>
    <x v="0"/>
    <x v="0"/>
    <x v="0"/>
    <x v="0"/>
    <x v="1"/>
    <x v="0"/>
    <x v="0"/>
    <x v="0"/>
    <x v="0"/>
    <x v="0"/>
    <x v="0"/>
  </r>
  <r>
    <x v="3"/>
    <x v="3"/>
    <x v="0"/>
    <x v="0"/>
    <x v="0"/>
    <x v="0"/>
    <x v="0"/>
    <x v="0"/>
    <x v="0"/>
    <x v="0"/>
    <x v="0"/>
    <x v="0"/>
    <x v="0"/>
    <x v="0"/>
    <x v="0"/>
    <x v="0"/>
    <x v="0"/>
    <x v="0"/>
    <x v="0"/>
    <x v="0"/>
    <x v="0"/>
    <x v="0"/>
    <x v="0"/>
    <x v="0"/>
    <x v="0"/>
    <x v="0"/>
  </r>
  <r>
    <x v="2"/>
    <x v="2"/>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1"/>
    <x v="1"/>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10"/>
    <x v="10"/>
    <x v="0"/>
    <x v="0"/>
    <x v="0"/>
    <x v="0"/>
    <x v="0"/>
    <x v="0"/>
    <x v="0"/>
    <x v="0"/>
    <x v="0"/>
    <x v="0"/>
    <x v="0"/>
    <x v="0"/>
    <x v="0"/>
    <x v="0"/>
    <x v="0"/>
    <x v="0"/>
    <x v="0"/>
    <x v="0"/>
    <x v="0"/>
    <x v="0"/>
    <x v="0"/>
    <x v="0"/>
    <x v="0"/>
    <x v="0"/>
  </r>
  <r>
    <x v="9"/>
    <x v="9"/>
    <x v="0"/>
    <x v="0"/>
    <x v="0"/>
    <x v="0"/>
    <x v="0"/>
    <x v="0"/>
    <x v="0"/>
    <x v="0"/>
    <x v="0"/>
    <x v="0"/>
    <x v="0"/>
    <x v="0"/>
    <x v="0"/>
    <x v="0"/>
    <x v="0"/>
    <x v="0"/>
    <x v="0"/>
    <x v="0"/>
    <x v="0"/>
    <x v="0"/>
    <x v="0"/>
    <x v="0"/>
    <x v="0"/>
    <x v="0"/>
  </r>
  <r>
    <x v="12"/>
    <x v="12"/>
    <x v="0"/>
    <x v="0"/>
    <x v="0"/>
    <x v="0"/>
    <x v="0"/>
    <x v="0"/>
    <x v="0"/>
    <x v="0"/>
    <x v="0"/>
    <x v="0"/>
    <x v="0"/>
    <x v="0"/>
    <x v="0"/>
    <x v="0"/>
    <x v="0"/>
    <x v="0"/>
    <x v="0"/>
    <x v="0"/>
    <x v="0"/>
    <x v="0"/>
    <x v="0"/>
    <x v="0"/>
    <x v="0"/>
    <x v="0"/>
  </r>
  <r>
    <x v="9"/>
    <x v="9"/>
    <x v="0"/>
    <x v="0"/>
    <x v="0"/>
    <x v="0"/>
    <x v="0"/>
    <x v="0"/>
    <x v="0"/>
    <x v="0"/>
    <x v="0"/>
    <x v="0"/>
    <x v="0"/>
    <x v="0"/>
    <x v="0"/>
    <x v="0"/>
    <x v="0"/>
    <x v="0"/>
    <x v="0"/>
    <x v="0"/>
    <x v="0"/>
    <x v="0"/>
    <x v="0"/>
    <x v="0"/>
    <x v="0"/>
    <x v="0"/>
  </r>
  <r>
    <x v="10"/>
    <x v="10"/>
    <x v="0"/>
    <x v="0"/>
    <x v="0"/>
    <x v="0"/>
    <x v="0"/>
    <x v="0"/>
    <x v="0"/>
    <x v="0"/>
    <x v="0"/>
    <x v="0"/>
    <x v="0"/>
    <x v="0"/>
    <x v="0"/>
    <x v="0"/>
    <x v="0"/>
    <x v="0"/>
    <x v="0"/>
    <x v="0"/>
    <x v="0"/>
    <x v="0"/>
    <x v="0"/>
    <x v="0"/>
    <x v="0"/>
    <x v="0"/>
  </r>
  <r>
    <x v="12"/>
    <x v="12"/>
    <x v="0"/>
    <x v="0"/>
    <x v="0"/>
    <x v="0"/>
    <x v="0"/>
    <x v="0"/>
    <x v="0"/>
    <x v="0"/>
    <x v="0"/>
    <x v="0"/>
    <x v="0"/>
    <x v="0"/>
    <x v="0"/>
    <x v="0"/>
    <x v="0"/>
    <x v="0"/>
    <x v="0"/>
    <x v="0"/>
    <x v="0"/>
    <x v="0"/>
    <x v="0"/>
    <x v="0"/>
    <x v="0"/>
    <x v="0"/>
  </r>
  <r>
    <x v="11"/>
    <x v="11"/>
    <x v="0"/>
    <x v="0"/>
    <x v="0"/>
    <x v="0"/>
    <x v="0"/>
    <x v="0"/>
    <x v="0"/>
    <x v="0"/>
    <x v="0"/>
    <x v="0"/>
    <x v="0"/>
    <x v="0"/>
    <x v="0"/>
    <x v="0"/>
    <x v="0"/>
    <x v="0"/>
    <x v="0"/>
    <x v="0"/>
    <x v="0"/>
    <x v="0"/>
    <x v="0"/>
    <x v="0"/>
    <x v="0"/>
    <x v="0"/>
  </r>
  <r>
    <x v="1"/>
    <x v="1"/>
    <x v="0"/>
    <x v="0"/>
    <x v="0"/>
    <x v="0"/>
    <x v="0"/>
    <x v="0"/>
    <x v="0"/>
    <x v="0"/>
    <x v="0"/>
    <x v="0"/>
    <x v="0"/>
    <x v="0"/>
    <x v="0"/>
    <x v="0"/>
    <x v="0"/>
    <x v="0"/>
    <x v="0"/>
    <x v="0"/>
    <x v="0"/>
    <x v="0"/>
    <x v="0"/>
    <x v="0"/>
    <x v="0"/>
    <x v="0"/>
  </r>
  <r>
    <x v="10"/>
    <x v="10"/>
    <x v="0"/>
    <x v="0"/>
    <x v="0"/>
    <x v="0"/>
    <x v="0"/>
    <x v="0"/>
    <x v="0"/>
    <x v="0"/>
    <x v="0"/>
    <x v="0"/>
    <x v="0"/>
    <x v="0"/>
    <x v="0"/>
    <x v="0"/>
    <x v="0"/>
    <x v="0"/>
    <x v="0"/>
    <x v="0"/>
    <x v="0"/>
    <x v="0"/>
    <x v="0"/>
    <x v="0"/>
    <x v="0"/>
    <x v="0"/>
  </r>
  <r>
    <x v="11"/>
    <x v="11"/>
    <x v="0"/>
    <x v="0"/>
    <x v="0"/>
    <x v="0"/>
    <x v="0"/>
    <x v="0"/>
    <x v="0"/>
    <x v="0"/>
    <x v="0"/>
    <x v="0"/>
    <x v="0"/>
    <x v="0"/>
    <x v="0"/>
    <x v="0"/>
    <x v="0"/>
    <x v="0"/>
    <x v="0"/>
    <x v="0"/>
    <x v="0"/>
    <x v="0"/>
    <x v="0"/>
    <x v="0"/>
    <x v="0"/>
    <x v="0"/>
  </r>
  <r>
    <x v="8"/>
    <x v="8"/>
    <x v="0"/>
    <x v="0"/>
    <x v="0"/>
    <x v="0"/>
    <x v="0"/>
    <x v="0"/>
    <x v="0"/>
    <x v="0"/>
    <x v="0"/>
    <x v="0"/>
    <x v="0"/>
    <x v="0"/>
    <x v="0"/>
    <x v="0"/>
    <x v="0"/>
    <x v="0"/>
    <x v="0"/>
    <x v="0"/>
    <x v="0"/>
    <x v="0"/>
    <x v="0"/>
    <x v="0"/>
    <x v="0"/>
    <x v="0"/>
  </r>
  <r>
    <x v="7"/>
    <x v="7"/>
    <x v="0"/>
    <x v="0"/>
    <x v="0"/>
    <x v="0"/>
    <x v="0"/>
    <x v="0"/>
    <x v="0"/>
    <x v="0"/>
    <x v="0"/>
    <x v="0"/>
    <x v="0"/>
    <x v="0"/>
    <x v="0"/>
    <x v="0"/>
    <x v="0"/>
    <x v="0"/>
    <x v="0"/>
    <x v="0"/>
    <x v="0"/>
    <x v="0"/>
    <x v="0"/>
    <x v="0"/>
    <x v="0"/>
    <x v="0"/>
  </r>
  <r>
    <x v="8"/>
    <x v="8"/>
    <x v="9"/>
    <x v="0"/>
    <x v="7"/>
    <x v="9"/>
    <x v="8"/>
    <x v="9"/>
    <x v="8"/>
    <x v="0"/>
    <x v="5"/>
    <x v="6"/>
    <x v="5"/>
    <x v="5"/>
    <x v="5"/>
    <x v="5"/>
    <x v="5"/>
    <x v="5"/>
    <x v="5"/>
    <x v="6"/>
    <x v="5"/>
    <x v="5"/>
    <x v="5"/>
    <x v="5"/>
    <x v="5"/>
    <x v="5"/>
  </r>
  <r>
    <x v="7"/>
    <x v="7"/>
    <x v="10"/>
    <x v="0"/>
    <x v="8"/>
    <x v="10"/>
    <x v="1"/>
    <x v="10"/>
    <x v="9"/>
    <x v="0"/>
    <x v="0"/>
    <x v="1"/>
    <x v="0"/>
    <x v="0"/>
    <x v="0"/>
    <x v="0"/>
    <x v="0"/>
    <x v="0"/>
    <x v="0"/>
    <x v="1"/>
    <x v="0"/>
    <x v="0"/>
    <x v="0"/>
    <x v="0"/>
    <x v="0"/>
    <x v="0"/>
  </r>
  <r>
    <x v="12"/>
    <x v="12"/>
    <x v="0"/>
    <x v="0"/>
    <x v="0"/>
    <x v="0"/>
    <x v="0"/>
    <x v="0"/>
    <x v="0"/>
    <x v="0"/>
    <x v="0"/>
    <x v="0"/>
    <x v="0"/>
    <x v="0"/>
    <x v="0"/>
    <x v="0"/>
    <x v="0"/>
    <x v="0"/>
    <x v="0"/>
    <x v="0"/>
    <x v="0"/>
    <x v="0"/>
    <x v="0"/>
    <x v="0"/>
    <x v="0"/>
    <x v="0"/>
  </r>
  <r>
    <x v="9"/>
    <x v="9"/>
    <x v="0"/>
    <x v="0"/>
    <x v="0"/>
    <x v="0"/>
    <x v="0"/>
    <x v="0"/>
    <x v="0"/>
    <x v="0"/>
    <x v="0"/>
    <x v="0"/>
    <x v="0"/>
    <x v="0"/>
    <x v="0"/>
    <x v="0"/>
    <x v="0"/>
    <x v="0"/>
    <x v="0"/>
    <x v="0"/>
    <x v="0"/>
    <x v="0"/>
    <x v="0"/>
    <x v="0"/>
    <x v="0"/>
    <x v="0"/>
  </r>
  <r>
    <x v="10"/>
    <x v="10"/>
    <x v="0"/>
    <x v="0"/>
    <x v="0"/>
    <x v="0"/>
    <x v="0"/>
    <x v="0"/>
    <x v="0"/>
    <x v="0"/>
    <x v="0"/>
    <x v="0"/>
    <x v="0"/>
    <x v="0"/>
    <x v="0"/>
    <x v="0"/>
    <x v="0"/>
    <x v="0"/>
    <x v="0"/>
    <x v="0"/>
    <x v="0"/>
    <x v="0"/>
    <x v="0"/>
    <x v="0"/>
    <x v="0"/>
    <x v="0"/>
  </r>
  <r>
    <x v="8"/>
    <x v="8"/>
    <x v="0"/>
    <x v="0"/>
    <x v="0"/>
    <x v="0"/>
    <x v="0"/>
    <x v="0"/>
    <x v="0"/>
    <x v="0"/>
    <x v="0"/>
    <x v="0"/>
    <x v="0"/>
    <x v="0"/>
    <x v="0"/>
    <x v="0"/>
    <x v="0"/>
    <x v="0"/>
    <x v="0"/>
    <x v="0"/>
    <x v="0"/>
    <x v="0"/>
    <x v="0"/>
    <x v="0"/>
    <x v="0"/>
    <x v="0"/>
  </r>
  <r>
    <x v="7"/>
    <x v="7"/>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10"/>
    <x v="10"/>
    <x v="0"/>
    <x v="0"/>
    <x v="0"/>
    <x v="0"/>
    <x v="0"/>
    <x v="0"/>
    <x v="0"/>
    <x v="0"/>
    <x v="0"/>
    <x v="0"/>
    <x v="0"/>
    <x v="0"/>
    <x v="0"/>
    <x v="0"/>
    <x v="0"/>
    <x v="0"/>
    <x v="0"/>
    <x v="0"/>
    <x v="0"/>
    <x v="0"/>
    <x v="0"/>
    <x v="0"/>
    <x v="0"/>
    <x v="0"/>
  </r>
  <r>
    <x v="9"/>
    <x v="9"/>
    <x v="0"/>
    <x v="0"/>
    <x v="0"/>
    <x v="0"/>
    <x v="0"/>
    <x v="0"/>
    <x v="0"/>
    <x v="0"/>
    <x v="0"/>
    <x v="0"/>
    <x v="0"/>
    <x v="0"/>
    <x v="0"/>
    <x v="0"/>
    <x v="0"/>
    <x v="0"/>
    <x v="0"/>
    <x v="0"/>
    <x v="0"/>
    <x v="0"/>
    <x v="0"/>
    <x v="0"/>
    <x v="0"/>
    <x v="0"/>
  </r>
  <r>
    <x v="11"/>
    <x v="11"/>
    <x v="0"/>
    <x v="0"/>
    <x v="0"/>
    <x v="0"/>
    <x v="0"/>
    <x v="0"/>
    <x v="0"/>
    <x v="0"/>
    <x v="0"/>
    <x v="0"/>
    <x v="0"/>
    <x v="0"/>
    <x v="0"/>
    <x v="0"/>
    <x v="0"/>
    <x v="0"/>
    <x v="0"/>
    <x v="0"/>
    <x v="0"/>
    <x v="0"/>
    <x v="0"/>
    <x v="0"/>
    <x v="0"/>
    <x v="0"/>
  </r>
  <r>
    <x v="12"/>
    <x v="12"/>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1"/>
    <x v="1"/>
    <x v="0"/>
    <x v="0"/>
    <x v="0"/>
    <x v="0"/>
    <x v="0"/>
    <x v="0"/>
    <x v="0"/>
    <x v="0"/>
    <x v="0"/>
    <x v="0"/>
    <x v="0"/>
    <x v="0"/>
    <x v="0"/>
    <x v="0"/>
    <x v="0"/>
    <x v="0"/>
    <x v="0"/>
    <x v="0"/>
    <x v="0"/>
    <x v="0"/>
    <x v="0"/>
    <x v="0"/>
    <x v="0"/>
    <x v="0"/>
  </r>
  <r>
    <x v="1"/>
    <x v="1"/>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10"/>
    <x v="10"/>
    <x v="0"/>
    <x v="0"/>
    <x v="0"/>
    <x v="0"/>
    <x v="0"/>
    <x v="0"/>
    <x v="0"/>
    <x v="0"/>
    <x v="0"/>
    <x v="0"/>
    <x v="0"/>
    <x v="0"/>
    <x v="0"/>
    <x v="0"/>
    <x v="0"/>
    <x v="0"/>
    <x v="0"/>
    <x v="0"/>
    <x v="0"/>
    <x v="0"/>
    <x v="0"/>
    <x v="0"/>
    <x v="0"/>
    <x v="0"/>
  </r>
  <r>
    <x v="9"/>
    <x v="9"/>
    <x v="0"/>
    <x v="0"/>
    <x v="0"/>
    <x v="0"/>
    <x v="0"/>
    <x v="0"/>
    <x v="0"/>
    <x v="0"/>
    <x v="0"/>
    <x v="0"/>
    <x v="0"/>
    <x v="0"/>
    <x v="0"/>
    <x v="0"/>
    <x v="0"/>
    <x v="0"/>
    <x v="0"/>
    <x v="0"/>
    <x v="0"/>
    <x v="0"/>
    <x v="0"/>
    <x v="0"/>
    <x v="0"/>
    <x v="0"/>
  </r>
  <r>
    <x v="11"/>
    <x v="11"/>
    <x v="0"/>
    <x v="0"/>
    <x v="0"/>
    <x v="0"/>
    <x v="0"/>
    <x v="0"/>
    <x v="0"/>
    <x v="0"/>
    <x v="0"/>
    <x v="0"/>
    <x v="0"/>
    <x v="0"/>
    <x v="0"/>
    <x v="0"/>
    <x v="0"/>
    <x v="0"/>
    <x v="0"/>
    <x v="0"/>
    <x v="0"/>
    <x v="0"/>
    <x v="0"/>
    <x v="0"/>
    <x v="0"/>
    <x v="0"/>
  </r>
  <r>
    <x v="12"/>
    <x v="12"/>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7"/>
    <x v="7"/>
    <x v="11"/>
    <x v="0"/>
    <x v="1"/>
    <x v="11"/>
    <x v="9"/>
    <x v="11"/>
    <x v="10"/>
    <x v="0"/>
    <x v="0"/>
    <x v="1"/>
    <x v="0"/>
    <x v="0"/>
    <x v="0"/>
    <x v="0"/>
    <x v="0"/>
    <x v="0"/>
    <x v="0"/>
    <x v="1"/>
    <x v="0"/>
    <x v="0"/>
    <x v="0"/>
    <x v="0"/>
    <x v="0"/>
    <x v="0"/>
  </r>
  <r>
    <x v="8"/>
    <x v="8"/>
    <x v="12"/>
    <x v="0"/>
    <x v="8"/>
    <x v="12"/>
    <x v="1"/>
    <x v="12"/>
    <x v="11"/>
    <x v="0"/>
    <x v="0"/>
    <x v="1"/>
    <x v="0"/>
    <x v="0"/>
    <x v="0"/>
    <x v="0"/>
    <x v="0"/>
    <x v="0"/>
    <x v="0"/>
    <x v="1"/>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14"/>
    <x v="14"/>
    <x v="13"/>
    <x v="0"/>
    <x v="0"/>
    <x v="8"/>
    <x v="0"/>
    <x v="0"/>
    <x v="0"/>
    <x v="0"/>
    <x v="0"/>
    <x v="0"/>
    <x v="0"/>
    <x v="0"/>
    <x v="0"/>
    <x v="0"/>
    <x v="0"/>
    <x v="0"/>
    <x v="0"/>
    <x v="0"/>
    <x v="0"/>
    <x v="0"/>
    <x v="0"/>
    <x v="0"/>
    <x v="0"/>
    <x v="0"/>
  </r>
  <r>
    <x v="14"/>
    <x v="14"/>
    <x v="0"/>
    <x v="0"/>
    <x v="0"/>
    <x v="0"/>
    <x v="0"/>
    <x v="0"/>
    <x v="0"/>
    <x v="0"/>
    <x v="0"/>
    <x v="0"/>
    <x v="0"/>
    <x v="0"/>
    <x v="0"/>
    <x v="0"/>
    <x v="0"/>
    <x v="0"/>
    <x v="0"/>
    <x v="0"/>
    <x v="0"/>
    <x v="0"/>
    <x v="0"/>
    <x v="0"/>
    <x v="0"/>
    <x v="0"/>
  </r>
  <r>
    <x v="15"/>
    <x v="15"/>
    <x v="0"/>
    <x v="0"/>
    <x v="0"/>
    <x v="0"/>
    <x v="0"/>
    <x v="0"/>
    <x v="0"/>
    <x v="0"/>
    <x v="0"/>
    <x v="0"/>
    <x v="0"/>
    <x v="0"/>
    <x v="0"/>
    <x v="0"/>
    <x v="0"/>
    <x v="0"/>
    <x v="0"/>
    <x v="0"/>
    <x v="0"/>
    <x v="0"/>
    <x v="0"/>
    <x v="0"/>
    <x v="0"/>
    <x v="0"/>
  </r>
  <r>
    <x v="15"/>
    <x v="15"/>
    <x v="14"/>
    <x v="0"/>
    <x v="1"/>
    <x v="13"/>
    <x v="9"/>
    <x v="13"/>
    <x v="12"/>
    <x v="0"/>
    <x v="0"/>
    <x v="1"/>
    <x v="0"/>
    <x v="0"/>
    <x v="0"/>
    <x v="0"/>
    <x v="0"/>
    <x v="0"/>
    <x v="0"/>
    <x v="1"/>
    <x v="0"/>
    <x v="0"/>
    <x v="0"/>
    <x v="0"/>
    <x v="0"/>
    <x v="0"/>
  </r>
  <r>
    <x v="16"/>
    <x v="16"/>
    <x v="15"/>
    <x v="0"/>
    <x v="0"/>
    <x v="8"/>
    <x v="0"/>
    <x v="0"/>
    <x v="0"/>
    <x v="0"/>
    <x v="0"/>
    <x v="0"/>
    <x v="0"/>
    <x v="0"/>
    <x v="0"/>
    <x v="0"/>
    <x v="0"/>
    <x v="0"/>
    <x v="0"/>
    <x v="0"/>
    <x v="0"/>
    <x v="0"/>
    <x v="0"/>
    <x v="0"/>
    <x v="0"/>
    <x v="0"/>
  </r>
  <r>
    <x v="16"/>
    <x v="16"/>
    <x v="16"/>
    <x v="0"/>
    <x v="9"/>
    <x v="14"/>
    <x v="10"/>
    <x v="14"/>
    <x v="13"/>
    <x v="0"/>
    <x v="6"/>
    <x v="7"/>
    <x v="3"/>
    <x v="3"/>
    <x v="6"/>
    <x v="3"/>
    <x v="6"/>
    <x v="3"/>
    <x v="6"/>
    <x v="7"/>
    <x v="3"/>
    <x v="3"/>
    <x v="6"/>
    <x v="3"/>
    <x v="6"/>
    <x v="3"/>
  </r>
  <r>
    <x v="17"/>
    <x v="17"/>
    <x v="17"/>
    <x v="0"/>
    <x v="0"/>
    <x v="8"/>
    <x v="0"/>
    <x v="0"/>
    <x v="0"/>
    <x v="0"/>
    <x v="0"/>
    <x v="0"/>
    <x v="0"/>
    <x v="0"/>
    <x v="0"/>
    <x v="0"/>
    <x v="0"/>
    <x v="0"/>
    <x v="0"/>
    <x v="0"/>
    <x v="0"/>
    <x v="0"/>
    <x v="0"/>
    <x v="0"/>
    <x v="0"/>
    <x v="0"/>
  </r>
  <r>
    <x v="18"/>
    <x v="18"/>
    <x v="0"/>
    <x v="0"/>
    <x v="0"/>
    <x v="0"/>
    <x v="0"/>
    <x v="0"/>
    <x v="0"/>
    <x v="0"/>
    <x v="0"/>
    <x v="0"/>
    <x v="0"/>
    <x v="0"/>
    <x v="0"/>
    <x v="0"/>
    <x v="0"/>
    <x v="0"/>
    <x v="0"/>
    <x v="0"/>
    <x v="0"/>
    <x v="0"/>
    <x v="0"/>
    <x v="0"/>
    <x v="0"/>
    <x v="0"/>
  </r>
  <r>
    <x v="17"/>
    <x v="17"/>
    <x v="18"/>
    <x v="0"/>
    <x v="0"/>
    <x v="8"/>
    <x v="0"/>
    <x v="0"/>
    <x v="0"/>
    <x v="0"/>
    <x v="0"/>
    <x v="0"/>
    <x v="0"/>
    <x v="0"/>
    <x v="0"/>
    <x v="0"/>
    <x v="0"/>
    <x v="0"/>
    <x v="0"/>
    <x v="0"/>
    <x v="0"/>
    <x v="0"/>
    <x v="0"/>
    <x v="0"/>
    <x v="0"/>
    <x v="0"/>
  </r>
  <r>
    <x v="18"/>
    <x v="18"/>
    <x v="19"/>
    <x v="0"/>
    <x v="0"/>
    <x v="8"/>
    <x v="0"/>
    <x v="0"/>
    <x v="0"/>
    <x v="0"/>
    <x v="0"/>
    <x v="0"/>
    <x v="0"/>
    <x v="0"/>
    <x v="0"/>
    <x v="0"/>
    <x v="0"/>
    <x v="0"/>
    <x v="0"/>
    <x v="0"/>
    <x v="0"/>
    <x v="0"/>
    <x v="0"/>
    <x v="0"/>
    <x v="0"/>
    <x v="0"/>
  </r>
  <r>
    <x v="0"/>
    <x v="0"/>
    <x v="20"/>
    <x v="2"/>
    <x v="10"/>
    <x v="0"/>
    <x v="11"/>
    <x v="15"/>
    <x v="0"/>
    <x v="0"/>
    <x v="0"/>
    <x v="0"/>
    <x v="6"/>
    <x v="6"/>
    <x v="7"/>
    <x v="6"/>
    <x v="7"/>
    <x v="6"/>
    <x v="0"/>
    <x v="0"/>
    <x v="6"/>
    <x v="6"/>
    <x v="7"/>
    <x v="6"/>
    <x v="7"/>
    <x v="6"/>
  </r>
</pivotCacheRecords>
</file>

<file path=xl/pivotCache/pivotCacheRecords60.xml><?xml version="1.0" encoding="utf-8"?>
<pivotCacheRecords xmlns="http://schemas.openxmlformats.org/spreadsheetml/2006/main" xmlns:r="http://schemas.openxmlformats.org/officeDocument/2006/relationships" count="120">
  <r>
    <x v="0"/>
    <x v="0"/>
    <x v="0"/>
    <x v="0"/>
    <x v="0"/>
    <x v="0"/>
    <x v="0"/>
    <x v="0"/>
    <x v="0"/>
    <x v="0"/>
    <x v="0"/>
    <x v="0"/>
    <x v="0"/>
    <x v="0"/>
    <x v="0"/>
    <x v="0"/>
    <x v="0"/>
    <x v="0"/>
    <x v="0"/>
    <x v="0"/>
    <x v="0"/>
    <x v="0"/>
    <x v="0"/>
    <x v="0"/>
    <x v="0"/>
    <x v="0"/>
  </r>
  <r>
    <x v="0"/>
    <x v="0"/>
    <x v="0"/>
    <x v="0"/>
    <x v="0"/>
    <x v="0"/>
    <x v="0"/>
    <x v="0"/>
    <x v="0"/>
    <x v="0"/>
    <x v="0"/>
    <x v="0"/>
    <x v="0"/>
    <x v="0"/>
    <x v="0"/>
    <x v="0"/>
    <x v="0"/>
    <x v="0"/>
    <x v="0"/>
    <x v="0"/>
    <x v="0"/>
    <x v="0"/>
    <x v="0"/>
    <x v="0"/>
    <x v="0"/>
    <x v="0"/>
  </r>
  <r>
    <x v="0"/>
    <x v="0"/>
    <x v="0"/>
    <x v="0"/>
    <x v="0"/>
    <x v="0"/>
    <x v="0"/>
    <x v="0"/>
    <x v="0"/>
    <x v="0"/>
    <x v="0"/>
    <x v="0"/>
    <x v="0"/>
    <x v="0"/>
    <x v="0"/>
    <x v="0"/>
    <x v="0"/>
    <x v="0"/>
    <x v="0"/>
    <x v="0"/>
    <x v="0"/>
    <x v="0"/>
    <x v="0"/>
    <x v="0"/>
    <x v="0"/>
    <x v="0"/>
  </r>
  <r>
    <x v="0"/>
    <x v="0"/>
    <x v="0"/>
    <x v="0"/>
    <x v="0"/>
    <x v="0"/>
    <x v="0"/>
    <x v="0"/>
    <x v="0"/>
    <x v="0"/>
    <x v="0"/>
    <x v="0"/>
    <x v="0"/>
    <x v="0"/>
    <x v="0"/>
    <x v="0"/>
    <x v="0"/>
    <x v="0"/>
    <x v="0"/>
    <x v="0"/>
    <x v="0"/>
    <x v="0"/>
    <x v="0"/>
    <x v="0"/>
    <x v="0"/>
    <x v="0"/>
  </r>
  <r>
    <x v="1"/>
    <x v="1"/>
    <x v="1"/>
    <x v="0"/>
    <x v="1"/>
    <x v="1"/>
    <x v="1"/>
    <x v="1"/>
    <x v="1"/>
    <x v="0"/>
    <x v="0"/>
    <x v="1"/>
    <x v="0"/>
    <x v="0"/>
    <x v="0"/>
    <x v="0"/>
    <x v="0"/>
    <x v="0"/>
    <x v="0"/>
    <x v="1"/>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5"/>
    <x v="5"/>
    <x v="0"/>
    <x v="0"/>
    <x v="0"/>
    <x v="0"/>
    <x v="0"/>
    <x v="0"/>
    <x v="0"/>
    <x v="0"/>
    <x v="0"/>
    <x v="0"/>
    <x v="0"/>
    <x v="0"/>
    <x v="0"/>
    <x v="0"/>
    <x v="0"/>
    <x v="0"/>
    <x v="0"/>
    <x v="0"/>
    <x v="0"/>
    <x v="0"/>
    <x v="0"/>
    <x v="0"/>
    <x v="0"/>
    <x v="0"/>
  </r>
  <r>
    <x v="9"/>
    <x v="9"/>
    <x v="0"/>
    <x v="0"/>
    <x v="0"/>
    <x v="0"/>
    <x v="0"/>
    <x v="0"/>
    <x v="0"/>
    <x v="0"/>
    <x v="0"/>
    <x v="0"/>
    <x v="0"/>
    <x v="0"/>
    <x v="0"/>
    <x v="0"/>
    <x v="0"/>
    <x v="0"/>
    <x v="0"/>
    <x v="0"/>
    <x v="0"/>
    <x v="0"/>
    <x v="0"/>
    <x v="0"/>
    <x v="0"/>
    <x v="0"/>
  </r>
  <r>
    <x v="10"/>
    <x v="10"/>
    <x v="0"/>
    <x v="0"/>
    <x v="0"/>
    <x v="0"/>
    <x v="0"/>
    <x v="0"/>
    <x v="0"/>
    <x v="0"/>
    <x v="0"/>
    <x v="0"/>
    <x v="0"/>
    <x v="0"/>
    <x v="0"/>
    <x v="0"/>
    <x v="0"/>
    <x v="0"/>
    <x v="0"/>
    <x v="0"/>
    <x v="0"/>
    <x v="0"/>
    <x v="0"/>
    <x v="0"/>
    <x v="0"/>
    <x v="0"/>
  </r>
  <r>
    <x v="11"/>
    <x v="11"/>
    <x v="0"/>
    <x v="0"/>
    <x v="0"/>
    <x v="0"/>
    <x v="0"/>
    <x v="0"/>
    <x v="0"/>
    <x v="0"/>
    <x v="0"/>
    <x v="0"/>
    <x v="0"/>
    <x v="0"/>
    <x v="0"/>
    <x v="0"/>
    <x v="0"/>
    <x v="0"/>
    <x v="0"/>
    <x v="0"/>
    <x v="0"/>
    <x v="0"/>
    <x v="0"/>
    <x v="0"/>
    <x v="0"/>
    <x v="0"/>
  </r>
  <r>
    <x v="12"/>
    <x v="12"/>
    <x v="0"/>
    <x v="0"/>
    <x v="0"/>
    <x v="0"/>
    <x v="0"/>
    <x v="0"/>
    <x v="0"/>
    <x v="0"/>
    <x v="0"/>
    <x v="0"/>
    <x v="0"/>
    <x v="0"/>
    <x v="0"/>
    <x v="0"/>
    <x v="0"/>
    <x v="0"/>
    <x v="0"/>
    <x v="0"/>
    <x v="0"/>
    <x v="0"/>
    <x v="0"/>
    <x v="0"/>
    <x v="0"/>
    <x v="0"/>
  </r>
  <r>
    <x v="1"/>
    <x v="1"/>
    <x v="2"/>
    <x v="0"/>
    <x v="2"/>
    <x v="2"/>
    <x v="2"/>
    <x v="2"/>
    <x v="2"/>
    <x v="0"/>
    <x v="1"/>
    <x v="2"/>
    <x v="1"/>
    <x v="1"/>
    <x v="1"/>
    <x v="1"/>
    <x v="1"/>
    <x v="1"/>
    <x v="1"/>
    <x v="2"/>
    <x v="1"/>
    <x v="1"/>
    <x v="1"/>
    <x v="1"/>
    <x v="1"/>
    <x v="1"/>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8"/>
    <x v="8"/>
    <x v="3"/>
    <x v="0"/>
    <x v="3"/>
    <x v="3"/>
    <x v="3"/>
    <x v="3"/>
    <x v="3"/>
    <x v="0"/>
    <x v="2"/>
    <x v="3"/>
    <x v="2"/>
    <x v="2"/>
    <x v="2"/>
    <x v="2"/>
    <x v="2"/>
    <x v="2"/>
    <x v="2"/>
    <x v="3"/>
    <x v="2"/>
    <x v="2"/>
    <x v="2"/>
    <x v="2"/>
    <x v="2"/>
    <x v="2"/>
  </r>
  <r>
    <x v="7"/>
    <x v="7"/>
    <x v="4"/>
    <x v="0"/>
    <x v="4"/>
    <x v="4"/>
    <x v="4"/>
    <x v="4"/>
    <x v="4"/>
    <x v="0"/>
    <x v="3"/>
    <x v="4"/>
    <x v="3"/>
    <x v="3"/>
    <x v="3"/>
    <x v="3"/>
    <x v="3"/>
    <x v="3"/>
    <x v="3"/>
    <x v="4"/>
    <x v="3"/>
    <x v="3"/>
    <x v="3"/>
    <x v="3"/>
    <x v="3"/>
    <x v="3"/>
  </r>
  <r>
    <x v="10"/>
    <x v="10"/>
    <x v="0"/>
    <x v="0"/>
    <x v="0"/>
    <x v="0"/>
    <x v="0"/>
    <x v="0"/>
    <x v="0"/>
    <x v="0"/>
    <x v="0"/>
    <x v="0"/>
    <x v="0"/>
    <x v="0"/>
    <x v="0"/>
    <x v="0"/>
    <x v="0"/>
    <x v="0"/>
    <x v="0"/>
    <x v="0"/>
    <x v="0"/>
    <x v="0"/>
    <x v="0"/>
    <x v="0"/>
    <x v="0"/>
    <x v="0"/>
  </r>
  <r>
    <x v="9"/>
    <x v="9"/>
    <x v="0"/>
    <x v="0"/>
    <x v="0"/>
    <x v="0"/>
    <x v="0"/>
    <x v="0"/>
    <x v="0"/>
    <x v="0"/>
    <x v="0"/>
    <x v="0"/>
    <x v="0"/>
    <x v="0"/>
    <x v="0"/>
    <x v="0"/>
    <x v="0"/>
    <x v="0"/>
    <x v="0"/>
    <x v="0"/>
    <x v="0"/>
    <x v="0"/>
    <x v="0"/>
    <x v="0"/>
    <x v="0"/>
    <x v="0"/>
  </r>
  <r>
    <x v="12"/>
    <x v="12"/>
    <x v="0"/>
    <x v="0"/>
    <x v="0"/>
    <x v="0"/>
    <x v="0"/>
    <x v="0"/>
    <x v="0"/>
    <x v="0"/>
    <x v="0"/>
    <x v="0"/>
    <x v="0"/>
    <x v="0"/>
    <x v="0"/>
    <x v="0"/>
    <x v="0"/>
    <x v="0"/>
    <x v="0"/>
    <x v="0"/>
    <x v="0"/>
    <x v="0"/>
    <x v="0"/>
    <x v="0"/>
    <x v="0"/>
    <x v="0"/>
  </r>
  <r>
    <x v="11"/>
    <x v="11"/>
    <x v="0"/>
    <x v="0"/>
    <x v="0"/>
    <x v="0"/>
    <x v="0"/>
    <x v="0"/>
    <x v="0"/>
    <x v="0"/>
    <x v="0"/>
    <x v="0"/>
    <x v="0"/>
    <x v="0"/>
    <x v="0"/>
    <x v="0"/>
    <x v="0"/>
    <x v="0"/>
    <x v="0"/>
    <x v="0"/>
    <x v="0"/>
    <x v="0"/>
    <x v="0"/>
    <x v="0"/>
    <x v="0"/>
    <x v="0"/>
  </r>
  <r>
    <x v="8"/>
    <x v="8"/>
    <x v="5"/>
    <x v="0"/>
    <x v="5"/>
    <x v="5"/>
    <x v="5"/>
    <x v="5"/>
    <x v="5"/>
    <x v="0"/>
    <x v="4"/>
    <x v="5"/>
    <x v="2"/>
    <x v="2"/>
    <x v="2"/>
    <x v="2"/>
    <x v="2"/>
    <x v="2"/>
    <x v="4"/>
    <x v="5"/>
    <x v="2"/>
    <x v="2"/>
    <x v="2"/>
    <x v="2"/>
    <x v="2"/>
    <x v="2"/>
  </r>
  <r>
    <x v="7"/>
    <x v="7"/>
    <x v="6"/>
    <x v="0"/>
    <x v="5"/>
    <x v="6"/>
    <x v="6"/>
    <x v="6"/>
    <x v="6"/>
    <x v="0"/>
    <x v="5"/>
    <x v="6"/>
    <x v="4"/>
    <x v="4"/>
    <x v="4"/>
    <x v="4"/>
    <x v="4"/>
    <x v="4"/>
    <x v="5"/>
    <x v="6"/>
    <x v="4"/>
    <x v="4"/>
    <x v="4"/>
    <x v="4"/>
    <x v="4"/>
    <x v="4"/>
  </r>
  <r>
    <x v="1"/>
    <x v="1"/>
    <x v="7"/>
    <x v="0"/>
    <x v="6"/>
    <x v="7"/>
    <x v="7"/>
    <x v="7"/>
    <x v="7"/>
    <x v="0"/>
    <x v="0"/>
    <x v="1"/>
    <x v="0"/>
    <x v="0"/>
    <x v="0"/>
    <x v="0"/>
    <x v="0"/>
    <x v="0"/>
    <x v="0"/>
    <x v="1"/>
    <x v="0"/>
    <x v="0"/>
    <x v="0"/>
    <x v="0"/>
    <x v="0"/>
    <x v="0"/>
  </r>
  <r>
    <x v="13"/>
    <x v="13"/>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10"/>
    <x v="10"/>
    <x v="0"/>
    <x v="0"/>
    <x v="0"/>
    <x v="0"/>
    <x v="0"/>
    <x v="0"/>
    <x v="0"/>
    <x v="0"/>
    <x v="0"/>
    <x v="0"/>
    <x v="0"/>
    <x v="0"/>
    <x v="0"/>
    <x v="0"/>
    <x v="0"/>
    <x v="0"/>
    <x v="0"/>
    <x v="0"/>
    <x v="0"/>
    <x v="0"/>
    <x v="0"/>
    <x v="0"/>
    <x v="0"/>
    <x v="0"/>
  </r>
  <r>
    <x v="9"/>
    <x v="9"/>
    <x v="0"/>
    <x v="0"/>
    <x v="0"/>
    <x v="0"/>
    <x v="0"/>
    <x v="0"/>
    <x v="0"/>
    <x v="0"/>
    <x v="0"/>
    <x v="0"/>
    <x v="0"/>
    <x v="0"/>
    <x v="0"/>
    <x v="0"/>
    <x v="0"/>
    <x v="0"/>
    <x v="0"/>
    <x v="0"/>
    <x v="0"/>
    <x v="0"/>
    <x v="0"/>
    <x v="0"/>
    <x v="0"/>
    <x v="0"/>
  </r>
  <r>
    <x v="12"/>
    <x v="12"/>
    <x v="0"/>
    <x v="0"/>
    <x v="0"/>
    <x v="0"/>
    <x v="0"/>
    <x v="0"/>
    <x v="0"/>
    <x v="0"/>
    <x v="0"/>
    <x v="0"/>
    <x v="0"/>
    <x v="0"/>
    <x v="0"/>
    <x v="0"/>
    <x v="0"/>
    <x v="0"/>
    <x v="0"/>
    <x v="0"/>
    <x v="0"/>
    <x v="0"/>
    <x v="0"/>
    <x v="0"/>
    <x v="0"/>
    <x v="0"/>
  </r>
  <r>
    <x v="11"/>
    <x v="11"/>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6"/>
    <x v="6"/>
    <x v="0"/>
    <x v="0"/>
    <x v="0"/>
    <x v="0"/>
    <x v="0"/>
    <x v="0"/>
    <x v="0"/>
    <x v="0"/>
    <x v="0"/>
    <x v="0"/>
    <x v="0"/>
    <x v="0"/>
    <x v="0"/>
    <x v="0"/>
    <x v="0"/>
    <x v="0"/>
    <x v="0"/>
    <x v="0"/>
    <x v="0"/>
    <x v="0"/>
    <x v="0"/>
    <x v="0"/>
    <x v="0"/>
    <x v="0"/>
  </r>
  <r>
    <x v="2"/>
    <x v="2"/>
    <x v="0"/>
    <x v="0"/>
    <x v="0"/>
    <x v="0"/>
    <x v="0"/>
    <x v="0"/>
    <x v="0"/>
    <x v="0"/>
    <x v="0"/>
    <x v="0"/>
    <x v="0"/>
    <x v="0"/>
    <x v="0"/>
    <x v="0"/>
    <x v="0"/>
    <x v="0"/>
    <x v="0"/>
    <x v="0"/>
    <x v="0"/>
    <x v="0"/>
    <x v="0"/>
    <x v="0"/>
    <x v="0"/>
    <x v="0"/>
  </r>
  <r>
    <x v="1"/>
    <x v="1"/>
    <x v="8"/>
    <x v="1"/>
    <x v="0"/>
    <x v="8"/>
    <x v="0"/>
    <x v="8"/>
    <x v="0"/>
    <x v="1"/>
    <x v="0"/>
    <x v="1"/>
    <x v="0"/>
    <x v="0"/>
    <x v="0"/>
    <x v="0"/>
    <x v="0"/>
    <x v="0"/>
    <x v="0"/>
    <x v="1"/>
    <x v="0"/>
    <x v="0"/>
    <x v="0"/>
    <x v="0"/>
    <x v="0"/>
    <x v="0"/>
  </r>
  <r>
    <x v="3"/>
    <x v="3"/>
    <x v="0"/>
    <x v="0"/>
    <x v="0"/>
    <x v="0"/>
    <x v="0"/>
    <x v="0"/>
    <x v="0"/>
    <x v="0"/>
    <x v="0"/>
    <x v="0"/>
    <x v="0"/>
    <x v="0"/>
    <x v="0"/>
    <x v="0"/>
    <x v="0"/>
    <x v="0"/>
    <x v="0"/>
    <x v="0"/>
    <x v="0"/>
    <x v="0"/>
    <x v="0"/>
    <x v="0"/>
    <x v="0"/>
    <x v="0"/>
  </r>
  <r>
    <x v="2"/>
    <x v="2"/>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1"/>
    <x v="1"/>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10"/>
    <x v="10"/>
    <x v="0"/>
    <x v="0"/>
    <x v="0"/>
    <x v="0"/>
    <x v="0"/>
    <x v="0"/>
    <x v="0"/>
    <x v="0"/>
    <x v="0"/>
    <x v="0"/>
    <x v="0"/>
    <x v="0"/>
    <x v="0"/>
    <x v="0"/>
    <x v="0"/>
    <x v="0"/>
    <x v="0"/>
    <x v="0"/>
    <x v="0"/>
    <x v="0"/>
    <x v="0"/>
    <x v="0"/>
    <x v="0"/>
    <x v="0"/>
  </r>
  <r>
    <x v="9"/>
    <x v="9"/>
    <x v="0"/>
    <x v="0"/>
    <x v="0"/>
    <x v="0"/>
    <x v="0"/>
    <x v="0"/>
    <x v="0"/>
    <x v="0"/>
    <x v="0"/>
    <x v="0"/>
    <x v="0"/>
    <x v="0"/>
    <x v="0"/>
    <x v="0"/>
    <x v="0"/>
    <x v="0"/>
    <x v="0"/>
    <x v="0"/>
    <x v="0"/>
    <x v="0"/>
    <x v="0"/>
    <x v="0"/>
    <x v="0"/>
    <x v="0"/>
  </r>
  <r>
    <x v="12"/>
    <x v="12"/>
    <x v="0"/>
    <x v="0"/>
    <x v="0"/>
    <x v="0"/>
    <x v="0"/>
    <x v="0"/>
    <x v="0"/>
    <x v="0"/>
    <x v="0"/>
    <x v="0"/>
    <x v="0"/>
    <x v="0"/>
    <x v="0"/>
    <x v="0"/>
    <x v="0"/>
    <x v="0"/>
    <x v="0"/>
    <x v="0"/>
    <x v="0"/>
    <x v="0"/>
    <x v="0"/>
    <x v="0"/>
    <x v="0"/>
    <x v="0"/>
  </r>
  <r>
    <x v="9"/>
    <x v="9"/>
    <x v="0"/>
    <x v="0"/>
    <x v="0"/>
    <x v="0"/>
    <x v="0"/>
    <x v="0"/>
    <x v="0"/>
    <x v="0"/>
    <x v="0"/>
    <x v="0"/>
    <x v="0"/>
    <x v="0"/>
    <x v="0"/>
    <x v="0"/>
    <x v="0"/>
    <x v="0"/>
    <x v="0"/>
    <x v="0"/>
    <x v="0"/>
    <x v="0"/>
    <x v="0"/>
    <x v="0"/>
    <x v="0"/>
    <x v="0"/>
  </r>
  <r>
    <x v="10"/>
    <x v="10"/>
    <x v="0"/>
    <x v="0"/>
    <x v="0"/>
    <x v="0"/>
    <x v="0"/>
    <x v="0"/>
    <x v="0"/>
    <x v="0"/>
    <x v="0"/>
    <x v="0"/>
    <x v="0"/>
    <x v="0"/>
    <x v="0"/>
    <x v="0"/>
    <x v="0"/>
    <x v="0"/>
    <x v="0"/>
    <x v="0"/>
    <x v="0"/>
    <x v="0"/>
    <x v="0"/>
    <x v="0"/>
    <x v="0"/>
    <x v="0"/>
  </r>
  <r>
    <x v="12"/>
    <x v="12"/>
    <x v="0"/>
    <x v="0"/>
    <x v="0"/>
    <x v="0"/>
    <x v="0"/>
    <x v="0"/>
    <x v="0"/>
    <x v="0"/>
    <x v="0"/>
    <x v="0"/>
    <x v="0"/>
    <x v="0"/>
    <x v="0"/>
    <x v="0"/>
    <x v="0"/>
    <x v="0"/>
    <x v="0"/>
    <x v="0"/>
    <x v="0"/>
    <x v="0"/>
    <x v="0"/>
    <x v="0"/>
    <x v="0"/>
    <x v="0"/>
  </r>
  <r>
    <x v="11"/>
    <x v="11"/>
    <x v="0"/>
    <x v="0"/>
    <x v="0"/>
    <x v="0"/>
    <x v="0"/>
    <x v="0"/>
    <x v="0"/>
    <x v="0"/>
    <x v="0"/>
    <x v="0"/>
    <x v="0"/>
    <x v="0"/>
    <x v="0"/>
    <x v="0"/>
    <x v="0"/>
    <x v="0"/>
    <x v="0"/>
    <x v="0"/>
    <x v="0"/>
    <x v="0"/>
    <x v="0"/>
    <x v="0"/>
    <x v="0"/>
    <x v="0"/>
  </r>
  <r>
    <x v="1"/>
    <x v="1"/>
    <x v="0"/>
    <x v="0"/>
    <x v="0"/>
    <x v="0"/>
    <x v="0"/>
    <x v="0"/>
    <x v="0"/>
    <x v="0"/>
    <x v="0"/>
    <x v="0"/>
    <x v="0"/>
    <x v="0"/>
    <x v="0"/>
    <x v="0"/>
    <x v="0"/>
    <x v="0"/>
    <x v="0"/>
    <x v="0"/>
    <x v="0"/>
    <x v="0"/>
    <x v="0"/>
    <x v="0"/>
    <x v="0"/>
    <x v="0"/>
  </r>
  <r>
    <x v="10"/>
    <x v="10"/>
    <x v="0"/>
    <x v="0"/>
    <x v="0"/>
    <x v="0"/>
    <x v="0"/>
    <x v="0"/>
    <x v="0"/>
    <x v="0"/>
    <x v="0"/>
    <x v="0"/>
    <x v="0"/>
    <x v="0"/>
    <x v="0"/>
    <x v="0"/>
    <x v="0"/>
    <x v="0"/>
    <x v="0"/>
    <x v="0"/>
    <x v="0"/>
    <x v="0"/>
    <x v="0"/>
    <x v="0"/>
    <x v="0"/>
    <x v="0"/>
  </r>
  <r>
    <x v="11"/>
    <x v="11"/>
    <x v="0"/>
    <x v="0"/>
    <x v="0"/>
    <x v="0"/>
    <x v="0"/>
    <x v="0"/>
    <x v="0"/>
    <x v="0"/>
    <x v="0"/>
    <x v="0"/>
    <x v="0"/>
    <x v="0"/>
    <x v="0"/>
    <x v="0"/>
    <x v="0"/>
    <x v="0"/>
    <x v="0"/>
    <x v="0"/>
    <x v="0"/>
    <x v="0"/>
    <x v="0"/>
    <x v="0"/>
    <x v="0"/>
    <x v="0"/>
  </r>
  <r>
    <x v="8"/>
    <x v="8"/>
    <x v="0"/>
    <x v="0"/>
    <x v="0"/>
    <x v="0"/>
    <x v="0"/>
    <x v="0"/>
    <x v="0"/>
    <x v="0"/>
    <x v="0"/>
    <x v="0"/>
    <x v="0"/>
    <x v="0"/>
    <x v="0"/>
    <x v="0"/>
    <x v="0"/>
    <x v="0"/>
    <x v="0"/>
    <x v="0"/>
    <x v="0"/>
    <x v="0"/>
    <x v="0"/>
    <x v="0"/>
    <x v="0"/>
    <x v="0"/>
  </r>
  <r>
    <x v="7"/>
    <x v="7"/>
    <x v="0"/>
    <x v="0"/>
    <x v="0"/>
    <x v="0"/>
    <x v="0"/>
    <x v="0"/>
    <x v="0"/>
    <x v="0"/>
    <x v="0"/>
    <x v="0"/>
    <x v="0"/>
    <x v="0"/>
    <x v="0"/>
    <x v="0"/>
    <x v="0"/>
    <x v="0"/>
    <x v="0"/>
    <x v="0"/>
    <x v="0"/>
    <x v="0"/>
    <x v="0"/>
    <x v="0"/>
    <x v="0"/>
    <x v="0"/>
  </r>
  <r>
    <x v="8"/>
    <x v="8"/>
    <x v="9"/>
    <x v="0"/>
    <x v="6"/>
    <x v="9"/>
    <x v="8"/>
    <x v="9"/>
    <x v="8"/>
    <x v="0"/>
    <x v="6"/>
    <x v="7"/>
    <x v="5"/>
    <x v="5"/>
    <x v="5"/>
    <x v="5"/>
    <x v="5"/>
    <x v="5"/>
    <x v="6"/>
    <x v="7"/>
    <x v="5"/>
    <x v="5"/>
    <x v="5"/>
    <x v="5"/>
    <x v="5"/>
    <x v="5"/>
  </r>
  <r>
    <x v="7"/>
    <x v="7"/>
    <x v="10"/>
    <x v="0"/>
    <x v="3"/>
    <x v="10"/>
    <x v="9"/>
    <x v="10"/>
    <x v="9"/>
    <x v="0"/>
    <x v="7"/>
    <x v="8"/>
    <x v="2"/>
    <x v="2"/>
    <x v="2"/>
    <x v="2"/>
    <x v="2"/>
    <x v="2"/>
    <x v="7"/>
    <x v="8"/>
    <x v="2"/>
    <x v="2"/>
    <x v="2"/>
    <x v="2"/>
    <x v="2"/>
    <x v="2"/>
  </r>
  <r>
    <x v="12"/>
    <x v="12"/>
    <x v="0"/>
    <x v="0"/>
    <x v="0"/>
    <x v="0"/>
    <x v="0"/>
    <x v="0"/>
    <x v="0"/>
    <x v="0"/>
    <x v="0"/>
    <x v="0"/>
    <x v="0"/>
    <x v="0"/>
    <x v="0"/>
    <x v="0"/>
    <x v="0"/>
    <x v="0"/>
    <x v="0"/>
    <x v="0"/>
    <x v="0"/>
    <x v="0"/>
    <x v="0"/>
    <x v="0"/>
    <x v="0"/>
    <x v="0"/>
  </r>
  <r>
    <x v="9"/>
    <x v="9"/>
    <x v="0"/>
    <x v="0"/>
    <x v="0"/>
    <x v="0"/>
    <x v="0"/>
    <x v="0"/>
    <x v="0"/>
    <x v="0"/>
    <x v="0"/>
    <x v="0"/>
    <x v="0"/>
    <x v="0"/>
    <x v="0"/>
    <x v="0"/>
    <x v="0"/>
    <x v="0"/>
    <x v="0"/>
    <x v="0"/>
    <x v="0"/>
    <x v="0"/>
    <x v="0"/>
    <x v="0"/>
    <x v="0"/>
    <x v="0"/>
  </r>
  <r>
    <x v="10"/>
    <x v="10"/>
    <x v="0"/>
    <x v="0"/>
    <x v="0"/>
    <x v="0"/>
    <x v="0"/>
    <x v="0"/>
    <x v="0"/>
    <x v="0"/>
    <x v="0"/>
    <x v="0"/>
    <x v="0"/>
    <x v="0"/>
    <x v="0"/>
    <x v="0"/>
    <x v="0"/>
    <x v="0"/>
    <x v="0"/>
    <x v="0"/>
    <x v="0"/>
    <x v="0"/>
    <x v="0"/>
    <x v="0"/>
    <x v="0"/>
    <x v="0"/>
  </r>
  <r>
    <x v="8"/>
    <x v="8"/>
    <x v="0"/>
    <x v="0"/>
    <x v="0"/>
    <x v="0"/>
    <x v="0"/>
    <x v="0"/>
    <x v="0"/>
    <x v="0"/>
    <x v="0"/>
    <x v="0"/>
    <x v="0"/>
    <x v="0"/>
    <x v="0"/>
    <x v="0"/>
    <x v="0"/>
    <x v="0"/>
    <x v="0"/>
    <x v="0"/>
    <x v="0"/>
    <x v="0"/>
    <x v="0"/>
    <x v="0"/>
    <x v="0"/>
    <x v="0"/>
  </r>
  <r>
    <x v="7"/>
    <x v="7"/>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10"/>
    <x v="10"/>
    <x v="0"/>
    <x v="0"/>
    <x v="0"/>
    <x v="0"/>
    <x v="0"/>
    <x v="0"/>
    <x v="0"/>
    <x v="0"/>
    <x v="0"/>
    <x v="0"/>
    <x v="0"/>
    <x v="0"/>
    <x v="0"/>
    <x v="0"/>
    <x v="0"/>
    <x v="0"/>
    <x v="0"/>
    <x v="0"/>
    <x v="0"/>
    <x v="0"/>
    <x v="0"/>
    <x v="0"/>
    <x v="0"/>
    <x v="0"/>
  </r>
  <r>
    <x v="9"/>
    <x v="9"/>
    <x v="0"/>
    <x v="0"/>
    <x v="0"/>
    <x v="0"/>
    <x v="0"/>
    <x v="0"/>
    <x v="0"/>
    <x v="0"/>
    <x v="0"/>
    <x v="0"/>
    <x v="0"/>
    <x v="0"/>
    <x v="0"/>
    <x v="0"/>
    <x v="0"/>
    <x v="0"/>
    <x v="0"/>
    <x v="0"/>
    <x v="0"/>
    <x v="0"/>
    <x v="0"/>
    <x v="0"/>
    <x v="0"/>
    <x v="0"/>
  </r>
  <r>
    <x v="11"/>
    <x v="11"/>
    <x v="0"/>
    <x v="0"/>
    <x v="0"/>
    <x v="0"/>
    <x v="0"/>
    <x v="0"/>
    <x v="0"/>
    <x v="0"/>
    <x v="0"/>
    <x v="0"/>
    <x v="0"/>
    <x v="0"/>
    <x v="0"/>
    <x v="0"/>
    <x v="0"/>
    <x v="0"/>
    <x v="0"/>
    <x v="0"/>
    <x v="0"/>
    <x v="0"/>
    <x v="0"/>
    <x v="0"/>
    <x v="0"/>
    <x v="0"/>
  </r>
  <r>
    <x v="12"/>
    <x v="12"/>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1"/>
    <x v="1"/>
    <x v="0"/>
    <x v="0"/>
    <x v="0"/>
    <x v="0"/>
    <x v="0"/>
    <x v="0"/>
    <x v="0"/>
    <x v="0"/>
    <x v="0"/>
    <x v="0"/>
    <x v="0"/>
    <x v="0"/>
    <x v="0"/>
    <x v="0"/>
    <x v="0"/>
    <x v="0"/>
    <x v="0"/>
    <x v="0"/>
    <x v="0"/>
    <x v="0"/>
    <x v="0"/>
    <x v="0"/>
    <x v="0"/>
    <x v="0"/>
  </r>
  <r>
    <x v="1"/>
    <x v="1"/>
    <x v="0"/>
    <x v="0"/>
    <x v="0"/>
    <x v="0"/>
    <x v="0"/>
    <x v="0"/>
    <x v="0"/>
    <x v="0"/>
    <x v="0"/>
    <x v="0"/>
    <x v="0"/>
    <x v="0"/>
    <x v="0"/>
    <x v="0"/>
    <x v="0"/>
    <x v="0"/>
    <x v="0"/>
    <x v="0"/>
    <x v="0"/>
    <x v="0"/>
    <x v="0"/>
    <x v="0"/>
    <x v="0"/>
    <x v="0"/>
  </r>
  <r>
    <x v="2"/>
    <x v="2"/>
    <x v="0"/>
    <x v="0"/>
    <x v="0"/>
    <x v="0"/>
    <x v="0"/>
    <x v="0"/>
    <x v="0"/>
    <x v="0"/>
    <x v="0"/>
    <x v="0"/>
    <x v="0"/>
    <x v="0"/>
    <x v="0"/>
    <x v="0"/>
    <x v="0"/>
    <x v="0"/>
    <x v="0"/>
    <x v="0"/>
    <x v="0"/>
    <x v="0"/>
    <x v="0"/>
    <x v="0"/>
    <x v="0"/>
    <x v="0"/>
  </r>
  <r>
    <x v="3"/>
    <x v="3"/>
    <x v="0"/>
    <x v="0"/>
    <x v="0"/>
    <x v="0"/>
    <x v="0"/>
    <x v="0"/>
    <x v="0"/>
    <x v="0"/>
    <x v="0"/>
    <x v="0"/>
    <x v="0"/>
    <x v="0"/>
    <x v="0"/>
    <x v="0"/>
    <x v="0"/>
    <x v="0"/>
    <x v="0"/>
    <x v="0"/>
    <x v="0"/>
    <x v="0"/>
    <x v="0"/>
    <x v="0"/>
    <x v="0"/>
    <x v="0"/>
  </r>
  <r>
    <x v="4"/>
    <x v="4"/>
    <x v="0"/>
    <x v="0"/>
    <x v="0"/>
    <x v="0"/>
    <x v="0"/>
    <x v="0"/>
    <x v="0"/>
    <x v="0"/>
    <x v="0"/>
    <x v="0"/>
    <x v="0"/>
    <x v="0"/>
    <x v="0"/>
    <x v="0"/>
    <x v="0"/>
    <x v="0"/>
    <x v="0"/>
    <x v="0"/>
    <x v="0"/>
    <x v="0"/>
    <x v="0"/>
    <x v="0"/>
    <x v="0"/>
    <x v="0"/>
  </r>
  <r>
    <x v="5"/>
    <x v="5"/>
    <x v="0"/>
    <x v="0"/>
    <x v="0"/>
    <x v="0"/>
    <x v="0"/>
    <x v="0"/>
    <x v="0"/>
    <x v="0"/>
    <x v="0"/>
    <x v="0"/>
    <x v="0"/>
    <x v="0"/>
    <x v="0"/>
    <x v="0"/>
    <x v="0"/>
    <x v="0"/>
    <x v="0"/>
    <x v="0"/>
    <x v="0"/>
    <x v="0"/>
    <x v="0"/>
    <x v="0"/>
    <x v="0"/>
    <x v="0"/>
  </r>
  <r>
    <x v="6"/>
    <x v="6"/>
    <x v="0"/>
    <x v="0"/>
    <x v="0"/>
    <x v="0"/>
    <x v="0"/>
    <x v="0"/>
    <x v="0"/>
    <x v="0"/>
    <x v="0"/>
    <x v="0"/>
    <x v="0"/>
    <x v="0"/>
    <x v="0"/>
    <x v="0"/>
    <x v="0"/>
    <x v="0"/>
    <x v="0"/>
    <x v="0"/>
    <x v="0"/>
    <x v="0"/>
    <x v="0"/>
    <x v="0"/>
    <x v="0"/>
    <x v="0"/>
  </r>
  <r>
    <x v="10"/>
    <x v="10"/>
    <x v="0"/>
    <x v="0"/>
    <x v="0"/>
    <x v="0"/>
    <x v="0"/>
    <x v="0"/>
    <x v="0"/>
    <x v="0"/>
    <x v="0"/>
    <x v="0"/>
    <x v="0"/>
    <x v="0"/>
    <x v="0"/>
    <x v="0"/>
    <x v="0"/>
    <x v="0"/>
    <x v="0"/>
    <x v="0"/>
    <x v="0"/>
    <x v="0"/>
    <x v="0"/>
    <x v="0"/>
    <x v="0"/>
    <x v="0"/>
  </r>
  <r>
    <x v="9"/>
    <x v="9"/>
    <x v="0"/>
    <x v="0"/>
    <x v="0"/>
    <x v="0"/>
    <x v="0"/>
    <x v="0"/>
    <x v="0"/>
    <x v="0"/>
    <x v="0"/>
    <x v="0"/>
    <x v="0"/>
    <x v="0"/>
    <x v="0"/>
    <x v="0"/>
    <x v="0"/>
    <x v="0"/>
    <x v="0"/>
    <x v="0"/>
    <x v="0"/>
    <x v="0"/>
    <x v="0"/>
    <x v="0"/>
    <x v="0"/>
    <x v="0"/>
  </r>
  <r>
    <x v="11"/>
    <x v="11"/>
    <x v="0"/>
    <x v="0"/>
    <x v="0"/>
    <x v="0"/>
    <x v="0"/>
    <x v="0"/>
    <x v="0"/>
    <x v="0"/>
    <x v="0"/>
    <x v="0"/>
    <x v="0"/>
    <x v="0"/>
    <x v="0"/>
    <x v="0"/>
    <x v="0"/>
    <x v="0"/>
    <x v="0"/>
    <x v="0"/>
    <x v="0"/>
    <x v="0"/>
    <x v="0"/>
    <x v="0"/>
    <x v="0"/>
    <x v="0"/>
  </r>
  <r>
    <x v="12"/>
    <x v="12"/>
    <x v="0"/>
    <x v="0"/>
    <x v="0"/>
    <x v="0"/>
    <x v="0"/>
    <x v="0"/>
    <x v="0"/>
    <x v="0"/>
    <x v="0"/>
    <x v="0"/>
    <x v="0"/>
    <x v="0"/>
    <x v="0"/>
    <x v="0"/>
    <x v="0"/>
    <x v="0"/>
    <x v="0"/>
    <x v="0"/>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7"/>
    <x v="7"/>
    <x v="11"/>
    <x v="0"/>
    <x v="7"/>
    <x v="11"/>
    <x v="1"/>
    <x v="11"/>
    <x v="10"/>
    <x v="0"/>
    <x v="0"/>
    <x v="1"/>
    <x v="0"/>
    <x v="0"/>
    <x v="0"/>
    <x v="0"/>
    <x v="0"/>
    <x v="0"/>
    <x v="0"/>
    <x v="1"/>
    <x v="0"/>
    <x v="0"/>
    <x v="0"/>
    <x v="0"/>
    <x v="0"/>
    <x v="0"/>
  </r>
  <r>
    <x v="8"/>
    <x v="8"/>
    <x v="12"/>
    <x v="0"/>
    <x v="8"/>
    <x v="12"/>
    <x v="10"/>
    <x v="12"/>
    <x v="11"/>
    <x v="0"/>
    <x v="0"/>
    <x v="1"/>
    <x v="0"/>
    <x v="0"/>
    <x v="0"/>
    <x v="0"/>
    <x v="0"/>
    <x v="0"/>
    <x v="0"/>
    <x v="1"/>
    <x v="0"/>
    <x v="0"/>
    <x v="0"/>
    <x v="0"/>
    <x v="0"/>
    <x v="0"/>
  </r>
  <r>
    <x v="7"/>
    <x v="7"/>
    <x v="0"/>
    <x v="0"/>
    <x v="0"/>
    <x v="0"/>
    <x v="0"/>
    <x v="0"/>
    <x v="0"/>
    <x v="0"/>
    <x v="0"/>
    <x v="0"/>
    <x v="0"/>
    <x v="0"/>
    <x v="0"/>
    <x v="0"/>
    <x v="0"/>
    <x v="0"/>
    <x v="0"/>
    <x v="0"/>
    <x v="0"/>
    <x v="0"/>
    <x v="0"/>
    <x v="0"/>
    <x v="0"/>
    <x v="0"/>
  </r>
  <r>
    <x v="8"/>
    <x v="8"/>
    <x v="0"/>
    <x v="0"/>
    <x v="0"/>
    <x v="0"/>
    <x v="0"/>
    <x v="0"/>
    <x v="0"/>
    <x v="0"/>
    <x v="0"/>
    <x v="0"/>
    <x v="0"/>
    <x v="0"/>
    <x v="0"/>
    <x v="0"/>
    <x v="0"/>
    <x v="0"/>
    <x v="0"/>
    <x v="0"/>
    <x v="0"/>
    <x v="0"/>
    <x v="0"/>
    <x v="0"/>
    <x v="0"/>
    <x v="0"/>
  </r>
  <r>
    <x v="14"/>
    <x v="14"/>
    <x v="13"/>
    <x v="0"/>
    <x v="1"/>
    <x v="13"/>
    <x v="11"/>
    <x v="13"/>
    <x v="12"/>
    <x v="0"/>
    <x v="0"/>
    <x v="1"/>
    <x v="0"/>
    <x v="0"/>
    <x v="0"/>
    <x v="0"/>
    <x v="0"/>
    <x v="0"/>
    <x v="0"/>
    <x v="1"/>
    <x v="0"/>
    <x v="0"/>
    <x v="0"/>
    <x v="0"/>
    <x v="0"/>
    <x v="0"/>
  </r>
  <r>
    <x v="14"/>
    <x v="14"/>
    <x v="14"/>
    <x v="0"/>
    <x v="0"/>
    <x v="8"/>
    <x v="0"/>
    <x v="0"/>
    <x v="0"/>
    <x v="0"/>
    <x v="0"/>
    <x v="0"/>
    <x v="0"/>
    <x v="0"/>
    <x v="0"/>
    <x v="0"/>
    <x v="0"/>
    <x v="0"/>
    <x v="0"/>
    <x v="0"/>
    <x v="0"/>
    <x v="0"/>
    <x v="0"/>
    <x v="0"/>
    <x v="0"/>
    <x v="0"/>
  </r>
  <r>
    <x v="15"/>
    <x v="15"/>
    <x v="0"/>
    <x v="0"/>
    <x v="0"/>
    <x v="0"/>
    <x v="0"/>
    <x v="0"/>
    <x v="0"/>
    <x v="0"/>
    <x v="0"/>
    <x v="0"/>
    <x v="0"/>
    <x v="0"/>
    <x v="0"/>
    <x v="0"/>
    <x v="0"/>
    <x v="0"/>
    <x v="0"/>
    <x v="0"/>
    <x v="0"/>
    <x v="0"/>
    <x v="0"/>
    <x v="0"/>
    <x v="0"/>
    <x v="0"/>
  </r>
  <r>
    <x v="15"/>
    <x v="15"/>
    <x v="15"/>
    <x v="0"/>
    <x v="1"/>
    <x v="14"/>
    <x v="11"/>
    <x v="14"/>
    <x v="5"/>
    <x v="0"/>
    <x v="0"/>
    <x v="1"/>
    <x v="0"/>
    <x v="0"/>
    <x v="0"/>
    <x v="0"/>
    <x v="0"/>
    <x v="0"/>
    <x v="0"/>
    <x v="1"/>
    <x v="0"/>
    <x v="0"/>
    <x v="0"/>
    <x v="0"/>
    <x v="0"/>
    <x v="0"/>
  </r>
  <r>
    <x v="16"/>
    <x v="16"/>
    <x v="16"/>
    <x v="0"/>
    <x v="0"/>
    <x v="8"/>
    <x v="0"/>
    <x v="0"/>
    <x v="0"/>
    <x v="0"/>
    <x v="0"/>
    <x v="0"/>
    <x v="0"/>
    <x v="0"/>
    <x v="0"/>
    <x v="0"/>
    <x v="0"/>
    <x v="0"/>
    <x v="0"/>
    <x v="0"/>
    <x v="0"/>
    <x v="0"/>
    <x v="0"/>
    <x v="0"/>
    <x v="0"/>
    <x v="0"/>
  </r>
  <r>
    <x v="16"/>
    <x v="16"/>
    <x v="17"/>
    <x v="0"/>
    <x v="3"/>
    <x v="15"/>
    <x v="12"/>
    <x v="15"/>
    <x v="13"/>
    <x v="0"/>
    <x v="8"/>
    <x v="9"/>
    <x v="6"/>
    <x v="6"/>
    <x v="6"/>
    <x v="6"/>
    <x v="6"/>
    <x v="6"/>
    <x v="8"/>
    <x v="9"/>
    <x v="6"/>
    <x v="6"/>
    <x v="6"/>
    <x v="6"/>
    <x v="6"/>
    <x v="6"/>
  </r>
  <r>
    <x v="17"/>
    <x v="17"/>
    <x v="18"/>
    <x v="0"/>
    <x v="0"/>
    <x v="8"/>
    <x v="0"/>
    <x v="0"/>
    <x v="0"/>
    <x v="0"/>
    <x v="0"/>
    <x v="0"/>
    <x v="0"/>
    <x v="0"/>
    <x v="0"/>
    <x v="0"/>
    <x v="0"/>
    <x v="0"/>
    <x v="0"/>
    <x v="0"/>
    <x v="0"/>
    <x v="0"/>
    <x v="0"/>
    <x v="0"/>
    <x v="0"/>
    <x v="0"/>
  </r>
  <r>
    <x v="18"/>
    <x v="18"/>
    <x v="0"/>
    <x v="0"/>
    <x v="0"/>
    <x v="0"/>
    <x v="0"/>
    <x v="0"/>
    <x v="0"/>
    <x v="0"/>
    <x v="0"/>
    <x v="0"/>
    <x v="0"/>
    <x v="0"/>
    <x v="0"/>
    <x v="0"/>
    <x v="0"/>
    <x v="0"/>
    <x v="0"/>
    <x v="0"/>
    <x v="0"/>
    <x v="0"/>
    <x v="0"/>
    <x v="0"/>
    <x v="0"/>
    <x v="0"/>
  </r>
  <r>
    <x v="17"/>
    <x v="17"/>
    <x v="19"/>
    <x v="0"/>
    <x v="1"/>
    <x v="16"/>
    <x v="13"/>
    <x v="16"/>
    <x v="14"/>
    <x v="0"/>
    <x v="0"/>
    <x v="1"/>
    <x v="0"/>
    <x v="0"/>
    <x v="0"/>
    <x v="0"/>
    <x v="0"/>
    <x v="0"/>
    <x v="0"/>
    <x v="1"/>
    <x v="0"/>
    <x v="0"/>
    <x v="0"/>
    <x v="0"/>
    <x v="0"/>
    <x v="0"/>
  </r>
  <r>
    <x v="18"/>
    <x v="18"/>
    <x v="20"/>
    <x v="0"/>
    <x v="0"/>
    <x v="8"/>
    <x v="0"/>
    <x v="0"/>
    <x v="0"/>
    <x v="0"/>
    <x v="0"/>
    <x v="0"/>
    <x v="0"/>
    <x v="0"/>
    <x v="0"/>
    <x v="0"/>
    <x v="0"/>
    <x v="0"/>
    <x v="0"/>
    <x v="0"/>
    <x v="0"/>
    <x v="0"/>
    <x v="0"/>
    <x v="0"/>
    <x v="0"/>
    <x v="0"/>
  </r>
  <r>
    <x v="0"/>
    <x v="0"/>
    <x v="21"/>
    <x v="2"/>
    <x v="9"/>
    <x v="0"/>
    <x v="14"/>
    <x v="17"/>
    <x v="0"/>
    <x v="0"/>
    <x v="0"/>
    <x v="0"/>
    <x v="7"/>
    <x v="7"/>
    <x v="7"/>
    <x v="7"/>
    <x v="7"/>
    <x v="7"/>
    <x v="0"/>
    <x v="0"/>
    <x v="7"/>
    <x v="7"/>
    <x v="7"/>
    <x v="7"/>
    <x v="7"/>
    <x v="7"/>
  </r>
</pivotCacheRecords>
</file>

<file path=xl/pivotCache/pivotCacheRecords61.xml><?xml version="1.0" encoding="utf-8"?>
<pivotCacheRecords xmlns="http://schemas.openxmlformats.org/spreadsheetml/2006/main" xmlns:r="http://schemas.openxmlformats.org/officeDocument/2006/relationships" count="10">
  <r>
    <x v="0"/>
    <x v="0"/>
    <x v="0"/>
    <x v="0"/>
    <x v="0"/>
    <x v="0"/>
    <x v="0"/>
    <x v="0"/>
    <x v="0"/>
    <x v="0"/>
    <x v="0"/>
    <x v="0"/>
    <x v="0"/>
    <x v="0"/>
  </r>
  <r>
    <x v="1"/>
    <x v="1"/>
    <x v="1"/>
    <x v="1"/>
    <x v="1"/>
    <x v="1"/>
    <x v="1"/>
    <x v="1"/>
    <x v="1"/>
    <x v="1"/>
    <x v="1"/>
    <x v="0"/>
    <x v="1"/>
    <x v="1"/>
  </r>
  <r>
    <x v="2"/>
    <x v="2"/>
    <x v="2"/>
    <x v="2"/>
    <x v="0"/>
    <x v="2"/>
    <x v="0"/>
    <x v="2"/>
    <x v="0"/>
    <x v="2"/>
    <x v="0"/>
    <x v="0"/>
    <x v="0"/>
    <x v="1"/>
  </r>
  <r>
    <x v="3"/>
    <x v="3"/>
    <x v="3"/>
    <x v="3"/>
    <x v="1"/>
    <x v="3"/>
    <x v="1"/>
    <x v="3"/>
    <x v="2"/>
    <x v="3"/>
    <x v="2"/>
    <x v="0"/>
    <x v="1"/>
    <x v="1"/>
  </r>
  <r>
    <x v="4"/>
    <x v="4"/>
    <x v="4"/>
    <x v="1"/>
    <x v="0"/>
    <x v="1"/>
    <x v="0"/>
    <x v="1"/>
    <x v="0"/>
    <x v="1"/>
    <x v="0"/>
    <x v="0"/>
    <x v="0"/>
    <x v="1"/>
  </r>
  <r>
    <x v="5"/>
    <x v="5"/>
    <x v="5"/>
    <x v="4"/>
    <x v="0"/>
    <x v="4"/>
    <x v="0"/>
    <x v="4"/>
    <x v="0"/>
    <x v="4"/>
    <x v="0"/>
    <x v="0"/>
    <x v="0"/>
    <x v="1"/>
  </r>
  <r>
    <x v="6"/>
    <x v="6"/>
    <x v="6"/>
    <x v="3"/>
    <x v="0"/>
    <x v="3"/>
    <x v="0"/>
    <x v="5"/>
    <x v="0"/>
    <x v="5"/>
    <x v="0"/>
    <x v="0"/>
    <x v="0"/>
    <x v="1"/>
  </r>
  <r>
    <x v="7"/>
    <x v="7"/>
    <x v="7"/>
    <x v="5"/>
    <x v="0"/>
    <x v="5"/>
    <x v="0"/>
    <x v="6"/>
    <x v="0"/>
    <x v="6"/>
    <x v="0"/>
    <x v="0"/>
    <x v="0"/>
    <x v="1"/>
  </r>
  <r>
    <x v="8"/>
    <x v="8"/>
    <x v="8"/>
    <x v="6"/>
    <x v="0"/>
    <x v="6"/>
    <x v="0"/>
    <x v="7"/>
    <x v="0"/>
    <x v="7"/>
    <x v="0"/>
    <x v="0"/>
    <x v="0"/>
    <x v="1"/>
  </r>
  <r>
    <x v="9"/>
    <x v="9"/>
    <x v="9"/>
    <x v="7"/>
    <x v="2"/>
    <x v="7"/>
    <x v="2"/>
    <x v="8"/>
    <x v="3"/>
    <x v="8"/>
    <x v="3"/>
    <x v="1"/>
    <x v="2"/>
    <x v="2"/>
  </r>
</pivotCacheRecords>
</file>

<file path=xl/pivotCache/pivotCacheRecords62.xml><?xml version="1.0" encoding="utf-8"?>
<pivotCacheRecords xmlns="http://schemas.openxmlformats.org/spreadsheetml/2006/main" xmlns:r="http://schemas.openxmlformats.org/officeDocument/2006/relationships" count="12">
  <r>
    <x v="0"/>
    <x v="0"/>
    <x v="0"/>
    <x v="0"/>
    <x v="0"/>
    <x v="0"/>
    <x v="0"/>
    <x v="0"/>
    <x v="0"/>
    <x v="0"/>
    <x v="0"/>
    <x v="0"/>
    <x v="0"/>
    <x v="0"/>
  </r>
  <r>
    <x v="1"/>
    <x v="1"/>
    <x v="1"/>
    <x v="1"/>
    <x v="0"/>
    <x v="1"/>
    <x v="0"/>
    <x v="1"/>
    <x v="0"/>
    <x v="1"/>
    <x v="0"/>
    <x v="0"/>
    <x v="0"/>
    <x v="1"/>
  </r>
  <r>
    <x v="2"/>
    <x v="2"/>
    <x v="2"/>
    <x v="2"/>
    <x v="0"/>
    <x v="2"/>
    <x v="0"/>
    <x v="2"/>
    <x v="0"/>
    <x v="2"/>
    <x v="0"/>
    <x v="0"/>
    <x v="0"/>
    <x v="1"/>
  </r>
  <r>
    <x v="3"/>
    <x v="3"/>
    <x v="3"/>
    <x v="0"/>
    <x v="0"/>
    <x v="0"/>
    <x v="0"/>
    <x v="3"/>
    <x v="0"/>
    <x v="3"/>
    <x v="0"/>
    <x v="0"/>
    <x v="0"/>
    <x v="1"/>
  </r>
  <r>
    <x v="4"/>
    <x v="4"/>
    <x v="4"/>
    <x v="3"/>
    <x v="1"/>
    <x v="3"/>
    <x v="1"/>
    <x v="4"/>
    <x v="1"/>
    <x v="4"/>
    <x v="1"/>
    <x v="0"/>
    <x v="1"/>
    <x v="2"/>
  </r>
  <r>
    <x v="5"/>
    <x v="5"/>
    <x v="5"/>
    <x v="4"/>
    <x v="0"/>
    <x v="4"/>
    <x v="0"/>
    <x v="3"/>
    <x v="0"/>
    <x v="3"/>
    <x v="0"/>
    <x v="0"/>
    <x v="0"/>
    <x v="2"/>
  </r>
  <r>
    <x v="6"/>
    <x v="6"/>
    <x v="6"/>
    <x v="5"/>
    <x v="1"/>
    <x v="5"/>
    <x v="1"/>
    <x v="5"/>
    <x v="2"/>
    <x v="5"/>
    <x v="2"/>
    <x v="0"/>
    <x v="1"/>
    <x v="2"/>
  </r>
  <r>
    <x v="7"/>
    <x v="7"/>
    <x v="7"/>
    <x v="6"/>
    <x v="0"/>
    <x v="6"/>
    <x v="0"/>
    <x v="6"/>
    <x v="0"/>
    <x v="6"/>
    <x v="0"/>
    <x v="0"/>
    <x v="0"/>
    <x v="2"/>
  </r>
  <r>
    <x v="8"/>
    <x v="8"/>
    <x v="8"/>
    <x v="7"/>
    <x v="0"/>
    <x v="7"/>
    <x v="0"/>
    <x v="7"/>
    <x v="0"/>
    <x v="7"/>
    <x v="0"/>
    <x v="0"/>
    <x v="0"/>
    <x v="2"/>
  </r>
  <r>
    <x v="9"/>
    <x v="9"/>
    <x v="9"/>
    <x v="5"/>
    <x v="0"/>
    <x v="5"/>
    <x v="0"/>
    <x v="8"/>
    <x v="0"/>
    <x v="8"/>
    <x v="0"/>
    <x v="0"/>
    <x v="0"/>
    <x v="2"/>
  </r>
  <r>
    <x v="10"/>
    <x v="10"/>
    <x v="10"/>
    <x v="8"/>
    <x v="0"/>
    <x v="8"/>
    <x v="0"/>
    <x v="9"/>
    <x v="0"/>
    <x v="9"/>
    <x v="0"/>
    <x v="0"/>
    <x v="0"/>
    <x v="2"/>
  </r>
  <r>
    <x v="11"/>
    <x v="11"/>
    <x v="11"/>
    <x v="9"/>
    <x v="2"/>
    <x v="9"/>
    <x v="2"/>
    <x v="10"/>
    <x v="3"/>
    <x v="10"/>
    <x v="3"/>
    <x v="1"/>
    <x v="2"/>
    <x v="3"/>
  </r>
</pivotCacheRecords>
</file>

<file path=xl/pivotCache/pivotCacheRecords63.xml><?xml version="1.0" encoding="utf-8"?>
<pivotCacheRecords xmlns="http://schemas.openxmlformats.org/spreadsheetml/2006/main" xmlns:r="http://schemas.openxmlformats.org/officeDocument/2006/relationships" count="12">
  <r>
    <x v="0"/>
    <x v="0"/>
    <x v="0"/>
    <x v="0"/>
    <x v="0"/>
    <x v="0"/>
    <x v="0"/>
    <x v="0"/>
    <x v="0"/>
    <x v="0"/>
    <x v="0"/>
    <x v="0"/>
    <x v="0"/>
    <x v="0"/>
  </r>
  <r>
    <x v="1"/>
    <x v="1"/>
    <x v="1"/>
    <x v="1"/>
    <x v="0"/>
    <x v="1"/>
    <x v="0"/>
    <x v="1"/>
    <x v="0"/>
    <x v="1"/>
    <x v="0"/>
    <x v="0"/>
    <x v="0"/>
    <x v="1"/>
  </r>
  <r>
    <x v="2"/>
    <x v="2"/>
    <x v="2"/>
    <x v="2"/>
    <x v="0"/>
    <x v="2"/>
    <x v="0"/>
    <x v="2"/>
    <x v="0"/>
    <x v="2"/>
    <x v="0"/>
    <x v="0"/>
    <x v="0"/>
    <x v="1"/>
  </r>
  <r>
    <x v="3"/>
    <x v="3"/>
    <x v="3"/>
    <x v="3"/>
    <x v="0"/>
    <x v="3"/>
    <x v="0"/>
    <x v="3"/>
    <x v="0"/>
    <x v="3"/>
    <x v="0"/>
    <x v="0"/>
    <x v="0"/>
    <x v="1"/>
  </r>
  <r>
    <x v="4"/>
    <x v="4"/>
    <x v="4"/>
    <x v="4"/>
    <x v="1"/>
    <x v="4"/>
    <x v="1"/>
    <x v="4"/>
    <x v="1"/>
    <x v="4"/>
    <x v="1"/>
    <x v="0"/>
    <x v="1"/>
    <x v="2"/>
  </r>
  <r>
    <x v="5"/>
    <x v="5"/>
    <x v="5"/>
    <x v="5"/>
    <x v="0"/>
    <x v="5"/>
    <x v="0"/>
    <x v="5"/>
    <x v="0"/>
    <x v="5"/>
    <x v="0"/>
    <x v="0"/>
    <x v="0"/>
    <x v="2"/>
  </r>
  <r>
    <x v="6"/>
    <x v="6"/>
    <x v="6"/>
    <x v="6"/>
    <x v="1"/>
    <x v="6"/>
    <x v="1"/>
    <x v="6"/>
    <x v="2"/>
    <x v="6"/>
    <x v="2"/>
    <x v="0"/>
    <x v="1"/>
    <x v="2"/>
  </r>
  <r>
    <x v="7"/>
    <x v="7"/>
    <x v="7"/>
    <x v="7"/>
    <x v="0"/>
    <x v="7"/>
    <x v="0"/>
    <x v="7"/>
    <x v="0"/>
    <x v="7"/>
    <x v="0"/>
    <x v="0"/>
    <x v="0"/>
    <x v="2"/>
  </r>
  <r>
    <x v="8"/>
    <x v="8"/>
    <x v="8"/>
    <x v="8"/>
    <x v="0"/>
    <x v="8"/>
    <x v="0"/>
    <x v="8"/>
    <x v="0"/>
    <x v="8"/>
    <x v="0"/>
    <x v="0"/>
    <x v="0"/>
    <x v="2"/>
  </r>
  <r>
    <x v="9"/>
    <x v="9"/>
    <x v="9"/>
    <x v="9"/>
    <x v="0"/>
    <x v="9"/>
    <x v="0"/>
    <x v="9"/>
    <x v="0"/>
    <x v="9"/>
    <x v="0"/>
    <x v="0"/>
    <x v="0"/>
    <x v="2"/>
  </r>
  <r>
    <x v="10"/>
    <x v="10"/>
    <x v="10"/>
    <x v="10"/>
    <x v="0"/>
    <x v="10"/>
    <x v="0"/>
    <x v="10"/>
    <x v="0"/>
    <x v="10"/>
    <x v="0"/>
    <x v="0"/>
    <x v="0"/>
    <x v="2"/>
  </r>
  <r>
    <x v="11"/>
    <x v="11"/>
    <x v="11"/>
    <x v="11"/>
    <x v="2"/>
    <x v="11"/>
    <x v="2"/>
    <x v="11"/>
    <x v="3"/>
    <x v="11"/>
    <x v="3"/>
    <x v="1"/>
    <x v="2"/>
    <x v="3"/>
  </r>
</pivotCacheRecords>
</file>

<file path=xl/pivotCache/pivotCacheRecords64.xml><?xml version="1.0" encoding="utf-8"?>
<pivotCacheRecords xmlns="http://schemas.openxmlformats.org/spreadsheetml/2006/main" xmlns:r="http://schemas.openxmlformats.org/officeDocument/2006/relationships" count="39">
  <r>
    <x v="0"/>
    <x v="0"/>
    <x v="0"/>
    <x v="0"/>
    <x v="0"/>
    <x v="0"/>
    <x v="0"/>
    <x v="0"/>
    <x v="0"/>
    <x v="0"/>
    <x v="0"/>
    <x v="0"/>
    <x v="0"/>
    <x v="0"/>
    <x v="0"/>
    <x v="0"/>
    <x v="0"/>
  </r>
  <r>
    <x v="1"/>
    <x v="1"/>
    <x v="1"/>
    <x v="0"/>
    <x v="0"/>
    <x v="0"/>
    <x v="0"/>
    <x v="0"/>
    <x v="0"/>
    <x v="0"/>
    <x v="0"/>
    <x v="0"/>
    <x v="0"/>
    <x v="0"/>
    <x v="0"/>
    <x v="0"/>
    <x v="0"/>
  </r>
  <r>
    <x v="2"/>
    <x v="2"/>
    <x v="2"/>
    <x v="1"/>
    <x v="1"/>
    <x v="1"/>
    <x v="1"/>
    <x v="0"/>
    <x v="0"/>
    <x v="1"/>
    <x v="0"/>
    <x v="0"/>
    <x v="1"/>
    <x v="0"/>
    <x v="0"/>
    <x v="0"/>
    <x v="0"/>
  </r>
  <r>
    <x v="3"/>
    <x v="3"/>
    <x v="3"/>
    <x v="0"/>
    <x v="0"/>
    <x v="0"/>
    <x v="0"/>
    <x v="0"/>
    <x v="0"/>
    <x v="0"/>
    <x v="0"/>
    <x v="0"/>
    <x v="0"/>
    <x v="0"/>
    <x v="0"/>
    <x v="0"/>
    <x v="0"/>
  </r>
  <r>
    <x v="4"/>
    <x v="4"/>
    <x v="4"/>
    <x v="0"/>
    <x v="0"/>
    <x v="0"/>
    <x v="0"/>
    <x v="0"/>
    <x v="0"/>
    <x v="0"/>
    <x v="0"/>
    <x v="0"/>
    <x v="0"/>
    <x v="0"/>
    <x v="0"/>
    <x v="0"/>
    <x v="0"/>
  </r>
  <r>
    <x v="5"/>
    <x v="5"/>
    <x v="4"/>
    <x v="0"/>
    <x v="0"/>
    <x v="0"/>
    <x v="0"/>
    <x v="0"/>
    <x v="0"/>
    <x v="0"/>
    <x v="0"/>
    <x v="0"/>
    <x v="0"/>
    <x v="0"/>
    <x v="0"/>
    <x v="0"/>
    <x v="0"/>
  </r>
  <r>
    <x v="0"/>
    <x v="0"/>
    <x v="5"/>
    <x v="2"/>
    <x v="2"/>
    <x v="2"/>
    <x v="2"/>
    <x v="1"/>
    <x v="1"/>
    <x v="2"/>
    <x v="1"/>
    <x v="1"/>
    <x v="2"/>
    <x v="1"/>
    <x v="1"/>
    <x v="1"/>
    <x v="1"/>
  </r>
  <r>
    <x v="1"/>
    <x v="1"/>
    <x v="6"/>
    <x v="3"/>
    <x v="3"/>
    <x v="3"/>
    <x v="3"/>
    <x v="0"/>
    <x v="0"/>
    <x v="1"/>
    <x v="0"/>
    <x v="0"/>
    <x v="1"/>
    <x v="0"/>
    <x v="0"/>
    <x v="0"/>
    <x v="0"/>
  </r>
  <r>
    <x v="2"/>
    <x v="2"/>
    <x v="7"/>
    <x v="4"/>
    <x v="4"/>
    <x v="4"/>
    <x v="4"/>
    <x v="0"/>
    <x v="0"/>
    <x v="1"/>
    <x v="0"/>
    <x v="0"/>
    <x v="1"/>
    <x v="0"/>
    <x v="0"/>
    <x v="0"/>
    <x v="0"/>
  </r>
  <r>
    <x v="6"/>
    <x v="6"/>
    <x v="8"/>
    <x v="5"/>
    <x v="5"/>
    <x v="4"/>
    <x v="5"/>
    <x v="0"/>
    <x v="0"/>
    <x v="1"/>
    <x v="0"/>
    <x v="0"/>
    <x v="1"/>
    <x v="0"/>
    <x v="0"/>
    <x v="0"/>
    <x v="0"/>
  </r>
  <r>
    <x v="7"/>
    <x v="7"/>
    <x v="9"/>
    <x v="1"/>
    <x v="6"/>
    <x v="5"/>
    <x v="6"/>
    <x v="0"/>
    <x v="0"/>
    <x v="1"/>
    <x v="0"/>
    <x v="0"/>
    <x v="1"/>
    <x v="0"/>
    <x v="0"/>
    <x v="0"/>
    <x v="0"/>
  </r>
  <r>
    <x v="8"/>
    <x v="8"/>
    <x v="10"/>
    <x v="1"/>
    <x v="7"/>
    <x v="5"/>
    <x v="6"/>
    <x v="0"/>
    <x v="0"/>
    <x v="1"/>
    <x v="0"/>
    <x v="0"/>
    <x v="1"/>
    <x v="0"/>
    <x v="0"/>
    <x v="0"/>
    <x v="0"/>
  </r>
  <r>
    <x v="9"/>
    <x v="9"/>
    <x v="11"/>
    <x v="0"/>
    <x v="0"/>
    <x v="0"/>
    <x v="0"/>
    <x v="0"/>
    <x v="0"/>
    <x v="0"/>
    <x v="0"/>
    <x v="0"/>
    <x v="0"/>
    <x v="0"/>
    <x v="0"/>
    <x v="0"/>
    <x v="0"/>
  </r>
  <r>
    <x v="10"/>
    <x v="10"/>
    <x v="12"/>
    <x v="0"/>
    <x v="0"/>
    <x v="0"/>
    <x v="0"/>
    <x v="0"/>
    <x v="0"/>
    <x v="0"/>
    <x v="0"/>
    <x v="0"/>
    <x v="0"/>
    <x v="0"/>
    <x v="0"/>
    <x v="0"/>
    <x v="0"/>
  </r>
  <r>
    <x v="11"/>
    <x v="11"/>
    <x v="13"/>
    <x v="0"/>
    <x v="0"/>
    <x v="0"/>
    <x v="0"/>
    <x v="0"/>
    <x v="0"/>
    <x v="0"/>
    <x v="0"/>
    <x v="0"/>
    <x v="0"/>
    <x v="0"/>
    <x v="0"/>
    <x v="0"/>
    <x v="0"/>
  </r>
  <r>
    <x v="3"/>
    <x v="3"/>
    <x v="14"/>
    <x v="6"/>
    <x v="8"/>
    <x v="6"/>
    <x v="7"/>
    <x v="0"/>
    <x v="0"/>
    <x v="1"/>
    <x v="0"/>
    <x v="0"/>
    <x v="1"/>
    <x v="0"/>
    <x v="0"/>
    <x v="0"/>
    <x v="0"/>
  </r>
  <r>
    <x v="4"/>
    <x v="4"/>
    <x v="15"/>
    <x v="0"/>
    <x v="0"/>
    <x v="0"/>
    <x v="0"/>
    <x v="0"/>
    <x v="0"/>
    <x v="0"/>
    <x v="0"/>
    <x v="0"/>
    <x v="0"/>
    <x v="0"/>
    <x v="0"/>
    <x v="0"/>
    <x v="0"/>
  </r>
  <r>
    <x v="5"/>
    <x v="5"/>
    <x v="16"/>
    <x v="1"/>
    <x v="9"/>
    <x v="7"/>
    <x v="8"/>
    <x v="0"/>
    <x v="0"/>
    <x v="1"/>
    <x v="0"/>
    <x v="0"/>
    <x v="1"/>
    <x v="0"/>
    <x v="0"/>
    <x v="0"/>
    <x v="0"/>
  </r>
  <r>
    <x v="6"/>
    <x v="6"/>
    <x v="17"/>
    <x v="5"/>
    <x v="10"/>
    <x v="8"/>
    <x v="9"/>
    <x v="0"/>
    <x v="0"/>
    <x v="1"/>
    <x v="0"/>
    <x v="0"/>
    <x v="1"/>
    <x v="0"/>
    <x v="0"/>
    <x v="0"/>
    <x v="0"/>
  </r>
  <r>
    <x v="7"/>
    <x v="7"/>
    <x v="18"/>
    <x v="1"/>
    <x v="11"/>
    <x v="9"/>
    <x v="10"/>
    <x v="0"/>
    <x v="0"/>
    <x v="1"/>
    <x v="0"/>
    <x v="0"/>
    <x v="1"/>
    <x v="0"/>
    <x v="0"/>
    <x v="0"/>
    <x v="0"/>
  </r>
  <r>
    <x v="8"/>
    <x v="8"/>
    <x v="19"/>
    <x v="1"/>
    <x v="12"/>
    <x v="5"/>
    <x v="6"/>
    <x v="0"/>
    <x v="0"/>
    <x v="1"/>
    <x v="0"/>
    <x v="0"/>
    <x v="1"/>
    <x v="0"/>
    <x v="0"/>
    <x v="0"/>
    <x v="0"/>
  </r>
  <r>
    <x v="12"/>
    <x v="12"/>
    <x v="20"/>
    <x v="7"/>
    <x v="13"/>
    <x v="10"/>
    <x v="11"/>
    <x v="2"/>
    <x v="2"/>
    <x v="3"/>
    <x v="2"/>
    <x v="2"/>
    <x v="3"/>
    <x v="1"/>
    <x v="0"/>
    <x v="2"/>
    <x v="0"/>
  </r>
  <r>
    <x v="13"/>
    <x v="13"/>
    <x v="21"/>
    <x v="6"/>
    <x v="14"/>
    <x v="11"/>
    <x v="12"/>
    <x v="1"/>
    <x v="3"/>
    <x v="4"/>
    <x v="1"/>
    <x v="1"/>
    <x v="4"/>
    <x v="1"/>
    <x v="1"/>
    <x v="2"/>
    <x v="2"/>
  </r>
  <r>
    <x v="14"/>
    <x v="14"/>
    <x v="22"/>
    <x v="5"/>
    <x v="15"/>
    <x v="4"/>
    <x v="5"/>
    <x v="0"/>
    <x v="0"/>
    <x v="1"/>
    <x v="0"/>
    <x v="0"/>
    <x v="1"/>
    <x v="0"/>
    <x v="0"/>
    <x v="0"/>
    <x v="0"/>
  </r>
  <r>
    <x v="9"/>
    <x v="9"/>
    <x v="23"/>
    <x v="8"/>
    <x v="16"/>
    <x v="12"/>
    <x v="13"/>
    <x v="3"/>
    <x v="4"/>
    <x v="5"/>
    <x v="2"/>
    <x v="2"/>
    <x v="5"/>
    <x v="0"/>
    <x v="1"/>
    <x v="0"/>
    <x v="2"/>
  </r>
  <r>
    <x v="10"/>
    <x v="10"/>
    <x v="24"/>
    <x v="9"/>
    <x v="17"/>
    <x v="13"/>
    <x v="14"/>
    <x v="0"/>
    <x v="0"/>
    <x v="1"/>
    <x v="0"/>
    <x v="0"/>
    <x v="1"/>
    <x v="0"/>
    <x v="0"/>
    <x v="0"/>
    <x v="0"/>
  </r>
  <r>
    <x v="11"/>
    <x v="11"/>
    <x v="25"/>
    <x v="10"/>
    <x v="18"/>
    <x v="14"/>
    <x v="15"/>
    <x v="2"/>
    <x v="5"/>
    <x v="6"/>
    <x v="2"/>
    <x v="2"/>
    <x v="6"/>
    <x v="1"/>
    <x v="0"/>
    <x v="2"/>
    <x v="0"/>
  </r>
  <r>
    <x v="12"/>
    <x v="12"/>
    <x v="26"/>
    <x v="0"/>
    <x v="0"/>
    <x v="0"/>
    <x v="0"/>
    <x v="0"/>
    <x v="0"/>
    <x v="0"/>
    <x v="0"/>
    <x v="0"/>
    <x v="0"/>
    <x v="0"/>
    <x v="0"/>
    <x v="0"/>
    <x v="0"/>
  </r>
  <r>
    <x v="13"/>
    <x v="13"/>
    <x v="27"/>
    <x v="0"/>
    <x v="0"/>
    <x v="0"/>
    <x v="0"/>
    <x v="0"/>
    <x v="0"/>
    <x v="0"/>
    <x v="0"/>
    <x v="0"/>
    <x v="0"/>
    <x v="0"/>
    <x v="0"/>
    <x v="0"/>
    <x v="0"/>
  </r>
  <r>
    <x v="14"/>
    <x v="14"/>
    <x v="28"/>
    <x v="0"/>
    <x v="0"/>
    <x v="0"/>
    <x v="0"/>
    <x v="0"/>
    <x v="0"/>
    <x v="0"/>
    <x v="0"/>
    <x v="0"/>
    <x v="0"/>
    <x v="0"/>
    <x v="0"/>
    <x v="0"/>
    <x v="0"/>
  </r>
  <r>
    <x v="15"/>
    <x v="15"/>
    <x v="29"/>
    <x v="0"/>
    <x v="0"/>
    <x v="0"/>
    <x v="0"/>
    <x v="0"/>
    <x v="0"/>
    <x v="0"/>
    <x v="0"/>
    <x v="0"/>
    <x v="0"/>
    <x v="0"/>
    <x v="0"/>
    <x v="0"/>
    <x v="0"/>
  </r>
  <r>
    <x v="16"/>
    <x v="16"/>
    <x v="30"/>
    <x v="6"/>
    <x v="19"/>
    <x v="15"/>
    <x v="16"/>
    <x v="0"/>
    <x v="0"/>
    <x v="1"/>
    <x v="0"/>
    <x v="0"/>
    <x v="1"/>
    <x v="0"/>
    <x v="0"/>
    <x v="0"/>
    <x v="0"/>
  </r>
  <r>
    <x v="15"/>
    <x v="15"/>
    <x v="31"/>
    <x v="1"/>
    <x v="20"/>
    <x v="16"/>
    <x v="17"/>
    <x v="0"/>
    <x v="0"/>
    <x v="1"/>
    <x v="0"/>
    <x v="0"/>
    <x v="1"/>
    <x v="0"/>
    <x v="0"/>
    <x v="0"/>
    <x v="0"/>
  </r>
  <r>
    <x v="16"/>
    <x v="16"/>
    <x v="32"/>
    <x v="4"/>
    <x v="21"/>
    <x v="17"/>
    <x v="18"/>
    <x v="4"/>
    <x v="6"/>
    <x v="7"/>
    <x v="2"/>
    <x v="2"/>
    <x v="7"/>
    <x v="1"/>
    <x v="0"/>
    <x v="3"/>
    <x v="0"/>
  </r>
  <r>
    <x v="17"/>
    <x v="17"/>
    <x v="33"/>
    <x v="0"/>
    <x v="0"/>
    <x v="0"/>
    <x v="0"/>
    <x v="0"/>
    <x v="0"/>
    <x v="0"/>
    <x v="0"/>
    <x v="0"/>
    <x v="0"/>
    <x v="0"/>
    <x v="0"/>
    <x v="0"/>
    <x v="0"/>
  </r>
  <r>
    <x v="18"/>
    <x v="18"/>
    <x v="34"/>
    <x v="1"/>
    <x v="22"/>
    <x v="18"/>
    <x v="19"/>
    <x v="0"/>
    <x v="0"/>
    <x v="1"/>
    <x v="0"/>
    <x v="0"/>
    <x v="1"/>
    <x v="0"/>
    <x v="0"/>
    <x v="0"/>
    <x v="0"/>
  </r>
  <r>
    <x v="17"/>
    <x v="17"/>
    <x v="28"/>
    <x v="0"/>
    <x v="0"/>
    <x v="0"/>
    <x v="0"/>
    <x v="0"/>
    <x v="0"/>
    <x v="0"/>
    <x v="0"/>
    <x v="0"/>
    <x v="0"/>
    <x v="0"/>
    <x v="0"/>
    <x v="0"/>
    <x v="0"/>
  </r>
  <r>
    <x v="18"/>
    <x v="18"/>
    <x v="35"/>
    <x v="0"/>
    <x v="0"/>
    <x v="0"/>
    <x v="0"/>
    <x v="0"/>
    <x v="0"/>
    <x v="0"/>
    <x v="0"/>
    <x v="0"/>
    <x v="0"/>
    <x v="0"/>
    <x v="0"/>
    <x v="0"/>
    <x v="0"/>
  </r>
  <r>
    <x v="19"/>
    <x v="19"/>
    <x v="36"/>
    <x v="11"/>
    <x v="23"/>
    <x v="0"/>
    <x v="20"/>
    <x v="5"/>
    <x v="0"/>
    <x v="0"/>
    <x v="3"/>
    <x v="3"/>
    <x v="0"/>
    <x v="2"/>
    <x v="2"/>
    <x v="4"/>
    <x v="3"/>
  </r>
</pivotCacheRecords>
</file>

<file path=xl/pivotCache/pivotCacheRecords65.xml><?xml version="1.0" encoding="utf-8"?>
<pivotCacheRecords xmlns="http://schemas.openxmlformats.org/spreadsheetml/2006/main" xmlns:r="http://schemas.openxmlformats.org/officeDocument/2006/relationships" count="39">
  <r>
    <x v="0"/>
    <x v="0"/>
    <x v="0"/>
    <x v="0"/>
    <x v="0"/>
    <x v="0"/>
    <x v="0"/>
    <x v="0"/>
    <x v="0"/>
    <x v="0"/>
    <x v="0"/>
    <x v="0"/>
    <x v="0"/>
    <x v="0"/>
    <x v="0"/>
    <x v="0"/>
    <x v="0"/>
  </r>
  <r>
    <x v="1"/>
    <x v="1"/>
    <x v="1"/>
    <x v="0"/>
    <x v="0"/>
    <x v="0"/>
    <x v="0"/>
    <x v="0"/>
    <x v="0"/>
    <x v="0"/>
    <x v="0"/>
    <x v="0"/>
    <x v="0"/>
    <x v="0"/>
    <x v="0"/>
    <x v="0"/>
    <x v="0"/>
  </r>
  <r>
    <x v="2"/>
    <x v="2"/>
    <x v="2"/>
    <x v="1"/>
    <x v="1"/>
    <x v="1"/>
    <x v="1"/>
    <x v="0"/>
    <x v="0"/>
    <x v="1"/>
    <x v="0"/>
    <x v="0"/>
    <x v="1"/>
    <x v="0"/>
    <x v="0"/>
    <x v="0"/>
    <x v="0"/>
  </r>
  <r>
    <x v="3"/>
    <x v="3"/>
    <x v="3"/>
    <x v="0"/>
    <x v="0"/>
    <x v="0"/>
    <x v="0"/>
    <x v="0"/>
    <x v="0"/>
    <x v="0"/>
    <x v="0"/>
    <x v="0"/>
    <x v="0"/>
    <x v="0"/>
    <x v="0"/>
    <x v="0"/>
    <x v="0"/>
  </r>
  <r>
    <x v="4"/>
    <x v="4"/>
    <x v="4"/>
    <x v="0"/>
    <x v="0"/>
    <x v="0"/>
    <x v="0"/>
    <x v="0"/>
    <x v="0"/>
    <x v="0"/>
    <x v="0"/>
    <x v="0"/>
    <x v="0"/>
    <x v="0"/>
    <x v="0"/>
    <x v="0"/>
    <x v="0"/>
  </r>
  <r>
    <x v="5"/>
    <x v="5"/>
    <x v="5"/>
    <x v="0"/>
    <x v="0"/>
    <x v="0"/>
    <x v="0"/>
    <x v="0"/>
    <x v="0"/>
    <x v="0"/>
    <x v="0"/>
    <x v="0"/>
    <x v="0"/>
    <x v="0"/>
    <x v="0"/>
    <x v="0"/>
    <x v="0"/>
  </r>
  <r>
    <x v="0"/>
    <x v="0"/>
    <x v="6"/>
    <x v="2"/>
    <x v="2"/>
    <x v="2"/>
    <x v="2"/>
    <x v="1"/>
    <x v="1"/>
    <x v="2"/>
    <x v="1"/>
    <x v="1"/>
    <x v="2"/>
    <x v="1"/>
    <x v="1"/>
    <x v="1"/>
    <x v="1"/>
  </r>
  <r>
    <x v="1"/>
    <x v="1"/>
    <x v="7"/>
    <x v="3"/>
    <x v="3"/>
    <x v="3"/>
    <x v="3"/>
    <x v="0"/>
    <x v="0"/>
    <x v="1"/>
    <x v="0"/>
    <x v="0"/>
    <x v="1"/>
    <x v="0"/>
    <x v="0"/>
    <x v="0"/>
    <x v="0"/>
  </r>
  <r>
    <x v="2"/>
    <x v="2"/>
    <x v="8"/>
    <x v="4"/>
    <x v="4"/>
    <x v="4"/>
    <x v="4"/>
    <x v="2"/>
    <x v="2"/>
    <x v="3"/>
    <x v="2"/>
    <x v="2"/>
    <x v="3"/>
    <x v="0"/>
    <x v="2"/>
    <x v="0"/>
    <x v="2"/>
  </r>
  <r>
    <x v="6"/>
    <x v="6"/>
    <x v="9"/>
    <x v="5"/>
    <x v="5"/>
    <x v="5"/>
    <x v="5"/>
    <x v="0"/>
    <x v="0"/>
    <x v="1"/>
    <x v="0"/>
    <x v="0"/>
    <x v="1"/>
    <x v="0"/>
    <x v="0"/>
    <x v="0"/>
    <x v="0"/>
  </r>
  <r>
    <x v="7"/>
    <x v="7"/>
    <x v="10"/>
    <x v="1"/>
    <x v="6"/>
    <x v="6"/>
    <x v="6"/>
    <x v="0"/>
    <x v="0"/>
    <x v="1"/>
    <x v="0"/>
    <x v="0"/>
    <x v="1"/>
    <x v="0"/>
    <x v="0"/>
    <x v="0"/>
    <x v="0"/>
  </r>
  <r>
    <x v="8"/>
    <x v="8"/>
    <x v="11"/>
    <x v="1"/>
    <x v="7"/>
    <x v="6"/>
    <x v="6"/>
    <x v="0"/>
    <x v="0"/>
    <x v="1"/>
    <x v="0"/>
    <x v="0"/>
    <x v="1"/>
    <x v="0"/>
    <x v="0"/>
    <x v="0"/>
    <x v="0"/>
  </r>
  <r>
    <x v="9"/>
    <x v="9"/>
    <x v="12"/>
    <x v="1"/>
    <x v="8"/>
    <x v="7"/>
    <x v="7"/>
    <x v="0"/>
    <x v="0"/>
    <x v="1"/>
    <x v="0"/>
    <x v="0"/>
    <x v="1"/>
    <x v="0"/>
    <x v="0"/>
    <x v="0"/>
    <x v="0"/>
  </r>
  <r>
    <x v="10"/>
    <x v="10"/>
    <x v="13"/>
    <x v="0"/>
    <x v="0"/>
    <x v="0"/>
    <x v="0"/>
    <x v="0"/>
    <x v="0"/>
    <x v="0"/>
    <x v="0"/>
    <x v="0"/>
    <x v="0"/>
    <x v="0"/>
    <x v="0"/>
    <x v="0"/>
    <x v="0"/>
  </r>
  <r>
    <x v="11"/>
    <x v="11"/>
    <x v="14"/>
    <x v="0"/>
    <x v="0"/>
    <x v="0"/>
    <x v="0"/>
    <x v="0"/>
    <x v="0"/>
    <x v="0"/>
    <x v="0"/>
    <x v="0"/>
    <x v="0"/>
    <x v="0"/>
    <x v="0"/>
    <x v="0"/>
    <x v="0"/>
  </r>
  <r>
    <x v="3"/>
    <x v="3"/>
    <x v="15"/>
    <x v="6"/>
    <x v="9"/>
    <x v="8"/>
    <x v="8"/>
    <x v="0"/>
    <x v="0"/>
    <x v="1"/>
    <x v="0"/>
    <x v="0"/>
    <x v="1"/>
    <x v="0"/>
    <x v="0"/>
    <x v="0"/>
    <x v="0"/>
  </r>
  <r>
    <x v="4"/>
    <x v="4"/>
    <x v="16"/>
    <x v="7"/>
    <x v="10"/>
    <x v="9"/>
    <x v="9"/>
    <x v="2"/>
    <x v="3"/>
    <x v="4"/>
    <x v="2"/>
    <x v="2"/>
    <x v="4"/>
    <x v="1"/>
    <x v="0"/>
    <x v="2"/>
    <x v="0"/>
  </r>
  <r>
    <x v="5"/>
    <x v="5"/>
    <x v="17"/>
    <x v="5"/>
    <x v="7"/>
    <x v="10"/>
    <x v="10"/>
    <x v="0"/>
    <x v="0"/>
    <x v="1"/>
    <x v="0"/>
    <x v="0"/>
    <x v="1"/>
    <x v="0"/>
    <x v="0"/>
    <x v="0"/>
    <x v="0"/>
  </r>
  <r>
    <x v="6"/>
    <x v="6"/>
    <x v="18"/>
    <x v="5"/>
    <x v="11"/>
    <x v="11"/>
    <x v="11"/>
    <x v="0"/>
    <x v="0"/>
    <x v="1"/>
    <x v="0"/>
    <x v="0"/>
    <x v="1"/>
    <x v="0"/>
    <x v="0"/>
    <x v="0"/>
    <x v="0"/>
  </r>
  <r>
    <x v="7"/>
    <x v="7"/>
    <x v="19"/>
    <x v="7"/>
    <x v="12"/>
    <x v="12"/>
    <x v="12"/>
    <x v="0"/>
    <x v="0"/>
    <x v="1"/>
    <x v="0"/>
    <x v="0"/>
    <x v="1"/>
    <x v="0"/>
    <x v="0"/>
    <x v="0"/>
    <x v="0"/>
  </r>
  <r>
    <x v="8"/>
    <x v="8"/>
    <x v="20"/>
    <x v="1"/>
    <x v="13"/>
    <x v="6"/>
    <x v="6"/>
    <x v="0"/>
    <x v="0"/>
    <x v="1"/>
    <x v="0"/>
    <x v="0"/>
    <x v="1"/>
    <x v="0"/>
    <x v="0"/>
    <x v="0"/>
    <x v="0"/>
  </r>
  <r>
    <x v="12"/>
    <x v="12"/>
    <x v="21"/>
    <x v="8"/>
    <x v="14"/>
    <x v="13"/>
    <x v="13"/>
    <x v="2"/>
    <x v="4"/>
    <x v="5"/>
    <x v="2"/>
    <x v="2"/>
    <x v="5"/>
    <x v="1"/>
    <x v="0"/>
    <x v="2"/>
    <x v="0"/>
  </r>
  <r>
    <x v="13"/>
    <x v="13"/>
    <x v="22"/>
    <x v="6"/>
    <x v="15"/>
    <x v="14"/>
    <x v="14"/>
    <x v="3"/>
    <x v="5"/>
    <x v="6"/>
    <x v="3"/>
    <x v="3"/>
    <x v="6"/>
    <x v="1"/>
    <x v="2"/>
    <x v="2"/>
    <x v="3"/>
  </r>
  <r>
    <x v="14"/>
    <x v="14"/>
    <x v="23"/>
    <x v="9"/>
    <x v="16"/>
    <x v="15"/>
    <x v="15"/>
    <x v="2"/>
    <x v="6"/>
    <x v="7"/>
    <x v="2"/>
    <x v="2"/>
    <x v="7"/>
    <x v="1"/>
    <x v="0"/>
    <x v="2"/>
    <x v="0"/>
  </r>
  <r>
    <x v="9"/>
    <x v="9"/>
    <x v="24"/>
    <x v="10"/>
    <x v="17"/>
    <x v="16"/>
    <x v="16"/>
    <x v="4"/>
    <x v="7"/>
    <x v="8"/>
    <x v="2"/>
    <x v="2"/>
    <x v="8"/>
    <x v="0"/>
    <x v="2"/>
    <x v="0"/>
    <x v="3"/>
  </r>
  <r>
    <x v="10"/>
    <x v="10"/>
    <x v="25"/>
    <x v="11"/>
    <x v="18"/>
    <x v="17"/>
    <x v="17"/>
    <x v="0"/>
    <x v="0"/>
    <x v="1"/>
    <x v="0"/>
    <x v="0"/>
    <x v="1"/>
    <x v="0"/>
    <x v="0"/>
    <x v="0"/>
    <x v="0"/>
  </r>
  <r>
    <x v="11"/>
    <x v="11"/>
    <x v="26"/>
    <x v="10"/>
    <x v="19"/>
    <x v="18"/>
    <x v="18"/>
    <x v="2"/>
    <x v="8"/>
    <x v="9"/>
    <x v="2"/>
    <x v="2"/>
    <x v="8"/>
    <x v="1"/>
    <x v="0"/>
    <x v="2"/>
    <x v="0"/>
  </r>
  <r>
    <x v="12"/>
    <x v="12"/>
    <x v="27"/>
    <x v="7"/>
    <x v="20"/>
    <x v="12"/>
    <x v="12"/>
    <x v="0"/>
    <x v="0"/>
    <x v="1"/>
    <x v="0"/>
    <x v="0"/>
    <x v="1"/>
    <x v="0"/>
    <x v="0"/>
    <x v="0"/>
    <x v="0"/>
  </r>
  <r>
    <x v="13"/>
    <x v="13"/>
    <x v="28"/>
    <x v="1"/>
    <x v="21"/>
    <x v="12"/>
    <x v="19"/>
    <x v="0"/>
    <x v="0"/>
    <x v="1"/>
    <x v="0"/>
    <x v="0"/>
    <x v="1"/>
    <x v="0"/>
    <x v="0"/>
    <x v="0"/>
    <x v="0"/>
  </r>
  <r>
    <x v="14"/>
    <x v="14"/>
    <x v="29"/>
    <x v="1"/>
    <x v="20"/>
    <x v="12"/>
    <x v="19"/>
    <x v="0"/>
    <x v="0"/>
    <x v="1"/>
    <x v="0"/>
    <x v="0"/>
    <x v="1"/>
    <x v="0"/>
    <x v="0"/>
    <x v="0"/>
    <x v="0"/>
  </r>
  <r>
    <x v="15"/>
    <x v="15"/>
    <x v="12"/>
    <x v="0"/>
    <x v="0"/>
    <x v="0"/>
    <x v="0"/>
    <x v="0"/>
    <x v="0"/>
    <x v="0"/>
    <x v="0"/>
    <x v="0"/>
    <x v="0"/>
    <x v="0"/>
    <x v="0"/>
    <x v="0"/>
    <x v="0"/>
  </r>
  <r>
    <x v="16"/>
    <x v="16"/>
    <x v="30"/>
    <x v="7"/>
    <x v="16"/>
    <x v="19"/>
    <x v="20"/>
    <x v="0"/>
    <x v="0"/>
    <x v="1"/>
    <x v="0"/>
    <x v="0"/>
    <x v="1"/>
    <x v="0"/>
    <x v="0"/>
    <x v="0"/>
    <x v="0"/>
  </r>
  <r>
    <x v="15"/>
    <x v="15"/>
    <x v="31"/>
    <x v="1"/>
    <x v="22"/>
    <x v="20"/>
    <x v="21"/>
    <x v="0"/>
    <x v="0"/>
    <x v="1"/>
    <x v="0"/>
    <x v="0"/>
    <x v="1"/>
    <x v="0"/>
    <x v="0"/>
    <x v="0"/>
    <x v="0"/>
  </r>
  <r>
    <x v="16"/>
    <x v="16"/>
    <x v="32"/>
    <x v="6"/>
    <x v="23"/>
    <x v="21"/>
    <x v="22"/>
    <x v="5"/>
    <x v="9"/>
    <x v="10"/>
    <x v="2"/>
    <x v="2"/>
    <x v="9"/>
    <x v="1"/>
    <x v="0"/>
    <x v="3"/>
    <x v="0"/>
  </r>
  <r>
    <x v="17"/>
    <x v="17"/>
    <x v="33"/>
    <x v="0"/>
    <x v="0"/>
    <x v="0"/>
    <x v="0"/>
    <x v="0"/>
    <x v="0"/>
    <x v="0"/>
    <x v="0"/>
    <x v="0"/>
    <x v="0"/>
    <x v="0"/>
    <x v="0"/>
    <x v="0"/>
    <x v="0"/>
  </r>
  <r>
    <x v="18"/>
    <x v="18"/>
    <x v="34"/>
    <x v="1"/>
    <x v="24"/>
    <x v="22"/>
    <x v="23"/>
    <x v="0"/>
    <x v="0"/>
    <x v="1"/>
    <x v="0"/>
    <x v="0"/>
    <x v="1"/>
    <x v="0"/>
    <x v="0"/>
    <x v="0"/>
    <x v="0"/>
  </r>
  <r>
    <x v="17"/>
    <x v="17"/>
    <x v="35"/>
    <x v="0"/>
    <x v="0"/>
    <x v="0"/>
    <x v="0"/>
    <x v="0"/>
    <x v="0"/>
    <x v="0"/>
    <x v="0"/>
    <x v="0"/>
    <x v="0"/>
    <x v="0"/>
    <x v="0"/>
    <x v="0"/>
    <x v="0"/>
  </r>
  <r>
    <x v="18"/>
    <x v="18"/>
    <x v="36"/>
    <x v="0"/>
    <x v="0"/>
    <x v="0"/>
    <x v="0"/>
    <x v="0"/>
    <x v="0"/>
    <x v="0"/>
    <x v="0"/>
    <x v="0"/>
    <x v="0"/>
    <x v="0"/>
    <x v="0"/>
    <x v="0"/>
    <x v="0"/>
  </r>
  <r>
    <x v="19"/>
    <x v="19"/>
    <x v="37"/>
    <x v="12"/>
    <x v="25"/>
    <x v="0"/>
    <x v="24"/>
    <x v="6"/>
    <x v="0"/>
    <x v="0"/>
    <x v="4"/>
    <x v="4"/>
    <x v="0"/>
    <x v="2"/>
    <x v="3"/>
    <x v="4"/>
    <x v="4"/>
  </r>
</pivotCacheRecords>
</file>

<file path=xl/pivotCache/pivotCacheRecords66.xml><?xml version="1.0" encoding="utf-8"?>
<pivotCacheRecords xmlns="http://schemas.openxmlformats.org/spreadsheetml/2006/main" xmlns:r="http://schemas.openxmlformats.org/officeDocument/2006/relationships" count="39">
  <r>
    <x v="0"/>
    <x v="0"/>
    <x v="0"/>
    <x v="0"/>
    <x v="0"/>
    <x v="0"/>
    <x v="0"/>
    <x v="0"/>
    <x v="0"/>
    <x v="0"/>
    <x v="0"/>
    <x v="0"/>
    <x v="0"/>
    <x v="0"/>
    <x v="0"/>
    <x v="0"/>
    <x v="0"/>
  </r>
  <r>
    <x v="1"/>
    <x v="1"/>
    <x v="1"/>
    <x v="0"/>
    <x v="0"/>
    <x v="0"/>
    <x v="0"/>
    <x v="0"/>
    <x v="0"/>
    <x v="0"/>
    <x v="0"/>
    <x v="0"/>
    <x v="0"/>
    <x v="0"/>
    <x v="0"/>
    <x v="0"/>
    <x v="0"/>
  </r>
  <r>
    <x v="2"/>
    <x v="2"/>
    <x v="2"/>
    <x v="1"/>
    <x v="1"/>
    <x v="1"/>
    <x v="1"/>
    <x v="0"/>
    <x v="0"/>
    <x v="1"/>
    <x v="0"/>
    <x v="0"/>
    <x v="1"/>
    <x v="0"/>
    <x v="0"/>
    <x v="0"/>
    <x v="0"/>
  </r>
  <r>
    <x v="3"/>
    <x v="3"/>
    <x v="3"/>
    <x v="0"/>
    <x v="0"/>
    <x v="0"/>
    <x v="0"/>
    <x v="0"/>
    <x v="0"/>
    <x v="0"/>
    <x v="0"/>
    <x v="0"/>
    <x v="0"/>
    <x v="0"/>
    <x v="0"/>
    <x v="0"/>
    <x v="0"/>
  </r>
  <r>
    <x v="4"/>
    <x v="4"/>
    <x v="4"/>
    <x v="0"/>
    <x v="0"/>
    <x v="0"/>
    <x v="0"/>
    <x v="0"/>
    <x v="0"/>
    <x v="0"/>
    <x v="0"/>
    <x v="0"/>
    <x v="0"/>
    <x v="0"/>
    <x v="0"/>
    <x v="0"/>
    <x v="0"/>
  </r>
  <r>
    <x v="5"/>
    <x v="5"/>
    <x v="5"/>
    <x v="0"/>
    <x v="0"/>
    <x v="0"/>
    <x v="0"/>
    <x v="0"/>
    <x v="0"/>
    <x v="0"/>
    <x v="0"/>
    <x v="0"/>
    <x v="0"/>
    <x v="0"/>
    <x v="0"/>
    <x v="0"/>
    <x v="0"/>
  </r>
  <r>
    <x v="0"/>
    <x v="0"/>
    <x v="6"/>
    <x v="2"/>
    <x v="2"/>
    <x v="2"/>
    <x v="2"/>
    <x v="1"/>
    <x v="1"/>
    <x v="2"/>
    <x v="1"/>
    <x v="1"/>
    <x v="2"/>
    <x v="1"/>
    <x v="1"/>
    <x v="1"/>
    <x v="1"/>
  </r>
  <r>
    <x v="1"/>
    <x v="1"/>
    <x v="7"/>
    <x v="3"/>
    <x v="3"/>
    <x v="3"/>
    <x v="3"/>
    <x v="0"/>
    <x v="0"/>
    <x v="1"/>
    <x v="0"/>
    <x v="0"/>
    <x v="1"/>
    <x v="0"/>
    <x v="0"/>
    <x v="0"/>
    <x v="0"/>
  </r>
  <r>
    <x v="2"/>
    <x v="2"/>
    <x v="8"/>
    <x v="4"/>
    <x v="4"/>
    <x v="4"/>
    <x v="4"/>
    <x v="2"/>
    <x v="2"/>
    <x v="3"/>
    <x v="2"/>
    <x v="2"/>
    <x v="3"/>
    <x v="0"/>
    <x v="2"/>
    <x v="0"/>
    <x v="2"/>
  </r>
  <r>
    <x v="6"/>
    <x v="6"/>
    <x v="9"/>
    <x v="5"/>
    <x v="5"/>
    <x v="5"/>
    <x v="5"/>
    <x v="0"/>
    <x v="0"/>
    <x v="1"/>
    <x v="0"/>
    <x v="0"/>
    <x v="1"/>
    <x v="0"/>
    <x v="0"/>
    <x v="0"/>
    <x v="0"/>
  </r>
  <r>
    <x v="7"/>
    <x v="7"/>
    <x v="10"/>
    <x v="1"/>
    <x v="6"/>
    <x v="6"/>
    <x v="6"/>
    <x v="0"/>
    <x v="0"/>
    <x v="1"/>
    <x v="0"/>
    <x v="0"/>
    <x v="1"/>
    <x v="0"/>
    <x v="0"/>
    <x v="0"/>
    <x v="0"/>
  </r>
  <r>
    <x v="8"/>
    <x v="8"/>
    <x v="11"/>
    <x v="1"/>
    <x v="7"/>
    <x v="6"/>
    <x v="6"/>
    <x v="0"/>
    <x v="0"/>
    <x v="1"/>
    <x v="0"/>
    <x v="0"/>
    <x v="1"/>
    <x v="0"/>
    <x v="0"/>
    <x v="0"/>
    <x v="0"/>
  </r>
  <r>
    <x v="9"/>
    <x v="9"/>
    <x v="12"/>
    <x v="1"/>
    <x v="8"/>
    <x v="7"/>
    <x v="7"/>
    <x v="0"/>
    <x v="0"/>
    <x v="1"/>
    <x v="0"/>
    <x v="0"/>
    <x v="1"/>
    <x v="0"/>
    <x v="0"/>
    <x v="0"/>
    <x v="0"/>
  </r>
  <r>
    <x v="10"/>
    <x v="10"/>
    <x v="13"/>
    <x v="0"/>
    <x v="0"/>
    <x v="0"/>
    <x v="0"/>
    <x v="0"/>
    <x v="0"/>
    <x v="0"/>
    <x v="0"/>
    <x v="0"/>
    <x v="0"/>
    <x v="0"/>
    <x v="0"/>
    <x v="0"/>
    <x v="0"/>
  </r>
  <r>
    <x v="11"/>
    <x v="11"/>
    <x v="14"/>
    <x v="0"/>
    <x v="0"/>
    <x v="0"/>
    <x v="0"/>
    <x v="0"/>
    <x v="0"/>
    <x v="0"/>
    <x v="0"/>
    <x v="0"/>
    <x v="0"/>
    <x v="0"/>
    <x v="0"/>
    <x v="0"/>
    <x v="0"/>
  </r>
  <r>
    <x v="3"/>
    <x v="3"/>
    <x v="15"/>
    <x v="6"/>
    <x v="9"/>
    <x v="8"/>
    <x v="8"/>
    <x v="0"/>
    <x v="0"/>
    <x v="1"/>
    <x v="0"/>
    <x v="0"/>
    <x v="1"/>
    <x v="0"/>
    <x v="0"/>
    <x v="0"/>
    <x v="0"/>
  </r>
  <r>
    <x v="4"/>
    <x v="4"/>
    <x v="16"/>
    <x v="5"/>
    <x v="10"/>
    <x v="9"/>
    <x v="9"/>
    <x v="2"/>
    <x v="3"/>
    <x v="4"/>
    <x v="2"/>
    <x v="2"/>
    <x v="4"/>
    <x v="1"/>
    <x v="0"/>
    <x v="2"/>
    <x v="0"/>
  </r>
  <r>
    <x v="5"/>
    <x v="5"/>
    <x v="17"/>
    <x v="5"/>
    <x v="11"/>
    <x v="10"/>
    <x v="10"/>
    <x v="0"/>
    <x v="0"/>
    <x v="1"/>
    <x v="0"/>
    <x v="0"/>
    <x v="1"/>
    <x v="0"/>
    <x v="0"/>
    <x v="0"/>
    <x v="0"/>
  </r>
  <r>
    <x v="6"/>
    <x v="6"/>
    <x v="18"/>
    <x v="5"/>
    <x v="12"/>
    <x v="11"/>
    <x v="11"/>
    <x v="0"/>
    <x v="0"/>
    <x v="1"/>
    <x v="0"/>
    <x v="0"/>
    <x v="1"/>
    <x v="0"/>
    <x v="0"/>
    <x v="0"/>
    <x v="0"/>
  </r>
  <r>
    <x v="7"/>
    <x v="7"/>
    <x v="19"/>
    <x v="7"/>
    <x v="13"/>
    <x v="12"/>
    <x v="12"/>
    <x v="0"/>
    <x v="0"/>
    <x v="1"/>
    <x v="0"/>
    <x v="0"/>
    <x v="1"/>
    <x v="0"/>
    <x v="0"/>
    <x v="0"/>
    <x v="0"/>
  </r>
  <r>
    <x v="8"/>
    <x v="8"/>
    <x v="20"/>
    <x v="7"/>
    <x v="14"/>
    <x v="13"/>
    <x v="13"/>
    <x v="0"/>
    <x v="0"/>
    <x v="1"/>
    <x v="0"/>
    <x v="0"/>
    <x v="1"/>
    <x v="0"/>
    <x v="0"/>
    <x v="0"/>
    <x v="0"/>
  </r>
  <r>
    <x v="12"/>
    <x v="12"/>
    <x v="21"/>
    <x v="8"/>
    <x v="15"/>
    <x v="14"/>
    <x v="14"/>
    <x v="2"/>
    <x v="4"/>
    <x v="5"/>
    <x v="2"/>
    <x v="2"/>
    <x v="5"/>
    <x v="1"/>
    <x v="0"/>
    <x v="2"/>
    <x v="0"/>
  </r>
  <r>
    <x v="13"/>
    <x v="13"/>
    <x v="22"/>
    <x v="6"/>
    <x v="16"/>
    <x v="15"/>
    <x v="15"/>
    <x v="3"/>
    <x v="5"/>
    <x v="6"/>
    <x v="3"/>
    <x v="3"/>
    <x v="4"/>
    <x v="1"/>
    <x v="2"/>
    <x v="2"/>
    <x v="3"/>
  </r>
  <r>
    <x v="14"/>
    <x v="14"/>
    <x v="23"/>
    <x v="9"/>
    <x v="17"/>
    <x v="16"/>
    <x v="16"/>
    <x v="2"/>
    <x v="6"/>
    <x v="7"/>
    <x v="2"/>
    <x v="2"/>
    <x v="6"/>
    <x v="1"/>
    <x v="0"/>
    <x v="2"/>
    <x v="0"/>
  </r>
  <r>
    <x v="9"/>
    <x v="9"/>
    <x v="24"/>
    <x v="10"/>
    <x v="18"/>
    <x v="17"/>
    <x v="17"/>
    <x v="4"/>
    <x v="7"/>
    <x v="8"/>
    <x v="2"/>
    <x v="2"/>
    <x v="7"/>
    <x v="0"/>
    <x v="2"/>
    <x v="0"/>
    <x v="3"/>
  </r>
  <r>
    <x v="10"/>
    <x v="10"/>
    <x v="25"/>
    <x v="11"/>
    <x v="19"/>
    <x v="18"/>
    <x v="18"/>
    <x v="0"/>
    <x v="0"/>
    <x v="1"/>
    <x v="0"/>
    <x v="0"/>
    <x v="1"/>
    <x v="0"/>
    <x v="0"/>
    <x v="0"/>
    <x v="0"/>
  </r>
  <r>
    <x v="11"/>
    <x v="11"/>
    <x v="26"/>
    <x v="10"/>
    <x v="20"/>
    <x v="19"/>
    <x v="19"/>
    <x v="2"/>
    <x v="8"/>
    <x v="9"/>
    <x v="2"/>
    <x v="2"/>
    <x v="7"/>
    <x v="1"/>
    <x v="0"/>
    <x v="2"/>
    <x v="0"/>
  </r>
  <r>
    <x v="12"/>
    <x v="12"/>
    <x v="27"/>
    <x v="5"/>
    <x v="21"/>
    <x v="20"/>
    <x v="20"/>
    <x v="0"/>
    <x v="0"/>
    <x v="1"/>
    <x v="0"/>
    <x v="0"/>
    <x v="1"/>
    <x v="0"/>
    <x v="0"/>
    <x v="0"/>
    <x v="0"/>
  </r>
  <r>
    <x v="13"/>
    <x v="13"/>
    <x v="28"/>
    <x v="1"/>
    <x v="22"/>
    <x v="12"/>
    <x v="21"/>
    <x v="0"/>
    <x v="0"/>
    <x v="1"/>
    <x v="0"/>
    <x v="0"/>
    <x v="1"/>
    <x v="0"/>
    <x v="0"/>
    <x v="0"/>
    <x v="0"/>
  </r>
  <r>
    <x v="14"/>
    <x v="14"/>
    <x v="29"/>
    <x v="1"/>
    <x v="23"/>
    <x v="12"/>
    <x v="21"/>
    <x v="0"/>
    <x v="0"/>
    <x v="1"/>
    <x v="0"/>
    <x v="0"/>
    <x v="1"/>
    <x v="0"/>
    <x v="0"/>
    <x v="0"/>
    <x v="0"/>
  </r>
  <r>
    <x v="15"/>
    <x v="15"/>
    <x v="30"/>
    <x v="0"/>
    <x v="0"/>
    <x v="0"/>
    <x v="0"/>
    <x v="0"/>
    <x v="0"/>
    <x v="0"/>
    <x v="0"/>
    <x v="0"/>
    <x v="0"/>
    <x v="0"/>
    <x v="0"/>
    <x v="0"/>
    <x v="0"/>
  </r>
  <r>
    <x v="16"/>
    <x v="16"/>
    <x v="31"/>
    <x v="7"/>
    <x v="24"/>
    <x v="21"/>
    <x v="22"/>
    <x v="0"/>
    <x v="0"/>
    <x v="1"/>
    <x v="0"/>
    <x v="0"/>
    <x v="1"/>
    <x v="0"/>
    <x v="0"/>
    <x v="0"/>
    <x v="0"/>
  </r>
  <r>
    <x v="15"/>
    <x v="15"/>
    <x v="32"/>
    <x v="1"/>
    <x v="25"/>
    <x v="22"/>
    <x v="23"/>
    <x v="0"/>
    <x v="0"/>
    <x v="1"/>
    <x v="0"/>
    <x v="0"/>
    <x v="1"/>
    <x v="0"/>
    <x v="0"/>
    <x v="0"/>
    <x v="0"/>
  </r>
  <r>
    <x v="16"/>
    <x v="16"/>
    <x v="33"/>
    <x v="9"/>
    <x v="26"/>
    <x v="23"/>
    <x v="24"/>
    <x v="5"/>
    <x v="9"/>
    <x v="10"/>
    <x v="2"/>
    <x v="2"/>
    <x v="6"/>
    <x v="1"/>
    <x v="0"/>
    <x v="3"/>
    <x v="0"/>
  </r>
  <r>
    <x v="17"/>
    <x v="17"/>
    <x v="34"/>
    <x v="0"/>
    <x v="0"/>
    <x v="0"/>
    <x v="0"/>
    <x v="0"/>
    <x v="0"/>
    <x v="0"/>
    <x v="0"/>
    <x v="0"/>
    <x v="0"/>
    <x v="0"/>
    <x v="0"/>
    <x v="0"/>
    <x v="0"/>
  </r>
  <r>
    <x v="18"/>
    <x v="18"/>
    <x v="35"/>
    <x v="1"/>
    <x v="27"/>
    <x v="24"/>
    <x v="25"/>
    <x v="0"/>
    <x v="0"/>
    <x v="1"/>
    <x v="0"/>
    <x v="0"/>
    <x v="1"/>
    <x v="0"/>
    <x v="0"/>
    <x v="0"/>
    <x v="0"/>
  </r>
  <r>
    <x v="17"/>
    <x v="17"/>
    <x v="36"/>
    <x v="0"/>
    <x v="0"/>
    <x v="0"/>
    <x v="0"/>
    <x v="0"/>
    <x v="0"/>
    <x v="0"/>
    <x v="0"/>
    <x v="0"/>
    <x v="0"/>
    <x v="0"/>
    <x v="0"/>
    <x v="0"/>
    <x v="0"/>
  </r>
  <r>
    <x v="18"/>
    <x v="18"/>
    <x v="37"/>
    <x v="0"/>
    <x v="0"/>
    <x v="0"/>
    <x v="0"/>
    <x v="0"/>
    <x v="0"/>
    <x v="0"/>
    <x v="0"/>
    <x v="0"/>
    <x v="0"/>
    <x v="0"/>
    <x v="0"/>
    <x v="0"/>
    <x v="0"/>
  </r>
  <r>
    <x v="19"/>
    <x v="19"/>
    <x v="38"/>
    <x v="12"/>
    <x v="28"/>
    <x v="0"/>
    <x v="26"/>
    <x v="6"/>
    <x v="0"/>
    <x v="0"/>
    <x v="4"/>
    <x v="4"/>
    <x v="0"/>
    <x v="2"/>
    <x v="3"/>
    <x v="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65.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66.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pivotTable1.xml><?xml version="1.0" encoding="utf-8"?>
<pivotTableDefinition xmlns="http://schemas.openxmlformats.org/spreadsheetml/2006/main" name="数据透视表2"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E1:F63" firstHeaderRow="1" firstDataRow="1" firstDataCol="1"/>
  <pivotFields count="14">
    <pivotField compact="0" showAll="0">
      <items count="62">
        <item x="60"/>
        <item x="9"/>
        <item x="20"/>
        <item x="13"/>
        <item x="17"/>
        <item x="3"/>
        <item x="4"/>
        <item x="29"/>
        <item x="5"/>
        <item x="0"/>
        <item x="7"/>
        <item x="1"/>
        <item x="10"/>
        <item x="23"/>
        <item x="2"/>
        <item x="6"/>
        <item x="39"/>
        <item x="19"/>
        <item x="40"/>
        <item x="11"/>
        <item x="35"/>
        <item x="22"/>
        <item x="37"/>
        <item x="50"/>
        <item x="31"/>
        <item x="56"/>
        <item x="55"/>
        <item x="15"/>
        <item x="27"/>
        <item x="36"/>
        <item x="8"/>
        <item x="38"/>
        <item x="16"/>
        <item x="52"/>
        <item x="28"/>
        <item x="54"/>
        <item x="47"/>
        <item x="21"/>
        <item x="44"/>
        <item x="57"/>
        <item x="32"/>
        <item x="26"/>
        <item x="30"/>
        <item x="12"/>
        <item x="14"/>
        <item x="34"/>
        <item x="18"/>
        <item x="43"/>
        <item x="25"/>
        <item x="46"/>
        <item x="49"/>
        <item x="33"/>
        <item x="51"/>
        <item x="41"/>
        <item x="24"/>
        <item x="42"/>
        <item x="45"/>
        <item x="48"/>
        <item x="53"/>
        <item x="58"/>
        <item x="59"/>
        <item t="default"/>
      </items>
    </pivotField>
    <pivotField compact="0" showAll="0">
      <items count="53">
        <item x="51"/>
        <item x="9"/>
        <item x="25"/>
        <item x="13"/>
        <item x="15"/>
        <item x="5"/>
        <item x="0"/>
        <item x="7"/>
        <item x="1"/>
        <item x="32"/>
        <item x="26"/>
        <item x="46"/>
        <item x="17"/>
        <item x="6"/>
        <item x="29"/>
        <item x="19"/>
        <item x="11"/>
        <item x="33"/>
        <item x="27"/>
        <item x="31"/>
        <item x="18"/>
        <item x="44"/>
        <item x="22"/>
        <item x="24"/>
        <item x="40"/>
        <item x="34"/>
        <item x="35"/>
        <item x="16"/>
        <item x="8"/>
        <item x="49"/>
        <item x="20"/>
        <item x="23"/>
        <item x="3"/>
        <item x="2"/>
        <item x="4"/>
        <item x="12"/>
        <item x="10"/>
        <item x="30"/>
        <item x="37"/>
        <item x="39"/>
        <item x="42"/>
        <item x="43"/>
        <item x="21"/>
        <item x="47"/>
        <item x="14"/>
        <item x="28"/>
        <item x="36"/>
        <item x="38"/>
        <item x="41"/>
        <item x="45"/>
        <item x="48"/>
        <item x="50"/>
        <item t="default"/>
      </items>
    </pivotField>
    <pivotField axis="axisRow" compact="0" defaultSubtotal="0" outline="0" showAll="0">
      <items count="61">
        <item x="60"/>
        <item x="9"/>
        <item x="20"/>
        <item x="13"/>
        <item x="17"/>
        <item x="3"/>
        <item x="4"/>
        <item x="29"/>
        <item x="5"/>
        <item x="0"/>
        <item x="7"/>
        <item x="1"/>
        <item x="10"/>
        <item x="23"/>
        <item x="2"/>
        <item x="6"/>
        <item x="39"/>
        <item x="19"/>
        <item x="40"/>
        <item x="11"/>
        <item x="35"/>
        <item x="22"/>
        <item x="37"/>
        <item x="50"/>
        <item x="31"/>
        <item x="56"/>
        <item x="55"/>
        <item x="15"/>
        <item x="27"/>
        <item x="36"/>
        <item x="8"/>
        <item x="38"/>
        <item x="16"/>
        <item x="52"/>
        <item x="28"/>
        <item x="54"/>
        <item x="47"/>
        <item x="21"/>
        <item x="44"/>
        <item x="57"/>
        <item x="32"/>
        <item x="26"/>
        <item x="30"/>
        <item x="12"/>
        <item x="14"/>
        <item x="34"/>
        <item x="18"/>
        <item x="43"/>
        <item x="25"/>
        <item x="46"/>
        <item x="49"/>
        <item x="33"/>
        <item x="51"/>
        <item x="41"/>
        <item x="24"/>
        <item x="42"/>
        <item x="45"/>
        <item x="48"/>
        <item x="53"/>
        <item x="58"/>
        <item x="59"/>
      </items>
    </pivotField>
    <pivotField compact="0" showAll="0">
      <items count="57">
        <item x="55"/>
        <item x="45"/>
        <item x="54"/>
        <item x="40"/>
        <item x="36"/>
        <item x="21"/>
        <item x="22"/>
        <item x="41"/>
        <item x="33"/>
        <item x="29"/>
        <item x="49"/>
        <item x="28"/>
        <item x="25"/>
        <item x="46"/>
        <item x="0"/>
        <item x="1"/>
        <item x="2"/>
        <item x="3"/>
        <item x="4"/>
        <item x="5"/>
        <item x="6"/>
        <item x="7"/>
        <item x="8"/>
        <item x="9"/>
        <item x="10"/>
        <item x="11"/>
        <item x="12"/>
        <item x="13"/>
        <item x="14"/>
        <item x="15"/>
        <item x="16"/>
        <item x="17"/>
        <item x="18"/>
        <item x="19"/>
        <item x="20"/>
        <item x="23"/>
        <item x="24"/>
        <item x="26"/>
        <item x="27"/>
        <item x="30"/>
        <item x="31"/>
        <item x="32"/>
        <item x="34"/>
        <item x="35"/>
        <item x="37"/>
        <item x="38"/>
        <item x="39"/>
        <item x="42"/>
        <item x="43"/>
        <item x="44"/>
        <item x="47"/>
        <item x="48"/>
        <item x="50"/>
        <item x="51"/>
        <item x="52"/>
        <item x="53"/>
        <item t="default"/>
      </items>
    </pivotField>
    <pivotField compact="0" showAll="0">
      <items count="11">
        <item x="0"/>
        <item x="1"/>
        <item x="2"/>
        <item x="3"/>
        <item x="4"/>
        <item x="5"/>
        <item x="6"/>
        <item x="7"/>
        <item x="8"/>
        <item x="9"/>
        <item t="default"/>
      </items>
    </pivotField>
    <pivotField compact="0" showAll="0">
      <items count="59">
        <item x="57"/>
        <item x="45"/>
        <item x="47"/>
        <item x="41"/>
        <item x="40"/>
        <item x="48"/>
        <item x="33"/>
        <item x="19"/>
        <item x="49"/>
        <item x="13"/>
        <item x="31"/>
        <item x="36"/>
        <item x="0"/>
        <item x="1"/>
        <item x="2"/>
        <item x="3"/>
        <item x="4"/>
        <item x="5"/>
        <item x="6"/>
        <item x="7"/>
        <item x="8"/>
        <item x="9"/>
        <item x="10"/>
        <item x="11"/>
        <item x="12"/>
        <item x="14"/>
        <item x="15"/>
        <item x="16"/>
        <item x="17"/>
        <item x="18"/>
        <item x="20"/>
        <item x="21"/>
        <item x="22"/>
        <item x="23"/>
        <item x="24"/>
        <item x="25"/>
        <item x="26"/>
        <item x="27"/>
        <item x="28"/>
        <item x="29"/>
        <item x="30"/>
        <item x="32"/>
        <item x="34"/>
        <item x="35"/>
        <item x="37"/>
        <item x="38"/>
        <item x="39"/>
        <item x="42"/>
        <item x="43"/>
        <item x="44"/>
        <item x="46"/>
        <item x="50"/>
        <item x="51"/>
        <item x="52"/>
        <item x="53"/>
        <item x="54"/>
        <item x="55"/>
        <item x="56"/>
        <item t="default"/>
      </items>
    </pivotField>
    <pivotField compact="0" showAll="0">
      <items count="12">
        <item x="0"/>
        <item x="1"/>
        <item x="2"/>
        <item x="3"/>
        <item x="4"/>
        <item x="5"/>
        <item x="6"/>
        <item x="7"/>
        <item x="8"/>
        <item x="9"/>
        <item x="10"/>
        <item t="default"/>
      </items>
    </pivotField>
    <pivotField compact="0" showAll="0">
      <items count="56">
        <item x="54"/>
        <item x="46"/>
        <item x="22"/>
        <item x="45"/>
        <item x="39"/>
        <item x="32"/>
        <item x="51"/>
        <item x="10"/>
        <item x="37"/>
        <item x="25"/>
        <item x="44"/>
        <item x="53"/>
        <item x="0"/>
        <item x="1"/>
        <item x="2"/>
        <item x="3"/>
        <item x="4"/>
        <item x="5"/>
        <item x="6"/>
        <item x="7"/>
        <item x="8"/>
        <item x="9"/>
        <item x="11"/>
        <item x="12"/>
        <item x="13"/>
        <item x="14"/>
        <item x="15"/>
        <item x="16"/>
        <item x="17"/>
        <item x="18"/>
        <item x="19"/>
        <item x="20"/>
        <item x="21"/>
        <item x="23"/>
        <item x="24"/>
        <item x="26"/>
        <item x="27"/>
        <item x="28"/>
        <item x="29"/>
        <item x="30"/>
        <item x="31"/>
        <item x="33"/>
        <item x="34"/>
        <item x="35"/>
        <item x="36"/>
        <item x="38"/>
        <item x="40"/>
        <item x="41"/>
        <item x="42"/>
        <item x="43"/>
        <item x="47"/>
        <item x="48"/>
        <item x="49"/>
        <item x="50"/>
        <item x="52"/>
        <item t="default"/>
      </items>
    </pivotField>
    <pivotField compact="0" showAll="0">
      <items count="11">
        <item x="0"/>
        <item x="1"/>
        <item x="2"/>
        <item x="3"/>
        <item x="4"/>
        <item x="5"/>
        <item x="6"/>
        <item x="7"/>
        <item x="8"/>
        <item x="9"/>
        <item t="default"/>
      </items>
    </pivotField>
    <pivotField compact="0" showAll="0">
      <items count="58">
        <item x="56"/>
        <item x="35"/>
        <item x="47"/>
        <item x="39"/>
        <item x="31"/>
        <item x="41"/>
        <item x="38"/>
        <item x="18"/>
        <item x="33"/>
        <item x="44"/>
        <item x="32"/>
        <item x="0"/>
        <item x="1"/>
        <item x="2"/>
        <item x="3"/>
        <item x="4"/>
        <item x="5"/>
        <item x="6"/>
        <item x="7"/>
        <item x="8"/>
        <item x="9"/>
        <item x="10"/>
        <item x="11"/>
        <item x="12"/>
        <item x="13"/>
        <item x="14"/>
        <item x="15"/>
        <item x="16"/>
        <item x="17"/>
        <item x="19"/>
        <item x="20"/>
        <item x="21"/>
        <item x="22"/>
        <item x="23"/>
        <item x="24"/>
        <item x="25"/>
        <item x="26"/>
        <item x="27"/>
        <item x="28"/>
        <item x="29"/>
        <item x="30"/>
        <item x="34"/>
        <item x="36"/>
        <item x="37"/>
        <item x="40"/>
        <item x="42"/>
        <item x="43"/>
        <item x="45"/>
        <item x="46"/>
        <item x="48"/>
        <item x="49"/>
        <item x="50"/>
        <item x="51"/>
        <item x="52"/>
        <item x="53"/>
        <item x="54"/>
        <item x="55"/>
        <item t="default"/>
      </items>
    </pivotField>
    <pivotField compact="0" showAll="0">
      <items count="12">
        <item x="0"/>
        <item x="1"/>
        <item x="2"/>
        <item x="3"/>
        <item x="4"/>
        <item x="5"/>
        <item x="6"/>
        <item x="7"/>
        <item x="8"/>
        <item x="9"/>
        <item x="10"/>
        <item t="default"/>
      </items>
    </pivotField>
    <pivotField compact="0" showAll="0">
      <items count="33">
        <item x="3"/>
        <item x="31"/>
        <item x="10"/>
        <item x="29"/>
        <item x="25"/>
        <item x="0"/>
        <item x="1"/>
        <item x="2"/>
        <item x="4"/>
        <item x="5"/>
        <item x="6"/>
        <item x="7"/>
        <item x="8"/>
        <item x="9"/>
        <item x="11"/>
        <item x="12"/>
        <item x="13"/>
        <item x="14"/>
        <item x="15"/>
        <item x="16"/>
        <item x="17"/>
        <item x="18"/>
        <item x="19"/>
        <item x="20"/>
        <item x="21"/>
        <item x="22"/>
        <item x="23"/>
        <item x="24"/>
        <item x="26"/>
        <item x="27"/>
        <item x="28"/>
        <item x="30"/>
        <item t="default"/>
      </items>
    </pivotField>
    <pivotField compact="0" showAll="0">
      <items count="4">
        <item x="0"/>
        <item x="1"/>
        <item x="2"/>
        <item t="default"/>
      </items>
    </pivotField>
    <pivotField dataField="1" compact="0" showAll="0">
      <items count="23">
        <item x="21"/>
        <item x="18"/>
        <item x="19"/>
        <item x="17"/>
        <item x="16"/>
        <item x="15"/>
        <item x="14"/>
        <item x="13"/>
        <item x="11"/>
        <item x="12"/>
        <item x="6"/>
        <item x="7"/>
        <item x="9"/>
        <item x="0"/>
        <item x="1"/>
        <item x="2"/>
        <item x="3"/>
        <item x="4"/>
        <item x="5"/>
        <item x="8"/>
        <item x="10"/>
        <item x="20"/>
        <item t="default"/>
      </items>
    </pivotField>
  </pivotFields>
  <rowFields count="1">
    <field x="2"/>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Items count="1">
    <i/>
  </colItems>
  <dataFields count="1">
    <dataField name="求和项:已订购商品数量" fld="13" baseField="0" baseItem="0"/>
  </dataFields>
  <formats count="54">
    <format dxfId="0">
      <pivotArea dataOnly="0" labelOnly="1" fieldPosition="0">
        <references count="1">
          <reference field="2" count="1">
            <x v="0"/>
          </reference>
        </references>
      </pivotArea>
    </format>
    <format dxfId="1">
      <pivotArea dataOnly="0" labelOnly="1" fieldPosition="0">
        <references count="1">
          <reference field="2" count="1">
            <x v="1"/>
          </reference>
        </references>
      </pivotArea>
    </format>
    <format dxfId="2">
      <pivotArea dataOnly="0" labelOnly="1" fieldPosition="0">
        <references count="1">
          <reference field="2" count="1">
            <x v="2"/>
          </reference>
        </references>
      </pivotArea>
    </format>
    <format dxfId="3">
      <pivotArea dataOnly="0" labelOnly="1" fieldPosition="0">
        <references count="1">
          <reference field="2" count="1">
            <x v="3"/>
          </reference>
        </references>
      </pivotArea>
    </format>
    <format dxfId="4">
      <pivotArea dataOnly="0" labelOnly="1" fieldPosition="0">
        <references count="1">
          <reference field="2" count="1">
            <x v="4"/>
          </reference>
        </references>
      </pivotArea>
    </format>
    <format dxfId="5">
      <pivotArea dataOnly="0" labelOnly="1" fieldPosition="0">
        <references count="1">
          <reference field="2" count="1">
            <x v="5"/>
          </reference>
        </references>
      </pivotArea>
    </format>
    <format dxfId="6">
      <pivotArea dataOnly="0" labelOnly="1" fieldPosition="0">
        <references count="1">
          <reference field="2" count="1">
            <x v="6"/>
          </reference>
        </references>
      </pivotArea>
    </format>
    <format dxfId="7">
      <pivotArea dataOnly="0" labelOnly="1" fieldPosition="0">
        <references count="1">
          <reference field="2" count="1">
            <x v="7"/>
          </reference>
        </references>
      </pivotArea>
    </format>
    <format dxfId="8">
      <pivotArea dataOnly="0" labelOnly="1" fieldPosition="0">
        <references count="1">
          <reference field="2" count="1">
            <x v="8"/>
          </reference>
        </references>
      </pivotArea>
    </format>
    <format dxfId="9">
      <pivotArea dataOnly="0" labelOnly="1" fieldPosition="0">
        <references count="1">
          <reference field="2" count="1">
            <x v="9"/>
          </reference>
        </references>
      </pivotArea>
    </format>
    <format dxfId="10">
      <pivotArea dataOnly="0" labelOnly="1" fieldPosition="0">
        <references count="1">
          <reference field="2" count="1">
            <x v="10"/>
          </reference>
        </references>
      </pivotArea>
    </format>
    <format dxfId="11">
      <pivotArea dataOnly="0" labelOnly="1" fieldPosition="0">
        <references count="1">
          <reference field="2" count="1">
            <x v="11"/>
          </reference>
        </references>
      </pivotArea>
    </format>
    <format dxfId="12">
      <pivotArea dataOnly="0" labelOnly="1" fieldPosition="0">
        <references count="1">
          <reference field="2" count="1">
            <x v="12"/>
          </reference>
        </references>
      </pivotArea>
    </format>
    <format dxfId="13">
      <pivotArea dataOnly="0" labelOnly="1" fieldPosition="0">
        <references count="1">
          <reference field="2" count="1">
            <x v="13"/>
          </reference>
        </references>
      </pivotArea>
    </format>
    <format dxfId="14">
      <pivotArea dataOnly="0" labelOnly="1" fieldPosition="0">
        <references count="1">
          <reference field="2" count="1">
            <x v="14"/>
          </reference>
        </references>
      </pivotArea>
    </format>
    <format dxfId="15">
      <pivotArea dataOnly="0" labelOnly="1" fieldPosition="0">
        <references count="1">
          <reference field="2" count="1">
            <x v="15"/>
          </reference>
        </references>
      </pivotArea>
    </format>
    <format dxfId="16">
      <pivotArea dataOnly="0" labelOnly="1" fieldPosition="0">
        <references count="1">
          <reference field="2" count="1">
            <x v="16"/>
          </reference>
        </references>
      </pivotArea>
    </format>
    <format dxfId="17">
      <pivotArea dataOnly="0" labelOnly="1" fieldPosition="0">
        <references count="1">
          <reference field="2" count="1">
            <x v="17"/>
          </reference>
        </references>
      </pivotArea>
    </format>
    <format dxfId="18">
      <pivotArea dataOnly="0" labelOnly="1" fieldPosition="0">
        <references count="1">
          <reference field="2" count="1">
            <x v="18"/>
          </reference>
        </references>
      </pivotArea>
    </format>
    <format dxfId="19">
      <pivotArea dataOnly="0" labelOnly="1" fieldPosition="0">
        <references count="1">
          <reference field="2" count="1">
            <x v="19"/>
          </reference>
        </references>
      </pivotArea>
    </format>
    <format dxfId="20">
      <pivotArea dataOnly="0" labelOnly="1" fieldPosition="0">
        <references count="1">
          <reference field="2" count="1">
            <x v="20"/>
          </reference>
        </references>
      </pivotArea>
    </format>
    <format dxfId="21">
      <pivotArea dataOnly="0" labelOnly="1" fieldPosition="0">
        <references count="1">
          <reference field="2" count="1">
            <x v="21"/>
          </reference>
        </references>
      </pivotArea>
    </format>
    <format dxfId="22">
      <pivotArea dataOnly="0" labelOnly="1" fieldPosition="0">
        <references count="1">
          <reference field="2" count="1">
            <x v="22"/>
          </reference>
        </references>
      </pivotArea>
    </format>
    <format dxfId="23">
      <pivotArea dataOnly="0" labelOnly="1" fieldPosition="0">
        <references count="1">
          <reference field="2" count="1">
            <x v="23"/>
          </reference>
        </references>
      </pivotArea>
    </format>
    <format dxfId="24">
      <pivotArea dataOnly="0" labelOnly="1" fieldPosition="0">
        <references count="1">
          <reference field="2" count="1">
            <x v="24"/>
          </reference>
        </references>
      </pivotArea>
    </format>
    <format dxfId="25">
      <pivotArea dataOnly="0" labelOnly="1" fieldPosition="0">
        <references count="1">
          <reference field="2" count="1">
            <x v="25"/>
          </reference>
        </references>
      </pivotArea>
    </format>
    <format dxfId="26">
      <pivotArea dataOnly="0" labelOnly="1" fieldPosition="0">
        <references count="1">
          <reference field="2" count="1">
            <x v="26"/>
          </reference>
        </references>
      </pivotArea>
    </format>
    <format dxfId="27">
      <pivotArea collapsedLevelsAreSubtotals="1" fieldPosition="0">
        <references count="1">
          <reference field="2" count="1" selected="0">
            <x v="0"/>
          </reference>
        </references>
      </pivotArea>
    </format>
    <format dxfId="28">
      <pivotArea collapsedLevelsAreSubtotals="1" fieldPosition="0">
        <references count="1">
          <reference field="2" count="1" selected="0">
            <x v="1"/>
          </reference>
        </references>
      </pivotArea>
    </format>
    <format dxfId="29">
      <pivotArea collapsedLevelsAreSubtotals="1" fieldPosition="0">
        <references count="1">
          <reference field="2" count="1" selected="0">
            <x v="2"/>
          </reference>
        </references>
      </pivotArea>
    </format>
    <format dxfId="30">
      <pivotArea collapsedLevelsAreSubtotals="1" fieldPosition="0">
        <references count="1">
          <reference field="2" count="1" selected="0">
            <x v="3"/>
          </reference>
        </references>
      </pivotArea>
    </format>
    <format dxfId="31">
      <pivotArea collapsedLevelsAreSubtotals="1" fieldPosition="0">
        <references count="1">
          <reference field="2" count="1" selected="0">
            <x v="4"/>
          </reference>
        </references>
      </pivotArea>
    </format>
    <format dxfId="32">
      <pivotArea collapsedLevelsAreSubtotals="1" fieldPosition="0">
        <references count="1">
          <reference field="2" count="1" selected="0">
            <x v="5"/>
          </reference>
        </references>
      </pivotArea>
    </format>
    <format dxfId="33">
      <pivotArea collapsedLevelsAreSubtotals="1" fieldPosition="0">
        <references count="1">
          <reference field="2" count="1" selected="0">
            <x v="6"/>
          </reference>
        </references>
      </pivotArea>
    </format>
    <format dxfId="34">
      <pivotArea collapsedLevelsAreSubtotals="1" fieldPosition="0">
        <references count="1">
          <reference field="2" count="1" selected="0">
            <x v="7"/>
          </reference>
        </references>
      </pivotArea>
    </format>
    <format dxfId="35">
      <pivotArea collapsedLevelsAreSubtotals="1" fieldPosition="0">
        <references count="1">
          <reference field="2" count="1" selected="0">
            <x v="8"/>
          </reference>
        </references>
      </pivotArea>
    </format>
    <format dxfId="36">
      <pivotArea collapsedLevelsAreSubtotals="1" fieldPosition="0">
        <references count="1">
          <reference field="2" count="1" selected="0">
            <x v="9"/>
          </reference>
        </references>
      </pivotArea>
    </format>
    <format dxfId="37">
      <pivotArea collapsedLevelsAreSubtotals="1" fieldPosition="0">
        <references count="1">
          <reference field="2" count="1" selected="0">
            <x v="10"/>
          </reference>
        </references>
      </pivotArea>
    </format>
    <format dxfId="38">
      <pivotArea collapsedLevelsAreSubtotals="1" fieldPosition="0">
        <references count="1">
          <reference field="2" count="1" selected="0">
            <x v="11"/>
          </reference>
        </references>
      </pivotArea>
    </format>
    <format dxfId="39">
      <pivotArea collapsedLevelsAreSubtotals="1" fieldPosition="0">
        <references count="1">
          <reference field="2" count="1" selected="0">
            <x v="12"/>
          </reference>
        </references>
      </pivotArea>
    </format>
    <format dxfId="40">
      <pivotArea collapsedLevelsAreSubtotals="1" fieldPosition="0">
        <references count="1">
          <reference field="2" count="1" selected="0">
            <x v="13"/>
          </reference>
        </references>
      </pivotArea>
    </format>
    <format dxfId="41">
      <pivotArea collapsedLevelsAreSubtotals="1" fieldPosition="0">
        <references count="1">
          <reference field="2" count="1" selected="0">
            <x v="14"/>
          </reference>
        </references>
      </pivotArea>
    </format>
    <format dxfId="42">
      <pivotArea collapsedLevelsAreSubtotals="1" fieldPosition="0">
        <references count="1">
          <reference field="2" count="1" selected="0">
            <x v="15"/>
          </reference>
        </references>
      </pivotArea>
    </format>
    <format dxfId="43">
      <pivotArea collapsedLevelsAreSubtotals="1" fieldPosition="0">
        <references count="1">
          <reference field="2" count="1" selected="0">
            <x v="16"/>
          </reference>
        </references>
      </pivotArea>
    </format>
    <format dxfId="44">
      <pivotArea collapsedLevelsAreSubtotals="1" fieldPosition="0">
        <references count="1">
          <reference field="2" count="1" selected="0">
            <x v="17"/>
          </reference>
        </references>
      </pivotArea>
    </format>
    <format dxfId="45">
      <pivotArea collapsedLevelsAreSubtotals="1" fieldPosition="0">
        <references count="1">
          <reference field="2" count="1" selected="0">
            <x v="18"/>
          </reference>
        </references>
      </pivotArea>
    </format>
    <format dxfId="46">
      <pivotArea collapsedLevelsAreSubtotals="1" fieldPosition="0">
        <references count="1">
          <reference field="2" count="1" selected="0">
            <x v="19"/>
          </reference>
        </references>
      </pivotArea>
    </format>
    <format dxfId="47">
      <pivotArea collapsedLevelsAreSubtotals="1" fieldPosition="0">
        <references count="1">
          <reference field="2" count="1" selected="0">
            <x v="20"/>
          </reference>
        </references>
      </pivotArea>
    </format>
    <format dxfId="48">
      <pivotArea collapsedLevelsAreSubtotals="1" fieldPosition="0">
        <references count="1">
          <reference field="2" count="1" selected="0">
            <x v="21"/>
          </reference>
        </references>
      </pivotArea>
    </format>
    <format dxfId="49">
      <pivotArea collapsedLevelsAreSubtotals="1" fieldPosition="0">
        <references count="1">
          <reference field="2" count="1" selected="0">
            <x v="22"/>
          </reference>
        </references>
      </pivotArea>
    </format>
    <format dxfId="50">
      <pivotArea collapsedLevelsAreSubtotals="1" fieldPosition="0">
        <references count="1">
          <reference field="2" count="1" selected="0">
            <x v="23"/>
          </reference>
        </references>
      </pivotArea>
    </format>
    <format dxfId="51">
      <pivotArea collapsedLevelsAreSubtotals="1" fieldPosition="0">
        <references count="1">
          <reference field="2" count="1" selected="0">
            <x v="24"/>
          </reference>
        </references>
      </pivotArea>
    </format>
    <format dxfId="52">
      <pivotArea collapsedLevelsAreSubtotals="1" fieldPosition="0">
        <references count="1">
          <reference field="2" count="1" selected="0">
            <x v="25"/>
          </reference>
        </references>
      </pivotArea>
    </format>
    <format dxfId="53">
      <pivotArea collapsedLevelsAreSubtotals="1" fieldPosition="0">
        <references count="1">
          <reference field="2" count="1" selected="0">
            <x v="2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6" cacheId="5"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AJ56" firstHeaderRow="0" firstDataRow="1" firstDataCol="1"/>
  <pivotFields count="19">
    <pivotField axis="axisRow" compact="0" defaultSubtotal="0" outline="0" showAll="0">
      <items count="54">
        <item x="53"/>
        <item x="0"/>
        <item x="1"/>
        <item x="2"/>
        <item x="5"/>
        <item x="3"/>
        <item x="4"/>
        <item x="6"/>
        <item x="11"/>
        <item x="7"/>
        <item x="8"/>
        <item x="9"/>
        <item x="10"/>
        <item x="13"/>
        <item x="14"/>
        <item x="31"/>
        <item x="15"/>
        <item x="16"/>
        <item x="17"/>
        <item x="24"/>
        <item x="18"/>
        <item x="19"/>
        <item x="34"/>
        <item x="41"/>
        <item x="33"/>
        <item x="25"/>
        <item x="37"/>
        <item x="21"/>
        <item x="20"/>
        <item x="40"/>
        <item x="35"/>
        <item x="26"/>
        <item x="29"/>
        <item x="47"/>
        <item x="28"/>
        <item x="36"/>
        <item x="32"/>
        <item x="39"/>
        <item x="43"/>
        <item x="42"/>
        <item x="27"/>
        <item x="38"/>
        <item x="51"/>
        <item x="52"/>
        <item x="44"/>
        <item x="45"/>
        <item x="46"/>
        <item x="12"/>
        <item x="22"/>
        <item x="23"/>
        <item x="48"/>
        <item x="49"/>
        <item x="50"/>
        <item x="30"/>
      </items>
    </pivotField>
    <pivotField compact="0" showAll="0">
      <items count="55">
        <item x="53"/>
        <item x="0"/>
        <item x="1"/>
        <item x="2"/>
        <item x="5"/>
        <item x="3"/>
        <item x="4"/>
        <item x="6"/>
        <item x="11"/>
        <item x="7"/>
        <item x="8"/>
        <item x="9"/>
        <item x="10"/>
        <item x="13"/>
        <item x="14"/>
        <item x="31"/>
        <item x="15"/>
        <item x="16"/>
        <item x="17"/>
        <item x="24"/>
        <item x="18"/>
        <item x="19"/>
        <item x="34"/>
        <item x="41"/>
        <item x="33"/>
        <item x="25"/>
        <item x="37"/>
        <item x="21"/>
        <item x="20"/>
        <item x="40"/>
        <item x="35"/>
        <item x="26"/>
        <item x="29"/>
        <item x="47"/>
        <item x="28"/>
        <item x="36"/>
        <item x="32"/>
        <item x="39"/>
        <item x="43"/>
        <item x="42"/>
        <item x="27"/>
        <item x="38"/>
        <item x="51"/>
        <item x="52"/>
        <item x="44"/>
        <item x="45"/>
        <item x="46"/>
        <item x="12"/>
        <item x="22"/>
        <item x="23"/>
        <item x="48"/>
        <item x="49"/>
        <item x="50"/>
        <item x="30"/>
        <item t="default"/>
      </items>
    </pivotField>
    <pivotField dataField="1" compact="0" showAll="0">
      <items count="98">
        <item x="96"/>
        <item x="68"/>
        <item x="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9"/>
        <item x="70"/>
        <item x="71"/>
        <item x="72"/>
        <item x="73"/>
        <item x="74"/>
        <item x="75"/>
        <item x="76"/>
        <item x="77"/>
        <item x="78"/>
        <item x="79"/>
        <item x="80"/>
        <item x="81"/>
        <item x="82"/>
        <item x="83"/>
        <item x="84"/>
        <item x="85"/>
        <item x="86"/>
        <item x="88"/>
        <item x="89"/>
        <item x="90"/>
        <item x="91"/>
        <item x="92"/>
        <item x="93"/>
        <item x="94"/>
        <item x="95"/>
        <item t="default"/>
      </items>
    </pivotField>
    <pivotField dataField="1" compact="0" showAll="0">
      <items count="54">
        <item x="13"/>
        <item x="52"/>
        <item x="43"/>
        <item x="10"/>
        <item x="7"/>
        <item x="44"/>
        <item x="12"/>
        <item x="3"/>
        <item x="40"/>
        <item x="49"/>
        <item x="50"/>
        <item x="4"/>
        <item x="33"/>
        <item x="1"/>
        <item x="28"/>
        <item x="5"/>
        <item x="48"/>
        <item x="6"/>
        <item x="9"/>
        <item x="15"/>
        <item x="2"/>
        <item x="11"/>
        <item x="34"/>
        <item x="22"/>
        <item x="45"/>
        <item x="30"/>
        <item x="0"/>
        <item x="8"/>
        <item x="14"/>
        <item x="16"/>
        <item x="17"/>
        <item x="18"/>
        <item x="19"/>
        <item x="20"/>
        <item x="21"/>
        <item x="23"/>
        <item x="24"/>
        <item x="25"/>
        <item x="26"/>
        <item x="27"/>
        <item x="29"/>
        <item x="31"/>
        <item x="32"/>
        <item x="35"/>
        <item x="36"/>
        <item x="37"/>
        <item x="38"/>
        <item x="39"/>
        <item x="41"/>
        <item x="42"/>
        <item x="46"/>
        <item x="47"/>
        <item x="51"/>
        <item t="default"/>
      </items>
    </pivotField>
    <pivotField compact="0" showAll="0">
      <items count="85">
        <item x="59"/>
        <item x="15"/>
        <item x="76"/>
        <item x="0"/>
        <item x="1"/>
        <item x="2"/>
        <item x="3"/>
        <item x="4"/>
        <item x="5"/>
        <item x="6"/>
        <item x="7"/>
        <item x="8"/>
        <item x="9"/>
        <item x="10"/>
        <item x="11"/>
        <item x="12"/>
        <item x="13"/>
        <item x="14"/>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60"/>
        <item x="61"/>
        <item x="62"/>
        <item x="63"/>
        <item x="64"/>
        <item x="65"/>
        <item x="66"/>
        <item x="67"/>
        <item x="68"/>
        <item x="69"/>
        <item x="70"/>
        <item x="71"/>
        <item x="72"/>
        <item x="73"/>
        <item x="74"/>
        <item x="75"/>
        <item x="77"/>
        <item x="78"/>
        <item x="79"/>
        <item x="80"/>
        <item x="81"/>
        <item x="82"/>
        <item x="83"/>
        <item t="default"/>
      </items>
    </pivotField>
    <pivotField compact="0" showAll="0">
      <items count="80">
        <item x="14"/>
        <item x="27"/>
        <item x="54"/>
        <item x="8"/>
        <item x="76"/>
        <item x="12"/>
        <item x="56"/>
        <item x="58"/>
        <item x="60"/>
        <item x="66"/>
        <item x="71"/>
        <item x="73"/>
        <item x="74"/>
        <item x="75"/>
        <item x="0"/>
        <item x="1"/>
        <item x="2"/>
        <item x="3"/>
        <item x="4"/>
        <item x="5"/>
        <item x="6"/>
        <item x="7"/>
        <item x="9"/>
        <item x="10"/>
        <item x="11"/>
        <item x="13"/>
        <item x="15"/>
        <item x="16"/>
        <item x="17"/>
        <item x="18"/>
        <item x="19"/>
        <item x="20"/>
        <item x="21"/>
        <item x="22"/>
        <item x="23"/>
        <item x="24"/>
        <item x="25"/>
        <item x="26"/>
        <item x="28"/>
        <item x="29"/>
        <item x="30"/>
        <item x="31"/>
        <item x="32"/>
        <item x="33"/>
        <item x="34"/>
        <item x="35"/>
        <item x="36"/>
        <item x="37"/>
        <item x="38"/>
        <item x="39"/>
        <item x="40"/>
        <item x="41"/>
        <item x="42"/>
        <item x="43"/>
        <item x="44"/>
        <item x="45"/>
        <item x="46"/>
        <item x="47"/>
        <item x="48"/>
        <item x="49"/>
        <item x="50"/>
        <item x="51"/>
        <item x="52"/>
        <item x="53"/>
        <item x="55"/>
        <item x="57"/>
        <item x="59"/>
        <item x="61"/>
        <item x="62"/>
        <item x="63"/>
        <item x="64"/>
        <item x="65"/>
        <item x="67"/>
        <item x="68"/>
        <item x="69"/>
        <item x="70"/>
        <item x="72"/>
        <item x="77"/>
        <item x="78"/>
        <item t="default"/>
      </items>
    </pivotField>
    <pivotField dataField="1" compact="0" showAll="0">
      <items count="84">
        <item x="15"/>
        <item x="82"/>
        <item x="59"/>
        <item x="28"/>
        <item x="8"/>
        <item x="13"/>
        <item x="68"/>
        <item x="57"/>
        <item x="62"/>
        <item x="63"/>
        <item x="69"/>
        <item x="74"/>
        <item x="76"/>
        <item x="77"/>
        <item x="78"/>
        <item x="0"/>
        <item x="1"/>
        <item x="2"/>
        <item x="3"/>
        <item x="4"/>
        <item x="5"/>
        <item x="6"/>
        <item x="7"/>
        <item x="9"/>
        <item x="10"/>
        <item x="11"/>
        <item x="12"/>
        <item x="14"/>
        <item x="16"/>
        <item x="17"/>
        <item x="18"/>
        <item x="19"/>
        <item x="20"/>
        <item x="21"/>
        <item x="22"/>
        <item x="23"/>
        <item x="24"/>
        <item x="25"/>
        <item x="26"/>
        <item x="27"/>
        <item x="29"/>
        <item x="30"/>
        <item x="31"/>
        <item x="32"/>
        <item x="33"/>
        <item x="34"/>
        <item x="35"/>
        <item x="36"/>
        <item x="37"/>
        <item x="38"/>
        <item x="39"/>
        <item x="40"/>
        <item x="41"/>
        <item x="42"/>
        <item x="43"/>
        <item x="44"/>
        <item x="45"/>
        <item x="46"/>
        <item x="47"/>
        <item x="48"/>
        <item x="49"/>
        <item x="50"/>
        <item x="51"/>
        <item x="52"/>
        <item x="53"/>
        <item x="54"/>
        <item x="55"/>
        <item x="56"/>
        <item x="58"/>
        <item x="60"/>
        <item x="61"/>
        <item x="64"/>
        <item x="65"/>
        <item x="66"/>
        <item x="67"/>
        <item x="70"/>
        <item x="71"/>
        <item x="72"/>
        <item x="73"/>
        <item x="75"/>
        <item x="79"/>
        <item x="80"/>
        <item x="81"/>
        <item t="default"/>
      </items>
    </pivotField>
    <pivotField dataField="1" compact="0" showAll="0">
      <items count="50">
        <item x="4"/>
        <item x="48"/>
        <item x="36"/>
        <item x="6"/>
        <item x="2"/>
        <item x="37"/>
        <item x="17"/>
        <item x="1"/>
        <item x="8"/>
        <item x="10"/>
        <item x="3"/>
        <item x="7"/>
        <item x="19"/>
        <item x="28"/>
        <item x="26"/>
        <item x="12"/>
        <item x="42"/>
        <item x="43"/>
        <item x="45"/>
        <item x="0"/>
        <item x="5"/>
        <item x="9"/>
        <item x="11"/>
        <item x="13"/>
        <item x="14"/>
        <item x="15"/>
        <item x="16"/>
        <item x="18"/>
        <item x="20"/>
        <item x="21"/>
        <item x="22"/>
        <item x="23"/>
        <item x="24"/>
        <item x="25"/>
        <item x="27"/>
        <item x="29"/>
        <item x="30"/>
        <item x="31"/>
        <item x="32"/>
        <item x="33"/>
        <item x="34"/>
        <item x="35"/>
        <item x="38"/>
        <item x="39"/>
        <item x="40"/>
        <item x="41"/>
        <item x="44"/>
        <item x="46"/>
        <item x="47"/>
        <item t="default"/>
      </items>
    </pivotField>
    <pivotField compact="0" showAll="0">
      <items count="58">
        <item x="4"/>
        <item x="8"/>
        <item x="11"/>
        <item x="51"/>
        <item x="53"/>
        <item x="54"/>
        <item x="0"/>
        <item x="1"/>
        <item x="2"/>
        <item x="3"/>
        <item x="5"/>
        <item x="6"/>
        <item x="7"/>
        <item x="9"/>
        <item x="10"/>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2"/>
        <item x="55"/>
        <item x="56"/>
        <item t="default"/>
      </items>
    </pivotField>
    <pivotField compact="0" showAll="0">
      <items count="59">
        <item x="12"/>
        <item x="4"/>
        <item x="8"/>
        <item x="11"/>
        <item x="52"/>
        <item x="54"/>
        <item x="55"/>
        <item x="0"/>
        <item x="1"/>
        <item x="2"/>
        <item x="3"/>
        <item x="5"/>
        <item x="6"/>
        <item x="7"/>
        <item x="9"/>
        <item x="10"/>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3"/>
        <item x="56"/>
        <item x="57"/>
        <item t="default"/>
      </items>
    </pivotField>
    <pivotField dataField="1" compact="0" showAll="0">
      <items count="20">
        <item x="4"/>
        <item x="18"/>
        <item x="8"/>
        <item x="2"/>
        <item x="1"/>
        <item x="13"/>
        <item x="6"/>
        <item x="11"/>
        <item x="15"/>
        <item x="10"/>
        <item x="3"/>
        <item x="5"/>
        <item x="0"/>
        <item x="17"/>
        <item x="9"/>
        <item x="12"/>
        <item x="7"/>
        <item x="14"/>
        <item x="16"/>
        <item t="default"/>
      </items>
    </pivotField>
    <pivotField compact="0" showAll="0">
      <items count="20">
        <item x="4"/>
        <item x="18"/>
        <item x="2"/>
        <item x="10"/>
        <item x="1"/>
        <item x="7"/>
        <item x="12"/>
        <item x="5"/>
        <item x="14"/>
        <item x="3"/>
        <item x="15"/>
        <item x="17"/>
        <item x="11"/>
        <item x="0"/>
        <item x="6"/>
        <item x="8"/>
        <item x="9"/>
        <item x="13"/>
        <item x="16"/>
        <item t="default"/>
      </items>
    </pivotField>
    <pivotField compact="0" showAll="0">
      <items count="53">
        <item x="12"/>
        <item x="4"/>
        <item x="13"/>
        <item x="10"/>
        <item x="11"/>
        <item x="44"/>
        <item x="38"/>
        <item x="8"/>
        <item x="45"/>
        <item x="7"/>
        <item x="49"/>
        <item x="34"/>
        <item x="20"/>
        <item x="48"/>
        <item x="0"/>
        <item x="1"/>
        <item x="2"/>
        <item x="3"/>
        <item x="5"/>
        <item x="6"/>
        <item x="9"/>
        <item x="14"/>
        <item x="15"/>
        <item x="16"/>
        <item x="17"/>
        <item x="18"/>
        <item x="19"/>
        <item x="21"/>
        <item x="22"/>
        <item x="23"/>
        <item x="24"/>
        <item x="25"/>
        <item x="26"/>
        <item x="27"/>
        <item x="28"/>
        <item x="29"/>
        <item x="30"/>
        <item x="31"/>
        <item x="32"/>
        <item x="33"/>
        <item x="35"/>
        <item x="36"/>
        <item x="37"/>
        <item x="39"/>
        <item x="40"/>
        <item x="41"/>
        <item x="42"/>
        <item x="43"/>
        <item x="46"/>
        <item x="47"/>
        <item x="50"/>
        <item x="51"/>
        <item t="default"/>
      </items>
    </pivotField>
    <pivotField compact="0" showAll="0">
      <items count="18">
        <item x="3"/>
        <item x="1"/>
        <item x="16"/>
        <item x="4"/>
        <item x="7"/>
        <item x="10"/>
        <item x="5"/>
        <item x="2"/>
        <item x="15"/>
        <item x="12"/>
        <item x="14"/>
        <item x="6"/>
        <item x="0"/>
        <item x="8"/>
        <item x="9"/>
        <item x="11"/>
        <item x="13"/>
        <item t="default"/>
      </items>
    </pivotField>
    <pivotField compact="0" showAll="0">
      <items count="13">
        <item x="2"/>
        <item x="1"/>
        <item x="11"/>
        <item x="0"/>
        <item x="7"/>
        <item x="4"/>
        <item x="3"/>
        <item x="9"/>
        <item x="8"/>
        <item x="6"/>
        <item x="5"/>
        <item x="10"/>
        <item t="default"/>
      </items>
    </pivotField>
    <pivotField compact="0" showAll="0">
      <items count="45">
        <item x="3"/>
        <item x="43"/>
        <item x="17"/>
        <item x="32"/>
        <item x="11"/>
        <item x="31"/>
        <item x="14"/>
        <item x="22"/>
        <item x="9"/>
        <item x="8"/>
        <item x="20"/>
        <item x="5"/>
        <item x="6"/>
        <item x="27"/>
        <item x="18"/>
        <item x="24"/>
        <item x="39"/>
        <item x="28"/>
        <item x="36"/>
        <item x="38"/>
        <item x="41"/>
        <item x="0"/>
        <item x="1"/>
        <item x="2"/>
        <item x="4"/>
        <item x="7"/>
        <item x="10"/>
        <item x="12"/>
        <item x="13"/>
        <item x="15"/>
        <item x="16"/>
        <item x="19"/>
        <item x="21"/>
        <item x="23"/>
        <item x="25"/>
        <item x="26"/>
        <item x="29"/>
        <item x="30"/>
        <item x="33"/>
        <item x="34"/>
        <item x="35"/>
        <item x="37"/>
        <item x="40"/>
        <item x="42"/>
        <item t="default"/>
      </items>
    </pivotField>
    <pivotField compact="0" showAll="0">
      <items count="33">
        <item x="2"/>
        <item x="31"/>
        <item x="11"/>
        <item x="29"/>
        <item x="27"/>
        <item x="16"/>
        <item x="4"/>
        <item x="5"/>
        <item x="6"/>
        <item x="1"/>
        <item x="13"/>
        <item x="19"/>
        <item x="17"/>
        <item x="22"/>
        <item x="0"/>
        <item x="3"/>
        <item x="7"/>
        <item x="8"/>
        <item x="9"/>
        <item x="10"/>
        <item x="12"/>
        <item x="14"/>
        <item x="15"/>
        <item x="18"/>
        <item x="20"/>
        <item x="21"/>
        <item x="23"/>
        <item x="24"/>
        <item x="25"/>
        <item x="26"/>
        <item x="28"/>
        <item x="30"/>
        <item t="default"/>
      </items>
    </pivotField>
    <pivotField dataField="1" dragToCol="0" dragToPage="0" dragToRow="0" compact="0" showAll="0"/>
    <pivotField dataField="1" dragToCol="0" dragToPage="0" dragToRow="0" compact="0" showAll="0"/>
  </pivotFields>
  <rowFields count="1">
    <field x="0"/>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92">
    <format dxfId="54">
      <pivotArea dataOnly="0" labelOnly="1" fieldPosition="0">
        <references count="1">
          <reference field="4294967294" count="1">
            <x v="5"/>
          </reference>
        </references>
      </pivotArea>
    </format>
    <format dxfId="55">
      <pivotArea dataOnly="0" labelOnly="1" fieldPosition="0">
        <references count="1">
          <reference field="4294967294" count="1">
            <x v="6"/>
          </reference>
        </references>
      </pivotArea>
    </format>
    <format dxfId="56">
      <pivotArea collapsedLevelsAreSubtotals="1" fieldPosition="0">
        <references count="1">
          <reference field="4294967294" count="1" selected="0">
            <x v="5"/>
          </reference>
        </references>
      </pivotArea>
    </format>
    <format dxfId="57">
      <pivotArea collapsedLevelsAreSubtotals="1" fieldPosition="0">
        <references count="1">
          <reference field="4294967294" count="1" selected="0">
            <x v="6"/>
          </reference>
        </references>
      </pivotArea>
    </format>
    <format dxfId="58">
      <pivotArea dataOnly="0" labelOnly="1" fieldPosition="0">
        <references count="1">
          <reference field="0" count="1">
            <x v="0"/>
          </reference>
        </references>
      </pivotArea>
    </format>
    <format dxfId="59">
      <pivotArea dataOnly="0" labelOnly="1" fieldPosition="0">
        <references count="1">
          <reference field="0" count="1">
            <x v="1"/>
          </reference>
        </references>
      </pivotArea>
    </format>
    <format dxfId="60">
      <pivotArea dataOnly="0" labelOnly="1" fieldPosition="0">
        <references count="1">
          <reference field="0" count="1">
            <x v="2"/>
          </reference>
        </references>
      </pivotArea>
    </format>
    <format dxfId="61">
      <pivotArea dataOnly="0" labelOnly="1" fieldPosition="0">
        <references count="1">
          <reference field="0" count="1">
            <x v="3"/>
          </reference>
        </references>
      </pivotArea>
    </format>
    <format dxfId="62">
      <pivotArea dataOnly="0" labelOnly="1" fieldPosition="0">
        <references count="1">
          <reference field="0" count="1">
            <x v="4"/>
          </reference>
        </references>
      </pivotArea>
    </format>
    <format dxfId="63">
      <pivotArea dataOnly="0" labelOnly="1" fieldPosition="0">
        <references count="1">
          <reference field="0" count="1">
            <x v="5"/>
          </reference>
        </references>
      </pivotArea>
    </format>
    <format dxfId="64">
      <pivotArea dataOnly="0" labelOnly="1" fieldPosition="0">
        <references count="1">
          <reference field="0" count="1">
            <x v="6"/>
          </reference>
        </references>
      </pivotArea>
    </format>
    <format dxfId="65">
      <pivotArea dataOnly="0" labelOnly="1" fieldPosition="0">
        <references count="1">
          <reference field="0" count="1">
            <x v="7"/>
          </reference>
        </references>
      </pivotArea>
    </format>
    <format dxfId="66">
      <pivotArea dataOnly="0" labelOnly="1" fieldPosition="0">
        <references count="1">
          <reference field="0" count="1">
            <x v="8"/>
          </reference>
        </references>
      </pivotArea>
    </format>
    <format dxfId="67">
      <pivotArea dataOnly="0" labelOnly="1" fieldPosition="0">
        <references count="1">
          <reference field="0" count="1">
            <x v="9"/>
          </reference>
        </references>
      </pivotArea>
    </format>
    <format dxfId="68">
      <pivotArea dataOnly="0" labelOnly="1" fieldPosition="0">
        <references count="1">
          <reference field="0" count="1">
            <x v="10"/>
          </reference>
        </references>
      </pivotArea>
    </format>
    <format dxfId="69">
      <pivotArea dataOnly="0" labelOnly="1" fieldPosition="0">
        <references count="1">
          <reference field="0" count="1">
            <x v="11"/>
          </reference>
        </references>
      </pivotArea>
    </format>
    <format dxfId="70">
      <pivotArea dataOnly="0" labelOnly="1" fieldPosition="0">
        <references count="1">
          <reference field="0" count="1">
            <x v="12"/>
          </reference>
        </references>
      </pivotArea>
    </format>
    <format dxfId="71">
      <pivotArea dataOnly="0" labelOnly="1" fieldPosition="0">
        <references count="1">
          <reference field="0" count="1">
            <x v="13"/>
          </reference>
        </references>
      </pivotArea>
    </format>
    <format dxfId="72">
      <pivotArea dataOnly="0" labelOnly="1" fieldPosition="0">
        <references count="1">
          <reference field="0" count="1">
            <x v="14"/>
          </reference>
        </references>
      </pivotArea>
    </format>
    <format dxfId="73">
      <pivotArea dataOnly="0" labelOnly="1" fieldPosition="0">
        <references count="1">
          <reference field="0" count="1">
            <x v="15"/>
          </reference>
        </references>
      </pivotArea>
    </format>
    <format dxfId="74">
      <pivotArea dataOnly="0" labelOnly="1" fieldPosition="0">
        <references count="1">
          <reference field="0" count="1">
            <x v="16"/>
          </reference>
        </references>
      </pivotArea>
    </format>
    <format dxfId="75">
      <pivotArea dataOnly="0" labelOnly="1" fieldPosition="0">
        <references count="1">
          <reference field="0" count="1">
            <x v="17"/>
          </reference>
        </references>
      </pivotArea>
    </format>
    <format dxfId="76">
      <pivotArea dataOnly="0" labelOnly="1" fieldPosition="0">
        <references count="1">
          <reference field="0" count="1">
            <x v="18"/>
          </reference>
        </references>
      </pivotArea>
    </format>
    <format dxfId="77">
      <pivotArea dataOnly="0" labelOnly="1" fieldPosition="0">
        <references count="1">
          <reference field="0" count="1">
            <x v="19"/>
          </reference>
        </references>
      </pivotArea>
    </format>
    <format dxfId="78">
      <pivotArea dataOnly="0" labelOnly="1" fieldPosition="0">
        <references count="1">
          <reference field="0" count="1">
            <x v="20"/>
          </reference>
        </references>
      </pivotArea>
    </format>
    <format dxfId="79">
      <pivotArea dataOnly="0" labelOnly="1" fieldPosition="0">
        <references count="1">
          <reference field="0" count="1">
            <x v="21"/>
          </reference>
        </references>
      </pivotArea>
    </format>
    <format dxfId="80">
      <pivotArea dataOnly="0" labelOnly="1" fieldPosition="0">
        <references count="1">
          <reference field="0" count="1">
            <x v="22"/>
          </reference>
        </references>
      </pivotArea>
    </format>
    <format dxfId="81">
      <pivotArea dataOnly="0" labelOnly="1" fieldPosition="0">
        <references count="1">
          <reference field="0" count="1">
            <x v="23"/>
          </reference>
        </references>
      </pivotArea>
    </format>
    <format dxfId="82">
      <pivotArea dataOnly="0" labelOnly="1" fieldPosition="0">
        <references count="1">
          <reference field="0" count="1">
            <x v="24"/>
          </reference>
        </references>
      </pivotArea>
    </format>
    <format dxfId="83">
      <pivotArea dataOnly="0" labelOnly="1" fieldPosition="0">
        <references count="1">
          <reference field="0" count="1">
            <x v="25"/>
          </reference>
        </references>
      </pivotArea>
    </format>
    <format dxfId="84">
      <pivotArea dataOnly="0" labelOnly="1" fieldPosition="0">
        <references count="1">
          <reference field="0" count="1">
            <x v="26"/>
          </reference>
        </references>
      </pivotArea>
    </format>
    <format dxfId="85">
      <pivotArea dataOnly="0" labelOnly="1" fieldPosition="0">
        <references count="1">
          <reference field="0" count="1">
            <x v="27"/>
          </reference>
        </references>
      </pivotArea>
    </format>
    <format dxfId="86">
      <pivotArea dataOnly="0" labelOnly="1" fieldPosition="0">
        <references count="1">
          <reference field="0" count="1">
            <x v="28"/>
          </reference>
        </references>
      </pivotArea>
    </format>
    <format dxfId="87">
      <pivotArea dataOnly="0" labelOnly="1" fieldPosition="0">
        <references count="1">
          <reference field="0" count="1">
            <x v="29"/>
          </reference>
        </references>
      </pivotArea>
    </format>
    <format dxfId="88">
      <pivotArea dataOnly="0" labelOnly="1" fieldPosition="0">
        <references count="1">
          <reference field="0" count="1">
            <x v="30"/>
          </reference>
        </references>
      </pivotArea>
    </format>
    <format dxfId="89">
      <pivotArea dataOnly="0" labelOnly="1" fieldPosition="0">
        <references count="1">
          <reference field="0" count="1">
            <x v="31"/>
          </reference>
        </references>
      </pivotArea>
    </format>
    <format dxfId="90">
      <pivotArea dataOnly="0" labelOnly="1" fieldPosition="0">
        <references count="1">
          <reference field="0" count="1">
            <x v="32"/>
          </reference>
        </references>
      </pivotArea>
    </format>
    <format dxfId="91">
      <pivotArea dataOnly="0" labelOnly="1" fieldPosition="0">
        <references count="1">
          <reference field="0" count="1">
            <x v="33"/>
          </reference>
        </references>
      </pivotArea>
    </format>
    <format dxfId="92">
      <pivotArea dataOnly="0" labelOnly="1" fieldPosition="0">
        <references count="1">
          <reference field="0" count="1">
            <x v="34"/>
          </reference>
        </references>
      </pivotArea>
    </format>
    <format dxfId="93">
      <pivotArea dataOnly="0" labelOnly="1" fieldPosition="0">
        <references count="1">
          <reference field="0" count="1">
            <x v="35"/>
          </reference>
        </references>
      </pivotArea>
    </format>
    <format dxfId="94">
      <pivotArea dataOnly="0" labelOnly="1" fieldPosition="0">
        <references count="1">
          <reference field="0" count="1">
            <x v="36"/>
          </reference>
        </references>
      </pivotArea>
    </format>
    <format dxfId="95">
      <pivotArea dataOnly="0" labelOnly="1" fieldPosition="0">
        <references count="1">
          <reference field="0" count="1">
            <x v="37"/>
          </reference>
        </references>
      </pivotArea>
    </format>
    <format dxfId="96">
      <pivotArea dataOnly="0" labelOnly="1" fieldPosition="0">
        <references count="1">
          <reference field="0" count="1">
            <x v="38"/>
          </reference>
        </references>
      </pivotArea>
    </format>
    <format dxfId="97">
      <pivotArea dataOnly="0" labelOnly="1" fieldPosition="0">
        <references count="1">
          <reference field="0" count="1">
            <x v="39"/>
          </reference>
        </references>
      </pivotArea>
    </format>
    <format dxfId="98">
      <pivotArea dataOnly="0" labelOnly="1" fieldPosition="0">
        <references count="1">
          <reference field="0" count="1">
            <x v="40"/>
          </reference>
        </references>
      </pivotArea>
    </format>
    <format dxfId="99">
      <pivotArea dataOnly="0" labelOnly="1" fieldPosition="0">
        <references count="1">
          <reference field="0" count="1">
            <x v="41"/>
          </reference>
        </references>
      </pivotArea>
    </format>
    <format dxfId="100">
      <pivotArea dataOnly="0" labelOnly="1" fieldPosition="0">
        <references count="1">
          <reference field="0" count="1">
            <x v="42"/>
          </reference>
        </references>
      </pivotArea>
    </format>
    <format dxfId="101">
      <pivotArea dataOnly="0" labelOnly="1" fieldPosition="0">
        <references count="1">
          <reference field="0" count="1">
            <x v="43"/>
          </reference>
        </references>
      </pivotArea>
    </format>
    <format dxfId="102">
      <pivotArea collapsedLevelsAreSubtotals="1" fieldPosition="0">
        <references count="1">
          <reference field="0" count="1" selected="0">
            <x v="0"/>
          </reference>
        </references>
      </pivotArea>
    </format>
    <format dxfId="103">
      <pivotArea collapsedLevelsAreSubtotals="1" fieldPosition="0">
        <references count="1">
          <reference field="0" count="1" selected="0">
            <x v="1"/>
          </reference>
        </references>
      </pivotArea>
    </format>
    <format dxfId="104">
      <pivotArea collapsedLevelsAreSubtotals="1" fieldPosition="0">
        <references count="1">
          <reference field="0" count="1" selected="0">
            <x v="2"/>
          </reference>
        </references>
      </pivotArea>
    </format>
    <format dxfId="105">
      <pivotArea collapsedLevelsAreSubtotals="1" fieldPosition="0">
        <references count="1">
          <reference field="0" count="1" selected="0">
            <x v="3"/>
          </reference>
        </references>
      </pivotArea>
    </format>
    <format dxfId="106">
      <pivotArea collapsedLevelsAreSubtotals="1" fieldPosition="0">
        <references count="1">
          <reference field="0" count="1" selected="0">
            <x v="4"/>
          </reference>
        </references>
      </pivotArea>
    </format>
    <format dxfId="107">
      <pivotArea collapsedLevelsAreSubtotals="1" fieldPosition="0">
        <references count="1">
          <reference field="0" count="1" selected="0">
            <x v="5"/>
          </reference>
        </references>
      </pivotArea>
    </format>
    <format dxfId="108">
      <pivotArea collapsedLevelsAreSubtotals="1" fieldPosition="0">
        <references count="1">
          <reference field="0" count="1" selected="0">
            <x v="6"/>
          </reference>
        </references>
      </pivotArea>
    </format>
    <format dxfId="109">
      <pivotArea collapsedLevelsAreSubtotals="1" fieldPosition="0">
        <references count="1">
          <reference field="0" count="1" selected="0">
            <x v="7"/>
          </reference>
        </references>
      </pivotArea>
    </format>
    <format dxfId="110">
      <pivotArea collapsedLevelsAreSubtotals="1" fieldPosition="0">
        <references count="1">
          <reference field="0" count="1" selected="0">
            <x v="8"/>
          </reference>
        </references>
      </pivotArea>
    </format>
    <format dxfId="111">
      <pivotArea collapsedLevelsAreSubtotals="1" fieldPosition="0">
        <references count="1">
          <reference field="0" count="1" selected="0">
            <x v="9"/>
          </reference>
        </references>
      </pivotArea>
    </format>
    <format dxfId="112">
      <pivotArea collapsedLevelsAreSubtotals="1" fieldPosition="0">
        <references count="1">
          <reference field="0" count="1" selected="0">
            <x v="10"/>
          </reference>
        </references>
      </pivotArea>
    </format>
    <format dxfId="113">
      <pivotArea collapsedLevelsAreSubtotals="1" fieldPosition="0">
        <references count="1">
          <reference field="0" count="1" selected="0">
            <x v="11"/>
          </reference>
        </references>
      </pivotArea>
    </format>
    <format dxfId="114">
      <pivotArea collapsedLevelsAreSubtotals="1" fieldPosition="0">
        <references count="1">
          <reference field="0" count="1" selected="0">
            <x v="12"/>
          </reference>
        </references>
      </pivotArea>
    </format>
    <format dxfId="115">
      <pivotArea collapsedLevelsAreSubtotals="1" fieldPosition="0">
        <references count="1">
          <reference field="0" count="1" selected="0">
            <x v="13"/>
          </reference>
        </references>
      </pivotArea>
    </format>
    <format dxfId="116">
      <pivotArea collapsedLevelsAreSubtotals="1" fieldPosition="0">
        <references count="1">
          <reference field="0" count="1" selected="0">
            <x v="14"/>
          </reference>
        </references>
      </pivotArea>
    </format>
    <format dxfId="117">
      <pivotArea collapsedLevelsAreSubtotals="1" fieldPosition="0">
        <references count="1">
          <reference field="0" count="1" selected="0">
            <x v="15"/>
          </reference>
        </references>
      </pivotArea>
    </format>
    <format dxfId="118">
      <pivotArea collapsedLevelsAreSubtotals="1" fieldPosition="0">
        <references count="1">
          <reference field="0" count="1" selected="0">
            <x v="16"/>
          </reference>
        </references>
      </pivotArea>
    </format>
    <format dxfId="119">
      <pivotArea collapsedLevelsAreSubtotals="1" fieldPosition="0">
        <references count="1">
          <reference field="0" count="1" selected="0">
            <x v="17"/>
          </reference>
        </references>
      </pivotArea>
    </format>
    <format dxfId="120">
      <pivotArea collapsedLevelsAreSubtotals="1" fieldPosition="0">
        <references count="1">
          <reference field="0" count="1" selected="0">
            <x v="18"/>
          </reference>
        </references>
      </pivotArea>
    </format>
    <format dxfId="121">
      <pivotArea collapsedLevelsAreSubtotals="1" fieldPosition="0">
        <references count="1">
          <reference field="0" count="1" selected="0">
            <x v="19"/>
          </reference>
        </references>
      </pivotArea>
    </format>
    <format dxfId="122">
      <pivotArea collapsedLevelsAreSubtotals="1" fieldPosition="0">
        <references count="1">
          <reference field="0" count="1" selected="0">
            <x v="20"/>
          </reference>
        </references>
      </pivotArea>
    </format>
    <format dxfId="123">
      <pivotArea collapsedLevelsAreSubtotals="1" fieldPosition="0">
        <references count="1">
          <reference field="0" count="1" selected="0">
            <x v="21"/>
          </reference>
        </references>
      </pivotArea>
    </format>
    <format dxfId="124">
      <pivotArea collapsedLevelsAreSubtotals="1" fieldPosition="0">
        <references count="1">
          <reference field="0" count="1" selected="0">
            <x v="22"/>
          </reference>
        </references>
      </pivotArea>
    </format>
    <format dxfId="125">
      <pivotArea collapsedLevelsAreSubtotals="1" fieldPosition="0">
        <references count="1">
          <reference field="0" count="1" selected="0">
            <x v="23"/>
          </reference>
        </references>
      </pivotArea>
    </format>
    <format dxfId="126">
      <pivotArea collapsedLevelsAreSubtotals="1" fieldPosition="0">
        <references count="1">
          <reference field="0" count="1" selected="0">
            <x v="24"/>
          </reference>
        </references>
      </pivotArea>
    </format>
    <format dxfId="127">
      <pivotArea collapsedLevelsAreSubtotals="1" fieldPosition="0">
        <references count="1">
          <reference field="0" count="1" selected="0">
            <x v="25"/>
          </reference>
        </references>
      </pivotArea>
    </format>
    <format dxfId="128">
      <pivotArea collapsedLevelsAreSubtotals="1" fieldPosition="0">
        <references count="1">
          <reference field="0" count="1" selected="0">
            <x v="26"/>
          </reference>
        </references>
      </pivotArea>
    </format>
    <format dxfId="129">
      <pivotArea collapsedLevelsAreSubtotals="1" fieldPosition="0">
        <references count="1">
          <reference field="0" count="1" selected="0">
            <x v="27"/>
          </reference>
        </references>
      </pivotArea>
    </format>
    <format dxfId="130">
      <pivotArea collapsedLevelsAreSubtotals="1" fieldPosition="0">
        <references count="1">
          <reference field="0" count="1" selected="0">
            <x v="28"/>
          </reference>
        </references>
      </pivotArea>
    </format>
    <format dxfId="131">
      <pivotArea collapsedLevelsAreSubtotals="1" fieldPosition="0">
        <references count="1">
          <reference field="0" count="1" selected="0">
            <x v="29"/>
          </reference>
        </references>
      </pivotArea>
    </format>
    <format dxfId="132">
      <pivotArea collapsedLevelsAreSubtotals="1" fieldPosition="0">
        <references count="1">
          <reference field="0" count="1" selected="0">
            <x v="30"/>
          </reference>
        </references>
      </pivotArea>
    </format>
    <format dxfId="133">
      <pivotArea collapsedLevelsAreSubtotals="1" fieldPosition="0">
        <references count="1">
          <reference field="0" count="1" selected="0">
            <x v="31"/>
          </reference>
        </references>
      </pivotArea>
    </format>
    <format dxfId="134">
      <pivotArea collapsedLevelsAreSubtotals="1" fieldPosition="0">
        <references count="1">
          <reference field="0" count="1" selected="0">
            <x v="32"/>
          </reference>
        </references>
      </pivotArea>
    </format>
    <format dxfId="135">
      <pivotArea collapsedLevelsAreSubtotals="1" fieldPosition="0">
        <references count="1">
          <reference field="0" count="1" selected="0">
            <x v="33"/>
          </reference>
        </references>
      </pivotArea>
    </format>
    <format dxfId="136">
      <pivotArea collapsedLevelsAreSubtotals="1" fieldPosition="0">
        <references count="1">
          <reference field="0" count="1" selected="0">
            <x v="34"/>
          </reference>
        </references>
      </pivotArea>
    </format>
    <format dxfId="137">
      <pivotArea collapsedLevelsAreSubtotals="1" fieldPosition="0">
        <references count="1">
          <reference field="0" count="1" selected="0">
            <x v="35"/>
          </reference>
        </references>
      </pivotArea>
    </format>
    <format dxfId="138">
      <pivotArea collapsedLevelsAreSubtotals="1" fieldPosition="0">
        <references count="1">
          <reference field="0" count="1" selected="0">
            <x v="36"/>
          </reference>
        </references>
      </pivotArea>
    </format>
    <format dxfId="139">
      <pivotArea collapsedLevelsAreSubtotals="1" fieldPosition="0">
        <references count="1">
          <reference field="0" count="1" selected="0">
            <x v="37"/>
          </reference>
        </references>
      </pivotArea>
    </format>
    <format dxfId="140">
      <pivotArea collapsedLevelsAreSubtotals="1" fieldPosition="0">
        <references count="1">
          <reference field="0" count="1" selected="0">
            <x v="38"/>
          </reference>
        </references>
      </pivotArea>
    </format>
    <format dxfId="141">
      <pivotArea collapsedLevelsAreSubtotals="1" fieldPosition="0">
        <references count="1">
          <reference field="0" count="1" selected="0">
            <x v="39"/>
          </reference>
        </references>
      </pivotArea>
    </format>
    <format dxfId="142">
      <pivotArea collapsedLevelsAreSubtotals="1" fieldPosition="0">
        <references count="1">
          <reference field="0" count="1" selected="0">
            <x v="40"/>
          </reference>
        </references>
      </pivotArea>
    </format>
    <format dxfId="143">
      <pivotArea collapsedLevelsAreSubtotals="1" fieldPosition="0">
        <references count="1">
          <reference field="0" count="1" selected="0">
            <x v="41"/>
          </reference>
        </references>
      </pivotArea>
    </format>
    <format dxfId="144">
      <pivotArea collapsedLevelsAreSubtotals="1" fieldPosition="0">
        <references count="1">
          <reference field="0" count="1" selected="0">
            <x v="42"/>
          </reference>
        </references>
      </pivotArea>
    </format>
    <format dxfId="145">
      <pivotArea collapsedLevelsAreSubtotals="1" fieldPosition="0">
        <references count="1">
          <reference field="0" count="1" selected="0">
            <x v="43"/>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B1:C53" firstHeaderRow="1" firstDataRow="1" firstDataCol="1"/>
  <pivotFields count="14">
    <pivotField compact="0" showAll="0">
      <items count="52">
        <item x="50"/>
        <item x="7"/>
        <item x="2"/>
        <item x="23"/>
        <item x="5"/>
        <item x="1"/>
        <item x="28"/>
        <item x="0"/>
        <item x="9"/>
        <item x="4"/>
        <item x="3"/>
        <item x="6"/>
        <item x="8"/>
        <item x="38"/>
        <item x="45"/>
        <item x="44"/>
        <item x="30"/>
        <item x="21"/>
        <item x="42"/>
        <item x="22"/>
        <item x="14"/>
        <item x="37"/>
        <item x="18"/>
        <item x="13"/>
        <item x="33"/>
        <item x="43"/>
        <item x="11"/>
        <item x="25"/>
        <item x="49"/>
        <item x="15"/>
        <item x="19"/>
        <item x="32"/>
        <item x="16"/>
        <item x="24"/>
        <item x="26"/>
        <item x="40"/>
        <item x="12"/>
        <item x="29"/>
        <item x="10"/>
        <item x="17"/>
        <item x="20"/>
        <item x="27"/>
        <item x="31"/>
        <item x="34"/>
        <item x="35"/>
        <item x="36"/>
        <item x="39"/>
        <item x="41"/>
        <item x="46"/>
        <item x="47"/>
        <item x="48"/>
        <item t="default"/>
      </items>
    </pivotField>
    <pivotField compact="0" showAll="0">
      <items count="44">
        <item x="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Row" compact="0" defaultSubtotal="0" outline="0" showAll="0">
      <items count="51">
        <item x="50"/>
        <item x="7"/>
        <item x="2"/>
        <item x="23"/>
        <item x="5"/>
        <item x="1"/>
        <item x="28"/>
        <item x="0"/>
        <item x="9"/>
        <item x="4"/>
        <item x="3"/>
        <item x="6"/>
        <item x="8"/>
        <item x="38"/>
        <item x="45"/>
        <item x="44"/>
        <item x="30"/>
        <item x="21"/>
        <item x="42"/>
        <item x="22"/>
        <item x="14"/>
        <item x="37"/>
        <item x="18"/>
        <item x="13"/>
        <item x="33"/>
        <item x="43"/>
        <item x="11"/>
        <item x="25"/>
        <item x="49"/>
        <item x="15"/>
        <item x="19"/>
        <item x="32"/>
        <item x="16"/>
        <item x="24"/>
        <item x="26"/>
        <item x="40"/>
        <item x="12"/>
        <item x="29"/>
        <item x="10"/>
        <item x="17"/>
        <item x="20"/>
        <item x="27"/>
        <item x="31"/>
        <item x="34"/>
        <item x="35"/>
        <item x="36"/>
        <item x="39"/>
        <item x="41"/>
        <item x="46"/>
        <item x="47"/>
        <item x="48"/>
      </items>
    </pivotField>
    <pivotField compact="0" showAll="0">
      <items count="43">
        <item x="41"/>
        <item x="35"/>
        <item x="31"/>
        <item x="39"/>
        <item x="32"/>
        <item x="23"/>
        <item x="15"/>
        <item x="18"/>
        <item x="22"/>
        <item x="12"/>
        <item x="17"/>
        <item x="16"/>
        <item x="28"/>
        <item x="0"/>
        <item x="1"/>
        <item x="2"/>
        <item x="3"/>
        <item x="4"/>
        <item x="5"/>
        <item x="6"/>
        <item x="7"/>
        <item x="8"/>
        <item x="9"/>
        <item x="10"/>
        <item x="11"/>
        <item x="13"/>
        <item x="14"/>
        <item x="19"/>
        <item x="20"/>
        <item x="21"/>
        <item x="24"/>
        <item x="25"/>
        <item x="26"/>
        <item x="27"/>
        <item x="29"/>
        <item x="30"/>
        <item x="33"/>
        <item x="34"/>
        <item x="36"/>
        <item x="37"/>
        <item x="38"/>
        <item x="40"/>
        <item t="default"/>
      </items>
    </pivotField>
    <pivotField compact="0" showAll="0">
      <items count="9">
        <item x="0"/>
        <item x="3"/>
        <item x="4"/>
        <item x="6"/>
        <item x="1"/>
        <item x="7"/>
        <item x="2"/>
        <item x="5"/>
        <item t="default"/>
      </items>
    </pivotField>
    <pivotField compact="0" showAll="0">
      <items count="46">
        <item x="44"/>
        <item x="20"/>
        <item x="0"/>
        <item x="1"/>
        <item x="2"/>
        <item x="3"/>
        <item x="4"/>
        <item x="5"/>
        <item x="6"/>
        <item x="7"/>
        <item x="8"/>
        <item x="9"/>
        <item x="10"/>
        <item x="11"/>
        <item x="12"/>
        <item x="13"/>
        <item x="14"/>
        <item x="15"/>
        <item x="16"/>
        <item x="17"/>
        <item x="18"/>
        <item x="19"/>
        <item x="21"/>
        <item x="22"/>
        <item x="23"/>
        <item x="24"/>
        <item x="25"/>
        <item x="26"/>
        <item x="27"/>
        <item x="28"/>
        <item x="29"/>
        <item x="30"/>
        <item x="31"/>
        <item x="32"/>
        <item x="33"/>
        <item x="34"/>
        <item x="35"/>
        <item x="36"/>
        <item x="37"/>
        <item x="38"/>
        <item x="39"/>
        <item x="40"/>
        <item x="41"/>
        <item x="42"/>
        <item x="43"/>
        <item t="default"/>
      </items>
    </pivotField>
    <pivotField compact="0" showAll="0">
      <items count="10">
        <item x="0"/>
        <item x="8"/>
        <item x="1"/>
        <item x="2"/>
        <item x="3"/>
        <item x="4"/>
        <item x="5"/>
        <item x="6"/>
        <item x="7"/>
        <item t="default"/>
      </items>
    </pivotField>
    <pivotField compact="0" showAll="0">
      <items count="42">
        <item x="40"/>
        <item x="24"/>
        <item x="39"/>
        <item x="12"/>
        <item x="30"/>
        <item x="28"/>
        <item x="13"/>
        <item x="15"/>
        <item x="31"/>
        <item x="35"/>
        <item x="32"/>
        <item x="16"/>
        <item x="0"/>
        <item x="1"/>
        <item x="2"/>
        <item x="3"/>
        <item x="4"/>
        <item x="5"/>
        <item x="6"/>
        <item x="7"/>
        <item x="8"/>
        <item x="9"/>
        <item x="10"/>
        <item x="11"/>
        <item x="14"/>
        <item x="17"/>
        <item x="18"/>
        <item x="19"/>
        <item x="20"/>
        <item x="21"/>
        <item x="22"/>
        <item x="23"/>
        <item x="25"/>
        <item x="26"/>
        <item x="27"/>
        <item x="29"/>
        <item x="33"/>
        <item x="34"/>
        <item x="36"/>
        <item x="37"/>
        <item x="38"/>
        <item t="default"/>
      </items>
    </pivotField>
    <pivotField compact="0" showAll="0">
      <items count="9">
        <item x="0"/>
        <item x="3"/>
        <item x="4"/>
        <item x="1"/>
        <item x="7"/>
        <item x="2"/>
        <item x="5"/>
        <item x="6"/>
        <item t="default"/>
      </items>
    </pivotField>
    <pivotField compact="0" showAll="0">
      <items count="45">
        <item x="43"/>
        <item x="12"/>
        <item x="34"/>
        <item x="29"/>
        <item x="0"/>
        <item x="1"/>
        <item x="2"/>
        <item x="3"/>
        <item x="4"/>
        <item x="5"/>
        <item x="6"/>
        <item x="7"/>
        <item x="8"/>
        <item x="9"/>
        <item x="10"/>
        <item x="11"/>
        <item x="13"/>
        <item x="14"/>
        <item x="15"/>
        <item x="16"/>
        <item x="17"/>
        <item x="18"/>
        <item x="19"/>
        <item x="20"/>
        <item x="21"/>
        <item x="22"/>
        <item x="23"/>
        <item x="24"/>
        <item x="25"/>
        <item x="26"/>
        <item x="27"/>
        <item x="28"/>
        <item x="30"/>
        <item x="31"/>
        <item x="32"/>
        <item x="33"/>
        <item x="35"/>
        <item x="36"/>
        <item x="37"/>
        <item x="38"/>
        <item x="39"/>
        <item x="40"/>
        <item x="41"/>
        <item x="42"/>
        <item t="default"/>
      </items>
    </pivotField>
    <pivotField compact="0" showAll="0">
      <items count="10">
        <item x="0"/>
        <item x="8"/>
        <item x="1"/>
        <item x="2"/>
        <item x="3"/>
        <item x="4"/>
        <item x="5"/>
        <item x="6"/>
        <item x="7"/>
        <item t="default"/>
      </items>
    </pivotField>
    <pivotField compact="0" showAll="0">
      <items count="18">
        <item x="1"/>
        <item x="16"/>
        <item x="11"/>
        <item x="0"/>
        <item x="2"/>
        <item x="3"/>
        <item x="4"/>
        <item x="5"/>
        <item x="6"/>
        <item x="7"/>
        <item x="8"/>
        <item x="9"/>
        <item x="10"/>
        <item x="12"/>
        <item x="13"/>
        <item x="14"/>
        <item x="15"/>
        <item t="default"/>
      </items>
    </pivotField>
    <pivotField compact="0" showAll="0">
      <items count="4">
        <item x="0"/>
        <item x="1"/>
        <item x="2"/>
        <item t="default"/>
      </items>
    </pivotField>
    <pivotField dataField="1" compact="0" showAll="0">
      <items count="14">
        <item x="11"/>
        <item x="12"/>
        <item x="9"/>
        <item x="10"/>
        <item x="8"/>
        <item x="7"/>
        <item x="6"/>
        <item x="5"/>
        <item x="1"/>
        <item x="3"/>
        <item x="2"/>
        <item x="0"/>
        <item x="4"/>
        <item t="default"/>
      </items>
    </pivotField>
  </pivotFields>
  <rowFields count="1">
    <field x="2"/>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求和项:已订购商品数量" fld="13" baseField="0" baseItem="0"/>
  </dataFields>
  <formats count="32">
    <format dxfId="146">
      <pivotArea dataOnly="0" labelOnly="1" fieldPosition="0">
        <references count="1">
          <reference field="2" count="1">
            <x v="0"/>
          </reference>
        </references>
      </pivotArea>
    </format>
    <format dxfId="147">
      <pivotArea dataOnly="0" labelOnly="1" fieldPosition="0">
        <references count="1">
          <reference field="2" count="1">
            <x v="1"/>
          </reference>
        </references>
      </pivotArea>
    </format>
    <format dxfId="148">
      <pivotArea dataOnly="0" labelOnly="1" fieldPosition="0">
        <references count="1">
          <reference field="2" count="1">
            <x v="2"/>
          </reference>
        </references>
      </pivotArea>
    </format>
    <format dxfId="149">
      <pivotArea dataOnly="0" labelOnly="1" fieldPosition="0">
        <references count="1">
          <reference field="2" count="1">
            <x v="3"/>
          </reference>
        </references>
      </pivotArea>
    </format>
    <format dxfId="150">
      <pivotArea dataOnly="0" labelOnly="1" fieldPosition="0">
        <references count="1">
          <reference field="2" count="1">
            <x v="4"/>
          </reference>
        </references>
      </pivotArea>
    </format>
    <format dxfId="151">
      <pivotArea dataOnly="0" labelOnly="1" fieldPosition="0">
        <references count="1">
          <reference field="2" count="1">
            <x v="5"/>
          </reference>
        </references>
      </pivotArea>
    </format>
    <format dxfId="152">
      <pivotArea dataOnly="0" labelOnly="1" fieldPosition="0">
        <references count="1">
          <reference field="2" count="1">
            <x v="6"/>
          </reference>
        </references>
      </pivotArea>
    </format>
    <format dxfId="153">
      <pivotArea dataOnly="0" labelOnly="1" fieldPosition="0">
        <references count="1">
          <reference field="2" count="1">
            <x v="7"/>
          </reference>
        </references>
      </pivotArea>
    </format>
    <format dxfId="154">
      <pivotArea dataOnly="0" labelOnly="1" fieldPosition="0">
        <references count="1">
          <reference field="2" count="1">
            <x v="8"/>
          </reference>
        </references>
      </pivotArea>
    </format>
    <format dxfId="155">
      <pivotArea dataOnly="0" labelOnly="1" fieldPosition="0">
        <references count="1">
          <reference field="2" count="1">
            <x v="9"/>
          </reference>
        </references>
      </pivotArea>
    </format>
    <format dxfId="156">
      <pivotArea dataOnly="0" labelOnly="1" fieldPosition="0">
        <references count="1">
          <reference field="2" count="1">
            <x v="10"/>
          </reference>
        </references>
      </pivotArea>
    </format>
    <format dxfId="157">
      <pivotArea dataOnly="0" labelOnly="1" fieldPosition="0">
        <references count="1">
          <reference field="2" count="1">
            <x v="11"/>
          </reference>
        </references>
      </pivotArea>
    </format>
    <format dxfId="158">
      <pivotArea dataOnly="0" labelOnly="1" fieldPosition="0">
        <references count="1">
          <reference field="2" count="1">
            <x v="12"/>
          </reference>
        </references>
      </pivotArea>
    </format>
    <format dxfId="159">
      <pivotArea dataOnly="0" labelOnly="1" fieldPosition="0">
        <references count="1">
          <reference field="2" count="1">
            <x v="13"/>
          </reference>
        </references>
      </pivotArea>
    </format>
    <format dxfId="160">
      <pivotArea dataOnly="0" labelOnly="1" fieldPosition="0">
        <references count="1">
          <reference field="2" count="1">
            <x v="14"/>
          </reference>
        </references>
      </pivotArea>
    </format>
    <format dxfId="161">
      <pivotArea dataOnly="0" labelOnly="1" fieldPosition="0">
        <references count="1">
          <reference field="2" count="1">
            <x v="15"/>
          </reference>
        </references>
      </pivotArea>
    </format>
    <format dxfId="162">
      <pivotArea collapsedLevelsAreSubtotals="1" fieldPosition="0">
        <references count="1">
          <reference field="2" count="1" selected="0">
            <x v="0"/>
          </reference>
        </references>
      </pivotArea>
    </format>
    <format dxfId="163">
      <pivotArea collapsedLevelsAreSubtotals="1" fieldPosition="0">
        <references count="1">
          <reference field="2" count="1" selected="0">
            <x v="1"/>
          </reference>
        </references>
      </pivotArea>
    </format>
    <format dxfId="164">
      <pivotArea collapsedLevelsAreSubtotals="1" fieldPosition="0">
        <references count="1">
          <reference field="2" count="1" selected="0">
            <x v="2"/>
          </reference>
        </references>
      </pivotArea>
    </format>
    <format dxfId="165">
      <pivotArea collapsedLevelsAreSubtotals="1" fieldPosition="0">
        <references count="1">
          <reference field="2" count="1" selected="0">
            <x v="3"/>
          </reference>
        </references>
      </pivotArea>
    </format>
    <format dxfId="166">
      <pivotArea collapsedLevelsAreSubtotals="1" fieldPosition="0">
        <references count="1">
          <reference field="2" count="1" selected="0">
            <x v="4"/>
          </reference>
        </references>
      </pivotArea>
    </format>
    <format dxfId="167">
      <pivotArea collapsedLevelsAreSubtotals="1" fieldPosition="0">
        <references count="1">
          <reference field="2" count="1" selected="0">
            <x v="5"/>
          </reference>
        </references>
      </pivotArea>
    </format>
    <format dxfId="168">
      <pivotArea collapsedLevelsAreSubtotals="1" fieldPosition="0">
        <references count="1">
          <reference field="2" count="1" selected="0">
            <x v="6"/>
          </reference>
        </references>
      </pivotArea>
    </format>
    <format dxfId="169">
      <pivotArea collapsedLevelsAreSubtotals="1" fieldPosition="0">
        <references count="1">
          <reference field="2" count="1" selected="0">
            <x v="7"/>
          </reference>
        </references>
      </pivotArea>
    </format>
    <format dxfId="170">
      <pivotArea collapsedLevelsAreSubtotals="1" fieldPosition="0">
        <references count="1">
          <reference field="2" count="1" selected="0">
            <x v="8"/>
          </reference>
        </references>
      </pivotArea>
    </format>
    <format dxfId="171">
      <pivotArea collapsedLevelsAreSubtotals="1" fieldPosition="0">
        <references count="1">
          <reference field="2" count="1" selected="0">
            <x v="9"/>
          </reference>
        </references>
      </pivotArea>
    </format>
    <format dxfId="172">
      <pivotArea collapsedLevelsAreSubtotals="1" fieldPosition="0">
        <references count="1">
          <reference field="2" count="1" selected="0">
            <x v="10"/>
          </reference>
        </references>
      </pivotArea>
    </format>
    <format dxfId="173">
      <pivotArea collapsedLevelsAreSubtotals="1" fieldPosition="0">
        <references count="1">
          <reference field="2" count="1" selected="0">
            <x v="11"/>
          </reference>
        </references>
      </pivotArea>
    </format>
    <format dxfId="174">
      <pivotArea collapsedLevelsAreSubtotals="1" fieldPosition="0">
        <references count="1">
          <reference field="2" count="1" selected="0">
            <x v="12"/>
          </reference>
        </references>
      </pivotArea>
    </format>
    <format dxfId="175">
      <pivotArea collapsedLevelsAreSubtotals="1" fieldPosition="0">
        <references count="1">
          <reference field="2" count="1" selected="0">
            <x v="13"/>
          </reference>
        </references>
      </pivotArea>
    </format>
    <format dxfId="176">
      <pivotArea collapsedLevelsAreSubtotals="1" fieldPosition="0">
        <references count="1">
          <reference field="2" count="1" selected="0">
            <x v="14"/>
          </reference>
        </references>
      </pivotArea>
    </format>
    <format dxfId="177">
      <pivotArea collapsedLevelsAreSubtotals="1" fieldPosition="0">
        <references count="1">
          <reference field="2" count="1" selected="0">
            <x v="15"/>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数据透视表3" cacheId="2"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1:I83" firstHeaderRow="1" firstDataRow="1" firstDataCol="1"/>
  <pivotFields count="14">
    <pivotField compact="0" defaultSubtotal="0" outline="0" showAll="0">
      <items count="81">
        <item x="80"/>
        <item x="17"/>
        <item x="12"/>
        <item x="4"/>
        <item x="7"/>
        <item x="22"/>
        <item x="1"/>
        <item x="11"/>
        <item x="26"/>
        <item x="19"/>
        <item x="16"/>
        <item x="18"/>
        <item x="20"/>
        <item x="24"/>
        <item x="15"/>
        <item x="60"/>
        <item x="5"/>
        <item x="0"/>
        <item x="8"/>
        <item x="2"/>
        <item x="33"/>
        <item x="9"/>
        <item x="21"/>
        <item x="3"/>
        <item x="34"/>
        <item x="6"/>
        <item x="66"/>
        <item x="42"/>
        <item x="69"/>
        <item x="64"/>
        <item x="29"/>
        <item x="23"/>
        <item x="50"/>
        <item x="32"/>
        <item x="51"/>
        <item x="14"/>
        <item x="68"/>
        <item x="46"/>
        <item x="48"/>
        <item x="43"/>
        <item x="71"/>
        <item x="52"/>
        <item x="39"/>
        <item x="67"/>
        <item x="54"/>
        <item x="72"/>
        <item x="49"/>
        <item x="63"/>
        <item x="47"/>
        <item x="75"/>
        <item x="74"/>
        <item x="78"/>
        <item x="76"/>
        <item x="77"/>
        <item x="31"/>
        <item x="10"/>
        <item x="27"/>
        <item x="53"/>
        <item x="35"/>
        <item x="41"/>
        <item x="61"/>
        <item x="44"/>
        <item x="37"/>
        <item x="45"/>
        <item x="65"/>
        <item x="73"/>
        <item x="79"/>
        <item x="59"/>
        <item x="40"/>
        <item x="13"/>
        <item x="25"/>
        <item x="30"/>
        <item x="38"/>
        <item x="28"/>
        <item x="57"/>
        <item x="58"/>
        <item x="62"/>
        <item x="70"/>
        <item x="55"/>
        <item x="36"/>
        <item x="56"/>
      </items>
    </pivotField>
    <pivotField compact="0" showAll="0">
      <items count="66">
        <item x="64"/>
        <item x="7"/>
        <item x="22"/>
        <item x="20"/>
        <item x="15"/>
        <item x="33"/>
        <item x="49"/>
        <item x="12"/>
        <item x="11"/>
        <item x="5"/>
        <item x="0"/>
        <item x="8"/>
        <item x="2"/>
        <item x="29"/>
        <item x="41"/>
        <item x="34"/>
        <item x="36"/>
        <item x="55"/>
        <item x="52"/>
        <item x="19"/>
        <item x="42"/>
        <item x="28"/>
        <item x="54"/>
        <item x="39"/>
        <item x="6"/>
        <item x="14"/>
        <item x="24"/>
        <item x="57"/>
        <item x="53"/>
        <item x="44"/>
        <item x="58"/>
        <item x="25"/>
        <item x="45"/>
        <item x="51"/>
        <item x="50"/>
        <item x="40"/>
        <item x="62"/>
        <item x="27"/>
        <item x="16"/>
        <item x="23"/>
        <item x="32"/>
        <item x="43"/>
        <item x="37"/>
        <item x="35"/>
        <item x="17"/>
        <item x="18"/>
        <item x="10"/>
        <item x="38"/>
        <item x="59"/>
        <item x="47"/>
        <item x="1"/>
        <item x="3"/>
        <item x="4"/>
        <item x="9"/>
        <item x="13"/>
        <item x="26"/>
        <item x="48"/>
        <item x="56"/>
        <item x="31"/>
        <item x="60"/>
        <item x="21"/>
        <item x="30"/>
        <item x="46"/>
        <item x="61"/>
        <item x="63"/>
        <item t="default"/>
      </items>
    </pivotField>
    <pivotField axis="axisRow" compact="0" defaultSubtotal="0" outline="0" showAll="0">
      <items count="81">
        <item x="80"/>
        <item x="17"/>
        <item x="12"/>
        <item x="4"/>
        <item x="7"/>
        <item x="22"/>
        <item x="1"/>
        <item x="11"/>
        <item x="26"/>
        <item x="19"/>
        <item x="16"/>
        <item x="18"/>
        <item x="20"/>
        <item x="24"/>
        <item x="15"/>
        <item x="60"/>
        <item x="5"/>
        <item x="0"/>
        <item x="8"/>
        <item x="2"/>
        <item x="33"/>
        <item x="9"/>
        <item x="21"/>
        <item x="3"/>
        <item x="34"/>
        <item x="6"/>
        <item x="66"/>
        <item x="42"/>
        <item x="69"/>
        <item x="64"/>
        <item x="29"/>
        <item x="23"/>
        <item x="50"/>
        <item x="32"/>
        <item x="51"/>
        <item x="14"/>
        <item x="68"/>
        <item x="46"/>
        <item x="48"/>
        <item x="43"/>
        <item x="71"/>
        <item x="52"/>
        <item x="39"/>
        <item x="67"/>
        <item x="54"/>
        <item x="72"/>
        <item x="49"/>
        <item x="63"/>
        <item x="47"/>
        <item x="75"/>
        <item x="74"/>
        <item x="78"/>
        <item x="76"/>
        <item x="77"/>
        <item x="31"/>
        <item x="10"/>
        <item x="27"/>
        <item x="53"/>
        <item x="35"/>
        <item x="41"/>
        <item x="61"/>
        <item x="44"/>
        <item x="37"/>
        <item x="45"/>
        <item x="65"/>
        <item x="73"/>
        <item x="79"/>
        <item x="59"/>
        <item x="40"/>
        <item x="13"/>
        <item x="25"/>
        <item x="30"/>
        <item x="38"/>
        <item x="28"/>
        <item x="57"/>
        <item x="58"/>
        <item x="62"/>
        <item x="70"/>
        <item x="55"/>
        <item x="36"/>
        <item x="56"/>
      </items>
      <extLst>
        <ext xmlns:x14="http://schemas.microsoft.com/office/spreadsheetml/2009/9/main" uri="{2946ED86-A175-432a-8AC1-64E0C546D7DE}">
          <x14:pivotField fillDownLabels="1"/>
        </ext>
      </extLst>
    </pivotField>
    <pivotField compact="0" showAll="0">
      <items count="67">
        <item x="65"/>
        <item x="45"/>
        <item x="27"/>
        <item x="30"/>
        <item x="49"/>
        <item x="36"/>
        <item x="42"/>
        <item x="38"/>
        <item x="53"/>
        <item x="52"/>
        <item x="6"/>
        <item x="37"/>
        <item x="63"/>
        <item x="54"/>
        <item x="32"/>
        <item x="60"/>
        <item x="59"/>
        <item x="62"/>
        <item x="51"/>
        <item x="40"/>
        <item x="0"/>
        <item x="1"/>
        <item x="2"/>
        <item x="3"/>
        <item x="4"/>
        <item x="5"/>
        <item x="7"/>
        <item x="8"/>
        <item x="9"/>
        <item x="10"/>
        <item x="11"/>
        <item x="12"/>
        <item x="13"/>
        <item x="14"/>
        <item x="15"/>
        <item x="16"/>
        <item x="17"/>
        <item x="18"/>
        <item x="19"/>
        <item x="20"/>
        <item x="21"/>
        <item x="22"/>
        <item x="23"/>
        <item x="24"/>
        <item x="25"/>
        <item x="26"/>
        <item x="28"/>
        <item x="29"/>
        <item x="31"/>
        <item x="33"/>
        <item x="34"/>
        <item x="35"/>
        <item x="39"/>
        <item x="41"/>
        <item x="43"/>
        <item x="44"/>
        <item x="46"/>
        <item x="47"/>
        <item x="48"/>
        <item x="50"/>
        <item x="55"/>
        <item x="56"/>
        <item x="57"/>
        <item x="58"/>
        <item x="61"/>
        <item x="64"/>
        <item t="default"/>
      </items>
    </pivotField>
    <pivotField compact="0" showAll="0">
      <items count="14">
        <item x="11"/>
        <item x="10"/>
        <item x="8"/>
        <item x="9"/>
        <item x="5"/>
        <item x="1"/>
        <item x="12"/>
        <item x="3"/>
        <item x="0"/>
        <item x="2"/>
        <item x="4"/>
        <item x="6"/>
        <item x="7"/>
        <item t="default"/>
      </items>
    </pivotField>
    <pivotField compact="0" showAll="0">
      <items count="67">
        <item x="65"/>
        <item x="38"/>
        <item x="61"/>
        <item x="53"/>
        <item x="55"/>
        <item x="36"/>
        <item x="34"/>
        <item x="49"/>
        <item x="51"/>
        <item x="54"/>
        <item x="30"/>
        <item x="27"/>
        <item x="26"/>
        <item x="8"/>
        <item x="21"/>
        <item x="45"/>
        <item x="17"/>
        <item x="52"/>
        <item x="50"/>
        <item x="37"/>
        <item x="31"/>
        <item x="46"/>
        <item x="0"/>
        <item x="1"/>
        <item x="2"/>
        <item x="3"/>
        <item x="4"/>
        <item x="5"/>
        <item x="6"/>
        <item x="7"/>
        <item x="9"/>
        <item x="10"/>
        <item x="11"/>
        <item x="12"/>
        <item x="13"/>
        <item x="14"/>
        <item x="15"/>
        <item x="16"/>
        <item x="18"/>
        <item x="19"/>
        <item x="20"/>
        <item x="22"/>
        <item x="23"/>
        <item x="24"/>
        <item x="25"/>
        <item x="28"/>
        <item x="29"/>
        <item x="32"/>
        <item x="33"/>
        <item x="35"/>
        <item x="39"/>
        <item x="40"/>
        <item x="41"/>
        <item x="42"/>
        <item x="43"/>
        <item x="44"/>
        <item x="47"/>
        <item x="48"/>
        <item x="56"/>
        <item x="57"/>
        <item x="58"/>
        <item x="59"/>
        <item x="60"/>
        <item x="62"/>
        <item x="63"/>
        <item x="64"/>
        <item t="default"/>
      </items>
    </pivotField>
    <pivotField compact="0" showAll="0">
      <items count="16">
        <item x="11"/>
        <item x="14"/>
        <item x="0"/>
        <item x="1"/>
        <item x="2"/>
        <item x="3"/>
        <item x="4"/>
        <item x="5"/>
        <item x="6"/>
        <item x="7"/>
        <item x="8"/>
        <item x="9"/>
        <item x="10"/>
        <item x="12"/>
        <item x="13"/>
        <item t="default"/>
      </items>
    </pivotField>
    <pivotField compact="0" showAll="0">
      <items count="72">
        <item x="70"/>
        <item x="39"/>
        <item x="47"/>
        <item x="36"/>
        <item x="55"/>
        <item x="62"/>
        <item x="54"/>
        <item x="60"/>
        <item x="58"/>
        <item x="63"/>
        <item x="23"/>
        <item x="32"/>
        <item x="21"/>
        <item x="34"/>
        <item x="40"/>
        <item x="37"/>
        <item x="50"/>
        <item x="31"/>
        <item x="42"/>
        <item x="46"/>
        <item x="67"/>
        <item x="66"/>
        <item x="57"/>
        <item x="0"/>
        <item x="1"/>
        <item x="2"/>
        <item x="3"/>
        <item x="4"/>
        <item x="5"/>
        <item x="6"/>
        <item x="7"/>
        <item x="8"/>
        <item x="9"/>
        <item x="10"/>
        <item x="11"/>
        <item x="12"/>
        <item x="13"/>
        <item x="14"/>
        <item x="15"/>
        <item x="16"/>
        <item x="17"/>
        <item x="18"/>
        <item x="19"/>
        <item x="20"/>
        <item x="22"/>
        <item x="24"/>
        <item x="25"/>
        <item x="26"/>
        <item x="27"/>
        <item x="28"/>
        <item x="29"/>
        <item x="30"/>
        <item x="33"/>
        <item x="35"/>
        <item x="38"/>
        <item x="41"/>
        <item x="43"/>
        <item x="44"/>
        <item x="45"/>
        <item x="48"/>
        <item x="49"/>
        <item x="51"/>
        <item x="52"/>
        <item x="53"/>
        <item x="56"/>
        <item x="59"/>
        <item x="61"/>
        <item x="64"/>
        <item x="65"/>
        <item x="68"/>
        <item x="69"/>
        <item t="default"/>
      </items>
    </pivotField>
    <pivotField compact="0" showAll="0">
      <items count="12">
        <item x="7"/>
        <item x="8"/>
        <item x="6"/>
        <item x="5"/>
        <item x="9"/>
        <item x="2"/>
        <item x="3"/>
        <item x="10"/>
        <item x="0"/>
        <item x="1"/>
        <item x="4"/>
        <item t="default"/>
      </items>
    </pivotField>
    <pivotField compact="0" showAll="0">
      <items count="67">
        <item x="65"/>
        <item x="50"/>
        <item x="31"/>
        <item x="30"/>
        <item x="39"/>
        <item x="57"/>
        <item x="44"/>
        <item x="45"/>
        <item x="55"/>
        <item x="27"/>
        <item x="52"/>
        <item x="48"/>
        <item x="40"/>
        <item x="37"/>
        <item x="42"/>
        <item x="16"/>
        <item x="36"/>
        <item x="47"/>
        <item x="63"/>
        <item x="64"/>
        <item x="22"/>
        <item x="12"/>
        <item x="35"/>
        <item x="29"/>
        <item x="41"/>
        <item x="2"/>
        <item x="0"/>
        <item x="1"/>
        <item x="3"/>
        <item x="4"/>
        <item x="5"/>
        <item x="6"/>
        <item x="7"/>
        <item x="8"/>
        <item x="9"/>
        <item x="10"/>
        <item x="11"/>
        <item x="13"/>
        <item x="14"/>
        <item x="15"/>
        <item x="17"/>
        <item x="18"/>
        <item x="19"/>
        <item x="20"/>
        <item x="21"/>
        <item x="23"/>
        <item x="24"/>
        <item x="25"/>
        <item x="26"/>
        <item x="28"/>
        <item x="32"/>
        <item x="33"/>
        <item x="34"/>
        <item x="38"/>
        <item x="43"/>
        <item x="46"/>
        <item x="49"/>
        <item x="51"/>
        <item x="53"/>
        <item x="54"/>
        <item x="56"/>
        <item x="58"/>
        <item x="59"/>
        <item x="60"/>
        <item x="61"/>
        <item x="62"/>
        <item t="default"/>
      </items>
    </pivotField>
    <pivotField compact="0" showAll="0">
      <items count="14">
        <item x="7"/>
        <item x="12"/>
        <item x="0"/>
        <item x="1"/>
        <item x="2"/>
        <item x="3"/>
        <item x="4"/>
        <item x="5"/>
        <item x="6"/>
        <item x="8"/>
        <item x="9"/>
        <item x="10"/>
        <item x="11"/>
        <item t="default"/>
      </items>
    </pivotField>
    <pivotField compact="0" showAll="0">
      <items count="52">
        <item x="50"/>
        <item x="12"/>
        <item x="25"/>
        <item x="19"/>
        <item x="37"/>
        <item x="1"/>
        <item x="3"/>
        <item x="9"/>
        <item x="24"/>
        <item x="11"/>
        <item x="18"/>
        <item x="0"/>
        <item x="2"/>
        <item x="4"/>
        <item x="5"/>
        <item x="6"/>
        <item x="7"/>
        <item x="8"/>
        <item x="10"/>
        <item x="13"/>
        <item x="14"/>
        <item x="15"/>
        <item x="16"/>
        <item x="17"/>
        <item x="20"/>
        <item x="21"/>
        <item x="22"/>
        <item x="23"/>
        <item x="26"/>
        <item x="27"/>
        <item x="28"/>
        <item x="29"/>
        <item x="30"/>
        <item x="31"/>
        <item x="32"/>
        <item x="33"/>
        <item x="34"/>
        <item x="35"/>
        <item x="36"/>
        <item x="38"/>
        <item x="39"/>
        <item x="40"/>
        <item x="41"/>
        <item x="42"/>
        <item x="43"/>
        <item x="44"/>
        <item x="45"/>
        <item x="46"/>
        <item x="47"/>
        <item x="48"/>
        <item x="49"/>
        <item t="default"/>
      </items>
    </pivotField>
    <pivotField compact="0" showAll="0">
      <items count="6">
        <item x="2"/>
        <item x="3"/>
        <item x="0"/>
        <item x="4"/>
        <item x="1"/>
        <item t="default"/>
      </items>
    </pivotField>
    <pivotField dataField="1" compact="0" showAll="0">
      <items count="29">
        <item x="27"/>
        <item x="20"/>
        <item x="23"/>
        <item x="24"/>
        <item x="22"/>
        <item x="19"/>
        <item x="21"/>
        <item x="17"/>
        <item x="18"/>
        <item x="13"/>
        <item x="26"/>
        <item x="16"/>
        <item x="9"/>
        <item x="15"/>
        <item x="14"/>
        <item x="1"/>
        <item x="3"/>
        <item x="0"/>
        <item x="2"/>
        <item x="4"/>
        <item x="5"/>
        <item x="6"/>
        <item x="7"/>
        <item x="8"/>
        <item x="10"/>
        <item x="11"/>
        <item x="12"/>
        <item x="25"/>
        <item t="default"/>
      </items>
    </pivotField>
  </pivotFields>
  <rowFields count="1">
    <field x="2"/>
  </rowFields>
  <rowItems count="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t="grand">
      <x/>
    </i>
  </rowItems>
  <colItems count="1">
    <i/>
  </colItems>
  <dataFields count="1">
    <dataField name="求和项:已订购商品数量" fld="13" baseField="0" baseItem="0"/>
  </dataFields>
  <formats count="106">
    <format dxfId="178">
      <pivotArea dataOnly="0" labelOnly="1" fieldPosition="0">
        <references count="1">
          <reference field="2" count="1">
            <x v="0"/>
          </reference>
        </references>
      </pivotArea>
    </format>
    <format dxfId="179">
      <pivotArea dataOnly="0" labelOnly="1" fieldPosition="0">
        <references count="1">
          <reference field="2" count="1">
            <x v="1"/>
          </reference>
        </references>
      </pivotArea>
    </format>
    <format dxfId="180">
      <pivotArea dataOnly="0" labelOnly="1" fieldPosition="0">
        <references count="1">
          <reference field="2" count="1">
            <x v="2"/>
          </reference>
        </references>
      </pivotArea>
    </format>
    <format dxfId="181">
      <pivotArea dataOnly="0" labelOnly="1" fieldPosition="0">
        <references count="1">
          <reference field="2" count="1">
            <x v="3"/>
          </reference>
        </references>
      </pivotArea>
    </format>
    <format dxfId="182">
      <pivotArea dataOnly="0" labelOnly="1" fieldPosition="0">
        <references count="1">
          <reference field="2" count="1">
            <x v="4"/>
          </reference>
        </references>
      </pivotArea>
    </format>
    <format dxfId="183">
      <pivotArea dataOnly="0" labelOnly="1" fieldPosition="0">
        <references count="1">
          <reference field="2" count="1">
            <x v="5"/>
          </reference>
        </references>
      </pivotArea>
    </format>
    <format dxfId="184">
      <pivotArea dataOnly="0" labelOnly="1" fieldPosition="0">
        <references count="1">
          <reference field="2" count="1">
            <x v="6"/>
          </reference>
        </references>
      </pivotArea>
    </format>
    <format dxfId="185">
      <pivotArea dataOnly="0" labelOnly="1" fieldPosition="0">
        <references count="1">
          <reference field="2" count="1">
            <x v="7"/>
          </reference>
        </references>
      </pivotArea>
    </format>
    <format dxfId="186">
      <pivotArea dataOnly="0" labelOnly="1" fieldPosition="0">
        <references count="1">
          <reference field="2" count="1">
            <x v="8"/>
          </reference>
        </references>
      </pivotArea>
    </format>
    <format dxfId="187">
      <pivotArea dataOnly="0" labelOnly="1" fieldPosition="0">
        <references count="1">
          <reference field="2" count="1">
            <x v="9"/>
          </reference>
        </references>
      </pivotArea>
    </format>
    <format dxfId="188">
      <pivotArea dataOnly="0" labelOnly="1" fieldPosition="0">
        <references count="1">
          <reference field="2" count="1">
            <x v="10"/>
          </reference>
        </references>
      </pivotArea>
    </format>
    <format dxfId="189">
      <pivotArea dataOnly="0" labelOnly="1" fieldPosition="0">
        <references count="1">
          <reference field="2" count="1">
            <x v="11"/>
          </reference>
        </references>
      </pivotArea>
    </format>
    <format dxfId="190">
      <pivotArea dataOnly="0" labelOnly="1" fieldPosition="0">
        <references count="1">
          <reference field="2" count="1">
            <x v="12"/>
          </reference>
        </references>
      </pivotArea>
    </format>
    <format dxfId="191">
      <pivotArea dataOnly="0" labelOnly="1" fieldPosition="0">
        <references count="1">
          <reference field="2" count="1">
            <x v="13"/>
          </reference>
        </references>
      </pivotArea>
    </format>
    <format dxfId="192">
      <pivotArea dataOnly="0" labelOnly="1" fieldPosition="0">
        <references count="1">
          <reference field="2" count="1">
            <x v="14"/>
          </reference>
        </references>
      </pivotArea>
    </format>
    <format dxfId="193">
      <pivotArea dataOnly="0" labelOnly="1" fieldPosition="0">
        <references count="1">
          <reference field="2" count="1">
            <x v="15"/>
          </reference>
        </references>
      </pivotArea>
    </format>
    <format dxfId="194">
      <pivotArea dataOnly="0" labelOnly="1" fieldPosition="0">
        <references count="1">
          <reference field="2" count="1">
            <x v="16"/>
          </reference>
        </references>
      </pivotArea>
    </format>
    <format dxfId="195">
      <pivotArea dataOnly="0" labelOnly="1" fieldPosition="0">
        <references count="1">
          <reference field="2" count="1">
            <x v="17"/>
          </reference>
        </references>
      </pivotArea>
    </format>
    <format dxfId="196">
      <pivotArea dataOnly="0" labelOnly="1" fieldPosition="0">
        <references count="1">
          <reference field="2" count="1">
            <x v="18"/>
          </reference>
        </references>
      </pivotArea>
    </format>
    <format dxfId="197">
      <pivotArea dataOnly="0" labelOnly="1" fieldPosition="0">
        <references count="1">
          <reference field="2" count="1">
            <x v="19"/>
          </reference>
        </references>
      </pivotArea>
    </format>
    <format dxfId="198">
      <pivotArea dataOnly="0" labelOnly="1" fieldPosition="0">
        <references count="1">
          <reference field="2" count="1">
            <x v="20"/>
          </reference>
        </references>
      </pivotArea>
    </format>
    <format dxfId="199">
      <pivotArea dataOnly="0" labelOnly="1" fieldPosition="0">
        <references count="1">
          <reference field="2" count="1">
            <x v="21"/>
          </reference>
        </references>
      </pivotArea>
    </format>
    <format dxfId="200">
      <pivotArea dataOnly="0" labelOnly="1" fieldPosition="0">
        <references count="1">
          <reference field="2" count="1">
            <x v="22"/>
          </reference>
        </references>
      </pivotArea>
    </format>
    <format dxfId="201">
      <pivotArea dataOnly="0" labelOnly="1" fieldPosition="0">
        <references count="1">
          <reference field="2" count="1">
            <x v="23"/>
          </reference>
        </references>
      </pivotArea>
    </format>
    <format dxfId="202">
      <pivotArea dataOnly="0" labelOnly="1" fieldPosition="0">
        <references count="1">
          <reference field="2" count="1">
            <x v="24"/>
          </reference>
        </references>
      </pivotArea>
    </format>
    <format dxfId="203">
      <pivotArea dataOnly="0" labelOnly="1" fieldPosition="0">
        <references count="1">
          <reference field="2" count="1">
            <x v="25"/>
          </reference>
        </references>
      </pivotArea>
    </format>
    <format dxfId="204">
      <pivotArea dataOnly="0" labelOnly="1" fieldPosition="0">
        <references count="1">
          <reference field="2" count="1">
            <x v="26"/>
          </reference>
        </references>
      </pivotArea>
    </format>
    <format dxfId="205">
      <pivotArea dataOnly="0" labelOnly="1" fieldPosition="0">
        <references count="1">
          <reference field="2" count="1">
            <x v="27"/>
          </reference>
        </references>
      </pivotArea>
    </format>
    <format dxfId="206">
      <pivotArea dataOnly="0" labelOnly="1" fieldPosition="0">
        <references count="1">
          <reference field="2" count="1">
            <x v="28"/>
          </reference>
        </references>
      </pivotArea>
    </format>
    <format dxfId="207">
      <pivotArea dataOnly="0" labelOnly="1" fieldPosition="0">
        <references count="1">
          <reference field="2" count="1">
            <x v="29"/>
          </reference>
        </references>
      </pivotArea>
    </format>
    <format dxfId="208">
      <pivotArea dataOnly="0" labelOnly="1" fieldPosition="0">
        <references count="1">
          <reference field="2" count="1">
            <x v="30"/>
          </reference>
        </references>
      </pivotArea>
    </format>
    <format dxfId="209">
      <pivotArea dataOnly="0" labelOnly="1" fieldPosition="0">
        <references count="1">
          <reference field="2" count="1">
            <x v="31"/>
          </reference>
        </references>
      </pivotArea>
    </format>
    <format dxfId="210">
      <pivotArea dataOnly="0" labelOnly="1" fieldPosition="0">
        <references count="1">
          <reference field="2" count="1">
            <x v="32"/>
          </reference>
        </references>
      </pivotArea>
    </format>
    <format dxfId="211">
      <pivotArea dataOnly="0" labelOnly="1" fieldPosition="0">
        <references count="1">
          <reference field="2" count="1">
            <x v="33"/>
          </reference>
        </references>
      </pivotArea>
    </format>
    <format dxfId="212">
      <pivotArea dataOnly="0" labelOnly="1" fieldPosition="0">
        <references count="1">
          <reference field="2" count="1">
            <x v="34"/>
          </reference>
        </references>
      </pivotArea>
    </format>
    <format dxfId="213">
      <pivotArea dataOnly="0" labelOnly="1" fieldPosition="0">
        <references count="1">
          <reference field="2" count="1">
            <x v="35"/>
          </reference>
        </references>
      </pivotArea>
    </format>
    <format dxfId="214">
      <pivotArea dataOnly="0" labelOnly="1" fieldPosition="0">
        <references count="1">
          <reference field="2" count="1">
            <x v="36"/>
          </reference>
        </references>
      </pivotArea>
    </format>
    <format dxfId="215">
      <pivotArea dataOnly="0" labelOnly="1" fieldPosition="0">
        <references count="1">
          <reference field="2" count="1">
            <x v="37"/>
          </reference>
        </references>
      </pivotArea>
    </format>
    <format dxfId="216">
      <pivotArea dataOnly="0" labelOnly="1" fieldPosition="0">
        <references count="1">
          <reference field="2" count="1">
            <x v="38"/>
          </reference>
        </references>
      </pivotArea>
    </format>
    <format dxfId="217">
      <pivotArea dataOnly="0" labelOnly="1" fieldPosition="0">
        <references count="1">
          <reference field="2" count="1">
            <x v="39"/>
          </reference>
        </references>
      </pivotArea>
    </format>
    <format dxfId="218">
      <pivotArea dataOnly="0" labelOnly="1" fieldPosition="0">
        <references count="1">
          <reference field="2" count="1">
            <x v="40"/>
          </reference>
        </references>
      </pivotArea>
    </format>
    <format dxfId="219">
      <pivotArea dataOnly="0" labelOnly="1" fieldPosition="0">
        <references count="1">
          <reference field="2" count="1">
            <x v="41"/>
          </reference>
        </references>
      </pivotArea>
    </format>
    <format dxfId="220">
      <pivotArea dataOnly="0" labelOnly="1" fieldPosition="0">
        <references count="1">
          <reference field="2" count="1">
            <x v="42"/>
          </reference>
        </references>
      </pivotArea>
    </format>
    <format dxfId="221">
      <pivotArea dataOnly="0" labelOnly="1" fieldPosition="0">
        <references count="1">
          <reference field="2" count="1">
            <x v="43"/>
          </reference>
        </references>
      </pivotArea>
    </format>
    <format dxfId="222">
      <pivotArea dataOnly="0" labelOnly="1" fieldPosition="0">
        <references count="1">
          <reference field="2" count="1">
            <x v="44"/>
          </reference>
        </references>
      </pivotArea>
    </format>
    <format dxfId="223">
      <pivotArea dataOnly="0" labelOnly="1" fieldPosition="0">
        <references count="1">
          <reference field="2" count="1">
            <x v="45"/>
          </reference>
        </references>
      </pivotArea>
    </format>
    <format dxfId="224">
      <pivotArea dataOnly="0" labelOnly="1" fieldPosition="0">
        <references count="1">
          <reference field="2" count="1">
            <x v="46"/>
          </reference>
        </references>
      </pivotArea>
    </format>
    <format dxfId="225">
      <pivotArea dataOnly="0" labelOnly="1" fieldPosition="0">
        <references count="1">
          <reference field="2" count="1">
            <x v="47"/>
          </reference>
        </references>
      </pivotArea>
    </format>
    <format dxfId="226">
      <pivotArea dataOnly="0" labelOnly="1" fieldPosition="0">
        <references count="1">
          <reference field="2" count="1">
            <x v="48"/>
          </reference>
        </references>
      </pivotArea>
    </format>
    <format dxfId="227">
      <pivotArea dataOnly="0" labelOnly="1" fieldPosition="0">
        <references count="1">
          <reference field="2" count="1">
            <x v="49"/>
          </reference>
        </references>
      </pivotArea>
    </format>
    <format dxfId="228">
      <pivotArea dataOnly="0" labelOnly="1" fieldPosition="0">
        <references count="1">
          <reference field="2" count="1">
            <x v="50"/>
          </reference>
        </references>
      </pivotArea>
    </format>
    <format dxfId="229">
      <pivotArea dataOnly="0" labelOnly="1" fieldPosition="0">
        <references count="1">
          <reference field="2" count="1">
            <x v="51"/>
          </reference>
        </references>
      </pivotArea>
    </format>
    <format dxfId="230">
      <pivotArea dataOnly="0" labelOnly="1" fieldPosition="0">
        <references count="1">
          <reference field="2" count="1">
            <x v="52"/>
          </reference>
        </references>
      </pivotArea>
    </format>
    <format dxfId="231">
      <pivotArea collapsedLevelsAreSubtotals="1" fieldPosition="0">
        <references count="1">
          <reference field="2" count="1" selected="0">
            <x v="0"/>
          </reference>
        </references>
      </pivotArea>
    </format>
    <format dxfId="232">
      <pivotArea collapsedLevelsAreSubtotals="1" fieldPosition="0">
        <references count="1">
          <reference field="2" count="1" selected="0">
            <x v="1"/>
          </reference>
        </references>
      </pivotArea>
    </format>
    <format dxfId="233">
      <pivotArea collapsedLevelsAreSubtotals="1" fieldPosition="0">
        <references count="1">
          <reference field="2" count="1" selected="0">
            <x v="2"/>
          </reference>
        </references>
      </pivotArea>
    </format>
    <format dxfId="234">
      <pivotArea collapsedLevelsAreSubtotals="1" fieldPosition="0">
        <references count="1">
          <reference field="2" count="1" selected="0">
            <x v="3"/>
          </reference>
        </references>
      </pivotArea>
    </format>
    <format dxfId="235">
      <pivotArea collapsedLevelsAreSubtotals="1" fieldPosition="0">
        <references count="1">
          <reference field="2" count="1" selected="0">
            <x v="4"/>
          </reference>
        </references>
      </pivotArea>
    </format>
    <format dxfId="236">
      <pivotArea collapsedLevelsAreSubtotals="1" fieldPosition="0">
        <references count="1">
          <reference field="2" count="1" selected="0">
            <x v="5"/>
          </reference>
        </references>
      </pivotArea>
    </format>
    <format dxfId="237">
      <pivotArea collapsedLevelsAreSubtotals="1" fieldPosition="0">
        <references count="1">
          <reference field="2" count="1" selected="0">
            <x v="6"/>
          </reference>
        </references>
      </pivotArea>
    </format>
    <format dxfId="238">
      <pivotArea collapsedLevelsAreSubtotals="1" fieldPosition="0">
        <references count="1">
          <reference field="2" count="1" selected="0">
            <x v="7"/>
          </reference>
        </references>
      </pivotArea>
    </format>
    <format dxfId="239">
      <pivotArea collapsedLevelsAreSubtotals="1" fieldPosition="0">
        <references count="1">
          <reference field="2" count="1" selected="0">
            <x v="8"/>
          </reference>
        </references>
      </pivotArea>
    </format>
    <format dxfId="240">
      <pivotArea collapsedLevelsAreSubtotals="1" fieldPosition="0">
        <references count="1">
          <reference field="2" count="1" selected="0">
            <x v="9"/>
          </reference>
        </references>
      </pivotArea>
    </format>
    <format dxfId="241">
      <pivotArea collapsedLevelsAreSubtotals="1" fieldPosition="0">
        <references count="1">
          <reference field="2" count="1" selected="0">
            <x v="10"/>
          </reference>
        </references>
      </pivotArea>
    </format>
    <format dxfId="242">
      <pivotArea collapsedLevelsAreSubtotals="1" fieldPosition="0">
        <references count="1">
          <reference field="2" count="1" selected="0">
            <x v="11"/>
          </reference>
        </references>
      </pivotArea>
    </format>
    <format dxfId="243">
      <pivotArea collapsedLevelsAreSubtotals="1" fieldPosition="0">
        <references count="1">
          <reference field="2" count="1" selected="0">
            <x v="12"/>
          </reference>
        </references>
      </pivotArea>
    </format>
    <format dxfId="244">
      <pivotArea collapsedLevelsAreSubtotals="1" fieldPosition="0">
        <references count="1">
          <reference field="2" count="1" selected="0">
            <x v="13"/>
          </reference>
        </references>
      </pivotArea>
    </format>
    <format dxfId="245">
      <pivotArea collapsedLevelsAreSubtotals="1" fieldPosition="0">
        <references count="1">
          <reference field="2" count="1" selected="0">
            <x v="14"/>
          </reference>
        </references>
      </pivotArea>
    </format>
    <format dxfId="246">
      <pivotArea collapsedLevelsAreSubtotals="1" fieldPosition="0">
        <references count="1">
          <reference field="2" count="1" selected="0">
            <x v="15"/>
          </reference>
        </references>
      </pivotArea>
    </format>
    <format dxfId="247">
      <pivotArea collapsedLevelsAreSubtotals="1" fieldPosition="0">
        <references count="1">
          <reference field="2" count="1" selected="0">
            <x v="16"/>
          </reference>
        </references>
      </pivotArea>
    </format>
    <format dxfId="248">
      <pivotArea collapsedLevelsAreSubtotals="1" fieldPosition="0">
        <references count="1">
          <reference field="2" count="1" selected="0">
            <x v="17"/>
          </reference>
        </references>
      </pivotArea>
    </format>
    <format dxfId="249">
      <pivotArea collapsedLevelsAreSubtotals="1" fieldPosition="0">
        <references count="1">
          <reference field="2" count="1" selected="0">
            <x v="18"/>
          </reference>
        </references>
      </pivotArea>
    </format>
    <format dxfId="250">
      <pivotArea collapsedLevelsAreSubtotals="1" fieldPosition="0">
        <references count="1">
          <reference field="2" count="1" selected="0">
            <x v="19"/>
          </reference>
        </references>
      </pivotArea>
    </format>
    <format dxfId="251">
      <pivotArea collapsedLevelsAreSubtotals="1" fieldPosition="0">
        <references count="1">
          <reference field="2" count="1" selected="0">
            <x v="20"/>
          </reference>
        </references>
      </pivotArea>
    </format>
    <format dxfId="252">
      <pivotArea collapsedLevelsAreSubtotals="1" fieldPosition="0">
        <references count="1">
          <reference field="2" count="1" selected="0">
            <x v="21"/>
          </reference>
        </references>
      </pivotArea>
    </format>
    <format dxfId="253">
      <pivotArea collapsedLevelsAreSubtotals="1" fieldPosition="0">
        <references count="1">
          <reference field="2" count="1" selected="0">
            <x v="22"/>
          </reference>
        </references>
      </pivotArea>
    </format>
    <format dxfId="254">
      <pivotArea collapsedLevelsAreSubtotals="1" fieldPosition="0">
        <references count="1">
          <reference field="2" count="1" selected="0">
            <x v="23"/>
          </reference>
        </references>
      </pivotArea>
    </format>
    <format dxfId="255">
      <pivotArea collapsedLevelsAreSubtotals="1" fieldPosition="0">
        <references count="1">
          <reference field="2" count="1" selected="0">
            <x v="24"/>
          </reference>
        </references>
      </pivotArea>
    </format>
    <format dxfId="256">
      <pivotArea collapsedLevelsAreSubtotals="1" fieldPosition="0">
        <references count="1">
          <reference field="2" count="1" selected="0">
            <x v="25"/>
          </reference>
        </references>
      </pivotArea>
    </format>
    <format dxfId="257">
      <pivotArea collapsedLevelsAreSubtotals="1" fieldPosition="0">
        <references count="1">
          <reference field="2" count="1" selected="0">
            <x v="26"/>
          </reference>
        </references>
      </pivotArea>
    </format>
    <format dxfId="258">
      <pivotArea collapsedLevelsAreSubtotals="1" fieldPosition="0">
        <references count="1">
          <reference field="2" count="1" selected="0">
            <x v="27"/>
          </reference>
        </references>
      </pivotArea>
    </format>
    <format dxfId="259">
      <pivotArea collapsedLevelsAreSubtotals="1" fieldPosition="0">
        <references count="1">
          <reference field="2" count="1" selected="0">
            <x v="28"/>
          </reference>
        </references>
      </pivotArea>
    </format>
    <format dxfId="260">
      <pivotArea collapsedLevelsAreSubtotals="1" fieldPosition="0">
        <references count="1">
          <reference field="2" count="1" selected="0">
            <x v="29"/>
          </reference>
        </references>
      </pivotArea>
    </format>
    <format dxfId="261">
      <pivotArea collapsedLevelsAreSubtotals="1" fieldPosition="0">
        <references count="1">
          <reference field="2" count="1" selected="0">
            <x v="30"/>
          </reference>
        </references>
      </pivotArea>
    </format>
    <format dxfId="262">
      <pivotArea collapsedLevelsAreSubtotals="1" fieldPosition="0">
        <references count="1">
          <reference field="2" count="1" selected="0">
            <x v="31"/>
          </reference>
        </references>
      </pivotArea>
    </format>
    <format dxfId="263">
      <pivotArea collapsedLevelsAreSubtotals="1" fieldPosition="0">
        <references count="1">
          <reference field="2" count="1" selected="0">
            <x v="32"/>
          </reference>
        </references>
      </pivotArea>
    </format>
    <format dxfId="264">
      <pivotArea collapsedLevelsAreSubtotals="1" fieldPosition="0">
        <references count="1">
          <reference field="2" count="1" selected="0">
            <x v="33"/>
          </reference>
        </references>
      </pivotArea>
    </format>
    <format dxfId="265">
      <pivotArea collapsedLevelsAreSubtotals="1" fieldPosition="0">
        <references count="1">
          <reference field="2" count="1" selected="0">
            <x v="34"/>
          </reference>
        </references>
      </pivotArea>
    </format>
    <format dxfId="266">
      <pivotArea collapsedLevelsAreSubtotals="1" fieldPosition="0">
        <references count="1">
          <reference field="2" count="1" selected="0">
            <x v="35"/>
          </reference>
        </references>
      </pivotArea>
    </format>
    <format dxfId="267">
      <pivotArea collapsedLevelsAreSubtotals="1" fieldPosition="0">
        <references count="1">
          <reference field="2" count="1" selected="0">
            <x v="36"/>
          </reference>
        </references>
      </pivotArea>
    </format>
    <format dxfId="268">
      <pivotArea collapsedLevelsAreSubtotals="1" fieldPosition="0">
        <references count="1">
          <reference field="2" count="1" selected="0">
            <x v="37"/>
          </reference>
        </references>
      </pivotArea>
    </format>
    <format dxfId="269">
      <pivotArea collapsedLevelsAreSubtotals="1" fieldPosition="0">
        <references count="1">
          <reference field="2" count="1" selected="0">
            <x v="38"/>
          </reference>
        </references>
      </pivotArea>
    </format>
    <format dxfId="270">
      <pivotArea collapsedLevelsAreSubtotals="1" fieldPosition="0">
        <references count="1">
          <reference field="2" count="1" selected="0">
            <x v="39"/>
          </reference>
        </references>
      </pivotArea>
    </format>
    <format dxfId="271">
      <pivotArea collapsedLevelsAreSubtotals="1" fieldPosition="0">
        <references count="1">
          <reference field="2" count="1" selected="0">
            <x v="40"/>
          </reference>
        </references>
      </pivotArea>
    </format>
    <format dxfId="272">
      <pivotArea collapsedLevelsAreSubtotals="1" fieldPosition="0">
        <references count="1">
          <reference field="2" count="1" selected="0">
            <x v="41"/>
          </reference>
        </references>
      </pivotArea>
    </format>
    <format dxfId="273">
      <pivotArea collapsedLevelsAreSubtotals="1" fieldPosition="0">
        <references count="1">
          <reference field="2" count="1" selected="0">
            <x v="42"/>
          </reference>
        </references>
      </pivotArea>
    </format>
    <format dxfId="274">
      <pivotArea collapsedLevelsAreSubtotals="1" fieldPosition="0">
        <references count="1">
          <reference field="2" count="1" selected="0">
            <x v="43"/>
          </reference>
        </references>
      </pivotArea>
    </format>
    <format dxfId="275">
      <pivotArea collapsedLevelsAreSubtotals="1" fieldPosition="0">
        <references count="1">
          <reference field="2" count="1" selected="0">
            <x v="44"/>
          </reference>
        </references>
      </pivotArea>
    </format>
    <format dxfId="276">
      <pivotArea collapsedLevelsAreSubtotals="1" fieldPosition="0">
        <references count="1">
          <reference field="2" count="1" selected="0">
            <x v="45"/>
          </reference>
        </references>
      </pivotArea>
    </format>
    <format dxfId="277">
      <pivotArea collapsedLevelsAreSubtotals="1" fieldPosition="0">
        <references count="1">
          <reference field="2" count="1" selected="0">
            <x v="46"/>
          </reference>
        </references>
      </pivotArea>
    </format>
    <format dxfId="278">
      <pivotArea collapsedLevelsAreSubtotals="1" fieldPosition="0">
        <references count="1">
          <reference field="2" count="1" selected="0">
            <x v="47"/>
          </reference>
        </references>
      </pivotArea>
    </format>
    <format dxfId="279">
      <pivotArea collapsedLevelsAreSubtotals="1" fieldPosition="0">
        <references count="1">
          <reference field="2" count="1" selected="0">
            <x v="48"/>
          </reference>
        </references>
      </pivotArea>
    </format>
    <format dxfId="280">
      <pivotArea collapsedLevelsAreSubtotals="1" fieldPosition="0">
        <references count="1">
          <reference field="2" count="1" selected="0">
            <x v="49"/>
          </reference>
        </references>
      </pivotArea>
    </format>
    <format dxfId="281">
      <pivotArea collapsedLevelsAreSubtotals="1" fieldPosition="0">
        <references count="1">
          <reference field="2" count="1" selected="0">
            <x v="50"/>
          </reference>
        </references>
      </pivotArea>
    </format>
    <format dxfId="282">
      <pivotArea collapsedLevelsAreSubtotals="1" fieldPosition="0">
        <references count="1">
          <reference field="2" count="1" selected="0">
            <x v="51"/>
          </reference>
        </references>
      </pivotArea>
    </format>
    <format dxfId="283">
      <pivotArea collapsedLevelsAreSubtotals="1" fieldPosition="0">
        <references count="1">
          <reference field="2" count="1" selected="0">
            <x v="52"/>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数据透视表4" cacheId="3"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K1:R50" firstHeaderRow="0" firstDataRow="1" firstDataCol="1"/>
  <pivotFields count="19">
    <pivotField axis="axisRow" compact="0" defaultSubtotal="0" outline="0" showAll="0">
      <items count="48">
        <item x="47"/>
        <item x="0"/>
        <item x="1"/>
        <item x="5"/>
        <item x="2"/>
        <item x="6"/>
        <item x="7"/>
        <item x="8"/>
        <item x="9"/>
        <item x="10"/>
        <item x="13"/>
        <item x="14"/>
        <item x="4"/>
        <item x="30"/>
        <item x="15"/>
        <item x="16"/>
        <item x="17"/>
        <item x="23"/>
        <item x="18"/>
        <item x="19"/>
        <item x="3"/>
        <item x="24"/>
        <item x="11"/>
        <item x="28"/>
        <item x="27"/>
        <item x="44"/>
        <item x="34"/>
        <item x="36"/>
        <item x="35"/>
        <item x="37"/>
        <item x="32"/>
        <item x="26"/>
        <item x="33"/>
        <item x="45"/>
        <item x="46"/>
        <item x="20"/>
        <item x="38"/>
        <item x="31"/>
        <item x="39"/>
        <item x="12"/>
        <item x="21"/>
        <item x="22"/>
        <item x="40"/>
        <item x="41"/>
        <item x="42"/>
        <item x="43"/>
        <item x="25"/>
        <item x="29"/>
      </items>
    </pivotField>
    <pivotField compact="0" showAll="0">
      <items count="49">
        <item x="47"/>
        <item x="0"/>
        <item x="1"/>
        <item x="5"/>
        <item x="2"/>
        <item x="6"/>
        <item x="7"/>
        <item x="8"/>
        <item x="9"/>
        <item x="10"/>
        <item x="13"/>
        <item x="14"/>
        <item x="4"/>
        <item x="30"/>
        <item x="15"/>
        <item x="16"/>
        <item x="17"/>
        <item x="23"/>
        <item x="18"/>
        <item x="19"/>
        <item x="3"/>
        <item x="24"/>
        <item x="11"/>
        <item x="28"/>
        <item x="27"/>
        <item x="44"/>
        <item x="34"/>
        <item x="36"/>
        <item x="35"/>
        <item x="37"/>
        <item x="32"/>
        <item x="26"/>
        <item x="33"/>
        <item x="45"/>
        <item x="46"/>
        <item x="20"/>
        <item x="38"/>
        <item x="31"/>
        <item x="39"/>
        <item x="12"/>
        <item x="21"/>
        <item x="22"/>
        <item x="40"/>
        <item x="41"/>
        <item x="42"/>
        <item x="43"/>
        <item x="25"/>
        <item x="29"/>
        <item t="default"/>
      </items>
    </pivotField>
    <pivotField dataField="1" compact="0" showAll="0">
      <items count="80">
        <item x="78"/>
        <item x="68"/>
        <item x="58"/>
        <item x="17"/>
        <item x="32"/>
        <item x="0"/>
        <item x="1"/>
        <item x="2"/>
        <item x="3"/>
        <item x="4"/>
        <item x="5"/>
        <item x="6"/>
        <item x="7"/>
        <item x="8"/>
        <item x="9"/>
        <item x="10"/>
        <item x="11"/>
        <item x="12"/>
        <item x="13"/>
        <item x="14"/>
        <item x="15"/>
        <item x="16"/>
        <item x="18"/>
        <item x="19"/>
        <item x="20"/>
        <item x="21"/>
        <item x="22"/>
        <item x="23"/>
        <item x="24"/>
        <item x="25"/>
        <item x="26"/>
        <item x="27"/>
        <item x="28"/>
        <item x="29"/>
        <item x="30"/>
        <item x="31"/>
        <item x="33"/>
        <item x="34"/>
        <item x="35"/>
        <item x="36"/>
        <item x="37"/>
        <item x="38"/>
        <item x="39"/>
        <item x="40"/>
        <item x="41"/>
        <item x="42"/>
        <item x="43"/>
        <item x="44"/>
        <item x="45"/>
        <item x="46"/>
        <item x="47"/>
        <item x="48"/>
        <item x="49"/>
        <item x="50"/>
        <item x="51"/>
        <item x="52"/>
        <item x="53"/>
        <item x="54"/>
        <item x="55"/>
        <item x="56"/>
        <item x="57"/>
        <item x="59"/>
        <item x="60"/>
        <item x="61"/>
        <item x="62"/>
        <item x="63"/>
        <item x="64"/>
        <item x="65"/>
        <item x="66"/>
        <item x="67"/>
        <item x="69"/>
        <item x="70"/>
        <item x="71"/>
        <item x="72"/>
        <item x="73"/>
        <item x="74"/>
        <item x="75"/>
        <item x="76"/>
        <item x="77"/>
        <item t="default"/>
      </items>
    </pivotField>
    <pivotField dataField="1" compact="0" showAll="0">
      <items count="30">
        <item x="28"/>
        <item x="6"/>
        <item x="5"/>
        <item x="9"/>
        <item x="4"/>
        <item x="2"/>
        <item x="1"/>
        <item x="19"/>
        <item x="13"/>
        <item x="21"/>
        <item x="8"/>
        <item x="27"/>
        <item x="3"/>
        <item x="22"/>
        <item x="12"/>
        <item x="10"/>
        <item x="25"/>
        <item x="16"/>
        <item x="15"/>
        <item x="14"/>
        <item x="0"/>
        <item x="7"/>
        <item x="11"/>
        <item x="17"/>
        <item x="18"/>
        <item x="20"/>
        <item x="23"/>
        <item x="24"/>
        <item x="26"/>
        <item t="default"/>
      </items>
    </pivotField>
    <pivotField compact="0" showAll="0">
      <items count="61">
        <item x="54"/>
        <item x="7"/>
        <item x="0"/>
        <item x="1"/>
        <item x="2"/>
        <item x="3"/>
        <item x="4"/>
        <item x="5"/>
        <item x="6"/>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5"/>
        <item x="56"/>
        <item x="57"/>
        <item x="58"/>
        <item x="59"/>
        <item t="default"/>
      </items>
    </pivotField>
    <pivotField compact="0" showAll="0">
      <items count="58">
        <item x="7"/>
        <item x="46"/>
        <item x="10"/>
        <item x="31"/>
        <item x="3"/>
        <item x="4"/>
        <item x="30"/>
        <item x="22"/>
        <item x="39"/>
        <item x="51"/>
        <item x="40"/>
        <item x="0"/>
        <item x="1"/>
        <item x="2"/>
        <item x="5"/>
        <item x="6"/>
        <item x="8"/>
        <item x="9"/>
        <item x="11"/>
        <item x="12"/>
        <item x="13"/>
        <item x="14"/>
        <item x="15"/>
        <item x="16"/>
        <item x="17"/>
        <item x="18"/>
        <item x="19"/>
        <item x="20"/>
        <item x="21"/>
        <item x="23"/>
        <item x="24"/>
        <item x="25"/>
        <item x="26"/>
        <item x="27"/>
        <item x="28"/>
        <item x="29"/>
        <item x="32"/>
        <item x="33"/>
        <item x="34"/>
        <item x="35"/>
        <item x="36"/>
        <item x="37"/>
        <item x="38"/>
        <item x="41"/>
        <item x="42"/>
        <item x="43"/>
        <item x="44"/>
        <item x="45"/>
        <item x="47"/>
        <item x="48"/>
        <item x="49"/>
        <item x="50"/>
        <item x="52"/>
        <item x="53"/>
        <item x="54"/>
        <item x="55"/>
        <item x="56"/>
        <item t="default"/>
      </items>
    </pivotField>
    <pivotField dataField="1" compact="0" showAll="0">
      <items count="59">
        <item x="57"/>
        <item x="7"/>
        <item x="46"/>
        <item x="43"/>
        <item x="10"/>
        <item x="31"/>
        <item x="4"/>
        <item x="32"/>
        <item x="41"/>
        <item x="0"/>
        <item x="1"/>
        <item x="2"/>
        <item x="3"/>
        <item x="5"/>
        <item x="6"/>
        <item x="8"/>
        <item x="9"/>
        <item x="11"/>
        <item x="12"/>
        <item x="13"/>
        <item x="14"/>
        <item x="15"/>
        <item x="16"/>
        <item x="17"/>
        <item x="18"/>
        <item x="19"/>
        <item x="20"/>
        <item x="21"/>
        <item x="22"/>
        <item x="23"/>
        <item x="24"/>
        <item x="25"/>
        <item x="26"/>
        <item x="27"/>
        <item x="28"/>
        <item x="29"/>
        <item x="30"/>
        <item x="33"/>
        <item x="34"/>
        <item x="35"/>
        <item x="36"/>
        <item x="37"/>
        <item x="38"/>
        <item x="39"/>
        <item x="40"/>
        <item x="42"/>
        <item x="44"/>
        <item x="45"/>
        <item x="47"/>
        <item x="48"/>
        <item x="49"/>
        <item x="50"/>
        <item x="51"/>
        <item x="52"/>
        <item x="53"/>
        <item x="54"/>
        <item x="55"/>
        <item x="56"/>
        <item t="default"/>
      </items>
    </pivotField>
    <pivotField dataField="1" compact="0" showAll="0">
      <items count="30">
        <item x="4"/>
        <item x="28"/>
        <item x="17"/>
        <item x="2"/>
        <item x="15"/>
        <item x="14"/>
        <item x="27"/>
        <item x="0"/>
        <item x="1"/>
        <item x="3"/>
        <item x="5"/>
        <item x="6"/>
        <item x="7"/>
        <item x="8"/>
        <item x="9"/>
        <item x="10"/>
        <item x="11"/>
        <item x="12"/>
        <item x="13"/>
        <item x="16"/>
        <item x="18"/>
        <item x="19"/>
        <item x="20"/>
        <item x="21"/>
        <item x="22"/>
        <item x="23"/>
        <item x="24"/>
        <item x="25"/>
        <item x="26"/>
        <item t="default"/>
      </items>
    </pivotField>
    <pivotField compact="0" showAll="0">
      <items count="33">
        <item x="4"/>
        <item x="0"/>
        <item x="1"/>
        <item x="2"/>
        <item x="3"/>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compact="0" showAll="0">
      <items count="34">
        <item x="6"/>
        <item x="4"/>
        <item x="0"/>
        <item x="1"/>
        <item x="2"/>
        <item x="3"/>
        <item x="5"/>
        <item x="7"/>
        <item x="8"/>
        <item x="9"/>
        <item x="10"/>
        <item x="11"/>
        <item x="12"/>
        <item x="13"/>
        <item x="14"/>
        <item x="15"/>
        <item x="16"/>
        <item x="17"/>
        <item x="18"/>
        <item x="19"/>
        <item x="20"/>
        <item x="21"/>
        <item x="22"/>
        <item x="23"/>
        <item x="24"/>
        <item x="25"/>
        <item x="26"/>
        <item x="27"/>
        <item x="28"/>
        <item x="29"/>
        <item x="30"/>
        <item x="31"/>
        <item x="32"/>
        <item t="default"/>
      </items>
    </pivotField>
    <pivotField dataField="1" compact="0" showAll="0">
      <items count="10">
        <item x="3"/>
        <item x="2"/>
        <item x="8"/>
        <item x="1"/>
        <item x="0"/>
        <item x="5"/>
        <item x="7"/>
        <item x="6"/>
        <item x="4"/>
        <item t="default"/>
      </items>
    </pivotField>
    <pivotField compact="0" showAll="0">
      <items count="10">
        <item x="3"/>
        <item x="2"/>
        <item x="8"/>
        <item x="1"/>
        <item x="0"/>
        <item x="7"/>
        <item x="5"/>
        <item x="6"/>
        <item x="4"/>
        <item t="default"/>
      </items>
    </pivotField>
    <pivotField compact="0" showAll="0">
      <items count="27">
        <item x="6"/>
        <item x="4"/>
        <item x="0"/>
        <item x="19"/>
        <item x="24"/>
        <item x="25"/>
        <item x="2"/>
        <item x="1"/>
        <item x="8"/>
        <item x="11"/>
        <item x="16"/>
        <item x="23"/>
        <item x="3"/>
        <item x="5"/>
        <item x="7"/>
        <item x="9"/>
        <item x="10"/>
        <item x="12"/>
        <item x="13"/>
        <item x="14"/>
        <item x="15"/>
        <item x="17"/>
        <item x="18"/>
        <item x="20"/>
        <item x="21"/>
        <item x="22"/>
        <item t="default"/>
      </items>
    </pivotField>
    <pivotField compact="0" showAll="0">
      <items count="9">
        <item x="3"/>
        <item x="1"/>
        <item x="7"/>
        <item x="2"/>
        <item x="0"/>
        <item x="6"/>
        <item x="5"/>
        <item x="4"/>
        <item t="default"/>
      </items>
    </pivotField>
    <pivotField compact="0" showAll="0">
      <items count="7">
        <item x="0"/>
        <item x="1"/>
        <item x="5"/>
        <item x="3"/>
        <item x="2"/>
        <item x="4"/>
        <item t="default"/>
      </items>
    </pivotField>
    <pivotField compact="0" showAll="0">
      <items count="23">
        <item x="3"/>
        <item x="21"/>
        <item x="15"/>
        <item x="1"/>
        <item x="17"/>
        <item x="20"/>
        <item x="6"/>
        <item x="0"/>
        <item x="2"/>
        <item x="4"/>
        <item x="5"/>
        <item x="7"/>
        <item x="8"/>
        <item x="9"/>
        <item x="10"/>
        <item x="11"/>
        <item x="12"/>
        <item x="13"/>
        <item x="14"/>
        <item x="16"/>
        <item x="18"/>
        <item x="19"/>
        <item t="default"/>
      </items>
    </pivotField>
    <pivotField compact="0" showAll="0">
      <items count="15">
        <item x="0"/>
        <item x="13"/>
        <item x="2"/>
        <item x="4"/>
        <item x="6"/>
        <item x="1"/>
        <item x="3"/>
        <item x="5"/>
        <item x="7"/>
        <item x="8"/>
        <item x="9"/>
        <item x="10"/>
        <item x="11"/>
        <item x="12"/>
        <item t="default"/>
      </items>
    </pivotField>
    <pivotField dataField="1" dragToCol="0" dragToPage="0" dragToRow="0" compact="0" showAll="0"/>
    <pivotField dataField="1" dragToCol="0" dragToPage="0" dragToRow="0" compact="0"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74">
    <format dxfId="284">
      <pivotArea dataOnly="0" labelOnly="1" fieldPosition="0">
        <references count="1">
          <reference field="4294967294" count="1">
            <x v="5"/>
          </reference>
        </references>
      </pivotArea>
    </format>
    <format dxfId="285">
      <pivotArea dataOnly="0" labelOnly="1" fieldPosition="0">
        <references count="1">
          <reference field="4294967294" count="1">
            <x v="6"/>
          </reference>
        </references>
      </pivotArea>
    </format>
    <format dxfId="286">
      <pivotArea collapsedLevelsAreSubtotals="1" fieldPosition="0">
        <references count="1">
          <reference field="4294967294" count="1" selected="0">
            <x v="5"/>
          </reference>
        </references>
      </pivotArea>
    </format>
    <format dxfId="287">
      <pivotArea collapsedLevelsAreSubtotals="1" fieldPosition="0">
        <references count="1">
          <reference field="4294967294" count="1" selected="0">
            <x v="6"/>
          </reference>
        </references>
      </pivotArea>
    </format>
    <format dxfId="288">
      <pivotArea dataOnly="0" labelOnly="1" fieldPosition="0">
        <references count="1">
          <reference field="0" count="1">
            <x v="0"/>
          </reference>
        </references>
      </pivotArea>
    </format>
    <format dxfId="289">
      <pivotArea dataOnly="0" labelOnly="1" fieldPosition="0">
        <references count="1">
          <reference field="0" count="1">
            <x v="1"/>
          </reference>
        </references>
      </pivotArea>
    </format>
    <format dxfId="290">
      <pivotArea dataOnly="0" labelOnly="1" fieldPosition="0">
        <references count="1">
          <reference field="0" count="1">
            <x v="2"/>
          </reference>
        </references>
      </pivotArea>
    </format>
    <format dxfId="291">
      <pivotArea dataOnly="0" labelOnly="1" fieldPosition="0">
        <references count="1">
          <reference field="0" count="1">
            <x v="3"/>
          </reference>
        </references>
      </pivotArea>
    </format>
    <format dxfId="292">
      <pivotArea dataOnly="0" labelOnly="1" fieldPosition="0">
        <references count="1">
          <reference field="0" count="1">
            <x v="4"/>
          </reference>
        </references>
      </pivotArea>
    </format>
    <format dxfId="293">
      <pivotArea dataOnly="0" labelOnly="1" fieldPosition="0">
        <references count="1">
          <reference field="0" count="1">
            <x v="5"/>
          </reference>
        </references>
      </pivotArea>
    </format>
    <format dxfId="294">
      <pivotArea dataOnly="0" labelOnly="1" fieldPosition="0">
        <references count="1">
          <reference field="0" count="1">
            <x v="6"/>
          </reference>
        </references>
      </pivotArea>
    </format>
    <format dxfId="295">
      <pivotArea dataOnly="0" labelOnly="1" fieldPosition="0">
        <references count="1">
          <reference field="0" count="1">
            <x v="7"/>
          </reference>
        </references>
      </pivotArea>
    </format>
    <format dxfId="296">
      <pivotArea dataOnly="0" labelOnly="1" fieldPosition="0">
        <references count="1">
          <reference field="0" count="1">
            <x v="8"/>
          </reference>
        </references>
      </pivotArea>
    </format>
    <format dxfId="297">
      <pivotArea dataOnly="0" labelOnly="1" fieldPosition="0">
        <references count="1">
          <reference field="0" count="1">
            <x v="9"/>
          </reference>
        </references>
      </pivotArea>
    </format>
    <format dxfId="298">
      <pivotArea dataOnly="0" labelOnly="1" fieldPosition="0">
        <references count="1">
          <reference field="0" count="1">
            <x v="10"/>
          </reference>
        </references>
      </pivotArea>
    </format>
    <format dxfId="299">
      <pivotArea dataOnly="0" labelOnly="1" fieldPosition="0">
        <references count="1">
          <reference field="0" count="1">
            <x v="11"/>
          </reference>
        </references>
      </pivotArea>
    </format>
    <format dxfId="300">
      <pivotArea dataOnly="0" labelOnly="1" fieldPosition="0">
        <references count="1">
          <reference field="0" count="1">
            <x v="12"/>
          </reference>
        </references>
      </pivotArea>
    </format>
    <format dxfId="301">
      <pivotArea dataOnly="0" labelOnly="1" fieldPosition="0">
        <references count="1">
          <reference field="0" count="1">
            <x v="13"/>
          </reference>
        </references>
      </pivotArea>
    </format>
    <format dxfId="302">
      <pivotArea dataOnly="0" labelOnly="1" fieldPosition="0">
        <references count="1">
          <reference field="0" count="1">
            <x v="14"/>
          </reference>
        </references>
      </pivotArea>
    </format>
    <format dxfId="303">
      <pivotArea dataOnly="0" labelOnly="1" fieldPosition="0">
        <references count="1">
          <reference field="0" count="1">
            <x v="15"/>
          </reference>
        </references>
      </pivotArea>
    </format>
    <format dxfId="304">
      <pivotArea dataOnly="0" labelOnly="1" fieldPosition="0">
        <references count="1">
          <reference field="0" count="1">
            <x v="16"/>
          </reference>
        </references>
      </pivotArea>
    </format>
    <format dxfId="305">
      <pivotArea dataOnly="0" labelOnly="1" fieldPosition="0">
        <references count="1">
          <reference field="0" count="1">
            <x v="17"/>
          </reference>
        </references>
      </pivotArea>
    </format>
    <format dxfId="306">
      <pivotArea dataOnly="0" labelOnly="1" fieldPosition="0">
        <references count="1">
          <reference field="0" count="1">
            <x v="18"/>
          </reference>
        </references>
      </pivotArea>
    </format>
    <format dxfId="307">
      <pivotArea dataOnly="0" labelOnly="1" fieldPosition="0">
        <references count="1">
          <reference field="0" count="1">
            <x v="19"/>
          </reference>
        </references>
      </pivotArea>
    </format>
    <format dxfId="308">
      <pivotArea dataOnly="0" labelOnly="1" fieldPosition="0">
        <references count="1">
          <reference field="0" count="1">
            <x v="20"/>
          </reference>
        </references>
      </pivotArea>
    </format>
    <format dxfId="309">
      <pivotArea dataOnly="0" labelOnly="1" fieldPosition="0">
        <references count="1">
          <reference field="0" count="1">
            <x v="21"/>
          </reference>
        </references>
      </pivotArea>
    </format>
    <format dxfId="310">
      <pivotArea dataOnly="0" labelOnly="1" fieldPosition="0">
        <references count="1">
          <reference field="0" count="1">
            <x v="22"/>
          </reference>
        </references>
      </pivotArea>
    </format>
    <format dxfId="311">
      <pivotArea dataOnly="0" labelOnly="1" fieldPosition="0">
        <references count="1">
          <reference field="0" count="1">
            <x v="23"/>
          </reference>
        </references>
      </pivotArea>
    </format>
    <format dxfId="312">
      <pivotArea dataOnly="0" labelOnly="1" fieldPosition="0">
        <references count="1">
          <reference field="0" count="1">
            <x v="24"/>
          </reference>
        </references>
      </pivotArea>
    </format>
    <format dxfId="313">
      <pivotArea dataOnly="0" labelOnly="1" fieldPosition="0">
        <references count="1">
          <reference field="0" count="1">
            <x v="25"/>
          </reference>
        </references>
      </pivotArea>
    </format>
    <format dxfId="314">
      <pivotArea dataOnly="0" labelOnly="1" fieldPosition="0">
        <references count="1">
          <reference field="0" count="1">
            <x v="26"/>
          </reference>
        </references>
      </pivotArea>
    </format>
    <format dxfId="315">
      <pivotArea dataOnly="0" labelOnly="1" fieldPosition="0">
        <references count="1">
          <reference field="0" count="1">
            <x v="27"/>
          </reference>
        </references>
      </pivotArea>
    </format>
    <format dxfId="316">
      <pivotArea dataOnly="0" labelOnly="1" fieldPosition="0">
        <references count="1">
          <reference field="0" count="1">
            <x v="28"/>
          </reference>
        </references>
      </pivotArea>
    </format>
    <format dxfId="317">
      <pivotArea dataOnly="0" labelOnly="1" fieldPosition="0">
        <references count="1">
          <reference field="0" count="1">
            <x v="29"/>
          </reference>
        </references>
      </pivotArea>
    </format>
    <format dxfId="318">
      <pivotArea dataOnly="0" labelOnly="1" fieldPosition="0">
        <references count="1">
          <reference field="0" count="1">
            <x v="30"/>
          </reference>
        </references>
      </pivotArea>
    </format>
    <format dxfId="319">
      <pivotArea dataOnly="0" labelOnly="1" fieldPosition="0">
        <references count="1">
          <reference field="0" count="1">
            <x v="31"/>
          </reference>
        </references>
      </pivotArea>
    </format>
    <format dxfId="320">
      <pivotArea dataOnly="0" labelOnly="1" fieldPosition="0">
        <references count="1">
          <reference field="0" count="1">
            <x v="32"/>
          </reference>
        </references>
      </pivotArea>
    </format>
    <format dxfId="321">
      <pivotArea dataOnly="0" labelOnly="1" fieldPosition="0">
        <references count="1">
          <reference field="0" count="1">
            <x v="33"/>
          </reference>
        </references>
      </pivotArea>
    </format>
    <format dxfId="322">
      <pivotArea dataOnly="0" labelOnly="1" fieldPosition="0">
        <references count="1">
          <reference field="0" count="1">
            <x v="34"/>
          </reference>
        </references>
      </pivotArea>
    </format>
    <format dxfId="323">
      <pivotArea collapsedLevelsAreSubtotals="1" fieldPosition="0">
        <references count="1">
          <reference field="0" count="1" selected="0">
            <x v="0"/>
          </reference>
        </references>
      </pivotArea>
    </format>
    <format dxfId="324">
      <pivotArea collapsedLevelsAreSubtotals="1" fieldPosition="0">
        <references count="1">
          <reference field="0" count="1" selected="0">
            <x v="1"/>
          </reference>
        </references>
      </pivotArea>
    </format>
    <format dxfId="325">
      <pivotArea collapsedLevelsAreSubtotals="1" fieldPosition="0">
        <references count="1">
          <reference field="0" count="1" selected="0">
            <x v="2"/>
          </reference>
        </references>
      </pivotArea>
    </format>
    <format dxfId="326">
      <pivotArea collapsedLevelsAreSubtotals="1" fieldPosition="0">
        <references count="1">
          <reference field="0" count="1" selected="0">
            <x v="3"/>
          </reference>
        </references>
      </pivotArea>
    </format>
    <format dxfId="327">
      <pivotArea collapsedLevelsAreSubtotals="1" fieldPosition="0">
        <references count="1">
          <reference field="0" count="1" selected="0">
            <x v="4"/>
          </reference>
        </references>
      </pivotArea>
    </format>
    <format dxfId="328">
      <pivotArea collapsedLevelsAreSubtotals="1" fieldPosition="0">
        <references count="1">
          <reference field="0" count="1" selected="0">
            <x v="5"/>
          </reference>
        </references>
      </pivotArea>
    </format>
    <format dxfId="329">
      <pivotArea collapsedLevelsAreSubtotals="1" fieldPosition="0">
        <references count="1">
          <reference field="0" count="1" selected="0">
            <x v="6"/>
          </reference>
        </references>
      </pivotArea>
    </format>
    <format dxfId="330">
      <pivotArea collapsedLevelsAreSubtotals="1" fieldPosition="0">
        <references count="1">
          <reference field="0" count="1" selected="0">
            <x v="7"/>
          </reference>
        </references>
      </pivotArea>
    </format>
    <format dxfId="331">
      <pivotArea collapsedLevelsAreSubtotals="1" fieldPosition="0">
        <references count="1">
          <reference field="0" count="1" selected="0">
            <x v="8"/>
          </reference>
        </references>
      </pivotArea>
    </format>
    <format dxfId="332">
      <pivotArea collapsedLevelsAreSubtotals="1" fieldPosition="0">
        <references count="1">
          <reference field="0" count="1" selected="0">
            <x v="9"/>
          </reference>
        </references>
      </pivotArea>
    </format>
    <format dxfId="333">
      <pivotArea collapsedLevelsAreSubtotals="1" fieldPosition="0">
        <references count="1">
          <reference field="0" count="1" selected="0">
            <x v="10"/>
          </reference>
        </references>
      </pivotArea>
    </format>
    <format dxfId="334">
      <pivotArea collapsedLevelsAreSubtotals="1" fieldPosition="0">
        <references count="1">
          <reference field="0" count="1" selected="0">
            <x v="11"/>
          </reference>
        </references>
      </pivotArea>
    </format>
    <format dxfId="335">
      <pivotArea collapsedLevelsAreSubtotals="1" fieldPosition="0">
        <references count="1">
          <reference field="0" count="1" selected="0">
            <x v="12"/>
          </reference>
        </references>
      </pivotArea>
    </format>
    <format dxfId="336">
      <pivotArea collapsedLevelsAreSubtotals="1" fieldPosition="0">
        <references count="1">
          <reference field="0" count="1" selected="0">
            <x v="13"/>
          </reference>
        </references>
      </pivotArea>
    </format>
    <format dxfId="337">
      <pivotArea collapsedLevelsAreSubtotals="1" fieldPosition="0">
        <references count="1">
          <reference field="0" count="1" selected="0">
            <x v="14"/>
          </reference>
        </references>
      </pivotArea>
    </format>
    <format dxfId="338">
      <pivotArea collapsedLevelsAreSubtotals="1" fieldPosition="0">
        <references count="1">
          <reference field="0" count="1" selected="0">
            <x v="15"/>
          </reference>
        </references>
      </pivotArea>
    </format>
    <format dxfId="339">
      <pivotArea collapsedLevelsAreSubtotals="1" fieldPosition="0">
        <references count="1">
          <reference field="0" count="1" selected="0">
            <x v="16"/>
          </reference>
        </references>
      </pivotArea>
    </format>
    <format dxfId="340">
      <pivotArea collapsedLevelsAreSubtotals="1" fieldPosition="0">
        <references count="1">
          <reference field="0" count="1" selected="0">
            <x v="17"/>
          </reference>
        </references>
      </pivotArea>
    </format>
    <format dxfId="341">
      <pivotArea collapsedLevelsAreSubtotals="1" fieldPosition="0">
        <references count="1">
          <reference field="0" count="1" selected="0">
            <x v="18"/>
          </reference>
        </references>
      </pivotArea>
    </format>
    <format dxfId="342">
      <pivotArea collapsedLevelsAreSubtotals="1" fieldPosition="0">
        <references count="1">
          <reference field="0" count="1" selected="0">
            <x v="19"/>
          </reference>
        </references>
      </pivotArea>
    </format>
    <format dxfId="343">
      <pivotArea collapsedLevelsAreSubtotals="1" fieldPosition="0">
        <references count="1">
          <reference field="0" count="1" selected="0">
            <x v="20"/>
          </reference>
        </references>
      </pivotArea>
    </format>
    <format dxfId="344">
      <pivotArea collapsedLevelsAreSubtotals="1" fieldPosition="0">
        <references count="1">
          <reference field="0" count="1" selected="0">
            <x v="21"/>
          </reference>
        </references>
      </pivotArea>
    </format>
    <format dxfId="345">
      <pivotArea collapsedLevelsAreSubtotals="1" fieldPosition="0">
        <references count="1">
          <reference field="0" count="1" selected="0">
            <x v="22"/>
          </reference>
        </references>
      </pivotArea>
    </format>
    <format dxfId="346">
      <pivotArea collapsedLevelsAreSubtotals="1" fieldPosition="0">
        <references count="1">
          <reference field="0" count="1" selected="0">
            <x v="23"/>
          </reference>
        </references>
      </pivotArea>
    </format>
    <format dxfId="347">
      <pivotArea collapsedLevelsAreSubtotals="1" fieldPosition="0">
        <references count="1">
          <reference field="0" count="1" selected="0">
            <x v="24"/>
          </reference>
        </references>
      </pivotArea>
    </format>
    <format dxfId="348">
      <pivotArea collapsedLevelsAreSubtotals="1" fieldPosition="0">
        <references count="1">
          <reference field="0" count="1" selected="0">
            <x v="25"/>
          </reference>
        </references>
      </pivotArea>
    </format>
    <format dxfId="349">
      <pivotArea collapsedLevelsAreSubtotals="1" fieldPosition="0">
        <references count="1">
          <reference field="0" count="1" selected="0">
            <x v="26"/>
          </reference>
        </references>
      </pivotArea>
    </format>
    <format dxfId="350">
      <pivotArea collapsedLevelsAreSubtotals="1" fieldPosition="0">
        <references count="1">
          <reference field="0" count="1" selected="0">
            <x v="27"/>
          </reference>
        </references>
      </pivotArea>
    </format>
    <format dxfId="351">
      <pivotArea collapsedLevelsAreSubtotals="1" fieldPosition="0">
        <references count="1">
          <reference field="0" count="1" selected="0">
            <x v="28"/>
          </reference>
        </references>
      </pivotArea>
    </format>
    <format dxfId="352">
      <pivotArea collapsedLevelsAreSubtotals="1" fieldPosition="0">
        <references count="1">
          <reference field="0" count="1" selected="0">
            <x v="29"/>
          </reference>
        </references>
      </pivotArea>
    </format>
    <format dxfId="353">
      <pivotArea collapsedLevelsAreSubtotals="1" fieldPosition="0">
        <references count="1">
          <reference field="0" count="1" selected="0">
            <x v="30"/>
          </reference>
        </references>
      </pivotArea>
    </format>
    <format dxfId="354">
      <pivotArea collapsedLevelsAreSubtotals="1" fieldPosition="0">
        <references count="1">
          <reference field="0" count="1" selected="0">
            <x v="31"/>
          </reference>
        </references>
      </pivotArea>
    </format>
    <format dxfId="355">
      <pivotArea collapsedLevelsAreSubtotals="1" fieldPosition="0">
        <references count="1">
          <reference field="0" count="1" selected="0">
            <x v="32"/>
          </reference>
        </references>
      </pivotArea>
    </format>
    <format dxfId="356">
      <pivotArea collapsedLevelsAreSubtotals="1" fieldPosition="0">
        <references count="1">
          <reference field="0" count="1" selected="0">
            <x v="33"/>
          </reference>
        </references>
      </pivotArea>
    </format>
    <format dxfId="357">
      <pivotArea collapsedLevelsAreSubtotals="1" fieldPosition="0">
        <references count="1">
          <reference field="0" count="1" selected="0">
            <x v="34"/>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数据透视表5" cacheId="4"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1:AA54" firstHeaderRow="0" firstDataRow="1" firstDataCol="1"/>
  <pivotFields count="19">
    <pivotField axis="axisRow" compact="0" defaultSubtotal="0" outline="0" showAll="0">
      <items count="52">
        <item x="51"/>
        <item x="0"/>
        <item x="1"/>
        <item x="2"/>
        <item x="5"/>
        <item x="3"/>
        <item x="4"/>
        <item x="6"/>
        <item x="7"/>
        <item x="8"/>
        <item x="9"/>
        <item x="10"/>
        <item x="13"/>
        <item x="14"/>
        <item x="30"/>
        <item x="15"/>
        <item x="16"/>
        <item x="17"/>
        <item x="23"/>
        <item x="18"/>
        <item x="19"/>
        <item x="33"/>
        <item x="39"/>
        <item x="32"/>
        <item x="24"/>
        <item x="38"/>
        <item x="11"/>
        <item x="25"/>
        <item x="28"/>
        <item x="45"/>
        <item x="27"/>
        <item x="31"/>
        <item x="37"/>
        <item x="41"/>
        <item x="40"/>
        <item x="34"/>
        <item x="26"/>
        <item x="36"/>
        <item x="49"/>
        <item x="50"/>
        <item x="20"/>
        <item x="42"/>
        <item x="43"/>
        <item x="44"/>
        <item x="12"/>
        <item x="21"/>
        <item x="22"/>
        <item x="35"/>
        <item x="46"/>
        <item x="47"/>
        <item x="48"/>
        <item x="29"/>
      </items>
    </pivotField>
    <pivotField compact="0" showAll="0">
      <items count="53">
        <item x="51"/>
        <item x="0"/>
        <item x="1"/>
        <item x="2"/>
        <item x="5"/>
        <item x="3"/>
        <item x="4"/>
        <item x="6"/>
        <item x="7"/>
        <item x="8"/>
        <item x="9"/>
        <item x="10"/>
        <item x="13"/>
        <item x="14"/>
        <item x="30"/>
        <item x="15"/>
        <item x="16"/>
        <item x="17"/>
        <item x="23"/>
        <item x="18"/>
        <item x="19"/>
        <item x="33"/>
        <item x="39"/>
        <item x="32"/>
        <item x="24"/>
        <item x="38"/>
        <item x="11"/>
        <item x="25"/>
        <item x="28"/>
        <item x="45"/>
        <item x="27"/>
        <item x="31"/>
        <item x="37"/>
        <item x="41"/>
        <item x="40"/>
        <item x="34"/>
        <item x="26"/>
        <item x="36"/>
        <item x="49"/>
        <item x="50"/>
        <item x="20"/>
        <item x="42"/>
        <item x="43"/>
        <item x="44"/>
        <item x="12"/>
        <item x="21"/>
        <item x="22"/>
        <item x="35"/>
        <item x="46"/>
        <item x="47"/>
        <item x="48"/>
        <item x="29"/>
        <item t="default"/>
      </items>
    </pivotField>
    <pivotField dataField="1" compact="0" showAll="0">
      <items count="93">
        <item x="91"/>
        <item x="16"/>
        <item x="70"/>
        <item x="22"/>
        <item x="66"/>
        <item x="0"/>
        <item x="1"/>
        <item x="2"/>
        <item x="3"/>
        <item x="4"/>
        <item x="5"/>
        <item x="6"/>
        <item x="7"/>
        <item x="8"/>
        <item x="9"/>
        <item x="10"/>
        <item x="11"/>
        <item x="12"/>
        <item x="13"/>
        <item x="14"/>
        <item x="15"/>
        <item x="17"/>
        <item x="18"/>
        <item x="19"/>
        <item x="20"/>
        <item x="21"/>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7"/>
        <item x="68"/>
        <item x="69"/>
        <item x="71"/>
        <item x="72"/>
        <item x="73"/>
        <item x="74"/>
        <item x="75"/>
        <item x="76"/>
        <item x="77"/>
        <item x="78"/>
        <item x="79"/>
        <item x="80"/>
        <item x="81"/>
        <item x="82"/>
        <item x="83"/>
        <item x="84"/>
        <item x="85"/>
        <item x="86"/>
        <item x="87"/>
        <item x="88"/>
        <item x="89"/>
        <item x="90"/>
        <item t="default"/>
      </items>
    </pivotField>
    <pivotField dataField="1" compact="0" showAll="0">
      <items count="40">
        <item x="10"/>
        <item x="38"/>
        <item x="4"/>
        <item x="27"/>
        <item x="24"/>
        <item x="8"/>
        <item x="28"/>
        <item x="15"/>
        <item x="5"/>
        <item x="12"/>
        <item x="25"/>
        <item x="34"/>
        <item x="2"/>
        <item x="11"/>
        <item x="13"/>
        <item x="21"/>
        <item x="6"/>
        <item x="20"/>
        <item x="35"/>
        <item x="3"/>
        <item x="7"/>
        <item x="23"/>
        <item x="0"/>
        <item x="1"/>
        <item x="9"/>
        <item x="14"/>
        <item x="16"/>
        <item x="17"/>
        <item x="18"/>
        <item x="19"/>
        <item x="22"/>
        <item x="26"/>
        <item x="29"/>
        <item x="30"/>
        <item x="31"/>
        <item x="32"/>
        <item x="33"/>
        <item x="36"/>
        <item x="37"/>
        <item t="default"/>
      </items>
    </pivotField>
    <pivotField compact="0" showAll="0">
      <items count="77">
        <item x="75"/>
        <item x="15"/>
        <item x="62"/>
        <item x="0"/>
        <item x="1"/>
        <item x="2"/>
        <item x="3"/>
        <item x="4"/>
        <item x="5"/>
        <item x="6"/>
        <item x="7"/>
        <item x="8"/>
        <item x="9"/>
        <item x="10"/>
        <item x="11"/>
        <item x="12"/>
        <item x="13"/>
        <item x="14"/>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3"/>
        <item x="64"/>
        <item x="65"/>
        <item x="66"/>
        <item x="67"/>
        <item x="68"/>
        <item x="69"/>
        <item x="70"/>
        <item x="71"/>
        <item x="72"/>
        <item x="73"/>
        <item x="74"/>
        <item t="default"/>
      </items>
    </pivotField>
    <pivotField compact="0" showAll="0">
      <items count="71">
        <item x="12"/>
        <item x="52"/>
        <item x="8"/>
        <item x="33"/>
        <item x="45"/>
        <item x="14"/>
        <item x="57"/>
        <item x="59"/>
        <item x="60"/>
        <item x="0"/>
        <item x="1"/>
        <item x="2"/>
        <item x="3"/>
        <item x="4"/>
        <item x="5"/>
        <item x="6"/>
        <item x="7"/>
        <item x="9"/>
        <item x="10"/>
        <item x="11"/>
        <item x="13"/>
        <item x="15"/>
        <item x="16"/>
        <item x="17"/>
        <item x="18"/>
        <item x="19"/>
        <item x="20"/>
        <item x="21"/>
        <item x="22"/>
        <item x="23"/>
        <item x="24"/>
        <item x="25"/>
        <item x="26"/>
        <item x="27"/>
        <item x="28"/>
        <item x="29"/>
        <item x="30"/>
        <item x="31"/>
        <item x="32"/>
        <item x="34"/>
        <item x="35"/>
        <item x="36"/>
        <item x="37"/>
        <item x="38"/>
        <item x="39"/>
        <item x="40"/>
        <item x="41"/>
        <item x="42"/>
        <item x="43"/>
        <item x="44"/>
        <item x="46"/>
        <item x="47"/>
        <item x="48"/>
        <item x="49"/>
        <item x="50"/>
        <item x="51"/>
        <item x="53"/>
        <item x="54"/>
        <item x="55"/>
        <item x="56"/>
        <item x="58"/>
        <item x="61"/>
        <item x="62"/>
        <item x="63"/>
        <item x="64"/>
        <item x="65"/>
        <item x="66"/>
        <item x="67"/>
        <item x="68"/>
        <item x="69"/>
        <item t="default"/>
      </items>
    </pivotField>
    <pivotField dataField="1" compact="0" showAll="0">
      <items count="74">
        <item x="12"/>
        <item x="72"/>
        <item x="53"/>
        <item x="34"/>
        <item x="45"/>
        <item x="14"/>
        <item x="52"/>
        <item x="59"/>
        <item x="61"/>
        <item x="62"/>
        <item x="0"/>
        <item x="1"/>
        <item x="2"/>
        <item x="3"/>
        <item x="4"/>
        <item x="5"/>
        <item x="6"/>
        <item x="7"/>
        <item x="8"/>
        <item x="9"/>
        <item x="10"/>
        <item x="11"/>
        <item x="13"/>
        <item x="15"/>
        <item x="16"/>
        <item x="17"/>
        <item x="18"/>
        <item x="19"/>
        <item x="20"/>
        <item x="21"/>
        <item x="22"/>
        <item x="23"/>
        <item x="24"/>
        <item x="25"/>
        <item x="26"/>
        <item x="27"/>
        <item x="28"/>
        <item x="29"/>
        <item x="30"/>
        <item x="31"/>
        <item x="32"/>
        <item x="33"/>
        <item x="35"/>
        <item x="36"/>
        <item x="37"/>
        <item x="38"/>
        <item x="39"/>
        <item x="40"/>
        <item x="41"/>
        <item x="42"/>
        <item x="43"/>
        <item x="44"/>
        <item x="46"/>
        <item x="47"/>
        <item x="48"/>
        <item x="49"/>
        <item x="50"/>
        <item x="51"/>
        <item x="54"/>
        <item x="55"/>
        <item x="56"/>
        <item x="57"/>
        <item x="58"/>
        <item x="60"/>
        <item x="63"/>
        <item x="64"/>
        <item x="65"/>
        <item x="66"/>
        <item x="67"/>
        <item x="68"/>
        <item x="69"/>
        <item x="70"/>
        <item x="71"/>
        <item t="default"/>
      </items>
    </pivotField>
    <pivotField dataField="1" compact="0" showAll="0">
      <items count="45">
        <item x="4"/>
        <item x="43"/>
        <item x="13"/>
        <item x="31"/>
        <item x="11"/>
        <item x="2"/>
        <item x="36"/>
        <item x="3"/>
        <item x="26"/>
        <item x="40"/>
        <item x="23"/>
        <item x="20"/>
        <item x="21"/>
        <item x="6"/>
        <item x="35"/>
        <item x="37"/>
        <item x="38"/>
        <item x="0"/>
        <item x="1"/>
        <item x="5"/>
        <item x="7"/>
        <item x="8"/>
        <item x="9"/>
        <item x="10"/>
        <item x="12"/>
        <item x="14"/>
        <item x="15"/>
        <item x="16"/>
        <item x="17"/>
        <item x="18"/>
        <item x="19"/>
        <item x="22"/>
        <item x="24"/>
        <item x="25"/>
        <item x="27"/>
        <item x="28"/>
        <item x="29"/>
        <item x="30"/>
        <item x="32"/>
        <item x="33"/>
        <item x="34"/>
        <item x="39"/>
        <item x="41"/>
        <item x="42"/>
        <item t="default"/>
      </items>
    </pivotField>
    <pivotField compact="0" showAll="0">
      <items count="48">
        <item x="4"/>
        <item x="35"/>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37"/>
        <item x="38"/>
        <item x="39"/>
        <item x="40"/>
        <item x="41"/>
        <item x="42"/>
        <item x="43"/>
        <item x="44"/>
        <item x="45"/>
        <item x="46"/>
        <item t="default"/>
      </items>
    </pivotField>
    <pivotField compact="0" showAll="0">
      <items count="49">
        <item x="4"/>
        <item x="8"/>
        <item x="36"/>
        <item x="0"/>
        <item x="1"/>
        <item x="2"/>
        <item x="3"/>
        <item x="5"/>
        <item x="6"/>
        <item x="7"/>
        <item x="9"/>
        <item x="10"/>
        <item x="11"/>
        <item x="12"/>
        <item x="13"/>
        <item x="14"/>
        <item x="15"/>
        <item x="16"/>
        <item x="17"/>
        <item x="18"/>
        <item x="19"/>
        <item x="20"/>
        <item x="21"/>
        <item x="22"/>
        <item x="23"/>
        <item x="24"/>
        <item x="25"/>
        <item x="26"/>
        <item x="27"/>
        <item x="28"/>
        <item x="29"/>
        <item x="30"/>
        <item x="31"/>
        <item x="32"/>
        <item x="33"/>
        <item x="34"/>
        <item x="35"/>
        <item x="37"/>
        <item x="38"/>
        <item x="39"/>
        <item x="40"/>
        <item x="41"/>
        <item x="42"/>
        <item x="43"/>
        <item x="44"/>
        <item x="45"/>
        <item x="46"/>
        <item x="47"/>
        <item t="default"/>
      </items>
    </pivotField>
    <pivotField dataField="1" compact="0" showAll="0">
      <items count="15">
        <item x="3"/>
        <item x="2"/>
        <item x="13"/>
        <item x="1"/>
        <item x="0"/>
        <item x="8"/>
        <item x="9"/>
        <item x="4"/>
        <item x="10"/>
        <item x="11"/>
        <item x="5"/>
        <item x="6"/>
        <item x="7"/>
        <item x="12"/>
        <item t="default"/>
      </items>
    </pivotField>
    <pivotField compact="0" showAll="0">
      <items count="14">
        <item x="3"/>
        <item x="2"/>
        <item x="12"/>
        <item x="1"/>
        <item x="0"/>
        <item x="8"/>
        <item x="9"/>
        <item x="5"/>
        <item x="10"/>
        <item x="4"/>
        <item x="6"/>
        <item x="7"/>
        <item x="11"/>
        <item t="default"/>
      </items>
    </pivotField>
    <pivotField compact="0" showAll="0">
      <items count="44">
        <item x="4"/>
        <item x="8"/>
        <item x="12"/>
        <item x="35"/>
        <item x="25"/>
        <item x="13"/>
        <item x="19"/>
        <item x="3"/>
        <item x="2"/>
        <item x="34"/>
        <item x="20"/>
        <item x="0"/>
        <item x="1"/>
        <item x="5"/>
        <item x="6"/>
        <item x="7"/>
        <item x="9"/>
        <item x="10"/>
        <item x="11"/>
        <item x="14"/>
        <item x="15"/>
        <item x="16"/>
        <item x="17"/>
        <item x="18"/>
        <item x="21"/>
        <item x="22"/>
        <item x="23"/>
        <item x="24"/>
        <item x="26"/>
        <item x="27"/>
        <item x="28"/>
        <item x="29"/>
        <item x="30"/>
        <item x="31"/>
        <item x="32"/>
        <item x="33"/>
        <item x="36"/>
        <item x="37"/>
        <item x="38"/>
        <item x="39"/>
        <item x="40"/>
        <item x="41"/>
        <item x="42"/>
        <item t="default"/>
      </items>
    </pivotField>
    <pivotField compact="0" showAll="0">
      <items count="13">
        <item x="1"/>
        <item x="3"/>
        <item x="11"/>
        <item x="0"/>
        <item x="2"/>
        <item x="4"/>
        <item x="9"/>
        <item x="10"/>
        <item x="7"/>
        <item x="8"/>
        <item x="5"/>
        <item x="6"/>
        <item t="default"/>
      </items>
    </pivotField>
    <pivotField compact="0" showAll="0">
      <items count="10">
        <item x="0"/>
        <item x="8"/>
        <item x="1"/>
        <item x="3"/>
        <item x="2"/>
        <item x="7"/>
        <item x="6"/>
        <item x="5"/>
        <item x="4"/>
        <item t="default"/>
      </items>
    </pivotField>
    <pivotField compact="0" showAll="0">
      <items count="37">
        <item x="3"/>
        <item x="35"/>
        <item x="7"/>
        <item x="25"/>
        <item x="1"/>
        <item x="10"/>
        <item x="33"/>
        <item x="2"/>
        <item x="4"/>
        <item x="17"/>
        <item x="18"/>
        <item x="31"/>
        <item x="22"/>
        <item x="12"/>
        <item x="28"/>
        <item x="27"/>
        <item x="5"/>
        <item x="30"/>
        <item x="0"/>
        <item x="6"/>
        <item x="8"/>
        <item x="9"/>
        <item x="11"/>
        <item x="13"/>
        <item x="14"/>
        <item x="15"/>
        <item x="16"/>
        <item x="19"/>
        <item x="20"/>
        <item x="21"/>
        <item x="23"/>
        <item x="24"/>
        <item x="26"/>
        <item x="29"/>
        <item x="32"/>
        <item x="34"/>
        <item t="default"/>
      </items>
    </pivotField>
    <pivotField compact="0" showAll="0">
      <items count="24">
        <item x="0"/>
        <item x="22"/>
        <item x="7"/>
        <item x="20"/>
        <item x="21"/>
        <item x="19"/>
        <item x="1"/>
        <item x="13"/>
        <item x="11"/>
        <item x="2"/>
        <item x="3"/>
        <item x="4"/>
        <item x="5"/>
        <item x="6"/>
        <item x="8"/>
        <item x="9"/>
        <item x="10"/>
        <item x="12"/>
        <item x="14"/>
        <item x="15"/>
        <item x="16"/>
        <item x="17"/>
        <item x="18"/>
        <item t="default"/>
      </items>
    </pivotField>
    <pivotField dataField="1" dragToCol="0" dragToPage="0" dragToRow="0" compact="0" showAll="0"/>
    <pivotField dataField="1" dragToCol="0" dragToPage="0" dragToRow="0" compact="0" showAll="0"/>
  </pivotFields>
  <rowFields count="1">
    <field x="0"/>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88">
    <format dxfId="358">
      <pivotArea dataOnly="0" labelOnly="1" fieldPosition="0">
        <references count="1">
          <reference field="4294967294" count="1">
            <x v="5"/>
          </reference>
        </references>
      </pivotArea>
    </format>
    <format dxfId="359">
      <pivotArea dataOnly="0" labelOnly="1" fieldPosition="0">
        <references count="1">
          <reference field="4294967294" count="1">
            <x v="6"/>
          </reference>
        </references>
      </pivotArea>
    </format>
    <format dxfId="360">
      <pivotArea collapsedLevelsAreSubtotals="1" fieldPosition="0">
        <references count="1">
          <reference field="4294967294" count="1" selected="0">
            <x v="5"/>
          </reference>
        </references>
      </pivotArea>
    </format>
    <format dxfId="361">
      <pivotArea collapsedLevelsAreSubtotals="1" fieldPosition="0">
        <references count="1">
          <reference field="4294967294" count="1" selected="0">
            <x v="6"/>
          </reference>
        </references>
      </pivotArea>
    </format>
    <format dxfId="362">
      <pivotArea dataOnly="0" labelOnly="1" fieldPosition="0">
        <references count="1">
          <reference field="4294967294" count="1">
            <x v="5"/>
          </reference>
        </references>
      </pivotArea>
    </format>
    <format dxfId="363">
      <pivotArea dataOnly="0" labelOnly="1" fieldPosition="0">
        <references count="1">
          <reference field="4294967294" count="1">
            <x v="6"/>
          </reference>
        </references>
      </pivotArea>
    </format>
    <format dxfId="364">
      <pivotArea collapsedLevelsAreSubtotals="1" fieldPosition="0">
        <references count="1">
          <reference field="4294967294" count="1" selected="0">
            <x v="5"/>
          </reference>
        </references>
      </pivotArea>
    </format>
    <format dxfId="365">
      <pivotArea collapsedLevelsAreSubtotals="1" fieldPosition="0">
        <references count="1">
          <reference field="4294967294" count="1" selected="0">
            <x v="6"/>
          </reference>
        </references>
      </pivotArea>
    </format>
    <format dxfId="366">
      <pivotArea dataOnly="0" labelOnly="1" fieldPosition="0">
        <references count="1">
          <reference field="0" count="1">
            <x v="0"/>
          </reference>
        </references>
      </pivotArea>
    </format>
    <format dxfId="367">
      <pivotArea dataOnly="0" labelOnly="1" fieldPosition="0">
        <references count="1">
          <reference field="0" count="1">
            <x v="1"/>
          </reference>
        </references>
      </pivotArea>
    </format>
    <format dxfId="368">
      <pivotArea dataOnly="0" labelOnly="1" fieldPosition="0">
        <references count="1">
          <reference field="0" count="1">
            <x v="2"/>
          </reference>
        </references>
      </pivotArea>
    </format>
    <format dxfId="369">
      <pivotArea dataOnly="0" labelOnly="1" fieldPosition="0">
        <references count="1">
          <reference field="0" count="1">
            <x v="3"/>
          </reference>
        </references>
      </pivotArea>
    </format>
    <format dxfId="370">
      <pivotArea dataOnly="0" labelOnly="1" fieldPosition="0">
        <references count="1">
          <reference field="0" count="1">
            <x v="4"/>
          </reference>
        </references>
      </pivotArea>
    </format>
    <format dxfId="371">
      <pivotArea dataOnly="0" labelOnly="1" fieldPosition="0">
        <references count="1">
          <reference field="0" count="1">
            <x v="5"/>
          </reference>
        </references>
      </pivotArea>
    </format>
    <format dxfId="372">
      <pivotArea dataOnly="0" labelOnly="1" fieldPosition="0">
        <references count="1">
          <reference field="0" count="1">
            <x v="6"/>
          </reference>
        </references>
      </pivotArea>
    </format>
    <format dxfId="373">
      <pivotArea dataOnly="0" labelOnly="1" fieldPosition="0">
        <references count="1">
          <reference field="0" count="1">
            <x v="7"/>
          </reference>
        </references>
      </pivotArea>
    </format>
    <format dxfId="374">
      <pivotArea dataOnly="0" labelOnly="1" fieldPosition="0">
        <references count="1">
          <reference field="0" count="1">
            <x v="8"/>
          </reference>
        </references>
      </pivotArea>
    </format>
    <format dxfId="375">
      <pivotArea dataOnly="0" labelOnly="1" fieldPosition="0">
        <references count="1">
          <reference field="0" count="1">
            <x v="9"/>
          </reference>
        </references>
      </pivotArea>
    </format>
    <format dxfId="376">
      <pivotArea dataOnly="0" labelOnly="1" fieldPosition="0">
        <references count="1">
          <reference field="0" count="1">
            <x v="10"/>
          </reference>
        </references>
      </pivotArea>
    </format>
    <format dxfId="377">
      <pivotArea dataOnly="0" labelOnly="1" fieldPosition="0">
        <references count="1">
          <reference field="0" count="1">
            <x v="11"/>
          </reference>
        </references>
      </pivotArea>
    </format>
    <format dxfId="378">
      <pivotArea dataOnly="0" labelOnly="1" fieldPosition="0">
        <references count="1">
          <reference field="0" count="1">
            <x v="12"/>
          </reference>
        </references>
      </pivotArea>
    </format>
    <format dxfId="379">
      <pivotArea dataOnly="0" labelOnly="1" fieldPosition="0">
        <references count="1">
          <reference field="0" count="1">
            <x v="13"/>
          </reference>
        </references>
      </pivotArea>
    </format>
    <format dxfId="380">
      <pivotArea dataOnly="0" labelOnly="1" fieldPosition="0">
        <references count="1">
          <reference field="0" count="1">
            <x v="14"/>
          </reference>
        </references>
      </pivotArea>
    </format>
    <format dxfId="381">
      <pivotArea dataOnly="0" labelOnly="1" fieldPosition="0">
        <references count="1">
          <reference field="0" count="1">
            <x v="15"/>
          </reference>
        </references>
      </pivotArea>
    </format>
    <format dxfId="382">
      <pivotArea dataOnly="0" labelOnly="1" fieldPosition="0">
        <references count="1">
          <reference field="0" count="1">
            <x v="16"/>
          </reference>
        </references>
      </pivotArea>
    </format>
    <format dxfId="383">
      <pivotArea dataOnly="0" labelOnly="1" fieldPosition="0">
        <references count="1">
          <reference field="0" count="1">
            <x v="17"/>
          </reference>
        </references>
      </pivotArea>
    </format>
    <format dxfId="384">
      <pivotArea dataOnly="0" labelOnly="1" fieldPosition="0">
        <references count="1">
          <reference field="0" count="1">
            <x v="18"/>
          </reference>
        </references>
      </pivotArea>
    </format>
    <format dxfId="385">
      <pivotArea dataOnly="0" labelOnly="1" fieldPosition="0">
        <references count="1">
          <reference field="0" count="1">
            <x v="19"/>
          </reference>
        </references>
      </pivotArea>
    </format>
    <format dxfId="386">
      <pivotArea dataOnly="0" labelOnly="1" fieldPosition="0">
        <references count="1">
          <reference field="0" count="1">
            <x v="20"/>
          </reference>
        </references>
      </pivotArea>
    </format>
    <format dxfId="387">
      <pivotArea dataOnly="0" labelOnly="1" fieldPosition="0">
        <references count="1">
          <reference field="0" count="1">
            <x v="21"/>
          </reference>
        </references>
      </pivotArea>
    </format>
    <format dxfId="388">
      <pivotArea dataOnly="0" labelOnly="1" fieldPosition="0">
        <references count="1">
          <reference field="0" count="1">
            <x v="22"/>
          </reference>
        </references>
      </pivotArea>
    </format>
    <format dxfId="389">
      <pivotArea dataOnly="0" labelOnly="1" fieldPosition="0">
        <references count="1">
          <reference field="0" count="1">
            <x v="23"/>
          </reference>
        </references>
      </pivotArea>
    </format>
    <format dxfId="390">
      <pivotArea dataOnly="0" labelOnly="1" fieldPosition="0">
        <references count="1">
          <reference field="0" count="1">
            <x v="24"/>
          </reference>
        </references>
      </pivotArea>
    </format>
    <format dxfId="391">
      <pivotArea dataOnly="0" labelOnly="1" fieldPosition="0">
        <references count="1">
          <reference field="0" count="1">
            <x v="25"/>
          </reference>
        </references>
      </pivotArea>
    </format>
    <format dxfId="392">
      <pivotArea dataOnly="0" labelOnly="1" fieldPosition="0">
        <references count="1">
          <reference field="0" count="1">
            <x v="26"/>
          </reference>
        </references>
      </pivotArea>
    </format>
    <format dxfId="393">
      <pivotArea dataOnly="0" labelOnly="1" fieldPosition="0">
        <references count="1">
          <reference field="0" count="1">
            <x v="27"/>
          </reference>
        </references>
      </pivotArea>
    </format>
    <format dxfId="394">
      <pivotArea dataOnly="0" labelOnly="1" fieldPosition="0">
        <references count="1">
          <reference field="0" count="1">
            <x v="28"/>
          </reference>
        </references>
      </pivotArea>
    </format>
    <format dxfId="395">
      <pivotArea dataOnly="0" labelOnly="1" fieldPosition="0">
        <references count="1">
          <reference field="0" count="1">
            <x v="29"/>
          </reference>
        </references>
      </pivotArea>
    </format>
    <format dxfId="396">
      <pivotArea dataOnly="0" labelOnly="1" fieldPosition="0">
        <references count="1">
          <reference field="0" count="1">
            <x v="30"/>
          </reference>
        </references>
      </pivotArea>
    </format>
    <format dxfId="397">
      <pivotArea dataOnly="0" labelOnly="1" fieldPosition="0">
        <references count="1">
          <reference field="0" count="1">
            <x v="31"/>
          </reference>
        </references>
      </pivotArea>
    </format>
    <format dxfId="398">
      <pivotArea dataOnly="0" labelOnly="1" fieldPosition="0">
        <references count="1">
          <reference field="0" count="1">
            <x v="32"/>
          </reference>
        </references>
      </pivotArea>
    </format>
    <format dxfId="399">
      <pivotArea dataOnly="0" labelOnly="1" fieldPosition="0">
        <references count="1">
          <reference field="0" count="1">
            <x v="33"/>
          </reference>
        </references>
      </pivotArea>
    </format>
    <format dxfId="400">
      <pivotArea dataOnly="0" labelOnly="1" fieldPosition="0">
        <references count="1">
          <reference field="0" count="1">
            <x v="34"/>
          </reference>
        </references>
      </pivotArea>
    </format>
    <format dxfId="401">
      <pivotArea dataOnly="0" labelOnly="1" fieldPosition="0">
        <references count="1">
          <reference field="0" count="1">
            <x v="35"/>
          </reference>
        </references>
      </pivotArea>
    </format>
    <format dxfId="402">
      <pivotArea dataOnly="0" labelOnly="1" fieldPosition="0">
        <references count="1">
          <reference field="0" count="1">
            <x v="36"/>
          </reference>
        </references>
      </pivotArea>
    </format>
    <format dxfId="403">
      <pivotArea dataOnly="0" labelOnly="1" fieldPosition="0">
        <references count="1">
          <reference field="0" count="1">
            <x v="37"/>
          </reference>
        </references>
      </pivotArea>
    </format>
    <format dxfId="404">
      <pivotArea dataOnly="0" labelOnly="1" fieldPosition="0">
        <references count="1">
          <reference field="0" count="1">
            <x v="38"/>
          </reference>
        </references>
      </pivotArea>
    </format>
    <format dxfId="405">
      <pivotArea dataOnly="0" labelOnly="1" fieldPosition="0">
        <references count="1">
          <reference field="0" count="1">
            <x v="39"/>
          </reference>
        </references>
      </pivotArea>
    </format>
    <format dxfId="406">
      <pivotArea collapsedLevelsAreSubtotals="1" fieldPosition="0">
        <references count="1">
          <reference field="0" count="1" selected="0">
            <x v="0"/>
          </reference>
        </references>
      </pivotArea>
    </format>
    <format dxfId="407">
      <pivotArea collapsedLevelsAreSubtotals="1" fieldPosition="0">
        <references count="1">
          <reference field="0" count="1" selected="0">
            <x v="1"/>
          </reference>
        </references>
      </pivotArea>
    </format>
    <format dxfId="408">
      <pivotArea collapsedLevelsAreSubtotals="1" fieldPosition="0">
        <references count="1">
          <reference field="0" count="1" selected="0">
            <x v="2"/>
          </reference>
        </references>
      </pivotArea>
    </format>
    <format dxfId="409">
      <pivotArea collapsedLevelsAreSubtotals="1" fieldPosition="0">
        <references count="1">
          <reference field="0" count="1" selected="0">
            <x v="3"/>
          </reference>
        </references>
      </pivotArea>
    </format>
    <format dxfId="410">
      <pivotArea collapsedLevelsAreSubtotals="1" fieldPosition="0">
        <references count="1">
          <reference field="0" count="1" selected="0">
            <x v="4"/>
          </reference>
        </references>
      </pivotArea>
    </format>
    <format dxfId="411">
      <pivotArea collapsedLevelsAreSubtotals="1" fieldPosition="0">
        <references count="1">
          <reference field="0" count="1" selected="0">
            <x v="5"/>
          </reference>
        </references>
      </pivotArea>
    </format>
    <format dxfId="412">
      <pivotArea collapsedLevelsAreSubtotals="1" fieldPosition="0">
        <references count="1">
          <reference field="0" count="1" selected="0">
            <x v="6"/>
          </reference>
        </references>
      </pivotArea>
    </format>
    <format dxfId="413">
      <pivotArea collapsedLevelsAreSubtotals="1" fieldPosition="0">
        <references count="1">
          <reference field="0" count="1" selected="0">
            <x v="7"/>
          </reference>
        </references>
      </pivotArea>
    </format>
    <format dxfId="414">
      <pivotArea collapsedLevelsAreSubtotals="1" fieldPosition="0">
        <references count="1">
          <reference field="0" count="1" selected="0">
            <x v="8"/>
          </reference>
        </references>
      </pivotArea>
    </format>
    <format dxfId="415">
      <pivotArea collapsedLevelsAreSubtotals="1" fieldPosition="0">
        <references count="1">
          <reference field="0" count="1" selected="0">
            <x v="9"/>
          </reference>
        </references>
      </pivotArea>
    </format>
    <format dxfId="416">
      <pivotArea collapsedLevelsAreSubtotals="1" fieldPosition="0">
        <references count="1">
          <reference field="0" count="1" selected="0">
            <x v="10"/>
          </reference>
        </references>
      </pivotArea>
    </format>
    <format dxfId="417">
      <pivotArea collapsedLevelsAreSubtotals="1" fieldPosition="0">
        <references count="1">
          <reference field="0" count="1" selected="0">
            <x v="11"/>
          </reference>
        </references>
      </pivotArea>
    </format>
    <format dxfId="418">
      <pivotArea collapsedLevelsAreSubtotals="1" fieldPosition="0">
        <references count="1">
          <reference field="0" count="1" selected="0">
            <x v="12"/>
          </reference>
        </references>
      </pivotArea>
    </format>
    <format dxfId="419">
      <pivotArea collapsedLevelsAreSubtotals="1" fieldPosition="0">
        <references count="1">
          <reference field="0" count="1" selected="0">
            <x v="13"/>
          </reference>
        </references>
      </pivotArea>
    </format>
    <format dxfId="420">
      <pivotArea collapsedLevelsAreSubtotals="1" fieldPosition="0">
        <references count="1">
          <reference field="0" count="1" selected="0">
            <x v="14"/>
          </reference>
        </references>
      </pivotArea>
    </format>
    <format dxfId="421">
      <pivotArea collapsedLevelsAreSubtotals="1" fieldPosition="0">
        <references count="1">
          <reference field="0" count="1" selected="0">
            <x v="15"/>
          </reference>
        </references>
      </pivotArea>
    </format>
    <format dxfId="422">
      <pivotArea collapsedLevelsAreSubtotals="1" fieldPosition="0">
        <references count="1">
          <reference field="0" count="1" selected="0">
            <x v="16"/>
          </reference>
        </references>
      </pivotArea>
    </format>
    <format dxfId="423">
      <pivotArea collapsedLevelsAreSubtotals="1" fieldPosition="0">
        <references count="1">
          <reference field="0" count="1" selected="0">
            <x v="17"/>
          </reference>
        </references>
      </pivotArea>
    </format>
    <format dxfId="424">
      <pivotArea collapsedLevelsAreSubtotals="1" fieldPosition="0">
        <references count="1">
          <reference field="0" count="1" selected="0">
            <x v="18"/>
          </reference>
        </references>
      </pivotArea>
    </format>
    <format dxfId="425">
      <pivotArea collapsedLevelsAreSubtotals="1" fieldPosition="0">
        <references count="1">
          <reference field="0" count="1" selected="0">
            <x v="19"/>
          </reference>
        </references>
      </pivotArea>
    </format>
    <format dxfId="426">
      <pivotArea collapsedLevelsAreSubtotals="1" fieldPosition="0">
        <references count="1">
          <reference field="0" count="1" selected="0">
            <x v="20"/>
          </reference>
        </references>
      </pivotArea>
    </format>
    <format dxfId="427">
      <pivotArea collapsedLevelsAreSubtotals="1" fieldPosition="0">
        <references count="1">
          <reference field="0" count="1" selected="0">
            <x v="21"/>
          </reference>
        </references>
      </pivotArea>
    </format>
    <format dxfId="428">
      <pivotArea collapsedLevelsAreSubtotals="1" fieldPosition="0">
        <references count="1">
          <reference field="0" count="1" selected="0">
            <x v="22"/>
          </reference>
        </references>
      </pivotArea>
    </format>
    <format dxfId="429">
      <pivotArea collapsedLevelsAreSubtotals="1" fieldPosition="0">
        <references count="1">
          <reference field="0" count="1" selected="0">
            <x v="23"/>
          </reference>
        </references>
      </pivotArea>
    </format>
    <format dxfId="430">
      <pivotArea collapsedLevelsAreSubtotals="1" fieldPosition="0">
        <references count="1">
          <reference field="0" count="1" selected="0">
            <x v="24"/>
          </reference>
        </references>
      </pivotArea>
    </format>
    <format dxfId="431">
      <pivotArea collapsedLevelsAreSubtotals="1" fieldPosition="0">
        <references count="1">
          <reference field="0" count="1" selected="0">
            <x v="25"/>
          </reference>
        </references>
      </pivotArea>
    </format>
    <format dxfId="432">
      <pivotArea collapsedLevelsAreSubtotals="1" fieldPosition="0">
        <references count="1">
          <reference field="0" count="1" selected="0">
            <x v="26"/>
          </reference>
        </references>
      </pivotArea>
    </format>
    <format dxfId="433">
      <pivotArea collapsedLevelsAreSubtotals="1" fieldPosition="0">
        <references count="1">
          <reference field="0" count="1" selected="0">
            <x v="27"/>
          </reference>
        </references>
      </pivotArea>
    </format>
    <format dxfId="434">
      <pivotArea collapsedLevelsAreSubtotals="1" fieldPosition="0">
        <references count="1">
          <reference field="0" count="1" selected="0">
            <x v="28"/>
          </reference>
        </references>
      </pivotArea>
    </format>
    <format dxfId="435">
      <pivotArea collapsedLevelsAreSubtotals="1" fieldPosition="0">
        <references count="1">
          <reference field="0" count="1" selected="0">
            <x v="29"/>
          </reference>
        </references>
      </pivotArea>
    </format>
    <format dxfId="436">
      <pivotArea collapsedLevelsAreSubtotals="1" fieldPosition="0">
        <references count="1">
          <reference field="0" count="1" selected="0">
            <x v="30"/>
          </reference>
        </references>
      </pivotArea>
    </format>
    <format dxfId="437">
      <pivotArea collapsedLevelsAreSubtotals="1" fieldPosition="0">
        <references count="1">
          <reference field="0" count="1" selected="0">
            <x v="31"/>
          </reference>
        </references>
      </pivotArea>
    </format>
    <format dxfId="438">
      <pivotArea collapsedLevelsAreSubtotals="1" fieldPosition="0">
        <references count="1">
          <reference field="0" count="1" selected="0">
            <x v="32"/>
          </reference>
        </references>
      </pivotArea>
    </format>
    <format dxfId="439">
      <pivotArea collapsedLevelsAreSubtotals="1" fieldPosition="0">
        <references count="1">
          <reference field="0" count="1" selected="0">
            <x v="33"/>
          </reference>
        </references>
      </pivotArea>
    </format>
    <format dxfId="440">
      <pivotArea collapsedLevelsAreSubtotals="1" fieldPosition="0">
        <references count="1">
          <reference field="0" count="1" selected="0">
            <x v="34"/>
          </reference>
        </references>
      </pivotArea>
    </format>
    <format dxfId="441">
      <pivotArea collapsedLevelsAreSubtotals="1" fieldPosition="0">
        <references count="1">
          <reference field="0" count="1" selected="0">
            <x v="35"/>
          </reference>
        </references>
      </pivotArea>
    </format>
    <format dxfId="442">
      <pivotArea collapsedLevelsAreSubtotals="1" fieldPosition="0">
        <references count="1">
          <reference field="0" count="1" selected="0">
            <x v="36"/>
          </reference>
        </references>
      </pivotArea>
    </format>
    <format dxfId="443">
      <pivotArea collapsedLevelsAreSubtotals="1" fieldPosition="0">
        <references count="1">
          <reference field="0" count="1" selected="0">
            <x v="37"/>
          </reference>
        </references>
      </pivotArea>
    </format>
    <format dxfId="444">
      <pivotArea collapsedLevelsAreSubtotals="1" fieldPosition="0">
        <references count="1">
          <reference field="0" count="1" selected="0">
            <x v="38"/>
          </reference>
        </references>
      </pivotArea>
    </format>
    <format dxfId="445">
      <pivotArea collapsedLevelsAreSubtotals="1" fieldPosition="0">
        <references count="1">
          <reference field="0" count="1" selected="0">
            <x v="39"/>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数据透视表7" cacheId="6"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K86:R166" firstHeaderRow="0" firstDataRow="1" firstDataCol="1"/>
  <pivotFields count="26">
    <pivotField axis="axisRow" compact="0" defaultSubtotal="0" outline="0" showAll="0">
      <items count="79">
        <item x="46"/>
        <item x="49"/>
        <item x="13"/>
        <item x="48"/>
        <item x="16"/>
        <item x="67"/>
        <item x="51"/>
        <item x="12"/>
        <item x="6"/>
        <item x="11"/>
        <item x="50"/>
        <item x="52"/>
        <item x="5"/>
        <item x="68"/>
        <item x="10"/>
        <item x="53"/>
        <item x="8"/>
        <item x="54"/>
        <item x="55"/>
        <item x="56"/>
        <item x="57"/>
        <item x="58"/>
        <item x="59"/>
        <item x="18"/>
        <item x="41"/>
        <item x="39"/>
        <item x="40"/>
        <item x="17"/>
        <item x="38"/>
        <item x="31"/>
        <item x="32"/>
        <item x="33"/>
        <item x="35"/>
        <item x="36"/>
        <item x="37"/>
        <item x="34"/>
        <item x="29"/>
        <item x="26"/>
        <item x="28"/>
        <item x="27"/>
        <item x="30"/>
        <item x="19"/>
        <item x="20"/>
        <item x="21"/>
        <item x="24"/>
        <item x="22"/>
        <item x="25"/>
        <item x="23"/>
        <item x="43"/>
        <item x="44"/>
        <item x="47"/>
        <item x="42"/>
        <item x="45"/>
        <item x="15"/>
        <item x="4"/>
        <item x="14"/>
        <item x="2"/>
        <item x="3"/>
        <item x="1"/>
        <item x="9"/>
        <item x="7"/>
        <item x="0"/>
        <item x="61"/>
        <item x="64"/>
        <item x="63"/>
        <item x="62"/>
        <item x="60"/>
        <item x="66"/>
        <item x="65"/>
        <item x="78"/>
        <item x="69"/>
        <item x="70"/>
        <item x="71"/>
        <item x="72"/>
        <item x="73"/>
        <item x="74"/>
        <item x="75"/>
        <item x="76"/>
        <item x="77"/>
      </items>
      <extLst>
        <ext xmlns:x14="http://schemas.microsoft.com/office/spreadsheetml/2009/9/main" uri="{2946ED86-A175-432a-8AC1-64E0C546D7DE}">
          <x14:pivotField fillDownLabels="1"/>
        </ext>
      </extLst>
    </pivotField>
    <pivotField compact="0" showAll="0">
      <items count="80">
        <item x="46"/>
        <item x="8"/>
        <item x="48"/>
        <item x="68"/>
        <item x="5"/>
        <item x="49"/>
        <item x="6"/>
        <item x="52"/>
        <item x="50"/>
        <item x="51"/>
        <item x="67"/>
        <item x="59"/>
        <item x="57"/>
        <item x="54"/>
        <item x="56"/>
        <item x="55"/>
        <item x="58"/>
        <item x="18"/>
        <item x="41"/>
        <item x="17"/>
        <item x="40"/>
        <item x="39"/>
        <item x="32"/>
        <item x="33"/>
        <item x="31"/>
        <item x="38"/>
        <item x="37"/>
        <item x="34"/>
        <item x="36"/>
        <item x="35"/>
        <item x="27"/>
        <item x="29"/>
        <item x="26"/>
        <item x="28"/>
        <item x="30"/>
        <item x="25"/>
        <item x="24"/>
        <item x="20"/>
        <item x="21"/>
        <item x="19"/>
        <item x="22"/>
        <item x="42"/>
        <item x="45"/>
        <item x="43"/>
        <item x="44"/>
        <item x="47"/>
        <item x="15"/>
        <item x="4"/>
        <item x="14"/>
        <item x="2"/>
        <item x="1"/>
        <item x="3"/>
        <item x="7"/>
        <item x="0"/>
        <item x="13"/>
        <item x="10"/>
        <item x="11"/>
        <item x="9"/>
        <item x="16"/>
        <item x="12"/>
        <item x="53"/>
        <item x="61"/>
        <item x="62"/>
        <item x="60"/>
        <item x="66"/>
        <item x="65"/>
        <item x="64"/>
        <item x="63"/>
        <item x="23"/>
        <item x="78"/>
        <item x="69"/>
        <item x="70"/>
        <item x="71"/>
        <item x="72"/>
        <item x="73"/>
        <item x="74"/>
        <item x="75"/>
        <item x="76"/>
        <item x="77"/>
        <item t="default"/>
      </items>
    </pivotField>
    <pivotField dataField="1" compact="0" showAll="0">
      <items count="47">
        <item x="0"/>
        <item x="19"/>
        <item x="24"/>
        <item x="42"/>
        <item x="45"/>
        <item x="18"/>
        <item x="2"/>
        <item x="3"/>
        <item x="4"/>
        <item x="36"/>
        <item x="1"/>
        <item x="5"/>
        <item x="21"/>
        <item x="12"/>
        <item x="6"/>
        <item x="13"/>
        <item x="30"/>
        <item x="7"/>
        <item x="8"/>
        <item x="9"/>
        <item x="10"/>
        <item x="11"/>
        <item x="14"/>
        <item x="15"/>
        <item x="16"/>
        <item x="17"/>
        <item x="20"/>
        <item x="22"/>
        <item x="23"/>
        <item x="25"/>
        <item x="26"/>
        <item x="27"/>
        <item x="28"/>
        <item x="29"/>
        <item x="31"/>
        <item x="32"/>
        <item x="33"/>
        <item x="34"/>
        <item x="35"/>
        <item x="37"/>
        <item x="38"/>
        <item x="39"/>
        <item x="40"/>
        <item x="41"/>
        <item x="43"/>
        <item x="44"/>
        <item t="default"/>
      </items>
    </pivotField>
    <pivotField compact="0" showAll="0">
      <items count="36">
        <item x="0"/>
        <item x="15"/>
        <item x="10"/>
        <item x="16"/>
        <item x="13"/>
        <item x="34"/>
        <item x="30"/>
        <item x="3"/>
        <item x="20"/>
        <item x="12"/>
        <item x="24"/>
        <item x="9"/>
        <item x="29"/>
        <item x="17"/>
        <item x="6"/>
        <item x="14"/>
        <item x="1"/>
        <item x="2"/>
        <item x="4"/>
        <item x="5"/>
        <item x="7"/>
        <item x="8"/>
        <item x="11"/>
        <item x="18"/>
        <item x="19"/>
        <item x="21"/>
        <item x="22"/>
        <item x="23"/>
        <item x="25"/>
        <item x="26"/>
        <item x="27"/>
        <item x="28"/>
        <item x="31"/>
        <item x="32"/>
        <item x="33"/>
        <item t="default"/>
      </items>
    </pivotField>
    <pivotField dataField="1" compact="0" showAll="0">
      <items count="6">
        <item x="0"/>
        <item x="1"/>
        <item x="4"/>
        <item x="3"/>
        <item x="2"/>
        <item t="default"/>
      </items>
    </pivotField>
    <pivotField compact="0" showAll="0">
      <items count="14">
        <item x="1"/>
        <item x="0"/>
        <item x="2"/>
        <item x="3"/>
        <item x="4"/>
        <item x="5"/>
        <item x="6"/>
        <item x="7"/>
        <item x="8"/>
        <item x="9"/>
        <item x="10"/>
        <item x="11"/>
        <item x="12"/>
        <item t="default"/>
      </items>
    </pivotField>
    <pivotField compact="0" showAll="0">
      <items count="39">
        <item x="0"/>
        <item x="13"/>
        <item x="27"/>
        <item x="34"/>
        <item x="37"/>
        <item x="36"/>
        <item x="15"/>
        <item x="10"/>
        <item x="4"/>
        <item x="11"/>
        <item x="16"/>
        <item x="26"/>
        <item x="8"/>
        <item x="28"/>
        <item x="19"/>
        <item x="9"/>
        <item x="23"/>
        <item x="5"/>
        <item x="1"/>
        <item x="2"/>
        <item x="3"/>
        <item x="6"/>
        <item x="7"/>
        <item x="12"/>
        <item x="14"/>
        <item x="17"/>
        <item x="18"/>
        <item x="20"/>
        <item x="21"/>
        <item x="22"/>
        <item x="24"/>
        <item x="25"/>
        <item x="29"/>
        <item x="30"/>
        <item x="31"/>
        <item x="32"/>
        <item x="33"/>
        <item x="35"/>
        <item t="default"/>
      </items>
    </pivotField>
    <pivotField dataField="1" compact="0" showAll="0">
      <items count="52">
        <item x="0"/>
        <item x="5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compact="0" showAll="0">
      <items count="13">
        <item x="0"/>
        <item x="1"/>
        <item x="2"/>
        <item x="3"/>
        <item x="4"/>
        <item x="5"/>
        <item x="6"/>
        <item x="7"/>
        <item x="8"/>
        <item x="9"/>
        <item x="10"/>
        <item x="11"/>
        <item t="default"/>
      </items>
    </pivotField>
    <pivotField compact="0" showAll="0">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dataField="1" compact="0" showAll="0">
      <items count="24">
        <item x="0"/>
        <item x="1"/>
        <item x="2"/>
        <item x="3"/>
        <item x="4"/>
        <item x="5"/>
        <item x="6"/>
        <item x="7"/>
        <item x="8"/>
        <item x="9"/>
        <item x="10"/>
        <item x="11"/>
        <item x="12"/>
        <item x="13"/>
        <item x="14"/>
        <item x="15"/>
        <item x="16"/>
        <item x="17"/>
        <item x="18"/>
        <item x="19"/>
        <item x="20"/>
        <item x="21"/>
        <item x="22"/>
        <item t="default"/>
      </items>
    </pivotField>
    <pivotField dataField="1" compact="0" showAll="0">
      <items count="25">
        <item x="4"/>
        <item x="0"/>
        <item x="1"/>
        <item x="2"/>
        <item x="3"/>
        <item x="5"/>
        <item x="6"/>
        <item x="7"/>
        <item x="8"/>
        <item x="9"/>
        <item x="10"/>
        <item x="11"/>
        <item x="12"/>
        <item x="13"/>
        <item x="14"/>
        <item x="15"/>
        <item x="16"/>
        <item x="17"/>
        <item x="18"/>
        <item x="19"/>
        <item x="20"/>
        <item x="21"/>
        <item x="22"/>
        <item x="23"/>
        <item t="default"/>
      </items>
    </pivotField>
    <pivotField dataField="1" compact="0" showAll="0">
      <items count="8">
        <item x="0"/>
        <item x="3"/>
        <item x="6"/>
        <item x="1"/>
        <item x="5"/>
        <item x="2"/>
        <item x="4"/>
        <item t="default"/>
      </items>
    </pivotField>
    <pivotField compact="0" showAll="0">
      <items count="9">
        <item x="0"/>
        <item x="3"/>
        <item x="7"/>
        <item x="1"/>
        <item x="5"/>
        <item x="4"/>
        <item x="6"/>
        <item x="2"/>
        <item t="default"/>
      </items>
    </pivotField>
    <pivotField dataField="1" compact="0" showAll="0">
      <items count="20">
        <item x="0"/>
        <item x="18"/>
        <item x="14"/>
        <item x="1"/>
        <item x="2"/>
        <item x="3"/>
        <item x="4"/>
        <item x="5"/>
        <item x="6"/>
        <item x="7"/>
        <item x="8"/>
        <item x="9"/>
        <item x="10"/>
        <item x="11"/>
        <item x="12"/>
        <item x="13"/>
        <item x="15"/>
        <item x="16"/>
        <item x="17"/>
        <item t="default"/>
      </items>
    </pivotField>
    <pivotField compact="0" showAll="0">
      <items count="7">
        <item x="0"/>
        <item x="3"/>
        <item x="5"/>
        <item x="1"/>
        <item x="2"/>
        <item x="4"/>
        <item t="default"/>
      </items>
    </pivotField>
    <pivotField compact="0" showAll="0">
      <items count="19">
        <item x="0"/>
        <item x="17"/>
        <item x="13"/>
        <item x="1"/>
        <item x="2"/>
        <item x="3"/>
        <item x="4"/>
        <item x="5"/>
        <item x="6"/>
        <item x="7"/>
        <item x="8"/>
        <item x="9"/>
        <item x="10"/>
        <item x="11"/>
        <item x="12"/>
        <item x="14"/>
        <item x="15"/>
        <item x="16"/>
        <item t="default"/>
      </items>
    </pivotField>
    <pivotField compact="0" showAll="0">
      <items count="8">
        <item x="0"/>
        <item x="3"/>
        <item x="6"/>
        <item x="1"/>
        <item x="5"/>
        <item x="2"/>
        <item x="4"/>
        <item t="default"/>
      </items>
    </pivotField>
    <pivotField compact="0" showAll="0">
      <items count="3">
        <item x="0"/>
        <item x="1"/>
        <item t="default"/>
      </items>
    </pivotField>
    <pivotField compact="0" showAll="0">
      <items count="4">
        <item x="1"/>
        <item x="0"/>
        <item x="2"/>
        <item t="default"/>
      </items>
    </pivotField>
    <pivotField compact="0" showAll="0">
      <items count="4">
        <item x="0"/>
        <item x="2"/>
        <item x="1"/>
        <item t="default"/>
      </items>
    </pivotField>
    <pivotField compact="0" showAll="0">
      <items count="4">
        <item x="0"/>
        <item x="2"/>
        <item x="1"/>
        <item t="default"/>
      </items>
    </pivotField>
    <pivotField compact="0" showAll="0">
      <items count="4">
        <item x="0"/>
        <item x="2"/>
        <item x="1"/>
        <item t="default"/>
      </items>
    </pivotField>
    <pivotField compact="0" showAll="0">
      <items count="4">
        <item x="0"/>
        <item x="2"/>
        <item x="1"/>
        <item t="default"/>
      </items>
    </pivotField>
    <pivotField compact="0" showAll="0">
      <items count="4">
        <item x="0"/>
        <item x="2"/>
        <item x="1"/>
        <item t="default"/>
      </items>
    </pivotField>
    <pivotField compact="0" showAll="0">
      <items count="4">
        <item x="0"/>
        <item x="2"/>
        <item x="1"/>
        <item t="default"/>
      </items>
    </pivotField>
  </pivotFields>
  <rowFields count="1">
    <field x="0"/>
  </rowFields>
  <rowItems count="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t="grand">
      <x/>
    </i>
  </rowItems>
  <colFields count="1">
    <field x="-2"/>
  </colFields>
  <colItems count="7">
    <i>
      <x/>
    </i>
    <i i="1">
      <x v="1"/>
    </i>
    <i i="2">
      <x v="2"/>
    </i>
    <i i="3">
      <x v="3"/>
    </i>
    <i i="4">
      <x v="4"/>
    </i>
    <i i="5">
      <x v="5"/>
    </i>
    <i i="6">
      <x v="6"/>
    </i>
  </colItems>
  <dataFields count="7">
    <dataField name="求和项:展示量" fld="2" baseField="0" baseItem="0"/>
    <dataField name="求和项:点击量" fld="4" baseField="0" baseItem="0"/>
    <dataField name="求和项:花费" fld="7" baseField="0" baseItem="0"/>
    <dataField name="求和项:14天总销售额" fld="14" baseField="0" baseItem="0"/>
    <dataField name="求和项:14天总订单数(#)" fld="12" baseField="0" baseItem="0"/>
    <dataField name="求和项:广告成本销售比(ACOS)" fld="10" baseField="0" baseItem="0"/>
    <dataField name="求和项:投入产出比(ROAS)" fld="11" baseField="0" baseItem="0"/>
  </dataFields>
  <formats count="140">
    <format dxfId="446">
      <pivotArea dataOnly="0" labelOnly="1" fieldPosition="0">
        <references count="1">
          <reference field="0" count="1">
            <x v="0"/>
          </reference>
        </references>
      </pivotArea>
    </format>
    <format dxfId="447">
      <pivotArea dataOnly="0" labelOnly="1" fieldPosition="0">
        <references count="1">
          <reference field="0" count="1">
            <x v="1"/>
          </reference>
        </references>
      </pivotArea>
    </format>
    <format dxfId="448">
      <pivotArea dataOnly="0" labelOnly="1" fieldPosition="0">
        <references count="1">
          <reference field="0" count="1">
            <x v="2"/>
          </reference>
        </references>
      </pivotArea>
    </format>
    <format dxfId="449">
      <pivotArea dataOnly="0" labelOnly="1" fieldPosition="0">
        <references count="1">
          <reference field="0" count="1">
            <x v="3"/>
          </reference>
        </references>
      </pivotArea>
    </format>
    <format dxfId="450">
      <pivotArea dataOnly="0" labelOnly="1" fieldPosition="0">
        <references count="1">
          <reference field="0" count="1">
            <x v="4"/>
          </reference>
        </references>
      </pivotArea>
    </format>
    <format dxfId="451">
      <pivotArea dataOnly="0" labelOnly="1" fieldPosition="0">
        <references count="1">
          <reference field="0" count="1">
            <x v="5"/>
          </reference>
        </references>
      </pivotArea>
    </format>
    <format dxfId="452">
      <pivotArea dataOnly="0" labelOnly="1" fieldPosition="0">
        <references count="1">
          <reference field="0" count="1">
            <x v="6"/>
          </reference>
        </references>
      </pivotArea>
    </format>
    <format dxfId="453">
      <pivotArea dataOnly="0" labelOnly="1" fieldPosition="0">
        <references count="1">
          <reference field="0" count="1">
            <x v="7"/>
          </reference>
        </references>
      </pivotArea>
    </format>
    <format dxfId="454">
      <pivotArea dataOnly="0" labelOnly="1" fieldPosition="0">
        <references count="1">
          <reference field="0" count="1">
            <x v="8"/>
          </reference>
        </references>
      </pivotArea>
    </format>
    <format dxfId="455">
      <pivotArea dataOnly="0" labelOnly="1" fieldPosition="0">
        <references count="1">
          <reference field="0" count="1">
            <x v="9"/>
          </reference>
        </references>
      </pivotArea>
    </format>
    <format dxfId="456">
      <pivotArea dataOnly="0" labelOnly="1" fieldPosition="0">
        <references count="1">
          <reference field="0" count="1">
            <x v="10"/>
          </reference>
        </references>
      </pivotArea>
    </format>
    <format dxfId="457">
      <pivotArea dataOnly="0" labelOnly="1" fieldPosition="0">
        <references count="1">
          <reference field="0" count="1">
            <x v="11"/>
          </reference>
        </references>
      </pivotArea>
    </format>
    <format dxfId="458">
      <pivotArea dataOnly="0" labelOnly="1" fieldPosition="0">
        <references count="1">
          <reference field="0" count="1">
            <x v="12"/>
          </reference>
        </references>
      </pivotArea>
    </format>
    <format dxfId="459">
      <pivotArea dataOnly="0" labelOnly="1" fieldPosition="0">
        <references count="1">
          <reference field="0" count="1">
            <x v="13"/>
          </reference>
        </references>
      </pivotArea>
    </format>
    <format dxfId="460">
      <pivotArea dataOnly="0" labelOnly="1" fieldPosition="0">
        <references count="1">
          <reference field="0" count="1">
            <x v="14"/>
          </reference>
        </references>
      </pivotArea>
    </format>
    <format dxfId="461">
      <pivotArea dataOnly="0" labelOnly="1" fieldPosition="0">
        <references count="1">
          <reference field="0" count="1">
            <x v="15"/>
          </reference>
        </references>
      </pivotArea>
    </format>
    <format dxfId="462">
      <pivotArea dataOnly="0" labelOnly="1" fieldPosition="0">
        <references count="1">
          <reference field="0" count="1">
            <x v="16"/>
          </reference>
        </references>
      </pivotArea>
    </format>
    <format dxfId="463">
      <pivotArea dataOnly="0" labelOnly="1" fieldPosition="0">
        <references count="1">
          <reference field="0" count="1">
            <x v="17"/>
          </reference>
        </references>
      </pivotArea>
    </format>
    <format dxfId="464">
      <pivotArea dataOnly="0" labelOnly="1" fieldPosition="0">
        <references count="1">
          <reference field="0" count="1">
            <x v="18"/>
          </reference>
        </references>
      </pivotArea>
    </format>
    <format dxfId="465">
      <pivotArea dataOnly="0" labelOnly="1" fieldPosition="0">
        <references count="1">
          <reference field="0" count="1">
            <x v="19"/>
          </reference>
        </references>
      </pivotArea>
    </format>
    <format dxfId="466">
      <pivotArea dataOnly="0" labelOnly="1" fieldPosition="0">
        <references count="1">
          <reference field="0" count="1">
            <x v="20"/>
          </reference>
        </references>
      </pivotArea>
    </format>
    <format dxfId="467">
      <pivotArea dataOnly="0" labelOnly="1" fieldPosition="0">
        <references count="1">
          <reference field="0" count="1">
            <x v="21"/>
          </reference>
        </references>
      </pivotArea>
    </format>
    <format dxfId="468">
      <pivotArea dataOnly="0" labelOnly="1" fieldPosition="0">
        <references count="1">
          <reference field="0" count="1">
            <x v="22"/>
          </reference>
        </references>
      </pivotArea>
    </format>
    <format dxfId="469">
      <pivotArea dataOnly="0" labelOnly="1" fieldPosition="0">
        <references count="1">
          <reference field="0" count="1">
            <x v="23"/>
          </reference>
        </references>
      </pivotArea>
    </format>
    <format dxfId="470">
      <pivotArea dataOnly="0" labelOnly="1" fieldPosition="0">
        <references count="1">
          <reference field="0" count="1">
            <x v="24"/>
          </reference>
        </references>
      </pivotArea>
    </format>
    <format dxfId="471">
      <pivotArea dataOnly="0" labelOnly="1" fieldPosition="0">
        <references count="1">
          <reference field="0" count="1">
            <x v="25"/>
          </reference>
        </references>
      </pivotArea>
    </format>
    <format dxfId="472">
      <pivotArea dataOnly="0" labelOnly="1" fieldPosition="0">
        <references count="1">
          <reference field="0" count="1">
            <x v="26"/>
          </reference>
        </references>
      </pivotArea>
    </format>
    <format dxfId="473">
      <pivotArea dataOnly="0" labelOnly="1" fieldPosition="0">
        <references count="1">
          <reference field="0" count="1">
            <x v="27"/>
          </reference>
        </references>
      </pivotArea>
    </format>
    <format dxfId="474">
      <pivotArea dataOnly="0" labelOnly="1" fieldPosition="0">
        <references count="1">
          <reference field="0" count="1">
            <x v="28"/>
          </reference>
        </references>
      </pivotArea>
    </format>
    <format dxfId="475">
      <pivotArea dataOnly="0" labelOnly="1" fieldPosition="0">
        <references count="1">
          <reference field="0" count="1">
            <x v="29"/>
          </reference>
        </references>
      </pivotArea>
    </format>
    <format dxfId="476">
      <pivotArea dataOnly="0" labelOnly="1" fieldPosition="0">
        <references count="1">
          <reference field="0" count="1">
            <x v="30"/>
          </reference>
        </references>
      </pivotArea>
    </format>
    <format dxfId="477">
      <pivotArea dataOnly="0" labelOnly="1" fieldPosition="0">
        <references count="1">
          <reference field="0" count="1">
            <x v="31"/>
          </reference>
        </references>
      </pivotArea>
    </format>
    <format dxfId="478">
      <pivotArea dataOnly="0" labelOnly="1" fieldPosition="0">
        <references count="1">
          <reference field="0" count="1">
            <x v="32"/>
          </reference>
        </references>
      </pivotArea>
    </format>
    <format dxfId="479">
      <pivotArea dataOnly="0" labelOnly="1" fieldPosition="0">
        <references count="1">
          <reference field="0" count="1">
            <x v="33"/>
          </reference>
        </references>
      </pivotArea>
    </format>
    <format dxfId="480">
      <pivotArea dataOnly="0" labelOnly="1" fieldPosition="0">
        <references count="1">
          <reference field="0" count="1">
            <x v="34"/>
          </reference>
        </references>
      </pivotArea>
    </format>
    <format dxfId="481">
      <pivotArea dataOnly="0" labelOnly="1" fieldPosition="0">
        <references count="1">
          <reference field="0" count="1">
            <x v="35"/>
          </reference>
        </references>
      </pivotArea>
    </format>
    <format dxfId="482">
      <pivotArea dataOnly="0" labelOnly="1" fieldPosition="0">
        <references count="1">
          <reference field="0" count="1">
            <x v="36"/>
          </reference>
        </references>
      </pivotArea>
    </format>
    <format dxfId="483">
      <pivotArea dataOnly="0" labelOnly="1" fieldPosition="0">
        <references count="1">
          <reference field="0" count="1">
            <x v="37"/>
          </reference>
        </references>
      </pivotArea>
    </format>
    <format dxfId="484">
      <pivotArea dataOnly="0" labelOnly="1" fieldPosition="0">
        <references count="1">
          <reference field="0" count="1">
            <x v="38"/>
          </reference>
        </references>
      </pivotArea>
    </format>
    <format dxfId="485">
      <pivotArea dataOnly="0" labelOnly="1" fieldPosition="0">
        <references count="1">
          <reference field="0" count="1">
            <x v="39"/>
          </reference>
        </references>
      </pivotArea>
    </format>
    <format dxfId="486">
      <pivotArea dataOnly="0" labelOnly="1" fieldPosition="0">
        <references count="1">
          <reference field="0" count="1">
            <x v="40"/>
          </reference>
        </references>
      </pivotArea>
    </format>
    <format dxfId="487">
      <pivotArea dataOnly="0" labelOnly="1" fieldPosition="0">
        <references count="1">
          <reference field="0" count="1">
            <x v="41"/>
          </reference>
        </references>
      </pivotArea>
    </format>
    <format dxfId="488">
      <pivotArea dataOnly="0" labelOnly="1" fieldPosition="0">
        <references count="1">
          <reference field="0" count="1">
            <x v="42"/>
          </reference>
        </references>
      </pivotArea>
    </format>
    <format dxfId="489">
      <pivotArea dataOnly="0" labelOnly="1" fieldPosition="0">
        <references count="1">
          <reference field="0" count="1">
            <x v="43"/>
          </reference>
        </references>
      </pivotArea>
    </format>
    <format dxfId="490">
      <pivotArea dataOnly="0" labelOnly="1" fieldPosition="0">
        <references count="1">
          <reference field="0" count="1">
            <x v="44"/>
          </reference>
        </references>
      </pivotArea>
    </format>
    <format dxfId="491">
      <pivotArea dataOnly="0" labelOnly="1" fieldPosition="0">
        <references count="1">
          <reference field="0" count="1">
            <x v="45"/>
          </reference>
        </references>
      </pivotArea>
    </format>
    <format dxfId="492">
      <pivotArea dataOnly="0" labelOnly="1" fieldPosition="0">
        <references count="1">
          <reference field="0" count="1">
            <x v="46"/>
          </reference>
        </references>
      </pivotArea>
    </format>
    <format dxfId="493">
      <pivotArea dataOnly="0" labelOnly="1" fieldPosition="0">
        <references count="1">
          <reference field="0" count="1">
            <x v="47"/>
          </reference>
        </references>
      </pivotArea>
    </format>
    <format dxfId="494">
      <pivotArea dataOnly="0" labelOnly="1" fieldPosition="0">
        <references count="1">
          <reference field="0" count="1">
            <x v="48"/>
          </reference>
        </references>
      </pivotArea>
    </format>
    <format dxfId="495">
      <pivotArea dataOnly="0" labelOnly="1" fieldPosition="0">
        <references count="1">
          <reference field="0" count="1">
            <x v="49"/>
          </reference>
        </references>
      </pivotArea>
    </format>
    <format dxfId="496">
      <pivotArea dataOnly="0" labelOnly="1" fieldPosition="0">
        <references count="1">
          <reference field="0" count="1">
            <x v="50"/>
          </reference>
        </references>
      </pivotArea>
    </format>
    <format dxfId="497">
      <pivotArea dataOnly="0" labelOnly="1" fieldPosition="0">
        <references count="1">
          <reference field="0" count="1">
            <x v="51"/>
          </reference>
        </references>
      </pivotArea>
    </format>
    <format dxfId="498">
      <pivotArea dataOnly="0" labelOnly="1" fieldPosition="0">
        <references count="1">
          <reference field="0" count="1">
            <x v="52"/>
          </reference>
        </references>
      </pivotArea>
    </format>
    <format dxfId="499">
      <pivotArea dataOnly="0" labelOnly="1" fieldPosition="0">
        <references count="1">
          <reference field="0" count="1">
            <x v="53"/>
          </reference>
        </references>
      </pivotArea>
    </format>
    <format dxfId="500">
      <pivotArea dataOnly="0" labelOnly="1" fieldPosition="0">
        <references count="1">
          <reference field="0" count="1">
            <x v="54"/>
          </reference>
        </references>
      </pivotArea>
    </format>
    <format dxfId="501">
      <pivotArea dataOnly="0" labelOnly="1" fieldPosition="0">
        <references count="1">
          <reference field="0" count="1">
            <x v="55"/>
          </reference>
        </references>
      </pivotArea>
    </format>
    <format dxfId="502">
      <pivotArea dataOnly="0" labelOnly="1" fieldPosition="0">
        <references count="1">
          <reference field="0" count="1">
            <x v="56"/>
          </reference>
        </references>
      </pivotArea>
    </format>
    <format dxfId="503">
      <pivotArea dataOnly="0" labelOnly="1" fieldPosition="0">
        <references count="1">
          <reference field="0" count="1">
            <x v="57"/>
          </reference>
        </references>
      </pivotArea>
    </format>
    <format dxfId="504">
      <pivotArea dataOnly="0" labelOnly="1" fieldPosition="0">
        <references count="1">
          <reference field="0" count="1">
            <x v="58"/>
          </reference>
        </references>
      </pivotArea>
    </format>
    <format dxfId="505">
      <pivotArea dataOnly="0" labelOnly="1" fieldPosition="0">
        <references count="1">
          <reference field="0" count="1">
            <x v="59"/>
          </reference>
        </references>
      </pivotArea>
    </format>
    <format dxfId="506">
      <pivotArea dataOnly="0" labelOnly="1" fieldPosition="0">
        <references count="1">
          <reference field="0" count="1">
            <x v="60"/>
          </reference>
        </references>
      </pivotArea>
    </format>
    <format dxfId="507">
      <pivotArea dataOnly="0" labelOnly="1" fieldPosition="0">
        <references count="1">
          <reference field="0" count="1">
            <x v="61"/>
          </reference>
        </references>
      </pivotArea>
    </format>
    <format dxfId="508">
      <pivotArea dataOnly="0" labelOnly="1" fieldPosition="0">
        <references count="1">
          <reference field="0" count="1">
            <x v="62"/>
          </reference>
        </references>
      </pivotArea>
    </format>
    <format dxfId="509">
      <pivotArea dataOnly="0" labelOnly="1" fieldPosition="0">
        <references count="1">
          <reference field="0" count="1">
            <x v="63"/>
          </reference>
        </references>
      </pivotArea>
    </format>
    <format dxfId="510">
      <pivotArea dataOnly="0" labelOnly="1" fieldPosition="0">
        <references count="1">
          <reference field="0" count="1">
            <x v="64"/>
          </reference>
        </references>
      </pivotArea>
    </format>
    <format dxfId="511">
      <pivotArea dataOnly="0" labelOnly="1" fieldPosition="0">
        <references count="1">
          <reference field="0" count="1">
            <x v="65"/>
          </reference>
        </references>
      </pivotArea>
    </format>
    <format dxfId="512">
      <pivotArea dataOnly="0" labelOnly="1" fieldPosition="0">
        <references count="1">
          <reference field="0" count="1">
            <x v="66"/>
          </reference>
        </references>
      </pivotArea>
    </format>
    <format dxfId="513">
      <pivotArea dataOnly="0" labelOnly="1" fieldPosition="0">
        <references count="1">
          <reference field="0" count="1">
            <x v="67"/>
          </reference>
        </references>
      </pivotArea>
    </format>
    <format dxfId="514">
      <pivotArea dataOnly="0" labelOnly="1" fieldPosition="0">
        <references count="1">
          <reference field="0" count="1">
            <x v="68"/>
          </reference>
        </references>
      </pivotArea>
    </format>
    <format dxfId="515">
      <pivotArea dataOnly="0" labelOnly="1" fieldPosition="0">
        <references count="1">
          <reference field="0" count="1">
            <x v="69"/>
          </reference>
        </references>
      </pivotArea>
    </format>
    <format dxfId="516">
      <pivotArea collapsedLevelsAreSubtotals="1" fieldPosition="0">
        <references count="1">
          <reference field="0" count="1" selected="0">
            <x v="0"/>
          </reference>
        </references>
      </pivotArea>
    </format>
    <format dxfId="517">
      <pivotArea collapsedLevelsAreSubtotals="1" fieldPosition="0">
        <references count="1">
          <reference field="0" count="1" selected="0">
            <x v="1"/>
          </reference>
        </references>
      </pivotArea>
    </format>
    <format dxfId="518">
      <pivotArea collapsedLevelsAreSubtotals="1" fieldPosition="0">
        <references count="1">
          <reference field="0" count="1" selected="0">
            <x v="2"/>
          </reference>
        </references>
      </pivotArea>
    </format>
    <format dxfId="519">
      <pivotArea collapsedLevelsAreSubtotals="1" fieldPosition="0">
        <references count="1">
          <reference field="0" count="1" selected="0">
            <x v="3"/>
          </reference>
        </references>
      </pivotArea>
    </format>
    <format dxfId="520">
      <pivotArea collapsedLevelsAreSubtotals="1" fieldPosition="0">
        <references count="1">
          <reference field="0" count="1" selected="0">
            <x v="4"/>
          </reference>
        </references>
      </pivotArea>
    </format>
    <format dxfId="521">
      <pivotArea collapsedLevelsAreSubtotals="1" fieldPosition="0">
        <references count="1">
          <reference field="0" count="1" selected="0">
            <x v="5"/>
          </reference>
        </references>
      </pivotArea>
    </format>
    <format dxfId="522">
      <pivotArea collapsedLevelsAreSubtotals="1" fieldPosition="0">
        <references count="1">
          <reference field="0" count="1" selected="0">
            <x v="6"/>
          </reference>
        </references>
      </pivotArea>
    </format>
    <format dxfId="523">
      <pivotArea collapsedLevelsAreSubtotals="1" fieldPosition="0">
        <references count="1">
          <reference field="0" count="1" selected="0">
            <x v="7"/>
          </reference>
        </references>
      </pivotArea>
    </format>
    <format dxfId="524">
      <pivotArea collapsedLevelsAreSubtotals="1" fieldPosition="0">
        <references count="1">
          <reference field="0" count="1" selected="0">
            <x v="8"/>
          </reference>
        </references>
      </pivotArea>
    </format>
    <format dxfId="525">
      <pivotArea collapsedLevelsAreSubtotals="1" fieldPosition="0">
        <references count="1">
          <reference field="0" count="1" selected="0">
            <x v="9"/>
          </reference>
        </references>
      </pivotArea>
    </format>
    <format dxfId="526">
      <pivotArea collapsedLevelsAreSubtotals="1" fieldPosition="0">
        <references count="1">
          <reference field="0" count="1" selected="0">
            <x v="10"/>
          </reference>
        </references>
      </pivotArea>
    </format>
    <format dxfId="527">
      <pivotArea collapsedLevelsAreSubtotals="1" fieldPosition="0">
        <references count="1">
          <reference field="0" count="1" selected="0">
            <x v="11"/>
          </reference>
        </references>
      </pivotArea>
    </format>
    <format dxfId="528">
      <pivotArea collapsedLevelsAreSubtotals="1" fieldPosition="0">
        <references count="1">
          <reference field="0" count="1" selected="0">
            <x v="12"/>
          </reference>
        </references>
      </pivotArea>
    </format>
    <format dxfId="529">
      <pivotArea collapsedLevelsAreSubtotals="1" fieldPosition="0">
        <references count="1">
          <reference field="0" count="1" selected="0">
            <x v="13"/>
          </reference>
        </references>
      </pivotArea>
    </format>
    <format dxfId="530">
      <pivotArea collapsedLevelsAreSubtotals="1" fieldPosition="0">
        <references count="1">
          <reference field="0" count="1" selected="0">
            <x v="14"/>
          </reference>
        </references>
      </pivotArea>
    </format>
    <format dxfId="531">
      <pivotArea collapsedLevelsAreSubtotals="1" fieldPosition="0">
        <references count="1">
          <reference field="0" count="1" selected="0">
            <x v="15"/>
          </reference>
        </references>
      </pivotArea>
    </format>
    <format dxfId="532">
      <pivotArea collapsedLevelsAreSubtotals="1" fieldPosition="0">
        <references count="1">
          <reference field="0" count="1" selected="0">
            <x v="16"/>
          </reference>
        </references>
      </pivotArea>
    </format>
    <format dxfId="533">
      <pivotArea collapsedLevelsAreSubtotals="1" fieldPosition="0">
        <references count="1">
          <reference field="0" count="1" selected="0">
            <x v="17"/>
          </reference>
        </references>
      </pivotArea>
    </format>
    <format dxfId="534">
      <pivotArea collapsedLevelsAreSubtotals="1" fieldPosition="0">
        <references count="1">
          <reference field="0" count="1" selected="0">
            <x v="18"/>
          </reference>
        </references>
      </pivotArea>
    </format>
    <format dxfId="535">
      <pivotArea collapsedLevelsAreSubtotals="1" fieldPosition="0">
        <references count="1">
          <reference field="0" count="1" selected="0">
            <x v="19"/>
          </reference>
        </references>
      </pivotArea>
    </format>
    <format dxfId="536">
      <pivotArea collapsedLevelsAreSubtotals="1" fieldPosition="0">
        <references count="1">
          <reference field="0" count="1" selected="0">
            <x v="20"/>
          </reference>
        </references>
      </pivotArea>
    </format>
    <format dxfId="537">
      <pivotArea collapsedLevelsAreSubtotals="1" fieldPosition="0">
        <references count="1">
          <reference field="0" count="1" selected="0">
            <x v="21"/>
          </reference>
        </references>
      </pivotArea>
    </format>
    <format dxfId="538">
      <pivotArea collapsedLevelsAreSubtotals="1" fieldPosition="0">
        <references count="1">
          <reference field="0" count="1" selected="0">
            <x v="22"/>
          </reference>
        </references>
      </pivotArea>
    </format>
    <format dxfId="539">
      <pivotArea collapsedLevelsAreSubtotals="1" fieldPosition="0">
        <references count="1">
          <reference field="0" count="1" selected="0">
            <x v="23"/>
          </reference>
        </references>
      </pivotArea>
    </format>
    <format dxfId="540">
      <pivotArea collapsedLevelsAreSubtotals="1" fieldPosition="0">
        <references count="1">
          <reference field="0" count="1" selected="0">
            <x v="24"/>
          </reference>
        </references>
      </pivotArea>
    </format>
    <format dxfId="541">
      <pivotArea collapsedLevelsAreSubtotals="1" fieldPosition="0">
        <references count="1">
          <reference field="0" count="1" selected="0">
            <x v="25"/>
          </reference>
        </references>
      </pivotArea>
    </format>
    <format dxfId="542">
      <pivotArea collapsedLevelsAreSubtotals="1" fieldPosition="0">
        <references count="1">
          <reference field="0" count="1" selected="0">
            <x v="26"/>
          </reference>
        </references>
      </pivotArea>
    </format>
    <format dxfId="543">
      <pivotArea collapsedLevelsAreSubtotals="1" fieldPosition="0">
        <references count="1">
          <reference field="0" count="1" selected="0">
            <x v="27"/>
          </reference>
        </references>
      </pivotArea>
    </format>
    <format dxfId="544">
      <pivotArea collapsedLevelsAreSubtotals="1" fieldPosition="0">
        <references count="1">
          <reference field="0" count="1" selected="0">
            <x v="28"/>
          </reference>
        </references>
      </pivotArea>
    </format>
    <format dxfId="545">
      <pivotArea collapsedLevelsAreSubtotals="1" fieldPosition="0">
        <references count="1">
          <reference field="0" count="1" selected="0">
            <x v="29"/>
          </reference>
        </references>
      </pivotArea>
    </format>
    <format dxfId="546">
      <pivotArea collapsedLevelsAreSubtotals="1" fieldPosition="0">
        <references count="1">
          <reference field="0" count="1" selected="0">
            <x v="30"/>
          </reference>
        </references>
      </pivotArea>
    </format>
    <format dxfId="547">
      <pivotArea collapsedLevelsAreSubtotals="1" fieldPosition="0">
        <references count="1">
          <reference field="0" count="1" selected="0">
            <x v="31"/>
          </reference>
        </references>
      </pivotArea>
    </format>
    <format dxfId="548">
      <pivotArea collapsedLevelsAreSubtotals="1" fieldPosition="0">
        <references count="1">
          <reference field="0" count="1" selected="0">
            <x v="32"/>
          </reference>
        </references>
      </pivotArea>
    </format>
    <format dxfId="549">
      <pivotArea collapsedLevelsAreSubtotals="1" fieldPosition="0">
        <references count="1">
          <reference field="0" count="1" selected="0">
            <x v="33"/>
          </reference>
        </references>
      </pivotArea>
    </format>
    <format dxfId="550">
      <pivotArea collapsedLevelsAreSubtotals="1" fieldPosition="0">
        <references count="1">
          <reference field="0" count="1" selected="0">
            <x v="34"/>
          </reference>
        </references>
      </pivotArea>
    </format>
    <format dxfId="551">
      <pivotArea collapsedLevelsAreSubtotals="1" fieldPosition="0">
        <references count="1">
          <reference field="0" count="1" selected="0">
            <x v="35"/>
          </reference>
        </references>
      </pivotArea>
    </format>
    <format dxfId="552">
      <pivotArea collapsedLevelsAreSubtotals="1" fieldPosition="0">
        <references count="1">
          <reference field="0" count="1" selected="0">
            <x v="36"/>
          </reference>
        </references>
      </pivotArea>
    </format>
    <format dxfId="553">
      <pivotArea collapsedLevelsAreSubtotals="1" fieldPosition="0">
        <references count="1">
          <reference field="0" count="1" selected="0">
            <x v="37"/>
          </reference>
        </references>
      </pivotArea>
    </format>
    <format dxfId="554">
      <pivotArea collapsedLevelsAreSubtotals="1" fieldPosition="0">
        <references count="1">
          <reference field="0" count="1" selected="0">
            <x v="38"/>
          </reference>
        </references>
      </pivotArea>
    </format>
    <format dxfId="555">
      <pivotArea collapsedLevelsAreSubtotals="1" fieldPosition="0">
        <references count="1">
          <reference field="0" count="1" selected="0">
            <x v="39"/>
          </reference>
        </references>
      </pivotArea>
    </format>
    <format dxfId="556">
      <pivotArea collapsedLevelsAreSubtotals="1" fieldPosition="0">
        <references count="1">
          <reference field="0" count="1" selected="0">
            <x v="40"/>
          </reference>
        </references>
      </pivotArea>
    </format>
    <format dxfId="557">
      <pivotArea collapsedLevelsAreSubtotals="1" fieldPosition="0">
        <references count="1">
          <reference field="0" count="1" selected="0">
            <x v="41"/>
          </reference>
        </references>
      </pivotArea>
    </format>
    <format dxfId="558">
      <pivotArea collapsedLevelsAreSubtotals="1" fieldPosition="0">
        <references count="1">
          <reference field="0" count="1" selected="0">
            <x v="42"/>
          </reference>
        </references>
      </pivotArea>
    </format>
    <format dxfId="559">
      <pivotArea collapsedLevelsAreSubtotals="1" fieldPosition="0">
        <references count="1">
          <reference field="0" count="1" selected="0">
            <x v="43"/>
          </reference>
        </references>
      </pivotArea>
    </format>
    <format dxfId="560">
      <pivotArea collapsedLevelsAreSubtotals="1" fieldPosition="0">
        <references count="1">
          <reference field="0" count="1" selected="0">
            <x v="44"/>
          </reference>
        </references>
      </pivotArea>
    </format>
    <format dxfId="561">
      <pivotArea collapsedLevelsAreSubtotals="1" fieldPosition="0">
        <references count="1">
          <reference field="0" count="1" selected="0">
            <x v="45"/>
          </reference>
        </references>
      </pivotArea>
    </format>
    <format dxfId="562">
      <pivotArea collapsedLevelsAreSubtotals="1" fieldPosition="0">
        <references count="1">
          <reference field="0" count="1" selected="0">
            <x v="46"/>
          </reference>
        </references>
      </pivotArea>
    </format>
    <format dxfId="563">
      <pivotArea collapsedLevelsAreSubtotals="1" fieldPosition="0">
        <references count="1">
          <reference field="0" count="1" selected="0">
            <x v="47"/>
          </reference>
        </references>
      </pivotArea>
    </format>
    <format dxfId="564">
      <pivotArea collapsedLevelsAreSubtotals="1" fieldPosition="0">
        <references count="1">
          <reference field="0" count="1" selected="0">
            <x v="48"/>
          </reference>
        </references>
      </pivotArea>
    </format>
    <format dxfId="565">
      <pivotArea collapsedLevelsAreSubtotals="1" fieldPosition="0">
        <references count="1">
          <reference field="0" count="1" selected="0">
            <x v="49"/>
          </reference>
        </references>
      </pivotArea>
    </format>
    <format dxfId="566">
      <pivotArea collapsedLevelsAreSubtotals="1" fieldPosition="0">
        <references count="1">
          <reference field="0" count="1" selected="0">
            <x v="50"/>
          </reference>
        </references>
      </pivotArea>
    </format>
    <format dxfId="567">
      <pivotArea collapsedLevelsAreSubtotals="1" fieldPosition="0">
        <references count="1">
          <reference field="0" count="1" selected="0">
            <x v="51"/>
          </reference>
        </references>
      </pivotArea>
    </format>
    <format dxfId="568">
      <pivotArea collapsedLevelsAreSubtotals="1" fieldPosition="0">
        <references count="1">
          <reference field="0" count="1" selected="0">
            <x v="52"/>
          </reference>
        </references>
      </pivotArea>
    </format>
    <format dxfId="569">
      <pivotArea collapsedLevelsAreSubtotals="1" fieldPosition="0">
        <references count="1">
          <reference field="0" count="1" selected="0">
            <x v="53"/>
          </reference>
        </references>
      </pivotArea>
    </format>
    <format dxfId="570">
      <pivotArea collapsedLevelsAreSubtotals="1" fieldPosition="0">
        <references count="1">
          <reference field="0" count="1" selected="0">
            <x v="54"/>
          </reference>
        </references>
      </pivotArea>
    </format>
    <format dxfId="571">
      <pivotArea collapsedLevelsAreSubtotals="1" fieldPosition="0">
        <references count="1">
          <reference field="0" count="1" selected="0">
            <x v="55"/>
          </reference>
        </references>
      </pivotArea>
    </format>
    <format dxfId="572">
      <pivotArea collapsedLevelsAreSubtotals="1" fieldPosition="0">
        <references count="1">
          <reference field="0" count="1" selected="0">
            <x v="56"/>
          </reference>
        </references>
      </pivotArea>
    </format>
    <format dxfId="573">
      <pivotArea collapsedLevelsAreSubtotals="1" fieldPosition="0">
        <references count="1">
          <reference field="0" count="1" selected="0">
            <x v="57"/>
          </reference>
        </references>
      </pivotArea>
    </format>
    <format dxfId="574">
      <pivotArea collapsedLevelsAreSubtotals="1" fieldPosition="0">
        <references count="1">
          <reference field="0" count="1" selected="0">
            <x v="58"/>
          </reference>
        </references>
      </pivotArea>
    </format>
    <format dxfId="575">
      <pivotArea collapsedLevelsAreSubtotals="1" fieldPosition="0">
        <references count="1">
          <reference field="0" count="1" selected="0">
            <x v="59"/>
          </reference>
        </references>
      </pivotArea>
    </format>
    <format dxfId="576">
      <pivotArea collapsedLevelsAreSubtotals="1" fieldPosition="0">
        <references count="1">
          <reference field="0" count="1" selected="0">
            <x v="60"/>
          </reference>
        </references>
      </pivotArea>
    </format>
    <format dxfId="577">
      <pivotArea collapsedLevelsAreSubtotals="1" fieldPosition="0">
        <references count="1">
          <reference field="0" count="1" selected="0">
            <x v="61"/>
          </reference>
        </references>
      </pivotArea>
    </format>
    <format dxfId="578">
      <pivotArea collapsedLevelsAreSubtotals="1" fieldPosition="0">
        <references count="1">
          <reference field="0" count="1" selected="0">
            <x v="62"/>
          </reference>
        </references>
      </pivotArea>
    </format>
    <format dxfId="579">
      <pivotArea collapsedLevelsAreSubtotals="1" fieldPosition="0">
        <references count="1">
          <reference field="0" count="1" selected="0">
            <x v="63"/>
          </reference>
        </references>
      </pivotArea>
    </format>
    <format dxfId="580">
      <pivotArea collapsedLevelsAreSubtotals="1" fieldPosition="0">
        <references count="1">
          <reference field="0" count="1" selected="0">
            <x v="64"/>
          </reference>
        </references>
      </pivotArea>
    </format>
    <format dxfId="581">
      <pivotArea collapsedLevelsAreSubtotals="1" fieldPosition="0">
        <references count="1">
          <reference field="0" count="1" selected="0">
            <x v="65"/>
          </reference>
        </references>
      </pivotArea>
    </format>
    <format dxfId="582">
      <pivotArea collapsedLevelsAreSubtotals="1" fieldPosition="0">
        <references count="1">
          <reference field="0" count="1" selected="0">
            <x v="66"/>
          </reference>
        </references>
      </pivotArea>
    </format>
    <format dxfId="583">
      <pivotArea collapsedLevelsAreSubtotals="1" fieldPosition="0">
        <references count="1">
          <reference field="0" count="1" selected="0">
            <x v="67"/>
          </reference>
        </references>
      </pivotArea>
    </format>
    <format dxfId="584">
      <pivotArea collapsedLevelsAreSubtotals="1" fieldPosition="0">
        <references count="1">
          <reference field="0" count="1" selected="0">
            <x v="68"/>
          </reference>
        </references>
      </pivotArea>
    </format>
    <format dxfId="585">
      <pivotArea collapsedLevelsAreSubtotals="1" fieldPosition="0">
        <references count="1">
          <reference field="0" count="1" selected="0">
            <x v="69"/>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数据透视表8" cacheId="7"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86:AA166" firstHeaderRow="0" firstDataRow="1" firstDataCol="1"/>
  <pivotFields count="26">
    <pivotField axis="axisRow" compact="0" defaultSubtotal="0" outline="0" showAll="0">
      <items count="79">
        <item x="46"/>
        <item x="49"/>
        <item x="13"/>
        <item x="48"/>
        <item x="16"/>
        <item x="67"/>
        <item x="51"/>
        <item x="12"/>
        <item x="6"/>
        <item x="11"/>
        <item x="50"/>
        <item x="52"/>
        <item x="5"/>
        <item x="68"/>
        <item x="10"/>
        <item x="53"/>
        <item x="8"/>
        <item x="54"/>
        <item x="55"/>
        <item x="56"/>
        <item x="57"/>
        <item x="58"/>
        <item x="59"/>
        <item x="18"/>
        <item x="41"/>
        <item x="39"/>
        <item x="40"/>
        <item x="17"/>
        <item x="38"/>
        <item x="31"/>
        <item x="32"/>
        <item x="33"/>
        <item x="35"/>
        <item x="36"/>
        <item x="37"/>
        <item x="34"/>
        <item x="29"/>
        <item x="26"/>
        <item x="28"/>
        <item x="27"/>
        <item x="30"/>
        <item x="19"/>
        <item x="20"/>
        <item x="21"/>
        <item x="24"/>
        <item x="22"/>
        <item x="25"/>
        <item x="23"/>
        <item x="43"/>
        <item x="44"/>
        <item x="47"/>
        <item x="42"/>
        <item x="45"/>
        <item x="15"/>
        <item x="4"/>
        <item x="14"/>
        <item x="2"/>
        <item x="3"/>
        <item x="1"/>
        <item x="9"/>
        <item x="7"/>
        <item x="0"/>
        <item x="61"/>
        <item x="64"/>
        <item x="63"/>
        <item x="62"/>
        <item x="60"/>
        <item x="66"/>
        <item x="65"/>
        <item x="78"/>
        <item x="69"/>
        <item x="70"/>
        <item x="71"/>
        <item x="72"/>
        <item x="73"/>
        <item x="74"/>
        <item x="75"/>
        <item x="76"/>
        <item x="77"/>
      </items>
      <extLst>
        <ext xmlns:x14="http://schemas.microsoft.com/office/spreadsheetml/2009/9/main" uri="{2946ED86-A175-432a-8AC1-64E0C546D7DE}">
          <x14:pivotField fillDownLabels="1"/>
        </ext>
      </extLst>
    </pivotField>
    <pivotField compact="0" showAll="0">
      <items count="80">
        <item x="46"/>
        <item x="8"/>
        <item x="48"/>
        <item x="68"/>
        <item x="5"/>
        <item x="49"/>
        <item x="6"/>
        <item x="52"/>
        <item x="50"/>
        <item x="51"/>
        <item x="67"/>
        <item x="59"/>
        <item x="57"/>
        <item x="54"/>
        <item x="56"/>
        <item x="55"/>
        <item x="58"/>
        <item x="18"/>
        <item x="41"/>
        <item x="17"/>
        <item x="40"/>
        <item x="39"/>
        <item x="32"/>
        <item x="33"/>
        <item x="31"/>
        <item x="38"/>
        <item x="37"/>
        <item x="34"/>
        <item x="36"/>
        <item x="35"/>
        <item x="27"/>
        <item x="29"/>
        <item x="26"/>
        <item x="28"/>
        <item x="30"/>
        <item x="25"/>
        <item x="24"/>
        <item x="20"/>
        <item x="21"/>
        <item x="19"/>
        <item x="22"/>
        <item x="42"/>
        <item x="45"/>
        <item x="43"/>
        <item x="44"/>
        <item x="47"/>
        <item x="15"/>
        <item x="4"/>
        <item x="14"/>
        <item x="2"/>
        <item x="1"/>
        <item x="3"/>
        <item x="7"/>
        <item x="0"/>
        <item x="13"/>
        <item x="10"/>
        <item x="11"/>
        <item x="9"/>
        <item x="16"/>
        <item x="12"/>
        <item x="53"/>
        <item x="61"/>
        <item x="62"/>
        <item x="60"/>
        <item x="66"/>
        <item x="65"/>
        <item x="64"/>
        <item x="63"/>
        <item x="23"/>
        <item x="78"/>
        <item x="69"/>
        <item x="70"/>
        <item x="71"/>
        <item x="72"/>
        <item x="73"/>
        <item x="74"/>
        <item x="75"/>
        <item x="76"/>
        <item x="77"/>
        <item t="default"/>
      </items>
    </pivotField>
    <pivotField dataField="1" compact="0" showAll="0">
      <items count="58">
        <item x="0"/>
        <item x="1"/>
        <item x="56"/>
        <item x="8"/>
        <item x="44"/>
        <item x="25"/>
        <item x="51"/>
        <item x="53"/>
        <item x="28"/>
        <item x="27"/>
        <item x="3"/>
        <item x="20"/>
        <item x="21"/>
        <item x="7"/>
        <item x="29"/>
        <item x="52"/>
        <item x="5"/>
        <item x="30"/>
        <item x="23"/>
        <item x="50"/>
        <item x="49"/>
        <item x="32"/>
        <item x="22"/>
        <item x="2"/>
        <item x="4"/>
        <item x="6"/>
        <item x="9"/>
        <item x="10"/>
        <item x="11"/>
        <item x="12"/>
        <item x="13"/>
        <item x="14"/>
        <item x="15"/>
        <item x="16"/>
        <item x="17"/>
        <item x="18"/>
        <item x="19"/>
        <item x="24"/>
        <item x="26"/>
        <item x="31"/>
        <item x="33"/>
        <item x="34"/>
        <item x="35"/>
        <item x="36"/>
        <item x="37"/>
        <item x="38"/>
        <item x="39"/>
        <item x="40"/>
        <item x="41"/>
        <item x="42"/>
        <item x="43"/>
        <item x="45"/>
        <item x="46"/>
        <item x="47"/>
        <item x="48"/>
        <item x="54"/>
        <item x="55"/>
        <item t="default"/>
      </items>
    </pivotField>
    <pivotField compact="0" showAll="0">
      <items count="43">
        <item x="0"/>
        <item x="41"/>
        <item x="12"/>
        <item x="15"/>
        <item x="31"/>
        <item x="17"/>
        <item x="19"/>
        <item x="4"/>
        <item x="1"/>
        <item x="9"/>
        <item x="11"/>
        <item x="21"/>
        <item x="18"/>
        <item x="13"/>
        <item x="14"/>
        <item x="35"/>
        <item x="7"/>
        <item x="34"/>
        <item x="2"/>
        <item x="3"/>
        <item x="5"/>
        <item x="6"/>
        <item x="8"/>
        <item x="10"/>
        <item x="16"/>
        <item x="20"/>
        <item x="22"/>
        <item x="23"/>
        <item x="24"/>
        <item x="25"/>
        <item x="26"/>
        <item x="27"/>
        <item x="28"/>
        <item x="29"/>
        <item x="30"/>
        <item x="32"/>
        <item x="33"/>
        <item x="36"/>
        <item x="37"/>
        <item x="38"/>
        <item x="39"/>
        <item x="40"/>
        <item t="default"/>
      </items>
    </pivotField>
    <pivotField dataField="1" compact="0" showAll="0">
      <items count="7">
        <item x="0"/>
        <item x="1"/>
        <item x="5"/>
        <item x="2"/>
        <item x="3"/>
        <item x="4"/>
        <item t="default"/>
      </items>
    </pivotField>
    <pivotField compact="0" showAll="0">
      <items count="23">
        <item x="1"/>
        <item x="0"/>
        <item x="2"/>
        <item x="3"/>
        <item x="4"/>
        <item x="5"/>
        <item x="6"/>
        <item x="7"/>
        <item x="8"/>
        <item x="9"/>
        <item x="10"/>
        <item x="11"/>
        <item x="12"/>
        <item x="13"/>
        <item x="14"/>
        <item x="15"/>
        <item x="16"/>
        <item x="17"/>
        <item x="18"/>
        <item x="19"/>
        <item x="20"/>
        <item x="21"/>
        <item t="default"/>
      </items>
    </pivotField>
    <pivotField compact="0" showAll="0">
      <items count="49">
        <item x="0"/>
        <item x="14"/>
        <item x="47"/>
        <item x="16"/>
        <item x="13"/>
        <item x="12"/>
        <item x="15"/>
        <item x="45"/>
        <item x="22"/>
        <item x="17"/>
        <item x="21"/>
        <item x="28"/>
        <item x="30"/>
        <item x="27"/>
        <item x="7"/>
        <item x="40"/>
        <item x="11"/>
        <item x="24"/>
        <item x="23"/>
        <item x="10"/>
        <item x="32"/>
        <item x="1"/>
        <item x="2"/>
        <item x="3"/>
        <item x="4"/>
        <item x="5"/>
        <item x="6"/>
        <item x="8"/>
        <item x="9"/>
        <item x="18"/>
        <item x="19"/>
        <item x="20"/>
        <item x="25"/>
        <item x="26"/>
        <item x="29"/>
        <item x="31"/>
        <item x="33"/>
        <item x="34"/>
        <item x="35"/>
        <item x="36"/>
        <item x="37"/>
        <item x="38"/>
        <item x="39"/>
        <item x="41"/>
        <item x="42"/>
        <item x="43"/>
        <item x="44"/>
        <item x="46"/>
        <item t="default"/>
      </items>
    </pivotField>
    <pivotField dataField="1" compact="0" showAll="0">
      <items count="66">
        <item x="0"/>
        <item x="64"/>
        <item x="61"/>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2"/>
        <item x="63"/>
        <item t="default"/>
      </items>
    </pivotField>
    <pivotField compact="0" showAll="0">
      <items count="22">
        <item x="0"/>
        <item x="1"/>
        <item x="2"/>
        <item x="3"/>
        <item x="4"/>
        <item x="5"/>
        <item x="6"/>
        <item x="7"/>
        <item x="8"/>
        <item x="9"/>
        <item x="10"/>
        <item x="11"/>
        <item x="12"/>
        <item x="13"/>
        <item x="14"/>
        <item x="15"/>
        <item x="16"/>
        <item x="17"/>
        <item x="18"/>
        <item x="19"/>
        <item x="20"/>
        <item t="default"/>
      </items>
    </pivotField>
    <pivotField compact="0" showAll="0">
      <items count="63">
        <item x="0"/>
        <item x="21"/>
        <item x="59"/>
        <item x="1"/>
        <item x="2"/>
        <item x="3"/>
        <item x="4"/>
        <item x="5"/>
        <item x="6"/>
        <item x="7"/>
        <item x="8"/>
        <item x="9"/>
        <item x="10"/>
        <item x="11"/>
        <item x="12"/>
        <item x="13"/>
        <item x="14"/>
        <item x="15"/>
        <item x="16"/>
        <item x="17"/>
        <item x="18"/>
        <item x="19"/>
        <item x="20"/>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60"/>
        <item x="61"/>
        <item t="default"/>
      </items>
    </pivotField>
    <pivotField dataField="1" compact="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compact="0" showAll="0">
      <items count="32">
        <item x="12"/>
        <item x="0"/>
        <item x="1"/>
        <item x="2"/>
        <item x="3"/>
        <item x="4"/>
        <item x="5"/>
        <item x="6"/>
        <item x="7"/>
        <item x="8"/>
        <item x="9"/>
        <item x="10"/>
        <item x="11"/>
        <item x="13"/>
        <item x="14"/>
        <item x="15"/>
        <item x="16"/>
        <item x="17"/>
        <item x="18"/>
        <item x="19"/>
        <item x="20"/>
        <item x="21"/>
        <item x="22"/>
        <item x="23"/>
        <item x="24"/>
        <item x="25"/>
        <item x="26"/>
        <item x="27"/>
        <item x="28"/>
        <item x="29"/>
        <item x="30"/>
        <item t="default"/>
      </items>
    </pivotField>
    <pivotField dataField="1" compact="0" showAll="0">
      <items count="12">
        <item x="0"/>
        <item x="8"/>
        <item x="10"/>
        <item x="4"/>
        <item x="1"/>
        <item x="5"/>
        <item x="3"/>
        <item x="2"/>
        <item x="9"/>
        <item x="6"/>
        <item x="7"/>
        <item t="default"/>
      </items>
    </pivotField>
    <pivotField compact="0" showAll="0">
      <items count="13">
        <item x="0"/>
        <item x="8"/>
        <item x="4"/>
        <item x="11"/>
        <item x="1"/>
        <item x="5"/>
        <item x="2"/>
        <item x="3"/>
        <item x="6"/>
        <item x="7"/>
        <item x="9"/>
        <item x="10"/>
        <item t="default"/>
      </items>
    </pivotField>
    <pivotField dataField="1" compact="0" showAll="0">
      <items count="30">
        <item x="0"/>
        <item x="28"/>
        <item x="16"/>
        <item x="1"/>
        <item x="9"/>
        <item x="26"/>
        <item x="27"/>
        <item x="2"/>
        <item x="3"/>
        <item x="4"/>
        <item x="5"/>
        <item x="6"/>
        <item x="7"/>
        <item x="8"/>
        <item x="10"/>
        <item x="11"/>
        <item x="12"/>
        <item x="13"/>
        <item x="14"/>
        <item x="15"/>
        <item x="17"/>
        <item x="18"/>
        <item x="19"/>
        <item x="20"/>
        <item x="21"/>
        <item x="22"/>
        <item x="23"/>
        <item x="24"/>
        <item x="25"/>
        <item t="default"/>
      </items>
    </pivotField>
    <pivotField compact="0" showAll="0">
      <items count="13">
        <item x="0"/>
        <item x="3"/>
        <item x="4"/>
        <item x="11"/>
        <item x="1"/>
        <item x="2"/>
        <item x="9"/>
        <item x="7"/>
        <item x="8"/>
        <item x="6"/>
        <item x="10"/>
        <item x="5"/>
        <item t="default"/>
      </items>
    </pivotField>
    <pivotField compact="0" showAll="0">
      <items count="30">
        <item x="0"/>
        <item x="28"/>
        <item x="4"/>
        <item x="1"/>
        <item x="9"/>
        <item x="26"/>
        <item x="27"/>
        <item x="2"/>
        <item x="3"/>
        <item x="5"/>
        <item x="6"/>
        <item x="7"/>
        <item x="8"/>
        <item x="10"/>
        <item x="11"/>
        <item x="12"/>
        <item x="13"/>
        <item x="14"/>
        <item x="15"/>
        <item x="16"/>
        <item x="17"/>
        <item x="18"/>
        <item x="19"/>
        <item x="20"/>
        <item x="21"/>
        <item x="22"/>
        <item x="23"/>
        <item x="24"/>
        <item x="25"/>
        <item t="default"/>
      </items>
    </pivotField>
    <pivotField compact="0" showAll="0">
      <items count="12">
        <item x="0"/>
        <item x="3"/>
        <item x="4"/>
        <item x="10"/>
        <item x="1"/>
        <item x="5"/>
        <item x="7"/>
        <item x="9"/>
        <item x="8"/>
        <item x="2"/>
        <item x="6"/>
        <item t="default"/>
      </items>
    </pivotField>
    <pivotField compact="0" showAll="0">
      <items count="4">
        <item x="0"/>
        <item x="1"/>
        <item x="2"/>
        <item t="default"/>
      </items>
    </pivotField>
    <pivotField compact="0" showAll="0">
      <items count="5">
        <item x="1"/>
        <item x="0"/>
        <item x="2"/>
        <item x="3"/>
        <item t="default"/>
      </items>
    </pivotField>
    <pivotField compact="0" showAll="0">
      <items count="5">
        <item x="0"/>
        <item x="3"/>
        <item x="2"/>
        <item x="1"/>
        <item t="default"/>
      </items>
    </pivotField>
    <pivotField compact="0" showAll="0">
      <items count="5">
        <item x="0"/>
        <item x="3"/>
        <item x="2"/>
        <item x="1"/>
        <item t="default"/>
      </items>
    </pivotField>
    <pivotField compact="0" showAll="0">
      <items count="5">
        <item x="0"/>
        <item x="3"/>
        <item x="2"/>
        <item x="1"/>
        <item t="default"/>
      </items>
    </pivotField>
    <pivotField compact="0" showAll="0">
      <items count="5">
        <item x="0"/>
        <item x="3"/>
        <item x="2"/>
        <item x="1"/>
        <item t="default"/>
      </items>
    </pivotField>
    <pivotField compact="0" showAll="0">
      <items count="5">
        <item x="0"/>
        <item x="3"/>
        <item x="2"/>
        <item x="1"/>
        <item t="default"/>
      </items>
    </pivotField>
    <pivotField compact="0" showAll="0">
      <items count="5">
        <item x="0"/>
        <item x="3"/>
        <item x="2"/>
        <item x="1"/>
        <item t="default"/>
      </items>
    </pivotField>
  </pivotFields>
  <rowFields count="1">
    <field x="0"/>
  </rowFields>
  <rowItems count="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t="grand">
      <x/>
    </i>
  </rowItems>
  <colFields count="1">
    <field x="-2"/>
  </colFields>
  <colItems count="7">
    <i>
      <x/>
    </i>
    <i i="1">
      <x v="1"/>
    </i>
    <i i="2">
      <x v="2"/>
    </i>
    <i i="3">
      <x v="3"/>
    </i>
    <i i="4">
      <x v="4"/>
    </i>
    <i i="5">
      <x v="5"/>
    </i>
    <i i="6">
      <x v="6"/>
    </i>
  </colItems>
  <dataFields count="7">
    <dataField name="求和项:展示量" fld="2" baseField="0" baseItem="0"/>
    <dataField name="求和项:点击量" fld="4" baseField="0" baseItem="0"/>
    <dataField name="求和项:花费" fld="7" baseField="0" baseItem="0"/>
    <dataField name="求和项:14天总销售额" fld="14" baseField="0" baseItem="0"/>
    <dataField name="求和项:14天总订单数(#)" fld="12" baseField="0" baseItem="0"/>
    <dataField name="求和项:广告成本销售比(ACOS)" fld="10" baseField="0" baseItem="0"/>
    <dataField name="求和项:投入产出比(ROAS)" fld="11" baseField="0" baseItem="0"/>
  </dataFields>
  <formats count="140">
    <format dxfId="586">
      <pivotArea dataOnly="0" labelOnly="1" fieldPosition="0">
        <references count="1">
          <reference field="0" count="1">
            <x v="0"/>
          </reference>
        </references>
      </pivotArea>
    </format>
    <format dxfId="587">
      <pivotArea dataOnly="0" labelOnly="1" fieldPosition="0">
        <references count="1">
          <reference field="0" count="1">
            <x v="1"/>
          </reference>
        </references>
      </pivotArea>
    </format>
    <format dxfId="588">
      <pivotArea dataOnly="0" labelOnly="1" fieldPosition="0">
        <references count="1">
          <reference field="0" count="1">
            <x v="2"/>
          </reference>
        </references>
      </pivotArea>
    </format>
    <format dxfId="589">
      <pivotArea dataOnly="0" labelOnly="1" fieldPosition="0">
        <references count="1">
          <reference field="0" count="1">
            <x v="3"/>
          </reference>
        </references>
      </pivotArea>
    </format>
    <format dxfId="590">
      <pivotArea dataOnly="0" labelOnly="1" fieldPosition="0">
        <references count="1">
          <reference field="0" count="1">
            <x v="4"/>
          </reference>
        </references>
      </pivotArea>
    </format>
    <format dxfId="591">
      <pivotArea dataOnly="0" labelOnly="1" fieldPosition="0">
        <references count="1">
          <reference field="0" count="1">
            <x v="5"/>
          </reference>
        </references>
      </pivotArea>
    </format>
    <format dxfId="592">
      <pivotArea dataOnly="0" labelOnly="1" fieldPosition="0">
        <references count="1">
          <reference field="0" count="1">
            <x v="6"/>
          </reference>
        </references>
      </pivotArea>
    </format>
    <format dxfId="593">
      <pivotArea dataOnly="0" labelOnly="1" fieldPosition="0">
        <references count="1">
          <reference field="0" count="1">
            <x v="7"/>
          </reference>
        </references>
      </pivotArea>
    </format>
    <format dxfId="594">
      <pivotArea dataOnly="0" labelOnly="1" fieldPosition="0">
        <references count="1">
          <reference field="0" count="1">
            <x v="8"/>
          </reference>
        </references>
      </pivotArea>
    </format>
    <format dxfId="595">
      <pivotArea dataOnly="0" labelOnly="1" fieldPosition="0">
        <references count="1">
          <reference field="0" count="1">
            <x v="9"/>
          </reference>
        </references>
      </pivotArea>
    </format>
    <format dxfId="596">
      <pivotArea dataOnly="0" labelOnly="1" fieldPosition="0">
        <references count="1">
          <reference field="0" count="1">
            <x v="10"/>
          </reference>
        </references>
      </pivotArea>
    </format>
    <format dxfId="597">
      <pivotArea dataOnly="0" labelOnly="1" fieldPosition="0">
        <references count="1">
          <reference field="0" count="1">
            <x v="11"/>
          </reference>
        </references>
      </pivotArea>
    </format>
    <format dxfId="598">
      <pivotArea dataOnly="0" labelOnly="1" fieldPosition="0">
        <references count="1">
          <reference field="0" count="1">
            <x v="12"/>
          </reference>
        </references>
      </pivotArea>
    </format>
    <format dxfId="599">
      <pivotArea dataOnly="0" labelOnly="1" fieldPosition="0">
        <references count="1">
          <reference field="0" count="1">
            <x v="13"/>
          </reference>
        </references>
      </pivotArea>
    </format>
    <format dxfId="600">
      <pivotArea dataOnly="0" labelOnly="1" fieldPosition="0">
        <references count="1">
          <reference field="0" count="1">
            <x v="14"/>
          </reference>
        </references>
      </pivotArea>
    </format>
    <format dxfId="601">
      <pivotArea dataOnly="0" labelOnly="1" fieldPosition="0">
        <references count="1">
          <reference field="0" count="1">
            <x v="15"/>
          </reference>
        </references>
      </pivotArea>
    </format>
    <format dxfId="602">
      <pivotArea dataOnly="0" labelOnly="1" fieldPosition="0">
        <references count="1">
          <reference field="0" count="1">
            <x v="16"/>
          </reference>
        </references>
      </pivotArea>
    </format>
    <format dxfId="603">
      <pivotArea dataOnly="0" labelOnly="1" fieldPosition="0">
        <references count="1">
          <reference field="0" count="1">
            <x v="17"/>
          </reference>
        </references>
      </pivotArea>
    </format>
    <format dxfId="604">
      <pivotArea dataOnly="0" labelOnly="1" fieldPosition="0">
        <references count="1">
          <reference field="0" count="1">
            <x v="18"/>
          </reference>
        </references>
      </pivotArea>
    </format>
    <format dxfId="605">
      <pivotArea dataOnly="0" labelOnly="1" fieldPosition="0">
        <references count="1">
          <reference field="0" count="1">
            <x v="19"/>
          </reference>
        </references>
      </pivotArea>
    </format>
    <format dxfId="606">
      <pivotArea dataOnly="0" labelOnly="1" fieldPosition="0">
        <references count="1">
          <reference field="0" count="1">
            <x v="20"/>
          </reference>
        </references>
      </pivotArea>
    </format>
    <format dxfId="607">
      <pivotArea dataOnly="0" labelOnly="1" fieldPosition="0">
        <references count="1">
          <reference field="0" count="1">
            <x v="21"/>
          </reference>
        </references>
      </pivotArea>
    </format>
    <format dxfId="608">
      <pivotArea dataOnly="0" labelOnly="1" fieldPosition="0">
        <references count="1">
          <reference field="0" count="1">
            <x v="22"/>
          </reference>
        </references>
      </pivotArea>
    </format>
    <format dxfId="609">
      <pivotArea dataOnly="0" labelOnly="1" fieldPosition="0">
        <references count="1">
          <reference field="0" count="1">
            <x v="23"/>
          </reference>
        </references>
      </pivotArea>
    </format>
    <format dxfId="610">
      <pivotArea dataOnly="0" labelOnly="1" fieldPosition="0">
        <references count="1">
          <reference field="0" count="1">
            <x v="24"/>
          </reference>
        </references>
      </pivotArea>
    </format>
    <format dxfId="611">
      <pivotArea dataOnly="0" labelOnly="1" fieldPosition="0">
        <references count="1">
          <reference field="0" count="1">
            <x v="25"/>
          </reference>
        </references>
      </pivotArea>
    </format>
    <format dxfId="612">
      <pivotArea dataOnly="0" labelOnly="1" fieldPosition="0">
        <references count="1">
          <reference field="0" count="1">
            <x v="26"/>
          </reference>
        </references>
      </pivotArea>
    </format>
    <format dxfId="613">
      <pivotArea dataOnly="0" labelOnly="1" fieldPosition="0">
        <references count="1">
          <reference field="0" count="1">
            <x v="27"/>
          </reference>
        </references>
      </pivotArea>
    </format>
    <format dxfId="614">
      <pivotArea dataOnly="0" labelOnly="1" fieldPosition="0">
        <references count="1">
          <reference field="0" count="1">
            <x v="28"/>
          </reference>
        </references>
      </pivotArea>
    </format>
    <format dxfId="615">
      <pivotArea dataOnly="0" labelOnly="1" fieldPosition="0">
        <references count="1">
          <reference field="0" count="1">
            <x v="29"/>
          </reference>
        </references>
      </pivotArea>
    </format>
    <format dxfId="616">
      <pivotArea dataOnly="0" labelOnly="1" fieldPosition="0">
        <references count="1">
          <reference field="0" count="1">
            <x v="30"/>
          </reference>
        </references>
      </pivotArea>
    </format>
    <format dxfId="617">
      <pivotArea dataOnly="0" labelOnly="1" fieldPosition="0">
        <references count="1">
          <reference field="0" count="1">
            <x v="31"/>
          </reference>
        </references>
      </pivotArea>
    </format>
    <format dxfId="618">
      <pivotArea dataOnly="0" labelOnly="1" fieldPosition="0">
        <references count="1">
          <reference field="0" count="1">
            <x v="32"/>
          </reference>
        </references>
      </pivotArea>
    </format>
    <format dxfId="619">
      <pivotArea dataOnly="0" labelOnly="1" fieldPosition="0">
        <references count="1">
          <reference field="0" count="1">
            <x v="33"/>
          </reference>
        </references>
      </pivotArea>
    </format>
    <format dxfId="620">
      <pivotArea dataOnly="0" labelOnly="1" fieldPosition="0">
        <references count="1">
          <reference field="0" count="1">
            <x v="34"/>
          </reference>
        </references>
      </pivotArea>
    </format>
    <format dxfId="621">
      <pivotArea dataOnly="0" labelOnly="1" fieldPosition="0">
        <references count="1">
          <reference field="0" count="1">
            <x v="35"/>
          </reference>
        </references>
      </pivotArea>
    </format>
    <format dxfId="622">
      <pivotArea dataOnly="0" labelOnly="1" fieldPosition="0">
        <references count="1">
          <reference field="0" count="1">
            <x v="36"/>
          </reference>
        </references>
      </pivotArea>
    </format>
    <format dxfId="623">
      <pivotArea dataOnly="0" labelOnly="1" fieldPosition="0">
        <references count="1">
          <reference field="0" count="1">
            <x v="37"/>
          </reference>
        </references>
      </pivotArea>
    </format>
    <format dxfId="624">
      <pivotArea dataOnly="0" labelOnly="1" fieldPosition="0">
        <references count="1">
          <reference field="0" count="1">
            <x v="38"/>
          </reference>
        </references>
      </pivotArea>
    </format>
    <format dxfId="625">
      <pivotArea dataOnly="0" labelOnly="1" fieldPosition="0">
        <references count="1">
          <reference field="0" count="1">
            <x v="39"/>
          </reference>
        </references>
      </pivotArea>
    </format>
    <format dxfId="626">
      <pivotArea dataOnly="0" labelOnly="1" fieldPosition="0">
        <references count="1">
          <reference field="0" count="1">
            <x v="40"/>
          </reference>
        </references>
      </pivotArea>
    </format>
    <format dxfId="627">
      <pivotArea dataOnly="0" labelOnly="1" fieldPosition="0">
        <references count="1">
          <reference field="0" count="1">
            <x v="41"/>
          </reference>
        </references>
      </pivotArea>
    </format>
    <format dxfId="628">
      <pivotArea dataOnly="0" labelOnly="1" fieldPosition="0">
        <references count="1">
          <reference field="0" count="1">
            <x v="42"/>
          </reference>
        </references>
      </pivotArea>
    </format>
    <format dxfId="629">
      <pivotArea dataOnly="0" labelOnly="1" fieldPosition="0">
        <references count="1">
          <reference field="0" count="1">
            <x v="43"/>
          </reference>
        </references>
      </pivotArea>
    </format>
    <format dxfId="630">
      <pivotArea dataOnly="0" labelOnly="1" fieldPosition="0">
        <references count="1">
          <reference field="0" count="1">
            <x v="44"/>
          </reference>
        </references>
      </pivotArea>
    </format>
    <format dxfId="631">
      <pivotArea dataOnly="0" labelOnly="1" fieldPosition="0">
        <references count="1">
          <reference field="0" count="1">
            <x v="45"/>
          </reference>
        </references>
      </pivotArea>
    </format>
    <format dxfId="632">
      <pivotArea dataOnly="0" labelOnly="1" fieldPosition="0">
        <references count="1">
          <reference field="0" count="1">
            <x v="46"/>
          </reference>
        </references>
      </pivotArea>
    </format>
    <format dxfId="633">
      <pivotArea dataOnly="0" labelOnly="1" fieldPosition="0">
        <references count="1">
          <reference field="0" count="1">
            <x v="47"/>
          </reference>
        </references>
      </pivotArea>
    </format>
    <format dxfId="634">
      <pivotArea dataOnly="0" labelOnly="1" fieldPosition="0">
        <references count="1">
          <reference field="0" count="1">
            <x v="48"/>
          </reference>
        </references>
      </pivotArea>
    </format>
    <format dxfId="635">
      <pivotArea dataOnly="0" labelOnly="1" fieldPosition="0">
        <references count="1">
          <reference field="0" count="1">
            <x v="49"/>
          </reference>
        </references>
      </pivotArea>
    </format>
    <format dxfId="636">
      <pivotArea dataOnly="0" labelOnly="1" fieldPosition="0">
        <references count="1">
          <reference field="0" count="1">
            <x v="50"/>
          </reference>
        </references>
      </pivotArea>
    </format>
    <format dxfId="637">
      <pivotArea dataOnly="0" labelOnly="1" fieldPosition="0">
        <references count="1">
          <reference field="0" count="1">
            <x v="51"/>
          </reference>
        </references>
      </pivotArea>
    </format>
    <format dxfId="638">
      <pivotArea dataOnly="0" labelOnly="1" fieldPosition="0">
        <references count="1">
          <reference field="0" count="1">
            <x v="52"/>
          </reference>
        </references>
      </pivotArea>
    </format>
    <format dxfId="639">
      <pivotArea dataOnly="0" labelOnly="1" fieldPosition="0">
        <references count="1">
          <reference field="0" count="1">
            <x v="53"/>
          </reference>
        </references>
      </pivotArea>
    </format>
    <format dxfId="640">
      <pivotArea dataOnly="0" labelOnly="1" fieldPosition="0">
        <references count="1">
          <reference field="0" count="1">
            <x v="54"/>
          </reference>
        </references>
      </pivotArea>
    </format>
    <format dxfId="641">
      <pivotArea dataOnly="0" labelOnly="1" fieldPosition="0">
        <references count="1">
          <reference field="0" count="1">
            <x v="55"/>
          </reference>
        </references>
      </pivotArea>
    </format>
    <format dxfId="642">
      <pivotArea dataOnly="0" labelOnly="1" fieldPosition="0">
        <references count="1">
          <reference field="0" count="1">
            <x v="56"/>
          </reference>
        </references>
      </pivotArea>
    </format>
    <format dxfId="643">
      <pivotArea dataOnly="0" labelOnly="1" fieldPosition="0">
        <references count="1">
          <reference field="0" count="1">
            <x v="57"/>
          </reference>
        </references>
      </pivotArea>
    </format>
    <format dxfId="644">
      <pivotArea dataOnly="0" labelOnly="1" fieldPosition="0">
        <references count="1">
          <reference field="0" count="1">
            <x v="58"/>
          </reference>
        </references>
      </pivotArea>
    </format>
    <format dxfId="645">
      <pivotArea dataOnly="0" labelOnly="1" fieldPosition="0">
        <references count="1">
          <reference field="0" count="1">
            <x v="59"/>
          </reference>
        </references>
      </pivotArea>
    </format>
    <format dxfId="646">
      <pivotArea dataOnly="0" labelOnly="1" fieldPosition="0">
        <references count="1">
          <reference field="0" count="1">
            <x v="60"/>
          </reference>
        </references>
      </pivotArea>
    </format>
    <format dxfId="647">
      <pivotArea dataOnly="0" labelOnly="1" fieldPosition="0">
        <references count="1">
          <reference field="0" count="1">
            <x v="61"/>
          </reference>
        </references>
      </pivotArea>
    </format>
    <format dxfId="648">
      <pivotArea dataOnly="0" labelOnly="1" fieldPosition="0">
        <references count="1">
          <reference field="0" count="1">
            <x v="62"/>
          </reference>
        </references>
      </pivotArea>
    </format>
    <format dxfId="649">
      <pivotArea dataOnly="0" labelOnly="1" fieldPosition="0">
        <references count="1">
          <reference field="0" count="1">
            <x v="63"/>
          </reference>
        </references>
      </pivotArea>
    </format>
    <format dxfId="650">
      <pivotArea dataOnly="0" labelOnly="1" fieldPosition="0">
        <references count="1">
          <reference field="0" count="1">
            <x v="64"/>
          </reference>
        </references>
      </pivotArea>
    </format>
    <format dxfId="651">
      <pivotArea dataOnly="0" labelOnly="1" fieldPosition="0">
        <references count="1">
          <reference field="0" count="1">
            <x v="65"/>
          </reference>
        </references>
      </pivotArea>
    </format>
    <format dxfId="652">
      <pivotArea dataOnly="0" labelOnly="1" fieldPosition="0">
        <references count="1">
          <reference field="0" count="1">
            <x v="66"/>
          </reference>
        </references>
      </pivotArea>
    </format>
    <format dxfId="653">
      <pivotArea dataOnly="0" labelOnly="1" fieldPosition="0">
        <references count="1">
          <reference field="0" count="1">
            <x v="67"/>
          </reference>
        </references>
      </pivotArea>
    </format>
    <format dxfId="654">
      <pivotArea dataOnly="0" labelOnly="1" fieldPosition="0">
        <references count="1">
          <reference field="0" count="1">
            <x v="68"/>
          </reference>
        </references>
      </pivotArea>
    </format>
    <format dxfId="655">
      <pivotArea dataOnly="0" labelOnly="1" fieldPosition="0">
        <references count="1">
          <reference field="0" count="1">
            <x v="69"/>
          </reference>
        </references>
      </pivotArea>
    </format>
    <format dxfId="656">
      <pivotArea collapsedLevelsAreSubtotals="1" fieldPosition="0">
        <references count="1">
          <reference field="0" count="1" selected="0">
            <x v="0"/>
          </reference>
        </references>
      </pivotArea>
    </format>
    <format dxfId="657">
      <pivotArea collapsedLevelsAreSubtotals="1" fieldPosition="0">
        <references count="1">
          <reference field="0" count="1" selected="0">
            <x v="1"/>
          </reference>
        </references>
      </pivotArea>
    </format>
    <format dxfId="658">
      <pivotArea collapsedLevelsAreSubtotals="1" fieldPosition="0">
        <references count="1">
          <reference field="0" count="1" selected="0">
            <x v="2"/>
          </reference>
        </references>
      </pivotArea>
    </format>
    <format dxfId="659">
      <pivotArea collapsedLevelsAreSubtotals="1" fieldPosition="0">
        <references count="1">
          <reference field="0" count="1" selected="0">
            <x v="3"/>
          </reference>
        </references>
      </pivotArea>
    </format>
    <format dxfId="660">
      <pivotArea collapsedLevelsAreSubtotals="1" fieldPosition="0">
        <references count="1">
          <reference field="0" count="1" selected="0">
            <x v="4"/>
          </reference>
        </references>
      </pivotArea>
    </format>
    <format dxfId="661">
      <pivotArea collapsedLevelsAreSubtotals="1" fieldPosition="0">
        <references count="1">
          <reference field="0" count="1" selected="0">
            <x v="5"/>
          </reference>
        </references>
      </pivotArea>
    </format>
    <format dxfId="662">
      <pivotArea collapsedLevelsAreSubtotals="1" fieldPosition="0">
        <references count="1">
          <reference field="0" count="1" selected="0">
            <x v="6"/>
          </reference>
        </references>
      </pivotArea>
    </format>
    <format dxfId="663">
      <pivotArea collapsedLevelsAreSubtotals="1" fieldPosition="0">
        <references count="1">
          <reference field="0" count="1" selected="0">
            <x v="7"/>
          </reference>
        </references>
      </pivotArea>
    </format>
    <format dxfId="664">
      <pivotArea collapsedLevelsAreSubtotals="1" fieldPosition="0">
        <references count="1">
          <reference field="0" count="1" selected="0">
            <x v="8"/>
          </reference>
        </references>
      </pivotArea>
    </format>
    <format dxfId="665">
      <pivotArea collapsedLevelsAreSubtotals="1" fieldPosition="0">
        <references count="1">
          <reference field="0" count="1" selected="0">
            <x v="9"/>
          </reference>
        </references>
      </pivotArea>
    </format>
    <format dxfId="666">
      <pivotArea collapsedLevelsAreSubtotals="1" fieldPosition="0">
        <references count="1">
          <reference field="0" count="1" selected="0">
            <x v="10"/>
          </reference>
        </references>
      </pivotArea>
    </format>
    <format dxfId="667">
      <pivotArea collapsedLevelsAreSubtotals="1" fieldPosition="0">
        <references count="1">
          <reference field="0" count="1" selected="0">
            <x v="11"/>
          </reference>
        </references>
      </pivotArea>
    </format>
    <format dxfId="668">
      <pivotArea collapsedLevelsAreSubtotals="1" fieldPosition="0">
        <references count="1">
          <reference field="0" count="1" selected="0">
            <x v="12"/>
          </reference>
        </references>
      </pivotArea>
    </format>
    <format dxfId="669">
      <pivotArea collapsedLevelsAreSubtotals="1" fieldPosition="0">
        <references count="1">
          <reference field="0" count="1" selected="0">
            <x v="13"/>
          </reference>
        </references>
      </pivotArea>
    </format>
    <format dxfId="670">
      <pivotArea collapsedLevelsAreSubtotals="1" fieldPosition="0">
        <references count="1">
          <reference field="0" count="1" selected="0">
            <x v="14"/>
          </reference>
        </references>
      </pivotArea>
    </format>
    <format dxfId="671">
      <pivotArea collapsedLevelsAreSubtotals="1" fieldPosition="0">
        <references count="1">
          <reference field="0" count="1" selected="0">
            <x v="15"/>
          </reference>
        </references>
      </pivotArea>
    </format>
    <format dxfId="672">
      <pivotArea collapsedLevelsAreSubtotals="1" fieldPosition="0">
        <references count="1">
          <reference field="0" count="1" selected="0">
            <x v="16"/>
          </reference>
        </references>
      </pivotArea>
    </format>
    <format dxfId="673">
      <pivotArea collapsedLevelsAreSubtotals="1" fieldPosition="0">
        <references count="1">
          <reference field="0" count="1" selected="0">
            <x v="17"/>
          </reference>
        </references>
      </pivotArea>
    </format>
    <format dxfId="674">
      <pivotArea collapsedLevelsAreSubtotals="1" fieldPosition="0">
        <references count="1">
          <reference field="0" count="1" selected="0">
            <x v="18"/>
          </reference>
        </references>
      </pivotArea>
    </format>
    <format dxfId="675">
      <pivotArea collapsedLevelsAreSubtotals="1" fieldPosition="0">
        <references count="1">
          <reference field="0" count="1" selected="0">
            <x v="19"/>
          </reference>
        </references>
      </pivotArea>
    </format>
    <format dxfId="676">
      <pivotArea collapsedLevelsAreSubtotals="1" fieldPosition="0">
        <references count="1">
          <reference field="0" count="1" selected="0">
            <x v="20"/>
          </reference>
        </references>
      </pivotArea>
    </format>
    <format dxfId="677">
      <pivotArea collapsedLevelsAreSubtotals="1" fieldPosition="0">
        <references count="1">
          <reference field="0" count="1" selected="0">
            <x v="21"/>
          </reference>
        </references>
      </pivotArea>
    </format>
    <format dxfId="678">
      <pivotArea collapsedLevelsAreSubtotals="1" fieldPosition="0">
        <references count="1">
          <reference field="0" count="1" selected="0">
            <x v="22"/>
          </reference>
        </references>
      </pivotArea>
    </format>
    <format dxfId="679">
      <pivotArea collapsedLevelsAreSubtotals="1" fieldPosition="0">
        <references count="1">
          <reference field="0" count="1" selected="0">
            <x v="23"/>
          </reference>
        </references>
      </pivotArea>
    </format>
    <format dxfId="680">
      <pivotArea collapsedLevelsAreSubtotals="1" fieldPosition="0">
        <references count="1">
          <reference field="0" count="1" selected="0">
            <x v="24"/>
          </reference>
        </references>
      </pivotArea>
    </format>
    <format dxfId="681">
      <pivotArea collapsedLevelsAreSubtotals="1" fieldPosition="0">
        <references count="1">
          <reference field="0" count="1" selected="0">
            <x v="25"/>
          </reference>
        </references>
      </pivotArea>
    </format>
    <format dxfId="682">
      <pivotArea collapsedLevelsAreSubtotals="1" fieldPosition="0">
        <references count="1">
          <reference field="0" count="1" selected="0">
            <x v="26"/>
          </reference>
        </references>
      </pivotArea>
    </format>
    <format dxfId="683">
      <pivotArea collapsedLevelsAreSubtotals="1" fieldPosition="0">
        <references count="1">
          <reference field="0" count="1" selected="0">
            <x v="27"/>
          </reference>
        </references>
      </pivotArea>
    </format>
    <format dxfId="684">
      <pivotArea collapsedLevelsAreSubtotals="1" fieldPosition="0">
        <references count="1">
          <reference field="0" count="1" selected="0">
            <x v="28"/>
          </reference>
        </references>
      </pivotArea>
    </format>
    <format dxfId="685">
      <pivotArea collapsedLevelsAreSubtotals="1" fieldPosition="0">
        <references count="1">
          <reference field="0" count="1" selected="0">
            <x v="29"/>
          </reference>
        </references>
      </pivotArea>
    </format>
    <format dxfId="686">
      <pivotArea collapsedLevelsAreSubtotals="1" fieldPosition="0">
        <references count="1">
          <reference field="0" count="1" selected="0">
            <x v="30"/>
          </reference>
        </references>
      </pivotArea>
    </format>
    <format dxfId="687">
      <pivotArea collapsedLevelsAreSubtotals="1" fieldPosition="0">
        <references count="1">
          <reference field="0" count="1" selected="0">
            <x v="31"/>
          </reference>
        </references>
      </pivotArea>
    </format>
    <format dxfId="688">
      <pivotArea collapsedLevelsAreSubtotals="1" fieldPosition="0">
        <references count="1">
          <reference field="0" count="1" selected="0">
            <x v="32"/>
          </reference>
        </references>
      </pivotArea>
    </format>
    <format dxfId="689">
      <pivotArea collapsedLevelsAreSubtotals="1" fieldPosition="0">
        <references count="1">
          <reference field="0" count="1" selected="0">
            <x v="33"/>
          </reference>
        </references>
      </pivotArea>
    </format>
    <format dxfId="690">
      <pivotArea collapsedLevelsAreSubtotals="1" fieldPosition="0">
        <references count="1">
          <reference field="0" count="1" selected="0">
            <x v="34"/>
          </reference>
        </references>
      </pivotArea>
    </format>
    <format dxfId="691">
      <pivotArea collapsedLevelsAreSubtotals="1" fieldPosition="0">
        <references count="1">
          <reference field="0" count="1" selected="0">
            <x v="35"/>
          </reference>
        </references>
      </pivotArea>
    </format>
    <format dxfId="692">
      <pivotArea collapsedLevelsAreSubtotals="1" fieldPosition="0">
        <references count="1">
          <reference field="0" count="1" selected="0">
            <x v="36"/>
          </reference>
        </references>
      </pivotArea>
    </format>
    <format dxfId="693">
      <pivotArea collapsedLevelsAreSubtotals="1" fieldPosition="0">
        <references count="1">
          <reference field="0" count="1" selected="0">
            <x v="37"/>
          </reference>
        </references>
      </pivotArea>
    </format>
    <format dxfId="694">
      <pivotArea collapsedLevelsAreSubtotals="1" fieldPosition="0">
        <references count="1">
          <reference field="0" count="1" selected="0">
            <x v="38"/>
          </reference>
        </references>
      </pivotArea>
    </format>
    <format dxfId="695">
      <pivotArea collapsedLevelsAreSubtotals="1" fieldPosition="0">
        <references count="1">
          <reference field="0" count="1" selected="0">
            <x v="39"/>
          </reference>
        </references>
      </pivotArea>
    </format>
    <format dxfId="696">
      <pivotArea collapsedLevelsAreSubtotals="1" fieldPosition="0">
        <references count="1">
          <reference field="0" count="1" selected="0">
            <x v="40"/>
          </reference>
        </references>
      </pivotArea>
    </format>
    <format dxfId="697">
      <pivotArea collapsedLevelsAreSubtotals="1" fieldPosition="0">
        <references count="1">
          <reference field="0" count="1" selected="0">
            <x v="41"/>
          </reference>
        </references>
      </pivotArea>
    </format>
    <format dxfId="698">
      <pivotArea collapsedLevelsAreSubtotals="1" fieldPosition="0">
        <references count="1">
          <reference field="0" count="1" selected="0">
            <x v="42"/>
          </reference>
        </references>
      </pivotArea>
    </format>
    <format dxfId="699">
      <pivotArea collapsedLevelsAreSubtotals="1" fieldPosition="0">
        <references count="1">
          <reference field="0" count="1" selected="0">
            <x v="43"/>
          </reference>
        </references>
      </pivotArea>
    </format>
    <format dxfId="700">
      <pivotArea collapsedLevelsAreSubtotals="1" fieldPosition="0">
        <references count="1">
          <reference field="0" count="1" selected="0">
            <x v="44"/>
          </reference>
        </references>
      </pivotArea>
    </format>
    <format dxfId="701">
      <pivotArea collapsedLevelsAreSubtotals="1" fieldPosition="0">
        <references count="1">
          <reference field="0" count="1" selected="0">
            <x v="45"/>
          </reference>
        </references>
      </pivotArea>
    </format>
    <format dxfId="702">
      <pivotArea collapsedLevelsAreSubtotals="1" fieldPosition="0">
        <references count="1">
          <reference field="0" count="1" selected="0">
            <x v="46"/>
          </reference>
        </references>
      </pivotArea>
    </format>
    <format dxfId="703">
      <pivotArea collapsedLevelsAreSubtotals="1" fieldPosition="0">
        <references count="1">
          <reference field="0" count="1" selected="0">
            <x v="47"/>
          </reference>
        </references>
      </pivotArea>
    </format>
    <format dxfId="704">
      <pivotArea collapsedLevelsAreSubtotals="1" fieldPosition="0">
        <references count="1">
          <reference field="0" count="1" selected="0">
            <x v="48"/>
          </reference>
        </references>
      </pivotArea>
    </format>
    <format dxfId="705">
      <pivotArea collapsedLevelsAreSubtotals="1" fieldPosition="0">
        <references count="1">
          <reference field="0" count="1" selected="0">
            <x v="49"/>
          </reference>
        </references>
      </pivotArea>
    </format>
    <format dxfId="706">
      <pivotArea collapsedLevelsAreSubtotals="1" fieldPosition="0">
        <references count="1">
          <reference field="0" count="1" selected="0">
            <x v="50"/>
          </reference>
        </references>
      </pivotArea>
    </format>
    <format dxfId="707">
      <pivotArea collapsedLevelsAreSubtotals="1" fieldPosition="0">
        <references count="1">
          <reference field="0" count="1" selected="0">
            <x v="51"/>
          </reference>
        </references>
      </pivotArea>
    </format>
    <format dxfId="708">
      <pivotArea collapsedLevelsAreSubtotals="1" fieldPosition="0">
        <references count="1">
          <reference field="0" count="1" selected="0">
            <x v="52"/>
          </reference>
        </references>
      </pivotArea>
    </format>
    <format dxfId="709">
      <pivotArea collapsedLevelsAreSubtotals="1" fieldPosition="0">
        <references count="1">
          <reference field="0" count="1" selected="0">
            <x v="53"/>
          </reference>
        </references>
      </pivotArea>
    </format>
    <format dxfId="710">
      <pivotArea collapsedLevelsAreSubtotals="1" fieldPosition="0">
        <references count="1">
          <reference field="0" count="1" selected="0">
            <x v="54"/>
          </reference>
        </references>
      </pivotArea>
    </format>
    <format dxfId="711">
      <pivotArea collapsedLevelsAreSubtotals="1" fieldPosition="0">
        <references count="1">
          <reference field="0" count="1" selected="0">
            <x v="55"/>
          </reference>
        </references>
      </pivotArea>
    </format>
    <format dxfId="712">
      <pivotArea collapsedLevelsAreSubtotals="1" fieldPosition="0">
        <references count="1">
          <reference field="0" count="1" selected="0">
            <x v="56"/>
          </reference>
        </references>
      </pivotArea>
    </format>
    <format dxfId="713">
      <pivotArea collapsedLevelsAreSubtotals="1" fieldPosition="0">
        <references count="1">
          <reference field="0" count="1" selected="0">
            <x v="57"/>
          </reference>
        </references>
      </pivotArea>
    </format>
    <format dxfId="714">
      <pivotArea collapsedLevelsAreSubtotals="1" fieldPosition="0">
        <references count="1">
          <reference field="0" count="1" selected="0">
            <x v="58"/>
          </reference>
        </references>
      </pivotArea>
    </format>
    <format dxfId="715">
      <pivotArea collapsedLevelsAreSubtotals="1" fieldPosition="0">
        <references count="1">
          <reference field="0" count="1" selected="0">
            <x v="59"/>
          </reference>
        </references>
      </pivotArea>
    </format>
    <format dxfId="716">
      <pivotArea collapsedLevelsAreSubtotals="1" fieldPosition="0">
        <references count="1">
          <reference field="0" count="1" selected="0">
            <x v="60"/>
          </reference>
        </references>
      </pivotArea>
    </format>
    <format dxfId="717">
      <pivotArea collapsedLevelsAreSubtotals="1" fieldPosition="0">
        <references count="1">
          <reference field="0" count="1" selected="0">
            <x v="61"/>
          </reference>
        </references>
      </pivotArea>
    </format>
    <format dxfId="718">
      <pivotArea collapsedLevelsAreSubtotals="1" fieldPosition="0">
        <references count="1">
          <reference field="0" count="1" selected="0">
            <x v="62"/>
          </reference>
        </references>
      </pivotArea>
    </format>
    <format dxfId="719">
      <pivotArea collapsedLevelsAreSubtotals="1" fieldPosition="0">
        <references count="1">
          <reference field="0" count="1" selected="0">
            <x v="63"/>
          </reference>
        </references>
      </pivotArea>
    </format>
    <format dxfId="720">
      <pivotArea collapsedLevelsAreSubtotals="1" fieldPosition="0">
        <references count="1">
          <reference field="0" count="1" selected="0">
            <x v="64"/>
          </reference>
        </references>
      </pivotArea>
    </format>
    <format dxfId="721">
      <pivotArea collapsedLevelsAreSubtotals="1" fieldPosition="0">
        <references count="1">
          <reference field="0" count="1" selected="0">
            <x v="65"/>
          </reference>
        </references>
      </pivotArea>
    </format>
    <format dxfId="722">
      <pivotArea collapsedLevelsAreSubtotals="1" fieldPosition="0">
        <references count="1">
          <reference field="0" count="1" selected="0">
            <x v="66"/>
          </reference>
        </references>
      </pivotArea>
    </format>
    <format dxfId="723">
      <pivotArea collapsedLevelsAreSubtotals="1" fieldPosition="0">
        <references count="1">
          <reference field="0" count="1" selected="0">
            <x v="67"/>
          </reference>
        </references>
      </pivotArea>
    </format>
    <format dxfId="724">
      <pivotArea collapsedLevelsAreSubtotals="1" fieldPosition="0">
        <references count="1">
          <reference field="0" count="1" selected="0">
            <x v="68"/>
          </reference>
        </references>
      </pivotArea>
    </format>
    <format dxfId="725">
      <pivotArea collapsedLevelsAreSubtotals="1" fieldPosition="0">
        <references count="1">
          <reference field="0" count="1" selected="0">
            <x v="69"/>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数据透视表9" cacheId="8"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86:AJ166" firstHeaderRow="0" firstDataRow="1" firstDataCol="1"/>
  <pivotFields count="26">
    <pivotField axis="axisRow" compact="0" defaultSubtotal="0" outline="0" showAll="0">
      <items count="79">
        <item x="46"/>
        <item x="49"/>
        <item x="14"/>
        <item x="48"/>
        <item x="13"/>
        <item x="67"/>
        <item x="51"/>
        <item x="12"/>
        <item x="6"/>
        <item x="11"/>
        <item x="50"/>
        <item x="52"/>
        <item x="5"/>
        <item x="68"/>
        <item x="10"/>
        <item x="53"/>
        <item x="8"/>
        <item x="54"/>
        <item x="55"/>
        <item x="56"/>
        <item x="57"/>
        <item x="58"/>
        <item x="59"/>
        <item x="18"/>
        <item x="41"/>
        <item x="39"/>
        <item x="40"/>
        <item x="17"/>
        <item x="38"/>
        <item x="31"/>
        <item x="32"/>
        <item x="33"/>
        <item x="35"/>
        <item x="36"/>
        <item x="37"/>
        <item x="34"/>
        <item x="29"/>
        <item x="26"/>
        <item x="28"/>
        <item x="27"/>
        <item x="30"/>
        <item x="19"/>
        <item x="20"/>
        <item x="21"/>
        <item x="24"/>
        <item x="22"/>
        <item x="25"/>
        <item x="23"/>
        <item x="43"/>
        <item x="44"/>
        <item x="47"/>
        <item x="42"/>
        <item x="45"/>
        <item x="16"/>
        <item x="4"/>
        <item x="15"/>
        <item x="2"/>
        <item x="3"/>
        <item x="1"/>
        <item x="9"/>
        <item x="7"/>
        <item x="0"/>
        <item x="61"/>
        <item x="64"/>
        <item x="63"/>
        <item x="62"/>
        <item x="60"/>
        <item x="66"/>
        <item x="65"/>
        <item x="78"/>
        <item x="69"/>
        <item x="70"/>
        <item x="71"/>
        <item x="72"/>
        <item x="73"/>
        <item x="74"/>
        <item x="75"/>
        <item x="76"/>
        <item x="77"/>
      </items>
      <extLst>
        <ext xmlns:x14="http://schemas.microsoft.com/office/spreadsheetml/2009/9/main" uri="{2946ED86-A175-432a-8AC1-64E0C546D7DE}">
          <x14:pivotField fillDownLabels="1"/>
        </ext>
      </extLst>
    </pivotField>
    <pivotField compact="0" showAll="0">
      <items count="80">
        <item x="46"/>
        <item x="8"/>
        <item x="48"/>
        <item x="68"/>
        <item x="5"/>
        <item x="49"/>
        <item x="6"/>
        <item x="52"/>
        <item x="50"/>
        <item x="51"/>
        <item x="67"/>
        <item x="59"/>
        <item x="57"/>
        <item x="54"/>
        <item x="56"/>
        <item x="55"/>
        <item x="58"/>
        <item x="18"/>
        <item x="41"/>
        <item x="17"/>
        <item x="40"/>
        <item x="39"/>
        <item x="32"/>
        <item x="33"/>
        <item x="31"/>
        <item x="38"/>
        <item x="37"/>
        <item x="34"/>
        <item x="36"/>
        <item x="35"/>
        <item x="27"/>
        <item x="29"/>
        <item x="26"/>
        <item x="28"/>
        <item x="30"/>
        <item x="25"/>
        <item x="24"/>
        <item x="20"/>
        <item x="21"/>
        <item x="19"/>
        <item x="22"/>
        <item x="42"/>
        <item x="45"/>
        <item x="43"/>
        <item x="44"/>
        <item x="47"/>
        <item x="16"/>
        <item x="4"/>
        <item x="15"/>
        <item x="2"/>
        <item x="1"/>
        <item x="3"/>
        <item x="7"/>
        <item x="0"/>
        <item x="14"/>
        <item x="10"/>
        <item x="11"/>
        <item x="9"/>
        <item x="13"/>
        <item x="12"/>
        <item x="53"/>
        <item x="61"/>
        <item x="62"/>
        <item x="60"/>
        <item x="66"/>
        <item x="65"/>
        <item x="64"/>
        <item x="63"/>
        <item x="23"/>
        <item x="78"/>
        <item x="69"/>
        <item x="70"/>
        <item x="71"/>
        <item x="72"/>
        <item x="73"/>
        <item x="74"/>
        <item x="75"/>
        <item x="76"/>
        <item x="77"/>
        <item t="default"/>
      </items>
    </pivotField>
    <pivotField dataField="1" compact="0" showAll="0">
      <items count="67">
        <item x="0"/>
        <item x="65"/>
        <item x="24"/>
        <item x="38"/>
        <item x="20"/>
        <item x="1"/>
        <item x="34"/>
        <item x="51"/>
        <item x="52"/>
        <item x="30"/>
        <item x="7"/>
        <item x="31"/>
        <item x="58"/>
        <item x="40"/>
        <item x="25"/>
        <item x="23"/>
        <item x="22"/>
        <item x="27"/>
        <item x="2"/>
        <item x="3"/>
        <item x="4"/>
        <item x="5"/>
        <item x="6"/>
        <item x="8"/>
        <item x="9"/>
        <item x="10"/>
        <item x="11"/>
        <item x="12"/>
        <item x="13"/>
        <item x="14"/>
        <item x="15"/>
        <item x="16"/>
        <item x="17"/>
        <item x="18"/>
        <item x="19"/>
        <item x="21"/>
        <item x="26"/>
        <item x="28"/>
        <item x="29"/>
        <item x="32"/>
        <item x="33"/>
        <item x="35"/>
        <item x="36"/>
        <item x="37"/>
        <item x="39"/>
        <item x="41"/>
        <item x="42"/>
        <item x="43"/>
        <item x="44"/>
        <item x="45"/>
        <item x="46"/>
        <item x="47"/>
        <item x="48"/>
        <item x="49"/>
        <item x="50"/>
        <item x="53"/>
        <item x="54"/>
        <item x="55"/>
        <item x="56"/>
        <item x="57"/>
        <item x="59"/>
        <item x="60"/>
        <item x="61"/>
        <item x="62"/>
        <item x="63"/>
        <item x="64"/>
        <item t="default"/>
      </items>
    </pivotField>
    <pivotField compact="0" showAll="0">
      <items count="50">
        <item x="0"/>
        <item x="48"/>
        <item x="25"/>
        <item x="26"/>
        <item x="45"/>
        <item x="12"/>
        <item x="17"/>
        <item x="22"/>
        <item x="18"/>
        <item x="10"/>
        <item x="13"/>
        <item x="15"/>
        <item x="16"/>
        <item x="14"/>
        <item x="24"/>
        <item x="28"/>
        <item x="19"/>
        <item x="23"/>
        <item x="21"/>
        <item x="20"/>
        <item x="1"/>
        <item x="2"/>
        <item x="3"/>
        <item x="4"/>
        <item x="5"/>
        <item x="6"/>
        <item x="7"/>
        <item x="8"/>
        <item x="9"/>
        <item x="11"/>
        <item x="27"/>
        <item x="29"/>
        <item x="30"/>
        <item x="31"/>
        <item x="32"/>
        <item x="33"/>
        <item x="34"/>
        <item x="35"/>
        <item x="36"/>
        <item x="37"/>
        <item x="38"/>
        <item x="39"/>
        <item x="40"/>
        <item x="41"/>
        <item x="42"/>
        <item x="43"/>
        <item x="44"/>
        <item x="46"/>
        <item x="47"/>
        <item t="default"/>
      </items>
    </pivotField>
    <pivotField dataField="1" compact="0" showAll="0">
      <items count="8">
        <item x="0"/>
        <item x="1"/>
        <item x="2"/>
        <item x="6"/>
        <item x="5"/>
        <item x="3"/>
        <item x="4"/>
        <item t="default"/>
      </items>
    </pivotField>
    <pivotField compact="0" showAll="0">
      <items count="28">
        <item x="1"/>
        <item x="0"/>
        <item x="2"/>
        <item x="3"/>
        <item x="4"/>
        <item x="5"/>
        <item x="6"/>
        <item x="7"/>
        <item x="8"/>
        <item x="9"/>
        <item x="10"/>
        <item x="11"/>
        <item x="12"/>
        <item x="13"/>
        <item x="14"/>
        <item x="15"/>
        <item x="16"/>
        <item x="17"/>
        <item x="18"/>
        <item x="19"/>
        <item x="20"/>
        <item x="21"/>
        <item x="22"/>
        <item x="23"/>
        <item x="24"/>
        <item x="25"/>
        <item x="26"/>
        <item t="default"/>
      </items>
    </pivotField>
    <pivotField compact="0" showAll="0">
      <items count="54">
        <item x="0"/>
        <item x="52"/>
        <item x="18"/>
        <item x="15"/>
        <item x="17"/>
        <item x="16"/>
        <item x="51"/>
        <item x="46"/>
        <item x="50"/>
        <item x="27"/>
        <item x="12"/>
        <item x="28"/>
        <item x="19"/>
        <item x="21"/>
        <item x="7"/>
        <item x="3"/>
        <item x="1"/>
        <item x="2"/>
        <item x="4"/>
        <item x="5"/>
        <item x="6"/>
        <item x="8"/>
        <item x="9"/>
        <item x="10"/>
        <item x="11"/>
        <item x="13"/>
        <item x="14"/>
        <item x="20"/>
        <item x="22"/>
        <item x="23"/>
        <item x="24"/>
        <item x="25"/>
        <item x="26"/>
        <item x="29"/>
        <item x="30"/>
        <item x="31"/>
        <item x="32"/>
        <item x="33"/>
        <item x="34"/>
        <item x="35"/>
        <item x="36"/>
        <item x="37"/>
        <item x="38"/>
        <item x="39"/>
        <item x="40"/>
        <item x="41"/>
        <item x="42"/>
        <item x="43"/>
        <item x="44"/>
        <item x="45"/>
        <item x="47"/>
        <item x="48"/>
        <item x="49"/>
        <item t="default"/>
      </items>
    </pivotField>
    <pivotField dataField="1" compact="0" showAll="0">
      <items count="68">
        <item x="0"/>
        <item x="66"/>
        <item x="15"/>
        <item x="16"/>
        <item x="17"/>
        <item x="18"/>
        <item x="31"/>
        <item x="63"/>
        <item x="1"/>
        <item x="2"/>
        <item x="3"/>
        <item x="4"/>
        <item x="5"/>
        <item x="6"/>
        <item x="7"/>
        <item x="8"/>
        <item x="9"/>
        <item x="10"/>
        <item x="11"/>
        <item x="12"/>
        <item x="13"/>
        <item x="14"/>
        <item x="19"/>
        <item x="20"/>
        <item x="21"/>
        <item x="22"/>
        <item x="23"/>
        <item x="24"/>
        <item x="25"/>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4"/>
        <item x="65"/>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65">
        <item x="0"/>
        <item x="15"/>
        <item x="16"/>
        <item x="17"/>
        <item x="18"/>
        <item x="31"/>
        <item x="26"/>
        <item x="61"/>
        <item x="1"/>
        <item x="2"/>
        <item x="3"/>
        <item x="4"/>
        <item x="5"/>
        <item x="6"/>
        <item x="7"/>
        <item x="8"/>
        <item x="9"/>
        <item x="10"/>
        <item x="11"/>
        <item x="12"/>
        <item x="13"/>
        <item x="14"/>
        <item x="19"/>
        <item x="20"/>
        <item x="21"/>
        <item x="22"/>
        <item x="23"/>
        <item x="24"/>
        <item x="25"/>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2"/>
        <item x="63"/>
        <item t="default"/>
      </items>
    </pivotField>
    <pivotField dataField="1" compact="0" showAll="0">
      <items count="39">
        <item x="0"/>
        <item x="12"/>
        <item x="1"/>
        <item x="2"/>
        <item x="3"/>
        <item x="4"/>
        <item x="5"/>
        <item x="6"/>
        <item x="7"/>
        <item x="8"/>
        <item x="9"/>
        <item x="10"/>
        <item x="11"/>
        <item x="13"/>
        <item x="14"/>
        <item x="15"/>
        <item x="16"/>
        <item x="17"/>
        <item x="18"/>
        <item x="19"/>
        <item x="20"/>
        <item x="21"/>
        <item x="22"/>
        <item x="23"/>
        <item x="24"/>
        <item x="25"/>
        <item x="26"/>
        <item x="27"/>
        <item x="28"/>
        <item x="29"/>
        <item x="30"/>
        <item x="31"/>
        <item x="32"/>
        <item x="33"/>
        <item x="34"/>
        <item x="35"/>
        <item x="36"/>
        <item x="37"/>
        <item t="default"/>
      </items>
    </pivotField>
    <pivotField dataField="1" compact="0" showAll="0">
      <items count="40">
        <item x="12"/>
        <item x="0"/>
        <item x="13"/>
        <item x="1"/>
        <item x="2"/>
        <item x="3"/>
        <item x="4"/>
        <item x="5"/>
        <item x="6"/>
        <item x="7"/>
        <item x="8"/>
        <item x="9"/>
        <item x="10"/>
        <item x="11"/>
        <item x="14"/>
        <item x="15"/>
        <item x="16"/>
        <item x="17"/>
        <item x="18"/>
        <item x="19"/>
        <item x="20"/>
        <item x="21"/>
        <item x="22"/>
        <item x="23"/>
        <item x="24"/>
        <item x="25"/>
        <item x="26"/>
        <item x="27"/>
        <item x="28"/>
        <item x="29"/>
        <item x="30"/>
        <item x="31"/>
        <item x="32"/>
        <item x="33"/>
        <item x="34"/>
        <item x="35"/>
        <item x="36"/>
        <item x="37"/>
        <item x="38"/>
        <item t="default"/>
      </items>
    </pivotField>
    <pivotField dataField="1" compact="0" showAll="0">
      <items count="15">
        <item x="0"/>
        <item x="6"/>
        <item x="7"/>
        <item x="13"/>
        <item x="1"/>
        <item x="2"/>
        <item x="9"/>
        <item x="4"/>
        <item x="8"/>
        <item x="12"/>
        <item x="11"/>
        <item x="3"/>
        <item x="5"/>
        <item x="10"/>
        <item t="default"/>
      </items>
    </pivotField>
    <pivotField compact="0" showAll="0">
      <items count="16">
        <item x="0"/>
        <item x="8"/>
        <item x="9"/>
        <item x="14"/>
        <item x="5"/>
        <item x="2"/>
        <item x="4"/>
        <item x="10"/>
        <item x="13"/>
        <item x="3"/>
        <item x="6"/>
        <item x="1"/>
        <item x="7"/>
        <item x="11"/>
        <item x="12"/>
        <item t="default"/>
      </items>
    </pivotField>
    <pivotField dataField="1" compact="0" showAll="0">
      <items count="36">
        <item x="0"/>
        <item x="34"/>
        <item x="12"/>
        <item x="14"/>
        <item x="25"/>
        <item x="4"/>
        <item x="15"/>
        <item x="16"/>
        <item x="24"/>
        <item x="26"/>
        <item x="28"/>
        <item x="33"/>
        <item x="1"/>
        <item x="2"/>
        <item x="3"/>
        <item x="5"/>
        <item x="6"/>
        <item x="7"/>
        <item x="8"/>
        <item x="9"/>
        <item x="10"/>
        <item x="11"/>
        <item x="13"/>
        <item x="17"/>
        <item x="18"/>
        <item x="19"/>
        <item x="20"/>
        <item x="21"/>
        <item x="22"/>
        <item x="23"/>
        <item x="27"/>
        <item x="29"/>
        <item x="30"/>
        <item x="31"/>
        <item x="32"/>
        <item t="default"/>
      </items>
    </pivotField>
    <pivotField compact="0" showAll="0">
      <items count="14">
        <item x="0"/>
        <item x="8"/>
        <item x="2"/>
        <item x="4"/>
        <item x="12"/>
        <item x="1"/>
        <item x="5"/>
        <item x="11"/>
        <item x="6"/>
        <item x="7"/>
        <item x="9"/>
        <item x="3"/>
        <item x="10"/>
        <item t="default"/>
      </items>
    </pivotField>
    <pivotField compact="0" showAll="0">
      <items count="36">
        <item x="0"/>
        <item x="34"/>
        <item x="12"/>
        <item x="14"/>
        <item x="25"/>
        <item x="4"/>
        <item x="15"/>
        <item x="16"/>
        <item x="24"/>
        <item x="26"/>
        <item x="28"/>
        <item x="33"/>
        <item x="1"/>
        <item x="2"/>
        <item x="3"/>
        <item x="5"/>
        <item x="6"/>
        <item x="7"/>
        <item x="8"/>
        <item x="9"/>
        <item x="10"/>
        <item x="11"/>
        <item x="13"/>
        <item x="17"/>
        <item x="18"/>
        <item x="19"/>
        <item x="20"/>
        <item x="21"/>
        <item x="22"/>
        <item x="23"/>
        <item x="27"/>
        <item x="29"/>
        <item x="30"/>
        <item x="31"/>
        <item x="32"/>
        <item t="default"/>
      </items>
    </pivotField>
    <pivotField compact="0" showAll="0">
      <items count="16">
        <item x="0"/>
        <item x="10"/>
        <item x="2"/>
        <item x="14"/>
        <item x="5"/>
        <item x="4"/>
        <item x="11"/>
        <item x="13"/>
        <item x="9"/>
        <item x="7"/>
        <item x="6"/>
        <item x="3"/>
        <item x="1"/>
        <item x="8"/>
        <item x="12"/>
        <item t="default"/>
      </items>
    </pivotField>
    <pivotField compact="0" showAll="0">
      <items count="4">
        <item x="0"/>
        <item x="1"/>
        <item x="2"/>
        <item t="default"/>
      </items>
    </pivotField>
    <pivotField compact="0" showAll="0">
      <items count="5">
        <item x="1"/>
        <item x="0"/>
        <item x="2"/>
        <item x="3"/>
        <item t="default"/>
      </items>
    </pivotField>
    <pivotField compact="0" showAll="0">
      <items count="5">
        <item x="0"/>
        <item x="3"/>
        <item x="2"/>
        <item x="1"/>
        <item t="default"/>
      </items>
    </pivotField>
    <pivotField compact="0" showAll="0">
      <items count="5">
        <item x="0"/>
        <item x="3"/>
        <item x="2"/>
        <item x="1"/>
        <item t="default"/>
      </items>
    </pivotField>
    <pivotField compact="0" showAll="0">
      <items count="5">
        <item x="0"/>
        <item x="3"/>
        <item x="1"/>
        <item x="2"/>
        <item t="default"/>
      </items>
    </pivotField>
    <pivotField compact="0" showAll="0">
      <items count="5">
        <item x="0"/>
        <item x="3"/>
        <item x="2"/>
        <item x="1"/>
        <item t="default"/>
      </items>
    </pivotField>
    <pivotField compact="0" showAll="0">
      <items count="5">
        <item x="0"/>
        <item x="3"/>
        <item x="1"/>
        <item x="2"/>
        <item t="default"/>
      </items>
    </pivotField>
    <pivotField compact="0" showAll="0">
      <items count="5">
        <item x="0"/>
        <item x="3"/>
        <item x="2"/>
        <item x="1"/>
        <item t="default"/>
      </items>
    </pivotField>
  </pivotFields>
  <rowFields count="1">
    <field x="0"/>
  </rowFields>
  <rowItems count="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t="grand">
      <x/>
    </i>
  </rowItems>
  <colFields count="1">
    <field x="-2"/>
  </colFields>
  <colItems count="7">
    <i>
      <x/>
    </i>
    <i i="1">
      <x v="1"/>
    </i>
    <i i="2">
      <x v="2"/>
    </i>
    <i i="3">
      <x v="3"/>
    </i>
    <i i="4">
      <x v="4"/>
    </i>
    <i i="5">
      <x v="5"/>
    </i>
    <i i="6">
      <x v="6"/>
    </i>
  </colItems>
  <dataFields count="7">
    <dataField name="求和项:展示量" fld="2" baseField="0" baseItem="0"/>
    <dataField name="求和项:点击量" fld="4" baseField="0" baseItem="0"/>
    <dataField name="求和项:花费" fld="7" baseField="0" baseItem="0"/>
    <dataField name="求和项:14天总销售额" fld="14" baseField="0" baseItem="0"/>
    <dataField name="求和项:14天总订单数(#)" fld="12" baseField="0" baseItem="0"/>
    <dataField name="求和项:广告成本销售比(ACOS)" fld="10" baseField="0" baseItem="0"/>
    <dataField name="求和项:投入产出比(ROAS)" fld="11" baseField="0" baseItem="0"/>
  </dataFields>
  <formats count="140">
    <format dxfId="726">
      <pivotArea dataOnly="0" labelOnly="1" fieldPosition="0">
        <references count="1">
          <reference field="0" count="1">
            <x v="0"/>
          </reference>
        </references>
      </pivotArea>
    </format>
    <format dxfId="727">
      <pivotArea dataOnly="0" labelOnly="1" fieldPosition="0">
        <references count="1">
          <reference field="0" count="1">
            <x v="1"/>
          </reference>
        </references>
      </pivotArea>
    </format>
    <format dxfId="728">
      <pivotArea dataOnly="0" labelOnly="1" fieldPosition="0">
        <references count="1">
          <reference field="0" count="1">
            <x v="2"/>
          </reference>
        </references>
      </pivotArea>
    </format>
    <format dxfId="729">
      <pivotArea dataOnly="0" labelOnly="1" fieldPosition="0">
        <references count="1">
          <reference field="0" count="1">
            <x v="3"/>
          </reference>
        </references>
      </pivotArea>
    </format>
    <format dxfId="730">
      <pivotArea dataOnly="0" labelOnly="1" fieldPosition="0">
        <references count="1">
          <reference field="0" count="1">
            <x v="4"/>
          </reference>
        </references>
      </pivotArea>
    </format>
    <format dxfId="731">
      <pivotArea dataOnly="0" labelOnly="1" fieldPosition="0">
        <references count="1">
          <reference field="0" count="1">
            <x v="5"/>
          </reference>
        </references>
      </pivotArea>
    </format>
    <format dxfId="732">
      <pivotArea dataOnly="0" labelOnly="1" fieldPosition="0">
        <references count="1">
          <reference field="0" count="1">
            <x v="6"/>
          </reference>
        </references>
      </pivotArea>
    </format>
    <format dxfId="733">
      <pivotArea dataOnly="0" labelOnly="1" fieldPosition="0">
        <references count="1">
          <reference field="0" count="1">
            <x v="7"/>
          </reference>
        </references>
      </pivotArea>
    </format>
    <format dxfId="734">
      <pivotArea dataOnly="0" labelOnly="1" fieldPosition="0">
        <references count="1">
          <reference field="0" count="1">
            <x v="8"/>
          </reference>
        </references>
      </pivotArea>
    </format>
    <format dxfId="735">
      <pivotArea dataOnly="0" labelOnly="1" fieldPosition="0">
        <references count="1">
          <reference field="0" count="1">
            <x v="9"/>
          </reference>
        </references>
      </pivotArea>
    </format>
    <format dxfId="736">
      <pivotArea dataOnly="0" labelOnly="1" fieldPosition="0">
        <references count="1">
          <reference field="0" count="1">
            <x v="10"/>
          </reference>
        </references>
      </pivotArea>
    </format>
    <format dxfId="737">
      <pivotArea dataOnly="0" labelOnly="1" fieldPosition="0">
        <references count="1">
          <reference field="0" count="1">
            <x v="11"/>
          </reference>
        </references>
      </pivotArea>
    </format>
    <format dxfId="738">
      <pivotArea dataOnly="0" labelOnly="1" fieldPosition="0">
        <references count="1">
          <reference field="0" count="1">
            <x v="12"/>
          </reference>
        </references>
      </pivotArea>
    </format>
    <format dxfId="739">
      <pivotArea dataOnly="0" labelOnly="1" fieldPosition="0">
        <references count="1">
          <reference field="0" count="1">
            <x v="13"/>
          </reference>
        </references>
      </pivotArea>
    </format>
    <format dxfId="740">
      <pivotArea dataOnly="0" labelOnly="1" fieldPosition="0">
        <references count="1">
          <reference field="0" count="1">
            <x v="14"/>
          </reference>
        </references>
      </pivotArea>
    </format>
    <format dxfId="741">
      <pivotArea dataOnly="0" labelOnly="1" fieldPosition="0">
        <references count="1">
          <reference field="0" count="1">
            <x v="15"/>
          </reference>
        </references>
      </pivotArea>
    </format>
    <format dxfId="742">
      <pivotArea dataOnly="0" labelOnly="1" fieldPosition="0">
        <references count="1">
          <reference field="0" count="1">
            <x v="16"/>
          </reference>
        </references>
      </pivotArea>
    </format>
    <format dxfId="743">
      <pivotArea dataOnly="0" labelOnly="1" fieldPosition="0">
        <references count="1">
          <reference field="0" count="1">
            <x v="17"/>
          </reference>
        </references>
      </pivotArea>
    </format>
    <format dxfId="744">
      <pivotArea dataOnly="0" labelOnly="1" fieldPosition="0">
        <references count="1">
          <reference field="0" count="1">
            <x v="18"/>
          </reference>
        </references>
      </pivotArea>
    </format>
    <format dxfId="745">
      <pivotArea dataOnly="0" labelOnly="1" fieldPosition="0">
        <references count="1">
          <reference field="0" count="1">
            <x v="19"/>
          </reference>
        </references>
      </pivotArea>
    </format>
    <format dxfId="746">
      <pivotArea dataOnly="0" labelOnly="1" fieldPosition="0">
        <references count="1">
          <reference field="0" count="1">
            <x v="20"/>
          </reference>
        </references>
      </pivotArea>
    </format>
    <format dxfId="747">
      <pivotArea dataOnly="0" labelOnly="1" fieldPosition="0">
        <references count="1">
          <reference field="0" count="1">
            <x v="21"/>
          </reference>
        </references>
      </pivotArea>
    </format>
    <format dxfId="748">
      <pivotArea dataOnly="0" labelOnly="1" fieldPosition="0">
        <references count="1">
          <reference field="0" count="1">
            <x v="22"/>
          </reference>
        </references>
      </pivotArea>
    </format>
    <format dxfId="749">
      <pivotArea dataOnly="0" labelOnly="1" fieldPosition="0">
        <references count="1">
          <reference field="0" count="1">
            <x v="23"/>
          </reference>
        </references>
      </pivotArea>
    </format>
    <format dxfId="750">
      <pivotArea dataOnly="0" labelOnly="1" fieldPosition="0">
        <references count="1">
          <reference field="0" count="1">
            <x v="24"/>
          </reference>
        </references>
      </pivotArea>
    </format>
    <format dxfId="751">
      <pivotArea dataOnly="0" labelOnly="1" fieldPosition="0">
        <references count="1">
          <reference field="0" count="1">
            <x v="25"/>
          </reference>
        </references>
      </pivotArea>
    </format>
    <format dxfId="752">
      <pivotArea dataOnly="0" labelOnly="1" fieldPosition="0">
        <references count="1">
          <reference field="0" count="1">
            <x v="26"/>
          </reference>
        </references>
      </pivotArea>
    </format>
    <format dxfId="753">
      <pivotArea dataOnly="0" labelOnly="1" fieldPosition="0">
        <references count="1">
          <reference field="0" count="1">
            <x v="27"/>
          </reference>
        </references>
      </pivotArea>
    </format>
    <format dxfId="754">
      <pivotArea dataOnly="0" labelOnly="1" fieldPosition="0">
        <references count="1">
          <reference field="0" count="1">
            <x v="28"/>
          </reference>
        </references>
      </pivotArea>
    </format>
    <format dxfId="755">
      <pivotArea dataOnly="0" labelOnly="1" fieldPosition="0">
        <references count="1">
          <reference field="0" count="1">
            <x v="29"/>
          </reference>
        </references>
      </pivotArea>
    </format>
    <format dxfId="756">
      <pivotArea dataOnly="0" labelOnly="1" fieldPosition="0">
        <references count="1">
          <reference field="0" count="1">
            <x v="30"/>
          </reference>
        </references>
      </pivotArea>
    </format>
    <format dxfId="757">
      <pivotArea dataOnly="0" labelOnly="1" fieldPosition="0">
        <references count="1">
          <reference field="0" count="1">
            <x v="31"/>
          </reference>
        </references>
      </pivotArea>
    </format>
    <format dxfId="758">
      <pivotArea dataOnly="0" labelOnly="1" fieldPosition="0">
        <references count="1">
          <reference field="0" count="1">
            <x v="32"/>
          </reference>
        </references>
      </pivotArea>
    </format>
    <format dxfId="759">
      <pivotArea dataOnly="0" labelOnly="1" fieldPosition="0">
        <references count="1">
          <reference field="0" count="1">
            <x v="33"/>
          </reference>
        </references>
      </pivotArea>
    </format>
    <format dxfId="760">
      <pivotArea dataOnly="0" labelOnly="1" fieldPosition="0">
        <references count="1">
          <reference field="0" count="1">
            <x v="34"/>
          </reference>
        </references>
      </pivotArea>
    </format>
    <format dxfId="761">
      <pivotArea dataOnly="0" labelOnly="1" fieldPosition="0">
        <references count="1">
          <reference field="0" count="1">
            <x v="35"/>
          </reference>
        </references>
      </pivotArea>
    </format>
    <format dxfId="762">
      <pivotArea dataOnly="0" labelOnly="1" fieldPosition="0">
        <references count="1">
          <reference field="0" count="1">
            <x v="36"/>
          </reference>
        </references>
      </pivotArea>
    </format>
    <format dxfId="763">
      <pivotArea dataOnly="0" labelOnly="1" fieldPosition="0">
        <references count="1">
          <reference field="0" count="1">
            <x v="37"/>
          </reference>
        </references>
      </pivotArea>
    </format>
    <format dxfId="764">
      <pivotArea dataOnly="0" labelOnly="1" fieldPosition="0">
        <references count="1">
          <reference field="0" count="1">
            <x v="38"/>
          </reference>
        </references>
      </pivotArea>
    </format>
    <format dxfId="765">
      <pivotArea dataOnly="0" labelOnly="1" fieldPosition="0">
        <references count="1">
          <reference field="0" count="1">
            <x v="39"/>
          </reference>
        </references>
      </pivotArea>
    </format>
    <format dxfId="766">
      <pivotArea dataOnly="0" labelOnly="1" fieldPosition="0">
        <references count="1">
          <reference field="0" count="1">
            <x v="40"/>
          </reference>
        </references>
      </pivotArea>
    </format>
    <format dxfId="767">
      <pivotArea dataOnly="0" labelOnly="1" fieldPosition="0">
        <references count="1">
          <reference field="0" count="1">
            <x v="41"/>
          </reference>
        </references>
      </pivotArea>
    </format>
    <format dxfId="768">
      <pivotArea dataOnly="0" labelOnly="1" fieldPosition="0">
        <references count="1">
          <reference field="0" count="1">
            <x v="42"/>
          </reference>
        </references>
      </pivotArea>
    </format>
    <format dxfId="769">
      <pivotArea dataOnly="0" labelOnly="1" fieldPosition="0">
        <references count="1">
          <reference field="0" count="1">
            <x v="43"/>
          </reference>
        </references>
      </pivotArea>
    </format>
    <format dxfId="770">
      <pivotArea dataOnly="0" labelOnly="1" fieldPosition="0">
        <references count="1">
          <reference field="0" count="1">
            <x v="44"/>
          </reference>
        </references>
      </pivotArea>
    </format>
    <format dxfId="771">
      <pivotArea dataOnly="0" labelOnly="1" fieldPosition="0">
        <references count="1">
          <reference field="0" count="1">
            <x v="45"/>
          </reference>
        </references>
      </pivotArea>
    </format>
    <format dxfId="772">
      <pivotArea dataOnly="0" labelOnly="1" fieldPosition="0">
        <references count="1">
          <reference field="0" count="1">
            <x v="46"/>
          </reference>
        </references>
      </pivotArea>
    </format>
    <format dxfId="773">
      <pivotArea dataOnly="0" labelOnly="1" fieldPosition="0">
        <references count="1">
          <reference field="0" count="1">
            <x v="47"/>
          </reference>
        </references>
      </pivotArea>
    </format>
    <format dxfId="774">
      <pivotArea dataOnly="0" labelOnly="1" fieldPosition="0">
        <references count="1">
          <reference field="0" count="1">
            <x v="48"/>
          </reference>
        </references>
      </pivotArea>
    </format>
    <format dxfId="775">
      <pivotArea dataOnly="0" labelOnly="1" fieldPosition="0">
        <references count="1">
          <reference field="0" count="1">
            <x v="49"/>
          </reference>
        </references>
      </pivotArea>
    </format>
    <format dxfId="776">
      <pivotArea dataOnly="0" labelOnly="1" fieldPosition="0">
        <references count="1">
          <reference field="0" count="1">
            <x v="50"/>
          </reference>
        </references>
      </pivotArea>
    </format>
    <format dxfId="777">
      <pivotArea dataOnly="0" labelOnly="1" fieldPosition="0">
        <references count="1">
          <reference field="0" count="1">
            <x v="51"/>
          </reference>
        </references>
      </pivotArea>
    </format>
    <format dxfId="778">
      <pivotArea dataOnly="0" labelOnly="1" fieldPosition="0">
        <references count="1">
          <reference field="0" count="1">
            <x v="52"/>
          </reference>
        </references>
      </pivotArea>
    </format>
    <format dxfId="779">
      <pivotArea dataOnly="0" labelOnly="1" fieldPosition="0">
        <references count="1">
          <reference field="0" count="1">
            <x v="53"/>
          </reference>
        </references>
      </pivotArea>
    </format>
    <format dxfId="780">
      <pivotArea dataOnly="0" labelOnly="1" fieldPosition="0">
        <references count="1">
          <reference field="0" count="1">
            <x v="54"/>
          </reference>
        </references>
      </pivotArea>
    </format>
    <format dxfId="781">
      <pivotArea dataOnly="0" labelOnly="1" fieldPosition="0">
        <references count="1">
          <reference field="0" count="1">
            <x v="55"/>
          </reference>
        </references>
      </pivotArea>
    </format>
    <format dxfId="782">
      <pivotArea dataOnly="0" labelOnly="1" fieldPosition="0">
        <references count="1">
          <reference field="0" count="1">
            <x v="56"/>
          </reference>
        </references>
      </pivotArea>
    </format>
    <format dxfId="783">
      <pivotArea dataOnly="0" labelOnly="1" fieldPosition="0">
        <references count="1">
          <reference field="0" count="1">
            <x v="57"/>
          </reference>
        </references>
      </pivotArea>
    </format>
    <format dxfId="784">
      <pivotArea dataOnly="0" labelOnly="1" fieldPosition="0">
        <references count="1">
          <reference field="0" count="1">
            <x v="58"/>
          </reference>
        </references>
      </pivotArea>
    </format>
    <format dxfId="785">
      <pivotArea dataOnly="0" labelOnly="1" fieldPosition="0">
        <references count="1">
          <reference field="0" count="1">
            <x v="59"/>
          </reference>
        </references>
      </pivotArea>
    </format>
    <format dxfId="786">
      <pivotArea dataOnly="0" labelOnly="1" fieldPosition="0">
        <references count="1">
          <reference field="0" count="1">
            <x v="60"/>
          </reference>
        </references>
      </pivotArea>
    </format>
    <format dxfId="787">
      <pivotArea dataOnly="0" labelOnly="1" fieldPosition="0">
        <references count="1">
          <reference field="0" count="1">
            <x v="61"/>
          </reference>
        </references>
      </pivotArea>
    </format>
    <format dxfId="788">
      <pivotArea dataOnly="0" labelOnly="1" fieldPosition="0">
        <references count="1">
          <reference field="0" count="1">
            <x v="62"/>
          </reference>
        </references>
      </pivotArea>
    </format>
    <format dxfId="789">
      <pivotArea dataOnly="0" labelOnly="1" fieldPosition="0">
        <references count="1">
          <reference field="0" count="1">
            <x v="63"/>
          </reference>
        </references>
      </pivotArea>
    </format>
    <format dxfId="790">
      <pivotArea dataOnly="0" labelOnly="1" fieldPosition="0">
        <references count="1">
          <reference field="0" count="1">
            <x v="64"/>
          </reference>
        </references>
      </pivotArea>
    </format>
    <format dxfId="791">
      <pivotArea dataOnly="0" labelOnly="1" fieldPosition="0">
        <references count="1">
          <reference field="0" count="1">
            <x v="65"/>
          </reference>
        </references>
      </pivotArea>
    </format>
    <format dxfId="792">
      <pivotArea dataOnly="0" labelOnly="1" fieldPosition="0">
        <references count="1">
          <reference field="0" count="1">
            <x v="66"/>
          </reference>
        </references>
      </pivotArea>
    </format>
    <format dxfId="793">
      <pivotArea dataOnly="0" labelOnly="1" fieldPosition="0">
        <references count="1">
          <reference field="0" count="1">
            <x v="67"/>
          </reference>
        </references>
      </pivotArea>
    </format>
    <format dxfId="794">
      <pivotArea dataOnly="0" labelOnly="1" fieldPosition="0">
        <references count="1">
          <reference field="0" count="1">
            <x v="68"/>
          </reference>
        </references>
      </pivotArea>
    </format>
    <format dxfId="795">
      <pivotArea dataOnly="0" labelOnly="1" fieldPosition="0">
        <references count="1">
          <reference field="0" count="1">
            <x v="69"/>
          </reference>
        </references>
      </pivotArea>
    </format>
    <format dxfId="796">
      <pivotArea collapsedLevelsAreSubtotals="1" fieldPosition="0">
        <references count="1">
          <reference field="0" count="1" selected="0">
            <x v="0"/>
          </reference>
        </references>
      </pivotArea>
    </format>
    <format dxfId="797">
      <pivotArea collapsedLevelsAreSubtotals="1" fieldPosition="0">
        <references count="1">
          <reference field="0" count="1" selected="0">
            <x v="1"/>
          </reference>
        </references>
      </pivotArea>
    </format>
    <format dxfId="798">
      <pivotArea collapsedLevelsAreSubtotals="1" fieldPosition="0">
        <references count="1">
          <reference field="0" count="1" selected="0">
            <x v="2"/>
          </reference>
        </references>
      </pivotArea>
    </format>
    <format dxfId="799">
      <pivotArea collapsedLevelsAreSubtotals="1" fieldPosition="0">
        <references count="1">
          <reference field="0" count="1" selected="0">
            <x v="3"/>
          </reference>
        </references>
      </pivotArea>
    </format>
    <format dxfId="800">
      <pivotArea collapsedLevelsAreSubtotals="1" fieldPosition="0">
        <references count="1">
          <reference field="0" count="1" selected="0">
            <x v="4"/>
          </reference>
        </references>
      </pivotArea>
    </format>
    <format dxfId="801">
      <pivotArea collapsedLevelsAreSubtotals="1" fieldPosition="0">
        <references count="1">
          <reference field="0" count="1" selected="0">
            <x v="5"/>
          </reference>
        </references>
      </pivotArea>
    </format>
    <format dxfId="802">
      <pivotArea collapsedLevelsAreSubtotals="1" fieldPosition="0">
        <references count="1">
          <reference field="0" count="1" selected="0">
            <x v="6"/>
          </reference>
        </references>
      </pivotArea>
    </format>
    <format dxfId="803">
      <pivotArea collapsedLevelsAreSubtotals="1" fieldPosition="0">
        <references count="1">
          <reference field="0" count="1" selected="0">
            <x v="7"/>
          </reference>
        </references>
      </pivotArea>
    </format>
    <format dxfId="804">
      <pivotArea collapsedLevelsAreSubtotals="1" fieldPosition="0">
        <references count="1">
          <reference field="0" count="1" selected="0">
            <x v="8"/>
          </reference>
        </references>
      </pivotArea>
    </format>
    <format dxfId="805">
      <pivotArea collapsedLevelsAreSubtotals="1" fieldPosition="0">
        <references count="1">
          <reference field="0" count="1" selected="0">
            <x v="9"/>
          </reference>
        </references>
      </pivotArea>
    </format>
    <format dxfId="806">
      <pivotArea collapsedLevelsAreSubtotals="1" fieldPosition="0">
        <references count="1">
          <reference field="0" count="1" selected="0">
            <x v="10"/>
          </reference>
        </references>
      </pivotArea>
    </format>
    <format dxfId="807">
      <pivotArea collapsedLevelsAreSubtotals="1" fieldPosition="0">
        <references count="1">
          <reference field="0" count="1" selected="0">
            <x v="11"/>
          </reference>
        </references>
      </pivotArea>
    </format>
    <format dxfId="808">
      <pivotArea collapsedLevelsAreSubtotals="1" fieldPosition="0">
        <references count="1">
          <reference field="0" count="1" selected="0">
            <x v="12"/>
          </reference>
        </references>
      </pivotArea>
    </format>
    <format dxfId="809">
      <pivotArea collapsedLevelsAreSubtotals="1" fieldPosition="0">
        <references count="1">
          <reference field="0" count="1" selected="0">
            <x v="13"/>
          </reference>
        </references>
      </pivotArea>
    </format>
    <format dxfId="810">
      <pivotArea collapsedLevelsAreSubtotals="1" fieldPosition="0">
        <references count="1">
          <reference field="0" count="1" selected="0">
            <x v="14"/>
          </reference>
        </references>
      </pivotArea>
    </format>
    <format dxfId="811">
      <pivotArea collapsedLevelsAreSubtotals="1" fieldPosition="0">
        <references count="1">
          <reference field="0" count="1" selected="0">
            <x v="15"/>
          </reference>
        </references>
      </pivotArea>
    </format>
    <format dxfId="812">
      <pivotArea collapsedLevelsAreSubtotals="1" fieldPosition="0">
        <references count="1">
          <reference field="0" count="1" selected="0">
            <x v="16"/>
          </reference>
        </references>
      </pivotArea>
    </format>
    <format dxfId="813">
      <pivotArea collapsedLevelsAreSubtotals="1" fieldPosition="0">
        <references count="1">
          <reference field="0" count="1" selected="0">
            <x v="17"/>
          </reference>
        </references>
      </pivotArea>
    </format>
    <format dxfId="814">
      <pivotArea collapsedLevelsAreSubtotals="1" fieldPosition="0">
        <references count="1">
          <reference field="0" count="1" selected="0">
            <x v="18"/>
          </reference>
        </references>
      </pivotArea>
    </format>
    <format dxfId="815">
      <pivotArea collapsedLevelsAreSubtotals="1" fieldPosition="0">
        <references count="1">
          <reference field="0" count="1" selected="0">
            <x v="19"/>
          </reference>
        </references>
      </pivotArea>
    </format>
    <format dxfId="816">
      <pivotArea collapsedLevelsAreSubtotals="1" fieldPosition="0">
        <references count="1">
          <reference field="0" count="1" selected="0">
            <x v="20"/>
          </reference>
        </references>
      </pivotArea>
    </format>
    <format dxfId="817">
      <pivotArea collapsedLevelsAreSubtotals="1" fieldPosition="0">
        <references count="1">
          <reference field="0" count="1" selected="0">
            <x v="21"/>
          </reference>
        </references>
      </pivotArea>
    </format>
    <format dxfId="818">
      <pivotArea collapsedLevelsAreSubtotals="1" fieldPosition="0">
        <references count="1">
          <reference field="0" count="1" selected="0">
            <x v="22"/>
          </reference>
        </references>
      </pivotArea>
    </format>
    <format dxfId="819">
      <pivotArea collapsedLevelsAreSubtotals="1" fieldPosition="0">
        <references count="1">
          <reference field="0" count="1" selected="0">
            <x v="23"/>
          </reference>
        </references>
      </pivotArea>
    </format>
    <format dxfId="820">
      <pivotArea collapsedLevelsAreSubtotals="1" fieldPosition="0">
        <references count="1">
          <reference field="0" count="1" selected="0">
            <x v="24"/>
          </reference>
        </references>
      </pivotArea>
    </format>
    <format dxfId="821">
      <pivotArea collapsedLevelsAreSubtotals="1" fieldPosition="0">
        <references count="1">
          <reference field="0" count="1" selected="0">
            <x v="25"/>
          </reference>
        </references>
      </pivotArea>
    </format>
    <format dxfId="822">
      <pivotArea collapsedLevelsAreSubtotals="1" fieldPosition="0">
        <references count="1">
          <reference field="0" count="1" selected="0">
            <x v="26"/>
          </reference>
        </references>
      </pivotArea>
    </format>
    <format dxfId="823">
      <pivotArea collapsedLevelsAreSubtotals="1" fieldPosition="0">
        <references count="1">
          <reference field="0" count="1" selected="0">
            <x v="27"/>
          </reference>
        </references>
      </pivotArea>
    </format>
    <format dxfId="824">
      <pivotArea collapsedLevelsAreSubtotals="1" fieldPosition="0">
        <references count="1">
          <reference field="0" count="1" selected="0">
            <x v="28"/>
          </reference>
        </references>
      </pivotArea>
    </format>
    <format dxfId="825">
      <pivotArea collapsedLevelsAreSubtotals="1" fieldPosition="0">
        <references count="1">
          <reference field="0" count="1" selected="0">
            <x v="29"/>
          </reference>
        </references>
      </pivotArea>
    </format>
    <format dxfId="826">
      <pivotArea collapsedLevelsAreSubtotals="1" fieldPosition="0">
        <references count="1">
          <reference field="0" count="1" selected="0">
            <x v="30"/>
          </reference>
        </references>
      </pivotArea>
    </format>
    <format dxfId="827">
      <pivotArea collapsedLevelsAreSubtotals="1" fieldPosition="0">
        <references count="1">
          <reference field="0" count="1" selected="0">
            <x v="31"/>
          </reference>
        </references>
      </pivotArea>
    </format>
    <format dxfId="828">
      <pivotArea collapsedLevelsAreSubtotals="1" fieldPosition="0">
        <references count="1">
          <reference field="0" count="1" selected="0">
            <x v="32"/>
          </reference>
        </references>
      </pivotArea>
    </format>
    <format dxfId="829">
      <pivotArea collapsedLevelsAreSubtotals="1" fieldPosition="0">
        <references count="1">
          <reference field="0" count="1" selected="0">
            <x v="33"/>
          </reference>
        </references>
      </pivotArea>
    </format>
    <format dxfId="830">
      <pivotArea collapsedLevelsAreSubtotals="1" fieldPosition="0">
        <references count="1">
          <reference field="0" count="1" selected="0">
            <x v="34"/>
          </reference>
        </references>
      </pivotArea>
    </format>
    <format dxfId="831">
      <pivotArea collapsedLevelsAreSubtotals="1" fieldPosition="0">
        <references count="1">
          <reference field="0" count="1" selected="0">
            <x v="35"/>
          </reference>
        </references>
      </pivotArea>
    </format>
    <format dxfId="832">
      <pivotArea collapsedLevelsAreSubtotals="1" fieldPosition="0">
        <references count="1">
          <reference field="0" count="1" selected="0">
            <x v="36"/>
          </reference>
        </references>
      </pivotArea>
    </format>
    <format dxfId="833">
      <pivotArea collapsedLevelsAreSubtotals="1" fieldPosition="0">
        <references count="1">
          <reference field="0" count="1" selected="0">
            <x v="37"/>
          </reference>
        </references>
      </pivotArea>
    </format>
    <format dxfId="834">
      <pivotArea collapsedLevelsAreSubtotals="1" fieldPosition="0">
        <references count="1">
          <reference field="0" count="1" selected="0">
            <x v="38"/>
          </reference>
        </references>
      </pivotArea>
    </format>
    <format dxfId="835">
      <pivotArea collapsedLevelsAreSubtotals="1" fieldPosition="0">
        <references count="1">
          <reference field="0" count="1" selected="0">
            <x v="39"/>
          </reference>
        </references>
      </pivotArea>
    </format>
    <format dxfId="836">
      <pivotArea collapsedLevelsAreSubtotals="1" fieldPosition="0">
        <references count="1">
          <reference field="0" count="1" selected="0">
            <x v="40"/>
          </reference>
        </references>
      </pivotArea>
    </format>
    <format dxfId="837">
      <pivotArea collapsedLevelsAreSubtotals="1" fieldPosition="0">
        <references count="1">
          <reference field="0" count="1" selected="0">
            <x v="41"/>
          </reference>
        </references>
      </pivotArea>
    </format>
    <format dxfId="838">
      <pivotArea collapsedLevelsAreSubtotals="1" fieldPosition="0">
        <references count="1">
          <reference field="0" count="1" selected="0">
            <x v="42"/>
          </reference>
        </references>
      </pivotArea>
    </format>
    <format dxfId="839">
      <pivotArea collapsedLevelsAreSubtotals="1" fieldPosition="0">
        <references count="1">
          <reference field="0" count="1" selected="0">
            <x v="43"/>
          </reference>
        </references>
      </pivotArea>
    </format>
    <format dxfId="840">
      <pivotArea collapsedLevelsAreSubtotals="1" fieldPosition="0">
        <references count="1">
          <reference field="0" count="1" selected="0">
            <x v="44"/>
          </reference>
        </references>
      </pivotArea>
    </format>
    <format dxfId="841">
      <pivotArea collapsedLevelsAreSubtotals="1" fieldPosition="0">
        <references count="1">
          <reference field="0" count="1" selected="0">
            <x v="45"/>
          </reference>
        </references>
      </pivotArea>
    </format>
    <format dxfId="842">
      <pivotArea collapsedLevelsAreSubtotals="1" fieldPosition="0">
        <references count="1">
          <reference field="0" count="1" selected="0">
            <x v="46"/>
          </reference>
        </references>
      </pivotArea>
    </format>
    <format dxfId="843">
      <pivotArea collapsedLevelsAreSubtotals="1" fieldPosition="0">
        <references count="1">
          <reference field="0" count="1" selected="0">
            <x v="47"/>
          </reference>
        </references>
      </pivotArea>
    </format>
    <format dxfId="844">
      <pivotArea collapsedLevelsAreSubtotals="1" fieldPosition="0">
        <references count="1">
          <reference field="0" count="1" selected="0">
            <x v="48"/>
          </reference>
        </references>
      </pivotArea>
    </format>
    <format dxfId="845">
      <pivotArea collapsedLevelsAreSubtotals="1" fieldPosition="0">
        <references count="1">
          <reference field="0" count="1" selected="0">
            <x v="49"/>
          </reference>
        </references>
      </pivotArea>
    </format>
    <format dxfId="846">
      <pivotArea collapsedLevelsAreSubtotals="1" fieldPosition="0">
        <references count="1">
          <reference field="0" count="1" selected="0">
            <x v="50"/>
          </reference>
        </references>
      </pivotArea>
    </format>
    <format dxfId="847">
      <pivotArea collapsedLevelsAreSubtotals="1" fieldPosition="0">
        <references count="1">
          <reference field="0" count="1" selected="0">
            <x v="51"/>
          </reference>
        </references>
      </pivotArea>
    </format>
    <format dxfId="848">
      <pivotArea collapsedLevelsAreSubtotals="1" fieldPosition="0">
        <references count="1">
          <reference field="0" count="1" selected="0">
            <x v="52"/>
          </reference>
        </references>
      </pivotArea>
    </format>
    <format dxfId="849">
      <pivotArea collapsedLevelsAreSubtotals="1" fieldPosition="0">
        <references count="1">
          <reference field="0" count="1" selected="0">
            <x v="53"/>
          </reference>
        </references>
      </pivotArea>
    </format>
    <format dxfId="850">
      <pivotArea collapsedLevelsAreSubtotals="1" fieldPosition="0">
        <references count="1">
          <reference field="0" count="1" selected="0">
            <x v="54"/>
          </reference>
        </references>
      </pivotArea>
    </format>
    <format dxfId="851">
      <pivotArea collapsedLevelsAreSubtotals="1" fieldPosition="0">
        <references count="1">
          <reference field="0" count="1" selected="0">
            <x v="55"/>
          </reference>
        </references>
      </pivotArea>
    </format>
    <format dxfId="852">
      <pivotArea collapsedLevelsAreSubtotals="1" fieldPosition="0">
        <references count="1">
          <reference field="0" count="1" selected="0">
            <x v="56"/>
          </reference>
        </references>
      </pivotArea>
    </format>
    <format dxfId="853">
      <pivotArea collapsedLevelsAreSubtotals="1" fieldPosition="0">
        <references count="1">
          <reference field="0" count="1" selected="0">
            <x v="57"/>
          </reference>
        </references>
      </pivotArea>
    </format>
    <format dxfId="854">
      <pivotArea collapsedLevelsAreSubtotals="1" fieldPosition="0">
        <references count="1">
          <reference field="0" count="1" selected="0">
            <x v="58"/>
          </reference>
        </references>
      </pivotArea>
    </format>
    <format dxfId="855">
      <pivotArea collapsedLevelsAreSubtotals="1" fieldPosition="0">
        <references count="1">
          <reference field="0" count="1" selected="0">
            <x v="59"/>
          </reference>
        </references>
      </pivotArea>
    </format>
    <format dxfId="856">
      <pivotArea collapsedLevelsAreSubtotals="1" fieldPosition="0">
        <references count="1">
          <reference field="0" count="1" selected="0">
            <x v="60"/>
          </reference>
        </references>
      </pivotArea>
    </format>
    <format dxfId="857">
      <pivotArea collapsedLevelsAreSubtotals="1" fieldPosition="0">
        <references count="1">
          <reference field="0" count="1" selected="0">
            <x v="61"/>
          </reference>
        </references>
      </pivotArea>
    </format>
    <format dxfId="858">
      <pivotArea collapsedLevelsAreSubtotals="1" fieldPosition="0">
        <references count="1">
          <reference field="0" count="1" selected="0">
            <x v="62"/>
          </reference>
        </references>
      </pivotArea>
    </format>
    <format dxfId="859">
      <pivotArea collapsedLevelsAreSubtotals="1" fieldPosition="0">
        <references count="1">
          <reference field="0" count="1" selected="0">
            <x v="63"/>
          </reference>
        </references>
      </pivotArea>
    </format>
    <format dxfId="860">
      <pivotArea collapsedLevelsAreSubtotals="1" fieldPosition="0">
        <references count="1">
          <reference field="0" count="1" selected="0">
            <x v="64"/>
          </reference>
        </references>
      </pivotArea>
    </format>
    <format dxfId="861">
      <pivotArea collapsedLevelsAreSubtotals="1" fieldPosition="0">
        <references count="1">
          <reference field="0" count="1" selected="0">
            <x v="65"/>
          </reference>
        </references>
      </pivotArea>
    </format>
    <format dxfId="862">
      <pivotArea collapsedLevelsAreSubtotals="1" fieldPosition="0">
        <references count="1">
          <reference field="0" count="1" selected="0">
            <x v="66"/>
          </reference>
        </references>
      </pivotArea>
    </format>
    <format dxfId="863">
      <pivotArea collapsedLevelsAreSubtotals="1" fieldPosition="0">
        <references count="1">
          <reference field="0" count="1" selected="0">
            <x v="67"/>
          </reference>
        </references>
      </pivotArea>
    </format>
    <format dxfId="864">
      <pivotArea collapsedLevelsAreSubtotals="1" fieldPosition="0">
        <references count="1">
          <reference field="0" count="1" selected="0">
            <x v="68"/>
          </reference>
        </references>
      </pivotArea>
    </format>
    <format dxfId="865">
      <pivotArea collapsedLevelsAreSubtotals="1" fieldPosition="0">
        <references count="1">
          <reference field="0" count="1" selected="0">
            <x v="69"/>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数据透视表10" cacheId="12"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K1:R4" firstHeaderRow="0" firstDataRow="1" firstDataCol="1"/>
  <pivotFields count="19">
    <pivotField axis="axisRow" compact="0" showAll="0">
      <items count="3">
        <item x="1"/>
        <item x="0"/>
        <item t="default"/>
      </items>
    </pivotField>
    <pivotField compact="0" showAll="0">
      <items count="3">
        <item x="1"/>
        <item x="0"/>
        <item t="default"/>
      </items>
    </pivotField>
    <pivotField dataField="1" compact="0" showAll="0">
      <items count="7">
        <item x="5"/>
        <item x="0"/>
        <item x="1"/>
        <item x="2"/>
        <item x="3"/>
        <item x="4"/>
        <item t="default"/>
      </items>
    </pivotField>
    <pivotField dataField="1" compact="0" showAll="0">
      <items count="6">
        <item x="4"/>
        <item x="0"/>
        <item x="1"/>
        <item x="2"/>
        <item x="3"/>
        <item t="default"/>
      </items>
    </pivotField>
    <pivotField compact="0" showAll="0">
      <items count="7">
        <item x="5"/>
        <item x="0"/>
        <item x="1"/>
        <item x="2"/>
        <item x="3"/>
        <item x="4"/>
        <item t="default"/>
      </items>
    </pivotField>
    <pivotField compact="0" showAll="0">
      <items count="7">
        <item x="5"/>
        <item x="0"/>
        <item x="1"/>
        <item x="2"/>
        <item x="3"/>
        <item x="4"/>
        <item t="default"/>
      </items>
    </pivotField>
    <pivotField dataField="1" compact="0" showAll="0">
      <items count="7">
        <item x="5"/>
        <item x="0"/>
        <item x="1"/>
        <item x="2"/>
        <item x="3"/>
        <item x="4"/>
        <item t="default"/>
      </items>
    </pivotField>
    <pivotField dataField="1" compact="0" showAll="0">
      <items count="4">
        <item x="0"/>
        <item x="2"/>
        <item x="1"/>
        <item t="default"/>
      </items>
    </pivotField>
    <pivotField compact="0" showAll="0">
      <items count="3">
        <item x="0"/>
        <item x="1"/>
        <item t="default"/>
      </items>
    </pivotField>
    <pivotField compact="0" showAll="0">
      <items count="4">
        <item x="2"/>
        <item x="0"/>
        <item x="1"/>
        <item t="default"/>
      </items>
    </pivotField>
    <pivotField dataField="1" compact="0" showAll="0">
      <items count="4">
        <item x="0"/>
        <item x="2"/>
        <item x="1"/>
        <item t="default"/>
      </items>
    </pivotField>
    <pivotField compact="0" showAll="0">
      <items count="4">
        <item x="0"/>
        <item x="2"/>
        <item x="1"/>
        <item t="default"/>
      </items>
    </pivotField>
    <pivotField compact="0" showAll="0">
      <items count="4">
        <item x="2"/>
        <item x="0"/>
        <item x="1"/>
        <item t="default"/>
      </items>
    </pivotField>
    <pivotField compact="0" showAll="0">
      <items count="4">
        <item x="0"/>
        <item x="2"/>
        <item x="1"/>
        <item t="default"/>
      </items>
    </pivotField>
    <pivotField compact="0" showAll="0">
      <items count="3">
        <item x="0"/>
        <item x="1"/>
        <item t="default"/>
      </items>
    </pivotField>
    <pivotField compact="0" showAll="0">
      <items count="4">
        <item x="0"/>
        <item x="2"/>
        <item x="1"/>
        <item t="default"/>
      </items>
    </pivotField>
    <pivotField compact="0" showAll="0">
      <items count="3">
        <item x="0"/>
        <item x="1"/>
        <item t="default"/>
      </items>
    </pivotField>
    <pivotField dataField="1" dragToCol="0" dragToPage="0" dragToRow="0" compact="0" showAll="0"/>
    <pivotField dataField="1" dragToCol="0" dragToPage="0" dragToRow="0" compact="0" showAll="0"/>
  </pivotFields>
  <rowFields count="1">
    <field x="0"/>
  </rowFields>
  <rowItems count="3">
    <i>
      <x/>
    </i>
    <i>
      <x v="1"/>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866">
      <pivotArea dataOnly="0" labelOnly="1" fieldPosition="0">
        <references count="1">
          <reference field="4294967294" count="1">
            <x v="5"/>
          </reference>
        </references>
      </pivotArea>
    </format>
    <format dxfId="867">
      <pivotArea dataOnly="0" labelOnly="1" fieldPosition="0">
        <references count="1">
          <reference field="4294967294" count="1">
            <x v="6"/>
          </reference>
        </references>
      </pivotArea>
    </format>
    <format dxfId="868">
      <pivotArea collapsedLevelsAreSubtotals="1" fieldPosition="0">
        <references count="1">
          <reference field="4294967294" count="1" selected="0">
            <x v="5"/>
          </reference>
        </references>
      </pivotArea>
    </format>
    <format dxfId="869">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数据透视表11" cacheId="13"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1:AA6" firstHeaderRow="0" firstDataRow="1" firstDataCol="1"/>
  <pivotFields count="19">
    <pivotField axis="axisRow" compact="0" showAll="0">
      <items count="5">
        <item x="3"/>
        <item x="0"/>
        <item x="1"/>
        <item x="2"/>
        <item t="default"/>
      </items>
    </pivotField>
    <pivotField compact="0" showAll="0">
      <items count="5">
        <item x="3"/>
        <item x="0"/>
        <item x="1"/>
        <item x="2"/>
        <item t="default"/>
      </items>
    </pivotField>
    <pivotField dataField="1" compact="0" showAll="0">
      <items count="9">
        <item x="7"/>
        <item x="0"/>
        <item x="1"/>
        <item x="2"/>
        <item x="3"/>
        <item x="4"/>
        <item x="5"/>
        <item x="6"/>
        <item t="default"/>
      </items>
    </pivotField>
    <pivotField dataField="1" compact="0" showAll="0">
      <items count="9">
        <item x="7"/>
        <item x="2"/>
        <item x="4"/>
        <item x="0"/>
        <item x="1"/>
        <item x="3"/>
        <item x="5"/>
        <item x="6"/>
        <item t="default"/>
      </items>
    </pivotField>
    <pivotField compact="0" showAll="0">
      <items count="9">
        <item x="7"/>
        <item x="0"/>
        <item x="1"/>
        <item x="2"/>
        <item x="3"/>
        <item x="4"/>
        <item x="5"/>
        <item x="6"/>
        <item t="default"/>
      </items>
    </pivotField>
    <pivotField compact="0" showAll="0">
      <items count="9">
        <item x="7"/>
        <item x="0"/>
        <item x="1"/>
        <item x="2"/>
        <item x="3"/>
        <item x="4"/>
        <item x="5"/>
        <item x="6"/>
        <item t="default"/>
      </items>
    </pivotField>
    <pivotField dataField="1" compact="0" showAll="0">
      <items count="9">
        <item x="7"/>
        <item x="0"/>
        <item x="1"/>
        <item x="2"/>
        <item x="3"/>
        <item x="4"/>
        <item x="5"/>
        <item x="6"/>
        <item t="default"/>
      </items>
    </pivotField>
    <pivotField dataField="1" compact="0" showAll="0">
      <items count="8">
        <item x="2"/>
        <item x="6"/>
        <item x="5"/>
        <item x="0"/>
        <item x="1"/>
        <item x="3"/>
        <item x="4"/>
        <item t="default"/>
      </items>
    </pivotField>
    <pivotField compact="0" showAll="0">
      <items count="7">
        <item x="2"/>
        <item x="0"/>
        <item x="1"/>
        <item x="3"/>
        <item x="4"/>
        <item x="5"/>
        <item t="default"/>
      </items>
    </pivotField>
    <pivotField compact="0" showAll="0">
      <items count="8">
        <item x="2"/>
        <item x="6"/>
        <item x="0"/>
        <item x="1"/>
        <item x="3"/>
        <item x="4"/>
        <item x="5"/>
        <item t="default"/>
      </items>
    </pivotField>
    <pivotField dataField="1" compact="0" showAll="0">
      <items count="5">
        <item x="1"/>
        <item x="3"/>
        <item x="0"/>
        <item x="2"/>
        <item t="default"/>
      </items>
    </pivotField>
    <pivotField compact="0" showAll="0">
      <items count="5">
        <item x="1"/>
        <item x="3"/>
        <item x="0"/>
        <item x="2"/>
        <item t="default"/>
      </items>
    </pivotField>
    <pivotField compact="0" showAll="0">
      <items count="8">
        <item x="2"/>
        <item x="6"/>
        <item x="0"/>
        <item x="1"/>
        <item x="3"/>
        <item x="4"/>
        <item x="5"/>
        <item t="default"/>
      </items>
    </pivotField>
    <pivotField compact="0" showAll="0">
      <items count="5">
        <item x="1"/>
        <item x="3"/>
        <item x="0"/>
        <item x="2"/>
        <item t="default"/>
      </items>
    </pivotField>
    <pivotField compact="0" showAll="0">
      <items count="3">
        <item x="0"/>
        <item x="1"/>
        <item t="default"/>
      </items>
    </pivotField>
    <pivotField compact="0" showAll="0">
      <items count="8">
        <item x="2"/>
        <item x="6"/>
        <item x="0"/>
        <item x="5"/>
        <item x="1"/>
        <item x="3"/>
        <item x="4"/>
        <item t="default"/>
      </items>
    </pivotField>
    <pivotField compact="0" showAll="0">
      <items count="3">
        <item x="0"/>
        <item x="1"/>
        <item t="default"/>
      </items>
    </pivotField>
    <pivotField dataField="1" dragToCol="0" dragToPage="0" dragToRow="0" compact="0" showAll="0"/>
    <pivotField dataField="1" dragToCol="0" dragToPage="0" dragToRow="0" compact="0" showAll="0"/>
  </pivotFields>
  <rowFields count="1">
    <field x="0"/>
  </rowFields>
  <rowItems count="5">
    <i>
      <x/>
    </i>
    <i>
      <x v="1"/>
    </i>
    <i>
      <x v="2"/>
    </i>
    <i>
      <x v="3"/>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870">
      <pivotArea dataOnly="0" labelOnly="1" fieldPosition="0">
        <references count="1">
          <reference field="4294967294" count="1">
            <x v="5"/>
          </reference>
        </references>
      </pivotArea>
    </format>
    <format dxfId="871">
      <pivotArea dataOnly="0" labelOnly="1" fieldPosition="0">
        <references count="1">
          <reference field="4294967294" count="1">
            <x v="6"/>
          </reference>
        </references>
      </pivotArea>
    </format>
    <format dxfId="872">
      <pivotArea collapsedLevelsAreSubtotals="1" fieldPosition="0">
        <references count="1">
          <reference field="4294967294" count="1" selected="0">
            <x v="5"/>
          </reference>
        </references>
      </pivotArea>
    </format>
    <format dxfId="873">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数据透视表8" cacheId="1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E1:F12" firstHeaderRow="1" firstDataRow="1" firstDataCol="1"/>
  <pivotFields count="14">
    <pivotField compact="0" showAll="0">
      <items count="10">
        <item x="8"/>
        <item x="0"/>
        <item x="3"/>
        <item x="1"/>
        <item x="4"/>
        <item x="5"/>
        <item x="6"/>
        <item x="7"/>
        <item x="2"/>
        <item t="default"/>
      </items>
    </pivotField>
    <pivotField compact="0" showAll="0">
      <items count="10">
        <item x="8"/>
        <item x="0"/>
        <item x="3"/>
        <item x="1"/>
        <item x="4"/>
        <item x="5"/>
        <item x="6"/>
        <item x="7"/>
        <item x="2"/>
        <item t="default"/>
      </items>
    </pivotField>
    <pivotField axis="axisRow" compact="0" showAll="0">
      <items count="11">
        <item x="9"/>
        <item x="0"/>
        <item x="4"/>
        <item x="1"/>
        <item x="5"/>
        <item x="6"/>
        <item x="7"/>
        <item x="8"/>
        <item x="2"/>
        <item x="3"/>
        <item t="default"/>
      </items>
    </pivotField>
    <pivotField compact="0" showAll="0">
      <items count="9">
        <item x="7"/>
        <item x="4"/>
        <item x="5"/>
        <item x="3"/>
        <item x="0"/>
        <item x="1"/>
        <item x="2"/>
        <item x="6"/>
        <item t="default"/>
      </items>
    </pivotField>
    <pivotField compact="0" showAll="0">
      <items count="4">
        <item x="1"/>
        <item x="2"/>
        <item x="0"/>
        <item t="default"/>
      </items>
    </pivotField>
    <pivotField compact="0" showAll="0">
      <items count="9">
        <item x="7"/>
        <item x="6"/>
        <item x="0"/>
        <item x="1"/>
        <item x="2"/>
        <item x="3"/>
        <item x="4"/>
        <item x="5"/>
        <item t="default"/>
      </items>
    </pivotField>
    <pivotField compact="0" showAll="0">
      <items count="4">
        <item x="1"/>
        <item x="2"/>
        <item x="0"/>
        <item t="default"/>
      </items>
    </pivotField>
    <pivotField compact="0" showAll="0">
      <items count="9">
        <item x="7"/>
        <item x="4"/>
        <item x="5"/>
        <item x="1"/>
        <item x="0"/>
        <item x="2"/>
        <item x="3"/>
        <item x="6"/>
        <item t="default"/>
      </items>
    </pivotField>
    <pivotField compact="0" showAll="0">
      <items count="4">
        <item x="1"/>
        <item x="2"/>
        <item x="0"/>
        <item t="default"/>
      </items>
    </pivotField>
    <pivotField compact="0" showAll="0">
      <items count="9">
        <item x="7"/>
        <item x="0"/>
        <item x="1"/>
        <item x="2"/>
        <item x="3"/>
        <item x="4"/>
        <item x="5"/>
        <item x="6"/>
        <item t="default"/>
      </items>
    </pivotField>
    <pivotField compact="0" showAll="0">
      <items count="4">
        <item x="1"/>
        <item x="2"/>
        <item x="0"/>
        <item t="default"/>
      </items>
    </pivotField>
    <pivotField compact="0" showAll="0">
      <items count="7">
        <item x="2"/>
        <item x="5"/>
        <item x="0"/>
        <item x="1"/>
        <item x="3"/>
        <item x="4"/>
        <item t="default"/>
      </items>
    </pivotField>
    <pivotField compact="0" showAll="0">
      <items count="4">
        <item x="1"/>
        <item x="2"/>
        <item x="0"/>
        <item t="default"/>
      </items>
    </pivotField>
    <pivotField dataField="1" compact="0" showAll="0">
      <items count="5">
        <item x="2"/>
        <item x="3"/>
        <item x="0"/>
        <item x="1"/>
        <item t="default"/>
      </items>
    </pivotField>
  </pivotFields>
  <rowFields count="1">
    <field x="2"/>
  </rowFields>
  <rowItems count="11">
    <i>
      <x/>
    </i>
    <i>
      <x v="1"/>
    </i>
    <i>
      <x v="2"/>
    </i>
    <i>
      <x v="3"/>
    </i>
    <i>
      <x v="4"/>
    </i>
    <i>
      <x v="5"/>
    </i>
    <i>
      <x v="6"/>
    </i>
    <i>
      <x v="7"/>
    </i>
    <i>
      <x v="8"/>
    </i>
    <i>
      <x v="9"/>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数据透视表12" cacheId="14"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AJ8" firstHeaderRow="0" firstDataRow="1" firstDataCol="1"/>
  <pivotFields count="19">
    <pivotField axis="axisRow" compact="0" showAll="0">
      <items count="7">
        <item x="3"/>
        <item x="5"/>
        <item x="1"/>
        <item x="2"/>
        <item x="4"/>
        <item x="0"/>
        <item t="default"/>
      </items>
    </pivotField>
    <pivotField compact="0" showAll="0">
      <items count="7">
        <item x="3"/>
        <item x="5"/>
        <item x="1"/>
        <item x="2"/>
        <item x="4"/>
        <item x="0"/>
        <item t="default"/>
      </items>
    </pivotField>
    <pivotField dataField="1" compact="0" showAll="0">
      <items count="11">
        <item x="9"/>
        <item x="0"/>
        <item x="1"/>
        <item x="2"/>
        <item x="3"/>
        <item x="4"/>
        <item x="5"/>
        <item x="6"/>
        <item x="7"/>
        <item x="8"/>
        <item t="default"/>
      </items>
    </pivotField>
    <pivotField dataField="1" compact="0" showAll="0">
      <items count="11">
        <item x="9"/>
        <item x="3"/>
        <item x="0"/>
        <item x="1"/>
        <item x="2"/>
        <item x="4"/>
        <item x="5"/>
        <item x="6"/>
        <item x="7"/>
        <item x="8"/>
        <item t="default"/>
      </items>
    </pivotField>
    <pivotField compact="0" showAll="0">
      <items count="11">
        <item x="9"/>
        <item x="0"/>
        <item x="1"/>
        <item x="2"/>
        <item x="3"/>
        <item x="4"/>
        <item x="5"/>
        <item x="6"/>
        <item x="7"/>
        <item x="8"/>
        <item t="default"/>
      </items>
    </pivotField>
    <pivotField compact="0" showAll="0">
      <items count="11">
        <item x="9"/>
        <item x="3"/>
        <item x="0"/>
        <item x="1"/>
        <item x="2"/>
        <item x="4"/>
        <item x="5"/>
        <item x="6"/>
        <item x="7"/>
        <item x="8"/>
        <item t="default"/>
      </items>
    </pivotField>
    <pivotField dataField="1" compact="0" showAll="0">
      <items count="11">
        <item x="9"/>
        <item x="3"/>
        <item x="0"/>
        <item x="1"/>
        <item x="2"/>
        <item x="4"/>
        <item x="5"/>
        <item x="6"/>
        <item x="7"/>
        <item x="8"/>
        <item t="default"/>
      </items>
    </pivotField>
    <pivotField dataField="1" compact="0" showAll="0">
      <items count="9">
        <item x="0"/>
        <item x="7"/>
        <item x="3"/>
        <item x="1"/>
        <item x="2"/>
        <item x="5"/>
        <item x="4"/>
        <item x="6"/>
        <item t="default"/>
      </items>
    </pivotField>
    <pivotField compact="0" showAll="0">
      <items count="8">
        <item x="0"/>
        <item x="3"/>
        <item x="1"/>
        <item x="2"/>
        <item x="4"/>
        <item x="5"/>
        <item x="6"/>
        <item t="default"/>
      </items>
    </pivotField>
    <pivotField compact="0" showAll="0">
      <items count="9">
        <item x="0"/>
        <item x="7"/>
        <item x="3"/>
        <item x="1"/>
        <item x="2"/>
        <item x="4"/>
        <item x="5"/>
        <item x="6"/>
        <item t="default"/>
      </items>
    </pivotField>
    <pivotField dataField="1" compact="0" showAll="0">
      <items count="7">
        <item x="0"/>
        <item x="5"/>
        <item x="3"/>
        <item x="2"/>
        <item x="1"/>
        <item x="4"/>
        <item t="default"/>
      </items>
    </pivotField>
    <pivotField compact="0" showAll="0">
      <items count="7">
        <item x="0"/>
        <item x="5"/>
        <item x="3"/>
        <item x="2"/>
        <item x="1"/>
        <item x="4"/>
        <item t="default"/>
      </items>
    </pivotField>
    <pivotField compact="0" showAll="0">
      <items count="9">
        <item x="0"/>
        <item x="7"/>
        <item x="3"/>
        <item x="1"/>
        <item x="2"/>
        <item x="4"/>
        <item x="5"/>
        <item x="6"/>
        <item t="default"/>
      </items>
    </pivotField>
    <pivotField compact="0" showAll="0">
      <items count="6">
        <item x="0"/>
        <item x="1"/>
        <item x="4"/>
        <item x="2"/>
        <item x="3"/>
        <item t="default"/>
      </items>
    </pivotField>
    <pivotField compact="0" showAll="0">
      <items count="4">
        <item x="0"/>
        <item x="2"/>
        <item x="1"/>
        <item t="default"/>
      </items>
    </pivotField>
    <pivotField compact="0" showAll="0">
      <items count="9">
        <item x="0"/>
        <item x="7"/>
        <item x="3"/>
        <item x="1"/>
        <item x="2"/>
        <item x="5"/>
        <item x="4"/>
        <item x="6"/>
        <item t="default"/>
      </items>
    </pivotField>
    <pivotField compact="0" showAll="0">
      <items count="5">
        <item x="0"/>
        <item x="3"/>
        <item x="1"/>
        <item x="2"/>
        <item t="default"/>
      </items>
    </pivotField>
    <pivotField dataField="1" dragToCol="0" dragToPage="0" dragToRow="0" compact="0" showAll="0"/>
    <pivotField dataField="1" dragToCol="0" dragToPage="0" dragToRow="0" compact="0" showAll="0"/>
  </pivotFields>
  <rowFields count="1">
    <field x="0"/>
  </rowFields>
  <rowItems count="7">
    <i>
      <x/>
    </i>
    <i>
      <x v="1"/>
    </i>
    <i>
      <x v="2"/>
    </i>
    <i>
      <x v="3"/>
    </i>
    <i>
      <x v="4"/>
    </i>
    <i>
      <x v="5"/>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874">
      <pivotArea dataOnly="0" labelOnly="1" fieldPosition="0">
        <references count="1">
          <reference field="4294967294" count="1">
            <x v="5"/>
          </reference>
        </references>
      </pivotArea>
    </format>
    <format dxfId="875">
      <pivotArea dataOnly="0" labelOnly="1" fieldPosition="0">
        <references count="1">
          <reference field="4294967294" count="1">
            <x v="6"/>
          </reference>
        </references>
      </pivotArea>
    </format>
    <format dxfId="876">
      <pivotArea collapsedLevelsAreSubtotals="1" fieldPosition="0">
        <references count="1">
          <reference field="4294967294" count="1" selected="0">
            <x v="5"/>
          </reference>
        </references>
      </pivotArea>
    </format>
    <format dxfId="877">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数据透视表61" cacheId="9"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B1:C6" firstHeaderRow="1" firstDataRow="1" firstDataCol="1"/>
  <pivotFields count="14">
    <pivotField compact="0" showAll="0">
      <items count="4">
        <item x="2"/>
        <item x="0"/>
        <item x="1"/>
        <item t="default"/>
      </items>
    </pivotField>
    <pivotField compact="0" showAll="0">
      <items count="4">
        <item x="2"/>
        <item x="0"/>
        <item x="1"/>
        <item t="default"/>
      </items>
    </pivotField>
    <pivotField axis="axisRow" compact="0" showAll="0">
      <items count="5">
        <item x="3"/>
        <item x="1"/>
        <item x="0"/>
        <item x="2"/>
        <item t="default"/>
      </items>
    </pivotField>
    <pivotField compact="0" showAll="0">
      <items count="4">
        <item x="2"/>
        <item x="0"/>
        <item x="1"/>
        <item t="default"/>
      </items>
    </pivotField>
    <pivotField compact="0" showAll="0">
      <items count="4">
        <item x="1"/>
        <item x="2"/>
        <item x="0"/>
        <item t="default"/>
      </items>
    </pivotField>
    <pivotField compact="0" showAll="0">
      <items count="4">
        <item x="2"/>
        <item x="0"/>
        <item x="1"/>
        <item t="default"/>
      </items>
    </pivotField>
    <pivotField compact="0" showAll="0">
      <items count="4">
        <item x="1"/>
        <item x="2"/>
        <item x="0"/>
        <item t="default"/>
      </items>
    </pivotField>
    <pivotField compact="0" showAll="0">
      <items count="4">
        <item x="2"/>
        <item x="0"/>
        <item x="1"/>
        <item t="default"/>
      </items>
    </pivotField>
    <pivotField compact="0" showAll="0">
      <items count="4">
        <item x="1"/>
        <item x="2"/>
        <item x="0"/>
        <item t="default"/>
      </items>
    </pivotField>
    <pivotField compact="0" showAll="0">
      <items count="4">
        <item x="2"/>
        <item x="0"/>
        <item x="1"/>
        <item t="default"/>
      </items>
    </pivotField>
    <pivotField compact="0" showAll="0">
      <items count="4">
        <item x="1"/>
        <item x="2"/>
        <item x="0"/>
        <item t="default"/>
      </items>
    </pivotField>
    <pivotField compact="0" showAll="0">
      <items count="4">
        <item x="1"/>
        <item x="2"/>
        <item x="0"/>
        <item t="default"/>
      </items>
    </pivotField>
    <pivotField compact="0" showAll="0">
      <items count="4">
        <item x="1"/>
        <item x="2"/>
        <item x="0"/>
        <item t="default"/>
      </items>
    </pivotField>
    <pivotField dataField="1" compact="0" showAll="0">
      <items count="4">
        <item x="1"/>
        <item x="2"/>
        <item x="0"/>
        <item t="default"/>
      </items>
    </pivotField>
  </pivotFields>
  <rowFields count="1">
    <field x="2"/>
  </rowFields>
  <rowItems count="5">
    <i>
      <x/>
    </i>
    <i>
      <x v="1"/>
    </i>
    <i>
      <x v="2"/>
    </i>
    <i>
      <x v="3"/>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数据透视表9" cacheId="1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1:I19" firstHeaderRow="1" firstDataRow="1" firstDataCol="1"/>
  <pivotFields count="14">
    <pivotField compact="0" showAll="0">
      <items count="17">
        <item x="15"/>
        <item x="0"/>
        <item x="4"/>
        <item x="8"/>
        <item x="1"/>
        <item x="12"/>
        <item x="3"/>
        <item x="14"/>
        <item x="2"/>
        <item x="5"/>
        <item x="6"/>
        <item x="9"/>
        <item x="10"/>
        <item x="11"/>
        <item x="13"/>
        <item x="7"/>
        <item t="default"/>
      </items>
    </pivotField>
    <pivotField compact="0" showAll="0">
      <items count="16">
        <item x="14"/>
        <item x="2"/>
        <item x="4"/>
        <item x="0"/>
        <item x="8"/>
        <item x="1"/>
        <item x="12"/>
        <item x="3"/>
        <item x="5"/>
        <item x="6"/>
        <item x="9"/>
        <item x="10"/>
        <item x="11"/>
        <item x="13"/>
        <item x="7"/>
        <item t="default"/>
      </items>
    </pivotField>
    <pivotField axis="axisRow" compact="0" showAll="0">
      <items count="19">
        <item x="16"/>
        <item x="0"/>
        <item x="4"/>
        <item x="9"/>
        <item x="1"/>
        <item x="3"/>
        <item x="15"/>
        <item x="2"/>
        <item x="6"/>
        <item x="7"/>
        <item x="10"/>
        <item x="11"/>
        <item x="12"/>
        <item m="1" x="17"/>
        <item x="14"/>
        <item x="5"/>
        <item x="8"/>
        <item x="13"/>
        <item t="default"/>
      </items>
    </pivotField>
    <pivotField compact="0" showAll="0">
      <items count="15">
        <item x="13"/>
        <item x="6"/>
        <item x="12"/>
        <item x="9"/>
        <item x="7"/>
        <item x="1"/>
        <item x="0"/>
        <item x="2"/>
        <item x="3"/>
        <item x="4"/>
        <item x="5"/>
        <item x="8"/>
        <item x="10"/>
        <item x="11"/>
        <item t="default"/>
      </items>
    </pivotField>
    <pivotField compact="0" showAll="0">
      <items count="5">
        <item x="2"/>
        <item x="1"/>
        <item x="3"/>
        <item x="0"/>
        <item t="default"/>
      </items>
    </pivotField>
    <pivotField compact="0" showAll="0">
      <items count="15">
        <item x="13"/>
        <item x="7"/>
        <item x="1"/>
        <item x="0"/>
        <item x="2"/>
        <item x="3"/>
        <item x="4"/>
        <item x="5"/>
        <item x="6"/>
        <item x="8"/>
        <item x="9"/>
        <item x="10"/>
        <item x="11"/>
        <item x="12"/>
        <item t="default"/>
      </items>
    </pivotField>
    <pivotField compact="0" showAll="0">
      <items count="5">
        <item x="2"/>
        <item x="3"/>
        <item x="0"/>
        <item x="1"/>
        <item t="default"/>
      </items>
    </pivotField>
    <pivotField compact="0" showAll="0">
      <items count="16">
        <item x="14"/>
        <item x="8"/>
        <item x="7"/>
        <item x="5"/>
        <item x="10"/>
        <item x="6"/>
        <item x="13"/>
        <item x="0"/>
        <item x="1"/>
        <item x="2"/>
        <item x="3"/>
        <item x="4"/>
        <item x="9"/>
        <item x="11"/>
        <item x="12"/>
        <item t="default"/>
      </items>
    </pivotField>
    <pivotField compact="0" showAll="0">
      <items count="5">
        <item x="2"/>
        <item x="1"/>
        <item x="3"/>
        <item x="0"/>
        <item t="default"/>
      </items>
    </pivotField>
    <pivotField compact="0" showAll="0">
      <items count="16">
        <item x="14"/>
        <item x="0"/>
        <item x="1"/>
        <item x="2"/>
        <item x="3"/>
        <item x="4"/>
        <item x="5"/>
        <item x="6"/>
        <item x="7"/>
        <item x="8"/>
        <item x="9"/>
        <item x="10"/>
        <item x="11"/>
        <item x="12"/>
        <item x="13"/>
        <item t="default"/>
      </items>
    </pivotField>
    <pivotField compact="0" showAll="0">
      <items count="5">
        <item x="2"/>
        <item x="3"/>
        <item x="0"/>
        <item x="1"/>
        <item t="default"/>
      </items>
    </pivotField>
    <pivotField compact="0" showAll="0">
      <items count="10">
        <item x="3"/>
        <item x="8"/>
        <item x="6"/>
        <item x="0"/>
        <item x="1"/>
        <item x="2"/>
        <item x="4"/>
        <item x="5"/>
        <item x="7"/>
        <item t="default"/>
      </items>
    </pivotField>
    <pivotField compact="0" showAll="0">
      <items count="5">
        <item x="2"/>
        <item x="1"/>
        <item x="3"/>
        <item x="0"/>
        <item t="default"/>
      </items>
    </pivotField>
    <pivotField dataField="1" compact="0" showAll="0">
      <items count="6">
        <item x="2"/>
        <item x="3"/>
        <item x="4"/>
        <item x="1"/>
        <item x="0"/>
        <item t="default"/>
      </items>
    </pivotField>
  </pivotFields>
  <rowFields count="1">
    <field x="2"/>
  </rowFields>
  <rowItems count="18">
    <i>
      <x/>
    </i>
    <i>
      <x v="1"/>
    </i>
    <i>
      <x v="2"/>
    </i>
    <i>
      <x v="3"/>
    </i>
    <i>
      <x v="4"/>
    </i>
    <i>
      <x v="5"/>
    </i>
    <i>
      <x v="6"/>
    </i>
    <i>
      <x v="7"/>
    </i>
    <i>
      <x v="8"/>
    </i>
    <i>
      <x v="9"/>
    </i>
    <i>
      <x v="10"/>
    </i>
    <i>
      <x v="11"/>
    </i>
    <i>
      <x v="12"/>
    </i>
    <i>
      <x v="14"/>
    </i>
    <i>
      <x v="15"/>
    </i>
    <i>
      <x v="16"/>
    </i>
    <i>
      <x v="17"/>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数据透视表14" cacheId="16"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E1:F185" firstHeaderRow="1" firstDataRow="1" firstDataCol="1"/>
  <pivotFields count="14">
    <pivotField compact="0" showAll="0">
      <items count="183">
        <item x="181"/>
        <item x="1"/>
        <item x="2"/>
        <item x="4"/>
        <item x="3"/>
        <item x="7"/>
        <item x="9"/>
        <item x="5"/>
        <item x="0"/>
        <item x="10"/>
        <item x="26"/>
        <item x="12"/>
        <item x="13"/>
        <item x="19"/>
        <item x="11"/>
        <item x="27"/>
        <item x="24"/>
        <item x="30"/>
        <item x="14"/>
        <item x="44"/>
        <item x="36"/>
        <item x="22"/>
        <item x="31"/>
        <item x="20"/>
        <item x="6"/>
        <item x="17"/>
        <item x="32"/>
        <item x="21"/>
        <item x="23"/>
        <item x="18"/>
        <item x="16"/>
        <item x="64"/>
        <item x="76"/>
        <item x="40"/>
        <item x="8"/>
        <item x="37"/>
        <item x="25"/>
        <item x="35"/>
        <item x="66"/>
        <item x="33"/>
        <item x="38"/>
        <item x="55"/>
        <item x="41"/>
        <item x="63"/>
        <item x="52"/>
        <item x="39"/>
        <item x="62"/>
        <item x="86"/>
        <item x="42"/>
        <item x="48"/>
        <item x="43"/>
        <item x="78"/>
        <item x="104"/>
        <item x="56"/>
        <item x="117"/>
        <item x="70"/>
        <item x="100"/>
        <item x="116"/>
        <item x="145"/>
        <item x="53"/>
        <item x="47"/>
        <item x="88"/>
        <item x="50"/>
        <item x="51"/>
        <item x="75"/>
        <item x="125"/>
        <item x="67"/>
        <item x="46"/>
        <item x="85"/>
        <item x="102"/>
        <item x="144"/>
        <item x="91"/>
        <item x="96"/>
        <item x="159"/>
        <item x="65"/>
        <item x="68"/>
        <item x="58"/>
        <item x="54"/>
        <item x="107"/>
        <item x="28"/>
        <item x="57"/>
        <item x="87"/>
        <item x="45"/>
        <item x="152"/>
        <item x="127"/>
        <item x="131"/>
        <item x="124"/>
        <item x="29"/>
        <item x="71"/>
        <item x="132"/>
        <item x="134"/>
        <item x="120"/>
        <item x="110"/>
        <item x="84"/>
        <item x="108"/>
        <item x="80"/>
        <item x="147"/>
        <item x="69"/>
        <item x="133"/>
        <item x="61"/>
        <item x="72"/>
        <item x="60"/>
        <item x="128"/>
        <item x="90"/>
        <item x="148"/>
        <item x="157"/>
        <item x="146"/>
        <item x="34"/>
        <item x="59"/>
        <item x="74"/>
        <item x="123"/>
        <item x="115"/>
        <item x="95"/>
        <item x="109"/>
        <item x="106"/>
        <item x="97"/>
        <item x="151"/>
        <item x="154"/>
        <item x="156"/>
        <item x="141"/>
        <item x="150"/>
        <item x="101"/>
        <item x="143"/>
        <item x="49"/>
        <item x="79"/>
        <item x="139"/>
        <item x="171"/>
        <item x="142"/>
        <item x="130"/>
        <item x="77"/>
        <item x="160"/>
        <item x="118"/>
        <item x="92"/>
        <item x="158"/>
        <item x="172"/>
        <item x="15"/>
        <item x="99"/>
        <item x="126"/>
        <item x="166"/>
        <item x="111"/>
        <item x="122"/>
        <item x="112"/>
        <item x="174"/>
        <item x="98"/>
        <item x="73"/>
        <item x="103"/>
        <item x="167"/>
        <item x="113"/>
        <item x="114"/>
        <item x="119"/>
        <item x="105"/>
        <item x="93"/>
        <item x="89"/>
        <item x="149"/>
        <item x="94"/>
        <item x="136"/>
        <item x="82"/>
        <item x="121"/>
        <item x="153"/>
        <item x="155"/>
        <item x="161"/>
        <item x="165"/>
        <item x="168"/>
        <item x="176"/>
        <item x="178"/>
        <item x="179"/>
        <item x="81"/>
        <item x="83"/>
        <item x="129"/>
        <item x="135"/>
        <item x="137"/>
        <item x="138"/>
        <item x="140"/>
        <item x="162"/>
        <item x="163"/>
        <item x="164"/>
        <item x="169"/>
        <item x="170"/>
        <item x="173"/>
        <item x="175"/>
        <item x="177"/>
        <item x="180"/>
        <item t="default"/>
      </items>
    </pivotField>
    <pivotField compact="0" showAll="0">
      <items count="179">
        <item x="177"/>
        <item x="1"/>
        <item x="2"/>
        <item x="4"/>
        <item x="3"/>
        <item x="7"/>
        <item x="9"/>
        <item x="5"/>
        <item x="0"/>
        <item x="10"/>
        <item x="26"/>
        <item x="12"/>
        <item x="13"/>
        <item x="19"/>
        <item x="11"/>
        <item x="27"/>
        <item x="24"/>
        <item x="30"/>
        <item x="44"/>
        <item x="36"/>
        <item x="22"/>
        <item x="31"/>
        <item x="20"/>
        <item x="6"/>
        <item x="17"/>
        <item x="32"/>
        <item x="21"/>
        <item x="23"/>
        <item x="18"/>
        <item x="16"/>
        <item x="64"/>
        <item x="76"/>
        <item x="40"/>
        <item x="8"/>
        <item x="37"/>
        <item x="25"/>
        <item x="35"/>
        <item x="66"/>
        <item x="33"/>
        <item x="38"/>
        <item x="55"/>
        <item x="41"/>
        <item x="63"/>
        <item x="52"/>
        <item x="39"/>
        <item x="62"/>
        <item x="86"/>
        <item x="42"/>
        <item x="48"/>
        <item x="43"/>
        <item x="78"/>
        <item x="104"/>
        <item x="56"/>
        <item x="117"/>
        <item x="70"/>
        <item x="100"/>
        <item x="116"/>
        <item x="145"/>
        <item x="53"/>
        <item x="47"/>
        <item x="88"/>
        <item x="50"/>
        <item x="51"/>
        <item x="75"/>
        <item x="125"/>
        <item x="67"/>
        <item x="46"/>
        <item x="85"/>
        <item x="102"/>
        <item x="144"/>
        <item x="91"/>
        <item x="96"/>
        <item x="65"/>
        <item x="68"/>
        <item x="58"/>
        <item x="54"/>
        <item x="107"/>
        <item x="28"/>
        <item x="57"/>
        <item x="87"/>
        <item x="45"/>
        <item x="152"/>
        <item x="127"/>
        <item x="14"/>
        <item x="124"/>
        <item x="159"/>
        <item x="131"/>
        <item x="29"/>
        <item x="71"/>
        <item x="132"/>
        <item x="134"/>
        <item x="120"/>
        <item x="110"/>
        <item x="84"/>
        <item x="108"/>
        <item x="80"/>
        <item x="147"/>
        <item x="69"/>
        <item x="133"/>
        <item x="61"/>
        <item x="72"/>
        <item x="60"/>
        <item x="128"/>
        <item x="90"/>
        <item x="148"/>
        <item x="157"/>
        <item x="146"/>
        <item x="34"/>
        <item x="59"/>
        <item x="74"/>
        <item x="123"/>
        <item x="115"/>
        <item x="95"/>
        <item x="109"/>
        <item x="106"/>
        <item x="97"/>
        <item x="151"/>
        <item x="154"/>
        <item x="156"/>
        <item x="141"/>
        <item x="150"/>
        <item x="101"/>
        <item x="143"/>
        <item x="49"/>
        <item x="79"/>
        <item x="139"/>
        <item x="142"/>
        <item x="130"/>
        <item x="77"/>
        <item x="160"/>
        <item x="118"/>
        <item x="92"/>
        <item x="158"/>
        <item x="171"/>
        <item x="15"/>
        <item x="99"/>
        <item x="126"/>
        <item x="166"/>
        <item x="111"/>
        <item x="122"/>
        <item x="112"/>
        <item x="173"/>
        <item x="98"/>
        <item x="73"/>
        <item x="103"/>
        <item x="167"/>
        <item x="113"/>
        <item x="114"/>
        <item x="119"/>
        <item x="105"/>
        <item x="93"/>
        <item x="89"/>
        <item x="149"/>
        <item x="94"/>
        <item x="136"/>
        <item x="82"/>
        <item x="121"/>
        <item x="153"/>
        <item x="155"/>
        <item x="161"/>
        <item x="165"/>
        <item x="168"/>
        <item x="175"/>
        <item x="81"/>
        <item x="83"/>
        <item x="129"/>
        <item x="135"/>
        <item x="137"/>
        <item x="138"/>
        <item x="140"/>
        <item x="162"/>
        <item x="163"/>
        <item x="164"/>
        <item x="169"/>
        <item x="170"/>
        <item x="172"/>
        <item x="174"/>
        <item x="176"/>
        <item t="default"/>
      </items>
    </pivotField>
    <pivotField axis="axisRow" compact="0" showAll="0">
      <items count="184">
        <item x="182"/>
        <item x="1"/>
        <item x="2"/>
        <item x="4"/>
        <item x="3"/>
        <item x="7"/>
        <item x="9"/>
        <item x="5"/>
        <item x="0"/>
        <item x="10"/>
        <item x="26"/>
        <item x="12"/>
        <item x="13"/>
        <item x="19"/>
        <item x="11"/>
        <item x="27"/>
        <item x="24"/>
        <item x="30"/>
        <item x="14"/>
        <item x="44"/>
        <item x="36"/>
        <item x="22"/>
        <item x="31"/>
        <item x="20"/>
        <item x="6"/>
        <item x="17"/>
        <item x="32"/>
        <item x="21"/>
        <item x="23"/>
        <item x="18"/>
        <item x="16"/>
        <item x="64"/>
        <item x="76"/>
        <item x="40"/>
        <item x="8"/>
        <item x="37"/>
        <item x="25"/>
        <item x="35"/>
        <item x="66"/>
        <item x="33"/>
        <item x="38"/>
        <item x="55"/>
        <item x="41"/>
        <item x="63"/>
        <item x="52"/>
        <item x="39"/>
        <item x="62"/>
        <item x="86"/>
        <item x="42"/>
        <item x="48"/>
        <item x="43"/>
        <item x="78"/>
        <item x="104"/>
        <item x="56"/>
        <item x="117"/>
        <item x="70"/>
        <item x="100"/>
        <item x="116"/>
        <item x="145"/>
        <item x="53"/>
        <item x="47"/>
        <item x="88"/>
        <item x="50"/>
        <item x="51"/>
        <item x="75"/>
        <item x="125"/>
        <item x="67"/>
        <item x="46"/>
        <item x="85"/>
        <item x="102"/>
        <item x="144"/>
        <item x="91"/>
        <item x="96"/>
        <item x="159"/>
        <item x="65"/>
        <item x="68"/>
        <item x="58"/>
        <item x="54"/>
        <item x="107"/>
        <item x="28"/>
        <item x="57"/>
        <item x="87"/>
        <item x="45"/>
        <item x="152"/>
        <item x="127"/>
        <item x="131"/>
        <item x="124"/>
        <item x="29"/>
        <item x="71"/>
        <item x="132"/>
        <item x="134"/>
        <item x="120"/>
        <item x="110"/>
        <item x="84"/>
        <item x="108"/>
        <item x="80"/>
        <item x="147"/>
        <item x="69"/>
        <item x="133"/>
        <item x="61"/>
        <item x="72"/>
        <item x="60"/>
        <item x="128"/>
        <item x="90"/>
        <item x="148"/>
        <item x="157"/>
        <item x="146"/>
        <item x="34"/>
        <item x="59"/>
        <item x="74"/>
        <item x="123"/>
        <item x="115"/>
        <item x="95"/>
        <item x="109"/>
        <item x="106"/>
        <item x="97"/>
        <item x="151"/>
        <item x="154"/>
        <item x="156"/>
        <item x="141"/>
        <item x="150"/>
        <item x="101"/>
        <item x="143"/>
        <item x="49"/>
        <item x="79"/>
        <item x="139"/>
        <item x="171"/>
        <item x="172"/>
        <item x="142"/>
        <item x="130"/>
        <item x="77"/>
        <item x="160"/>
        <item x="118"/>
        <item x="92"/>
        <item x="158"/>
        <item x="173"/>
        <item x="15"/>
        <item x="99"/>
        <item x="126"/>
        <item x="166"/>
        <item x="111"/>
        <item x="122"/>
        <item x="112"/>
        <item x="175"/>
        <item x="98"/>
        <item x="73"/>
        <item x="103"/>
        <item x="167"/>
        <item x="113"/>
        <item x="114"/>
        <item x="119"/>
        <item x="105"/>
        <item x="93"/>
        <item x="89"/>
        <item x="149"/>
        <item x="94"/>
        <item x="136"/>
        <item x="82"/>
        <item x="121"/>
        <item x="153"/>
        <item x="155"/>
        <item x="161"/>
        <item x="165"/>
        <item x="168"/>
        <item x="177"/>
        <item x="179"/>
        <item x="180"/>
        <item x="81"/>
        <item x="83"/>
        <item x="129"/>
        <item x="135"/>
        <item x="137"/>
        <item x="138"/>
        <item x="140"/>
        <item x="162"/>
        <item x="163"/>
        <item x="164"/>
        <item x="169"/>
        <item x="170"/>
        <item x="174"/>
        <item x="176"/>
        <item x="178"/>
        <item x="181"/>
        <item t="default"/>
      </items>
    </pivotField>
    <pivotField compact="0" showAll="0">
      <items count="108">
        <item x="106"/>
        <item x="96"/>
        <item x="60"/>
        <item x="75"/>
        <item x="64"/>
        <item x="82"/>
        <item x="101"/>
        <item x="105"/>
        <item x="58"/>
        <item x="71"/>
        <item x="70"/>
        <item x="45"/>
        <item x="104"/>
        <item x="78"/>
        <item x="102"/>
        <item x="95"/>
        <item x="77"/>
        <item x="89"/>
        <item x="73"/>
        <item x="68"/>
        <item x="98"/>
        <item x="41"/>
        <item x="87"/>
        <item x="92"/>
        <item x="86"/>
        <item x="84"/>
        <item x="72"/>
        <item x="32"/>
        <item x="103"/>
        <item x="59"/>
        <item x="79"/>
        <item x="88"/>
        <item x="40"/>
        <item x="36"/>
        <item x="74"/>
        <item x="90"/>
        <item x="99"/>
        <item x="15"/>
        <item x="42"/>
        <item x="39"/>
        <item x="25"/>
        <item x="51"/>
        <item x="47"/>
        <item x="46"/>
        <item x="69"/>
        <item x="83"/>
        <item x="21"/>
        <item x="94"/>
        <item x="48"/>
        <item x="55"/>
        <item x="49"/>
        <item x="93"/>
        <item x="97"/>
        <item x="61"/>
        <item x="0"/>
        <item x="1"/>
        <item x="2"/>
        <item x="3"/>
        <item x="4"/>
        <item x="5"/>
        <item x="6"/>
        <item x="7"/>
        <item x="8"/>
        <item x="9"/>
        <item x="10"/>
        <item x="11"/>
        <item x="12"/>
        <item x="13"/>
        <item x="14"/>
        <item x="16"/>
        <item x="17"/>
        <item x="18"/>
        <item x="19"/>
        <item x="20"/>
        <item x="22"/>
        <item x="23"/>
        <item x="24"/>
        <item x="26"/>
        <item x="27"/>
        <item x="28"/>
        <item x="29"/>
        <item x="30"/>
        <item x="31"/>
        <item x="33"/>
        <item x="34"/>
        <item x="35"/>
        <item x="37"/>
        <item x="38"/>
        <item x="43"/>
        <item x="44"/>
        <item x="50"/>
        <item x="52"/>
        <item x="53"/>
        <item x="54"/>
        <item x="56"/>
        <item x="57"/>
        <item x="62"/>
        <item x="63"/>
        <item x="65"/>
        <item x="66"/>
        <item x="67"/>
        <item x="76"/>
        <item x="80"/>
        <item x="81"/>
        <item x="85"/>
        <item x="91"/>
        <item x="100"/>
        <item t="default"/>
      </items>
    </pivotField>
    <pivotField compact="0" showAll="0">
      <items count="20">
        <item x="17"/>
        <item x="13"/>
        <item x="14"/>
        <item x="9"/>
        <item x="11"/>
        <item x="18"/>
        <item x="15"/>
        <item x="16"/>
        <item x="7"/>
        <item x="10"/>
        <item x="6"/>
        <item x="4"/>
        <item x="0"/>
        <item x="1"/>
        <item x="2"/>
        <item x="3"/>
        <item x="5"/>
        <item x="8"/>
        <item x="12"/>
        <item t="default"/>
      </items>
    </pivotField>
    <pivotField compact="0" showAll="0">
      <items count="91">
        <item x="52"/>
        <item x="89"/>
        <item x="61"/>
        <item x="58"/>
        <item x="46"/>
        <item x="63"/>
        <item x="66"/>
        <item x="71"/>
        <item x="55"/>
        <item x="72"/>
        <item x="64"/>
        <item x="23"/>
        <item x="57"/>
        <item x="60"/>
        <item x="74"/>
        <item x="49"/>
        <item x="48"/>
        <item x="69"/>
        <item x="44"/>
        <item x="54"/>
        <item x="41"/>
        <item x="77"/>
        <item x="78"/>
        <item x="67"/>
        <item x="76"/>
        <item x="45"/>
        <item x="70"/>
        <item x="20"/>
        <item x="62"/>
        <item x="73"/>
        <item x="30"/>
        <item x="34"/>
        <item x="75"/>
        <item x="1"/>
        <item x="25"/>
        <item x="50"/>
        <item x="16"/>
        <item x="17"/>
        <item x="15"/>
        <item x="43"/>
        <item x="51"/>
        <item x="31"/>
        <item x="24"/>
        <item x="59"/>
        <item x="68"/>
        <item x="47"/>
        <item x="39"/>
        <item x="37"/>
        <item x="56"/>
        <item x="29"/>
        <item x="0"/>
        <item x="2"/>
        <item x="3"/>
        <item x="4"/>
        <item x="5"/>
        <item x="6"/>
        <item x="7"/>
        <item x="8"/>
        <item x="9"/>
        <item x="10"/>
        <item x="11"/>
        <item x="12"/>
        <item x="13"/>
        <item x="14"/>
        <item x="18"/>
        <item x="19"/>
        <item x="21"/>
        <item x="22"/>
        <item x="26"/>
        <item x="27"/>
        <item x="28"/>
        <item x="32"/>
        <item x="33"/>
        <item x="35"/>
        <item x="36"/>
        <item x="38"/>
        <item x="40"/>
        <item x="42"/>
        <item x="53"/>
        <item x="65"/>
        <item x="79"/>
        <item x="80"/>
        <item x="81"/>
        <item x="82"/>
        <item x="83"/>
        <item x="84"/>
        <item x="85"/>
        <item x="86"/>
        <item x="87"/>
        <item x="88"/>
        <item t="default"/>
      </items>
    </pivotField>
    <pivotField compact="0" showAll="0">
      <items count="22">
        <item x="17"/>
        <item x="20"/>
        <item x="19"/>
        <item x="18"/>
        <item x="0"/>
        <item x="1"/>
        <item x="2"/>
        <item x="3"/>
        <item x="4"/>
        <item x="5"/>
        <item x="6"/>
        <item x="7"/>
        <item x="8"/>
        <item x="9"/>
        <item x="10"/>
        <item x="11"/>
        <item x="12"/>
        <item x="13"/>
        <item x="14"/>
        <item x="15"/>
        <item x="16"/>
        <item t="default"/>
      </items>
    </pivotField>
    <pivotField compact="0" showAll="0">
      <items count="120">
        <item x="118"/>
        <item x="59"/>
        <item x="103"/>
        <item x="75"/>
        <item x="79"/>
        <item x="57"/>
        <item x="93"/>
        <item x="78"/>
        <item x="115"/>
        <item x="106"/>
        <item x="107"/>
        <item x="108"/>
        <item x="83"/>
        <item x="95"/>
        <item x="58"/>
        <item x="97"/>
        <item x="76"/>
        <item x="68"/>
        <item x="98"/>
        <item x="117"/>
        <item x="110"/>
        <item x="71"/>
        <item x="113"/>
        <item x="90"/>
        <item x="65"/>
        <item x="116"/>
        <item x="63"/>
        <item x="112"/>
        <item x="85"/>
        <item x="73"/>
        <item x="53"/>
        <item x="99"/>
        <item x="81"/>
        <item x="66"/>
        <item x="100"/>
        <item x="82"/>
        <item x="46"/>
        <item x="86"/>
        <item x="40"/>
        <item x="56"/>
        <item x="74"/>
        <item x="48"/>
        <item x="92"/>
        <item x="104"/>
        <item x="101"/>
        <item x="109"/>
        <item x="51"/>
        <item x="47"/>
        <item x="34"/>
        <item x="67"/>
        <item x="31"/>
        <item x="111"/>
        <item x="24"/>
        <item x="77"/>
        <item x="32"/>
        <item x="69"/>
        <item x="36"/>
        <item x="70"/>
        <item x="89"/>
        <item x="105"/>
        <item x="61"/>
        <item x="0"/>
        <item x="1"/>
        <item x="2"/>
        <item x="3"/>
        <item x="4"/>
        <item x="5"/>
        <item x="6"/>
        <item x="7"/>
        <item x="8"/>
        <item x="9"/>
        <item x="10"/>
        <item x="11"/>
        <item x="12"/>
        <item x="13"/>
        <item x="14"/>
        <item x="15"/>
        <item x="16"/>
        <item x="17"/>
        <item x="18"/>
        <item x="19"/>
        <item x="20"/>
        <item x="21"/>
        <item x="22"/>
        <item x="23"/>
        <item x="25"/>
        <item x="26"/>
        <item x="27"/>
        <item x="28"/>
        <item x="29"/>
        <item x="30"/>
        <item x="33"/>
        <item x="35"/>
        <item x="37"/>
        <item x="38"/>
        <item x="39"/>
        <item x="41"/>
        <item x="42"/>
        <item x="43"/>
        <item x="44"/>
        <item x="45"/>
        <item x="49"/>
        <item x="50"/>
        <item x="52"/>
        <item x="54"/>
        <item x="55"/>
        <item x="60"/>
        <item x="62"/>
        <item x="64"/>
        <item x="72"/>
        <item x="80"/>
        <item x="84"/>
        <item x="87"/>
        <item x="88"/>
        <item x="91"/>
        <item x="94"/>
        <item x="96"/>
        <item x="102"/>
        <item x="114"/>
        <item t="default"/>
      </items>
    </pivotField>
    <pivotField compact="0" showAll="0">
      <items count="24">
        <item x="20"/>
        <item x="14"/>
        <item x="15"/>
        <item x="18"/>
        <item x="16"/>
        <item x="17"/>
        <item x="10"/>
        <item x="21"/>
        <item x="22"/>
        <item x="6"/>
        <item x="9"/>
        <item x="11"/>
        <item x="4"/>
        <item x="13"/>
        <item x="0"/>
        <item x="1"/>
        <item x="2"/>
        <item x="3"/>
        <item x="5"/>
        <item x="7"/>
        <item x="8"/>
        <item x="12"/>
        <item x="19"/>
        <item t="default"/>
      </items>
    </pivotField>
    <pivotField compact="0" showAll="0">
      <items count="98">
        <item x="76"/>
        <item x="96"/>
        <item x="70"/>
        <item x="54"/>
        <item x="67"/>
        <item x="68"/>
        <item x="79"/>
        <item x="52"/>
        <item x="59"/>
        <item x="49"/>
        <item x="66"/>
        <item x="78"/>
        <item x="60"/>
        <item x="81"/>
        <item x="45"/>
        <item x="77"/>
        <item x="56"/>
        <item x="58"/>
        <item x="61"/>
        <item x="62"/>
        <item x="41"/>
        <item x="36"/>
        <item x="64"/>
        <item x="37"/>
        <item x="74"/>
        <item x="43"/>
        <item x="51"/>
        <item x="82"/>
        <item x="38"/>
        <item x="48"/>
        <item x="46"/>
        <item x="18"/>
        <item x="23"/>
        <item x="72"/>
        <item x="19"/>
        <item x="40"/>
        <item x="75"/>
        <item x="20"/>
        <item x="47"/>
        <item x="80"/>
        <item x="17"/>
        <item x="8"/>
        <item x="31"/>
        <item x="50"/>
        <item x="11"/>
        <item x="30"/>
        <item x="16"/>
        <item x="63"/>
        <item x="13"/>
        <item x="33"/>
        <item x="0"/>
        <item x="1"/>
        <item x="2"/>
        <item x="3"/>
        <item x="4"/>
        <item x="5"/>
        <item x="6"/>
        <item x="7"/>
        <item x="9"/>
        <item x="10"/>
        <item x="12"/>
        <item x="14"/>
        <item x="15"/>
        <item x="21"/>
        <item x="22"/>
        <item x="24"/>
        <item x="25"/>
        <item x="26"/>
        <item x="27"/>
        <item x="28"/>
        <item x="29"/>
        <item x="32"/>
        <item x="34"/>
        <item x="35"/>
        <item x="39"/>
        <item x="42"/>
        <item x="44"/>
        <item x="53"/>
        <item x="55"/>
        <item x="57"/>
        <item x="65"/>
        <item x="69"/>
        <item x="71"/>
        <item x="73"/>
        <item x="83"/>
        <item x="84"/>
        <item x="85"/>
        <item x="86"/>
        <item x="87"/>
        <item x="88"/>
        <item x="89"/>
        <item x="90"/>
        <item x="91"/>
        <item x="92"/>
        <item x="93"/>
        <item x="94"/>
        <item x="95"/>
        <item t="default"/>
      </items>
    </pivotField>
    <pivotField compact="0" showAll="0">
      <items count="26">
        <item x="20"/>
        <item x="24"/>
        <item x="12"/>
        <item x="0"/>
        <item x="1"/>
        <item x="2"/>
        <item x="3"/>
        <item x="4"/>
        <item x="5"/>
        <item x="6"/>
        <item x="7"/>
        <item x="8"/>
        <item x="9"/>
        <item x="10"/>
        <item x="11"/>
        <item x="13"/>
        <item x="14"/>
        <item x="15"/>
        <item x="16"/>
        <item x="17"/>
        <item x="18"/>
        <item x="19"/>
        <item x="21"/>
        <item x="22"/>
        <item x="23"/>
        <item t="default"/>
      </items>
    </pivotField>
    <pivotField compact="0" showAll="0">
      <items count="79">
        <item x="0"/>
        <item x="77"/>
        <item x="74"/>
        <item x="75"/>
        <item x="24"/>
        <item x="30"/>
        <item x="7"/>
        <item x="34"/>
        <item x="63"/>
        <item x="61"/>
        <item x="5"/>
        <item x="26"/>
        <item x="31"/>
        <item x="40"/>
        <item x="23"/>
        <item x="54"/>
        <item x="43"/>
        <item x="56"/>
        <item x="48"/>
        <item x="53"/>
        <item x="65"/>
        <item x="69"/>
        <item x="45"/>
        <item x="1"/>
        <item x="2"/>
        <item x="3"/>
        <item x="4"/>
        <item x="6"/>
        <item x="8"/>
        <item x="9"/>
        <item x="10"/>
        <item x="11"/>
        <item x="12"/>
        <item x="13"/>
        <item x="14"/>
        <item x="15"/>
        <item x="16"/>
        <item x="17"/>
        <item x="18"/>
        <item x="19"/>
        <item x="20"/>
        <item x="21"/>
        <item x="22"/>
        <item x="25"/>
        <item x="27"/>
        <item x="28"/>
        <item x="29"/>
        <item x="32"/>
        <item x="33"/>
        <item x="35"/>
        <item x="36"/>
        <item x="37"/>
        <item x="38"/>
        <item x="39"/>
        <item x="41"/>
        <item x="42"/>
        <item x="44"/>
        <item x="46"/>
        <item x="47"/>
        <item x="49"/>
        <item x="50"/>
        <item x="51"/>
        <item x="52"/>
        <item x="55"/>
        <item x="57"/>
        <item x="58"/>
        <item x="59"/>
        <item x="60"/>
        <item x="62"/>
        <item x="64"/>
        <item x="66"/>
        <item x="67"/>
        <item x="68"/>
        <item x="70"/>
        <item x="71"/>
        <item x="72"/>
        <item x="73"/>
        <item x="76"/>
        <item t="default"/>
      </items>
    </pivotField>
    <pivotField compact="0" showAll="0">
      <items count="12">
        <item x="6"/>
        <item x="0"/>
        <item x="10"/>
        <item x="2"/>
        <item x="3"/>
        <item x="8"/>
        <item x="9"/>
        <item x="1"/>
        <item x="4"/>
        <item x="5"/>
        <item x="7"/>
        <item t="default"/>
      </items>
    </pivotField>
    <pivotField dataField="1" compact="0" showAll="0">
      <items count="40">
        <item x="30"/>
        <item x="31"/>
        <item x="33"/>
        <item x="34"/>
        <item x="35"/>
        <item x="36"/>
        <item x="37"/>
        <item x="29"/>
        <item x="25"/>
        <item x="32"/>
        <item x="38"/>
        <item x="28"/>
        <item x="27"/>
        <item x="23"/>
        <item x="26"/>
        <item x="21"/>
        <item x="22"/>
        <item x="8"/>
        <item x="19"/>
        <item x="16"/>
        <item x="17"/>
        <item x="13"/>
        <item x="15"/>
        <item x="20"/>
        <item x="18"/>
        <item x="0"/>
        <item x="1"/>
        <item x="2"/>
        <item x="3"/>
        <item x="4"/>
        <item x="5"/>
        <item x="6"/>
        <item x="7"/>
        <item x="9"/>
        <item x="10"/>
        <item x="11"/>
        <item x="12"/>
        <item x="14"/>
        <item x="24"/>
        <item t="default"/>
      </items>
    </pivotField>
  </pivotFields>
  <rowFields count="1">
    <field x="2"/>
  </rowFields>
  <rowItems count="1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数据透视表18" cacheId="2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AJ86" firstHeaderRow="0" firstDataRow="1" firstDataCol="1"/>
  <pivotFields count="19">
    <pivotField axis="axisRow" compact="0" showAll="0">
      <items count="85">
        <item x="83"/>
        <item x="0"/>
        <item x="1"/>
        <item x="2"/>
        <item x="3"/>
        <item x="4"/>
        <item x="5"/>
        <item x="6"/>
        <item x="7"/>
        <item x="9"/>
        <item x="10"/>
        <item x="11"/>
        <item x="13"/>
        <item x="14"/>
        <item x="38"/>
        <item x="15"/>
        <item x="16"/>
        <item x="17"/>
        <item x="18"/>
        <item x="21"/>
        <item x="23"/>
        <item x="24"/>
        <item x="25"/>
        <item x="28"/>
        <item x="31"/>
        <item x="34"/>
        <item x="35"/>
        <item x="36"/>
        <item x="37"/>
        <item x="39"/>
        <item x="43"/>
        <item x="42"/>
        <item x="45"/>
        <item x="44"/>
        <item x="48"/>
        <item x="49"/>
        <item x="51"/>
        <item x="52"/>
        <item x="47"/>
        <item x="53"/>
        <item x="54"/>
        <item x="8"/>
        <item x="55"/>
        <item x="56"/>
        <item x="33"/>
        <item x="40"/>
        <item x="57"/>
        <item x="79"/>
        <item x="80"/>
        <item x="81"/>
        <item x="58"/>
        <item x="59"/>
        <item x="19"/>
        <item x="20"/>
        <item x="26"/>
        <item x="27"/>
        <item x="32"/>
        <item x="50"/>
        <item x="29"/>
        <item x="60"/>
        <item x="46"/>
        <item x="61"/>
        <item x="62"/>
        <item x="63"/>
        <item x="64"/>
        <item x="65"/>
        <item x="66"/>
        <item x="67"/>
        <item x="68"/>
        <item x="69"/>
        <item x="70"/>
        <item x="82"/>
        <item x="30"/>
        <item x="71"/>
        <item x="72"/>
        <item x="12"/>
        <item x="22"/>
        <item x="41"/>
        <item x="73"/>
        <item x="74"/>
        <item x="75"/>
        <item x="76"/>
        <item x="77"/>
        <item x="78"/>
        <item t="default"/>
      </items>
    </pivotField>
    <pivotField compact="0" showAll="0">
      <items count="83">
        <item x="81"/>
        <item x="0"/>
        <item x="1"/>
        <item x="2"/>
        <item x="3"/>
        <item x="4"/>
        <item x="5"/>
        <item x="6"/>
        <item x="7"/>
        <item x="9"/>
        <item x="10"/>
        <item x="11"/>
        <item x="13"/>
        <item x="14"/>
        <item x="38"/>
        <item x="15"/>
        <item x="16"/>
        <item x="17"/>
        <item x="18"/>
        <item x="21"/>
        <item x="23"/>
        <item x="24"/>
        <item x="25"/>
        <item x="28"/>
        <item x="31"/>
        <item x="34"/>
        <item x="35"/>
        <item x="36"/>
        <item x="37"/>
        <item x="39"/>
        <item x="43"/>
        <item x="42"/>
        <item x="45"/>
        <item x="44"/>
        <item x="48"/>
        <item x="49"/>
        <item x="51"/>
        <item x="52"/>
        <item x="47"/>
        <item x="53"/>
        <item x="54"/>
        <item x="8"/>
        <item x="55"/>
        <item x="56"/>
        <item x="33"/>
        <item x="40"/>
        <item x="57"/>
        <item x="79"/>
        <item x="58"/>
        <item x="59"/>
        <item x="19"/>
        <item x="20"/>
        <item x="26"/>
        <item x="27"/>
        <item x="32"/>
        <item x="50"/>
        <item x="29"/>
        <item x="60"/>
        <item x="46"/>
        <item x="61"/>
        <item x="62"/>
        <item x="63"/>
        <item x="64"/>
        <item x="65"/>
        <item x="66"/>
        <item x="67"/>
        <item x="68"/>
        <item x="69"/>
        <item x="70"/>
        <item x="80"/>
        <item x="30"/>
        <item x="71"/>
        <item x="72"/>
        <item x="12"/>
        <item x="22"/>
        <item x="41"/>
        <item x="73"/>
        <item x="74"/>
        <item x="75"/>
        <item x="76"/>
        <item x="77"/>
        <item x="78"/>
        <item t="default"/>
      </items>
    </pivotField>
    <pivotField dataField="1" compact="0" showAll="0">
      <items count="134">
        <item x="132"/>
        <item x="21"/>
        <item x="23"/>
        <item x="112"/>
        <item x="0"/>
        <item x="1"/>
        <item x="2"/>
        <item x="3"/>
        <item x="4"/>
        <item x="5"/>
        <item x="6"/>
        <item x="7"/>
        <item x="8"/>
        <item x="9"/>
        <item x="10"/>
        <item x="11"/>
        <item x="12"/>
        <item x="13"/>
        <item x="14"/>
        <item x="15"/>
        <item x="16"/>
        <item x="17"/>
        <item x="18"/>
        <item x="19"/>
        <item x="20"/>
        <item x="22"/>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3"/>
        <item x="114"/>
        <item x="115"/>
        <item x="116"/>
        <item x="117"/>
        <item x="118"/>
        <item x="119"/>
        <item x="120"/>
        <item x="121"/>
        <item x="122"/>
        <item x="123"/>
        <item x="124"/>
        <item x="125"/>
        <item x="126"/>
        <item x="127"/>
        <item x="128"/>
        <item x="129"/>
        <item x="130"/>
        <item x="131"/>
        <item t="default"/>
      </items>
    </pivotField>
    <pivotField dataField="1" compact="0" showAll="0">
      <items count="88">
        <item x="86"/>
        <item x="2"/>
        <item x="42"/>
        <item x="67"/>
        <item x="18"/>
        <item x="21"/>
        <item x="27"/>
        <item x="78"/>
        <item x="59"/>
        <item x="80"/>
        <item x="71"/>
        <item x="46"/>
        <item x="8"/>
        <item x="77"/>
        <item x="28"/>
        <item x="57"/>
        <item x="9"/>
        <item x="73"/>
        <item x="52"/>
        <item x="84"/>
        <item x="23"/>
        <item x="41"/>
        <item x="56"/>
        <item x="33"/>
        <item x="75"/>
        <item x="54"/>
        <item x="51"/>
        <item x="22"/>
        <item x="83"/>
        <item x="34"/>
        <item x="48"/>
        <item x="63"/>
        <item x="37"/>
        <item x="79"/>
        <item x="32"/>
        <item x="66"/>
        <item x="36"/>
        <item x="61"/>
        <item x="0"/>
        <item x="1"/>
        <item x="3"/>
        <item x="4"/>
        <item x="5"/>
        <item x="6"/>
        <item x="7"/>
        <item x="10"/>
        <item x="11"/>
        <item x="12"/>
        <item x="13"/>
        <item x="14"/>
        <item x="15"/>
        <item x="16"/>
        <item x="17"/>
        <item x="19"/>
        <item x="20"/>
        <item x="24"/>
        <item x="25"/>
        <item x="26"/>
        <item x="29"/>
        <item x="30"/>
        <item x="31"/>
        <item x="35"/>
        <item x="38"/>
        <item x="39"/>
        <item x="40"/>
        <item x="43"/>
        <item x="44"/>
        <item x="45"/>
        <item x="47"/>
        <item x="49"/>
        <item x="50"/>
        <item x="53"/>
        <item x="55"/>
        <item x="58"/>
        <item x="60"/>
        <item x="62"/>
        <item x="64"/>
        <item x="65"/>
        <item x="68"/>
        <item x="69"/>
        <item x="70"/>
        <item x="72"/>
        <item x="74"/>
        <item x="76"/>
        <item x="81"/>
        <item x="82"/>
        <item x="85"/>
        <item t="default"/>
      </items>
    </pivotField>
    <pivotField compact="0" showAll="0">
      <items count="133">
        <item x="131"/>
        <item x="2"/>
        <item x="21"/>
        <item x="23"/>
        <item x="112"/>
        <item x="0"/>
        <item x="1"/>
        <item x="3"/>
        <item x="4"/>
        <item x="5"/>
        <item x="6"/>
        <item x="7"/>
        <item x="8"/>
        <item x="9"/>
        <item x="10"/>
        <item x="11"/>
        <item x="12"/>
        <item x="13"/>
        <item x="14"/>
        <item x="15"/>
        <item x="16"/>
        <item x="17"/>
        <item x="18"/>
        <item x="19"/>
        <item x="20"/>
        <item x="22"/>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3"/>
        <item x="114"/>
        <item x="115"/>
        <item x="116"/>
        <item x="117"/>
        <item x="118"/>
        <item x="119"/>
        <item x="120"/>
        <item x="121"/>
        <item x="122"/>
        <item x="123"/>
        <item x="124"/>
        <item x="125"/>
        <item x="126"/>
        <item x="127"/>
        <item x="128"/>
        <item x="129"/>
        <item x="130"/>
        <item t="default"/>
      </items>
    </pivotField>
    <pivotField compact="0" showAll="0">
      <items count="133">
        <item x="2"/>
        <item x="110"/>
        <item x="23"/>
        <item x="29"/>
        <item x="45"/>
        <item x="73"/>
        <item x="69"/>
        <item x="83"/>
        <item x="99"/>
        <item x="109"/>
        <item x="108"/>
        <item x="113"/>
        <item x="0"/>
        <item x="1"/>
        <item x="3"/>
        <item x="4"/>
        <item x="5"/>
        <item x="6"/>
        <item x="7"/>
        <item x="8"/>
        <item x="9"/>
        <item x="10"/>
        <item x="11"/>
        <item x="12"/>
        <item x="13"/>
        <item x="14"/>
        <item x="15"/>
        <item x="16"/>
        <item x="17"/>
        <item x="18"/>
        <item x="19"/>
        <item x="20"/>
        <item x="21"/>
        <item x="22"/>
        <item x="24"/>
        <item x="25"/>
        <item x="26"/>
        <item x="27"/>
        <item x="28"/>
        <item x="30"/>
        <item x="31"/>
        <item x="32"/>
        <item x="33"/>
        <item x="34"/>
        <item x="35"/>
        <item x="36"/>
        <item x="37"/>
        <item x="38"/>
        <item x="39"/>
        <item x="40"/>
        <item x="41"/>
        <item x="42"/>
        <item x="43"/>
        <item x="44"/>
        <item x="46"/>
        <item x="47"/>
        <item x="48"/>
        <item x="49"/>
        <item x="50"/>
        <item x="51"/>
        <item x="52"/>
        <item x="53"/>
        <item x="54"/>
        <item x="55"/>
        <item x="56"/>
        <item x="57"/>
        <item x="58"/>
        <item x="59"/>
        <item x="60"/>
        <item x="61"/>
        <item x="62"/>
        <item x="63"/>
        <item x="64"/>
        <item x="65"/>
        <item x="66"/>
        <item x="67"/>
        <item x="68"/>
        <item x="70"/>
        <item x="71"/>
        <item x="72"/>
        <item x="74"/>
        <item x="75"/>
        <item x="76"/>
        <item x="77"/>
        <item x="78"/>
        <item x="79"/>
        <item x="80"/>
        <item x="81"/>
        <item x="82"/>
        <item x="84"/>
        <item x="85"/>
        <item x="86"/>
        <item x="87"/>
        <item x="88"/>
        <item x="89"/>
        <item x="90"/>
        <item x="91"/>
        <item x="92"/>
        <item x="93"/>
        <item x="94"/>
        <item x="95"/>
        <item x="96"/>
        <item x="97"/>
        <item x="98"/>
        <item x="100"/>
        <item x="101"/>
        <item x="102"/>
        <item x="103"/>
        <item x="104"/>
        <item x="105"/>
        <item x="106"/>
        <item x="107"/>
        <item x="111"/>
        <item x="112"/>
        <item x="114"/>
        <item x="115"/>
        <item x="116"/>
        <item x="117"/>
        <item x="118"/>
        <item x="119"/>
        <item x="120"/>
        <item x="121"/>
        <item x="122"/>
        <item x="123"/>
        <item x="124"/>
        <item x="125"/>
        <item x="126"/>
        <item x="127"/>
        <item x="128"/>
        <item x="129"/>
        <item x="130"/>
        <item x="131"/>
        <item t="default"/>
      </items>
    </pivotField>
    <pivotField dataField="1" compact="0" showAll="0">
      <items count="133">
        <item x="131"/>
        <item x="2"/>
        <item x="21"/>
        <item x="23"/>
        <item x="29"/>
        <item x="45"/>
        <item x="40"/>
        <item x="83"/>
        <item x="98"/>
        <item x="108"/>
        <item x="107"/>
        <item x="112"/>
        <item x="120"/>
        <item x="0"/>
        <item x="1"/>
        <item x="3"/>
        <item x="4"/>
        <item x="5"/>
        <item x="6"/>
        <item x="7"/>
        <item x="8"/>
        <item x="9"/>
        <item x="10"/>
        <item x="11"/>
        <item x="12"/>
        <item x="13"/>
        <item x="14"/>
        <item x="15"/>
        <item x="16"/>
        <item x="17"/>
        <item x="18"/>
        <item x="19"/>
        <item x="20"/>
        <item x="22"/>
        <item x="24"/>
        <item x="25"/>
        <item x="26"/>
        <item x="27"/>
        <item x="28"/>
        <item x="30"/>
        <item x="31"/>
        <item x="32"/>
        <item x="33"/>
        <item x="34"/>
        <item x="35"/>
        <item x="36"/>
        <item x="37"/>
        <item x="38"/>
        <item x="39"/>
        <item x="41"/>
        <item x="42"/>
        <item x="43"/>
        <item x="44"/>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4"/>
        <item x="85"/>
        <item x="86"/>
        <item x="87"/>
        <item x="88"/>
        <item x="89"/>
        <item x="90"/>
        <item x="91"/>
        <item x="92"/>
        <item x="93"/>
        <item x="94"/>
        <item x="95"/>
        <item x="96"/>
        <item x="97"/>
        <item x="99"/>
        <item x="100"/>
        <item x="101"/>
        <item x="102"/>
        <item x="103"/>
        <item x="104"/>
        <item x="105"/>
        <item x="106"/>
        <item x="109"/>
        <item x="110"/>
        <item x="111"/>
        <item x="113"/>
        <item x="114"/>
        <item x="115"/>
        <item x="116"/>
        <item x="117"/>
        <item x="118"/>
        <item x="119"/>
        <item x="121"/>
        <item x="122"/>
        <item x="123"/>
        <item x="124"/>
        <item x="125"/>
        <item x="126"/>
        <item x="127"/>
        <item x="128"/>
        <item x="129"/>
        <item x="130"/>
        <item t="default"/>
      </items>
    </pivotField>
    <pivotField dataField="1" compact="0" showAll="0">
      <items count="79">
        <item x="2"/>
        <item x="77"/>
        <item x="31"/>
        <item x="61"/>
        <item x="34"/>
        <item x="18"/>
        <item x="42"/>
        <item x="63"/>
        <item x="8"/>
        <item x="71"/>
        <item x="33"/>
        <item x="53"/>
        <item x="73"/>
        <item x="10"/>
        <item x="26"/>
        <item x="7"/>
        <item x="0"/>
        <item x="9"/>
        <item x="20"/>
        <item x="22"/>
        <item x="27"/>
        <item x="72"/>
        <item x="70"/>
        <item x="48"/>
        <item x="65"/>
        <item x="66"/>
        <item x="23"/>
        <item x="37"/>
        <item x="69"/>
        <item x="1"/>
        <item x="3"/>
        <item x="4"/>
        <item x="5"/>
        <item x="6"/>
        <item x="11"/>
        <item x="12"/>
        <item x="13"/>
        <item x="14"/>
        <item x="15"/>
        <item x="16"/>
        <item x="17"/>
        <item x="19"/>
        <item x="21"/>
        <item x="24"/>
        <item x="25"/>
        <item x="28"/>
        <item x="29"/>
        <item x="30"/>
        <item x="32"/>
        <item x="35"/>
        <item x="36"/>
        <item x="38"/>
        <item x="39"/>
        <item x="40"/>
        <item x="41"/>
        <item x="43"/>
        <item x="44"/>
        <item x="45"/>
        <item x="46"/>
        <item x="47"/>
        <item x="49"/>
        <item x="50"/>
        <item x="51"/>
        <item x="52"/>
        <item x="54"/>
        <item x="55"/>
        <item x="56"/>
        <item x="57"/>
        <item x="58"/>
        <item x="59"/>
        <item x="60"/>
        <item x="62"/>
        <item x="64"/>
        <item x="67"/>
        <item x="68"/>
        <item x="74"/>
        <item x="75"/>
        <item x="76"/>
        <item t="default"/>
      </items>
    </pivotField>
    <pivotField compact="0" showAll="0">
      <items count="108">
        <item x="2"/>
        <item x="23"/>
        <item x="90"/>
        <item x="93"/>
        <item x="0"/>
        <item x="1"/>
        <item x="3"/>
        <item x="4"/>
        <item x="5"/>
        <item x="6"/>
        <item x="7"/>
        <item x="8"/>
        <item x="9"/>
        <item x="10"/>
        <item x="11"/>
        <item x="12"/>
        <item x="13"/>
        <item x="14"/>
        <item x="15"/>
        <item x="16"/>
        <item x="17"/>
        <item x="18"/>
        <item x="19"/>
        <item x="20"/>
        <item x="21"/>
        <item x="22"/>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1"/>
        <item x="92"/>
        <item x="94"/>
        <item x="95"/>
        <item x="96"/>
        <item x="97"/>
        <item x="98"/>
        <item x="99"/>
        <item x="100"/>
        <item x="101"/>
        <item x="102"/>
        <item x="103"/>
        <item x="104"/>
        <item x="105"/>
        <item x="106"/>
        <item t="default"/>
      </items>
    </pivotField>
    <pivotField compact="0" showAll="0">
      <items count="109">
        <item x="2"/>
        <item x="29"/>
        <item x="21"/>
        <item x="23"/>
        <item x="91"/>
        <item x="94"/>
        <item x="0"/>
        <item x="1"/>
        <item x="3"/>
        <item x="4"/>
        <item x="5"/>
        <item x="6"/>
        <item x="7"/>
        <item x="8"/>
        <item x="9"/>
        <item x="10"/>
        <item x="11"/>
        <item x="12"/>
        <item x="13"/>
        <item x="14"/>
        <item x="15"/>
        <item x="16"/>
        <item x="17"/>
        <item x="18"/>
        <item x="19"/>
        <item x="20"/>
        <item x="22"/>
        <item x="24"/>
        <item x="25"/>
        <item x="26"/>
        <item x="27"/>
        <item x="28"/>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2"/>
        <item x="93"/>
        <item x="95"/>
        <item x="96"/>
        <item x="97"/>
        <item x="98"/>
        <item x="99"/>
        <item x="100"/>
        <item x="101"/>
        <item x="102"/>
        <item x="103"/>
        <item x="104"/>
        <item x="105"/>
        <item x="106"/>
        <item x="107"/>
        <item t="default"/>
      </items>
    </pivotField>
    <pivotField dataField="1" compact="0" showAll="0">
      <items count="36">
        <item x="2"/>
        <item x="24"/>
        <item x="22"/>
        <item x="34"/>
        <item x="19"/>
        <item x="15"/>
        <item x="12"/>
        <item x="28"/>
        <item x="8"/>
        <item x="4"/>
        <item x="17"/>
        <item x="14"/>
        <item x="0"/>
        <item x="9"/>
        <item x="29"/>
        <item x="10"/>
        <item x="20"/>
        <item x="25"/>
        <item x="5"/>
        <item x="7"/>
        <item x="6"/>
        <item x="26"/>
        <item x="30"/>
        <item x="1"/>
        <item x="3"/>
        <item x="11"/>
        <item x="13"/>
        <item x="16"/>
        <item x="18"/>
        <item x="21"/>
        <item x="23"/>
        <item x="27"/>
        <item x="31"/>
        <item x="32"/>
        <item x="33"/>
        <item t="default"/>
      </items>
    </pivotField>
    <pivotField compact="0" showAll="0">
      <items count="36">
        <item x="2"/>
        <item x="24"/>
        <item x="21"/>
        <item x="34"/>
        <item x="18"/>
        <item x="8"/>
        <item x="25"/>
        <item x="22"/>
        <item x="14"/>
        <item x="16"/>
        <item x="9"/>
        <item x="4"/>
        <item x="30"/>
        <item x="0"/>
        <item x="26"/>
        <item x="19"/>
        <item x="10"/>
        <item x="11"/>
        <item x="5"/>
        <item x="31"/>
        <item x="7"/>
        <item x="3"/>
        <item x="29"/>
        <item x="1"/>
        <item x="6"/>
        <item x="12"/>
        <item x="13"/>
        <item x="15"/>
        <item x="17"/>
        <item x="20"/>
        <item x="23"/>
        <item x="27"/>
        <item x="28"/>
        <item x="32"/>
        <item x="33"/>
        <item t="default"/>
      </items>
    </pivotField>
    <pivotField compact="0" showAll="0">
      <items count="90">
        <item x="2"/>
        <item x="27"/>
        <item x="83"/>
        <item x="88"/>
        <item x="80"/>
        <item x="36"/>
        <item x="4"/>
        <item x="32"/>
        <item x="13"/>
        <item x="57"/>
        <item x="28"/>
        <item x="87"/>
        <item x="20"/>
        <item x="50"/>
        <item x="29"/>
        <item x="54"/>
        <item x="30"/>
        <item x="16"/>
        <item x="86"/>
        <item x="72"/>
        <item x="39"/>
        <item x="74"/>
        <item x="0"/>
        <item x="1"/>
        <item x="3"/>
        <item x="5"/>
        <item x="6"/>
        <item x="7"/>
        <item x="8"/>
        <item x="9"/>
        <item x="10"/>
        <item x="11"/>
        <item x="12"/>
        <item x="14"/>
        <item x="15"/>
        <item x="17"/>
        <item x="18"/>
        <item x="19"/>
        <item x="21"/>
        <item x="22"/>
        <item x="23"/>
        <item x="24"/>
        <item x="25"/>
        <item x="26"/>
        <item x="31"/>
        <item x="33"/>
        <item x="34"/>
        <item x="35"/>
        <item x="37"/>
        <item x="38"/>
        <item x="40"/>
        <item x="41"/>
        <item x="42"/>
        <item x="43"/>
        <item x="44"/>
        <item x="45"/>
        <item x="46"/>
        <item x="47"/>
        <item x="48"/>
        <item x="49"/>
        <item x="51"/>
        <item x="52"/>
        <item x="53"/>
        <item x="55"/>
        <item x="56"/>
        <item x="58"/>
        <item x="59"/>
        <item x="60"/>
        <item x="61"/>
        <item x="62"/>
        <item x="63"/>
        <item x="64"/>
        <item x="65"/>
        <item x="66"/>
        <item x="67"/>
        <item x="68"/>
        <item x="69"/>
        <item x="70"/>
        <item x="71"/>
        <item x="73"/>
        <item x="75"/>
        <item x="76"/>
        <item x="77"/>
        <item x="78"/>
        <item x="79"/>
        <item x="81"/>
        <item x="82"/>
        <item x="84"/>
        <item x="85"/>
        <item t="default"/>
      </items>
    </pivotField>
    <pivotField compact="0" showAll="0">
      <items count="27">
        <item x="13"/>
        <item x="2"/>
        <item x="24"/>
        <item x="20"/>
        <item x="21"/>
        <item x="15"/>
        <item x="25"/>
        <item x="14"/>
        <item x="0"/>
        <item x="9"/>
        <item x="10"/>
        <item x="22"/>
        <item x="4"/>
        <item x="12"/>
        <item x="7"/>
        <item x="8"/>
        <item x="16"/>
        <item x="1"/>
        <item x="3"/>
        <item x="5"/>
        <item x="6"/>
        <item x="11"/>
        <item x="17"/>
        <item x="18"/>
        <item x="19"/>
        <item x="23"/>
        <item t="default"/>
      </items>
    </pivotField>
    <pivotField compact="0" showAll="0">
      <items count="23">
        <item x="7"/>
        <item x="2"/>
        <item x="15"/>
        <item x="8"/>
        <item x="0"/>
        <item x="21"/>
        <item x="4"/>
        <item x="10"/>
        <item x="18"/>
        <item x="1"/>
        <item x="14"/>
        <item x="9"/>
        <item x="12"/>
        <item x="20"/>
        <item x="17"/>
        <item x="16"/>
        <item x="5"/>
        <item x="6"/>
        <item x="3"/>
        <item x="11"/>
        <item x="13"/>
        <item x="19"/>
        <item t="default"/>
      </items>
    </pivotField>
    <pivotField compact="0" showAll="0">
      <items count="59">
        <item x="2"/>
        <item x="57"/>
        <item x="53"/>
        <item x="17"/>
        <item x="20"/>
        <item x="29"/>
        <item x="25"/>
        <item x="22"/>
        <item x="9"/>
        <item x="7"/>
        <item x="8"/>
        <item x="28"/>
        <item x="0"/>
        <item x="14"/>
        <item x="35"/>
        <item x="18"/>
        <item x="50"/>
        <item x="31"/>
        <item x="32"/>
        <item x="40"/>
        <item x="36"/>
        <item x="39"/>
        <item x="42"/>
        <item x="45"/>
        <item x="27"/>
        <item x="49"/>
        <item x="55"/>
        <item x="1"/>
        <item x="3"/>
        <item x="4"/>
        <item x="5"/>
        <item x="6"/>
        <item x="10"/>
        <item x="11"/>
        <item x="12"/>
        <item x="13"/>
        <item x="15"/>
        <item x="16"/>
        <item x="19"/>
        <item x="21"/>
        <item x="23"/>
        <item x="24"/>
        <item x="26"/>
        <item x="30"/>
        <item x="33"/>
        <item x="34"/>
        <item x="37"/>
        <item x="38"/>
        <item x="41"/>
        <item x="43"/>
        <item x="44"/>
        <item x="46"/>
        <item x="47"/>
        <item x="48"/>
        <item x="51"/>
        <item x="52"/>
        <item x="54"/>
        <item x="56"/>
        <item t="default"/>
      </items>
    </pivotField>
    <pivotField compact="0" showAll="0">
      <items count="55">
        <item x="2"/>
        <item x="53"/>
        <item x="8"/>
        <item x="9"/>
        <item x="29"/>
        <item x="4"/>
        <item x="23"/>
        <item x="0"/>
        <item x="48"/>
        <item x="42"/>
        <item x="11"/>
        <item x="32"/>
        <item x="49"/>
        <item x="40"/>
        <item x="52"/>
        <item x="6"/>
        <item x="33"/>
        <item x="10"/>
        <item x="18"/>
        <item x="20"/>
        <item x="21"/>
        <item x="24"/>
        <item x="36"/>
        <item x="34"/>
        <item x="47"/>
        <item x="26"/>
        <item x="1"/>
        <item x="3"/>
        <item x="5"/>
        <item x="7"/>
        <item x="12"/>
        <item x="13"/>
        <item x="14"/>
        <item x="15"/>
        <item x="16"/>
        <item x="17"/>
        <item x="19"/>
        <item x="22"/>
        <item x="25"/>
        <item x="27"/>
        <item x="28"/>
        <item x="30"/>
        <item x="31"/>
        <item x="35"/>
        <item x="37"/>
        <item x="38"/>
        <item x="39"/>
        <item x="41"/>
        <item x="43"/>
        <item x="44"/>
        <item x="45"/>
        <item x="46"/>
        <item x="50"/>
        <item x="51"/>
        <item t="default"/>
      </items>
    </pivotField>
    <pivotField dataField="1" dragToCol="0" dragToPage="0" dragToRow="0" compact="0" showAll="0"/>
    <pivotField dataField="1" dragToCol="0" dragToPage="0" dragToRow="0" compact="0" showAll="0"/>
  </pivotFields>
  <rowFields count="1">
    <field x="0"/>
  </rowFields>
  <rowItems count="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878">
      <pivotArea dataOnly="0" labelOnly="1" fieldPosition="0">
        <references count="1">
          <reference field="4294967294" count="1">
            <x v="5"/>
          </reference>
        </references>
      </pivotArea>
    </format>
    <format dxfId="879">
      <pivotArea dataOnly="0" labelOnly="1" fieldPosition="0">
        <references count="1">
          <reference field="4294967294" count="1">
            <x v="6"/>
          </reference>
        </references>
      </pivotArea>
    </format>
    <format dxfId="880">
      <pivotArea collapsedLevelsAreSubtotals="1" fieldPosition="0">
        <references count="1">
          <reference field="4294967294" count="1" selected="0">
            <x v="5"/>
          </reference>
        </references>
      </pivotArea>
    </format>
    <format dxfId="881">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数据透视表13" cacheId="15"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B1:C147" firstHeaderRow="1" firstDataRow="1" firstDataCol="1"/>
  <pivotFields count="14">
    <pivotField compact="0" showAll="0">
      <items count="145">
        <item x="143"/>
        <item x="1"/>
        <item x="2"/>
        <item x="5"/>
        <item x="6"/>
        <item x="12"/>
        <item x="4"/>
        <item x="0"/>
        <item x="3"/>
        <item x="19"/>
        <item x="20"/>
        <item x="13"/>
        <item x="9"/>
        <item x="28"/>
        <item x="11"/>
        <item x="21"/>
        <item x="10"/>
        <item x="23"/>
        <item x="59"/>
        <item x="26"/>
        <item x="31"/>
        <item x="16"/>
        <item x="17"/>
        <item x="104"/>
        <item x="36"/>
        <item x="18"/>
        <item x="39"/>
        <item x="74"/>
        <item x="34"/>
        <item x="14"/>
        <item x="7"/>
        <item x="15"/>
        <item x="78"/>
        <item x="38"/>
        <item x="35"/>
        <item x="68"/>
        <item x="99"/>
        <item x="22"/>
        <item x="64"/>
        <item x="41"/>
        <item x="80"/>
        <item x="55"/>
        <item x="58"/>
        <item x="47"/>
        <item x="30"/>
        <item x="32"/>
        <item x="48"/>
        <item x="27"/>
        <item x="54"/>
        <item x="89"/>
        <item x="60"/>
        <item x="40"/>
        <item x="44"/>
        <item x="57"/>
        <item x="24"/>
        <item x="69"/>
        <item x="81"/>
        <item x="29"/>
        <item x="82"/>
        <item x="37"/>
        <item x="93"/>
        <item x="51"/>
        <item x="67"/>
        <item x="61"/>
        <item x="92"/>
        <item x="42"/>
        <item x="33"/>
        <item x="8"/>
        <item x="103"/>
        <item x="53"/>
        <item x="86"/>
        <item x="105"/>
        <item x="56"/>
        <item x="121"/>
        <item x="77"/>
        <item x="109"/>
        <item x="120"/>
        <item x="71"/>
        <item x="98"/>
        <item x="76"/>
        <item x="136"/>
        <item x="87"/>
        <item x="85"/>
        <item x="62"/>
        <item x="65"/>
        <item x="127"/>
        <item x="113"/>
        <item x="25"/>
        <item x="132"/>
        <item x="72"/>
        <item x="115"/>
        <item x="117"/>
        <item x="116"/>
        <item x="122"/>
        <item x="123"/>
        <item x="131"/>
        <item x="66"/>
        <item x="112"/>
        <item x="114"/>
        <item x="90"/>
        <item x="91"/>
        <item x="133"/>
        <item x="50"/>
        <item x="75"/>
        <item x="70"/>
        <item x="49"/>
        <item x="101"/>
        <item x="79"/>
        <item x="83"/>
        <item x="73"/>
        <item x="100"/>
        <item x="63"/>
        <item x="108"/>
        <item x="110"/>
        <item x="111"/>
        <item x="84"/>
        <item x="118"/>
        <item x="124"/>
        <item x="130"/>
        <item x="95"/>
        <item x="45"/>
        <item x="139"/>
        <item x="43"/>
        <item x="46"/>
        <item x="52"/>
        <item x="88"/>
        <item x="94"/>
        <item x="96"/>
        <item x="97"/>
        <item x="102"/>
        <item x="106"/>
        <item x="107"/>
        <item x="119"/>
        <item x="125"/>
        <item x="126"/>
        <item x="128"/>
        <item x="129"/>
        <item x="134"/>
        <item x="135"/>
        <item x="137"/>
        <item x="138"/>
        <item x="140"/>
        <item x="141"/>
        <item x="142"/>
        <item t="default"/>
      </items>
    </pivotField>
    <pivotField compact="0" showAll="0">
      <items count="142">
        <item x="140"/>
        <item x="1"/>
        <item x="2"/>
        <item x="5"/>
        <item x="6"/>
        <item x="12"/>
        <item x="4"/>
        <item x="0"/>
        <item x="3"/>
        <item x="19"/>
        <item x="20"/>
        <item x="13"/>
        <item x="9"/>
        <item x="28"/>
        <item x="11"/>
        <item x="21"/>
        <item x="10"/>
        <item x="23"/>
        <item x="59"/>
        <item x="26"/>
        <item x="31"/>
        <item x="16"/>
        <item x="104"/>
        <item x="36"/>
        <item x="18"/>
        <item x="39"/>
        <item x="74"/>
        <item x="34"/>
        <item x="14"/>
        <item x="7"/>
        <item x="15"/>
        <item x="78"/>
        <item x="38"/>
        <item x="35"/>
        <item x="68"/>
        <item x="99"/>
        <item x="22"/>
        <item x="64"/>
        <item x="41"/>
        <item x="80"/>
        <item x="55"/>
        <item x="58"/>
        <item x="47"/>
        <item x="30"/>
        <item x="32"/>
        <item x="48"/>
        <item x="27"/>
        <item x="54"/>
        <item x="89"/>
        <item x="60"/>
        <item x="40"/>
        <item x="44"/>
        <item x="57"/>
        <item x="24"/>
        <item x="69"/>
        <item x="17"/>
        <item x="81"/>
        <item x="29"/>
        <item x="82"/>
        <item x="37"/>
        <item x="93"/>
        <item x="51"/>
        <item x="67"/>
        <item x="61"/>
        <item x="92"/>
        <item x="42"/>
        <item x="33"/>
        <item x="8"/>
        <item x="103"/>
        <item x="53"/>
        <item x="86"/>
        <item x="105"/>
        <item x="56"/>
        <item x="121"/>
        <item x="77"/>
        <item x="109"/>
        <item x="120"/>
        <item x="71"/>
        <item x="98"/>
        <item x="76"/>
        <item x="87"/>
        <item x="85"/>
        <item x="62"/>
        <item x="65"/>
        <item x="127"/>
        <item x="113"/>
        <item x="25"/>
        <item x="132"/>
        <item x="72"/>
        <item x="115"/>
        <item x="117"/>
        <item x="116"/>
        <item x="122"/>
        <item x="123"/>
        <item x="131"/>
        <item x="66"/>
        <item x="112"/>
        <item x="114"/>
        <item x="90"/>
        <item x="91"/>
        <item x="133"/>
        <item x="50"/>
        <item x="75"/>
        <item x="70"/>
        <item x="49"/>
        <item x="101"/>
        <item x="79"/>
        <item x="83"/>
        <item x="73"/>
        <item x="100"/>
        <item x="63"/>
        <item x="108"/>
        <item x="110"/>
        <item x="111"/>
        <item x="84"/>
        <item x="118"/>
        <item x="124"/>
        <item x="130"/>
        <item x="95"/>
        <item x="45"/>
        <item x="138"/>
        <item x="43"/>
        <item x="46"/>
        <item x="52"/>
        <item x="88"/>
        <item x="94"/>
        <item x="96"/>
        <item x="97"/>
        <item x="102"/>
        <item x="106"/>
        <item x="107"/>
        <item x="119"/>
        <item x="125"/>
        <item x="126"/>
        <item x="128"/>
        <item x="129"/>
        <item x="134"/>
        <item x="135"/>
        <item x="136"/>
        <item x="137"/>
        <item x="139"/>
        <item t="default"/>
      </items>
    </pivotField>
    <pivotField axis="axisRow" compact="0" showAll="0">
      <items count="146">
        <item x="144"/>
        <item x="1"/>
        <item x="2"/>
        <item x="5"/>
        <item x="6"/>
        <item x="12"/>
        <item x="4"/>
        <item x="0"/>
        <item x="3"/>
        <item x="19"/>
        <item x="20"/>
        <item x="13"/>
        <item x="9"/>
        <item x="28"/>
        <item x="11"/>
        <item x="21"/>
        <item x="10"/>
        <item x="23"/>
        <item x="59"/>
        <item x="26"/>
        <item x="31"/>
        <item x="16"/>
        <item x="17"/>
        <item x="104"/>
        <item x="36"/>
        <item x="18"/>
        <item x="39"/>
        <item x="74"/>
        <item x="34"/>
        <item x="14"/>
        <item x="7"/>
        <item x="15"/>
        <item x="78"/>
        <item x="38"/>
        <item x="35"/>
        <item x="68"/>
        <item x="99"/>
        <item x="22"/>
        <item x="64"/>
        <item x="41"/>
        <item x="80"/>
        <item x="55"/>
        <item x="58"/>
        <item x="47"/>
        <item x="30"/>
        <item x="32"/>
        <item x="48"/>
        <item x="27"/>
        <item x="54"/>
        <item x="89"/>
        <item x="60"/>
        <item x="40"/>
        <item x="44"/>
        <item x="57"/>
        <item x="24"/>
        <item x="69"/>
        <item x="81"/>
        <item x="29"/>
        <item x="82"/>
        <item x="37"/>
        <item x="93"/>
        <item x="51"/>
        <item x="67"/>
        <item x="61"/>
        <item x="92"/>
        <item x="42"/>
        <item x="33"/>
        <item x="8"/>
        <item x="103"/>
        <item x="53"/>
        <item x="86"/>
        <item x="105"/>
        <item x="56"/>
        <item x="121"/>
        <item x="77"/>
        <item x="109"/>
        <item x="120"/>
        <item x="71"/>
        <item x="98"/>
        <item x="76"/>
        <item x="136"/>
        <item x="87"/>
        <item x="85"/>
        <item x="62"/>
        <item x="65"/>
        <item x="127"/>
        <item x="113"/>
        <item x="25"/>
        <item x="132"/>
        <item x="72"/>
        <item x="115"/>
        <item x="117"/>
        <item x="116"/>
        <item x="122"/>
        <item x="123"/>
        <item x="131"/>
        <item x="66"/>
        <item x="112"/>
        <item x="114"/>
        <item x="90"/>
        <item x="91"/>
        <item x="133"/>
        <item x="50"/>
        <item x="75"/>
        <item x="70"/>
        <item x="49"/>
        <item x="101"/>
        <item x="79"/>
        <item x="83"/>
        <item x="73"/>
        <item x="100"/>
        <item x="63"/>
        <item x="108"/>
        <item x="110"/>
        <item x="111"/>
        <item x="84"/>
        <item x="118"/>
        <item x="124"/>
        <item x="130"/>
        <item x="95"/>
        <item x="45"/>
        <item x="139"/>
        <item x="140"/>
        <item x="43"/>
        <item x="46"/>
        <item x="52"/>
        <item x="88"/>
        <item x="94"/>
        <item x="96"/>
        <item x="97"/>
        <item x="102"/>
        <item x="106"/>
        <item x="107"/>
        <item x="119"/>
        <item x="125"/>
        <item x="126"/>
        <item x="128"/>
        <item x="129"/>
        <item x="134"/>
        <item x="135"/>
        <item x="137"/>
        <item x="138"/>
        <item x="141"/>
        <item x="142"/>
        <item x="143"/>
        <item t="default"/>
      </items>
    </pivotField>
    <pivotField compact="0" showAll="0">
      <items count="73">
        <item x="71"/>
        <item x="50"/>
        <item x="56"/>
        <item x="61"/>
        <item x="58"/>
        <item x="43"/>
        <item x="67"/>
        <item x="49"/>
        <item x="40"/>
        <item x="36"/>
        <item x="53"/>
        <item x="54"/>
        <item x="51"/>
        <item x="55"/>
        <item x="59"/>
        <item x="25"/>
        <item x="45"/>
        <item x="62"/>
        <item x="32"/>
        <item x="34"/>
        <item x="46"/>
        <item x="64"/>
        <item x="69"/>
        <item x="27"/>
        <item x="37"/>
        <item x="70"/>
        <item x="39"/>
        <item x="48"/>
        <item x="41"/>
        <item x="18"/>
        <item x="57"/>
        <item x="60"/>
        <item x="30"/>
        <item x="21"/>
        <item x="68"/>
        <item x="47"/>
        <item x="4"/>
        <item x="65"/>
        <item x="52"/>
        <item x="44"/>
        <item x="35"/>
        <item x="29"/>
        <item x="33"/>
        <item x="0"/>
        <item x="1"/>
        <item x="2"/>
        <item x="3"/>
        <item x="5"/>
        <item x="6"/>
        <item x="7"/>
        <item x="8"/>
        <item x="9"/>
        <item x="10"/>
        <item x="11"/>
        <item x="12"/>
        <item x="13"/>
        <item x="14"/>
        <item x="15"/>
        <item x="16"/>
        <item x="17"/>
        <item x="19"/>
        <item x="20"/>
        <item x="22"/>
        <item x="23"/>
        <item x="24"/>
        <item x="26"/>
        <item x="28"/>
        <item x="31"/>
        <item x="38"/>
        <item x="42"/>
        <item x="63"/>
        <item x="66"/>
        <item t="default"/>
      </items>
    </pivotField>
    <pivotField compact="0" showAll="0">
      <items count="17">
        <item x="9"/>
        <item x="14"/>
        <item x="8"/>
        <item x="3"/>
        <item x="15"/>
        <item x="13"/>
        <item x="11"/>
        <item x="12"/>
        <item x="7"/>
        <item x="10"/>
        <item x="2"/>
        <item x="0"/>
        <item x="1"/>
        <item x="4"/>
        <item x="5"/>
        <item x="6"/>
        <item t="default"/>
      </items>
    </pivotField>
    <pivotField compact="0" showAll="0">
      <items count="81">
        <item x="79"/>
        <item x="62"/>
        <item x="18"/>
        <item x="56"/>
        <item x="55"/>
        <item x="10"/>
        <item x="33"/>
        <item x="37"/>
        <item x="27"/>
        <item x="53"/>
        <item x="70"/>
        <item x="34"/>
        <item x="58"/>
        <item x="57"/>
        <item x="60"/>
        <item x="30"/>
        <item x="24"/>
        <item x="67"/>
        <item x="14"/>
        <item x="44"/>
        <item x="8"/>
        <item x="22"/>
        <item x="38"/>
        <item x="36"/>
        <item x="63"/>
        <item x="50"/>
        <item x="61"/>
        <item x="46"/>
        <item x="69"/>
        <item x="49"/>
        <item x="45"/>
        <item x="59"/>
        <item x="68"/>
        <item x="16"/>
        <item x="0"/>
        <item x="1"/>
        <item x="2"/>
        <item x="3"/>
        <item x="4"/>
        <item x="5"/>
        <item x="6"/>
        <item x="7"/>
        <item x="9"/>
        <item x="11"/>
        <item x="12"/>
        <item x="13"/>
        <item x="15"/>
        <item x="17"/>
        <item x="19"/>
        <item x="20"/>
        <item x="21"/>
        <item x="23"/>
        <item x="25"/>
        <item x="26"/>
        <item x="28"/>
        <item x="29"/>
        <item x="31"/>
        <item x="32"/>
        <item x="35"/>
        <item x="39"/>
        <item x="40"/>
        <item x="41"/>
        <item x="42"/>
        <item x="43"/>
        <item x="47"/>
        <item x="48"/>
        <item x="51"/>
        <item x="52"/>
        <item x="54"/>
        <item x="64"/>
        <item x="65"/>
        <item x="66"/>
        <item x="71"/>
        <item x="72"/>
        <item x="73"/>
        <item x="74"/>
        <item x="75"/>
        <item x="76"/>
        <item x="77"/>
        <item x="78"/>
        <item t="default"/>
      </items>
    </pivotField>
    <pivotField compact="0" showAll="0">
      <items count="18">
        <item x="9"/>
        <item x="16"/>
        <item x="0"/>
        <item x="1"/>
        <item x="2"/>
        <item x="3"/>
        <item x="4"/>
        <item x="5"/>
        <item x="6"/>
        <item x="7"/>
        <item x="8"/>
        <item x="10"/>
        <item x="11"/>
        <item x="12"/>
        <item x="13"/>
        <item x="14"/>
        <item x="15"/>
        <item t="default"/>
      </items>
    </pivotField>
    <pivotField compact="0" showAll="0">
      <items count="87">
        <item x="85"/>
        <item x="66"/>
        <item x="56"/>
        <item x="55"/>
        <item x="52"/>
        <item x="62"/>
        <item x="81"/>
        <item x="64"/>
        <item x="53"/>
        <item x="70"/>
        <item x="71"/>
        <item x="79"/>
        <item x="40"/>
        <item x="59"/>
        <item x="48"/>
        <item x="45"/>
        <item x="73"/>
        <item x="61"/>
        <item x="69"/>
        <item x="49"/>
        <item x="76"/>
        <item x="35"/>
        <item x="29"/>
        <item x="32"/>
        <item x="58"/>
        <item x="60"/>
        <item x="72"/>
        <item x="68"/>
        <item x="36"/>
        <item x="51"/>
        <item x="84"/>
        <item x="43"/>
        <item x="37"/>
        <item x="38"/>
        <item x="63"/>
        <item x="80"/>
        <item x="14"/>
        <item x="39"/>
        <item x="10"/>
        <item x="67"/>
        <item x="28"/>
        <item x="50"/>
        <item x="23"/>
        <item x="31"/>
        <item x="46"/>
        <item x="78"/>
        <item x="42"/>
        <item x="15"/>
        <item x="22"/>
        <item x="0"/>
        <item x="1"/>
        <item x="2"/>
        <item x="3"/>
        <item x="4"/>
        <item x="5"/>
        <item x="6"/>
        <item x="7"/>
        <item x="8"/>
        <item x="9"/>
        <item x="11"/>
        <item x="12"/>
        <item x="13"/>
        <item x="16"/>
        <item x="17"/>
        <item x="18"/>
        <item x="19"/>
        <item x="20"/>
        <item x="21"/>
        <item x="24"/>
        <item x="25"/>
        <item x="26"/>
        <item x="27"/>
        <item x="30"/>
        <item x="33"/>
        <item x="34"/>
        <item x="41"/>
        <item x="44"/>
        <item x="47"/>
        <item x="54"/>
        <item x="57"/>
        <item x="65"/>
        <item x="74"/>
        <item x="75"/>
        <item x="77"/>
        <item x="82"/>
        <item x="83"/>
        <item t="default"/>
      </items>
    </pivotField>
    <pivotField compact="0" showAll="0">
      <items count="16">
        <item x="7"/>
        <item x="12"/>
        <item x="11"/>
        <item x="3"/>
        <item x="13"/>
        <item x="14"/>
        <item x="9"/>
        <item x="8"/>
        <item x="2"/>
        <item x="10"/>
        <item x="0"/>
        <item x="1"/>
        <item x="4"/>
        <item x="5"/>
        <item x="6"/>
        <item t="default"/>
      </items>
    </pivotField>
    <pivotField compact="0" showAll="0">
      <items count="93">
        <item x="91"/>
        <item x="53"/>
        <item x="73"/>
        <item x="70"/>
        <item x="59"/>
        <item x="81"/>
        <item x="62"/>
        <item x="69"/>
        <item x="64"/>
        <item x="49"/>
        <item x="55"/>
        <item x="52"/>
        <item x="76"/>
        <item x="65"/>
        <item x="56"/>
        <item x="71"/>
        <item x="78"/>
        <item x="37"/>
        <item x="36"/>
        <item x="45"/>
        <item x="29"/>
        <item x="66"/>
        <item x="72"/>
        <item x="61"/>
        <item x="27"/>
        <item x="41"/>
        <item x="54"/>
        <item x="42"/>
        <item x="60"/>
        <item x="79"/>
        <item x="40"/>
        <item x="63"/>
        <item x="18"/>
        <item x="21"/>
        <item x="22"/>
        <item x="30"/>
        <item x="67"/>
        <item x="24"/>
        <item x="26"/>
        <item x="39"/>
        <item x="46"/>
        <item x="68"/>
        <item x="14"/>
        <item x="35"/>
        <item x="51"/>
        <item x="58"/>
        <item x="80"/>
        <item x="8"/>
        <item x="0"/>
        <item x="1"/>
        <item x="2"/>
        <item x="3"/>
        <item x="4"/>
        <item x="5"/>
        <item x="6"/>
        <item x="7"/>
        <item x="9"/>
        <item x="10"/>
        <item x="11"/>
        <item x="12"/>
        <item x="13"/>
        <item x="15"/>
        <item x="16"/>
        <item x="17"/>
        <item x="19"/>
        <item x="20"/>
        <item x="23"/>
        <item x="25"/>
        <item x="28"/>
        <item x="31"/>
        <item x="32"/>
        <item x="33"/>
        <item x="34"/>
        <item x="38"/>
        <item x="43"/>
        <item x="44"/>
        <item x="47"/>
        <item x="48"/>
        <item x="50"/>
        <item x="57"/>
        <item x="74"/>
        <item x="75"/>
        <item x="77"/>
        <item x="82"/>
        <item x="83"/>
        <item x="84"/>
        <item x="85"/>
        <item x="86"/>
        <item x="87"/>
        <item x="88"/>
        <item x="89"/>
        <item x="90"/>
        <item t="default"/>
      </items>
    </pivotField>
    <pivotField compact="0" showAll="0">
      <items count="19">
        <item x="7"/>
        <item x="17"/>
        <item x="0"/>
        <item x="1"/>
        <item x="2"/>
        <item x="3"/>
        <item x="4"/>
        <item x="5"/>
        <item x="6"/>
        <item x="8"/>
        <item x="9"/>
        <item x="10"/>
        <item x="11"/>
        <item x="12"/>
        <item x="13"/>
        <item x="14"/>
        <item x="15"/>
        <item x="16"/>
        <item t="default"/>
      </items>
    </pivotField>
    <pivotField compact="0" showAll="0">
      <items count="32">
        <item x="0"/>
        <item x="30"/>
        <item x="18"/>
        <item x="23"/>
        <item x="20"/>
        <item x="27"/>
        <item x="28"/>
        <item x="24"/>
        <item x="21"/>
        <item x="1"/>
        <item x="2"/>
        <item x="3"/>
        <item x="4"/>
        <item x="5"/>
        <item x="6"/>
        <item x="7"/>
        <item x="8"/>
        <item x="9"/>
        <item x="10"/>
        <item x="11"/>
        <item x="12"/>
        <item x="13"/>
        <item x="14"/>
        <item x="15"/>
        <item x="16"/>
        <item x="17"/>
        <item x="19"/>
        <item x="22"/>
        <item x="25"/>
        <item x="26"/>
        <item x="29"/>
        <item t="default"/>
      </items>
    </pivotField>
    <pivotField compact="0" showAll="0">
      <items count="5">
        <item x="2"/>
        <item x="0"/>
        <item x="3"/>
        <item x="1"/>
        <item t="default"/>
      </items>
    </pivotField>
    <pivotField dataField="1" compact="0" showAll="0">
      <items count="26">
        <item x="17"/>
        <item x="18"/>
        <item x="19"/>
        <item x="20"/>
        <item x="21"/>
        <item x="22"/>
        <item x="23"/>
        <item x="24"/>
        <item x="16"/>
        <item x="15"/>
        <item x="13"/>
        <item x="14"/>
        <item x="4"/>
        <item x="6"/>
        <item x="11"/>
        <item x="0"/>
        <item x="1"/>
        <item x="2"/>
        <item x="3"/>
        <item x="5"/>
        <item x="7"/>
        <item x="8"/>
        <item x="9"/>
        <item x="10"/>
        <item x="12"/>
        <item t="default"/>
      </items>
    </pivotField>
  </pivotFields>
  <rowFields count="1">
    <field x="2"/>
  </rowFields>
  <rowItems count="1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数据透视表16" cacheId="18"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K1:R76" firstHeaderRow="0" firstDataRow="1" firstDataCol="1"/>
  <pivotFields count="19">
    <pivotField axis="axisRow" compact="0" showAll="0">
      <items count="75">
        <item x="73"/>
        <item x="0"/>
        <item x="1"/>
        <item x="2"/>
        <item x="3"/>
        <item x="4"/>
        <item x="5"/>
        <item x="6"/>
        <item x="7"/>
        <item x="8"/>
        <item x="9"/>
        <item x="11"/>
        <item x="12"/>
        <item x="13"/>
        <item x="14"/>
        <item x="16"/>
        <item x="18"/>
        <item x="19"/>
        <item x="22"/>
        <item x="28"/>
        <item x="29"/>
        <item x="30"/>
        <item x="31"/>
        <item x="32"/>
        <item x="33"/>
        <item x="36"/>
        <item x="37"/>
        <item x="40"/>
        <item x="41"/>
        <item x="43"/>
        <item x="44"/>
        <item x="39"/>
        <item x="45"/>
        <item x="46"/>
        <item x="47"/>
        <item x="48"/>
        <item x="27"/>
        <item x="34"/>
        <item x="49"/>
        <item x="71"/>
        <item x="50"/>
        <item x="51"/>
        <item x="70"/>
        <item x="15"/>
        <item x="20"/>
        <item x="21"/>
        <item x="26"/>
        <item x="42"/>
        <item x="69"/>
        <item x="23"/>
        <item x="38"/>
        <item x="53"/>
        <item x="54"/>
        <item x="55"/>
        <item x="56"/>
        <item x="57"/>
        <item x="58"/>
        <item x="59"/>
        <item x="61"/>
        <item x="72"/>
        <item x="24"/>
        <item x="60"/>
        <item x="62"/>
        <item x="17"/>
        <item x="35"/>
        <item x="52"/>
        <item x="10"/>
        <item x="25"/>
        <item x="63"/>
        <item x="64"/>
        <item x="65"/>
        <item x="66"/>
        <item x="67"/>
        <item x="68"/>
        <item t="default"/>
      </items>
    </pivotField>
    <pivotField compact="0" showAll="0">
      <items count="73">
        <item x="71"/>
        <item x="0"/>
        <item x="1"/>
        <item x="2"/>
        <item x="3"/>
        <item x="4"/>
        <item x="5"/>
        <item x="6"/>
        <item x="7"/>
        <item x="8"/>
        <item x="9"/>
        <item x="11"/>
        <item x="12"/>
        <item x="13"/>
        <item x="14"/>
        <item x="16"/>
        <item x="18"/>
        <item x="19"/>
        <item x="22"/>
        <item x="28"/>
        <item x="29"/>
        <item x="30"/>
        <item x="31"/>
        <item x="32"/>
        <item x="33"/>
        <item x="36"/>
        <item x="37"/>
        <item x="40"/>
        <item x="41"/>
        <item x="43"/>
        <item x="44"/>
        <item x="39"/>
        <item x="45"/>
        <item x="46"/>
        <item x="47"/>
        <item x="48"/>
        <item x="27"/>
        <item x="34"/>
        <item x="49"/>
        <item x="50"/>
        <item x="51"/>
        <item x="69"/>
        <item x="15"/>
        <item x="20"/>
        <item x="21"/>
        <item x="26"/>
        <item x="42"/>
        <item x="23"/>
        <item x="38"/>
        <item x="53"/>
        <item x="54"/>
        <item x="55"/>
        <item x="56"/>
        <item x="57"/>
        <item x="58"/>
        <item x="59"/>
        <item x="61"/>
        <item x="70"/>
        <item x="24"/>
        <item x="60"/>
        <item x="62"/>
        <item x="17"/>
        <item x="35"/>
        <item x="52"/>
        <item x="10"/>
        <item x="25"/>
        <item x="63"/>
        <item x="64"/>
        <item x="65"/>
        <item x="66"/>
        <item x="67"/>
        <item x="68"/>
        <item t="default"/>
      </items>
    </pivotField>
    <pivotField dataField="1" compact="0" showAll="0">
      <items count="111">
        <item x="109"/>
        <item x="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07"/>
        <item x="108"/>
        <item t="default"/>
      </items>
    </pivotField>
    <pivotField dataField="1" compact="0" showAll="0">
      <items count="49">
        <item x="15"/>
        <item x="47"/>
        <item x="21"/>
        <item x="45"/>
        <item x="42"/>
        <item x="46"/>
        <item x="12"/>
        <item x="10"/>
        <item x="24"/>
        <item x="36"/>
        <item x="17"/>
        <item x="0"/>
        <item x="32"/>
        <item x="28"/>
        <item x="33"/>
        <item x="25"/>
        <item x="34"/>
        <item x="39"/>
        <item x="30"/>
        <item x="29"/>
        <item x="43"/>
        <item x="44"/>
        <item x="5"/>
        <item x="11"/>
        <item x="6"/>
        <item x="31"/>
        <item x="9"/>
        <item x="35"/>
        <item x="1"/>
        <item x="2"/>
        <item x="3"/>
        <item x="4"/>
        <item x="7"/>
        <item x="8"/>
        <item x="13"/>
        <item x="14"/>
        <item x="16"/>
        <item x="18"/>
        <item x="19"/>
        <item x="20"/>
        <item x="22"/>
        <item x="23"/>
        <item x="26"/>
        <item x="27"/>
        <item x="37"/>
        <item x="38"/>
        <item x="40"/>
        <item x="41"/>
        <item t="default"/>
      </items>
    </pivotField>
    <pivotField compact="0" showAll="0">
      <items count="107">
        <item x="19"/>
        <item x="57"/>
        <item x="0"/>
        <item x="1"/>
        <item x="2"/>
        <item x="3"/>
        <item x="4"/>
        <item x="5"/>
        <item x="6"/>
        <item x="7"/>
        <item x="8"/>
        <item x="9"/>
        <item x="10"/>
        <item x="11"/>
        <item x="12"/>
        <item x="13"/>
        <item x="14"/>
        <item x="15"/>
        <item x="16"/>
        <item x="17"/>
        <item x="18"/>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t="default"/>
      </items>
    </pivotField>
    <pivotField compact="0" showAll="0">
      <items count="104">
        <item x="19"/>
        <item x="100"/>
        <item x="75"/>
        <item x="44"/>
        <item x="45"/>
        <item x="4"/>
        <item x="73"/>
        <item x="96"/>
        <item x="0"/>
        <item x="1"/>
        <item x="2"/>
        <item x="3"/>
        <item x="5"/>
        <item x="6"/>
        <item x="7"/>
        <item x="8"/>
        <item x="9"/>
        <item x="10"/>
        <item x="11"/>
        <item x="12"/>
        <item x="13"/>
        <item x="14"/>
        <item x="15"/>
        <item x="16"/>
        <item x="17"/>
        <item x="18"/>
        <item x="20"/>
        <item x="21"/>
        <item x="22"/>
        <item x="23"/>
        <item x="24"/>
        <item x="25"/>
        <item x="26"/>
        <item x="27"/>
        <item x="28"/>
        <item x="29"/>
        <item x="30"/>
        <item x="31"/>
        <item x="32"/>
        <item x="33"/>
        <item x="34"/>
        <item x="35"/>
        <item x="36"/>
        <item x="37"/>
        <item x="38"/>
        <item x="39"/>
        <item x="40"/>
        <item x="41"/>
        <item x="42"/>
        <item x="43"/>
        <item x="46"/>
        <item x="47"/>
        <item x="48"/>
        <item x="49"/>
        <item x="50"/>
        <item x="51"/>
        <item x="52"/>
        <item x="53"/>
        <item x="54"/>
        <item x="55"/>
        <item x="56"/>
        <item x="57"/>
        <item x="58"/>
        <item x="59"/>
        <item x="60"/>
        <item x="61"/>
        <item x="62"/>
        <item x="63"/>
        <item x="64"/>
        <item x="65"/>
        <item x="66"/>
        <item x="67"/>
        <item x="68"/>
        <item x="69"/>
        <item x="70"/>
        <item x="71"/>
        <item x="72"/>
        <item x="74"/>
        <item x="76"/>
        <item x="77"/>
        <item x="78"/>
        <item x="79"/>
        <item x="80"/>
        <item x="81"/>
        <item x="82"/>
        <item x="83"/>
        <item x="84"/>
        <item x="85"/>
        <item x="86"/>
        <item x="87"/>
        <item x="88"/>
        <item x="89"/>
        <item x="90"/>
        <item x="91"/>
        <item x="92"/>
        <item x="93"/>
        <item x="94"/>
        <item x="95"/>
        <item x="97"/>
        <item x="98"/>
        <item x="99"/>
        <item x="101"/>
        <item x="102"/>
        <item t="default"/>
      </items>
    </pivotField>
    <pivotField dataField="1" compact="0" showAll="0">
      <items count="105">
        <item x="19"/>
        <item x="103"/>
        <item x="11"/>
        <item x="73"/>
        <item x="52"/>
        <item x="3"/>
        <item x="22"/>
        <item x="76"/>
        <item x="0"/>
        <item x="1"/>
        <item x="2"/>
        <item x="4"/>
        <item x="5"/>
        <item x="6"/>
        <item x="7"/>
        <item x="8"/>
        <item x="9"/>
        <item x="10"/>
        <item x="12"/>
        <item x="13"/>
        <item x="14"/>
        <item x="15"/>
        <item x="16"/>
        <item x="17"/>
        <item x="18"/>
        <item x="20"/>
        <item x="21"/>
        <item x="23"/>
        <item x="24"/>
        <item x="25"/>
        <item x="26"/>
        <item x="27"/>
        <item x="28"/>
        <item x="29"/>
        <item x="30"/>
        <item x="31"/>
        <item x="32"/>
        <item x="33"/>
        <item x="34"/>
        <item x="35"/>
        <item x="36"/>
        <item x="37"/>
        <item x="38"/>
        <item x="39"/>
        <item x="40"/>
        <item x="41"/>
        <item x="42"/>
        <item x="43"/>
        <item x="44"/>
        <item x="45"/>
        <item x="46"/>
        <item x="47"/>
        <item x="48"/>
        <item x="49"/>
        <item x="50"/>
        <item x="51"/>
        <item x="53"/>
        <item x="54"/>
        <item x="55"/>
        <item x="56"/>
        <item x="57"/>
        <item x="58"/>
        <item x="59"/>
        <item x="60"/>
        <item x="61"/>
        <item x="62"/>
        <item x="63"/>
        <item x="64"/>
        <item x="65"/>
        <item x="66"/>
        <item x="67"/>
        <item x="68"/>
        <item x="69"/>
        <item x="70"/>
        <item x="71"/>
        <item x="72"/>
        <item x="74"/>
        <item x="75"/>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dataField="1" compact="0" showAll="0">
      <items count="21">
        <item x="9"/>
        <item x="19"/>
        <item x="6"/>
        <item x="3"/>
        <item x="1"/>
        <item x="11"/>
        <item x="16"/>
        <item x="0"/>
        <item x="2"/>
        <item x="4"/>
        <item x="5"/>
        <item x="7"/>
        <item x="8"/>
        <item x="10"/>
        <item x="12"/>
        <item x="13"/>
        <item x="14"/>
        <item x="15"/>
        <item x="17"/>
        <item x="18"/>
        <item t="default"/>
      </items>
    </pivotField>
    <pivotField compact="0" showAll="0">
      <items count="72">
        <item x="14"/>
        <item x="28"/>
        <item x="0"/>
        <item x="1"/>
        <item x="2"/>
        <item x="3"/>
        <item x="4"/>
        <item x="5"/>
        <item x="6"/>
        <item x="7"/>
        <item x="8"/>
        <item x="9"/>
        <item x="10"/>
        <item x="11"/>
        <item x="12"/>
        <item x="13"/>
        <item x="15"/>
        <item x="16"/>
        <item x="17"/>
        <item x="18"/>
        <item x="19"/>
        <item x="20"/>
        <item x="21"/>
        <item x="22"/>
        <item x="23"/>
        <item x="24"/>
        <item x="25"/>
        <item x="26"/>
        <item x="27"/>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compact="0" showAll="0">
      <items count="73">
        <item x="14"/>
        <item x="18"/>
        <item x="29"/>
        <item x="0"/>
        <item x="1"/>
        <item x="2"/>
        <item x="3"/>
        <item x="4"/>
        <item x="5"/>
        <item x="6"/>
        <item x="7"/>
        <item x="8"/>
        <item x="9"/>
        <item x="10"/>
        <item x="11"/>
        <item x="12"/>
        <item x="13"/>
        <item x="15"/>
        <item x="16"/>
        <item x="17"/>
        <item x="19"/>
        <item x="20"/>
        <item x="21"/>
        <item x="22"/>
        <item x="23"/>
        <item x="24"/>
        <item x="25"/>
        <item x="26"/>
        <item x="27"/>
        <item x="28"/>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dataField="1" compact="0" showAll="0">
      <items count="14">
        <item x="8"/>
        <item x="3"/>
        <item x="11"/>
        <item x="0"/>
        <item x="6"/>
        <item x="12"/>
        <item x="9"/>
        <item x="1"/>
        <item x="4"/>
        <item x="2"/>
        <item x="5"/>
        <item x="7"/>
        <item x="10"/>
        <item t="default"/>
      </items>
    </pivotField>
    <pivotField compact="0" showAll="0">
      <items count="16">
        <item x="8"/>
        <item x="3"/>
        <item x="6"/>
        <item x="0"/>
        <item x="10"/>
        <item x="7"/>
        <item x="11"/>
        <item x="14"/>
        <item x="4"/>
        <item x="1"/>
        <item x="9"/>
        <item x="12"/>
        <item x="2"/>
        <item x="5"/>
        <item x="13"/>
        <item t="default"/>
      </items>
    </pivotField>
    <pivotField compact="0" showAll="0">
      <items count="49">
        <item x="14"/>
        <item x="18"/>
        <item x="37"/>
        <item x="46"/>
        <item x="42"/>
        <item x="2"/>
        <item x="5"/>
        <item x="44"/>
        <item x="35"/>
        <item x="4"/>
        <item x="25"/>
        <item x="17"/>
        <item x="31"/>
        <item x="32"/>
        <item x="28"/>
        <item x="0"/>
        <item x="1"/>
        <item x="3"/>
        <item x="6"/>
        <item x="7"/>
        <item x="8"/>
        <item x="9"/>
        <item x="10"/>
        <item x="11"/>
        <item x="12"/>
        <item x="13"/>
        <item x="15"/>
        <item x="16"/>
        <item x="19"/>
        <item x="20"/>
        <item x="21"/>
        <item x="22"/>
        <item x="23"/>
        <item x="24"/>
        <item x="26"/>
        <item x="27"/>
        <item x="29"/>
        <item x="30"/>
        <item x="33"/>
        <item x="34"/>
        <item x="36"/>
        <item x="38"/>
        <item x="39"/>
        <item x="40"/>
        <item x="41"/>
        <item x="43"/>
        <item x="45"/>
        <item x="47"/>
        <item t="default"/>
      </items>
    </pivotField>
    <pivotField compact="0" showAll="0">
      <items count="13">
        <item x="0"/>
        <item x="7"/>
        <item x="5"/>
        <item x="1"/>
        <item x="4"/>
        <item x="11"/>
        <item x="9"/>
        <item x="8"/>
        <item x="2"/>
        <item x="6"/>
        <item x="3"/>
        <item x="10"/>
        <item t="default"/>
      </items>
    </pivotField>
    <pivotField compact="0" showAll="0">
      <items count="10">
        <item x="2"/>
        <item x="0"/>
        <item x="1"/>
        <item x="5"/>
        <item x="3"/>
        <item x="8"/>
        <item x="4"/>
        <item x="6"/>
        <item x="7"/>
        <item t="default"/>
      </items>
    </pivotField>
    <pivotField compact="0" showAll="0">
      <items count="16">
        <item x="5"/>
        <item x="14"/>
        <item x="6"/>
        <item x="0"/>
        <item x="1"/>
        <item x="8"/>
        <item x="10"/>
        <item x="12"/>
        <item x="3"/>
        <item x="2"/>
        <item x="4"/>
        <item x="7"/>
        <item x="9"/>
        <item x="11"/>
        <item x="13"/>
        <item t="default"/>
      </items>
    </pivotField>
    <pivotField compact="0" showAll="0">
      <items count="14">
        <item x="2"/>
        <item x="12"/>
        <item x="5"/>
        <item x="0"/>
        <item x="3"/>
        <item x="10"/>
        <item x="9"/>
        <item x="1"/>
        <item x="4"/>
        <item x="6"/>
        <item x="7"/>
        <item x="8"/>
        <item x="11"/>
        <item t="default"/>
      </items>
    </pivotField>
    <pivotField dataField="1" dragToCol="0" dragToPage="0" dragToRow="0" compact="0" showAll="0"/>
    <pivotField dataField="1" dragToCol="0" dragToPage="0" dragToRow="0" compact="0" showAll="0"/>
  </pivotFields>
  <rowFields count="1">
    <field x="0"/>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882">
      <pivotArea dataOnly="0" labelOnly="1" fieldPosition="0">
        <references count="1">
          <reference field="4294967294" count="1">
            <x v="5"/>
          </reference>
        </references>
      </pivotArea>
    </format>
    <format dxfId="883">
      <pivotArea dataOnly="0" labelOnly="1" fieldPosition="0">
        <references count="1">
          <reference field="4294967294" count="1">
            <x v="6"/>
          </reference>
        </references>
      </pivotArea>
    </format>
    <format dxfId="884">
      <pivotArea collapsedLevelsAreSubtotals="1" fieldPosition="0">
        <references count="1">
          <reference field="4294967294" count="1" selected="0">
            <x v="5"/>
          </reference>
        </references>
      </pivotArea>
    </format>
    <format dxfId="885">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数据透视表15" cacheId="17"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1:I210" firstHeaderRow="1" firstDataRow="1" firstDataCol="1"/>
  <pivotFields count="14">
    <pivotField compact="0" showAll="0">
      <items count="208">
        <item x="206"/>
        <item x="0"/>
        <item x="2"/>
        <item x="6"/>
        <item x="3"/>
        <item x="9"/>
        <item x="4"/>
        <item x="5"/>
        <item x="1"/>
        <item x="10"/>
        <item x="32"/>
        <item x="12"/>
        <item x="15"/>
        <item x="17"/>
        <item x="13"/>
        <item x="37"/>
        <item x="19"/>
        <item x="53"/>
        <item x="14"/>
        <item x="43"/>
        <item x="23"/>
        <item x="20"/>
        <item x="25"/>
        <item x="21"/>
        <item x="8"/>
        <item x="22"/>
        <item x="45"/>
        <item x="28"/>
        <item x="26"/>
        <item x="16"/>
        <item x="18"/>
        <item x="49"/>
        <item x="61"/>
        <item x="24"/>
        <item x="7"/>
        <item x="29"/>
        <item x="33"/>
        <item x="30"/>
        <item x="101"/>
        <item x="74"/>
        <item x="39"/>
        <item x="27"/>
        <item x="63"/>
        <item x="44"/>
        <item x="73"/>
        <item x="68"/>
        <item x="41"/>
        <item x="77"/>
        <item x="106"/>
        <item x="92"/>
        <item x="56"/>
        <item x="52"/>
        <item x="38"/>
        <item x="34"/>
        <item x="82"/>
        <item x="90"/>
        <item x="64"/>
        <item x="133"/>
        <item x="55"/>
        <item x="78"/>
        <item x="88"/>
        <item x="93"/>
        <item x="62"/>
        <item x="67"/>
        <item x="87"/>
        <item x="57"/>
        <item x="47"/>
        <item x="99"/>
        <item x="151"/>
        <item x="48"/>
        <item x="83"/>
        <item x="115"/>
        <item x="85"/>
        <item x="86"/>
        <item x="128"/>
        <item x="135"/>
        <item x="111"/>
        <item x="138"/>
        <item x="121"/>
        <item x="123"/>
        <item x="164"/>
        <item x="103"/>
        <item x="75"/>
        <item x="71"/>
        <item x="105"/>
        <item x="110"/>
        <item x="112"/>
        <item x="119"/>
        <item x="89"/>
        <item x="100"/>
        <item x="122"/>
        <item x="58"/>
        <item x="102"/>
        <item x="50"/>
        <item x="69"/>
        <item x="140"/>
        <item x="31"/>
        <item x="59"/>
        <item x="80"/>
        <item x="81"/>
        <item x="134"/>
        <item x="114"/>
        <item x="120"/>
        <item x="125"/>
        <item x="141"/>
        <item x="142"/>
        <item x="97"/>
        <item x="108"/>
        <item x="113"/>
        <item x="145"/>
        <item x="70"/>
        <item x="146"/>
        <item x="148"/>
        <item x="184"/>
        <item x="84"/>
        <item x="116"/>
        <item x="154"/>
        <item x="155"/>
        <item x="126"/>
        <item x="94"/>
        <item x="167"/>
        <item x="150"/>
        <item x="109"/>
        <item x="139"/>
        <item x="36"/>
        <item x="130"/>
        <item x="104"/>
        <item x="65"/>
        <item x="166"/>
        <item x="185"/>
        <item x="157"/>
        <item x="95"/>
        <item x="124"/>
        <item x="177"/>
        <item x="152"/>
        <item x="182"/>
        <item x="118"/>
        <item x="163"/>
        <item x="198"/>
        <item x="156"/>
        <item x="168"/>
        <item x="66"/>
        <item x="60"/>
        <item x="72"/>
        <item x="158"/>
        <item x="54"/>
        <item x="178"/>
        <item x="40"/>
        <item x="35"/>
        <item x="132"/>
        <item x="147"/>
        <item x="186"/>
        <item x="196"/>
        <item x="180"/>
        <item x="203"/>
        <item x="131"/>
        <item x="162"/>
        <item x="159"/>
        <item x="98"/>
        <item x="79"/>
        <item x="107"/>
        <item x="187"/>
        <item x="176"/>
        <item x="42"/>
        <item x="169"/>
        <item x="136"/>
        <item x="197"/>
        <item x="11"/>
        <item x="51"/>
        <item x="153"/>
        <item x="76"/>
        <item x="143"/>
        <item x="96"/>
        <item x="189"/>
        <item x="160"/>
        <item x="171"/>
        <item x="144"/>
        <item x="202"/>
        <item x="46"/>
        <item x="117"/>
        <item x="91"/>
        <item x="137"/>
        <item x="129"/>
        <item x="149"/>
        <item x="165"/>
        <item x="161"/>
        <item x="170"/>
        <item x="172"/>
        <item x="175"/>
        <item x="179"/>
        <item x="181"/>
        <item x="183"/>
        <item x="188"/>
        <item x="190"/>
        <item x="191"/>
        <item x="192"/>
        <item x="193"/>
        <item x="201"/>
        <item x="199"/>
        <item x="204"/>
        <item x="127"/>
        <item x="173"/>
        <item x="174"/>
        <item x="194"/>
        <item x="195"/>
        <item x="200"/>
        <item x="205"/>
        <item t="default"/>
      </items>
    </pivotField>
    <pivotField compact="0" showAll="0">
      <items count="204">
        <item x="202"/>
        <item x="0"/>
        <item x="2"/>
        <item x="6"/>
        <item x="3"/>
        <item x="9"/>
        <item x="4"/>
        <item x="5"/>
        <item x="1"/>
        <item x="10"/>
        <item x="32"/>
        <item x="12"/>
        <item x="15"/>
        <item x="17"/>
        <item x="13"/>
        <item x="37"/>
        <item x="19"/>
        <item x="53"/>
        <item x="43"/>
        <item x="23"/>
        <item x="20"/>
        <item x="25"/>
        <item x="21"/>
        <item x="8"/>
        <item x="22"/>
        <item x="45"/>
        <item x="28"/>
        <item x="26"/>
        <item x="16"/>
        <item x="18"/>
        <item x="49"/>
        <item x="61"/>
        <item x="24"/>
        <item x="7"/>
        <item x="29"/>
        <item x="33"/>
        <item x="30"/>
        <item x="101"/>
        <item x="74"/>
        <item x="39"/>
        <item x="27"/>
        <item x="63"/>
        <item x="44"/>
        <item x="73"/>
        <item x="68"/>
        <item x="41"/>
        <item x="77"/>
        <item x="106"/>
        <item x="92"/>
        <item x="56"/>
        <item x="52"/>
        <item x="38"/>
        <item x="34"/>
        <item x="82"/>
        <item x="90"/>
        <item x="64"/>
        <item x="133"/>
        <item x="55"/>
        <item x="78"/>
        <item x="88"/>
        <item x="93"/>
        <item x="62"/>
        <item x="67"/>
        <item x="87"/>
        <item x="57"/>
        <item x="47"/>
        <item x="99"/>
        <item x="151"/>
        <item x="48"/>
        <item x="83"/>
        <item x="115"/>
        <item x="85"/>
        <item x="86"/>
        <item x="128"/>
        <item x="135"/>
        <item x="111"/>
        <item x="138"/>
        <item x="121"/>
        <item x="123"/>
        <item x="164"/>
        <item x="103"/>
        <item x="75"/>
        <item x="71"/>
        <item x="110"/>
        <item x="112"/>
        <item x="119"/>
        <item x="89"/>
        <item x="100"/>
        <item x="122"/>
        <item x="58"/>
        <item x="102"/>
        <item x="50"/>
        <item x="69"/>
        <item x="140"/>
        <item x="31"/>
        <item x="59"/>
        <item x="80"/>
        <item x="81"/>
        <item x="134"/>
        <item x="114"/>
        <item x="120"/>
        <item x="125"/>
        <item x="141"/>
        <item x="108"/>
        <item x="113"/>
        <item x="145"/>
        <item x="70"/>
        <item x="146"/>
        <item x="148"/>
        <item x="184"/>
        <item x="84"/>
        <item x="116"/>
        <item x="154"/>
        <item x="155"/>
        <item x="126"/>
        <item x="150"/>
        <item x="109"/>
        <item x="139"/>
        <item x="14"/>
        <item x="105"/>
        <item x="142"/>
        <item x="94"/>
        <item x="167"/>
        <item x="36"/>
        <item x="130"/>
        <item x="104"/>
        <item x="65"/>
        <item x="166"/>
        <item x="185"/>
        <item x="157"/>
        <item x="95"/>
        <item x="124"/>
        <item x="177"/>
        <item x="152"/>
        <item x="182"/>
        <item x="118"/>
        <item x="163"/>
        <item x="197"/>
        <item x="156"/>
        <item x="168"/>
        <item x="66"/>
        <item x="60"/>
        <item x="72"/>
        <item x="158"/>
        <item x="54"/>
        <item x="178"/>
        <item x="40"/>
        <item x="35"/>
        <item x="132"/>
        <item x="147"/>
        <item x="186"/>
        <item x="180"/>
        <item x="131"/>
        <item x="162"/>
        <item x="159"/>
        <item x="98"/>
        <item x="79"/>
        <item x="107"/>
        <item x="187"/>
        <item x="176"/>
        <item x="42"/>
        <item x="169"/>
        <item x="136"/>
        <item x="196"/>
        <item x="11"/>
        <item x="51"/>
        <item x="153"/>
        <item x="76"/>
        <item x="143"/>
        <item x="96"/>
        <item x="189"/>
        <item x="160"/>
        <item x="171"/>
        <item x="144"/>
        <item x="201"/>
        <item x="46"/>
        <item x="117"/>
        <item x="97"/>
        <item x="91"/>
        <item x="137"/>
        <item x="129"/>
        <item x="149"/>
        <item x="165"/>
        <item x="161"/>
        <item x="170"/>
        <item x="172"/>
        <item x="175"/>
        <item x="179"/>
        <item x="181"/>
        <item x="183"/>
        <item x="188"/>
        <item x="190"/>
        <item x="191"/>
        <item x="192"/>
        <item x="193"/>
        <item x="199"/>
        <item x="200"/>
        <item x="127"/>
        <item x="173"/>
        <item x="174"/>
        <item x="194"/>
        <item x="195"/>
        <item x="198"/>
        <item t="default"/>
      </items>
    </pivotField>
    <pivotField axis="axisRow" compact="0" showAll="0">
      <items count="209">
        <item x="207"/>
        <item x="0"/>
        <item x="2"/>
        <item x="6"/>
        <item x="3"/>
        <item x="9"/>
        <item x="4"/>
        <item x="5"/>
        <item x="1"/>
        <item x="10"/>
        <item x="32"/>
        <item x="12"/>
        <item x="15"/>
        <item x="17"/>
        <item x="13"/>
        <item x="37"/>
        <item x="19"/>
        <item x="53"/>
        <item x="14"/>
        <item x="43"/>
        <item x="23"/>
        <item x="20"/>
        <item x="25"/>
        <item x="21"/>
        <item x="8"/>
        <item x="22"/>
        <item x="45"/>
        <item x="28"/>
        <item x="26"/>
        <item x="16"/>
        <item x="18"/>
        <item x="49"/>
        <item x="61"/>
        <item x="24"/>
        <item x="7"/>
        <item x="29"/>
        <item x="33"/>
        <item x="30"/>
        <item x="101"/>
        <item x="74"/>
        <item x="39"/>
        <item x="27"/>
        <item x="63"/>
        <item x="44"/>
        <item x="73"/>
        <item x="68"/>
        <item x="41"/>
        <item x="77"/>
        <item x="106"/>
        <item x="92"/>
        <item x="56"/>
        <item x="52"/>
        <item x="38"/>
        <item x="34"/>
        <item x="82"/>
        <item x="90"/>
        <item x="64"/>
        <item x="133"/>
        <item x="55"/>
        <item x="78"/>
        <item x="88"/>
        <item x="93"/>
        <item x="62"/>
        <item x="67"/>
        <item x="87"/>
        <item x="57"/>
        <item x="47"/>
        <item x="99"/>
        <item x="151"/>
        <item x="48"/>
        <item x="83"/>
        <item x="115"/>
        <item x="85"/>
        <item x="86"/>
        <item x="128"/>
        <item x="135"/>
        <item x="111"/>
        <item x="138"/>
        <item x="121"/>
        <item x="123"/>
        <item x="164"/>
        <item x="103"/>
        <item x="75"/>
        <item x="71"/>
        <item x="105"/>
        <item x="110"/>
        <item x="112"/>
        <item x="119"/>
        <item x="89"/>
        <item x="100"/>
        <item x="122"/>
        <item x="58"/>
        <item x="102"/>
        <item x="50"/>
        <item x="69"/>
        <item x="140"/>
        <item x="31"/>
        <item x="59"/>
        <item x="80"/>
        <item x="81"/>
        <item x="134"/>
        <item x="114"/>
        <item x="120"/>
        <item x="125"/>
        <item x="141"/>
        <item x="142"/>
        <item x="97"/>
        <item x="108"/>
        <item x="113"/>
        <item x="145"/>
        <item x="70"/>
        <item x="146"/>
        <item x="148"/>
        <item x="184"/>
        <item x="84"/>
        <item x="116"/>
        <item x="154"/>
        <item x="155"/>
        <item x="126"/>
        <item x="94"/>
        <item x="167"/>
        <item x="150"/>
        <item x="109"/>
        <item x="139"/>
        <item x="36"/>
        <item x="130"/>
        <item x="104"/>
        <item x="65"/>
        <item x="166"/>
        <item x="185"/>
        <item x="157"/>
        <item x="95"/>
        <item x="124"/>
        <item x="177"/>
        <item x="152"/>
        <item x="182"/>
        <item x="118"/>
        <item x="163"/>
        <item x="199"/>
        <item x="156"/>
        <item x="168"/>
        <item x="66"/>
        <item x="60"/>
        <item x="72"/>
        <item x="158"/>
        <item x="54"/>
        <item x="178"/>
        <item x="40"/>
        <item x="35"/>
        <item x="132"/>
        <item x="147"/>
        <item x="186"/>
        <item x="196"/>
        <item x="180"/>
        <item x="204"/>
        <item x="131"/>
        <item x="162"/>
        <item x="159"/>
        <item x="98"/>
        <item x="79"/>
        <item x="107"/>
        <item x="187"/>
        <item x="197"/>
        <item x="176"/>
        <item x="42"/>
        <item x="169"/>
        <item x="136"/>
        <item x="198"/>
        <item x="11"/>
        <item x="51"/>
        <item x="153"/>
        <item x="76"/>
        <item x="143"/>
        <item x="96"/>
        <item x="189"/>
        <item x="160"/>
        <item x="171"/>
        <item x="144"/>
        <item x="203"/>
        <item x="46"/>
        <item x="117"/>
        <item x="91"/>
        <item x="137"/>
        <item x="129"/>
        <item x="149"/>
        <item x="165"/>
        <item x="161"/>
        <item x="170"/>
        <item x="172"/>
        <item x="175"/>
        <item x="179"/>
        <item x="181"/>
        <item x="183"/>
        <item x="188"/>
        <item x="190"/>
        <item x="191"/>
        <item x="192"/>
        <item x="193"/>
        <item x="202"/>
        <item x="200"/>
        <item x="205"/>
        <item x="127"/>
        <item x="173"/>
        <item x="174"/>
        <item x="194"/>
        <item x="195"/>
        <item x="201"/>
        <item x="206"/>
        <item t="default"/>
      </items>
    </pivotField>
    <pivotField compact="0" showAll="0">
      <items count="155">
        <item x="153"/>
        <item x="144"/>
        <item x="145"/>
        <item x="91"/>
        <item x="111"/>
        <item x="133"/>
        <item x="147"/>
        <item x="113"/>
        <item x="148"/>
        <item x="140"/>
        <item x="149"/>
        <item x="88"/>
        <item x="117"/>
        <item x="137"/>
        <item x="96"/>
        <item x="128"/>
        <item x="95"/>
        <item x="124"/>
        <item x="52"/>
        <item x="98"/>
        <item x="94"/>
        <item x="139"/>
        <item x="104"/>
        <item x="131"/>
        <item x="151"/>
        <item x="99"/>
        <item x="97"/>
        <item x="75"/>
        <item x="141"/>
        <item x="134"/>
        <item x="64"/>
        <item x="82"/>
        <item x="78"/>
        <item x="93"/>
        <item x="120"/>
        <item x="121"/>
        <item x="43"/>
        <item x="152"/>
        <item x="122"/>
        <item x="53"/>
        <item x="28"/>
        <item x="74"/>
        <item x="50"/>
        <item x="105"/>
        <item x="119"/>
        <item x="46"/>
        <item x="42"/>
        <item x="69"/>
        <item x="83"/>
        <item x="123"/>
        <item x="125"/>
        <item x="138"/>
        <item x="132"/>
        <item x="136"/>
        <item x="129"/>
        <item x="146"/>
        <item x="115"/>
        <item x="65"/>
        <item x="85"/>
        <item x="106"/>
        <item x="77"/>
        <item x="90"/>
        <item x="116"/>
        <item x="100"/>
        <item x="70"/>
        <item x="76"/>
        <item x="80"/>
        <item x="63"/>
        <item x="17"/>
        <item x="103"/>
        <item x="127"/>
        <item x="112"/>
        <item x="101"/>
        <item x="107"/>
        <item x="108"/>
        <item x="37"/>
        <item x="143"/>
        <item x="130"/>
        <item x="135"/>
        <item x="0"/>
        <item x="1"/>
        <item x="2"/>
        <item x="3"/>
        <item x="4"/>
        <item x="5"/>
        <item x="6"/>
        <item x="7"/>
        <item x="8"/>
        <item x="9"/>
        <item x="10"/>
        <item x="11"/>
        <item x="12"/>
        <item x="13"/>
        <item x="14"/>
        <item x="15"/>
        <item x="16"/>
        <item x="18"/>
        <item x="19"/>
        <item x="20"/>
        <item x="21"/>
        <item x="22"/>
        <item x="23"/>
        <item x="24"/>
        <item x="25"/>
        <item x="26"/>
        <item x="27"/>
        <item x="29"/>
        <item x="30"/>
        <item x="31"/>
        <item x="32"/>
        <item x="33"/>
        <item x="34"/>
        <item x="35"/>
        <item x="36"/>
        <item x="38"/>
        <item x="39"/>
        <item x="40"/>
        <item x="41"/>
        <item x="44"/>
        <item x="45"/>
        <item x="47"/>
        <item x="48"/>
        <item x="49"/>
        <item x="51"/>
        <item x="54"/>
        <item x="55"/>
        <item x="56"/>
        <item x="57"/>
        <item x="58"/>
        <item x="59"/>
        <item x="60"/>
        <item x="61"/>
        <item x="62"/>
        <item x="66"/>
        <item x="67"/>
        <item x="68"/>
        <item x="71"/>
        <item x="72"/>
        <item x="73"/>
        <item x="79"/>
        <item x="81"/>
        <item x="84"/>
        <item x="86"/>
        <item x="87"/>
        <item x="89"/>
        <item x="92"/>
        <item x="102"/>
        <item x="109"/>
        <item x="110"/>
        <item x="114"/>
        <item x="118"/>
        <item x="126"/>
        <item x="142"/>
        <item x="150"/>
        <item t="default"/>
      </items>
    </pivotField>
    <pivotField compact="0" showAll="0">
      <items count="25">
        <item x="21"/>
        <item x="15"/>
        <item x="16"/>
        <item x="18"/>
        <item x="11"/>
        <item x="13"/>
        <item x="22"/>
        <item x="12"/>
        <item x="19"/>
        <item x="23"/>
        <item x="20"/>
        <item x="17"/>
        <item x="14"/>
        <item x="6"/>
        <item x="8"/>
        <item x="0"/>
        <item x="1"/>
        <item x="2"/>
        <item x="3"/>
        <item x="4"/>
        <item x="5"/>
        <item x="7"/>
        <item x="9"/>
        <item x="10"/>
        <item t="default"/>
      </items>
    </pivotField>
    <pivotField compact="0" showAll="0">
      <items count="103">
        <item x="70"/>
        <item x="75"/>
        <item x="101"/>
        <item x="65"/>
        <item x="46"/>
        <item x="86"/>
        <item x="73"/>
        <item x="69"/>
        <item x="72"/>
        <item x="59"/>
        <item x="57"/>
        <item x="42"/>
        <item x="64"/>
        <item x="79"/>
        <item x="74"/>
        <item x="66"/>
        <item x="84"/>
        <item x="82"/>
        <item x="76"/>
        <item x="85"/>
        <item x="77"/>
        <item x="35"/>
        <item x="63"/>
        <item x="38"/>
        <item x="54"/>
        <item x="62"/>
        <item x="60"/>
        <item x="50"/>
        <item x="61"/>
        <item x="78"/>
        <item x="67"/>
        <item x="44"/>
        <item x="55"/>
        <item x="80"/>
        <item x="56"/>
        <item x="58"/>
        <item x="52"/>
        <item x="40"/>
        <item x="83"/>
        <item x="29"/>
        <item x="3"/>
        <item x="13"/>
        <item x="16"/>
        <item x="33"/>
        <item x="27"/>
        <item x="47"/>
        <item x="37"/>
        <item x="36"/>
        <item x="48"/>
        <item x="17"/>
        <item x="28"/>
        <item x="81"/>
        <item x="93"/>
        <item x="18"/>
        <item x="0"/>
        <item x="1"/>
        <item x="2"/>
        <item x="4"/>
        <item x="5"/>
        <item x="6"/>
        <item x="7"/>
        <item x="8"/>
        <item x="9"/>
        <item x="10"/>
        <item x="11"/>
        <item x="12"/>
        <item x="14"/>
        <item x="15"/>
        <item x="19"/>
        <item x="20"/>
        <item x="21"/>
        <item x="22"/>
        <item x="23"/>
        <item x="24"/>
        <item x="25"/>
        <item x="26"/>
        <item x="30"/>
        <item x="31"/>
        <item x="32"/>
        <item x="34"/>
        <item x="39"/>
        <item x="41"/>
        <item x="43"/>
        <item x="45"/>
        <item x="49"/>
        <item x="51"/>
        <item x="53"/>
        <item x="68"/>
        <item x="71"/>
        <item x="87"/>
        <item x="88"/>
        <item x="89"/>
        <item x="90"/>
        <item x="91"/>
        <item x="92"/>
        <item x="94"/>
        <item x="95"/>
        <item x="96"/>
        <item x="97"/>
        <item x="98"/>
        <item x="99"/>
        <item x="100"/>
        <item t="default"/>
      </items>
    </pivotField>
    <pivotField compact="0" showAll="0">
      <items count="28">
        <item x="21"/>
        <item x="26"/>
        <item x="0"/>
        <item x="1"/>
        <item x="2"/>
        <item x="3"/>
        <item x="4"/>
        <item x="5"/>
        <item x="6"/>
        <item x="7"/>
        <item x="8"/>
        <item x="9"/>
        <item x="10"/>
        <item x="11"/>
        <item x="12"/>
        <item x="13"/>
        <item x="14"/>
        <item x="15"/>
        <item x="16"/>
        <item x="17"/>
        <item x="18"/>
        <item x="19"/>
        <item x="20"/>
        <item x="22"/>
        <item x="23"/>
        <item x="24"/>
        <item x="25"/>
        <item t="default"/>
      </items>
    </pivotField>
    <pivotField compact="0" showAll="0">
      <items count="156">
        <item x="154"/>
        <item x="95"/>
        <item x="82"/>
        <item x="71"/>
        <item x="136"/>
        <item x="149"/>
        <item x="135"/>
        <item x="150"/>
        <item x="125"/>
        <item x="63"/>
        <item x="110"/>
        <item x="88"/>
        <item x="130"/>
        <item x="80"/>
        <item x="143"/>
        <item x="131"/>
        <item x="152"/>
        <item x="127"/>
        <item x="120"/>
        <item x="111"/>
        <item x="140"/>
        <item x="121"/>
        <item x="45"/>
        <item x="148"/>
        <item x="101"/>
        <item x="116"/>
        <item x="54"/>
        <item x="75"/>
        <item x="89"/>
        <item x="44"/>
        <item x="73"/>
        <item x="147"/>
        <item x="84"/>
        <item x="104"/>
        <item x="97"/>
        <item x="144"/>
        <item x="134"/>
        <item x="126"/>
        <item x="94"/>
        <item x="128"/>
        <item x="153"/>
        <item x="37"/>
        <item x="30"/>
        <item x="85"/>
        <item x="81"/>
        <item x="50"/>
        <item x="106"/>
        <item x="72"/>
        <item x="38"/>
        <item x="26"/>
        <item x="69"/>
        <item x="52"/>
        <item x="119"/>
        <item x="145"/>
        <item x="86"/>
        <item x="103"/>
        <item x="141"/>
        <item x="83"/>
        <item x="133"/>
        <item x="91"/>
        <item x="74"/>
        <item x="137"/>
        <item x="124"/>
        <item x="115"/>
        <item x="151"/>
        <item x="0"/>
        <item x="1"/>
        <item x="2"/>
        <item x="3"/>
        <item x="4"/>
        <item x="5"/>
        <item x="6"/>
        <item x="7"/>
        <item x="8"/>
        <item x="9"/>
        <item x="10"/>
        <item x="11"/>
        <item x="12"/>
        <item x="13"/>
        <item x="14"/>
        <item x="15"/>
        <item x="16"/>
        <item x="17"/>
        <item x="18"/>
        <item x="19"/>
        <item x="20"/>
        <item x="21"/>
        <item x="22"/>
        <item x="23"/>
        <item x="24"/>
        <item x="25"/>
        <item x="27"/>
        <item x="28"/>
        <item x="29"/>
        <item x="31"/>
        <item x="32"/>
        <item x="33"/>
        <item x="34"/>
        <item x="35"/>
        <item x="36"/>
        <item x="39"/>
        <item x="40"/>
        <item x="41"/>
        <item x="42"/>
        <item x="43"/>
        <item x="46"/>
        <item x="47"/>
        <item x="48"/>
        <item x="49"/>
        <item x="51"/>
        <item x="53"/>
        <item x="55"/>
        <item x="56"/>
        <item x="57"/>
        <item x="58"/>
        <item x="59"/>
        <item x="60"/>
        <item x="61"/>
        <item x="62"/>
        <item x="64"/>
        <item x="65"/>
        <item x="66"/>
        <item x="67"/>
        <item x="68"/>
        <item x="70"/>
        <item x="76"/>
        <item x="77"/>
        <item x="78"/>
        <item x="79"/>
        <item x="87"/>
        <item x="90"/>
        <item x="92"/>
        <item x="93"/>
        <item x="96"/>
        <item x="98"/>
        <item x="99"/>
        <item x="100"/>
        <item x="102"/>
        <item x="105"/>
        <item x="107"/>
        <item x="108"/>
        <item x="109"/>
        <item x="112"/>
        <item x="113"/>
        <item x="114"/>
        <item x="117"/>
        <item x="118"/>
        <item x="122"/>
        <item x="123"/>
        <item x="129"/>
        <item x="132"/>
        <item x="138"/>
        <item x="139"/>
        <item x="142"/>
        <item x="146"/>
        <item t="default"/>
      </items>
    </pivotField>
    <pivotField compact="0" showAll="0">
      <items count="33">
        <item x="29"/>
        <item x="19"/>
        <item x="21"/>
        <item x="26"/>
        <item x="23"/>
        <item x="20"/>
        <item x="17"/>
        <item x="25"/>
        <item x="13"/>
        <item x="31"/>
        <item x="30"/>
        <item x="28"/>
        <item x="15"/>
        <item x="14"/>
        <item x="22"/>
        <item x="9"/>
        <item x="10"/>
        <item x="16"/>
        <item x="8"/>
        <item x="11"/>
        <item x="7"/>
        <item x="0"/>
        <item x="1"/>
        <item x="2"/>
        <item x="3"/>
        <item x="4"/>
        <item x="5"/>
        <item x="6"/>
        <item x="12"/>
        <item x="18"/>
        <item x="24"/>
        <item x="27"/>
        <item t="default"/>
      </items>
    </pivotField>
    <pivotField compact="0" showAll="0">
      <items count="98">
        <item x="67"/>
        <item x="66"/>
        <item x="64"/>
        <item x="78"/>
        <item x="96"/>
        <item x="76"/>
        <item x="69"/>
        <item x="56"/>
        <item x="68"/>
        <item x="70"/>
        <item x="80"/>
        <item x="58"/>
        <item x="61"/>
        <item x="43"/>
        <item x="62"/>
        <item x="57"/>
        <item x="42"/>
        <item x="72"/>
        <item x="79"/>
        <item x="51"/>
        <item x="65"/>
        <item x="45"/>
        <item x="81"/>
        <item x="40"/>
        <item x="38"/>
        <item x="52"/>
        <item x="63"/>
        <item x="59"/>
        <item x="75"/>
        <item x="71"/>
        <item x="53"/>
        <item x="91"/>
        <item x="26"/>
        <item x="60"/>
        <item x="74"/>
        <item x="32"/>
        <item x="46"/>
        <item x="48"/>
        <item x="50"/>
        <item x="24"/>
        <item x="25"/>
        <item x="30"/>
        <item x="19"/>
        <item x="16"/>
        <item x="54"/>
        <item x="17"/>
        <item x="35"/>
        <item x="33"/>
        <item x="34"/>
        <item x="39"/>
        <item x="77"/>
        <item x="4"/>
        <item x="0"/>
        <item x="1"/>
        <item x="2"/>
        <item x="3"/>
        <item x="5"/>
        <item x="6"/>
        <item x="7"/>
        <item x="8"/>
        <item x="9"/>
        <item x="10"/>
        <item x="11"/>
        <item x="12"/>
        <item x="13"/>
        <item x="14"/>
        <item x="15"/>
        <item x="18"/>
        <item x="20"/>
        <item x="21"/>
        <item x="22"/>
        <item x="23"/>
        <item x="27"/>
        <item x="28"/>
        <item x="29"/>
        <item x="31"/>
        <item x="36"/>
        <item x="37"/>
        <item x="41"/>
        <item x="44"/>
        <item x="47"/>
        <item x="49"/>
        <item x="55"/>
        <item x="73"/>
        <item x="82"/>
        <item x="83"/>
        <item x="84"/>
        <item x="85"/>
        <item x="86"/>
        <item x="87"/>
        <item x="88"/>
        <item x="89"/>
        <item x="90"/>
        <item x="92"/>
        <item x="93"/>
        <item x="94"/>
        <item x="95"/>
        <item t="default"/>
      </items>
    </pivotField>
    <pivotField compact="0" showAll="0">
      <items count="36">
        <item x="29"/>
        <item x="34"/>
        <item x="7"/>
        <item x="18"/>
        <item x="19"/>
        <item x="0"/>
        <item x="1"/>
        <item x="2"/>
        <item x="3"/>
        <item x="4"/>
        <item x="5"/>
        <item x="6"/>
        <item x="8"/>
        <item x="9"/>
        <item x="10"/>
        <item x="11"/>
        <item x="12"/>
        <item x="13"/>
        <item x="14"/>
        <item x="15"/>
        <item x="16"/>
        <item x="17"/>
        <item x="20"/>
        <item x="21"/>
        <item x="22"/>
        <item x="23"/>
        <item x="24"/>
        <item x="25"/>
        <item x="26"/>
        <item x="27"/>
        <item x="28"/>
        <item x="30"/>
        <item x="31"/>
        <item x="32"/>
        <item x="33"/>
        <item t="default"/>
      </items>
    </pivotField>
    <pivotField compact="0" showAll="0">
      <items count="134">
        <item x="12"/>
        <item x="132"/>
        <item x="110"/>
        <item x="83"/>
        <item x="82"/>
        <item x="33"/>
        <item x="122"/>
        <item x="46"/>
        <item x="127"/>
        <item x="84"/>
        <item x="76"/>
        <item x="20"/>
        <item x="72"/>
        <item x="88"/>
        <item x="65"/>
        <item x="56"/>
        <item x="85"/>
        <item x="103"/>
        <item x="54"/>
        <item x="90"/>
        <item x="61"/>
        <item x="10"/>
        <item x="124"/>
        <item x="9"/>
        <item x="16"/>
        <item x="53"/>
        <item x="1"/>
        <item x="4"/>
        <item x="18"/>
        <item x="49"/>
        <item x="68"/>
        <item x="38"/>
        <item x="27"/>
        <item x="6"/>
        <item x="40"/>
        <item x="101"/>
        <item x="73"/>
        <item x="75"/>
        <item x="120"/>
        <item x="111"/>
        <item x="98"/>
        <item x="48"/>
        <item x="112"/>
        <item x="69"/>
        <item x="129"/>
        <item x="0"/>
        <item x="2"/>
        <item x="3"/>
        <item x="5"/>
        <item x="7"/>
        <item x="8"/>
        <item x="11"/>
        <item x="13"/>
        <item x="14"/>
        <item x="15"/>
        <item x="17"/>
        <item x="19"/>
        <item x="21"/>
        <item x="22"/>
        <item x="23"/>
        <item x="24"/>
        <item x="25"/>
        <item x="26"/>
        <item x="28"/>
        <item x="29"/>
        <item x="30"/>
        <item x="31"/>
        <item x="32"/>
        <item x="34"/>
        <item x="35"/>
        <item x="36"/>
        <item x="37"/>
        <item x="39"/>
        <item x="41"/>
        <item x="42"/>
        <item x="43"/>
        <item x="44"/>
        <item x="45"/>
        <item x="47"/>
        <item x="50"/>
        <item x="51"/>
        <item x="52"/>
        <item x="55"/>
        <item x="57"/>
        <item x="58"/>
        <item x="59"/>
        <item x="60"/>
        <item x="62"/>
        <item x="63"/>
        <item x="64"/>
        <item x="66"/>
        <item x="67"/>
        <item x="70"/>
        <item x="71"/>
        <item x="74"/>
        <item x="77"/>
        <item x="78"/>
        <item x="79"/>
        <item x="80"/>
        <item x="81"/>
        <item x="86"/>
        <item x="87"/>
        <item x="89"/>
        <item x="91"/>
        <item x="92"/>
        <item x="93"/>
        <item x="94"/>
        <item x="95"/>
        <item x="96"/>
        <item x="97"/>
        <item x="99"/>
        <item x="100"/>
        <item x="102"/>
        <item x="104"/>
        <item x="105"/>
        <item x="106"/>
        <item x="107"/>
        <item x="108"/>
        <item x="109"/>
        <item x="113"/>
        <item x="114"/>
        <item x="115"/>
        <item x="116"/>
        <item x="117"/>
        <item x="118"/>
        <item x="119"/>
        <item x="121"/>
        <item x="123"/>
        <item x="125"/>
        <item x="126"/>
        <item x="128"/>
        <item x="130"/>
        <item x="131"/>
        <item t="default"/>
      </items>
    </pivotField>
    <pivotField compact="0" showAll="0">
      <items count="15">
        <item x="8"/>
        <item x="2"/>
        <item x="13"/>
        <item x="7"/>
        <item x="10"/>
        <item x="9"/>
        <item x="11"/>
        <item x="12"/>
        <item x="0"/>
        <item x="1"/>
        <item x="3"/>
        <item x="4"/>
        <item x="5"/>
        <item x="6"/>
        <item t="default"/>
      </items>
    </pivotField>
    <pivotField dataField="1" compact="0" showAll="0">
      <items count="56">
        <item x="53"/>
        <item x="52"/>
        <item x="51"/>
        <item x="49"/>
        <item x="48"/>
        <item x="44"/>
        <item x="43"/>
        <item x="45"/>
        <item x="50"/>
        <item x="54"/>
        <item x="38"/>
        <item x="46"/>
        <item x="47"/>
        <item x="41"/>
        <item x="39"/>
        <item x="35"/>
        <item x="40"/>
        <item x="36"/>
        <item x="31"/>
        <item x="33"/>
        <item x="42"/>
        <item x="34"/>
        <item x="19"/>
        <item x="30"/>
        <item x="29"/>
        <item x="18"/>
        <item x="23"/>
        <item x="27"/>
        <item x="37"/>
        <item x="11"/>
        <item x="16"/>
        <item x="17"/>
        <item x="21"/>
        <item x="24"/>
        <item x="28"/>
        <item x="32"/>
        <item x="0"/>
        <item x="1"/>
        <item x="2"/>
        <item x="3"/>
        <item x="4"/>
        <item x="5"/>
        <item x="6"/>
        <item x="7"/>
        <item x="8"/>
        <item x="9"/>
        <item x="10"/>
        <item x="12"/>
        <item x="13"/>
        <item x="14"/>
        <item x="15"/>
        <item x="20"/>
        <item x="22"/>
        <item x="25"/>
        <item x="26"/>
        <item t="default"/>
      </items>
    </pivotField>
  </pivotFields>
  <rowFields count="1">
    <field x="2"/>
  </rowFields>
  <rowItems count="2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数据透视表17" cacheId="19"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1:AA81" firstHeaderRow="0" firstDataRow="1" firstDataCol="1"/>
  <pivotFields count="19">
    <pivotField axis="axisRow" compact="0" showAll="0">
      <items count="80">
        <item x="78"/>
        <item x="0"/>
        <item x="1"/>
        <item x="2"/>
        <item x="3"/>
        <item x="4"/>
        <item x="5"/>
        <item x="6"/>
        <item x="8"/>
        <item x="9"/>
        <item x="10"/>
        <item x="12"/>
        <item x="13"/>
        <item x="14"/>
        <item x="15"/>
        <item x="16"/>
        <item x="17"/>
        <item x="19"/>
        <item x="21"/>
        <item x="22"/>
        <item x="25"/>
        <item x="31"/>
        <item x="32"/>
        <item x="33"/>
        <item x="34"/>
        <item x="35"/>
        <item x="36"/>
        <item x="39"/>
        <item x="41"/>
        <item x="40"/>
        <item x="44"/>
        <item x="45"/>
        <item x="47"/>
        <item x="48"/>
        <item x="43"/>
        <item x="49"/>
        <item x="50"/>
        <item x="7"/>
        <item x="51"/>
        <item x="52"/>
        <item x="30"/>
        <item x="37"/>
        <item x="53"/>
        <item x="74"/>
        <item x="76"/>
        <item x="54"/>
        <item x="55"/>
        <item x="75"/>
        <item x="18"/>
        <item x="23"/>
        <item x="24"/>
        <item x="29"/>
        <item x="46"/>
        <item x="26"/>
        <item x="56"/>
        <item x="42"/>
        <item x="57"/>
        <item x="58"/>
        <item x="59"/>
        <item x="60"/>
        <item x="61"/>
        <item x="62"/>
        <item x="63"/>
        <item x="64"/>
        <item x="66"/>
        <item x="77"/>
        <item x="27"/>
        <item x="65"/>
        <item x="67"/>
        <item x="11"/>
        <item x="20"/>
        <item x="38"/>
        <item x="28"/>
        <item x="68"/>
        <item x="69"/>
        <item x="70"/>
        <item x="71"/>
        <item x="72"/>
        <item x="73"/>
        <item t="default"/>
      </items>
    </pivotField>
    <pivotField compact="0" showAll="0">
      <items count="78">
        <item x="76"/>
        <item x="0"/>
        <item x="1"/>
        <item x="2"/>
        <item x="3"/>
        <item x="4"/>
        <item x="5"/>
        <item x="6"/>
        <item x="8"/>
        <item x="9"/>
        <item x="10"/>
        <item x="12"/>
        <item x="13"/>
        <item x="14"/>
        <item x="15"/>
        <item x="16"/>
        <item x="17"/>
        <item x="19"/>
        <item x="21"/>
        <item x="22"/>
        <item x="25"/>
        <item x="31"/>
        <item x="32"/>
        <item x="33"/>
        <item x="34"/>
        <item x="35"/>
        <item x="36"/>
        <item x="39"/>
        <item x="41"/>
        <item x="40"/>
        <item x="44"/>
        <item x="45"/>
        <item x="47"/>
        <item x="48"/>
        <item x="43"/>
        <item x="49"/>
        <item x="50"/>
        <item x="7"/>
        <item x="51"/>
        <item x="52"/>
        <item x="30"/>
        <item x="37"/>
        <item x="53"/>
        <item x="54"/>
        <item x="55"/>
        <item x="74"/>
        <item x="18"/>
        <item x="23"/>
        <item x="24"/>
        <item x="29"/>
        <item x="46"/>
        <item x="26"/>
        <item x="56"/>
        <item x="42"/>
        <item x="57"/>
        <item x="58"/>
        <item x="59"/>
        <item x="60"/>
        <item x="61"/>
        <item x="62"/>
        <item x="63"/>
        <item x="64"/>
        <item x="66"/>
        <item x="75"/>
        <item x="27"/>
        <item x="65"/>
        <item x="67"/>
        <item x="11"/>
        <item x="20"/>
        <item x="38"/>
        <item x="28"/>
        <item x="68"/>
        <item x="69"/>
        <item x="70"/>
        <item x="71"/>
        <item x="72"/>
        <item x="73"/>
        <item t="default"/>
      </items>
    </pivotField>
    <pivotField dataField="1" compact="0" showAll="0">
      <items count="122">
        <item x="120"/>
        <item x="27"/>
        <item x="81"/>
        <item x="43"/>
        <item x="33"/>
        <item x="0"/>
        <item x="1"/>
        <item x="2"/>
        <item x="3"/>
        <item x="4"/>
        <item x="5"/>
        <item x="6"/>
        <item x="7"/>
        <item x="8"/>
        <item x="9"/>
        <item x="10"/>
        <item x="11"/>
        <item x="12"/>
        <item x="13"/>
        <item x="14"/>
        <item x="15"/>
        <item x="16"/>
        <item x="17"/>
        <item x="18"/>
        <item x="19"/>
        <item x="20"/>
        <item x="21"/>
        <item x="22"/>
        <item x="23"/>
        <item x="24"/>
        <item x="25"/>
        <item x="26"/>
        <item x="28"/>
        <item x="29"/>
        <item x="30"/>
        <item x="31"/>
        <item x="32"/>
        <item x="34"/>
        <item x="35"/>
        <item x="36"/>
        <item x="37"/>
        <item x="38"/>
        <item x="39"/>
        <item x="40"/>
        <item x="41"/>
        <item x="42"/>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compact="0" showAll="0">
      <items count="70">
        <item x="68"/>
        <item x="62"/>
        <item x="30"/>
        <item x="18"/>
        <item x="61"/>
        <item x="21"/>
        <item x="25"/>
        <item x="37"/>
        <item x="11"/>
        <item x="64"/>
        <item x="60"/>
        <item x="59"/>
        <item x="49"/>
        <item x="63"/>
        <item x="67"/>
        <item x="56"/>
        <item x="58"/>
        <item x="53"/>
        <item x="27"/>
        <item x="39"/>
        <item x="47"/>
        <item x="52"/>
        <item x="26"/>
        <item x="20"/>
        <item x="0"/>
        <item x="38"/>
        <item x="46"/>
        <item x="16"/>
        <item x="42"/>
        <item x="33"/>
        <item x="44"/>
        <item x="54"/>
        <item x="9"/>
        <item x="6"/>
        <item x="43"/>
        <item x="32"/>
        <item x="10"/>
        <item x="1"/>
        <item x="2"/>
        <item x="3"/>
        <item x="4"/>
        <item x="5"/>
        <item x="7"/>
        <item x="8"/>
        <item x="12"/>
        <item x="13"/>
        <item x="14"/>
        <item x="15"/>
        <item x="17"/>
        <item x="19"/>
        <item x="22"/>
        <item x="23"/>
        <item x="24"/>
        <item x="28"/>
        <item x="29"/>
        <item x="31"/>
        <item x="34"/>
        <item x="35"/>
        <item x="36"/>
        <item x="40"/>
        <item x="41"/>
        <item x="45"/>
        <item x="48"/>
        <item x="50"/>
        <item x="51"/>
        <item x="55"/>
        <item x="57"/>
        <item x="65"/>
        <item x="66"/>
        <item t="default"/>
      </items>
    </pivotField>
    <pivotField compact="0" showAll="0">
      <items count="118">
        <item x="20"/>
        <item x="60"/>
        <item x="27"/>
        <item x="0"/>
        <item x="1"/>
        <item x="2"/>
        <item x="3"/>
        <item x="4"/>
        <item x="5"/>
        <item x="6"/>
        <item x="7"/>
        <item x="8"/>
        <item x="9"/>
        <item x="10"/>
        <item x="11"/>
        <item x="12"/>
        <item x="13"/>
        <item x="14"/>
        <item x="15"/>
        <item x="16"/>
        <item x="17"/>
        <item x="18"/>
        <item x="19"/>
        <item x="21"/>
        <item x="22"/>
        <item x="23"/>
        <item x="24"/>
        <item x="25"/>
        <item x="26"/>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pivotField>
    <pivotField compact="0" showAll="0">
      <items count="117">
        <item x="20"/>
        <item x="90"/>
        <item x="27"/>
        <item x="94"/>
        <item x="88"/>
        <item x="95"/>
        <item x="0"/>
        <item x="1"/>
        <item x="2"/>
        <item x="3"/>
        <item x="4"/>
        <item x="5"/>
        <item x="6"/>
        <item x="7"/>
        <item x="8"/>
        <item x="9"/>
        <item x="10"/>
        <item x="11"/>
        <item x="12"/>
        <item x="13"/>
        <item x="14"/>
        <item x="15"/>
        <item x="16"/>
        <item x="17"/>
        <item x="18"/>
        <item x="19"/>
        <item x="21"/>
        <item x="22"/>
        <item x="23"/>
        <item x="24"/>
        <item x="25"/>
        <item x="26"/>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9"/>
        <item x="91"/>
        <item x="92"/>
        <item x="93"/>
        <item x="96"/>
        <item x="97"/>
        <item x="98"/>
        <item x="99"/>
        <item x="100"/>
        <item x="101"/>
        <item x="102"/>
        <item x="103"/>
        <item x="104"/>
        <item x="105"/>
        <item x="106"/>
        <item x="107"/>
        <item x="108"/>
        <item x="109"/>
        <item x="110"/>
        <item x="111"/>
        <item x="112"/>
        <item x="113"/>
        <item x="114"/>
        <item x="115"/>
        <item t="default"/>
      </items>
    </pivotField>
    <pivotField dataField="1" compact="0" showAll="0">
      <items count="119">
        <item x="117"/>
        <item x="20"/>
        <item x="90"/>
        <item x="27"/>
        <item x="43"/>
        <item x="22"/>
        <item x="0"/>
        <item x="1"/>
        <item x="2"/>
        <item x="3"/>
        <item x="4"/>
        <item x="5"/>
        <item x="6"/>
        <item x="7"/>
        <item x="8"/>
        <item x="9"/>
        <item x="10"/>
        <item x="11"/>
        <item x="12"/>
        <item x="13"/>
        <item x="14"/>
        <item x="15"/>
        <item x="16"/>
        <item x="17"/>
        <item x="18"/>
        <item x="19"/>
        <item x="21"/>
        <item x="23"/>
        <item x="24"/>
        <item x="25"/>
        <item x="26"/>
        <item x="28"/>
        <item x="29"/>
        <item x="30"/>
        <item x="31"/>
        <item x="32"/>
        <item x="33"/>
        <item x="34"/>
        <item x="35"/>
        <item x="36"/>
        <item x="37"/>
        <item x="38"/>
        <item x="39"/>
        <item x="40"/>
        <item x="41"/>
        <item x="42"/>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1"/>
        <item x="92"/>
        <item x="93"/>
        <item x="94"/>
        <item x="95"/>
        <item x="96"/>
        <item x="97"/>
        <item x="98"/>
        <item x="99"/>
        <item x="100"/>
        <item x="101"/>
        <item x="102"/>
        <item x="103"/>
        <item x="104"/>
        <item x="105"/>
        <item x="106"/>
        <item x="107"/>
        <item x="108"/>
        <item x="109"/>
        <item x="110"/>
        <item x="111"/>
        <item x="112"/>
        <item x="113"/>
        <item x="114"/>
        <item x="115"/>
        <item x="116"/>
        <item t="default"/>
      </items>
    </pivotField>
    <pivotField dataField="1" compact="0" showAll="0">
      <items count="56">
        <item x="18"/>
        <item x="54"/>
        <item x="48"/>
        <item x="7"/>
        <item x="26"/>
        <item x="36"/>
        <item x="20"/>
        <item x="52"/>
        <item x="28"/>
        <item x="39"/>
        <item x="8"/>
        <item x="9"/>
        <item x="25"/>
        <item x="11"/>
        <item x="14"/>
        <item x="12"/>
        <item x="21"/>
        <item x="24"/>
        <item x="0"/>
        <item x="45"/>
        <item x="31"/>
        <item x="43"/>
        <item x="44"/>
        <item x="34"/>
        <item x="23"/>
        <item x="1"/>
        <item x="2"/>
        <item x="3"/>
        <item x="4"/>
        <item x="5"/>
        <item x="6"/>
        <item x="10"/>
        <item x="13"/>
        <item x="15"/>
        <item x="16"/>
        <item x="17"/>
        <item x="19"/>
        <item x="22"/>
        <item x="27"/>
        <item x="29"/>
        <item x="30"/>
        <item x="32"/>
        <item x="33"/>
        <item x="35"/>
        <item x="37"/>
        <item x="38"/>
        <item x="40"/>
        <item x="41"/>
        <item x="42"/>
        <item x="46"/>
        <item x="47"/>
        <item x="49"/>
        <item x="50"/>
        <item x="51"/>
        <item x="53"/>
        <item t="default"/>
      </items>
    </pivotField>
    <pivotField compact="0" showAll="0">
      <items count="91">
        <item x="20"/>
        <item x="38"/>
        <item x="23"/>
        <item x="0"/>
        <item x="1"/>
        <item x="2"/>
        <item x="3"/>
        <item x="4"/>
        <item x="5"/>
        <item x="6"/>
        <item x="7"/>
        <item x="8"/>
        <item x="9"/>
        <item x="10"/>
        <item x="11"/>
        <item x="12"/>
        <item x="13"/>
        <item x="14"/>
        <item x="15"/>
        <item x="16"/>
        <item x="17"/>
        <item x="18"/>
        <item x="19"/>
        <item x="21"/>
        <item x="22"/>
        <item x="24"/>
        <item x="25"/>
        <item x="26"/>
        <item x="27"/>
        <item x="28"/>
        <item x="29"/>
        <item x="30"/>
        <item x="31"/>
        <item x="32"/>
        <item x="33"/>
        <item x="34"/>
        <item x="35"/>
        <item x="36"/>
        <item x="37"/>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compact="0" showAll="0">
      <items count="92">
        <item x="20"/>
        <item x="27"/>
        <item x="39"/>
        <item x="23"/>
        <item x="0"/>
        <item x="1"/>
        <item x="2"/>
        <item x="3"/>
        <item x="4"/>
        <item x="5"/>
        <item x="6"/>
        <item x="7"/>
        <item x="8"/>
        <item x="9"/>
        <item x="10"/>
        <item x="11"/>
        <item x="12"/>
        <item x="13"/>
        <item x="14"/>
        <item x="15"/>
        <item x="16"/>
        <item x="17"/>
        <item x="18"/>
        <item x="19"/>
        <item x="21"/>
        <item x="22"/>
        <item x="24"/>
        <item x="25"/>
        <item x="26"/>
        <item x="28"/>
        <item x="29"/>
        <item x="30"/>
        <item x="31"/>
        <item x="32"/>
        <item x="33"/>
        <item x="34"/>
        <item x="35"/>
        <item x="36"/>
        <item x="37"/>
        <item x="38"/>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dataField="1" compact="0" showAll="0">
      <items count="26">
        <item x="14"/>
        <item x="12"/>
        <item x="18"/>
        <item x="6"/>
        <item x="21"/>
        <item x="3"/>
        <item x="0"/>
        <item x="8"/>
        <item x="9"/>
        <item x="24"/>
        <item x="23"/>
        <item x="16"/>
        <item x="22"/>
        <item x="2"/>
        <item x="11"/>
        <item x="20"/>
        <item x="7"/>
        <item x="13"/>
        <item x="15"/>
        <item x="1"/>
        <item x="4"/>
        <item x="5"/>
        <item x="10"/>
        <item x="17"/>
        <item x="19"/>
        <item t="default"/>
      </items>
    </pivotField>
    <pivotField compact="0" showAll="0">
      <items count="27">
        <item x="13"/>
        <item x="11"/>
        <item x="22"/>
        <item x="18"/>
        <item x="7"/>
        <item x="3"/>
        <item x="0"/>
        <item x="9"/>
        <item x="25"/>
        <item x="8"/>
        <item x="4"/>
        <item x="19"/>
        <item x="6"/>
        <item x="23"/>
        <item x="15"/>
        <item x="2"/>
        <item x="17"/>
        <item x="10"/>
        <item x="14"/>
        <item x="21"/>
        <item x="5"/>
        <item x="1"/>
        <item x="12"/>
        <item x="16"/>
        <item x="20"/>
        <item x="24"/>
        <item t="default"/>
      </items>
    </pivotField>
    <pivotField compact="0" showAll="0">
      <items count="69">
        <item x="20"/>
        <item x="27"/>
        <item x="32"/>
        <item x="8"/>
        <item x="44"/>
        <item x="57"/>
        <item x="59"/>
        <item x="25"/>
        <item x="65"/>
        <item x="12"/>
        <item x="50"/>
        <item x="24"/>
        <item x="10"/>
        <item x="11"/>
        <item x="15"/>
        <item x="28"/>
        <item x="33"/>
        <item x="41"/>
        <item x="64"/>
        <item x="67"/>
        <item x="0"/>
        <item x="52"/>
        <item x="1"/>
        <item x="2"/>
        <item x="3"/>
        <item x="4"/>
        <item x="5"/>
        <item x="6"/>
        <item x="7"/>
        <item x="9"/>
        <item x="13"/>
        <item x="14"/>
        <item x="16"/>
        <item x="17"/>
        <item x="18"/>
        <item x="19"/>
        <item x="21"/>
        <item x="22"/>
        <item x="23"/>
        <item x="26"/>
        <item x="29"/>
        <item x="30"/>
        <item x="31"/>
        <item x="34"/>
        <item x="35"/>
        <item x="36"/>
        <item x="37"/>
        <item x="38"/>
        <item x="39"/>
        <item x="40"/>
        <item x="42"/>
        <item x="43"/>
        <item x="45"/>
        <item x="46"/>
        <item x="47"/>
        <item x="48"/>
        <item x="49"/>
        <item x="51"/>
        <item x="53"/>
        <item x="54"/>
        <item x="55"/>
        <item x="56"/>
        <item x="58"/>
        <item x="60"/>
        <item x="61"/>
        <item x="62"/>
        <item x="63"/>
        <item x="66"/>
        <item t="default"/>
      </items>
    </pivotField>
    <pivotField compact="0" showAll="0">
      <items count="22">
        <item x="12"/>
        <item x="3"/>
        <item x="7"/>
        <item x="10"/>
        <item x="0"/>
        <item x="6"/>
        <item x="9"/>
        <item x="8"/>
        <item x="20"/>
        <item x="17"/>
        <item x="16"/>
        <item x="1"/>
        <item x="2"/>
        <item x="4"/>
        <item x="5"/>
        <item x="11"/>
        <item x="13"/>
        <item x="14"/>
        <item x="15"/>
        <item x="18"/>
        <item x="19"/>
        <item t="default"/>
      </items>
    </pivotField>
    <pivotField compact="0" showAll="0">
      <items count="16">
        <item x="7"/>
        <item x="0"/>
        <item x="5"/>
        <item x="10"/>
        <item x="3"/>
        <item x="6"/>
        <item x="14"/>
        <item x="13"/>
        <item x="1"/>
        <item x="4"/>
        <item x="2"/>
        <item x="12"/>
        <item x="8"/>
        <item x="9"/>
        <item x="11"/>
        <item t="default"/>
      </items>
    </pivotField>
    <pivotField compact="0" showAll="0">
      <items count="44">
        <item x="17"/>
        <item x="42"/>
        <item x="6"/>
        <item x="21"/>
        <item x="3"/>
        <item x="38"/>
        <item x="30"/>
        <item x="8"/>
        <item x="19"/>
        <item x="26"/>
        <item x="40"/>
        <item x="7"/>
        <item x="32"/>
        <item x="0"/>
        <item x="12"/>
        <item x="13"/>
        <item x="15"/>
        <item x="10"/>
        <item x="23"/>
        <item x="33"/>
        <item x="27"/>
        <item x="31"/>
        <item x="1"/>
        <item x="2"/>
        <item x="4"/>
        <item x="5"/>
        <item x="9"/>
        <item x="11"/>
        <item x="14"/>
        <item x="16"/>
        <item x="18"/>
        <item x="20"/>
        <item x="22"/>
        <item x="24"/>
        <item x="25"/>
        <item x="28"/>
        <item x="29"/>
        <item x="34"/>
        <item x="35"/>
        <item x="36"/>
        <item x="37"/>
        <item x="39"/>
        <item x="41"/>
        <item t="default"/>
      </items>
    </pivotField>
    <pivotField compact="0" showAll="0">
      <items count="37">
        <item x="8"/>
        <item x="35"/>
        <item x="16"/>
        <item x="3"/>
        <item x="0"/>
        <item x="17"/>
        <item x="34"/>
        <item x="25"/>
        <item x="11"/>
        <item x="2"/>
        <item x="14"/>
        <item x="6"/>
        <item x="5"/>
        <item x="10"/>
        <item x="31"/>
        <item x="29"/>
        <item x="4"/>
        <item x="19"/>
        <item x="22"/>
        <item x="13"/>
        <item x="27"/>
        <item x="30"/>
        <item x="7"/>
        <item x="1"/>
        <item x="9"/>
        <item x="12"/>
        <item x="15"/>
        <item x="18"/>
        <item x="20"/>
        <item x="21"/>
        <item x="23"/>
        <item x="24"/>
        <item x="26"/>
        <item x="28"/>
        <item x="32"/>
        <item x="33"/>
        <item t="default"/>
      </items>
    </pivotField>
    <pivotField dataField="1" dragToCol="0" dragToPage="0" dragToRow="0" compact="0" showAll="0"/>
    <pivotField dataField="1" dragToCol="0" dragToPage="0" dragToRow="0" compact="0" showAll="0"/>
  </pivotFields>
  <rowFields count="1">
    <field x="0"/>
  </rowFields>
  <rowItems count="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886">
      <pivotArea dataOnly="0" labelOnly="1" fieldPosition="0">
        <references count="1">
          <reference field="4294967294" count="1">
            <x v="5"/>
          </reference>
        </references>
      </pivotArea>
    </format>
    <format dxfId="887">
      <pivotArea dataOnly="0" labelOnly="1" fieldPosition="0">
        <references count="1">
          <reference field="4294967294" count="1">
            <x v="6"/>
          </reference>
        </references>
      </pivotArea>
    </format>
    <format dxfId="888">
      <pivotArea collapsedLevelsAreSubtotals="1" fieldPosition="0">
        <references count="1">
          <reference field="4294967294" count="1" selected="0">
            <x v="5"/>
          </reference>
        </references>
      </pivotArea>
    </format>
    <format dxfId="889">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数据透视表22" cacheId="24"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K1:R117" firstHeaderRow="0" firstDataRow="1" firstDataCol="1"/>
  <pivotFields count="19">
    <pivotField axis="axisRow" compact="0" showAll="0">
      <items count="116">
        <item x="4"/>
        <item x="5"/>
        <item x="56"/>
        <item x="3"/>
        <item x="2"/>
        <item x="57"/>
        <item x="51"/>
        <item x="55"/>
        <item x="0"/>
        <item x="6"/>
        <item x="21"/>
        <item x="7"/>
        <item x="1"/>
        <item x="9"/>
        <item x="11"/>
        <item x="10"/>
        <item x="12"/>
        <item x="13"/>
        <item x="14"/>
        <item x="19"/>
        <item x="20"/>
        <item x="18"/>
        <item x="15"/>
        <item x="17"/>
        <item x="114"/>
        <item x="33"/>
        <item x="22"/>
        <item x="23"/>
        <item x="24"/>
        <item x="60"/>
        <item x="58"/>
        <item x="38"/>
        <item x="52"/>
        <item x="25"/>
        <item x="26"/>
        <item x="27"/>
        <item x="37"/>
        <item x="29"/>
        <item x="30"/>
        <item x="31"/>
        <item x="32"/>
        <item x="28"/>
        <item x="34"/>
        <item x="39"/>
        <item x="40"/>
        <item x="41"/>
        <item x="42"/>
        <item x="43"/>
        <item x="53"/>
        <item x="44"/>
        <item x="45"/>
        <item x="46"/>
        <item x="50"/>
        <item x="49"/>
        <item x="47"/>
        <item x="48"/>
        <item x="59"/>
        <item x="36"/>
        <item x="54"/>
        <item x="61"/>
        <item x="62"/>
        <item x="8"/>
        <item x="16"/>
        <item x="63"/>
        <item x="64"/>
        <item x="65"/>
        <item x="66"/>
        <item x="67"/>
        <item x="68"/>
        <item x="69"/>
        <item x="70"/>
        <item x="71"/>
        <item x="72"/>
        <item x="73"/>
        <item x="74"/>
        <item x="75"/>
        <item x="76"/>
        <item x="77"/>
        <item x="78"/>
        <item x="79"/>
        <item x="80"/>
        <item x="81"/>
        <item x="82"/>
        <item x="83"/>
        <item x="88"/>
        <item x="86"/>
        <item x="91"/>
        <item x="93"/>
        <item x="92"/>
        <item x="85"/>
        <item x="89"/>
        <item x="87"/>
        <item x="84"/>
        <item x="90"/>
        <item x="94"/>
        <item x="95"/>
        <item x="96"/>
        <item x="97"/>
        <item x="98"/>
        <item x="104"/>
        <item x="105"/>
        <item x="106"/>
        <item x="107"/>
        <item x="108"/>
        <item x="109"/>
        <item x="110"/>
        <item x="111"/>
        <item x="112"/>
        <item x="113"/>
        <item x="99"/>
        <item x="102"/>
        <item x="103"/>
        <item x="100"/>
        <item x="101"/>
        <item x="35"/>
        <item t="default"/>
      </items>
    </pivotField>
    <pivotField compact="0" showAll="0">
      <items count="116">
        <item x="4"/>
        <item x="2"/>
        <item x="56"/>
        <item x="55"/>
        <item x="57"/>
        <item x="0"/>
        <item x="3"/>
        <item x="5"/>
        <item x="51"/>
        <item x="6"/>
        <item x="21"/>
        <item x="7"/>
        <item x="1"/>
        <item x="9"/>
        <item x="11"/>
        <item x="10"/>
        <item x="12"/>
        <item x="13"/>
        <item x="14"/>
        <item x="19"/>
        <item x="20"/>
        <item x="18"/>
        <item x="15"/>
        <item x="17"/>
        <item x="114"/>
        <item x="33"/>
        <item x="22"/>
        <item x="23"/>
        <item x="24"/>
        <item x="60"/>
        <item x="58"/>
        <item x="38"/>
        <item x="52"/>
        <item x="25"/>
        <item x="26"/>
        <item x="27"/>
        <item x="37"/>
        <item x="29"/>
        <item x="30"/>
        <item x="31"/>
        <item x="32"/>
        <item x="28"/>
        <item x="34"/>
        <item x="39"/>
        <item x="40"/>
        <item x="41"/>
        <item x="42"/>
        <item x="43"/>
        <item x="53"/>
        <item x="44"/>
        <item x="45"/>
        <item x="46"/>
        <item x="50"/>
        <item x="49"/>
        <item x="47"/>
        <item x="48"/>
        <item x="59"/>
        <item x="36"/>
        <item x="54"/>
        <item x="61"/>
        <item x="62"/>
        <item x="8"/>
        <item x="16"/>
        <item x="63"/>
        <item x="64"/>
        <item x="65"/>
        <item x="66"/>
        <item x="67"/>
        <item x="68"/>
        <item x="69"/>
        <item x="70"/>
        <item x="71"/>
        <item x="72"/>
        <item x="73"/>
        <item x="74"/>
        <item x="75"/>
        <item x="76"/>
        <item x="77"/>
        <item x="78"/>
        <item x="79"/>
        <item x="80"/>
        <item x="81"/>
        <item x="82"/>
        <item x="83"/>
        <item x="88"/>
        <item x="86"/>
        <item x="91"/>
        <item x="93"/>
        <item x="92"/>
        <item x="85"/>
        <item x="89"/>
        <item x="87"/>
        <item x="84"/>
        <item x="90"/>
        <item x="94"/>
        <item x="95"/>
        <item x="96"/>
        <item x="97"/>
        <item x="98"/>
        <item x="104"/>
        <item x="105"/>
        <item x="106"/>
        <item x="107"/>
        <item x="108"/>
        <item x="109"/>
        <item x="110"/>
        <item x="111"/>
        <item x="112"/>
        <item x="113"/>
        <item x="99"/>
        <item x="102"/>
        <item x="103"/>
        <item x="100"/>
        <item x="101"/>
        <item x="35"/>
        <item t="default"/>
      </items>
    </pivotField>
    <pivotField dataField="1" compact="0" showAll="0">
      <items count="230">
        <item x="228"/>
        <item x="57"/>
        <item x="195"/>
        <item x="35"/>
        <item x="166"/>
        <item x="124"/>
        <item x="32"/>
        <item x="172"/>
        <item x="30"/>
        <item x="118"/>
        <item x="31"/>
        <item x="20"/>
        <item x="143"/>
        <item x="120"/>
        <item x="209"/>
        <item x="142"/>
        <item x="200"/>
        <item x="98"/>
        <item x="134"/>
        <item x="55"/>
        <item x="149"/>
        <item x="194"/>
        <item x="110"/>
        <item x="44"/>
        <item x="65"/>
        <item x="59"/>
        <item x="220"/>
        <item x="23"/>
        <item x="192"/>
        <item x="210"/>
        <item x="58"/>
        <item x="193"/>
        <item x="123"/>
        <item x="167"/>
        <item x="114"/>
        <item x="206"/>
        <item x="111"/>
        <item x="129"/>
        <item x="88"/>
        <item x="89"/>
        <item x="199"/>
        <item x="186"/>
        <item x="86"/>
        <item x="173"/>
        <item x="156"/>
        <item x="213"/>
        <item x="131"/>
        <item x="150"/>
        <item x="75"/>
        <item x="180"/>
        <item x="39"/>
        <item x="101"/>
        <item x="67"/>
        <item x="69"/>
        <item x="18"/>
        <item x="8"/>
        <item x="26"/>
        <item x="87"/>
        <item x="109"/>
        <item x="27"/>
        <item x="22"/>
        <item x="91"/>
        <item x="24"/>
        <item x="159"/>
        <item x="45"/>
        <item x="103"/>
        <item x="176"/>
        <item x="157"/>
        <item x="17"/>
        <item x="130"/>
        <item x="117"/>
        <item x="158"/>
        <item x="221"/>
        <item x="174"/>
        <item x="205"/>
        <item x="218"/>
        <item x="126"/>
        <item x="208"/>
        <item x="177"/>
        <item x="4"/>
        <item x="0"/>
        <item x="1"/>
        <item x="2"/>
        <item x="3"/>
        <item x="5"/>
        <item x="6"/>
        <item x="7"/>
        <item x="9"/>
        <item x="10"/>
        <item x="11"/>
        <item x="12"/>
        <item x="13"/>
        <item x="14"/>
        <item x="15"/>
        <item x="16"/>
        <item x="19"/>
        <item x="21"/>
        <item x="25"/>
        <item x="28"/>
        <item x="29"/>
        <item x="33"/>
        <item x="34"/>
        <item x="36"/>
        <item x="37"/>
        <item x="38"/>
        <item x="40"/>
        <item x="41"/>
        <item x="42"/>
        <item x="43"/>
        <item x="46"/>
        <item x="47"/>
        <item x="48"/>
        <item x="49"/>
        <item x="50"/>
        <item x="51"/>
        <item x="52"/>
        <item x="53"/>
        <item x="54"/>
        <item x="56"/>
        <item x="60"/>
        <item x="61"/>
        <item x="62"/>
        <item x="63"/>
        <item x="64"/>
        <item x="66"/>
        <item x="68"/>
        <item x="70"/>
        <item x="71"/>
        <item x="72"/>
        <item x="73"/>
        <item x="74"/>
        <item x="76"/>
        <item x="77"/>
        <item x="78"/>
        <item x="79"/>
        <item x="80"/>
        <item x="81"/>
        <item x="82"/>
        <item x="83"/>
        <item x="84"/>
        <item x="85"/>
        <item x="90"/>
        <item x="92"/>
        <item x="93"/>
        <item x="94"/>
        <item x="95"/>
        <item x="96"/>
        <item x="97"/>
        <item x="99"/>
        <item x="100"/>
        <item x="102"/>
        <item x="104"/>
        <item x="105"/>
        <item x="106"/>
        <item x="107"/>
        <item x="108"/>
        <item x="112"/>
        <item x="113"/>
        <item x="115"/>
        <item x="116"/>
        <item x="119"/>
        <item x="121"/>
        <item x="122"/>
        <item x="125"/>
        <item x="127"/>
        <item x="128"/>
        <item x="132"/>
        <item x="133"/>
        <item x="135"/>
        <item x="136"/>
        <item x="137"/>
        <item x="138"/>
        <item x="139"/>
        <item x="140"/>
        <item x="141"/>
        <item x="144"/>
        <item x="145"/>
        <item x="146"/>
        <item x="147"/>
        <item x="148"/>
        <item x="151"/>
        <item x="152"/>
        <item x="153"/>
        <item x="154"/>
        <item x="155"/>
        <item x="160"/>
        <item x="161"/>
        <item x="162"/>
        <item x="163"/>
        <item x="164"/>
        <item x="165"/>
        <item x="168"/>
        <item x="169"/>
        <item x="170"/>
        <item x="171"/>
        <item x="175"/>
        <item x="178"/>
        <item x="179"/>
        <item x="181"/>
        <item x="182"/>
        <item x="183"/>
        <item x="184"/>
        <item x="185"/>
        <item x="187"/>
        <item x="188"/>
        <item x="189"/>
        <item x="190"/>
        <item x="191"/>
        <item x="196"/>
        <item x="197"/>
        <item x="198"/>
        <item x="201"/>
        <item x="202"/>
        <item x="203"/>
        <item x="204"/>
        <item x="207"/>
        <item x="211"/>
        <item x="212"/>
        <item x="214"/>
        <item x="215"/>
        <item x="216"/>
        <item x="217"/>
        <item x="219"/>
        <item x="222"/>
        <item x="223"/>
        <item x="224"/>
        <item x="225"/>
        <item x="226"/>
        <item x="227"/>
        <item t="default"/>
      </items>
    </pivotField>
    <pivotField dataField="1" compact="0" showAll="0">
      <items count="31">
        <item x="4"/>
        <item x="3"/>
        <item x="5"/>
        <item x="11"/>
        <item x="1"/>
        <item x="14"/>
        <item x="13"/>
        <item x="25"/>
        <item x="29"/>
        <item x="2"/>
        <item x="10"/>
        <item x="15"/>
        <item x="0"/>
        <item x="21"/>
        <item x="9"/>
        <item x="27"/>
        <item x="7"/>
        <item x="16"/>
        <item x="12"/>
        <item x="22"/>
        <item x="23"/>
        <item x="18"/>
        <item x="17"/>
        <item x="19"/>
        <item x="20"/>
        <item x="6"/>
        <item x="8"/>
        <item x="24"/>
        <item x="26"/>
        <item x="28"/>
        <item t="default"/>
      </items>
    </pivotField>
    <pivotField compact="0" showAll="0">
      <items count="202">
        <item x="4"/>
        <item x="30"/>
        <item x="151"/>
        <item x="170"/>
        <item x="1"/>
        <item x="49"/>
        <item x="183"/>
        <item x="154"/>
        <item x="81"/>
        <item x="138"/>
        <item x="149"/>
        <item x="169"/>
        <item x="36"/>
        <item x="116"/>
        <item x="18"/>
        <item x="65"/>
        <item x="21"/>
        <item x="97"/>
        <item x="55"/>
        <item x="92"/>
        <item x="25"/>
        <item x="110"/>
        <item x="91"/>
        <item x="54"/>
        <item x="132"/>
        <item x="42"/>
        <item x="171"/>
        <item x="26"/>
        <item x="187"/>
        <item x="0"/>
        <item x="2"/>
        <item x="3"/>
        <item x="5"/>
        <item x="6"/>
        <item x="7"/>
        <item x="8"/>
        <item x="9"/>
        <item x="10"/>
        <item x="11"/>
        <item x="12"/>
        <item x="13"/>
        <item x="14"/>
        <item x="15"/>
        <item x="16"/>
        <item x="17"/>
        <item x="19"/>
        <item x="20"/>
        <item x="22"/>
        <item x="23"/>
        <item x="24"/>
        <item x="27"/>
        <item x="28"/>
        <item x="29"/>
        <item x="31"/>
        <item x="32"/>
        <item x="33"/>
        <item x="34"/>
        <item x="35"/>
        <item x="37"/>
        <item x="38"/>
        <item x="39"/>
        <item x="40"/>
        <item x="41"/>
        <item x="43"/>
        <item x="44"/>
        <item x="45"/>
        <item x="46"/>
        <item x="47"/>
        <item x="48"/>
        <item x="50"/>
        <item x="51"/>
        <item x="52"/>
        <item x="53"/>
        <item x="56"/>
        <item x="57"/>
        <item x="58"/>
        <item x="59"/>
        <item x="60"/>
        <item x="61"/>
        <item x="62"/>
        <item x="63"/>
        <item x="64"/>
        <item x="66"/>
        <item x="67"/>
        <item x="68"/>
        <item x="69"/>
        <item x="70"/>
        <item x="71"/>
        <item x="72"/>
        <item x="73"/>
        <item x="74"/>
        <item x="75"/>
        <item x="76"/>
        <item x="77"/>
        <item x="78"/>
        <item x="79"/>
        <item x="80"/>
        <item x="82"/>
        <item x="83"/>
        <item x="84"/>
        <item x="85"/>
        <item x="86"/>
        <item x="87"/>
        <item x="88"/>
        <item x="89"/>
        <item x="90"/>
        <item x="93"/>
        <item x="94"/>
        <item x="95"/>
        <item x="96"/>
        <item x="98"/>
        <item x="99"/>
        <item x="100"/>
        <item x="101"/>
        <item x="102"/>
        <item x="103"/>
        <item x="104"/>
        <item x="105"/>
        <item x="106"/>
        <item x="107"/>
        <item x="108"/>
        <item x="109"/>
        <item x="111"/>
        <item x="112"/>
        <item x="113"/>
        <item x="114"/>
        <item x="115"/>
        <item x="117"/>
        <item x="118"/>
        <item x="119"/>
        <item x="120"/>
        <item x="121"/>
        <item x="122"/>
        <item x="123"/>
        <item x="124"/>
        <item x="125"/>
        <item x="126"/>
        <item x="127"/>
        <item x="128"/>
        <item x="129"/>
        <item x="130"/>
        <item x="131"/>
        <item x="133"/>
        <item x="134"/>
        <item x="135"/>
        <item x="136"/>
        <item x="137"/>
        <item x="139"/>
        <item x="140"/>
        <item x="141"/>
        <item x="142"/>
        <item x="143"/>
        <item x="144"/>
        <item x="145"/>
        <item x="146"/>
        <item x="147"/>
        <item x="148"/>
        <item x="150"/>
        <item x="152"/>
        <item x="153"/>
        <item x="155"/>
        <item x="156"/>
        <item x="157"/>
        <item x="158"/>
        <item x="159"/>
        <item x="160"/>
        <item x="161"/>
        <item x="162"/>
        <item x="163"/>
        <item x="164"/>
        <item x="165"/>
        <item x="166"/>
        <item x="167"/>
        <item x="168"/>
        <item x="172"/>
        <item x="173"/>
        <item x="174"/>
        <item x="175"/>
        <item x="176"/>
        <item x="177"/>
        <item x="178"/>
        <item x="179"/>
        <item x="180"/>
        <item x="181"/>
        <item x="182"/>
        <item x="184"/>
        <item x="185"/>
        <item x="186"/>
        <item x="188"/>
        <item x="189"/>
        <item x="190"/>
        <item x="191"/>
        <item x="192"/>
        <item x="193"/>
        <item x="194"/>
        <item x="195"/>
        <item x="196"/>
        <item x="197"/>
        <item x="198"/>
        <item x="199"/>
        <item x="200"/>
        <item t="default"/>
      </items>
    </pivotField>
    <pivotField compact="0" showAll="0">
      <items count="155">
        <item x="4"/>
        <item x="86"/>
        <item x="34"/>
        <item x="3"/>
        <item x="21"/>
        <item x="58"/>
        <item x="24"/>
        <item x="69"/>
        <item x="96"/>
        <item x="52"/>
        <item x="97"/>
        <item x="141"/>
        <item x="79"/>
        <item x="36"/>
        <item x="111"/>
        <item x="70"/>
        <item x="153"/>
        <item x="51"/>
        <item x="119"/>
        <item x="91"/>
        <item x="17"/>
        <item x="80"/>
        <item x="27"/>
        <item x="116"/>
        <item x="5"/>
        <item x="43"/>
        <item x="81"/>
        <item x="83"/>
        <item x="14"/>
        <item x="55"/>
        <item x="152"/>
        <item x="64"/>
        <item x="1"/>
        <item x="72"/>
        <item x="82"/>
        <item x="93"/>
        <item x="134"/>
        <item x="15"/>
        <item x="101"/>
        <item x="16"/>
        <item x="61"/>
        <item x="127"/>
        <item x="71"/>
        <item x="106"/>
        <item x="0"/>
        <item x="2"/>
        <item x="6"/>
        <item x="7"/>
        <item x="8"/>
        <item x="9"/>
        <item x="10"/>
        <item x="11"/>
        <item x="12"/>
        <item x="13"/>
        <item x="18"/>
        <item x="19"/>
        <item x="20"/>
        <item x="22"/>
        <item x="23"/>
        <item x="25"/>
        <item x="26"/>
        <item x="28"/>
        <item x="29"/>
        <item x="30"/>
        <item x="31"/>
        <item x="32"/>
        <item x="33"/>
        <item x="35"/>
        <item x="37"/>
        <item x="38"/>
        <item x="39"/>
        <item x="40"/>
        <item x="41"/>
        <item x="42"/>
        <item x="44"/>
        <item x="45"/>
        <item x="46"/>
        <item x="47"/>
        <item x="48"/>
        <item x="49"/>
        <item x="50"/>
        <item x="53"/>
        <item x="54"/>
        <item x="56"/>
        <item x="57"/>
        <item x="59"/>
        <item x="60"/>
        <item x="62"/>
        <item x="63"/>
        <item x="65"/>
        <item x="66"/>
        <item x="67"/>
        <item x="68"/>
        <item x="73"/>
        <item x="74"/>
        <item x="75"/>
        <item x="76"/>
        <item x="77"/>
        <item x="78"/>
        <item x="84"/>
        <item x="85"/>
        <item x="87"/>
        <item x="88"/>
        <item x="89"/>
        <item x="90"/>
        <item x="92"/>
        <item x="94"/>
        <item x="95"/>
        <item x="98"/>
        <item x="99"/>
        <item x="100"/>
        <item x="102"/>
        <item x="103"/>
        <item x="104"/>
        <item x="105"/>
        <item x="107"/>
        <item x="108"/>
        <item x="109"/>
        <item x="110"/>
        <item x="112"/>
        <item x="113"/>
        <item x="114"/>
        <item x="115"/>
        <item x="117"/>
        <item x="118"/>
        <item x="120"/>
        <item x="121"/>
        <item x="122"/>
        <item x="123"/>
        <item x="124"/>
        <item x="125"/>
        <item x="126"/>
        <item x="128"/>
        <item x="129"/>
        <item x="130"/>
        <item x="131"/>
        <item x="132"/>
        <item x="133"/>
        <item x="135"/>
        <item x="136"/>
        <item x="137"/>
        <item x="138"/>
        <item x="139"/>
        <item x="140"/>
        <item x="142"/>
        <item x="143"/>
        <item x="144"/>
        <item x="145"/>
        <item x="146"/>
        <item x="147"/>
        <item x="148"/>
        <item x="149"/>
        <item x="150"/>
        <item x="151"/>
        <item t="default"/>
      </items>
    </pivotField>
    <pivotField dataField="1" compact="0" showAll="0">
      <items count="172">
        <item x="4"/>
        <item x="170"/>
        <item x="90"/>
        <item x="51"/>
        <item x="85"/>
        <item x="103"/>
        <item x="104"/>
        <item x="114"/>
        <item x="47"/>
        <item x="21"/>
        <item x="101"/>
        <item x="36"/>
        <item x="50"/>
        <item x="168"/>
        <item x="96"/>
        <item x="133"/>
        <item x="154"/>
        <item x="134"/>
        <item x="126"/>
        <item x="14"/>
        <item x="149"/>
        <item x="3"/>
        <item x="95"/>
        <item x="56"/>
        <item x="87"/>
        <item x="82"/>
        <item x="100"/>
        <item x="97"/>
        <item x="34"/>
        <item x="108"/>
        <item x="57"/>
        <item x="52"/>
        <item x="60"/>
        <item x="167"/>
        <item x="66"/>
        <item x="155"/>
        <item x="138"/>
        <item x="141"/>
        <item x="53"/>
        <item x="136"/>
        <item x="118"/>
        <item x="28"/>
        <item x="105"/>
        <item x="163"/>
        <item x="131"/>
        <item x="68"/>
        <item x="15"/>
        <item x="109"/>
        <item x="75"/>
        <item x="156"/>
        <item x="16"/>
        <item x="76"/>
        <item x="63"/>
        <item x="91"/>
        <item x="19"/>
        <item x="110"/>
        <item x="64"/>
        <item x="160"/>
        <item x="148"/>
        <item x="132"/>
        <item x="73"/>
        <item x="125"/>
        <item x="5"/>
        <item x="38"/>
        <item x="0"/>
        <item x="1"/>
        <item x="2"/>
        <item x="6"/>
        <item x="7"/>
        <item x="8"/>
        <item x="9"/>
        <item x="10"/>
        <item x="11"/>
        <item x="12"/>
        <item x="13"/>
        <item x="17"/>
        <item x="18"/>
        <item x="20"/>
        <item x="22"/>
        <item x="23"/>
        <item x="24"/>
        <item x="25"/>
        <item x="26"/>
        <item x="27"/>
        <item x="29"/>
        <item x="30"/>
        <item x="31"/>
        <item x="32"/>
        <item x="33"/>
        <item x="35"/>
        <item x="37"/>
        <item x="39"/>
        <item x="40"/>
        <item x="41"/>
        <item x="42"/>
        <item x="43"/>
        <item x="44"/>
        <item x="45"/>
        <item x="46"/>
        <item x="48"/>
        <item x="49"/>
        <item x="54"/>
        <item x="55"/>
        <item x="58"/>
        <item x="59"/>
        <item x="61"/>
        <item x="62"/>
        <item x="65"/>
        <item x="67"/>
        <item x="69"/>
        <item x="70"/>
        <item x="71"/>
        <item x="72"/>
        <item x="74"/>
        <item x="77"/>
        <item x="78"/>
        <item x="79"/>
        <item x="80"/>
        <item x="81"/>
        <item x="83"/>
        <item x="84"/>
        <item x="86"/>
        <item x="88"/>
        <item x="89"/>
        <item x="92"/>
        <item x="93"/>
        <item x="94"/>
        <item x="98"/>
        <item x="99"/>
        <item x="102"/>
        <item x="106"/>
        <item x="107"/>
        <item x="111"/>
        <item x="112"/>
        <item x="113"/>
        <item x="115"/>
        <item x="116"/>
        <item x="117"/>
        <item x="119"/>
        <item x="120"/>
        <item x="121"/>
        <item x="122"/>
        <item x="123"/>
        <item x="124"/>
        <item x="127"/>
        <item x="128"/>
        <item x="129"/>
        <item x="130"/>
        <item x="135"/>
        <item x="137"/>
        <item x="139"/>
        <item x="140"/>
        <item x="142"/>
        <item x="143"/>
        <item x="144"/>
        <item x="145"/>
        <item x="146"/>
        <item x="147"/>
        <item x="150"/>
        <item x="151"/>
        <item x="152"/>
        <item x="153"/>
        <item x="157"/>
        <item x="158"/>
        <item x="159"/>
        <item x="161"/>
        <item x="162"/>
        <item x="164"/>
        <item x="165"/>
        <item x="166"/>
        <item x="169"/>
        <item t="default"/>
      </items>
    </pivotField>
    <pivotField dataField="1" compact="0" showAll="0">
      <items count="14">
        <item x="1"/>
        <item x="12"/>
        <item x="0"/>
        <item x="5"/>
        <item x="8"/>
        <item x="6"/>
        <item x="10"/>
        <item x="2"/>
        <item x="3"/>
        <item x="4"/>
        <item x="7"/>
        <item x="9"/>
        <item x="11"/>
        <item t="default"/>
      </items>
    </pivotField>
    <pivotField compact="0" showAll="0">
      <items count="67">
        <item x="1"/>
        <item x="12"/>
        <item x="55"/>
        <item x="45"/>
        <item x="30"/>
        <item x="50"/>
        <item x="0"/>
        <item x="2"/>
        <item x="3"/>
        <item x="4"/>
        <item x="5"/>
        <item x="6"/>
        <item x="7"/>
        <item x="8"/>
        <item x="9"/>
        <item x="10"/>
        <item x="11"/>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6"/>
        <item x="47"/>
        <item x="48"/>
        <item x="49"/>
        <item x="51"/>
        <item x="52"/>
        <item x="53"/>
        <item x="54"/>
        <item x="56"/>
        <item x="57"/>
        <item x="58"/>
        <item x="59"/>
        <item x="60"/>
        <item x="61"/>
        <item x="62"/>
        <item x="63"/>
        <item x="64"/>
        <item x="65"/>
        <item t="default"/>
      </items>
    </pivotField>
    <pivotField compact="0" showAll="0">
      <items count="68">
        <item x="1"/>
        <item x="3"/>
        <item x="13"/>
        <item x="56"/>
        <item x="46"/>
        <item x="31"/>
        <item x="51"/>
        <item x="0"/>
        <item x="2"/>
        <item x="4"/>
        <item x="5"/>
        <item x="6"/>
        <item x="7"/>
        <item x="8"/>
        <item x="9"/>
        <item x="10"/>
        <item x="11"/>
        <item x="12"/>
        <item x="14"/>
        <item x="15"/>
        <item x="16"/>
        <item x="17"/>
        <item x="18"/>
        <item x="19"/>
        <item x="20"/>
        <item x="21"/>
        <item x="22"/>
        <item x="23"/>
        <item x="24"/>
        <item x="25"/>
        <item x="26"/>
        <item x="27"/>
        <item x="28"/>
        <item x="29"/>
        <item x="30"/>
        <item x="32"/>
        <item x="33"/>
        <item x="34"/>
        <item x="35"/>
        <item x="36"/>
        <item x="37"/>
        <item x="38"/>
        <item x="39"/>
        <item x="40"/>
        <item x="41"/>
        <item x="42"/>
        <item x="43"/>
        <item x="44"/>
        <item x="45"/>
        <item x="47"/>
        <item x="48"/>
        <item x="49"/>
        <item x="50"/>
        <item x="52"/>
        <item x="53"/>
        <item x="54"/>
        <item x="55"/>
        <item x="57"/>
        <item x="58"/>
        <item x="59"/>
        <item x="60"/>
        <item x="61"/>
        <item x="62"/>
        <item x="63"/>
        <item x="64"/>
        <item x="65"/>
        <item x="66"/>
        <item t="default"/>
      </items>
    </pivotField>
    <pivotField dataField="1" compact="0" showAll="0">
      <items count="11">
        <item x="1"/>
        <item x="0"/>
        <item x="5"/>
        <item x="7"/>
        <item x="9"/>
        <item x="4"/>
        <item x="3"/>
        <item x="8"/>
        <item x="2"/>
        <item x="6"/>
        <item t="default"/>
      </items>
    </pivotField>
    <pivotField compact="0" showAll="0">
      <items count="12">
        <item x="1"/>
        <item x="0"/>
        <item x="5"/>
        <item x="8"/>
        <item x="10"/>
        <item x="6"/>
        <item x="3"/>
        <item x="9"/>
        <item x="2"/>
        <item x="4"/>
        <item x="7"/>
        <item t="default"/>
      </items>
    </pivotField>
    <pivotField compact="0" showAll="0">
      <items count="32">
        <item x="1"/>
        <item x="3"/>
        <item x="16"/>
        <item x="28"/>
        <item x="8"/>
        <item x="24"/>
        <item x="13"/>
        <item x="2"/>
        <item x="26"/>
        <item x="17"/>
        <item x="4"/>
        <item x="5"/>
        <item x="15"/>
        <item x="20"/>
        <item x="11"/>
        <item x="0"/>
        <item x="14"/>
        <item x="6"/>
        <item x="7"/>
        <item x="9"/>
        <item x="10"/>
        <item x="12"/>
        <item x="18"/>
        <item x="19"/>
        <item x="21"/>
        <item x="22"/>
        <item x="23"/>
        <item x="25"/>
        <item x="27"/>
        <item x="29"/>
        <item x="30"/>
        <item t="default"/>
      </items>
    </pivotField>
    <pivotField compact="0" showAll="0">
      <items count="7">
        <item x="1"/>
        <item x="0"/>
        <item x="3"/>
        <item x="5"/>
        <item x="2"/>
        <item x="4"/>
        <item t="default"/>
      </items>
    </pivotField>
    <pivotField compact="0" showAll="0">
      <items count="9">
        <item x="0"/>
        <item x="1"/>
        <item x="6"/>
        <item x="5"/>
        <item x="7"/>
        <item x="2"/>
        <item x="3"/>
        <item x="4"/>
        <item t="default"/>
      </items>
    </pivotField>
    <pivotField compact="0" showAll="0">
      <items count="8">
        <item x="1"/>
        <item x="6"/>
        <item x="0"/>
        <item x="3"/>
        <item x="2"/>
        <item x="4"/>
        <item x="5"/>
        <item t="default"/>
      </items>
    </pivotField>
    <pivotField compact="0" showAll="0">
      <items count="10">
        <item x="0"/>
        <item x="8"/>
        <item x="5"/>
        <item x="1"/>
        <item x="6"/>
        <item x="2"/>
        <item x="3"/>
        <item x="4"/>
        <item x="7"/>
        <item t="default"/>
      </items>
    </pivotField>
    <pivotField dataField="1" dragToCol="0" dragToPage="0" dragToRow="0" compact="0" showAll="0"/>
    <pivotField dataField="1" dragToCol="0" dragToPage="0" dragToRow="0" compact="0" showAll="0"/>
  </pivotFields>
  <rowFields count="1">
    <field x="0"/>
  </rowFields>
  <rowItems count="1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890">
      <pivotArea dataOnly="0" labelOnly="1" fieldPosition="0">
        <references count="1">
          <reference field="4294967294" count="1">
            <x v="5"/>
          </reference>
        </references>
      </pivotArea>
    </format>
    <format dxfId="891">
      <pivotArea dataOnly="0" labelOnly="1" fieldPosition="0">
        <references count="1">
          <reference field="4294967294" count="1">
            <x v="6"/>
          </reference>
        </references>
      </pivotArea>
    </format>
    <format dxfId="892">
      <pivotArea collapsedLevelsAreSubtotals="1" fieldPosition="0">
        <references count="1">
          <reference field="4294967294" count="1" selected="0">
            <x v="5"/>
          </reference>
        </references>
      </pivotArea>
    </format>
    <format dxfId="893">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数据透视表24" cacheId="26"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AJ117" firstHeaderRow="0" firstDataRow="1" firstDataCol="1"/>
  <pivotFields count="19">
    <pivotField axis="axisRow" compact="0" showAll="0">
      <items count="116">
        <item x="4"/>
        <item x="5"/>
        <item x="1"/>
        <item x="56"/>
        <item x="3"/>
        <item x="2"/>
        <item x="57"/>
        <item x="51"/>
        <item x="55"/>
        <item x="0"/>
        <item x="6"/>
        <item x="21"/>
        <item x="7"/>
        <item x="9"/>
        <item x="11"/>
        <item x="10"/>
        <item x="12"/>
        <item x="13"/>
        <item x="14"/>
        <item x="19"/>
        <item x="20"/>
        <item x="18"/>
        <item x="15"/>
        <item x="16"/>
        <item x="17"/>
        <item x="114"/>
        <item x="33"/>
        <item x="22"/>
        <item x="23"/>
        <item x="24"/>
        <item x="60"/>
        <item x="58"/>
        <item x="38"/>
        <item x="52"/>
        <item x="25"/>
        <item x="26"/>
        <item x="27"/>
        <item x="37"/>
        <item x="29"/>
        <item x="30"/>
        <item x="31"/>
        <item x="32"/>
        <item x="28"/>
        <item x="34"/>
        <item x="35"/>
        <item x="36"/>
        <item x="39"/>
        <item x="40"/>
        <item x="41"/>
        <item x="42"/>
        <item x="43"/>
        <item x="53"/>
        <item x="44"/>
        <item x="45"/>
        <item x="46"/>
        <item x="50"/>
        <item x="49"/>
        <item x="54"/>
        <item x="47"/>
        <item x="48"/>
        <item x="59"/>
        <item x="61"/>
        <item x="62"/>
        <item x="8"/>
        <item x="63"/>
        <item x="64"/>
        <item x="65"/>
        <item x="66"/>
        <item x="67"/>
        <item x="68"/>
        <item x="69"/>
        <item x="70"/>
        <item x="71"/>
        <item x="72"/>
        <item x="73"/>
        <item x="74"/>
        <item x="75"/>
        <item x="76"/>
        <item x="77"/>
        <item x="78"/>
        <item x="79"/>
        <item x="80"/>
        <item x="81"/>
        <item x="82"/>
        <item x="83"/>
        <item x="88"/>
        <item x="86"/>
        <item x="91"/>
        <item x="93"/>
        <item x="92"/>
        <item x="85"/>
        <item x="89"/>
        <item x="87"/>
        <item x="84"/>
        <item x="90"/>
        <item x="94"/>
        <item x="95"/>
        <item x="96"/>
        <item x="97"/>
        <item x="98"/>
        <item x="104"/>
        <item x="105"/>
        <item x="106"/>
        <item x="107"/>
        <item x="108"/>
        <item x="109"/>
        <item x="110"/>
        <item x="111"/>
        <item x="112"/>
        <item x="113"/>
        <item x="99"/>
        <item x="102"/>
        <item x="103"/>
        <item x="100"/>
        <item x="101"/>
        <item t="default"/>
      </items>
    </pivotField>
    <pivotField compact="0" showAll="0">
      <items count="116">
        <item x="4"/>
        <item x="2"/>
        <item x="56"/>
        <item x="55"/>
        <item x="1"/>
        <item x="57"/>
        <item x="0"/>
        <item x="3"/>
        <item x="5"/>
        <item x="51"/>
        <item x="6"/>
        <item x="21"/>
        <item x="7"/>
        <item x="9"/>
        <item x="11"/>
        <item x="10"/>
        <item x="12"/>
        <item x="13"/>
        <item x="14"/>
        <item x="19"/>
        <item x="20"/>
        <item x="18"/>
        <item x="15"/>
        <item x="16"/>
        <item x="17"/>
        <item x="114"/>
        <item x="33"/>
        <item x="22"/>
        <item x="23"/>
        <item x="24"/>
        <item x="60"/>
        <item x="58"/>
        <item x="38"/>
        <item x="52"/>
        <item x="25"/>
        <item x="26"/>
        <item x="27"/>
        <item x="37"/>
        <item x="29"/>
        <item x="30"/>
        <item x="31"/>
        <item x="32"/>
        <item x="28"/>
        <item x="34"/>
        <item x="35"/>
        <item x="36"/>
        <item x="39"/>
        <item x="40"/>
        <item x="41"/>
        <item x="42"/>
        <item x="43"/>
        <item x="53"/>
        <item x="44"/>
        <item x="45"/>
        <item x="46"/>
        <item x="50"/>
        <item x="49"/>
        <item x="54"/>
        <item x="47"/>
        <item x="48"/>
        <item x="59"/>
        <item x="61"/>
        <item x="62"/>
        <item x="8"/>
        <item x="63"/>
        <item x="64"/>
        <item x="65"/>
        <item x="66"/>
        <item x="67"/>
        <item x="68"/>
        <item x="69"/>
        <item x="70"/>
        <item x="71"/>
        <item x="72"/>
        <item x="73"/>
        <item x="74"/>
        <item x="75"/>
        <item x="76"/>
        <item x="77"/>
        <item x="78"/>
        <item x="79"/>
        <item x="80"/>
        <item x="81"/>
        <item x="82"/>
        <item x="83"/>
        <item x="88"/>
        <item x="86"/>
        <item x="91"/>
        <item x="93"/>
        <item x="92"/>
        <item x="85"/>
        <item x="89"/>
        <item x="87"/>
        <item x="84"/>
        <item x="90"/>
        <item x="94"/>
        <item x="95"/>
        <item x="96"/>
        <item x="97"/>
        <item x="98"/>
        <item x="104"/>
        <item x="105"/>
        <item x="106"/>
        <item x="107"/>
        <item x="108"/>
        <item x="109"/>
        <item x="110"/>
        <item x="111"/>
        <item x="112"/>
        <item x="113"/>
        <item x="99"/>
        <item x="102"/>
        <item x="103"/>
        <item x="100"/>
        <item x="101"/>
        <item t="default"/>
      </items>
    </pivotField>
    <pivotField dataField="1" compact="0" showAll="0">
      <items count="284">
        <item x="282"/>
        <item x="224"/>
        <item x="238"/>
        <item x="35"/>
        <item x="280"/>
        <item x="39"/>
        <item x="62"/>
        <item x="201"/>
        <item x="140"/>
        <item x="263"/>
        <item x="223"/>
        <item x="126"/>
        <item x="225"/>
        <item x="63"/>
        <item x="66"/>
        <item x="34"/>
        <item x="149"/>
        <item x="111"/>
        <item x="123"/>
        <item x="190"/>
        <item x="239"/>
        <item x="226"/>
        <item x="59"/>
        <item x="137"/>
        <item x="71"/>
        <item x="237"/>
        <item x="42"/>
        <item x="219"/>
        <item x="60"/>
        <item x="197"/>
        <item x="88"/>
        <item x="264"/>
        <item x="245"/>
        <item x="181"/>
        <item x="145"/>
        <item x="113"/>
        <item x="274"/>
        <item x="203"/>
        <item x="81"/>
        <item x="227"/>
        <item x="20"/>
        <item x="18"/>
        <item x="179"/>
        <item x="77"/>
        <item x="271"/>
        <item x="74"/>
        <item x="281"/>
        <item x="109"/>
        <item x="235"/>
        <item x="195"/>
        <item x="254"/>
        <item x="0"/>
        <item x="1"/>
        <item x="2"/>
        <item x="3"/>
        <item x="4"/>
        <item x="5"/>
        <item x="6"/>
        <item x="7"/>
        <item x="8"/>
        <item x="9"/>
        <item x="10"/>
        <item x="11"/>
        <item x="12"/>
        <item x="13"/>
        <item x="14"/>
        <item x="15"/>
        <item x="16"/>
        <item x="17"/>
        <item x="19"/>
        <item x="21"/>
        <item x="22"/>
        <item x="23"/>
        <item x="24"/>
        <item x="25"/>
        <item x="26"/>
        <item x="27"/>
        <item x="28"/>
        <item x="29"/>
        <item x="30"/>
        <item x="31"/>
        <item x="32"/>
        <item x="33"/>
        <item x="36"/>
        <item x="37"/>
        <item x="38"/>
        <item x="40"/>
        <item x="41"/>
        <item x="43"/>
        <item x="44"/>
        <item x="45"/>
        <item x="46"/>
        <item x="47"/>
        <item x="48"/>
        <item x="49"/>
        <item x="50"/>
        <item x="51"/>
        <item x="52"/>
        <item x="53"/>
        <item x="54"/>
        <item x="55"/>
        <item x="56"/>
        <item x="57"/>
        <item x="58"/>
        <item x="61"/>
        <item x="64"/>
        <item x="65"/>
        <item x="67"/>
        <item x="68"/>
        <item x="69"/>
        <item x="70"/>
        <item x="72"/>
        <item x="73"/>
        <item x="75"/>
        <item x="76"/>
        <item x="78"/>
        <item x="79"/>
        <item x="80"/>
        <item x="82"/>
        <item x="83"/>
        <item x="84"/>
        <item x="85"/>
        <item x="86"/>
        <item x="87"/>
        <item x="89"/>
        <item x="90"/>
        <item x="91"/>
        <item x="92"/>
        <item x="93"/>
        <item x="94"/>
        <item x="95"/>
        <item x="96"/>
        <item x="97"/>
        <item x="98"/>
        <item x="99"/>
        <item x="100"/>
        <item x="101"/>
        <item x="102"/>
        <item x="103"/>
        <item x="104"/>
        <item x="105"/>
        <item x="106"/>
        <item x="107"/>
        <item x="108"/>
        <item x="110"/>
        <item x="112"/>
        <item x="114"/>
        <item x="115"/>
        <item x="116"/>
        <item x="117"/>
        <item x="118"/>
        <item x="119"/>
        <item x="120"/>
        <item x="121"/>
        <item x="122"/>
        <item x="124"/>
        <item x="125"/>
        <item x="127"/>
        <item x="128"/>
        <item x="129"/>
        <item x="130"/>
        <item x="131"/>
        <item x="132"/>
        <item x="133"/>
        <item x="134"/>
        <item x="135"/>
        <item x="136"/>
        <item x="138"/>
        <item x="139"/>
        <item x="141"/>
        <item x="142"/>
        <item x="143"/>
        <item x="144"/>
        <item x="146"/>
        <item x="147"/>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2"/>
        <item x="183"/>
        <item x="184"/>
        <item x="185"/>
        <item x="186"/>
        <item x="187"/>
        <item x="188"/>
        <item x="189"/>
        <item x="191"/>
        <item x="192"/>
        <item x="193"/>
        <item x="194"/>
        <item x="196"/>
        <item x="198"/>
        <item x="199"/>
        <item x="200"/>
        <item x="202"/>
        <item x="204"/>
        <item x="205"/>
        <item x="206"/>
        <item x="207"/>
        <item x="208"/>
        <item x="209"/>
        <item x="210"/>
        <item x="211"/>
        <item x="212"/>
        <item x="213"/>
        <item x="214"/>
        <item x="215"/>
        <item x="216"/>
        <item x="217"/>
        <item x="218"/>
        <item x="220"/>
        <item x="221"/>
        <item x="222"/>
        <item x="228"/>
        <item x="229"/>
        <item x="230"/>
        <item x="231"/>
        <item x="232"/>
        <item x="233"/>
        <item x="234"/>
        <item x="236"/>
        <item x="240"/>
        <item x="241"/>
        <item x="242"/>
        <item x="243"/>
        <item x="244"/>
        <item x="246"/>
        <item x="247"/>
        <item x="248"/>
        <item x="249"/>
        <item x="250"/>
        <item x="251"/>
        <item x="252"/>
        <item x="253"/>
        <item x="255"/>
        <item x="256"/>
        <item x="257"/>
        <item x="258"/>
        <item x="259"/>
        <item x="260"/>
        <item x="261"/>
        <item x="262"/>
        <item x="265"/>
        <item x="266"/>
        <item x="267"/>
        <item x="268"/>
        <item x="269"/>
        <item x="270"/>
        <item x="272"/>
        <item x="273"/>
        <item x="275"/>
        <item x="276"/>
        <item x="277"/>
        <item x="278"/>
        <item x="279"/>
        <item t="default"/>
      </items>
    </pivotField>
    <pivotField dataField="1" compact="0" showAll="0">
      <items count="72">
        <item x="21"/>
        <item x="20"/>
        <item x="18"/>
        <item x="26"/>
        <item x="4"/>
        <item x="28"/>
        <item x="1"/>
        <item x="22"/>
        <item x="60"/>
        <item x="6"/>
        <item x="17"/>
        <item x="54"/>
        <item x="59"/>
        <item x="14"/>
        <item x="70"/>
        <item x="23"/>
        <item x="12"/>
        <item x="38"/>
        <item x="63"/>
        <item x="2"/>
        <item x="65"/>
        <item x="27"/>
        <item x="53"/>
        <item x="16"/>
        <item x="29"/>
        <item x="42"/>
        <item x="35"/>
        <item x="51"/>
        <item x="15"/>
        <item x="47"/>
        <item x="52"/>
        <item x="69"/>
        <item x="5"/>
        <item x="33"/>
        <item x="3"/>
        <item x="24"/>
        <item x="40"/>
        <item x="25"/>
        <item x="50"/>
        <item x="10"/>
        <item x="13"/>
        <item x="19"/>
        <item x="37"/>
        <item x="41"/>
        <item x="62"/>
        <item x="49"/>
        <item x="68"/>
        <item x="39"/>
        <item x="11"/>
        <item x="0"/>
        <item x="7"/>
        <item x="8"/>
        <item x="9"/>
        <item x="30"/>
        <item x="31"/>
        <item x="32"/>
        <item x="34"/>
        <item x="36"/>
        <item x="43"/>
        <item x="44"/>
        <item x="45"/>
        <item x="46"/>
        <item x="48"/>
        <item x="55"/>
        <item x="56"/>
        <item x="57"/>
        <item x="58"/>
        <item x="61"/>
        <item x="64"/>
        <item x="66"/>
        <item x="67"/>
        <item t="default"/>
      </items>
    </pivotField>
    <pivotField compact="0" showAll="0">
      <items count="265">
        <item x="21"/>
        <item x="36"/>
        <item x="59"/>
        <item x="196"/>
        <item x="261"/>
        <item x="262"/>
        <item x="218"/>
        <item x="87"/>
        <item x="206"/>
        <item x="173"/>
        <item x="210"/>
        <item x="101"/>
        <item x="165"/>
        <item x="102"/>
        <item x="0"/>
        <item x="1"/>
        <item x="2"/>
        <item x="3"/>
        <item x="4"/>
        <item x="5"/>
        <item x="6"/>
        <item x="7"/>
        <item x="8"/>
        <item x="9"/>
        <item x="10"/>
        <item x="11"/>
        <item x="12"/>
        <item x="13"/>
        <item x="14"/>
        <item x="15"/>
        <item x="16"/>
        <item x="17"/>
        <item x="18"/>
        <item x="19"/>
        <item x="20"/>
        <item x="22"/>
        <item x="23"/>
        <item x="24"/>
        <item x="25"/>
        <item x="26"/>
        <item x="27"/>
        <item x="28"/>
        <item x="29"/>
        <item x="30"/>
        <item x="31"/>
        <item x="32"/>
        <item x="33"/>
        <item x="34"/>
        <item x="35"/>
        <item x="37"/>
        <item x="38"/>
        <item x="39"/>
        <item x="40"/>
        <item x="41"/>
        <item x="42"/>
        <item x="43"/>
        <item x="44"/>
        <item x="45"/>
        <item x="46"/>
        <item x="47"/>
        <item x="48"/>
        <item x="49"/>
        <item x="50"/>
        <item x="51"/>
        <item x="52"/>
        <item x="53"/>
        <item x="54"/>
        <item x="55"/>
        <item x="56"/>
        <item x="57"/>
        <item x="58"/>
        <item x="60"/>
        <item x="61"/>
        <item x="62"/>
        <item x="63"/>
        <item x="64"/>
        <item x="65"/>
        <item x="66"/>
        <item x="67"/>
        <item x="68"/>
        <item x="69"/>
        <item x="70"/>
        <item x="71"/>
        <item x="72"/>
        <item x="73"/>
        <item x="74"/>
        <item x="75"/>
        <item x="76"/>
        <item x="77"/>
        <item x="78"/>
        <item x="79"/>
        <item x="80"/>
        <item x="81"/>
        <item x="82"/>
        <item x="83"/>
        <item x="84"/>
        <item x="85"/>
        <item x="86"/>
        <item x="88"/>
        <item x="89"/>
        <item x="90"/>
        <item x="91"/>
        <item x="92"/>
        <item x="93"/>
        <item x="94"/>
        <item x="95"/>
        <item x="96"/>
        <item x="97"/>
        <item x="98"/>
        <item x="99"/>
        <item x="100"/>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6"/>
        <item x="167"/>
        <item x="168"/>
        <item x="169"/>
        <item x="170"/>
        <item x="171"/>
        <item x="172"/>
        <item x="174"/>
        <item x="175"/>
        <item x="176"/>
        <item x="177"/>
        <item x="178"/>
        <item x="179"/>
        <item x="180"/>
        <item x="181"/>
        <item x="182"/>
        <item x="183"/>
        <item x="184"/>
        <item x="185"/>
        <item x="186"/>
        <item x="187"/>
        <item x="188"/>
        <item x="189"/>
        <item x="190"/>
        <item x="191"/>
        <item x="192"/>
        <item x="193"/>
        <item x="194"/>
        <item x="195"/>
        <item x="197"/>
        <item x="198"/>
        <item x="199"/>
        <item x="200"/>
        <item x="201"/>
        <item x="202"/>
        <item x="203"/>
        <item x="204"/>
        <item x="205"/>
        <item x="207"/>
        <item x="208"/>
        <item x="209"/>
        <item x="211"/>
        <item x="212"/>
        <item x="213"/>
        <item x="214"/>
        <item x="215"/>
        <item x="216"/>
        <item x="217"/>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3"/>
        <item t="default"/>
      </items>
    </pivotField>
    <pivotField compact="0" showAll="0">
      <items count="221">
        <item x="20"/>
        <item x="28"/>
        <item x="163"/>
        <item x="116"/>
        <item x="219"/>
        <item x="21"/>
        <item x="37"/>
        <item x="122"/>
        <item x="161"/>
        <item x="19"/>
        <item x="54"/>
        <item x="145"/>
        <item x="22"/>
        <item x="187"/>
        <item x="69"/>
        <item x="96"/>
        <item x="218"/>
        <item x="1"/>
        <item x="120"/>
        <item x="149"/>
        <item x="147"/>
        <item x="156"/>
        <item x="205"/>
        <item x="217"/>
        <item x="195"/>
        <item x="23"/>
        <item x="24"/>
        <item x="155"/>
        <item x="183"/>
        <item x="181"/>
        <item x="41"/>
        <item x="92"/>
        <item x="105"/>
        <item x="115"/>
        <item x="4"/>
        <item x="112"/>
        <item x="211"/>
        <item x="110"/>
        <item x="152"/>
        <item x="84"/>
        <item x="169"/>
        <item x="58"/>
        <item x="204"/>
        <item x="0"/>
        <item x="2"/>
        <item x="3"/>
        <item x="5"/>
        <item x="6"/>
        <item x="7"/>
        <item x="8"/>
        <item x="9"/>
        <item x="10"/>
        <item x="11"/>
        <item x="12"/>
        <item x="13"/>
        <item x="14"/>
        <item x="15"/>
        <item x="16"/>
        <item x="17"/>
        <item x="18"/>
        <item x="25"/>
        <item x="26"/>
        <item x="27"/>
        <item x="29"/>
        <item x="30"/>
        <item x="31"/>
        <item x="32"/>
        <item x="33"/>
        <item x="34"/>
        <item x="35"/>
        <item x="36"/>
        <item x="38"/>
        <item x="39"/>
        <item x="40"/>
        <item x="42"/>
        <item x="43"/>
        <item x="44"/>
        <item x="45"/>
        <item x="46"/>
        <item x="47"/>
        <item x="48"/>
        <item x="49"/>
        <item x="50"/>
        <item x="51"/>
        <item x="52"/>
        <item x="53"/>
        <item x="55"/>
        <item x="56"/>
        <item x="57"/>
        <item x="59"/>
        <item x="60"/>
        <item x="61"/>
        <item x="62"/>
        <item x="63"/>
        <item x="64"/>
        <item x="65"/>
        <item x="66"/>
        <item x="67"/>
        <item x="68"/>
        <item x="70"/>
        <item x="71"/>
        <item x="72"/>
        <item x="73"/>
        <item x="74"/>
        <item x="75"/>
        <item x="76"/>
        <item x="77"/>
        <item x="78"/>
        <item x="79"/>
        <item x="80"/>
        <item x="81"/>
        <item x="82"/>
        <item x="83"/>
        <item x="85"/>
        <item x="86"/>
        <item x="87"/>
        <item x="88"/>
        <item x="89"/>
        <item x="90"/>
        <item x="91"/>
        <item x="93"/>
        <item x="94"/>
        <item x="95"/>
        <item x="97"/>
        <item x="98"/>
        <item x="99"/>
        <item x="100"/>
        <item x="101"/>
        <item x="102"/>
        <item x="103"/>
        <item x="104"/>
        <item x="106"/>
        <item x="107"/>
        <item x="108"/>
        <item x="109"/>
        <item x="111"/>
        <item x="113"/>
        <item x="114"/>
        <item x="117"/>
        <item x="118"/>
        <item x="119"/>
        <item x="121"/>
        <item x="123"/>
        <item x="124"/>
        <item x="125"/>
        <item x="126"/>
        <item x="127"/>
        <item x="128"/>
        <item x="129"/>
        <item x="130"/>
        <item x="131"/>
        <item x="132"/>
        <item x="133"/>
        <item x="134"/>
        <item x="135"/>
        <item x="136"/>
        <item x="137"/>
        <item x="138"/>
        <item x="139"/>
        <item x="140"/>
        <item x="141"/>
        <item x="142"/>
        <item x="143"/>
        <item x="144"/>
        <item x="146"/>
        <item x="148"/>
        <item x="150"/>
        <item x="151"/>
        <item x="153"/>
        <item x="154"/>
        <item x="157"/>
        <item x="158"/>
        <item x="159"/>
        <item x="160"/>
        <item x="162"/>
        <item x="164"/>
        <item x="165"/>
        <item x="166"/>
        <item x="167"/>
        <item x="168"/>
        <item x="170"/>
        <item x="171"/>
        <item x="172"/>
        <item x="173"/>
        <item x="174"/>
        <item x="175"/>
        <item x="176"/>
        <item x="177"/>
        <item x="178"/>
        <item x="179"/>
        <item x="180"/>
        <item x="182"/>
        <item x="184"/>
        <item x="185"/>
        <item x="186"/>
        <item x="188"/>
        <item x="189"/>
        <item x="190"/>
        <item x="191"/>
        <item x="192"/>
        <item x="193"/>
        <item x="194"/>
        <item x="196"/>
        <item x="197"/>
        <item x="198"/>
        <item x="199"/>
        <item x="200"/>
        <item x="201"/>
        <item x="202"/>
        <item x="203"/>
        <item x="206"/>
        <item x="207"/>
        <item x="208"/>
        <item x="209"/>
        <item x="210"/>
        <item x="212"/>
        <item x="213"/>
        <item x="214"/>
        <item x="215"/>
        <item x="216"/>
        <item t="default"/>
      </items>
    </pivotField>
    <pivotField dataField="1" compact="0" showAll="0">
      <items count="232">
        <item x="21"/>
        <item x="230"/>
        <item x="172"/>
        <item x="143"/>
        <item x="104"/>
        <item x="228"/>
        <item x="20"/>
        <item x="136"/>
        <item x="168"/>
        <item x="157"/>
        <item x="105"/>
        <item x="23"/>
        <item x="57"/>
        <item x="107"/>
        <item x="126"/>
        <item x="1"/>
        <item x="22"/>
        <item x="12"/>
        <item x="213"/>
        <item x="85"/>
        <item x="70"/>
        <item x="25"/>
        <item x="31"/>
        <item x="160"/>
        <item x="128"/>
        <item x="54"/>
        <item x="56"/>
        <item x="3"/>
        <item x="208"/>
        <item x="14"/>
        <item x="165"/>
        <item x="29"/>
        <item x="202"/>
        <item x="99"/>
        <item x="204"/>
        <item x="109"/>
        <item x="115"/>
        <item x="120"/>
        <item x="4"/>
        <item x="229"/>
        <item x="40"/>
        <item x="122"/>
        <item x="220"/>
        <item x="155"/>
        <item x="158"/>
        <item x="166"/>
        <item x="222"/>
        <item x="61"/>
        <item x="195"/>
        <item x="211"/>
        <item x="26"/>
        <item x="131"/>
        <item x="212"/>
        <item x="226"/>
        <item x="59"/>
        <item x="0"/>
        <item x="2"/>
        <item x="5"/>
        <item x="6"/>
        <item x="7"/>
        <item x="8"/>
        <item x="9"/>
        <item x="10"/>
        <item x="11"/>
        <item x="13"/>
        <item x="15"/>
        <item x="16"/>
        <item x="17"/>
        <item x="18"/>
        <item x="19"/>
        <item x="24"/>
        <item x="27"/>
        <item x="28"/>
        <item x="30"/>
        <item x="32"/>
        <item x="33"/>
        <item x="34"/>
        <item x="35"/>
        <item x="36"/>
        <item x="37"/>
        <item x="38"/>
        <item x="39"/>
        <item x="41"/>
        <item x="42"/>
        <item x="43"/>
        <item x="44"/>
        <item x="45"/>
        <item x="46"/>
        <item x="47"/>
        <item x="48"/>
        <item x="49"/>
        <item x="50"/>
        <item x="51"/>
        <item x="52"/>
        <item x="53"/>
        <item x="55"/>
        <item x="58"/>
        <item x="60"/>
        <item x="62"/>
        <item x="63"/>
        <item x="64"/>
        <item x="65"/>
        <item x="66"/>
        <item x="67"/>
        <item x="68"/>
        <item x="69"/>
        <item x="71"/>
        <item x="72"/>
        <item x="73"/>
        <item x="74"/>
        <item x="75"/>
        <item x="76"/>
        <item x="77"/>
        <item x="78"/>
        <item x="79"/>
        <item x="80"/>
        <item x="81"/>
        <item x="82"/>
        <item x="83"/>
        <item x="84"/>
        <item x="86"/>
        <item x="87"/>
        <item x="88"/>
        <item x="89"/>
        <item x="90"/>
        <item x="91"/>
        <item x="92"/>
        <item x="93"/>
        <item x="94"/>
        <item x="95"/>
        <item x="96"/>
        <item x="97"/>
        <item x="98"/>
        <item x="100"/>
        <item x="101"/>
        <item x="102"/>
        <item x="103"/>
        <item x="106"/>
        <item x="108"/>
        <item x="110"/>
        <item x="111"/>
        <item x="112"/>
        <item x="113"/>
        <item x="114"/>
        <item x="116"/>
        <item x="117"/>
        <item x="118"/>
        <item x="119"/>
        <item x="121"/>
        <item x="123"/>
        <item x="124"/>
        <item x="125"/>
        <item x="127"/>
        <item x="129"/>
        <item x="130"/>
        <item x="132"/>
        <item x="133"/>
        <item x="134"/>
        <item x="135"/>
        <item x="137"/>
        <item x="138"/>
        <item x="139"/>
        <item x="140"/>
        <item x="141"/>
        <item x="142"/>
        <item x="144"/>
        <item x="145"/>
        <item x="146"/>
        <item x="147"/>
        <item x="148"/>
        <item x="149"/>
        <item x="150"/>
        <item x="151"/>
        <item x="152"/>
        <item x="153"/>
        <item x="154"/>
        <item x="156"/>
        <item x="159"/>
        <item x="161"/>
        <item x="162"/>
        <item x="163"/>
        <item x="164"/>
        <item x="167"/>
        <item x="169"/>
        <item x="170"/>
        <item x="171"/>
        <item x="173"/>
        <item x="174"/>
        <item x="175"/>
        <item x="176"/>
        <item x="177"/>
        <item x="178"/>
        <item x="179"/>
        <item x="180"/>
        <item x="181"/>
        <item x="182"/>
        <item x="183"/>
        <item x="184"/>
        <item x="185"/>
        <item x="186"/>
        <item x="187"/>
        <item x="188"/>
        <item x="189"/>
        <item x="190"/>
        <item x="191"/>
        <item x="192"/>
        <item x="193"/>
        <item x="194"/>
        <item x="196"/>
        <item x="197"/>
        <item x="198"/>
        <item x="199"/>
        <item x="200"/>
        <item x="201"/>
        <item x="203"/>
        <item x="205"/>
        <item x="206"/>
        <item x="207"/>
        <item x="209"/>
        <item x="210"/>
        <item x="214"/>
        <item x="215"/>
        <item x="216"/>
        <item x="217"/>
        <item x="218"/>
        <item x="219"/>
        <item x="221"/>
        <item x="223"/>
        <item x="224"/>
        <item x="225"/>
        <item x="227"/>
        <item t="default"/>
      </items>
    </pivotField>
    <pivotField dataField="1" compact="0" showAll="0">
      <items count="41">
        <item x="1"/>
        <item x="39"/>
        <item x="4"/>
        <item x="2"/>
        <item x="8"/>
        <item x="18"/>
        <item x="30"/>
        <item x="0"/>
        <item x="3"/>
        <item x="6"/>
        <item x="11"/>
        <item x="22"/>
        <item x="12"/>
        <item x="13"/>
        <item x="28"/>
        <item x="27"/>
        <item x="26"/>
        <item x="29"/>
        <item x="21"/>
        <item x="32"/>
        <item x="17"/>
        <item x="15"/>
        <item x="35"/>
        <item x="36"/>
        <item x="5"/>
        <item x="7"/>
        <item x="9"/>
        <item x="10"/>
        <item x="14"/>
        <item x="16"/>
        <item x="19"/>
        <item x="20"/>
        <item x="23"/>
        <item x="24"/>
        <item x="25"/>
        <item x="31"/>
        <item x="33"/>
        <item x="34"/>
        <item x="37"/>
        <item x="38"/>
        <item t="default"/>
      </items>
    </pivotField>
    <pivotField compact="0" showAll="0">
      <items count="156">
        <item x="1"/>
        <item x="93"/>
        <item x="145"/>
        <item x="119"/>
        <item x="78"/>
        <item x="73"/>
        <item x="152"/>
        <item x="132"/>
        <item x="42"/>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4"/>
        <item x="75"/>
        <item x="76"/>
        <item x="77"/>
        <item x="79"/>
        <item x="80"/>
        <item x="81"/>
        <item x="82"/>
        <item x="83"/>
        <item x="84"/>
        <item x="85"/>
        <item x="86"/>
        <item x="87"/>
        <item x="88"/>
        <item x="89"/>
        <item x="90"/>
        <item x="91"/>
        <item x="92"/>
        <item x="94"/>
        <item x="95"/>
        <item x="96"/>
        <item x="97"/>
        <item x="98"/>
        <item x="99"/>
        <item x="100"/>
        <item x="101"/>
        <item x="102"/>
        <item x="103"/>
        <item x="104"/>
        <item x="105"/>
        <item x="106"/>
        <item x="107"/>
        <item x="108"/>
        <item x="109"/>
        <item x="110"/>
        <item x="111"/>
        <item x="112"/>
        <item x="113"/>
        <item x="114"/>
        <item x="115"/>
        <item x="116"/>
        <item x="117"/>
        <item x="118"/>
        <item x="120"/>
        <item x="121"/>
        <item x="122"/>
        <item x="123"/>
        <item x="124"/>
        <item x="125"/>
        <item x="126"/>
        <item x="127"/>
        <item x="128"/>
        <item x="129"/>
        <item x="130"/>
        <item x="131"/>
        <item x="133"/>
        <item x="134"/>
        <item x="135"/>
        <item x="136"/>
        <item x="137"/>
        <item x="138"/>
        <item x="139"/>
        <item x="140"/>
        <item x="141"/>
        <item x="142"/>
        <item x="143"/>
        <item x="144"/>
        <item x="146"/>
        <item x="147"/>
        <item x="148"/>
        <item x="149"/>
        <item x="150"/>
        <item x="151"/>
        <item x="153"/>
        <item x="154"/>
        <item t="default"/>
      </items>
    </pivotField>
    <pivotField compact="0" showAll="0">
      <items count="157">
        <item x="1"/>
        <item x="17"/>
        <item x="94"/>
        <item x="146"/>
        <item x="120"/>
        <item x="79"/>
        <item x="74"/>
        <item x="153"/>
        <item x="133"/>
        <item x="43"/>
        <item x="0"/>
        <item x="2"/>
        <item x="3"/>
        <item x="4"/>
        <item x="5"/>
        <item x="6"/>
        <item x="7"/>
        <item x="8"/>
        <item x="9"/>
        <item x="10"/>
        <item x="11"/>
        <item x="12"/>
        <item x="13"/>
        <item x="14"/>
        <item x="15"/>
        <item x="16"/>
        <item x="18"/>
        <item x="19"/>
        <item x="20"/>
        <item x="21"/>
        <item x="22"/>
        <item x="23"/>
        <item x="24"/>
        <item x="25"/>
        <item x="26"/>
        <item x="27"/>
        <item x="28"/>
        <item x="29"/>
        <item x="30"/>
        <item x="31"/>
        <item x="32"/>
        <item x="33"/>
        <item x="34"/>
        <item x="35"/>
        <item x="36"/>
        <item x="37"/>
        <item x="38"/>
        <item x="39"/>
        <item x="40"/>
        <item x="41"/>
        <item x="42"/>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80"/>
        <item x="81"/>
        <item x="82"/>
        <item x="83"/>
        <item x="84"/>
        <item x="85"/>
        <item x="86"/>
        <item x="87"/>
        <item x="88"/>
        <item x="89"/>
        <item x="90"/>
        <item x="91"/>
        <item x="92"/>
        <item x="93"/>
        <item x="95"/>
        <item x="96"/>
        <item x="97"/>
        <item x="98"/>
        <item x="99"/>
        <item x="100"/>
        <item x="101"/>
        <item x="102"/>
        <item x="103"/>
        <item x="104"/>
        <item x="105"/>
        <item x="106"/>
        <item x="107"/>
        <item x="108"/>
        <item x="109"/>
        <item x="110"/>
        <item x="111"/>
        <item x="112"/>
        <item x="113"/>
        <item x="114"/>
        <item x="115"/>
        <item x="116"/>
        <item x="117"/>
        <item x="118"/>
        <item x="119"/>
        <item x="121"/>
        <item x="122"/>
        <item x="123"/>
        <item x="124"/>
        <item x="125"/>
        <item x="126"/>
        <item x="127"/>
        <item x="128"/>
        <item x="129"/>
        <item x="130"/>
        <item x="131"/>
        <item x="132"/>
        <item x="134"/>
        <item x="135"/>
        <item x="136"/>
        <item x="137"/>
        <item x="138"/>
        <item x="139"/>
        <item x="140"/>
        <item x="141"/>
        <item x="142"/>
        <item x="143"/>
        <item x="144"/>
        <item x="145"/>
        <item x="147"/>
        <item x="148"/>
        <item x="149"/>
        <item x="150"/>
        <item x="151"/>
        <item x="152"/>
        <item x="154"/>
        <item x="155"/>
        <item t="default"/>
      </items>
    </pivotField>
    <pivotField dataField="1" compact="0" showAll="0">
      <items count="20">
        <item x="1"/>
        <item x="3"/>
        <item x="9"/>
        <item x="2"/>
        <item x="5"/>
        <item x="11"/>
        <item x="7"/>
        <item x="0"/>
        <item x="18"/>
        <item x="10"/>
        <item x="15"/>
        <item x="13"/>
        <item x="17"/>
        <item x="12"/>
        <item x="14"/>
        <item x="4"/>
        <item x="6"/>
        <item x="8"/>
        <item x="16"/>
        <item t="default"/>
      </items>
    </pivotField>
    <pivotField compact="0" showAll="0">
      <items count="21">
        <item x="1"/>
        <item x="3"/>
        <item x="13"/>
        <item x="2"/>
        <item x="5"/>
        <item x="10"/>
        <item x="0"/>
        <item x="12"/>
        <item x="19"/>
        <item x="16"/>
        <item x="9"/>
        <item x="18"/>
        <item x="11"/>
        <item x="15"/>
        <item x="4"/>
        <item x="6"/>
        <item x="7"/>
        <item x="8"/>
        <item x="14"/>
        <item x="17"/>
        <item t="default"/>
      </items>
    </pivotField>
    <pivotField compact="0" showAll="0">
      <items count="77">
        <item x="1"/>
        <item x="16"/>
        <item x="9"/>
        <item x="3"/>
        <item x="21"/>
        <item x="14"/>
        <item x="2"/>
        <item x="5"/>
        <item x="41"/>
        <item x="36"/>
        <item x="4"/>
        <item x="17"/>
        <item x="56"/>
        <item x="60"/>
        <item x="54"/>
        <item x="53"/>
        <item x="39"/>
        <item x="11"/>
        <item x="66"/>
        <item x="32"/>
        <item x="25"/>
        <item x="18"/>
        <item x="13"/>
        <item x="58"/>
        <item x="40"/>
        <item x="57"/>
        <item x="49"/>
        <item x="48"/>
        <item x="20"/>
        <item x="55"/>
        <item x="30"/>
        <item x="43"/>
        <item x="75"/>
        <item x="51"/>
        <item x="64"/>
        <item x="68"/>
        <item x="22"/>
        <item x="45"/>
        <item x="37"/>
        <item x="59"/>
        <item x="0"/>
        <item x="6"/>
        <item x="7"/>
        <item x="8"/>
        <item x="10"/>
        <item x="12"/>
        <item x="15"/>
        <item x="19"/>
        <item x="23"/>
        <item x="24"/>
        <item x="26"/>
        <item x="27"/>
        <item x="28"/>
        <item x="29"/>
        <item x="31"/>
        <item x="33"/>
        <item x="34"/>
        <item x="35"/>
        <item x="38"/>
        <item x="42"/>
        <item x="44"/>
        <item x="46"/>
        <item x="47"/>
        <item x="50"/>
        <item x="52"/>
        <item x="61"/>
        <item x="62"/>
        <item x="63"/>
        <item x="65"/>
        <item x="67"/>
        <item x="69"/>
        <item x="70"/>
        <item x="71"/>
        <item x="72"/>
        <item x="73"/>
        <item x="74"/>
        <item t="default"/>
      </items>
    </pivotField>
    <pivotField compact="0" showAll="0">
      <items count="14">
        <item x="1"/>
        <item x="2"/>
        <item x="0"/>
        <item x="5"/>
        <item x="7"/>
        <item x="12"/>
        <item x="9"/>
        <item x="11"/>
        <item x="6"/>
        <item x="3"/>
        <item x="4"/>
        <item x="8"/>
        <item x="10"/>
        <item t="default"/>
      </items>
    </pivotField>
    <pivotField compact="0" showAll="0">
      <items count="17">
        <item x="1"/>
        <item x="2"/>
        <item x="4"/>
        <item x="0"/>
        <item x="8"/>
        <item x="14"/>
        <item x="15"/>
        <item x="7"/>
        <item x="11"/>
        <item x="12"/>
        <item x="10"/>
        <item x="9"/>
        <item x="3"/>
        <item x="5"/>
        <item x="6"/>
        <item x="13"/>
        <item t="default"/>
      </items>
    </pivotField>
    <pivotField compact="0" showAll="0">
      <items count="22">
        <item x="1"/>
        <item x="20"/>
        <item x="3"/>
        <item x="0"/>
        <item x="6"/>
        <item x="10"/>
        <item x="2"/>
        <item x="4"/>
        <item x="17"/>
        <item x="12"/>
        <item x="15"/>
        <item x="16"/>
        <item x="9"/>
        <item x="19"/>
        <item x="5"/>
        <item x="7"/>
        <item x="8"/>
        <item x="11"/>
        <item x="13"/>
        <item x="14"/>
        <item x="18"/>
        <item t="default"/>
      </items>
    </pivotField>
    <pivotField compact="0" showAll="0">
      <items count="30">
        <item x="1"/>
        <item x="28"/>
        <item x="2"/>
        <item x="8"/>
        <item x="14"/>
        <item x="10"/>
        <item x="7"/>
        <item x="15"/>
        <item x="25"/>
        <item x="4"/>
        <item x="9"/>
        <item x="19"/>
        <item x="13"/>
        <item x="20"/>
        <item x="22"/>
        <item x="0"/>
        <item x="23"/>
        <item x="3"/>
        <item x="5"/>
        <item x="6"/>
        <item x="11"/>
        <item x="12"/>
        <item x="16"/>
        <item x="17"/>
        <item x="18"/>
        <item x="21"/>
        <item x="24"/>
        <item x="26"/>
        <item x="27"/>
        <item t="default"/>
      </items>
    </pivotField>
    <pivotField dataField="1" dragToCol="0" dragToPage="0" dragToRow="0" compact="0" showAll="0"/>
    <pivotField dataField="1" dragToCol="0" dragToPage="0" dragToRow="0" compact="0" showAll="0"/>
  </pivotFields>
  <rowFields count="1">
    <field x="0"/>
  </rowFields>
  <rowItems count="1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894">
      <pivotArea dataOnly="0" labelOnly="1" fieldPosition="0">
        <references count="1">
          <reference field="4294967294" count="1">
            <x v="5"/>
          </reference>
        </references>
      </pivotArea>
    </format>
    <format dxfId="895">
      <pivotArea dataOnly="0" labelOnly="1" fieldPosition="0">
        <references count="1">
          <reference field="4294967294" count="1">
            <x v="6"/>
          </reference>
        </references>
      </pivotArea>
    </format>
    <format dxfId="896">
      <pivotArea collapsedLevelsAreSubtotals="1" fieldPosition="0">
        <references count="1">
          <reference field="4294967294" count="1" selected="0">
            <x v="5"/>
          </reference>
        </references>
      </pivotArea>
    </format>
    <format dxfId="897">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数据透视表23" cacheId="25"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1:AA117" firstHeaderRow="0" firstDataRow="1" firstDataCol="1"/>
  <pivotFields count="19">
    <pivotField axis="axisRow" compact="0" showAll="0">
      <items count="116">
        <item x="4"/>
        <item x="5"/>
        <item x="1"/>
        <item x="56"/>
        <item x="3"/>
        <item x="2"/>
        <item x="57"/>
        <item x="51"/>
        <item x="55"/>
        <item x="0"/>
        <item x="6"/>
        <item x="21"/>
        <item x="7"/>
        <item x="9"/>
        <item x="11"/>
        <item x="10"/>
        <item x="12"/>
        <item x="13"/>
        <item x="14"/>
        <item x="19"/>
        <item x="20"/>
        <item x="18"/>
        <item x="15"/>
        <item x="17"/>
        <item x="114"/>
        <item x="33"/>
        <item x="22"/>
        <item x="23"/>
        <item x="24"/>
        <item x="60"/>
        <item x="58"/>
        <item x="38"/>
        <item x="52"/>
        <item x="25"/>
        <item x="26"/>
        <item x="27"/>
        <item x="37"/>
        <item x="29"/>
        <item x="30"/>
        <item x="31"/>
        <item x="32"/>
        <item x="28"/>
        <item x="34"/>
        <item x="36"/>
        <item x="39"/>
        <item x="40"/>
        <item x="41"/>
        <item x="42"/>
        <item x="43"/>
        <item x="53"/>
        <item x="44"/>
        <item x="45"/>
        <item x="46"/>
        <item x="50"/>
        <item x="49"/>
        <item x="54"/>
        <item x="47"/>
        <item x="48"/>
        <item x="59"/>
        <item x="61"/>
        <item x="62"/>
        <item x="8"/>
        <item x="16"/>
        <item x="63"/>
        <item x="64"/>
        <item x="65"/>
        <item x="66"/>
        <item x="67"/>
        <item x="68"/>
        <item x="69"/>
        <item x="70"/>
        <item x="71"/>
        <item x="72"/>
        <item x="73"/>
        <item x="74"/>
        <item x="75"/>
        <item x="76"/>
        <item x="77"/>
        <item x="78"/>
        <item x="79"/>
        <item x="80"/>
        <item x="81"/>
        <item x="82"/>
        <item x="83"/>
        <item x="88"/>
        <item x="86"/>
        <item x="91"/>
        <item x="93"/>
        <item x="92"/>
        <item x="85"/>
        <item x="89"/>
        <item x="87"/>
        <item x="84"/>
        <item x="90"/>
        <item x="94"/>
        <item x="95"/>
        <item x="96"/>
        <item x="97"/>
        <item x="98"/>
        <item x="104"/>
        <item x="105"/>
        <item x="106"/>
        <item x="107"/>
        <item x="108"/>
        <item x="109"/>
        <item x="110"/>
        <item x="111"/>
        <item x="112"/>
        <item x="113"/>
        <item x="99"/>
        <item x="102"/>
        <item x="103"/>
        <item x="100"/>
        <item x="101"/>
        <item x="35"/>
        <item t="default"/>
      </items>
    </pivotField>
    <pivotField compact="0" showAll="0">
      <items count="116">
        <item x="4"/>
        <item x="2"/>
        <item x="56"/>
        <item x="55"/>
        <item x="1"/>
        <item x="57"/>
        <item x="0"/>
        <item x="3"/>
        <item x="5"/>
        <item x="51"/>
        <item x="6"/>
        <item x="21"/>
        <item x="7"/>
        <item x="9"/>
        <item x="11"/>
        <item x="10"/>
        <item x="12"/>
        <item x="13"/>
        <item x="14"/>
        <item x="19"/>
        <item x="20"/>
        <item x="18"/>
        <item x="15"/>
        <item x="17"/>
        <item x="114"/>
        <item x="33"/>
        <item x="22"/>
        <item x="23"/>
        <item x="24"/>
        <item x="60"/>
        <item x="58"/>
        <item x="38"/>
        <item x="52"/>
        <item x="25"/>
        <item x="26"/>
        <item x="27"/>
        <item x="37"/>
        <item x="29"/>
        <item x="30"/>
        <item x="31"/>
        <item x="32"/>
        <item x="28"/>
        <item x="34"/>
        <item x="36"/>
        <item x="39"/>
        <item x="40"/>
        <item x="41"/>
        <item x="42"/>
        <item x="43"/>
        <item x="53"/>
        <item x="44"/>
        <item x="45"/>
        <item x="46"/>
        <item x="50"/>
        <item x="49"/>
        <item x="54"/>
        <item x="47"/>
        <item x="48"/>
        <item x="59"/>
        <item x="61"/>
        <item x="62"/>
        <item x="8"/>
        <item x="16"/>
        <item x="63"/>
        <item x="64"/>
        <item x="65"/>
        <item x="66"/>
        <item x="67"/>
        <item x="68"/>
        <item x="69"/>
        <item x="70"/>
        <item x="71"/>
        <item x="72"/>
        <item x="73"/>
        <item x="74"/>
        <item x="75"/>
        <item x="76"/>
        <item x="77"/>
        <item x="78"/>
        <item x="79"/>
        <item x="80"/>
        <item x="81"/>
        <item x="82"/>
        <item x="83"/>
        <item x="88"/>
        <item x="86"/>
        <item x="91"/>
        <item x="93"/>
        <item x="92"/>
        <item x="85"/>
        <item x="89"/>
        <item x="87"/>
        <item x="84"/>
        <item x="90"/>
        <item x="94"/>
        <item x="95"/>
        <item x="96"/>
        <item x="97"/>
        <item x="98"/>
        <item x="104"/>
        <item x="105"/>
        <item x="106"/>
        <item x="107"/>
        <item x="108"/>
        <item x="109"/>
        <item x="110"/>
        <item x="111"/>
        <item x="112"/>
        <item x="113"/>
        <item x="99"/>
        <item x="102"/>
        <item x="103"/>
        <item x="100"/>
        <item x="101"/>
        <item x="35"/>
        <item t="default"/>
      </items>
    </pivotField>
    <pivotField dataField="1" compact="0" showAll="0">
      <items count="262">
        <item x="260"/>
        <item x="35"/>
        <item x="39"/>
        <item x="125"/>
        <item x="64"/>
        <item x="189"/>
        <item x="40"/>
        <item x="247"/>
        <item x="65"/>
        <item x="34"/>
        <item x="203"/>
        <item x="107"/>
        <item x="20"/>
        <item x="23"/>
        <item x="22"/>
        <item x="237"/>
        <item x="124"/>
        <item x="36"/>
        <item x="229"/>
        <item x="104"/>
        <item x="137"/>
        <item x="218"/>
        <item x="60"/>
        <item x="127"/>
        <item x="252"/>
        <item x="238"/>
        <item x="258"/>
        <item x="128"/>
        <item x="144"/>
        <item x="32"/>
        <item x="129"/>
        <item x="146"/>
        <item x="33"/>
        <item x="154"/>
        <item x="212"/>
        <item x="120"/>
        <item x="55"/>
        <item x="199"/>
        <item x="148"/>
        <item x="209"/>
        <item x="121"/>
        <item x="223"/>
        <item x="244"/>
        <item x="138"/>
        <item x="221"/>
        <item x="108"/>
        <item x="173"/>
        <item x="83"/>
        <item x="186"/>
        <item x="143"/>
        <item x="192"/>
        <item x="63"/>
        <item x="161"/>
        <item x="117"/>
        <item x="17"/>
        <item x="243"/>
        <item x="150"/>
        <item x="3"/>
        <item x="0"/>
        <item x="1"/>
        <item x="2"/>
        <item x="4"/>
        <item x="5"/>
        <item x="6"/>
        <item x="7"/>
        <item x="8"/>
        <item x="9"/>
        <item x="10"/>
        <item x="11"/>
        <item x="12"/>
        <item x="13"/>
        <item x="14"/>
        <item x="15"/>
        <item x="16"/>
        <item x="18"/>
        <item x="19"/>
        <item x="21"/>
        <item x="24"/>
        <item x="25"/>
        <item x="26"/>
        <item x="27"/>
        <item x="28"/>
        <item x="29"/>
        <item x="30"/>
        <item x="31"/>
        <item x="37"/>
        <item x="38"/>
        <item x="41"/>
        <item x="42"/>
        <item x="43"/>
        <item x="44"/>
        <item x="45"/>
        <item x="46"/>
        <item x="47"/>
        <item x="48"/>
        <item x="49"/>
        <item x="50"/>
        <item x="51"/>
        <item x="52"/>
        <item x="53"/>
        <item x="54"/>
        <item x="56"/>
        <item x="57"/>
        <item x="58"/>
        <item x="59"/>
        <item x="61"/>
        <item x="62"/>
        <item x="66"/>
        <item x="67"/>
        <item x="68"/>
        <item x="69"/>
        <item x="70"/>
        <item x="71"/>
        <item x="72"/>
        <item x="73"/>
        <item x="74"/>
        <item x="75"/>
        <item x="76"/>
        <item x="77"/>
        <item x="78"/>
        <item x="79"/>
        <item x="80"/>
        <item x="81"/>
        <item x="82"/>
        <item x="84"/>
        <item x="85"/>
        <item x="86"/>
        <item x="87"/>
        <item x="88"/>
        <item x="89"/>
        <item x="90"/>
        <item x="91"/>
        <item x="92"/>
        <item x="93"/>
        <item x="94"/>
        <item x="95"/>
        <item x="96"/>
        <item x="97"/>
        <item x="98"/>
        <item x="99"/>
        <item x="100"/>
        <item x="101"/>
        <item x="102"/>
        <item x="103"/>
        <item x="105"/>
        <item x="106"/>
        <item x="109"/>
        <item x="110"/>
        <item x="111"/>
        <item x="112"/>
        <item x="113"/>
        <item x="114"/>
        <item x="115"/>
        <item x="116"/>
        <item x="118"/>
        <item x="119"/>
        <item x="122"/>
        <item x="123"/>
        <item x="126"/>
        <item x="130"/>
        <item x="131"/>
        <item x="132"/>
        <item x="133"/>
        <item x="134"/>
        <item x="135"/>
        <item x="136"/>
        <item x="139"/>
        <item x="140"/>
        <item x="141"/>
        <item x="142"/>
        <item x="145"/>
        <item x="147"/>
        <item x="149"/>
        <item x="151"/>
        <item x="152"/>
        <item x="153"/>
        <item x="155"/>
        <item x="156"/>
        <item x="157"/>
        <item x="158"/>
        <item x="159"/>
        <item x="160"/>
        <item x="162"/>
        <item x="163"/>
        <item x="164"/>
        <item x="165"/>
        <item x="166"/>
        <item x="167"/>
        <item x="168"/>
        <item x="169"/>
        <item x="170"/>
        <item x="171"/>
        <item x="172"/>
        <item x="174"/>
        <item x="175"/>
        <item x="176"/>
        <item x="177"/>
        <item x="178"/>
        <item x="179"/>
        <item x="180"/>
        <item x="181"/>
        <item x="182"/>
        <item x="183"/>
        <item x="184"/>
        <item x="185"/>
        <item x="187"/>
        <item x="188"/>
        <item x="190"/>
        <item x="191"/>
        <item x="193"/>
        <item x="194"/>
        <item x="195"/>
        <item x="196"/>
        <item x="197"/>
        <item x="198"/>
        <item x="200"/>
        <item x="201"/>
        <item x="202"/>
        <item x="204"/>
        <item x="205"/>
        <item x="206"/>
        <item x="207"/>
        <item x="208"/>
        <item x="210"/>
        <item x="211"/>
        <item x="213"/>
        <item x="214"/>
        <item x="215"/>
        <item x="216"/>
        <item x="217"/>
        <item x="219"/>
        <item x="220"/>
        <item x="222"/>
        <item x="224"/>
        <item x="225"/>
        <item x="226"/>
        <item x="227"/>
        <item x="228"/>
        <item x="230"/>
        <item x="231"/>
        <item x="232"/>
        <item x="233"/>
        <item x="234"/>
        <item x="235"/>
        <item x="236"/>
        <item x="239"/>
        <item x="240"/>
        <item x="241"/>
        <item x="242"/>
        <item x="245"/>
        <item x="246"/>
        <item x="248"/>
        <item x="249"/>
        <item x="250"/>
        <item x="251"/>
        <item x="253"/>
        <item x="254"/>
        <item x="255"/>
        <item x="256"/>
        <item x="257"/>
        <item x="259"/>
        <item t="default"/>
      </items>
    </pivotField>
    <pivotField dataField="1" compact="0" showAll="0">
      <items count="51">
        <item x="16"/>
        <item x="14"/>
        <item x="4"/>
        <item x="17"/>
        <item x="1"/>
        <item x="18"/>
        <item x="11"/>
        <item x="30"/>
        <item x="36"/>
        <item x="27"/>
        <item x="2"/>
        <item x="49"/>
        <item x="13"/>
        <item x="9"/>
        <item x="20"/>
        <item x="3"/>
        <item x="26"/>
        <item x="37"/>
        <item x="21"/>
        <item x="5"/>
        <item x="0"/>
        <item x="42"/>
        <item x="12"/>
        <item x="10"/>
        <item x="33"/>
        <item x="31"/>
        <item x="44"/>
        <item x="45"/>
        <item x="25"/>
        <item x="28"/>
        <item x="15"/>
        <item x="35"/>
        <item x="43"/>
        <item x="7"/>
        <item x="39"/>
        <item x="6"/>
        <item x="8"/>
        <item x="19"/>
        <item x="22"/>
        <item x="23"/>
        <item x="24"/>
        <item x="29"/>
        <item x="32"/>
        <item x="34"/>
        <item x="38"/>
        <item x="40"/>
        <item x="41"/>
        <item x="46"/>
        <item x="47"/>
        <item x="48"/>
        <item t="default"/>
      </items>
    </pivotField>
    <pivotField compact="0" showAll="0">
      <items count="240">
        <item x="20"/>
        <item x="32"/>
        <item x="108"/>
        <item x="126"/>
        <item x="17"/>
        <item x="114"/>
        <item x="237"/>
        <item x="220"/>
        <item x="86"/>
        <item x="69"/>
        <item x="230"/>
        <item x="150"/>
        <item x="215"/>
        <item x="118"/>
        <item x="200"/>
        <item x="223"/>
        <item x="166"/>
        <item x="110"/>
        <item x="106"/>
        <item x="0"/>
        <item x="1"/>
        <item x="2"/>
        <item x="3"/>
        <item x="4"/>
        <item x="5"/>
        <item x="6"/>
        <item x="7"/>
        <item x="8"/>
        <item x="9"/>
        <item x="10"/>
        <item x="11"/>
        <item x="12"/>
        <item x="13"/>
        <item x="14"/>
        <item x="15"/>
        <item x="16"/>
        <item x="18"/>
        <item x="19"/>
        <item x="21"/>
        <item x="22"/>
        <item x="23"/>
        <item x="24"/>
        <item x="25"/>
        <item x="26"/>
        <item x="27"/>
        <item x="28"/>
        <item x="29"/>
        <item x="30"/>
        <item x="31"/>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7"/>
        <item x="109"/>
        <item x="111"/>
        <item x="112"/>
        <item x="113"/>
        <item x="115"/>
        <item x="116"/>
        <item x="117"/>
        <item x="119"/>
        <item x="120"/>
        <item x="121"/>
        <item x="122"/>
        <item x="123"/>
        <item x="124"/>
        <item x="125"/>
        <item x="127"/>
        <item x="128"/>
        <item x="129"/>
        <item x="130"/>
        <item x="131"/>
        <item x="132"/>
        <item x="133"/>
        <item x="134"/>
        <item x="135"/>
        <item x="136"/>
        <item x="137"/>
        <item x="138"/>
        <item x="139"/>
        <item x="140"/>
        <item x="141"/>
        <item x="142"/>
        <item x="143"/>
        <item x="144"/>
        <item x="145"/>
        <item x="146"/>
        <item x="147"/>
        <item x="148"/>
        <item x="149"/>
        <item x="151"/>
        <item x="152"/>
        <item x="153"/>
        <item x="154"/>
        <item x="155"/>
        <item x="156"/>
        <item x="157"/>
        <item x="158"/>
        <item x="159"/>
        <item x="160"/>
        <item x="161"/>
        <item x="162"/>
        <item x="163"/>
        <item x="164"/>
        <item x="165"/>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1"/>
        <item x="202"/>
        <item x="203"/>
        <item x="204"/>
        <item x="205"/>
        <item x="206"/>
        <item x="207"/>
        <item x="208"/>
        <item x="209"/>
        <item x="210"/>
        <item x="211"/>
        <item x="212"/>
        <item x="213"/>
        <item x="214"/>
        <item x="216"/>
        <item x="217"/>
        <item x="218"/>
        <item x="219"/>
        <item x="221"/>
        <item x="222"/>
        <item x="224"/>
        <item x="225"/>
        <item x="226"/>
        <item x="227"/>
        <item x="228"/>
        <item x="229"/>
        <item x="231"/>
        <item x="232"/>
        <item x="233"/>
        <item x="234"/>
        <item x="235"/>
        <item x="236"/>
        <item x="238"/>
        <item t="default"/>
      </items>
    </pivotField>
    <pivotField compact="0" showAll="0">
      <items count="181">
        <item x="20"/>
        <item x="95"/>
        <item x="110"/>
        <item x="100"/>
        <item x="55"/>
        <item x="112"/>
        <item x="108"/>
        <item x="109"/>
        <item x="135"/>
        <item x="98"/>
        <item x="53"/>
        <item x="27"/>
        <item x="4"/>
        <item x="97"/>
        <item x="48"/>
        <item x="137"/>
        <item x="5"/>
        <item x="87"/>
        <item x="160"/>
        <item x="23"/>
        <item x="44"/>
        <item x="115"/>
        <item x="59"/>
        <item x="118"/>
        <item x="18"/>
        <item x="26"/>
        <item x="63"/>
        <item x="138"/>
        <item x="179"/>
        <item x="89"/>
        <item x="131"/>
        <item x="107"/>
        <item x="66"/>
        <item x="94"/>
        <item x="124"/>
        <item x="105"/>
        <item x="142"/>
        <item x="174"/>
        <item x="146"/>
        <item x="33"/>
        <item x="0"/>
        <item x="1"/>
        <item x="2"/>
        <item x="3"/>
        <item x="6"/>
        <item x="7"/>
        <item x="8"/>
        <item x="9"/>
        <item x="10"/>
        <item x="11"/>
        <item x="12"/>
        <item x="13"/>
        <item x="14"/>
        <item x="15"/>
        <item x="16"/>
        <item x="17"/>
        <item x="19"/>
        <item x="21"/>
        <item x="22"/>
        <item x="24"/>
        <item x="25"/>
        <item x="28"/>
        <item x="29"/>
        <item x="30"/>
        <item x="31"/>
        <item x="32"/>
        <item x="34"/>
        <item x="35"/>
        <item x="36"/>
        <item x="37"/>
        <item x="38"/>
        <item x="39"/>
        <item x="40"/>
        <item x="41"/>
        <item x="42"/>
        <item x="43"/>
        <item x="45"/>
        <item x="46"/>
        <item x="47"/>
        <item x="49"/>
        <item x="50"/>
        <item x="51"/>
        <item x="52"/>
        <item x="54"/>
        <item x="56"/>
        <item x="57"/>
        <item x="58"/>
        <item x="60"/>
        <item x="61"/>
        <item x="62"/>
        <item x="64"/>
        <item x="65"/>
        <item x="67"/>
        <item x="68"/>
        <item x="69"/>
        <item x="70"/>
        <item x="71"/>
        <item x="72"/>
        <item x="73"/>
        <item x="74"/>
        <item x="75"/>
        <item x="76"/>
        <item x="77"/>
        <item x="78"/>
        <item x="79"/>
        <item x="80"/>
        <item x="81"/>
        <item x="82"/>
        <item x="83"/>
        <item x="84"/>
        <item x="85"/>
        <item x="86"/>
        <item x="88"/>
        <item x="90"/>
        <item x="91"/>
        <item x="92"/>
        <item x="93"/>
        <item x="96"/>
        <item x="99"/>
        <item x="101"/>
        <item x="102"/>
        <item x="103"/>
        <item x="104"/>
        <item x="106"/>
        <item x="111"/>
        <item x="113"/>
        <item x="114"/>
        <item x="116"/>
        <item x="117"/>
        <item x="119"/>
        <item x="120"/>
        <item x="121"/>
        <item x="122"/>
        <item x="123"/>
        <item x="125"/>
        <item x="126"/>
        <item x="127"/>
        <item x="128"/>
        <item x="129"/>
        <item x="130"/>
        <item x="132"/>
        <item x="133"/>
        <item x="134"/>
        <item x="136"/>
        <item x="139"/>
        <item x="140"/>
        <item x="141"/>
        <item x="143"/>
        <item x="144"/>
        <item x="145"/>
        <item x="147"/>
        <item x="148"/>
        <item x="149"/>
        <item x="150"/>
        <item x="151"/>
        <item x="152"/>
        <item x="153"/>
        <item x="154"/>
        <item x="155"/>
        <item x="156"/>
        <item x="157"/>
        <item x="158"/>
        <item x="159"/>
        <item x="161"/>
        <item x="162"/>
        <item x="163"/>
        <item x="164"/>
        <item x="165"/>
        <item x="166"/>
        <item x="167"/>
        <item x="168"/>
        <item x="169"/>
        <item x="170"/>
        <item x="171"/>
        <item x="172"/>
        <item x="173"/>
        <item x="175"/>
        <item x="176"/>
        <item x="177"/>
        <item x="178"/>
        <item t="default"/>
      </items>
    </pivotField>
    <pivotField dataField="1" compact="0" showAll="0">
      <items count="203">
        <item x="20"/>
        <item x="201"/>
        <item x="99"/>
        <item x="103"/>
        <item x="58"/>
        <item x="115"/>
        <item x="192"/>
        <item x="102"/>
        <item x="56"/>
        <item x="116"/>
        <item x="106"/>
        <item x="67"/>
        <item x="145"/>
        <item x="101"/>
        <item x="184"/>
        <item x="113"/>
        <item x="91"/>
        <item x="142"/>
        <item x="100"/>
        <item x="155"/>
        <item x="159"/>
        <item x="79"/>
        <item x="4"/>
        <item x="147"/>
        <item x="97"/>
        <item x="39"/>
        <item x="18"/>
        <item x="23"/>
        <item x="51"/>
        <item x="27"/>
        <item x="108"/>
        <item x="136"/>
        <item x="88"/>
        <item x="185"/>
        <item x="94"/>
        <item x="12"/>
        <item x="157"/>
        <item x="96"/>
        <item x="141"/>
        <item x="75"/>
        <item x="109"/>
        <item x="6"/>
        <item x="150"/>
        <item x="93"/>
        <item x="169"/>
        <item x="153"/>
        <item x="161"/>
        <item x="164"/>
        <item x="21"/>
        <item x="158"/>
        <item x="130"/>
        <item x="139"/>
        <item x="35"/>
        <item x="200"/>
        <item x="54"/>
        <item x="5"/>
        <item x="0"/>
        <item x="1"/>
        <item x="2"/>
        <item x="3"/>
        <item x="7"/>
        <item x="8"/>
        <item x="9"/>
        <item x="10"/>
        <item x="11"/>
        <item x="13"/>
        <item x="14"/>
        <item x="15"/>
        <item x="16"/>
        <item x="17"/>
        <item x="19"/>
        <item x="22"/>
        <item x="24"/>
        <item x="25"/>
        <item x="26"/>
        <item x="28"/>
        <item x="29"/>
        <item x="30"/>
        <item x="31"/>
        <item x="32"/>
        <item x="33"/>
        <item x="34"/>
        <item x="36"/>
        <item x="37"/>
        <item x="38"/>
        <item x="40"/>
        <item x="41"/>
        <item x="42"/>
        <item x="43"/>
        <item x="44"/>
        <item x="45"/>
        <item x="46"/>
        <item x="47"/>
        <item x="48"/>
        <item x="49"/>
        <item x="50"/>
        <item x="52"/>
        <item x="53"/>
        <item x="55"/>
        <item x="57"/>
        <item x="59"/>
        <item x="60"/>
        <item x="61"/>
        <item x="62"/>
        <item x="63"/>
        <item x="64"/>
        <item x="65"/>
        <item x="66"/>
        <item x="68"/>
        <item x="69"/>
        <item x="70"/>
        <item x="71"/>
        <item x="72"/>
        <item x="73"/>
        <item x="74"/>
        <item x="76"/>
        <item x="77"/>
        <item x="78"/>
        <item x="80"/>
        <item x="81"/>
        <item x="82"/>
        <item x="83"/>
        <item x="84"/>
        <item x="85"/>
        <item x="86"/>
        <item x="87"/>
        <item x="89"/>
        <item x="90"/>
        <item x="92"/>
        <item x="95"/>
        <item x="98"/>
        <item x="104"/>
        <item x="105"/>
        <item x="107"/>
        <item x="110"/>
        <item x="111"/>
        <item x="112"/>
        <item x="114"/>
        <item x="117"/>
        <item x="118"/>
        <item x="119"/>
        <item x="120"/>
        <item x="121"/>
        <item x="122"/>
        <item x="123"/>
        <item x="124"/>
        <item x="125"/>
        <item x="126"/>
        <item x="127"/>
        <item x="128"/>
        <item x="129"/>
        <item x="131"/>
        <item x="132"/>
        <item x="133"/>
        <item x="134"/>
        <item x="135"/>
        <item x="137"/>
        <item x="138"/>
        <item x="140"/>
        <item x="143"/>
        <item x="144"/>
        <item x="146"/>
        <item x="148"/>
        <item x="149"/>
        <item x="151"/>
        <item x="152"/>
        <item x="154"/>
        <item x="156"/>
        <item x="160"/>
        <item x="162"/>
        <item x="163"/>
        <item x="165"/>
        <item x="166"/>
        <item x="167"/>
        <item x="168"/>
        <item x="170"/>
        <item x="171"/>
        <item x="172"/>
        <item x="173"/>
        <item x="174"/>
        <item x="175"/>
        <item x="176"/>
        <item x="177"/>
        <item x="178"/>
        <item x="179"/>
        <item x="180"/>
        <item x="181"/>
        <item x="182"/>
        <item x="183"/>
        <item x="186"/>
        <item x="187"/>
        <item x="188"/>
        <item x="189"/>
        <item x="190"/>
        <item x="191"/>
        <item x="193"/>
        <item x="194"/>
        <item x="195"/>
        <item x="196"/>
        <item x="197"/>
        <item x="198"/>
        <item x="199"/>
        <item t="default"/>
      </items>
    </pivotField>
    <pivotField dataField="1" compact="0" showAll="0">
      <items count="28">
        <item x="1"/>
        <item x="26"/>
        <item x="4"/>
        <item x="8"/>
        <item x="2"/>
        <item x="10"/>
        <item x="11"/>
        <item x="22"/>
        <item x="17"/>
        <item x="6"/>
        <item x="3"/>
        <item x="15"/>
        <item x="18"/>
        <item x="0"/>
        <item x="20"/>
        <item x="5"/>
        <item x="7"/>
        <item x="9"/>
        <item x="12"/>
        <item x="13"/>
        <item x="14"/>
        <item x="16"/>
        <item x="19"/>
        <item x="21"/>
        <item x="23"/>
        <item x="24"/>
        <item x="25"/>
        <item t="default"/>
      </items>
    </pivotField>
    <pivotField compact="0" showAll="0">
      <items count="116">
        <item x="1"/>
        <item x="107"/>
        <item x="88"/>
        <item x="58"/>
        <item x="10"/>
        <item x="2"/>
        <item x="92"/>
        <item x="90"/>
        <item x="0"/>
        <item x="3"/>
        <item x="4"/>
        <item x="5"/>
        <item x="6"/>
        <item x="7"/>
        <item x="8"/>
        <item x="9"/>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9"/>
        <item x="60"/>
        <item x="61"/>
        <item x="62"/>
        <item x="63"/>
        <item x="64"/>
        <item x="65"/>
        <item x="66"/>
        <item x="67"/>
        <item x="68"/>
        <item x="69"/>
        <item x="70"/>
        <item x="71"/>
        <item x="72"/>
        <item x="73"/>
        <item x="74"/>
        <item x="75"/>
        <item x="76"/>
        <item x="77"/>
        <item x="78"/>
        <item x="79"/>
        <item x="80"/>
        <item x="81"/>
        <item x="82"/>
        <item x="83"/>
        <item x="84"/>
        <item x="85"/>
        <item x="86"/>
        <item x="87"/>
        <item x="89"/>
        <item x="91"/>
        <item x="93"/>
        <item x="94"/>
        <item x="95"/>
        <item x="96"/>
        <item x="97"/>
        <item x="98"/>
        <item x="99"/>
        <item x="100"/>
        <item x="101"/>
        <item x="102"/>
        <item x="103"/>
        <item x="104"/>
        <item x="105"/>
        <item x="106"/>
        <item x="108"/>
        <item x="109"/>
        <item x="110"/>
        <item x="111"/>
        <item x="112"/>
        <item x="113"/>
        <item x="114"/>
        <item t="default"/>
      </items>
    </pivotField>
    <pivotField compact="0" showAll="0">
      <items count="117">
        <item x="1"/>
        <item x="14"/>
        <item x="108"/>
        <item x="89"/>
        <item x="59"/>
        <item x="10"/>
        <item x="93"/>
        <item x="91"/>
        <item x="0"/>
        <item x="2"/>
        <item x="3"/>
        <item x="4"/>
        <item x="5"/>
        <item x="6"/>
        <item x="7"/>
        <item x="8"/>
        <item x="9"/>
        <item x="11"/>
        <item x="12"/>
        <item x="13"/>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60"/>
        <item x="61"/>
        <item x="62"/>
        <item x="63"/>
        <item x="64"/>
        <item x="65"/>
        <item x="66"/>
        <item x="67"/>
        <item x="68"/>
        <item x="69"/>
        <item x="70"/>
        <item x="71"/>
        <item x="72"/>
        <item x="73"/>
        <item x="74"/>
        <item x="75"/>
        <item x="76"/>
        <item x="77"/>
        <item x="78"/>
        <item x="79"/>
        <item x="80"/>
        <item x="81"/>
        <item x="82"/>
        <item x="83"/>
        <item x="84"/>
        <item x="85"/>
        <item x="86"/>
        <item x="87"/>
        <item x="88"/>
        <item x="90"/>
        <item x="92"/>
        <item x="94"/>
        <item x="95"/>
        <item x="96"/>
        <item x="97"/>
        <item x="98"/>
        <item x="99"/>
        <item x="100"/>
        <item x="101"/>
        <item x="102"/>
        <item x="103"/>
        <item x="104"/>
        <item x="105"/>
        <item x="106"/>
        <item x="107"/>
        <item x="109"/>
        <item x="110"/>
        <item x="111"/>
        <item x="112"/>
        <item x="113"/>
        <item x="114"/>
        <item x="115"/>
        <item t="default"/>
      </items>
    </pivotField>
    <pivotField dataField="1" compact="0" showAll="0">
      <items count="15">
        <item x="1"/>
        <item x="2"/>
        <item x="4"/>
        <item x="0"/>
        <item x="9"/>
        <item x="13"/>
        <item x="7"/>
        <item x="8"/>
        <item x="12"/>
        <item x="3"/>
        <item x="5"/>
        <item x="6"/>
        <item x="10"/>
        <item x="11"/>
        <item t="default"/>
      </items>
    </pivotField>
    <pivotField compact="0" showAll="0">
      <items count="15">
        <item x="1"/>
        <item x="2"/>
        <item x="4"/>
        <item x="0"/>
        <item x="9"/>
        <item x="13"/>
        <item x="7"/>
        <item x="8"/>
        <item x="12"/>
        <item x="11"/>
        <item x="3"/>
        <item x="5"/>
        <item x="6"/>
        <item x="10"/>
        <item t="default"/>
      </items>
    </pivotField>
    <pivotField compact="0" showAll="0">
      <items count="61">
        <item x="1"/>
        <item x="12"/>
        <item x="24"/>
        <item x="41"/>
        <item x="10"/>
        <item x="42"/>
        <item x="3"/>
        <item x="9"/>
        <item x="29"/>
        <item x="30"/>
        <item x="36"/>
        <item x="21"/>
        <item x="40"/>
        <item x="23"/>
        <item x="49"/>
        <item x="35"/>
        <item x="16"/>
        <item x="7"/>
        <item x="48"/>
        <item x="46"/>
        <item x="52"/>
        <item x="50"/>
        <item x="56"/>
        <item x="17"/>
        <item x="47"/>
        <item x="31"/>
        <item x="14"/>
        <item x="33"/>
        <item x="58"/>
        <item x="37"/>
        <item x="20"/>
        <item x="43"/>
        <item x="2"/>
        <item x="0"/>
        <item x="4"/>
        <item x="5"/>
        <item x="6"/>
        <item x="8"/>
        <item x="11"/>
        <item x="13"/>
        <item x="15"/>
        <item x="18"/>
        <item x="19"/>
        <item x="22"/>
        <item x="25"/>
        <item x="26"/>
        <item x="27"/>
        <item x="28"/>
        <item x="32"/>
        <item x="34"/>
        <item x="38"/>
        <item x="39"/>
        <item x="44"/>
        <item x="45"/>
        <item x="51"/>
        <item x="53"/>
        <item x="54"/>
        <item x="55"/>
        <item x="57"/>
        <item x="59"/>
        <item t="default"/>
      </items>
    </pivotField>
    <pivotField compact="0" showAll="0">
      <items count="11">
        <item x="2"/>
        <item x="1"/>
        <item x="0"/>
        <item x="9"/>
        <item x="5"/>
        <item x="3"/>
        <item x="6"/>
        <item x="4"/>
        <item x="7"/>
        <item x="8"/>
        <item t="default"/>
      </items>
    </pivotField>
    <pivotField compact="0" showAll="0">
      <items count="12">
        <item x="2"/>
        <item x="1"/>
        <item x="0"/>
        <item x="6"/>
        <item x="7"/>
        <item x="10"/>
        <item x="9"/>
        <item x="3"/>
        <item x="4"/>
        <item x="5"/>
        <item x="8"/>
        <item t="default"/>
      </items>
    </pivotField>
    <pivotField compact="0" showAll="0">
      <items count="19">
        <item x="1"/>
        <item x="17"/>
        <item x="0"/>
        <item x="6"/>
        <item x="2"/>
        <item x="4"/>
        <item x="3"/>
        <item x="5"/>
        <item x="8"/>
        <item x="12"/>
        <item x="9"/>
        <item x="14"/>
        <item x="13"/>
        <item x="7"/>
        <item x="10"/>
        <item x="11"/>
        <item x="15"/>
        <item x="16"/>
        <item t="default"/>
      </items>
    </pivotField>
    <pivotField compact="0" showAll="0">
      <items count="21">
        <item x="1"/>
        <item x="19"/>
        <item x="10"/>
        <item x="2"/>
        <item x="7"/>
        <item x="15"/>
        <item x="8"/>
        <item x="0"/>
        <item x="9"/>
        <item x="4"/>
        <item x="16"/>
        <item x="13"/>
        <item x="18"/>
        <item x="3"/>
        <item x="5"/>
        <item x="6"/>
        <item x="11"/>
        <item x="12"/>
        <item x="14"/>
        <item x="17"/>
        <item t="default"/>
      </items>
    </pivotField>
    <pivotField dataField="1" dragToCol="0" dragToPage="0" dragToRow="0" compact="0" showAll="0"/>
    <pivotField dataField="1" dragToCol="0" dragToPage="0" dragToRow="0" compact="0" showAll="0"/>
  </pivotFields>
  <rowFields count="1">
    <field x="0"/>
  </rowFields>
  <rowItems count="1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898">
      <pivotArea dataOnly="0" labelOnly="1" fieldPosition="0">
        <references count="1">
          <reference field="4294967294" count="1">
            <x v="5"/>
          </reference>
        </references>
      </pivotArea>
    </format>
    <format dxfId="899">
      <pivotArea dataOnly="0" labelOnly="1" fieldPosition="0">
        <references count="1">
          <reference field="4294967294" count="1">
            <x v="6"/>
          </reference>
        </references>
      </pivotArea>
    </format>
    <format dxfId="900">
      <pivotArea collapsedLevelsAreSubtotals="1" fieldPosition="0">
        <references count="1">
          <reference field="4294967294" count="1" selected="0">
            <x v="5"/>
          </reference>
        </references>
      </pivotArea>
    </format>
    <format dxfId="901">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数据透视表20" cacheId="22"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E1:F117" firstHeaderRow="1" firstDataRow="1" firstDataCol="1"/>
  <pivotFields count="14">
    <pivotField compact="0" showAll="0">
      <items count="116">
        <item x="9"/>
        <item x="10"/>
        <item x="17"/>
        <item x="1"/>
        <item x="24"/>
        <item x="38"/>
        <item x="2"/>
        <item x="6"/>
        <item x="46"/>
        <item x="55"/>
        <item x="12"/>
        <item x="114"/>
        <item x="11"/>
        <item x="39"/>
        <item x="33"/>
        <item x="18"/>
        <item x="40"/>
        <item x="64"/>
        <item x="19"/>
        <item x="47"/>
        <item x="14"/>
        <item x="32"/>
        <item x="0"/>
        <item x="8"/>
        <item x="16"/>
        <item x="43"/>
        <item x="34"/>
        <item x="21"/>
        <item x="100"/>
        <item x="98"/>
        <item x="20"/>
        <item x="66"/>
        <item x="44"/>
        <item x="26"/>
        <item x="3"/>
        <item x="67"/>
        <item x="27"/>
        <item x="45"/>
        <item x="35"/>
        <item x="49"/>
        <item x="25"/>
        <item x="65"/>
        <item x="77"/>
        <item x="4"/>
        <item x="37"/>
        <item x="56"/>
        <item x="7"/>
        <item x="78"/>
        <item x="58"/>
        <item x="91"/>
        <item x="80"/>
        <item x="29"/>
        <item x="99"/>
        <item x="50"/>
        <item x="13"/>
        <item x="76"/>
        <item x="48"/>
        <item x="41"/>
        <item x="83"/>
        <item x="57"/>
        <item x="82"/>
        <item x="28"/>
        <item x="84"/>
        <item x="68"/>
        <item x="62"/>
        <item x="71"/>
        <item x="110"/>
        <item x="70"/>
        <item x="105"/>
        <item x="63"/>
        <item x="106"/>
        <item x="59"/>
        <item x="85"/>
        <item x="95"/>
        <item x="101"/>
        <item x="107"/>
        <item x="22"/>
        <item x="103"/>
        <item x="73"/>
        <item x="15"/>
        <item x="90"/>
        <item x="60"/>
        <item x="52"/>
        <item x="30"/>
        <item x="36"/>
        <item x="53"/>
        <item x="42"/>
        <item x="23"/>
        <item x="5"/>
        <item x="31"/>
        <item x="61"/>
        <item x="112"/>
        <item x="54"/>
        <item x="72"/>
        <item x="86"/>
        <item x="51"/>
        <item x="74"/>
        <item x="88"/>
        <item x="92"/>
        <item x="93"/>
        <item x="97"/>
        <item x="102"/>
        <item x="87"/>
        <item x="75"/>
        <item x="69"/>
        <item x="79"/>
        <item x="81"/>
        <item x="89"/>
        <item x="94"/>
        <item x="96"/>
        <item x="104"/>
        <item x="108"/>
        <item x="109"/>
        <item x="111"/>
        <item x="113"/>
        <item t="default"/>
      </items>
    </pivotField>
    <pivotField compact="0" showAll="0">
      <items count="116">
        <item x="9"/>
        <item x="10"/>
        <item x="17"/>
        <item x="1"/>
        <item x="24"/>
        <item x="38"/>
        <item x="2"/>
        <item x="6"/>
        <item x="46"/>
        <item x="55"/>
        <item x="114"/>
        <item x="33"/>
        <item x="47"/>
        <item x="32"/>
        <item x="0"/>
        <item x="8"/>
        <item x="16"/>
        <item x="43"/>
        <item x="34"/>
        <item x="100"/>
        <item x="20"/>
        <item x="66"/>
        <item x="44"/>
        <item x="26"/>
        <item x="3"/>
        <item x="67"/>
        <item x="21"/>
        <item x="27"/>
        <item x="45"/>
        <item x="35"/>
        <item x="14"/>
        <item x="39"/>
        <item x="18"/>
        <item x="49"/>
        <item x="25"/>
        <item x="65"/>
        <item x="77"/>
        <item x="4"/>
        <item x="40"/>
        <item x="64"/>
        <item x="37"/>
        <item x="12"/>
        <item x="56"/>
        <item x="7"/>
        <item x="78"/>
        <item x="58"/>
        <item x="91"/>
        <item x="80"/>
        <item x="29"/>
        <item x="99"/>
        <item x="50"/>
        <item x="13"/>
        <item x="76"/>
        <item x="11"/>
        <item x="48"/>
        <item x="41"/>
        <item x="83"/>
        <item x="57"/>
        <item x="82"/>
        <item x="28"/>
        <item x="84"/>
        <item x="98"/>
        <item x="68"/>
        <item x="62"/>
        <item x="71"/>
        <item x="110"/>
        <item x="19"/>
        <item x="70"/>
        <item x="105"/>
        <item x="63"/>
        <item x="106"/>
        <item x="59"/>
        <item x="85"/>
        <item x="95"/>
        <item x="101"/>
        <item x="107"/>
        <item x="22"/>
        <item x="103"/>
        <item x="73"/>
        <item x="15"/>
        <item x="90"/>
        <item x="60"/>
        <item x="52"/>
        <item x="30"/>
        <item x="36"/>
        <item x="53"/>
        <item x="42"/>
        <item x="23"/>
        <item x="5"/>
        <item x="31"/>
        <item x="61"/>
        <item x="112"/>
        <item x="54"/>
        <item x="72"/>
        <item x="86"/>
        <item x="51"/>
        <item x="74"/>
        <item x="88"/>
        <item x="92"/>
        <item x="93"/>
        <item x="97"/>
        <item x="102"/>
        <item x="87"/>
        <item x="75"/>
        <item x="69"/>
        <item x="79"/>
        <item x="81"/>
        <item x="89"/>
        <item x="94"/>
        <item x="96"/>
        <item x="104"/>
        <item x="108"/>
        <item x="109"/>
        <item x="111"/>
        <item x="113"/>
        <item t="default"/>
      </items>
    </pivotField>
    <pivotField axis="axisRow" compact="0" showAll="0">
      <items count="116">
        <item x="9"/>
        <item x="10"/>
        <item x="17"/>
        <item x="1"/>
        <item x="24"/>
        <item x="38"/>
        <item x="2"/>
        <item x="6"/>
        <item x="46"/>
        <item x="55"/>
        <item x="12"/>
        <item x="114"/>
        <item x="11"/>
        <item x="39"/>
        <item x="33"/>
        <item x="18"/>
        <item x="40"/>
        <item x="64"/>
        <item x="19"/>
        <item x="47"/>
        <item x="14"/>
        <item x="32"/>
        <item x="0"/>
        <item x="8"/>
        <item x="16"/>
        <item x="43"/>
        <item x="34"/>
        <item x="21"/>
        <item x="100"/>
        <item x="98"/>
        <item x="20"/>
        <item x="66"/>
        <item x="44"/>
        <item x="26"/>
        <item x="3"/>
        <item x="67"/>
        <item x="27"/>
        <item x="45"/>
        <item x="35"/>
        <item x="49"/>
        <item x="25"/>
        <item x="65"/>
        <item x="77"/>
        <item x="4"/>
        <item x="37"/>
        <item x="56"/>
        <item x="7"/>
        <item x="78"/>
        <item x="58"/>
        <item x="91"/>
        <item x="80"/>
        <item x="29"/>
        <item x="99"/>
        <item x="50"/>
        <item x="13"/>
        <item x="76"/>
        <item x="48"/>
        <item x="41"/>
        <item x="83"/>
        <item x="57"/>
        <item x="82"/>
        <item x="28"/>
        <item x="84"/>
        <item x="68"/>
        <item x="62"/>
        <item x="71"/>
        <item x="110"/>
        <item x="70"/>
        <item x="105"/>
        <item x="63"/>
        <item x="106"/>
        <item x="59"/>
        <item x="85"/>
        <item x="95"/>
        <item x="101"/>
        <item x="107"/>
        <item x="22"/>
        <item x="103"/>
        <item x="73"/>
        <item x="15"/>
        <item x="90"/>
        <item x="60"/>
        <item x="52"/>
        <item x="30"/>
        <item x="36"/>
        <item x="53"/>
        <item x="42"/>
        <item x="23"/>
        <item x="5"/>
        <item x="31"/>
        <item x="61"/>
        <item x="112"/>
        <item x="54"/>
        <item x="72"/>
        <item x="86"/>
        <item x="51"/>
        <item x="74"/>
        <item x="88"/>
        <item x="92"/>
        <item x="93"/>
        <item x="97"/>
        <item x="102"/>
        <item x="87"/>
        <item x="75"/>
        <item x="69"/>
        <item x="79"/>
        <item x="81"/>
        <item x="89"/>
        <item x="94"/>
        <item x="96"/>
        <item x="104"/>
        <item x="108"/>
        <item x="109"/>
        <item x="111"/>
        <item x="113"/>
        <item t="default"/>
      </items>
    </pivotField>
    <pivotField compact="0" showAll="0">
      <items count="90">
        <item x="88"/>
        <item x="82"/>
        <item x="68"/>
        <item x="78"/>
        <item x="75"/>
        <item x="65"/>
        <item x="56"/>
        <item x="73"/>
        <item x="24"/>
        <item x="58"/>
        <item x="36"/>
        <item x="72"/>
        <item x="80"/>
        <item x="51"/>
        <item x="21"/>
        <item x="81"/>
        <item x="63"/>
        <item x="74"/>
        <item x="39"/>
        <item x="69"/>
        <item x="84"/>
        <item x="50"/>
        <item x="87"/>
        <item x="34"/>
        <item x="64"/>
        <item x="13"/>
        <item x="26"/>
        <item x="14"/>
        <item x="33"/>
        <item x="67"/>
        <item x="62"/>
        <item x="53"/>
        <item x="18"/>
        <item x="55"/>
        <item x="37"/>
        <item x="49"/>
        <item x="12"/>
        <item x="83"/>
        <item x="0"/>
        <item x="1"/>
        <item x="2"/>
        <item x="3"/>
        <item x="4"/>
        <item x="5"/>
        <item x="6"/>
        <item x="7"/>
        <item x="8"/>
        <item x="9"/>
        <item x="10"/>
        <item x="11"/>
        <item x="15"/>
        <item x="16"/>
        <item x="17"/>
        <item x="19"/>
        <item x="20"/>
        <item x="22"/>
        <item x="23"/>
        <item x="25"/>
        <item x="27"/>
        <item x="28"/>
        <item x="29"/>
        <item x="30"/>
        <item x="31"/>
        <item x="32"/>
        <item x="35"/>
        <item x="38"/>
        <item x="40"/>
        <item x="41"/>
        <item x="42"/>
        <item x="43"/>
        <item x="44"/>
        <item x="45"/>
        <item x="46"/>
        <item x="47"/>
        <item x="48"/>
        <item x="52"/>
        <item x="54"/>
        <item x="57"/>
        <item x="59"/>
        <item x="60"/>
        <item x="61"/>
        <item x="66"/>
        <item x="70"/>
        <item x="71"/>
        <item x="76"/>
        <item x="77"/>
        <item x="79"/>
        <item x="85"/>
        <item x="86"/>
        <item t="default"/>
      </items>
    </pivotField>
    <pivotField compact="0" showAll="0">
      <items count="11">
        <item x="8"/>
        <item x="6"/>
        <item x="7"/>
        <item x="2"/>
        <item x="9"/>
        <item x="5"/>
        <item x="0"/>
        <item x="4"/>
        <item x="1"/>
        <item x="3"/>
        <item t="default"/>
      </items>
    </pivotField>
    <pivotField compact="0" showAll="0">
      <items count="90">
        <item x="88"/>
        <item x="72"/>
        <item x="58"/>
        <item x="38"/>
        <item x="73"/>
        <item x="55"/>
        <item x="37"/>
        <item x="76"/>
        <item x="64"/>
        <item x="51"/>
        <item x="56"/>
        <item x="85"/>
        <item x="20"/>
        <item x="18"/>
        <item x="53"/>
        <item x="74"/>
        <item x="50"/>
        <item x="81"/>
        <item x="75"/>
        <item x="79"/>
        <item x="82"/>
        <item x="35"/>
        <item x="19"/>
        <item x="21"/>
        <item x="45"/>
        <item x="43"/>
        <item x="44"/>
        <item x="24"/>
        <item x="62"/>
        <item x="69"/>
        <item x="46"/>
        <item x="70"/>
        <item x="61"/>
        <item x="67"/>
        <item x="65"/>
        <item x="33"/>
        <item x="80"/>
        <item x="0"/>
        <item x="1"/>
        <item x="2"/>
        <item x="3"/>
        <item x="4"/>
        <item x="5"/>
        <item x="6"/>
        <item x="7"/>
        <item x="8"/>
        <item x="9"/>
        <item x="10"/>
        <item x="11"/>
        <item x="12"/>
        <item x="13"/>
        <item x="14"/>
        <item x="15"/>
        <item x="16"/>
        <item x="17"/>
        <item x="22"/>
        <item x="23"/>
        <item x="25"/>
        <item x="26"/>
        <item x="27"/>
        <item x="28"/>
        <item x="29"/>
        <item x="30"/>
        <item x="31"/>
        <item x="32"/>
        <item x="34"/>
        <item x="36"/>
        <item x="39"/>
        <item x="40"/>
        <item x="41"/>
        <item x="42"/>
        <item x="47"/>
        <item x="48"/>
        <item x="49"/>
        <item x="52"/>
        <item x="54"/>
        <item x="57"/>
        <item x="59"/>
        <item x="60"/>
        <item x="63"/>
        <item x="66"/>
        <item x="68"/>
        <item x="71"/>
        <item x="77"/>
        <item x="78"/>
        <item x="83"/>
        <item x="84"/>
        <item x="86"/>
        <item x="87"/>
        <item t="default"/>
      </items>
    </pivotField>
    <pivotField compact="0" showAll="0">
      <items count="11">
        <item x="8"/>
        <item x="9"/>
        <item x="0"/>
        <item x="1"/>
        <item x="2"/>
        <item x="3"/>
        <item x="4"/>
        <item x="5"/>
        <item x="6"/>
        <item x="7"/>
        <item t="default"/>
      </items>
    </pivotField>
    <pivotField compact="0" showAll="0">
      <items count="94">
        <item x="92"/>
        <item x="85"/>
        <item x="88"/>
        <item x="65"/>
        <item x="17"/>
        <item x="82"/>
        <item x="53"/>
        <item x="47"/>
        <item x="74"/>
        <item x="24"/>
        <item x="26"/>
        <item x="67"/>
        <item x="81"/>
        <item x="78"/>
        <item x="55"/>
        <item x="91"/>
        <item x="50"/>
        <item x="51"/>
        <item x="42"/>
        <item x="60"/>
        <item x="56"/>
        <item x="76"/>
        <item x="86"/>
        <item x="34"/>
        <item x="30"/>
        <item x="21"/>
        <item x="35"/>
        <item x="70"/>
        <item x="41"/>
        <item x="73"/>
        <item x="39"/>
        <item x="54"/>
        <item x="43"/>
        <item x="36"/>
        <item x="18"/>
        <item x="79"/>
        <item x="0"/>
        <item x="1"/>
        <item x="2"/>
        <item x="3"/>
        <item x="4"/>
        <item x="5"/>
        <item x="6"/>
        <item x="7"/>
        <item x="8"/>
        <item x="9"/>
        <item x="10"/>
        <item x="11"/>
        <item x="12"/>
        <item x="13"/>
        <item x="14"/>
        <item x="15"/>
        <item x="16"/>
        <item x="19"/>
        <item x="20"/>
        <item x="22"/>
        <item x="23"/>
        <item x="25"/>
        <item x="27"/>
        <item x="28"/>
        <item x="29"/>
        <item x="31"/>
        <item x="32"/>
        <item x="33"/>
        <item x="37"/>
        <item x="38"/>
        <item x="40"/>
        <item x="44"/>
        <item x="45"/>
        <item x="46"/>
        <item x="48"/>
        <item x="49"/>
        <item x="52"/>
        <item x="57"/>
        <item x="58"/>
        <item x="59"/>
        <item x="61"/>
        <item x="62"/>
        <item x="63"/>
        <item x="64"/>
        <item x="66"/>
        <item x="68"/>
        <item x="69"/>
        <item x="71"/>
        <item x="72"/>
        <item x="75"/>
        <item x="77"/>
        <item x="80"/>
        <item x="83"/>
        <item x="84"/>
        <item x="87"/>
        <item x="89"/>
        <item x="90"/>
        <item t="default"/>
      </items>
    </pivotField>
    <pivotField compact="0" showAll="0">
      <items count="14">
        <item x="9"/>
        <item x="7"/>
        <item x="11"/>
        <item x="8"/>
        <item x="2"/>
        <item x="12"/>
        <item x="4"/>
        <item x="6"/>
        <item x="0"/>
        <item x="10"/>
        <item x="1"/>
        <item x="5"/>
        <item x="3"/>
        <item t="default"/>
      </items>
    </pivotField>
    <pivotField compact="0" showAll="0">
      <items count="88">
        <item x="86"/>
        <item x="45"/>
        <item x="84"/>
        <item x="80"/>
        <item x="71"/>
        <item x="79"/>
        <item x="70"/>
        <item x="62"/>
        <item x="82"/>
        <item x="67"/>
        <item x="33"/>
        <item x="32"/>
        <item x="81"/>
        <item x="73"/>
        <item x="75"/>
        <item x="50"/>
        <item x="64"/>
        <item x="41"/>
        <item x="35"/>
        <item x="34"/>
        <item x="76"/>
        <item x="65"/>
        <item x="12"/>
        <item x="10"/>
        <item x="43"/>
        <item x="57"/>
        <item x="63"/>
        <item x="52"/>
        <item x="58"/>
        <item x="72"/>
        <item x="69"/>
        <item x="49"/>
        <item x="40"/>
        <item x="53"/>
        <item x="68"/>
        <item x="0"/>
        <item x="1"/>
        <item x="2"/>
        <item x="3"/>
        <item x="4"/>
        <item x="5"/>
        <item x="6"/>
        <item x="7"/>
        <item x="8"/>
        <item x="9"/>
        <item x="11"/>
        <item x="13"/>
        <item x="14"/>
        <item x="15"/>
        <item x="16"/>
        <item x="17"/>
        <item x="18"/>
        <item x="19"/>
        <item x="20"/>
        <item x="21"/>
        <item x="22"/>
        <item x="23"/>
        <item x="24"/>
        <item x="25"/>
        <item x="26"/>
        <item x="27"/>
        <item x="28"/>
        <item x="29"/>
        <item x="30"/>
        <item x="31"/>
        <item x="36"/>
        <item x="37"/>
        <item x="38"/>
        <item x="39"/>
        <item x="42"/>
        <item x="44"/>
        <item x="46"/>
        <item x="47"/>
        <item x="48"/>
        <item x="51"/>
        <item x="54"/>
        <item x="55"/>
        <item x="56"/>
        <item x="59"/>
        <item x="60"/>
        <item x="61"/>
        <item x="66"/>
        <item x="74"/>
        <item x="77"/>
        <item x="78"/>
        <item x="83"/>
        <item x="85"/>
        <item t="default"/>
      </items>
    </pivotField>
    <pivotField compact="0" showAll="0">
      <items count="14">
        <item x="9"/>
        <item x="12"/>
        <item x="0"/>
        <item x="1"/>
        <item x="2"/>
        <item x="3"/>
        <item x="4"/>
        <item x="5"/>
        <item x="6"/>
        <item x="7"/>
        <item x="8"/>
        <item x="10"/>
        <item x="11"/>
        <item t="default"/>
      </items>
    </pivotField>
    <pivotField compact="0" showAll="0">
      <items count="56">
        <item x="2"/>
        <item x="54"/>
        <item x="27"/>
        <item x="43"/>
        <item x="45"/>
        <item x="17"/>
        <item x="5"/>
        <item x="10"/>
        <item x="12"/>
        <item x="39"/>
        <item x="36"/>
        <item x="35"/>
        <item x="31"/>
        <item x="0"/>
        <item x="1"/>
        <item x="3"/>
        <item x="4"/>
        <item x="6"/>
        <item x="7"/>
        <item x="8"/>
        <item x="9"/>
        <item x="11"/>
        <item x="13"/>
        <item x="14"/>
        <item x="15"/>
        <item x="16"/>
        <item x="18"/>
        <item x="19"/>
        <item x="20"/>
        <item x="21"/>
        <item x="22"/>
        <item x="23"/>
        <item x="24"/>
        <item x="25"/>
        <item x="26"/>
        <item x="28"/>
        <item x="29"/>
        <item x="30"/>
        <item x="32"/>
        <item x="33"/>
        <item x="34"/>
        <item x="37"/>
        <item x="38"/>
        <item x="40"/>
        <item x="41"/>
        <item x="42"/>
        <item x="44"/>
        <item x="46"/>
        <item x="47"/>
        <item x="48"/>
        <item x="49"/>
        <item x="50"/>
        <item x="51"/>
        <item x="52"/>
        <item x="53"/>
        <item t="default"/>
      </items>
    </pivotField>
    <pivotField compact="0" showAll="0">
      <items count="8">
        <item x="2"/>
        <item x="0"/>
        <item x="6"/>
        <item x="1"/>
        <item x="3"/>
        <item x="4"/>
        <item x="5"/>
        <item t="default"/>
      </items>
    </pivotField>
    <pivotField dataField="1" compact="0" showAll="0">
      <items count="25">
        <item x="22"/>
        <item x="21"/>
        <item x="20"/>
        <item x="19"/>
        <item x="18"/>
        <item x="15"/>
        <item x="23"/>
        <item x="17"/>
        <item x="10"/>
        <item x="14"/>
        <item x="13"/>
        <item x="8"/>
        <item x="11"/>
        <item x="12"/>
        <item x="6"/>
        <item x="16"/>
        <item x="1"/>
        <item x="0"/>
        <item x="7"/>
        <item x="2"/>
        <item x="3"/>
        <item x="4"/>
        <item x="5"/>
        <item x="9"/>
        <item t="default"/>
      </items>
    </pivotField>
  </pivotFields>
  <rowFields count="1">
    <field x="2"/>
  </rowFields>
  <rowItems count="1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数据透视表21" cacheId="23"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1:I130" firstHeaderRow="1" firstDataRow="1" firstDataCol="1"/>
  <pivotFields count="14">
    <pivotField compact="0" showAll="0">
      <items count="129">
        <item x="77"/>
        <item x="10"/>
        <item x="11"/>
        <item x="38"/>
        <item x="28"/>
        <item x="1"/>
        <item x="29"/>
        <item x="83"/>
        <item x="39"/>
        <item x="2"/>
        <item x="12"/>
        <item x="48"/>
        <item x="20"/>
        <item x="127"/>
        <item x="18"/>
        <item x="22"/>
        <item x="31"/>
        <item x="21"/>
        <item x="40"/>
        <item x="34"/>
        <item x="49"/>
        <item x="6"/>
        <item x="15"/>
        <item x="119"/>
        <item x="68"/>
        <item x="16"/>
        <item x="58"/>
        <item x="30"/>
        <item x="0"/>
        <item x="5"/>
        <item x="7"/>
        <item x="24"/>
        <item x="26"/>
        <item x="23"/>
        <item x="86"/>
        <item x="61"/>
        <item x="8"/>
        <item x="59"/>
        <item x="43"/>
        <item x="25"/>
        <item x="3"/>
        <item x="99"/>
        <item x="41"/>
        <item x="54"/>
        <item x="27"/>
        <item x="89"/>
        <item x="55"/>
        <item x="37"/>
        <item x="87"/>
        <item x="36"/>
        <item x="88"/>
        <item x="53"/>
        <item x="17"/>
        <item x="120"/>
        <item x="76"/>
        <item x="60"/>
        <item x="4"/>
        <item x="50"/>
        <item x="69"/>
        <item x="111"/>
        <item x="110"/>
        <item x="79"/>
        <item x="100"/>
        <item x="9"/>
        <item x="94"/>
        <item x="123"/>
        <item x="70"/>
        <item x="104"/>
        <item x="103"/>
        <item x="73"/>
        <item x="81"/>
        <item x="65"/>
        <item x="45"/>
        <item x="44"/>
        <item x="71"/>
        <item x="82"/>
        <item x="64"/>
        <item x="32"/>
        <item x="62"/>
        <item x="97"/>
        <item x="72"/>
        <item x="78"/>
        <item x="122"/>
        <item x="102"/>
        <item x="113"/>
        <item x="56"/>
        <item x="101"/>
        <item x="90"/>
        <item x="98"/>
        <item x="85"/>
        <item x="91"/>
        <item x="80"/>
        <item x="93"/>
        <item x="109"/>
        <item x="115"/>
        <item x="63"/>
        <item x="105"/>
        <item x="33"/>
        <item x="47"/>
        <item x="13"/>
        <item x="57"/>
        <item x="19"/>
        <item x="51"/>
        <item x="52"/>
        <item x="35"/>
        <item x="42"/>
        <item x="14"/>
        <item x="46"/>
        <item x="75"/>
        <item x="74"/>
        <item x="67"/>
        <item x="84"/>
        <item x="92"/>
        <item x="66"/>
        <item x="95"/>
        <item x="107"/>
        <item x="112"/>
        <item x="117"/>
        <item x="118"/>
        <item x="106"/>
        <item x="96"/>
        <item x="108"/>
        <item x="114"/>
        <item x="116"/>
        <item x="121"/>
        <item x="124"/>
        <item x="125"/>
        <item x="126"/>
        <item t="default"/>
      </items>
    </pivotField>
    <pivotField compact="0" showAll="0">
      <items count="128">
        <item x="77"/>
        <item x="10"/>
        <item x="11"/>
        <item x="38"/>
        <item x="28"/>
        <item x="1"/>
        <item x="29"/>
        <item x="83"/>
        <item x="39"/>
        <item x="2"/>
        <item x="12"/>
        <item x="48"/>
        <item x="126"/>
        <item x="31"/>
        <item x="40"/>
        <item x="15"/>
        <item x="30"/>
        <item x="0"/>
        <item x="5"/>
        <item x="7"/>
        <item x="24"/>
        <item x="26"/>
        <item x="86"/>
        <item x="8"/>
        <item x="59"/>
        <item x="43"/>
        <item x="25"/>
        <item x="3"/>
        <item x="99"/>
        <item x="41"/>
        <item x="54"/>
        <item x="23"/>
        <item x="27"/>
        <item x="89"/>
        <item x="55"/>
        <item x="37"/>
        <item x="16"/>
        <item x="22"/>
        <item x="21"/>
        <item x="58"/>
        <item x="68"/>
        <item x="118"/>
        <item x="87"/>
        <item x="36"/>
        <item x="88"/>
        <item x="53"/>
        <item x="17"/>
        <item x="119"/>
        <item x="76"/>
        <item x="60"/>
        <item x="4"/>
        <item x="34"/>
        <item x="49"/>
        <item x="20"/>
        <item x="50"/>
        <item x="69"/>
        <item x="111"/>
        <item x="110"/>
        <item x="79"/>
        <item x="100"/>
        <item x="9"/>
        <item x="114"/>
        <item x="94"/>
        <item x="122"/>
        <item x="70"/>
        <item x="104"/>
        <item x="103"/>
        <item x="73"/>
        <item x="81"/>
        <item x="65"/>
        <item x="45"/>
        <item x="44"/>
        <item x="71"/>
        <item x="82"/>
        <item x="64"/>
        <item x="32"/>
        <item x="62"/>
        <item x="97"/>
        <item x="72"/>
        <item x="18"/>
        <item x="78"/>
        <item x="121"/>
        <item x="102"/>
        <item x="113"/>
        <item x="56"/>
        <item x="101"/>
        <item x="90"/>
        <item x="61"/>
        <item x="98"/>
        <item x="85"/>
        <item x="91"/>
        <item x="80"/>
        <item x="6"/>
        <item x="93"/>
        <item x="109"/>
        <item x="63"/>
        <item x="105"/>
        <item x="33"/>
        <item x="47"/>
        <item x="13"/>
        <item x="57"/>
        <item x="19"/>
        <item x="51"/>
        <item x="52"/>
        <item x="35"/>
        <item x="42"/>
        <item x="14"/>
        <item x="46"/>
        <item x="75"/>
        <item x="74"/>
        <item x="67"/>
        <item x="84"/>
        <item x="92"/>
        <item x="66"/>
        <item x="95"/>
        <item x="107"/>
        <item x="112"/>
        <item x="116"/>
        <item x="117"/>
        <item x="106"/>
        <item x="96"/>
        <item x="108"/>
        <item x="115"/>
        <item x="120"/>
        <item x="123"/>
        <item x="124"/>
        <item x="125"/>
        <item t="default"/>
      </items>
    </pivotField>
    <pivotField axis="axisRow" compact="0" showAll="0">
      <items count="129">
        <item x="77"/>
        <item x="10"/>
        <item x="11"/>
        <item x="38"/>
        <item x="28"/>
        <item x="1"/>
        <item x="29"/>
        <item x="83"/>
        <item x="39"/>
        <item x="2"/>
        <item x="12"/>
        <item x="48"/>
        <item x="20"/>
        <item x="127"/>
        <item x="18"/>
        <item x="22"/>
        <item x="31"/>
        <item x="21"/>
        <item x="40"/>
        <item x="34"/>
        <item x="49"/>
        <item x="6"/>
        <item x="15"/>
        <item x="119"/>
        <item x="68"/>
        <item x="16"/>
        <item x="58"/>
        <item x="30"/>
        <item x="0"/>
        <item x="5"/>
        <item x="7"/>
        <item x="24"/>
        <item x="26"/>
        <item x="23"/>
        <item x="86"/>
        <item x="61"/>
        <item x="8"/>
        <item x="59"/>
        <item x="43"/>
        <item x="25"/>
        <item x="3"/>
        <item x="99"/>
        <item x="41"/>
        <item x="54"/>
        <item x="27"/>
        <item x="89"/>
        <item x="55"/>
        <item x="37"/>
        <item x="87"/>
        <item x="36"/>
        <item x="88"/>
        <item x="53"/>
        <item x="17"/>
        <item x="120"/>
        <item x="76"/>
        <item x="60"/>
        <item x="4"/>
        <item x="50"/>
        <item x="69"/>
        <item x="111"/>
        <item x="110"/>
        <item x="79"/>
        <item x="100"/>
        <item x="9"/>
        <item x="94"/>
        <item x="123"/>
        <item x="70"/>
        <item x="104"/>
        <item x="103"/>
        <item x="73"/>
        <item x="81"/>
        <item x="65"/>
        <item x="45"/>
        <item x="44"/>
        <item x="71"/>
        <item x="82"/>
        <item x="64"/>
        <item x="32"/>
        <item x="62"/>
        <item x="97"/>
        <item x="72"/>
        <item x="78"/>
        <item x="122"/>
        <item x="102"/>
        <item x="113"/>
        <item x="56"/>
        <item x="101"/>
        <item x="90"/>
        <item x="98"/>
        <item x="85"/>
        <item x="91"/>
        <item x="80"/>
        <item x="93"/>
        <item x="109"/>
        <item x="115"/>
        <item x="63"/>
        <item x="105"/>
        <item x="33"/>
        <item x="47"/>
        <item x="13"/>
        <item x="57"/>
        <item x="19"/>
        <item x="51"/>
        <item x="52"/>
        <item x="35"/>
        <item x="42"/>
        <item x="14"/>
        <item x="46"/>
        <item x="75"/>
        <item x="74"/>
        <item x="67"/>
        <item x="84"/>
        <item x="92"/>
        <item x="66"/>
        <item x="95"/>
        <item x="107"/>
        <item x="112"/>
        <item x="117"/>
        <item x="118"/>
        <item x="106"/>
        <item x="96"/>
        <item x="108"/>
        <item x="114"/>
        <item x="116"/>
        <item x="121"/>
        <item x="124"/>
        <item x="125"/>
        <item x="126"/>
        <item t="default"/>
      </items>
    </pivotField>
    <pivotField compact="0" showAll="0">
      <items count="106">
        <item x="104"/>
        <item x="92"/>
        <item x="71"/>
        <item x="85"/>
        <item x="21"/>
        <item x="63"/>
        <item x="81"/>
        <item x="88"/>
        <item x="94"/>
        <item x="77"/>
        <item x="79"/>
        <item x="100"/>
        <item x="74"/>
        <item x="87"/>
        <item x="38"/>
        <item x="96"/>
        <item x="54"/>
        <item x="16"/>
        <item x="11"/>
        <item x="41"/>
        <item x="68"/>
        <item x="26"/>
        <item x="44"/>
        <item x="58"/>
        <item x="65"/>
        <item x="69"/>
        <item x="60"/>
        <item x="56"/>
        <item x="46"/>
        <item x="83"/>
        <item x="62"/>
        <item x="75"/>
        <item x="89"/>
        <item x="103"/>
        <item x="98"/>
        <item x="99"/>
        <item x="91"/>
        <item x="0"/>
        <item x="1"/>
        <item x="2"/>
        <item x="3"/>
        <item x="4"/>
        <item x="5"/>
        <item x="6"/>
        <item x="7"/>
        <item x="8"/>
        <item x="9"/>
        <item x="10"/>
        <item x="12"/>
        <item x="13"/>
        <item x="14"/>
        <item x="15"/>
        <item x="17"/>
        <item x="18"/>
        <item x="19"/>
        <item x="20"/>
        <item x="22"/>
        <item x="23"/>
        <item x="24"/>
        <item x="25"/>
        <item x="27"/>
        <item x="28"/>
        <item x="29"/>
        <item x="30"/>
        <item x="31"/>
        <item x="32"/>
        <item x="33"/>
        <item x="34"/>
        <item x="35"/>
        <item x="36"/>
        <item x="37"/>
        <item x="39"/>
        <item x="40"/>
        <item x="42"/>
        <item x="43"/>
        <item x="45"/>
        <item x="47"/>
        <item x="48"/>
        <item x="49"/>
        <item x="50"/>
        <item x="51"/>
        <item x="52"/>
        <item x="53"/>
        <item x="55"/>
        <item x="57"/>
        <item x="59"/>
        <item x="61"/>
        <item x="64"/>
        <item x="66"/>
        <item x="67"/>
        <item x="70"/>
        <item x="72"/>
        <item x="73"/>
        <item x="76"/>
        <item x="78"/>
        <item x="80"/>
        <item x="82"/>
        <item x="84"/>
        <item x="86"/>
        <item x="90"/>
        <item x="93"/>
        <item x="95"/>
        <item x="97"/>
        <item x="101"/>
        <item x="102"/>
        <item t="default"/>
      </items>
    </pivotField>
    <pivotField compact="0" showAll="0">
      <items count="17">
        <item x="14"/>
        <item x="5"/>
        <item x="11"/>
        <item x="8"/>
        <item x="7"/>
        <item x="12"/>
        <item x="15"/>
        <item x="2"/>
        <item x="10"/>
        <item x="13"/>
        <item x="6"/>
        <item x="4"/>
        <item x="3"/>
        <item x="0"/>
        <item x="1"/>
        <item x="9"/>
        <item t="default"/>
      </items>
    </pivotField>
    <pivotField compact="0" showAll="0">
      <items count="89">
        <item x="87"/>
        <item x="51"/>
        <item x="21"/>
        <item x="58"/>
        <item x="85"/>
        <item x="78"/>
        <item x="79"/>
        <item x="57"/>
        <item x="67"/>
        <item x="73"/>
        <item x="41"/>
        <item x="84"/>
        <item x="17"/>
        <item x="43"/>
        <item x="29"/>
        <item x="45"/>
        <item x="63"/>
        <item x="28"/>
        <item x="61"/>
        <item x="65"/>
        <item x="59"/>
        <item x="72"/>
        <item x="55"/>
        <item x="74"/>
        <item x="18"/>
        <item x="30"/>
        <item x="27"/>
        <item x="24"/>
        <item x="19"/>
        <item x="46"/>
        <item x="11"/>
        <item x="53"/>
        <item x="9"/>
        <item x="62"/>
        <item x="54"/>
        <item x="26"/>
        <item x="77"/>
        <item x="49"/>
        <item x="71"/>
        <item x="64"/>
        <item x="76"/>
        <item x="37"/>
        <item x="86"/>
        <item x="83"/>
        <item x="75"/>
        <item x="81"/>
        <item x="52"/>
        <item x="0"/>
        <item x="1"/>
        <item x="2"/>
        <item x="3"/>
        <item x="4"/>
        <item x="5"/>
        <item x="6"/>
        <item x="7"/>
        <item x="8"/>
        <item x="10"/>
        <item x="12"/>
        <item x="13"/>
        <item x="14"/>
        <item x="15"/>
        <item x="16"/>
        <item x="20"/>
        <item x="22"/>
        <item x="23"/>
        <item x="25"/>
        <item x="31"/>
        <item x="32"/>
        <item x="33"/>
        <item x="34"/>
        <item x="35"/>
        <item x="36"/>
        <item x="38"/>
        <item x="39"/>
        <item x="40"/>
        <item x="42"/>
        <item x="44"/>
        <item x="47"/>
        <item x="48"/>
        <item x="50"/>
        <item x="56"/>
        <item x="60"/>
        <item x="66"/>
        <item x="68"/>
        <item x="69"/>
        <item x="70"/>
        <item x="80"/>
        <item x="82"/>
        <item t="default"/>
      </items>
    </pivotField>
    <pivotField compact="0" showAll="0">
      <items count="17">
        <item x="14"/>
        <item x="15"/>
        <item x="0"/>
        <item x="1"/>
        <item x="2"/>
        <item x="3"/>
        <item x="4"/>
        <item x="5"/>
        <item x="6"/>
        <item x="7"/>
        <item x="8"/>
        <item x="9"/>
        <item x="10"/>
        <item x="11"/>
        <item x="12"/>
        <item x="13"/>
        <item t="default"/>
      </items>
    </pivotField>
    <pivotField compact="0" showAll="0">
      <items count="114">
        <item x="112"/>
        <item x="79"/>
        <item x="90"/>
        <item x="106"/>
        <item x="94"/>
        <item x="111"/>
        <item x="102"/>
        <item x="110"/>
        <item x="81"/>
        <item x="14"/>
        <item x="2"/>
        <item x="59"/>
        <item x="33"/>
        <item x="17"/>
        <item x="74"/>
        <item x="60"/>
        <item x="51"/>
        <item x="105"/>
        <item x="96"/>
        <item x="73"/>
        <item x="97"/>
        <item x="78"/>
        <item x="77"/>
        <item x="45"/>
        <item x="46"/>
        <item x="67"/>
        <item x="55"/>
        <item x="0"/>
        <item x="1"/>
        <item x="3"/>
        <item x="4"/>
        <item x="5"/>
        <item x="6"/>
        <item x="7"/>
        <item x="8"/>
        <item x="9"/>
        <item x="10"/>
        <item x="11"/>
        <item x="12"/>
        <item x="13"/>
        <item x="15"/>
        <item x="16"/>
        <item x="18"/>
        <item x="19"/>
        <item x="20"/>
        <item x="21"/>
        <item x="22"/>
        <item x="23"/>
        <item x="24"/>
        <item x="25"/>
        <item x="26"/>
        <item x="27"/>
        <item x="28"/>
        <item x="29"/>
        <item x="30"/>
        <item x="31"/>
        <item x="32"/>
        <item x="34"/>
        <item x="35"/>
        <item x="36"/>
        <item x="37"/>
        <item x="38"/>
        <item x="39"/>
        <item x="40"/>
        <item x="41"/>
        <item x="42"/>
        <item x="43"/>
        <item x="44"/>
        <item x="47"/>
        <item x="48"/>
        <item x="49"/>
        <item x="50"/>
        <item x="52"/>
        <item x="53"/>
        <item x="54"/>
        <item x="56"/>
        <item x="57"/>
        <item x="58"/>
        <item x="61"/>
        <item x="62"/>
        <item x="63"/>
        <item x="64"/>
        <item x="65"/>
        <item x="66"/>
        <item x="68"/>
        <item x="69"/>
        <item x="70"/>
        <item x="71"/>
        <item x="72"/>
        <item x="75"/>
        <item x="76"/>
        <item x="80"/>
        <item x="82"/>
        <item x="83"/>
        <item x="84"/>
        <item x="85"/>
        <item x="86"/>
        <item x="87"/>
        <item x="88"/>
        <item x="89"/>
        <item x="91"/>
        <item x="92"/>
        <item x="93"/>
        <item x="95"/>
        <item x="98"/>
        <item x="99"/>
        <item x="100"/>
        <item x="101"/>
        <item x="103"/>
        <item x="104"/>
        <item x="107"/>
        <item x="108"/>
        <item x="109"/>
        <item t="default"/>
      </items>
    </pivotField>
    <pivotField compact="0" showAll="0">
      <items count="22">
        <item x="19"/>
        <item x="5"/>
        <item x="16"/>
        <item x="12"/>
        <item x="6"/>
        <item x="14"/>
        <item x="7"/>
        <item x="20"/>
        <item x="13"/>
        <item x="9"/>
        <item x="2"/>
        <item x="11"/>
        <item x="8"/>
        <item x="4"/>
        <item x="3"/>
        <item x="0"/>
        <item x="1"/>
        <item x="10"/>
        <item x="15"/>
        <item x="17"/>
        <item x="18"/>
        <item t="default"/>
      </items>
    </pivotField>
    <pivotField compact="0" showAll="0">
      <items count="88">
        <item x="86"/>
        <item x="76"/>
        <item x="51"/>
        <item x="74"/>
        <item x="79"/>
        <item x="24"/>
        <item x="66"/>
        <item x="77"/>
        <item x="68"/>
        <item x="72"/>
        <item x="67"/>
        <item x="75"/>
        <item x="84"/>
        <item x="54"/>
        <item x="59"/>
        <item x="61"/>
        <item x="41"/>
        <item x="47"/>
        <item x="40"/>
        <item x="56"/>
        <item x="63"/>
        <item x="57"/>
        <item x="65"/>
        <item x="80"/>
        <item x="83"/>
        <item x="8"/>
        <item x="44"/>
        <item x="17"/>
        <item x="27"/>
        <item x="45"/>
        <item x="39"/>
        <item x="35"/>
        <item x="36"/>
        <item x="50"/>
        <item x="58"/>
        <item x="53"/>
        <item x="52"/>
        <item x="43"/>
        <item x="60"/>
        <item x="71"/>
        <item x="82"/>
        <item x="69"/>
        <item x="81"/>
        <item x="0"/>
        <item x="1"/>
        <item x="2"/>
        <item x="3"/>
        <item x="4"/>
        <item x="5"/>
        <item x="6"/>
        <item x="7"/>
        <item x="9"/>
        <item x="10"/>
        <item x="11"/>
        <item x="12"/>
        <item x="13"/>
        <item x="14"/>
        <item x="15"/>
        <item x="16"/>
        <item x="18"/>
        <item x="19"/>
        <item x="20"/>
        <item x="21"/>
        <item x="22"/>
        <item x="23"/>
        <item x="25"/>
        <item x="26"/>
        <item x="28"/>
        <item x="29"/>
        <item x="30"/>
        <item x="31"/>
        <item x="32"/>
        <item x="33"/>
        <item x="34"/>
        <item x="37"/>
        <item x="38"/>
        <item x="42"/>
        <item x="46"/>
        <item x="48"/>
        <item x="49"/>
        <item x="55"/>
        <item x="62"/>
        <item x="64"/>
        <item x="70"/>
        <item x="73"/>
        <item x="78"/>
        <item x="85"/>
        <item t="default"/>
      </items>
    </pivotField>
    <pivotField compact="0" showAll="0">
      <items count="22">
        <item x="19"/>
        <item x="20"/>
        <item x="0"/>
        <item x="1"/>
        <item x="2"/>
        <item x="3"/>
        <item x="4"/>
        <item x="5"/>
        <item x="6"/>
        <item x="7"/>
        <item x="8"/>
        <item x="9"/>
        <item x="10"/>
        <item x="11"/>
        <item x="12"/>
        <item x="13"/>
        <item x="14"/>
        <item x="15"/>
        <item x="16"/>
        <item x="17"/>
        <item x="18"/>
        <item t="default"/>
      </items>
    </pivotField>
    <pivotField compact="0" showAll="0">
      <items count="81">
        <item x="16"/>
        <item x="79"/>
        <item x="0"/>
        <item x="25"/>
        <item x="28"/>
        <item x="55"/>
        <item x="17"/>
        <item x="26"/>
        <item x="23"/>
        <item x="38"/>
        <item x="14"/>
        <item x="15"/>
        <item x="4"/>
        <item x="33"/>
        <item x="51"/>
        <item x="1"/>
        <item x="2"/>
        <item x="3"/>
        <item x="5"/>
        <item x="6"/>
        <item x="7"/>
        <item x="8"/>
        <item x="9"/>
        <item x="10"/>
        <item x="11"/>
        <item x="12"/>
        <item x="13"/>
        <item x="18"/>
        <item x="19"/>
        <item x="20"/>
        <item x="21"/>
        <item x="22"/>
        <item x="24"/>
        <item x="27"/>
        <item x="29"/>
        <item x="30"/>
        <item x="31"/>
        <item x="32"/>
        <item x="34"/>
        <item x="35"/>
        <item x="36"/>
        <item x="37"/>
        <item x="39"/>
        <item x="40"/>
        <item x="41"/>
        <item x="42"/>
        <item x="43"/>
        <item x="44"/>
        <item x="45"/>
        <item x="46"/>
        <item x="47"/>
        <item x="48"/>
        <item x="49"/>
        <item x="50"/>
        <item x="52"/>
        <item x="53"/>
        <item x="54"/>
        <item x="56"/>
        <item x="57"/>
        <item x="58"/>
        <item x="59"/>
        <item x="60"/>
        <item x="61"/>
        <item x="62"/>
        <item x="63"/>
        <item x="64"/>
        <item x="65"/>
        <item x="66"/>
        <item x="67"/>
        <item x="68"/>
        <item x="69"/>
        <item x="70"/>
        <item x="71"/>
        <item x="72"/>
        <item x="73"/>
        <item x="74"/>
        <item x="75"/>
        <item x="76"/>
        <item x="77"/>
        <item x="78"/>
        <item t="default"/>
      </items>
    </pivotField>
    <pivotField compact="0" showAll="0">
      <items count="13">
        <item x="3"/>
        <item x="2"/>
        <item x="11"/>
        <item x="9"/>
        <item x="6"/>
        <item x="10"/>
        <item x="0"/>
        <item x="1"/>
        <item x="4"/>
        <item x="5"/>
        <item x="7"/>
        <item x="8"/>
        <item t="default"/>
      </items>
    </pivotField>
    <pivotField dataField="1" compact="0" showAll="0">
      <items count="41">
        <item x="38"/>
        <item x="37"/>
        <item x="39"/>
        <item x="31"/>
        <item x="35"/>
        <item x="33"/>
        <item x="34"/>
        <item x="36"/>
        <item x="32"/>
        <item x="28"/>
        <item x="29"/>
        <item x="16"/>
        <item x="20"/>
        <item x="15"/>
        <item x="30"/>
        <item x="21"/>
        <item x="17"/>
        <item x="27"/>
        <item x="18"/>
        <item x="22"/>
        <item x="23"/>
        <item x="1"/>
        <item x="3"/>
        <item x="5"/>
        <item x="8"/>
        <item x="13"/>
        <item x="14"/>
        <item x="19"/>
        <item x="25"/>
        <item x="0"/>
        <item x="2"/>
        <item x="4"/>
        <item x="6"/>
        <item x="7"/>
        <item x="9"/>
        <item x="10"/>
        <item x="11"/>
        <item x="12"/>
        <item x="24"/>
        <item x="26"/>
        <item t="default"/>
      </items>
    </pivotField>
  </pivotFields>
  <rowFields count="1">
    <field x="2"/>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数据透视表19" cacheId="2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B1:C93" firstHeaderRow="1" firstDataRow="1" firstDataCol="1"/>
  <pivotFields count="14">
    <pivotField compact="0" showAll="0">
      <items count="92">
        <item x="90"/>
        <item x="0"/>
        <item x="1"/>
        <item x="24"/>
        <item x="49"/>
        <item x="15"/>
        <item x="48"/>
        <item x="8"/>
        <item x="9"/>
        <item x="11"/>
        <item x="27"/>
        <item x="28"/>
        <item x="16"/>
        <item x="7"/>
        <item x="10"/>
        <item x="42"/>
        <item x="6"/>
        <item x="37"/>
        <item x="39"/>
        <item x="41"/>
        <item x="23"/>
        <item x="5"/>
        <item x="30"/>
        <item x="4"/>
        <item x="36"/>
        <item x="70"/>
        <item x="33"/>
        <item x="29"/>
        <item x="38"/>
        <item x="18"/>
        <item x="2"/>
        <item x="17"/>
        <item x="40"/>
        <item x="31"/>
        <item x="3"/>
        <item x="69"/>
        <item x="53"/>
        <item x="25"/>
        <item x="26"/>
        <item x="71"/>
        <item x="12"/>
        <item x="61"/>
        <item x="45"/>
        <item x="32"/>
        <item x="60"/>
        <item x="13"/>
        <item x="56"/>
        <item x="20"/>
        <item x="82"/>
        <item x="84"/>
        <item x="74"/>
        <item x="19"/>
        <item x="34"/>
        <item x="85"/>
        <item x="47"/>
        <item x="86"/>
        <item x="21"/>
        <item x="35"/>
        <item x="14"/>
        <item x="44"/>
        <item x="83"/>
        <item x="57"/>
        <item x="22"/>
        <item x="81"/>
        <item x="46"/>
        <item x="88"/>
        <item x="66"/>
        <item x="73"/>
        <item x="76"/>
        <item x="80"/>
        <item x="59"/>
        <item x="43"/>
        <item x="50"/>
        <item x="51"/>
        <item x="52"/>
        <item x="54"/>
        <item x="55"/>
        <item x="58"/>
        <item x="62"/>
        <item x="63"/>
        <item x="64"/>
        <item x="65"/>
        <item x="67"/>
        <item x="68"/>
        <item x="72"/>
        <item x="75"/>
        <item x="77"/>
        <item x="78"/>
        <item x="79"/>
        <item x="87"/>
        <item x="89"/>
        <item t="default"/>
      </items>
    </pivotField>
    <pivotField compact="0" showAll="0">
      <items count="92">
        <item x="90"/>
        <item x="0"/>
        <item x="1"/>
        <item x="24"/>
        <item x="49"/>
        <item x="15"/>
        <item x="48"/>
        <item x="8"/>
        <item x="9"/>
        <item x="27"/>
        <item x="28"/>
        <item x="7"/>
        <item x="10"/>
        <item x="42"/>
        <item x="6"/>
        <item x="37"/>
        <item x="39"/>
        <item x="41"/>
        <item x="23"/>
        <item x="5"/>
        <item x="30"/>
        <item x="4"/>
        <item x="36"/>
        <item x="70"/>
        <item x="33"/>
        <item x="29"/>
        <item x="38"/>
        <item x="18"/>
        <item x="2"/>
        <item x="17"/>
        <item x="16"/>
        <item x="40"/>
        <item x="31"/>
        <item x="3"/>
        <item x="69"/>
        <item x="53"/>
        <item x="25"/>
        <item x="26"/>
        <item x="71"/>
        <item x="11"/>
        <item x="12"/>
        <item x="61"/>
        <item x="45"/>
        <item x="32"/>
        <item x="60"/>
        <item x="13"/>
        <item x="56"/>
        <item x="20"/>
        <item x="82"/>
        <item x="84"/>
        <item x="74"/>
        <item x="19"/>
        <item x="34"/>
        <item x="85"/>
        <item x="47"/>
        <item x="86"/>
        <item x="21"/>
        <item x="35"/>
        <item x="14"/>
        <item x="44"/>
        <item x="83"/>
        <item x="57"/>
        <item x="22"/>
        <item x="81"/>
        <item x="46"/>
        <item x="88"/>
        <item x="66"/>
        <item x="73"/>
        <item x="76"/>
        <item x="80"/>
        <item x="59"/>
        <item x="43"/>
        <item x="50"/>
        <item x="51"/>
        <item x="52"/>
        <item x="54"/>
        <item x="55"/>
        <item x="58"/>
        <item x="62"/>
        <item x="63"/>
        <item x="64"/>
        <item x="65"/>
        <item x="67"/>
        <item x="68"/>
        <item x="72"/>
        <item x="75"/>
        <item x="77"/>
        <item x="78"/>
        <item x="79"/>
        <item x="87"/>
        <item x="89"/>
        <item t="default"/>
      </items>
    </pivotField>
    <pivotField axis="axisRow" compact="0" showAll="0">
      <items count="92">
        <item x="90"/>
        <item x="0"/>
        <item x="1"/>
        <item x="24"/>
        <item x="49"/>
        <item x="15"/>
        <item x="48"/>
        <item x="8"/>
        <item x="9"/>
        <item x="11"/>
        <item x="27"/>
        <item x="28"/>
        <item x="16"/>
        <item x="7"/>
        <item x="10"/>
        <item x="42"/>
        <item x="6"/>
        <item x="37"/>
        <item x="39"/>
        <item x="41"/>
        <item x="23"/>
        <item x="5"/>
        <item x="30"/>
        <item x="4"/>
        <item x="36"/>
        <item x="70"/>
        <item x="33"/>
        <item x="29"/>
        <item x="38"/>
        <item x="18"/>
        <item x="2"/>
        <item x="17"/>
        <item x="40"/>
        <item x="31"/>
        <item x="3"/>
        <item x="69"/>
        <item x="53"/>
        <item x="25"/>
        <item x="26"/>
        <item x="71"/>
        <item x="12"/>
        <item x="61"/>
        <item x="45"/>
        <item x="32"/>
        <item x="60"/>
        <item x="13"/>
        <item x="56"/>
        <item x="20"/>
        <item x="82"/>
        <item x="84"/>
        <item x="74"/>
        <item x="19"/>
        <item x="34"/>
        <item x="85"/>
        <item x="47"/>
        <item x="86"/>
        <item x="21"/>
        <item x="35"/>
        <item x="14"/>
        <item x="44"/>
        <item x="83"/>
        <item x="57"/>
        <item x="22"/>
        <item x="81"/>
        <item x="46"/>
        <item x="88"/>
        <item x="66"/>
        <item x="73"/>
        <item x="76"/>
        <item x="80"/>
        <item x="59"/>
        <item x="43"/>
        <item x="50"/>
        <item x="51"/>
        <item x="52"/>
        <item x="54"/>
        <item x="55"/>
        <item x="58"/>
        <item x="62"/>
        <item x="63"/>
        <item x="64"/>
        <item x="65"/>
        <item x="67"/>
        <item x="68"/>
        <item x="72"/>
        <item x="75"/>
        <item x="77"/>
        <item x="78"/>
        <item x="79"/>
        <item x="87"/>
        <item x="89"/>
        <item t="default"/>
      </items>
    </pivotField>
    <pivotField compact="0" showAll="0">
      <items count="65">
        <item x="63"/>
        <item x="21"/>
        <item x="51"/>
        <item x="11"/>
        <item x="24"/>
        <item x="49"/>
        <item x="39"/>
        <item x="48"/>
        <item x="54"/>
        <item x="23"/>
        <item x="56"/>
        <item x="17"/>
        <item x="55"/>
        <item x="45"/>
        <item x="50"/>
        <item x="33"/>
        <item x="35"/>
        <item x="32"/>
        <item x="7"/>
        <item x="41"/>
        <item x="60"/>
        <item x="47"/>
        <item x="40"/>
        <item x="27"/>
        <item x="44"/>
        <item x="61"/>
        <item x="29"/>
        <item x="31"/>
        <item x="19"/>
        <item x="22"/>
        <item x="4"/>
        <item x="30"/>
        <item x="20"/>
        <item x="58"/>
        <item x="59"/>
        <item x="57"/>
        <item x="0"/>
        <item x="1"/>
        <item x="2"/>
        <item x="3"/>
        <item x="5"/>
        <item x="6"/>
        <item x="8"/>
        <item x="9"/>
        <item x="10"/>
        <item x="12"/>
        <item x="13"/>
        <item x="14"/>
        <item x="15"/>
        <item x="16"/>
        <item x="18"/>
        <item x="25"/>
        <item x="26"/>
        <item x="28"/>
        <item x="34"/>
        <item x="36"/>
        <item x="37"/>
        <item x="38"/>
        <item x="42"/>
        <item x="43"/>
        <item x="46"/>
        <item x="52"/>
        <item x="53"/>
        <item x="62"/>
        <item t="default"/>
      </items>
    </pivotField>
    <pivotField compact="0" showAll="0">
      <items count="8">
        <item x="2"/>
        <item x="3"/>
        <item x="0"/>
        <item x="6"/>
        <item x="1"/>
        <item x="4"/>
        <item x="5"/>
        <item t="default"/>
      </items>
    </pivotField>
    <pivotField compact="0" showAll="0">
      <items count="65">
        <item x="63"/>
        <item x="61"/>
        <item x="34"/>
        <item x="20"/>
        <item x="13"/>
        <item x="11"/>
        <item x="30"/>
        <item x="32"/>
        <item x="42"/>
        <item x="37"/>
        <item x="22"/>
        <item x="4"/>
        <item x="17"/>
        <item x="45"/>
        <item x="59"/>
        <item x="55"/>
        <item x="0"/>
        <item x="1"/>
        <item x="2"/>
        <item x="3"/>
        <item x="5"/>
        <item x="6"/>
        <item x="7"/>
        <item x="8"/>
        <item x="9"/>
        <item x="10"/>
        <item x="12"/>
        <item x="14"/>
        <item x="15"/>
        <item x="16"/>
        <item x="18"/>
        <item x="19"/>
        <item x="21"/>
        <item x="23"/>
        <item x="24"/>
        <item x="25"/>
        <item x="26"/>
        <item x="27"/>
        <item x="28"/>
        <item x="29"/>
        <item x="31"/>
        <item x="33"/>
        <item x="35"/>
        <item x="36"/>
        <item x="38"/>
        <item x="39"/>
        <item x="40"/>
        <item x="41"/>
        <item x="43"/>
        <item x="44"/>
        <item x="46"/>
        <item x="47"/>
        <item x="48"/>
        <item x="49"/>
        <item x="50"/>
        <item x="51"/>
        <item x="52"/>
        <item x="53"/>
        <item x="54"/>
        <item x="56"/>
        <item x="57"/>
        <item x="58"/>
        <item x="60"/>
        <item x="62"/>
        <item t="default"/>
      </items>
    </pivotField>
    <pivotField compact="0" showAll="0">
      <items count="8">
        <item x="2"/>
        <item x="6"/>
        <item x="0"/>
        <item x="1"/>
        <item x="3"/>
        <item x="4"/>
        <item x="5"/>
        <item t="default"/>
      </items>
    </pivotField>
    <pivotField compact="0" showAll="0">
      <items count="69">
        <item x="67"/>
        <item x="66"/>
        <item x="60"/>
        <item x="39"/>
        <item x="22"/>
        <item x="31"/>
        <item x="48"/>
        <item x="4"/>
        <item x="26"/>
        <item x="29"/>
        <item x="43"/>
        <item x="27"/>
        <item x="24"/>
        <item x="7"/>
        <item x="65"/>
        <item x="51"/>
        <item x="38"/>
        <item x="59"/>
        <item x="42"/>
        <item x="6"/>
        <item x="17"/>
        <item x="8"/>
        <item x="46"/>
        <item x="5"/>
        <item x="62"/>
        <item x="56"/>
        <item x="47"/>
        <item x="53"/>
        <item x="37"/>
        <item x="49"/>
        <item x="40"/>
        <item x="0"/>
        <item x="1"/>
        <item x="2"/>
        <item x="3"/>
        <item x="9"/>
        <item x="10"/>
        <item x="11"/>
        <item x="12"/>
        <item x="13"/>
        <item x="14"/>
        <item x="15"/>
        <item x="16"/>
        <item x="18"/>
        <item x="19"/>
        <item x="20"/>
        <item x="21"/>
        <item x="23"/>
        <item x="25"/>
        <item x="28"/>
        <item x="30"/>
        <item x="32"/>
        <item x="33"/>
        <item x="34"/>
        <item x="35"/>
        <item x="36"/>
        <item x="41"/>
        <item x="44"/>
        <item x="45"/>
        <item x="50"/>
        <item x="52"/>
        <item x="54"/>
        <item x="55"/>
        <item x="57"/>
        <item x="58"/>
        <item x="61"/>
        <item x="63"/>
        <item x="64"/>
        <item t="default"/>
      </items>
    </pivotField>
    <pivotField compact="0" showAll="0">
      <items count="10">
        <item x="2"/>
        <item x="3"/>
        <item x="1"/>
        <item x="8"/>
        <item x="0"/>
        <item x="4"/>
        <item x="7"/>
        <item x="5"/>
        <item x="6"/>
        <item t="default"/>
      </items>
    </pivotField>
    <pivotField compact="0" showAll="0">
      <items count="69">
        <item x="67"/>
        <item x="65"/>
        <item x="60"/>
        <item x="48"/>
        <item x="31"/>
        <item x="42"/>
        <item x="24"/>
        <item x="43"/>
        <item x="38"/>
        <item x="59"/>
        <item x="6"/>
        <item x="7"/>
        <item x="17"/>
        <item x="29"/>
        <item x="26"/>
        <item x="8"/>
        <item x="46"/>
        <item x="5"/>
        <item x="62"/>
        <item x="27"/>
        <item x="56"/>
        <item x="47"/>
        <item x="51"/>
        <item x="39"/>
        <item x="53"/>
        <item x="37"/>
        <item x="49"/>
        <item x="66"/>
        <item x="40"/>
        <item x="0"/>
        <item x="1"/>
        <item x="2"/>
        <item x="3"/>
        <item x="4"/>
        <item x="9"/>
        <item x="10"/>
        <item x="11"/>
        <item x="12"/>
        <item x="13"/>
        <item x="14"/>
        <item x="15"/>
        <item x="16"/>
        <item x="18"/>
        <item x="19"/>
        <item x="20"/>
        <item x="21"/>
        <item x="22"/>
        <item x="23"/>
        <item x="25"/>
        <item x="28"/>
        <item x="30"/>
        <item x="32"/>
        <item x="33"/>
        <item x="34"/>
        <item x="35"/>
        <item x="36"/>
        <item x="41"/>
        <item x="44"/>
        <item x="45"/>
        <item x="50"/>
        <item x="52"/>
        <item x="54"/>
        <item x="55"/>
        <item x="57"/>
        <item x="58"/>
        <item x="61"/>
        <item x="63"/>
        <item x="64"/>
        <item t="default"/>
      </items>
    </pivotField>
    <pivotField compact="0" showAll="0">
      <items count="10">
        <item x="2"/>
        <item x="8"/>
        <item x="0"/>
        <item x="1"/>
        <item x="3"/>
        <item x="4"/>
        <item x="5"/>
        <item x="6"/>
        <item x="7"/>
        <item t="default"/>
      </items>
    </pivotField>
    <pivotField compact="0" showAll="0">
      <items count="28">
        <item x="2"/>
        <item x="26"/>
        <item x="8"/>
        <item x="0"/>
        <item x="1"/>
        <item x="3"/>
        <item x="4"/>
        <item x="5"/>
        <item x="6"/>
        <item x="7"/>
        <item x="9"/>
        <item x="10"/>
        <item x="11"/>
        <item x="12"/>
        <item x="13"/>
        <item x="14"/>
        <item x="15"/>
        <item x="16"/>
        <item x="17"/>
        <item x="18"/>
        <item x="19"/>
        <item x="20"/>
        <item x="21"/>
        <item x="22"/>
        <item x="23"/>
        <item x="24"/>
        <item x="25"/>
        <item t="default"/>
      </items>
    </pivotField>
    <pivotField compact="0" showAll="0">
      <items count="7">
        <item x="1"/>
        <item x="0"/>
        <item x="5"/>
        <item x="2"/>
        <item x="3"/>
        <item x="4"/>
        <item t="default"/>
      </items>
    </pivotField>
    <pivotField dataField="1" compact="0" showAll="0">
      <items count="15">
        <item x="12"/>
        <item x="11"/>
        <item x="13"/>
        <item x="8"/>
        <item x="5"/>
        <item x="6"/>
        <item x="10"/>
        <item x="2"/>
        <item x="7"/>
        <item x="4"/>
        <item x="1"/>
        <item x="0"/>
        <item x="3"/>
        <item x="9"/>
        <item t="default"/>
      </items>
    </pivotField>
  </pivotFields>
  <rowFields count="1">
    <field x="2"/>
  </rowFields>
  <rowItems count="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数据透视表29" cacheId="3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1:AA32" firstHeaderRow="0" firstDataRow="1" firstDataCol="1"/>
  <pivotFields count="19">
    <pivotField axis="axisRow" compact="0" showAll="0">
      <items count="31">
        <item x="29"/>
        <item x="0"/>
        <item x="1"/>
        <item x="6"/>
        <item x="3"/>
        <item x="9"/>
        <item x="4"/>
        <item x="5"/>
        <item x="2"/>
        <item x="11"/>
        <item x="12"/>
        <item x="20"/>
        <item x="13"/>
        <item x="15"/>
        <item x="14"/>
        <item x="16"/>
        <item x="18"/>
        <item x="8"/>
        <item x="10"/>
        <item x="17"/>
        <item x="19"/>
        <item x="21"/>
        <item x="7"/>
        <item x="22"/>
        <item x="23"/>
        <item x="24"/>
        <item x="25"/>
        <item x="26"/>
        <item x="27"/>
        <item x="28"/>
        <item t="default"/>
      </items>
    </pivotField>
    <pivotField compact="0" showAll="0">
      <items count="31">
        <item x="29"/>
        <item x="0"/>
        <item x="1"/>
        <item x="6"/>
        <item x="3"/>
        <item x="9"/>
        <item x="4"/>
        <item x="5"/>
        <item x="2"/>
        <item x="11"/>
        <item x="12"/>
        <item x="20"/>
        <item x="13"/>
        <item x="15"/>
        <item x="14"/>
        <item x="16"/>
        <item x="8"/>
        <item x="10"/>
        <item x="17"/>
        <item x="18"/>
        <item x="19"/>
        <item x="21"/>
        <item x="7"/>
        <item x="22"/>
        <item x="23"/>
        <item x="24"/>
        <item x="25"/>
        <item x="26"/>
        <item x="27"/>
        <item x="28"/>
        <item t="default"/>
      </items>
    </pivotField>
    <pivotField dataField="1" compact="0" showAll="0">
      <items count="55">
        <item x="53"/>
        <item x="17"/>
        <item x="28"/>
        <item x="15"/>
        <item x="2"/>
        <item x="0"/>
        <item x="46"/>
        <item x="49"/>
        <item x="50"/>
        <item x="10"/>
        <item x="1"/>
        <item x="3"/>
        <item x="4"/>
        <item x="5"/>
        <item x="6"/>
        <item x="7"/>
        <item x="8"/>
        <item x="9"/>
        <item x="11"/>
        <item x="12"/>
        <item x="13"/>
        <item x="14"/>
        <item x="16"/>
        <item x="18"/>
        <item x="19"/>
        <item x="20"/>
        <item x="21"/>
        <item x="22"/>
        <item x="23"/>
        <item x="24"/>
        <item x="25"/>
        <item x="26"/>
        <item x="27"/>
        <item x="29"/>
        <item x="30"/>
        <item x="31"/>
        <item x="32"/>
        <item x="33"/>
        <item x="34"/>
        <item x="35"/>
        <item x="36"/>
        <item x="37"/>
        <item x="38"/>
        <item x="39"/>
        <item x="40"/>
        <item x="41"/>
        <item x="42"/>
        <item x="43"/>
        <item x="44"/>
        <item x="45"/>
        <item x="47"/>
        <item x="48"/>
        <item x="51"/>
        <item x="52"/>
        <item t="default"/>
      </items>
    </pivotField>
    <pivotField dataField="1" compact="0" showAll="0">
      <items count="23">
        <item x="5"/>
        <item x="3"/>
        <item x="19"/>
        <item x="0"/>
        <item x="21"/>
        <item x="1"/>
        <item x="18"/>
        <item x="6"/>
        <item x="4"/>
        <item x="2"/>
        <item x="7"/>
        <item x="8"/>
        <item x="9"/>
        <item x="10"/>
        <item x="11"/>
        <item x="12"/>
        <item x="13"/>
        <item x="14"/>
        <item x="15"/>
        <item x="16"/>
        <item x="17"/>
        <item x="20"/>
        <item t="default"/>
      </items>
    </pivotField>
    <pivotField compact="0" showAll="0">
      <items count="38">
        <item x="21"/>
        <item x="0"/>
        <item x="7"/>
        <item x="1"/>
        <item x="2"/>
        <item x="3"/>
        <item x="4"/>
        <item x="5"/>
        <item x="6"/>
        <item x="8"/>
        <item x="9"/>
        <item x="10"/>
        <item x="11"/>
        <item x="12"/>
        <item x="13"/>
        <item x="14"/>
        <item x="15"/>
        <item x="16"/>
        <item x="17"/>
        <item x="18"/>
        <item x="19"/>
        <item x="20"/>
        <item x="22"/>
        <item x="23"/>
        <item x="24"/>
        <item x="25"/>
        <item x="26"/>
        <item x="27"/>
        <item x="28"/>
        <item x="29"/>
        <item x="30"/>
        <item x="31"/>
        <item x="32"/>
        <item x="33"/>
        <item x="34"/>
        <item x="35"/>
        <item x="36"/>
        <item t="default"/>
      </items>
    </pivotField>
    <pivotField compact="0" showAll="0">
      <items count="33">
        <item x="0"/>
        <item x="4"/>
        <item x="7"/>
        <item x="3"/>
        <item x="30"/>
        <item x="12"/>
        <item x="9"/>
        <item x="1"/>
        <item x="2"/>
        <item x="5"/>
        <item x="6"/>
        <item x="8"/>
        <item x="10"/>
        <item x="11"/>
        <item x="13"/>
        <item x="14"/>
        <item x="15"/>
        <item x="16"/>
        <item x="17"/>
        <item x="18"/>
        <item x="19"/>
        <item x="20"/>
        <item x="21"/>
        <item x="22"/>
        <item x="23"/>
        <item x="24"/>
        <item x="25"/>
        <item x="26"/>
        <item x="27"/>
        <item x="28"/>
        <item x="29"/>
        <item x="31"/>
        <item t="default"/>
      </items>
    </pivotField>
    <pivotField dataField="1" compact="0" showAll="0">
      <items count="34">
        <item x="0"/>
        <item x="32"/>
        <item x="6"/>
        <item x="30"/>
        <item x="3"/>
        <item x="4"/>
        <item x="13"/>
        <item x="10"/>
        <item x="1"/>
        <item x="2"/>
        <item x="5"/>
        <item x="7"/>
        <item x="8"/>
        <item x="9"/>
        <item x="11"/>
        <item x="12"/>
        <item x="14"/>
        <item x="15"/>
        <item x="16"/>
        <item x="17"/>
        <item x="18"/>
        <item x="19"/>
        <item x="20"/>
        <item x="21"/>
        <item x="22"/>
        <item x="23"/>
        <item x="24"/>
        <item x="25"/>
        <item x="26"/>
        <item x="27"/>
        <item x="28"/>
        <item x="29"/>
        <item x="31"/>
        <item t="default"/>
      </items>
    </pivotField>
    <pivotField dataField="1" compact="0" showAll="0">
      <items count="11">
        <item x="0"/>
        <item x="9"/>
        <item x="8"/>
        <item x="3"/>
        <item x="1"/>
        <item x="2"/>
        <item x="4"/>
        <item x="5"/>
        <item x="6"/>
        <item x="7"/>
        <item t="default"/>
      </items>
    </pivotField>
    <pivotField compact="0" showAll="0">
      <items count="12">
        <item x="0"/>
        <item x="1"/>
        <item x="2"/>
        <item x="3"/>
        <item x="4"/>
        <item x="5"/>
        <item x="6"/>
        <item x="7"/>
        <item x="8"/>
        <item x="9"/>
        <item x="10"/>
        <item t="default"/>
      </items>
    </pivotField>
    <pivotField compact="0" showAll="0">
      <items count="13">
        <item x="1"/>
        <item x="0"/>
        <item x="2"/>
        <item x="3"/>
        <item x="4"/>
        <item x="5"/>
        <item x="6"/>
        <item x="7"/>
        <item x="8"/>
        <item x="9"/>
        <item x="10"/>
        <item x="11"/>
        <item t="default"/>
      </items>
    </pivotField>
    <pivotField dataField="1" compact="0" showAll="0">
      <items count="8">
        <item x="0"/>
        <item x="1"/>
        <item x="6"/>
        <item x="5"/>
        <item x="2"/>
        <item x="3"/>
        <item x="4"/>
        <item t="default"/>
      </items>
    </pivotField>
    <pivotField compact="0" showAll="0">
      <items count="8">
        <item x="0"/>
        <item x="1"/>
        <item x="6"/>
        <item x="5"/>
        <item x="4"/>
        <item x="2"/>
        <item x="3"/>
        <item t="default"/>
      </items>
    </pivotField>
    <pivotField compact="0" showAll="0">
      <items count="12">
        <item x="1"/>
        <item x="0"/>
        <item x="8"/>
        <item x="9"/>
        <item x="7"/>
        <item x="5"/>
        <item x="2"/>
        <item x="3"/>
        <item x="4"/>
        <item x="6"/>
        <item x="10"/>
        <item t="default"/>
      </items>
    </pivotField>
    <pivotField compact="0" showAll="0">
      <items count="7">
        <item x="0"/>
        <item x="1"/>
        <item x="5"/>
        <item x="4"/>
        <item x="2"/>
        <item x="3"/>
        <item t="default"/>
      </items>
    </pivotField>
    <pivotField compact="0" showAll="0">
      <items count="4">
        <item x="0"/>
        <item x="2"/>
        <item x="1"/>
        <item t="default"/>
      </items>
    </pivotField>
    <pivotField compact="0" showAll="0">
      <items count="10">
        <item x="0"/>
        <item x="8"/>
        <item x="7"/>
        <item x="3"/>
        <item x="1"/>
        <item x="2"/>
        <item x="4"/>
        <item x="5"/>
        <item x="6"/>
        <item t="default"/>
      </items>
    </pivotField>
    <pivotField compact="0" showAll="0">
      <items count="5">
        <item x="0"/>
        <item x="3"/>
        <item x="2"/>
        <item x="1"/>
        <item t="default"/>
      </items>
    </pivotField>
    <pivotField dataField="1" dragToCol="0" dragToPage="0" dragToRow="0" compact="0" showAll="0"/>
    <pivotField dataField="1" dragToCol="0" dragToPage="0" dragToRow="0" compact="0"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902">
      <pivotArea dataOnly="0" labelOnly="1" fieldPosition="0">
        <references count="1">
          <reference field="4294967294" count="1">
            <x v="5"/>
          </reference>
        </references>
      </pivotArea>
    </format>
    <format dxfId="903">
      <pivotArea dataOnly="0" labelOnly="1" fieldPosition="0">
        <references count="1">
          <reference field="4294967294" count="1">
            <x v="6"/>
          </reference>
        </references>
      </pivotArea>
    </format>
    <format dxfId="904">
      <pivotArea collapsedLevelsAreSubtotals="1" fieldPosition="0">
        <references count="1">
          <reference field="4294967294" count="1" selected="0">
            <x v="5"/>
          </reference>
        </references>
      </pivotArea>
    </format>
    <format dxfId="905">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数据透视表27" cacheId="29"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1:I24" firstHeaderRow="1" firstDataRow="1" firstDataCol="1"/>
  <pivotFields count="14">
    <pivotField compact="0" showAll="0">
      <items count="22">
        <item x="20"/>
        <item x="10"/>
        <item x="0"/>
        <item x="1"/>
        <item x="6"/>
        <item x="3"/>
        <item x="2"/>
        <item x="9"/>
        <item x="5"/>
        <item x="4"/>
        <item x="19"/>
        <item x="11"/>
        <item x="14"/>
        <item x="7"/>
        <item x="16"/>
        <item x="8"/>
        <item x="12"/>
        <item x="13"/>
        <item x="15"/>
        <item x="17"/>
        <item x="18"/>
        <item t="default"/>
      </items>
    </pivotField>
    <pivotField compact="0" showAll="0">
      <items count="21">
        <item x="19"/>
        <item x="7"/>
        <item x="10"/>
        <item x="0"/>
        <item x="1"/>
        <item x="6"/>
        <item x="2"/>
        <item x="9"/>
        <item x="5"/>
        <item x="4"/>
        <item x="18"/>
        <item x="13"/>
        <item x="11"/>
        <item x="15"/>
        <item x="8"/>
        <item x="3"/>
        <item x="12"/>
        <item x="14"/>
        <item x="16"/>
        <item x="17"/>
        <item t="default"/>
      </items>
    </pivotField>
    <pivotField axis="axisRow" compact="0" showAll="0">
      <items count="23">
        <item x="21"/>
        <item x="0"/>
        <item x="1"/>
        <item x="6"/>
        <item x="11"/>
        <item x="3"/>
        <item x="2"/>
        <item x="9"/>
        <item x="5"/>
        <item x="4"/>
        <item x="20"/>
        <item x="14"/>
        <item x="10"/>
        <item x="7"/>
        <item x="16"/>
        <item x="8"/>
        <item x="12"/>
        <item x="13"/>
        <item x="15"/>
        <item x="17"/>
        <item x="18"/>
        <item x="19"/>
        <item t="default"/>
      </items>
    </pivotField>
    <pivotField compact="0" showAll="0">
      <items count="22">
        <item x="20"/>
        <item x="10"/>
        <item x="14"/>
        <item x="13"/>
        <item x="18"/>
        <item x="0"/>
        <item x="1"/>
        <item x="2"/>
        <item x="3"/>
        <item x="4"/>
        <item x="5"/>
        <item x="6"/>
        <item x="7"/>
        <item x="8"/>
        <item x="9"/>
        <item x="11"/>
        <item x="12"/>
        <item x="15"/>
        <item x="16"/>
        <item x="17"/>
        <item x="19"/>
        <item t="default"/>
      </items>
    </pivotField>
    <pivotField compact="0" showAll="0">
      <items count="11">
        <item x="7"/>
        <item x="6"/>
        <item x="9"/>
        <item x="8"/>
        <item x="5"/>
        <item x="4"/>
        <item x="2"/>
        <item x="1"/>
        <item x="3"/>
        <item x="0"/>
        <item t="default"/>
      </items>
    </pivotField>
    <pivotField compact="0" showAll="0">
      <items count="22">
        <item x="20"/>
        <item x="13"/>
        <item x="0"/>
        <item x="1"/>
        <item x="2"/>
        <item x="3"/>
        <item x="4"/>
        <item x="5"/>
        <item x="6"/>
        <item x="7"/>
        <item x="8"/>
        <item x="9"/>
        <item x="10"/>
        <item x="11"/>
        <item x="12"/>
        <item x="14"/>
        <item x="15"/>
        <item x="16"/>
        <item x="17"/>
        <item x="18"/>
        <item x="19"/>
        <item t="default"/>
      </items>
    </pivotField>
    <pivotField compact="0" showAll="0">
      <items count="11">
        <item x="7"/>
        <item x="9"/>
        <item x="0"/>
        <item x="1"/>
        <item x="2"/>
        <item x="3"/>
        <item x="4"/>
        <item x="5"/>
        <item x="6"/>
        <item x="8"/>
        <item t="default"/>
      </items>
    </pivotField>
    <pivotField compact="0" showAll="0">
      <items count="22">
        <item x="20"/>
        <item x="4"/>
        <item x="14"/>
        <item x="0"/>
        <item x="1"/>
        <item x="2"/>
        <item x="3"/>
        <item x="5"/>
        <item x="6"/>
        <item x="7"/>
        <item x="8"/>
        <item x="9"/>
        <item x="10"/>
        <item x="11"/>
        <item x="12"/>
        <item x="13"/>
        <item x="15"/>
        <item x="16"/>
        <item x="17"/>
        <item x="18"/>
        <item x="19"/>
        <item t="default"/>
      </items>
    </pivotField>
    <pivotField compact="0" showAll="0">
      <items count="13">
        <item x="8"/>
        <item x="7"/>
        <item x="11"/>
        <item x="9"/>
        <item x="6"/>
        <item x="10"/>
        <item x="1"/>
        <item x="3"/>
        <item x="4"/>
        <item x="5"/>
        <item x="0"/>
        <item x="2"/>
        <item t="default"/>
      </items>
    </pivotField>
    <pivotField compact="0" showAll="0">
      <items count="22">
        <item x="20"/>
        <item x="14"/>
        <item x="0"/>
        <item x="1"/>
        <item x="2"/>
        <item x="3"/>
        <item x="4"/>
        <item x="5"/>
        <item x="6"/>
        <item x="7"/>
        <item x="8"/>
        <item x="9"/>
        <item x="10"/>
        <item x="11"/>
        <item x="12"/>
        <item x="13"/>
        <item x="15"/>
        <item x="16"/>
        <item x="17"/>
        <item x="18"/>
        <item x="19"/>
        <item t="default"/>
      </items>
    </pivotField>
    <pivotField compact="0" showAll="0">
      <items count="13">
        <item x="8"/>
        <item x="11"/>
        <item x="0"/>
        <item x="1"/>
        <item x="2"/>
        <item x="3"/>
        <item x="4"/>
        <item x="5"/>
        <item x="6"/>
        <item x="7"/>
        <item x="9"/>
        <item x="10"/>
        <item t="default"/>
      </items>
    </pivotField>
    <pivotField compact="0" showAll="0">
      <items count="15">
        <item x="3"/>
        <item x="13"/>
        <item x="6"/>
        <item x="9"/>
        <item x="0"/>
        <item x="1"/>
        <item x="2"/>
        <item x="4"/>
        <item x="5"/>
        <item x="7"/>
        <item x="8"/>
        <item x="10"/>
        <item x="11"/>
        <item x="12"/>
        <item t="default"/>
      </items>
    </pivotField>
    <pivotField compact="0" showAll="0">
      <items count="6">
        <item x="2"/>
        <item x="0"/>
        <item x="4"/>
        <item x="1"/>
        <item x="3"/>
        <item t="default"/>
      </items>
    </pivotField>
    <pivotField dataField="1" compact="0" showAll="0">
      <items count="13">
        <item x="8"/>
        <item x="10"/>
        <item x="11"/>
        <item x="9"/>
        <item x="2"/>
        <item x="4"/>
        <item x="7"/>
        <item x="0"/>
        <item x="1"/>
        <item x="3"/>
        <item x="5"/>
        <item x="6"/>
        <item t="default"/>
      </items>
    </pivotField>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数据透视表26" cacheId="28"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E1:F13" firstHeaderRow="1" firstDataRow="1" firstDataCol="1"/>
  <pivotFields count="14">
    <pivotField compact="0" showAll="0">
      <items count="12">
        <item x="10"/>
        <item x="2"/>
        <item x="0"/>
        <item x="5"/>
        <item x="3"/>
        <item x="4"/>
        <item x="1"/>
        <item x="8"/>
        <item x="6"/>
        <item x="7"/>
        <item x="9"/>
        <item t="default"/>
      </items>
    </pivotField>
    <pivotField compact="0" showAll="0">
      <items count="12">
        <item x="10"/>
        <item x="2"/>
        <item x="5"/>
        <item x="0"/>
        <item x="4"/>
        <item x="1"/>
        <item x="6"/>
        <item x="3"/>
        <item x="8"/>
        <item x="7"/>
        <item x="9"/>
        <item t="default"/>
      </items>
    </pivotField>
    <pivotField axis="axisRow" compact="0" showAll="0">
      <items count="12">
        <item x="10"/>
        <item x="2"/>
        <item x="0"/>
        <item x="5"/>
        <item x="3"/>
        <item x="4"/>
        <item x="1"/>
        <item x="6"/>
        <item x="7"/>
        <item x="8"/>
        <item x="9"/>
        <item t="default"/>
      </items>
    </pivotField>
    <pivotField compact="0" showAll="0">
      <items count="12">
        <item x="10"/>
        <item x="0"/>
        <item x="1"/>
        <item x="2"/>
        <item x="3"/>
        <item x="4"/>
        <item x="5"/>
        <item x="6"/>
        <item x="7"/>
        <item x="8"/>
        <item x="9"/>
        <item t="default"/>
      </items>
    </pivotField>
    <pivotField compact="0" showAll="0">
      <items count="8">
        <item x="5"/>
        <item x="6"/>
        <item x="1"/>
        <item x="4"/>
        <item x="2"/>
        <item x="0"/>
        <item x="3"/>
        <item t="default"/>
      </items>
    </pivotField>
    <pivotField compact="0" showAll="0">
      <items count="12">
        <item x="10"/>
        <item x="0"/>
        <item x="1"/>
        <item x="2"/>
        <item x="3"/>
        <item x="4"/>
        <item x="5"/>
        <item x="6"/>
        <item x="7"/>
        <item x="8"/>
        <item x="9"/>
        <item t="default"/>
      </items>
    </pivotField>
    <pivotField compact="0" showAll="0">
      <items count="8">
        <item x="5"/>
        <item x="6"/>
        <item x="0"/>
        <item x="1"/>
        <item x="2"/>
        <item x="3"/>
        <item x="4"/>
        <item t="default"/>
      </items>
    </pivotField>
    <pivotField compact="0" showAll="0">
      <items count="14">
        <item x="12"/>
        <item x="0"/>
        <item x="1"/>
        <item x="2"/>
        <item x="3"/>
        <item x="4"/>
        <item x="5"/>
        <item x="6"/>
        <item x="7"/>
        <item x="8"/>
        <item x="9"/>
        <item x="10"/>
        <item x="11"/>
        <item t="default"/>
      </items>
    </pivotField>
    <pivotField compact="0" showAll="0">
      <items count="10">
        <item x="6"/>
        <item x="8"/>
        <item x="1"/>
        <item x="7"/>
        <item x="2"/>
        <item x="4"/>
        <item x="0"/>
        <item x="3"/>
        <item x="5"/>
        <item t="default"/>
      </items>
    </pivotField>
    <pivotField compact="0" showAll="0">
      <items count="14">
        <item x="12"/>
        <item x="0"/>
        <item x="1"/>
        <item x="2"/>
        <item x="3"/>
        <item x="4"/>
        <item x="5"/>
        <item x="6"/>
        <item x="7"/>
        <item x="8"/>
        <item x="9"/>
        <item x="10"/>
        <item x="11"/>
        <item t="default"/>
      </items>
    </pivotField>
    <pivotField compact="0" showAll="0">
      <items count="10">
        <item x="6"/>
        <item x="8"/>
        <item x="0"/>
        <item x="1"/>
        <item x="2"/>
        <item x="3"/>
        <item x="4"/>
        <item x="5"/>
        <item x="7"/>
        <item t="default"/>
      </items>
    </pivotField>
    <pivotField compact="0" showAll="0">
      <items count="6">
        <item x="0"/>
        <item x="4"/>
        <item x="1"/>
        <item x="2"/>
        <item x="3"/>
        <item t="default"/>
      </items>
    </pivotField>
    <pivotField compact="0" showAll="0">
      <items count="6">
        <item x="2"/>
        <item x="4"/>
        <item x="0"/>
        <item x="1"/>
        <item x="3"/>
        <item t="default"/>
      </items>
    </pivotField>
    <pivotField dataField="1" compact="0" showAll="0">
      <items count="11">
        <item x="8"/>
        <item x="9"/>
        <item x="5"/>
        <item x="7"/>
        <item x="0"/>
        <item x="1"/>
        <item x="2"/>
        <item x="3"/>
        <item x="4"/>
        <item x="6"/>
        <item t="default"/>
      </items>
    </pivotField>
  </pivotFields>
  <rowFields count="1">
    <field x="2"/>
  </rowFields>
  <rowItems count="12">
    <i>
      <x/>
    </i>
    <i>
      <x v="1"/>
    </i>
    <i>
      <x v="2"/>
    </i>
    <i>
      <x v="3"/>
    </i>
    <i>
      <x v="4"/>
    </i>
    <i>
      <x v="5"/>
    </i>
    <i>
      <x v="6"/>
    </i>
    <i>
      <x v="7"/>
    </i>
    <i>
      <x v="8"/>
    </i>
    <i>
      <x v="9"/>
    </i>
    <i>
      <x v="10"/>
    </i>
    <i t="grand">
      <x/>
    </i>
  </rowItems>
  <colItems count="1">
    <i/>
  </colItems>
  <dataFields count="1">
    <dataField name="求和项:已订购商品数量" fld="13" baseField="2"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数据透视表30" cacheId="32"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AJ32" firstHeaderRow="0" firstDataRow="1" firstDataCol="1"/>
  <pivotFields count="19">
    <pivotField axis="axisRow" compact="0" showAll="0">
      <items count="31">
        <item x="29"/>
        <item x="0"/>
        <item x="1"/>
        <item x="6"/>
        <item x="4"/>
        <item x="3"/>
        <item x="7"/>
        <item x="8"/>
        <item x="9"/>
        <item x="10"/>
        <item x="5"/>
        <item x="2"/>
        <item x="11"/>
        <item x="12"/>
        <item x="20"/>
        <item x="13"/>
        <item x="15"/>
        <item x="14"/>
        <item x="16"/>
        <item x="18"/>
        <item x="17"/>
        <item x="19"/>
        <item x="21"/>
        <item x="22"/>
        <item x="23"/>
        <item x="24"/>
        <item x="25"/>
        <item x="26"/>
        <item x="27"/>
        <item x="28"/>
        <item t="default"/>
      </items>
    </pivotField>
    <pivotField compact="0" showAll="0">
      <items count="31">
        <item x="29"/>
        <item x="0"/>
        <item x="1"/>
        <item x="6"/>
        <item x="4"/>
        <item x="3"/>
        <item x="7"/>
        <item x="8"/>
        <item x="9"/>
        <item x="10"/>
        <item x="5"/>
        <item x="2"/>
        <item x="11"/>
        <item x="12"/>
        <item x="20"/>
        <item x="13"/>
        <item x="15"/>
        <item x="14"/>
        <item x="16"/>
        <item x="17"/>
        <item x="18"/>
        <item x="19"/>
        <item x="21"/>
        <item x="22"/>
        <item x="23"/>
        <item x="24"/>
        <item x="25"/>
        <item x="26"/>
        <item x="27"/>
        <item x="28"/>
        <item t="default"/>
      </items>
    </pivotField>
    <pivotField dataField="1" compact="0" showAll="0">
      <items count="62">
        <item x="60"/>
        <item x="56"/>
        <item x="58"/>
        <item x="53"/>
        <item x="24"/>
        <item x="15"/>
        <item x="57"/>
        <item x="55"/>
        <item x="0"/>
        <item x="1"/>
        <item x="2"/>
        <item x="3"/>
        <item x="4"/>
        <item x="5"/>
        <item x="6"/>
        <item x="7"/>
        <item x="8"/>
        <item x="9"/>
        <item x="10"/>
        <item x="11"/>
        <item x="12"/>
        <item x="13"/>
        <item x="14"/>
        <item x="16"/>
        <item x="17"/>
        <item x="18"/>
        <item x="19"/>
        <item x="20"/>
        <item x="21"/>
        <item x="22"/>
        <item x="23"/>
        <item x="25"/>
        <item x="26"/>
        <item x="27"/>
        <item x="28"/>
        <item x="29"/>
        <item x="30"/>
        <item x="31"/>
        <item x="32"/>
        <item x="33"/>
        <item x="34"/>
        <item x="35"/>
        <item x="36"/>
        <item x="37"/>
        <item x="38"/>
        <item x="39"/>
        <item x="40"/>
        <item x="41"/>
        <item x="42"/>
        <item x="43"/>
        <item x="44"/>
        <item x="45"/>
        <item x="46"/>
        <item x="47"/>
        <item x="48"/>
        <item x="49"/>
        <item x="50"/>
        <item x="51"/>
        <item x="52"/>
        <item x="54"/>
        <item x="59"/>
        <item t="default"/>
      </items>
    </pivotField>
    <pivotField dataField="1" compact="0" showAll="0">
      <items count="28">
        <item x="4"/>
        <item x="7"/>
        <item x="3"/>
        <item x="0"/>
        <item x="26"/>
        <item x="6"/>
        <item x="24"/>
        <item x="8"/>
        <item x="18"/>
        <item x="9"/>
        <item x="23"/>
        <item x="12"/>
        <item x="1"/>
        <item x="2"/>
        <item x="5"/>
        <item x="10"/>
        <item x="11"/>
        <item x="13"/>
        <item x="14"/>
        <item x="15"/>
        <item x="16"/>
        <item x="17"/>
        <item x="19"/>
        <item x="20"/>
        <item x="21"/>
        <item x="22"/>
        <item x="25"/>
        <item t="default"/>
      </items>
    </pivotField>
    <pivotField compact="0" showAll="0">
      <items count="48">
        <item x="0"/>
        <item x="4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compact="0" showAll="0">
      <items count="40">
        <item x="0"/>
        <item x="4"/>
        <item x="3"/>
        <item x="25"/>
        <item x="8"/>
        <item x="31"/>
        <item x="5"/>
        <item x="38"/>
        <item x="1"/>
        <item x="2"/>
        <item x="6"/>
        <item x="7"/>
        <item x="9"/>
        <item x="10"/>
        <item x="11"/>
        <item x="12"/>
        <item x="13"/>
        <item x="14"/>
        <item x="15"/>
        <item x="16"/>
        <item x="17"/>
        <item x="18"/>
        <item x="19"/>
        <item x="20"/>
        <item x="21"/>
        <item x="22"/>
        <item x="23"/>
        <item x="24"/>
        <item x="26"/>
        <item x="27"/>
        <item x="28"/>
        <item x="29"/>
        <item x="30"/>
        <item x="32"/>
        <item x="33"/>
        <item x="34"/>
        <item x="35"/>
        <item x="36"/>
        <item x="37"/>
        <item t="default"/>
      </items>
    </pivotField>
    <pivotField dataField="1" compact="0" showAll="0">
      <items count="45">
        <item x="0"/>
        <item x="43"/>
        <item x="8"/>
        <item x="42"/>
        <item x="35"/>
        <item x="4"/>
        <item x="10"/>
        <item x="1"/>
        <item x="2"/>
        <item x="3"/>
        <item x="5"/>
        <item x="6"/>
        <item x="7"/>
        <item x="9"/>
        <item x="11"/>
        <item x="12"/>
        <item x="13"/>
        <item x="14"/>
        <item x="15"/>
        <item x="16"/>
        <item x="17"/>
        <item x="18"/>
        <item x="19"/>
        <item x="20"/>
        <item x="21"/>
        <item x="22"/>
        <item x="23"/>
        <item x="24"/>
        <item x="25"/>
        <item x="26"/>
        <item x="27"/>
        <item x="28"/>
        <item x="29"/>
        <item x="30"/>
        <item x="31"/>
        <item x="32"/>
        <item x="33"/>
        <item x="34"/>
        <item x="36"/>
        <item x="37"/>
        <item x="38"/>
        <item x="39"/>
        <item x="40"/>
        <item x="41"/>
        <item t="default"/>
      </items>
    </pivotField>
    <pivotField dataField="1" compact="0" showAll="0">
      <items count="18">
        <item x="0"/>
        <item x="16"/>
        <item x="1"/>
        <item x="4"/>
        <item x="5"/>
        <item x="9"/>
        <item x="12"/>
        <item x="13"/>
        <item x="15"/>
        <item x="2"/>
        <item x="3"/>
        <item x="6"/>
        <item x="7"/>
        <item x="8"/>
        <item x="10"/>
        <item x="11"/>
        <item x="14"/>
        <item t="default"/>
      </items>
    </pivotField>
    <pivotField compact="0" showAll="0">
      <items count="19">
        <item x="0"/>
        <item x="1"/>
        <item x="2"/>
        <item x="3"/>
        <item x="4"/>
        <item x="5"/>
        <item x="6"/>
        <item x="7"/>
        <item x="8"/>
        <item x="9"/>
        <item x="10"/>
        <item x="11"/>
        <item x="12"/>
        <item x="13"/>
        <item x="14"/>
        <item x="15"/>
        <item x="16"/>
        <item x="17"/>
        <item t="default"/>
      </items>
    </pivotField>
    <pivotField compact="0" showAll="0">
      <items count="20">
        <item x="1"/>
        <item x="0"/>
        <item x="2"/>
        <item x="3"/>
        <item x="4"/>
        <item x="5"/>
        <item x="6"/>
        <item x="7"/>
        <item x="8"/>
        <item x="9"/>
        <item x="10"/>
        <item x="11"/>
        <item x="12"/>
        <item x="13"/>
        <item x="14"/>
        <item x="15"/>
        <item x="16"/>
        <item x="17"/>
        <item x="18"/>
        <item t="default"/>
      </items>
    </pivotField>
    <pivotField dataField="1" compact="0" showAll="0">
      <items count="10">
        <item x="0"/>
        <item x="1"/>
        <item x="8"/>
        <item x="7"/>
        <item x="3"/>
        <item x="4"/>
        <item x="2"/>
        <item x="5"/>
        <item x="6"/>
        <item t="default"/>
      </items>
    </pivotField>
    <pivotField compact="0" showAll="0">
      <items count="10">
        <item x="0"/>
        <item x="1"/>
        <item x="8"/>
        <item x="6"/>
        <item x="2"/>
        <item x="7"/>
        <item x="3"/>
        <item x="4"/>
        <item x="5"/>
        <item t="default"/>
      </items>
    </pivotField>
    <pivotField compact="0" showAll="0">
      <items count="19">
        <item x="1"/>
        <item x="0"/>
        <item x="13"/>
        <item x="2"/>
        <item x="3"/>
        <item x="4"/>
        <item x="5"/>
        <item x="6"/>
        <item x="7"/>
        <item x="8"/>
        <item x="9"/>
        <item x="10"/>
        <item x="11"/>
        <item x="12"/>
        <item x="14"/>
        <item x="15"/>
        <item x="16"/>
        <item x="17"/>
        <item t="default"/>
      </items>
    </pivotField>
    <pivotField compact="0" showAll="0">
      <items count="9">
        <item x="0"/>
        <item x="1"/>
        <item x="7"/>
        <item x="4"/>
        <item x="2"/>
        <item x="6"/>
        <item x="5"/>
        <item x="3"/>
        <item t="default"/>
      </items>
    </pivotField>
    <pivotField compact="0" showAll="0">
      <items count="5">
        <item x="0"/>
        <item x="3"/>
        <item x="1"/>
        <item x="2"/>
        <item t="default"/>
      </items>
    </pivotField>
    <pivotField compact="0" showAll="0">
      <items count="16">
        <item x="0"/>
        <item x="14"/>
        <item x="1"/>
        <item x="5"/>
        <item x="3"/>
        <item x="6"/>
        <item x="9"/>
        <item x="11"/>
        <item x="12"/>
        <item x="13"/>
        <item x="2"/>
        <item x="4"/>
        <item x="7"/>
        <item x="8"/>
        <item x="10"/>
        <item t="default"/>
      </items>
    </pivotField>
    <pivotField compact="0" showAll="0">
      <items count="7">
        <item x="0"/>
        <item x="5"/>
        <item x="3"/>
        <item x="2"/>
        <item x="4"/>
        <item x="1"/>
        <item t="default"/>
      </items>
    </pivotField>
    <pivotField dataField="1" dragToCol="0" dragToPage="0" dragToRow="0" compact="0" showAll="0"/>
    <pivotField dataField="1" dragToCol="0" dragToPage="0" dragToRow="0" compact="0"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906">
      <pivotArea dataOnly="0" labelOnly="1" fieldPosition="0">
        <references count="1">
          <reference field="4294967294" count="1">
            <x v="5"/>
          </reference>
        </references>
      </pivotArea>
    </format>
    <format dxfId="907">
      <pivotArea dataOnly="0" labelOnly="1" fieldPosition="0">
        <references count="1">
          <reference field="4294967294" count="1">
            <x v="6"/>
          </reference>
        </references>
      </pivotArea>
    </format>
    <format dxfId="908">
      <pivotArea collapsedLevelsAreSubtotals="1" fieldPosition="0">
        <references count="1">
          <reference field="4294967294" count="1" selected="0">
            <x v="5"/>
          </reference>
        </references>
      </pivotArea>
    </format>
    <format dxfId="909">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数据透视表25" cacheId="27"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B1:C13" firstHeaderRow="1" firstDataRow="1" firstDataCol="1"/>
  <pivotFields count="14">
    <pivotField compact="0" showAll="0">
      <items count="12">
        <item x="10"/>
        <item x="1"/>
        <item x="0"/>
        <item x="4"/>
        <item x="3"/>
        <item x="2"/>
        <item x="5"/>
        <item x="6"/>
        <item x="7"/>
        <item x="8"/>
        <item x="9"/>
        <item t="default"/>
      </items>
    </pivotField>
    <pivotField compact="0" showAll="0">
      <items count="12">
        <item x="10"/>
        <item x="1"/>
        <item x="0"/>
        <item x="3"/>
        <item x="2"/>
        <item x="4"/>
        <item x="5"/>
        <item x="6"/>
        <item x="7"/>
        <item x="8"/>
        <item x="9"/>
        <item t="default"/>
      </items>
    </pivotField>
    <pivotField axis="axisRow" compact="0" showAll="0">
      <items count="12">
        <item x="10"/>
        <item x="1"/>
        <item x="0"/>
        <item x="4"/>
        <item x="3"/>
        <item x="2"/>
        <item x="5"/>
        <item x="6"/>
        <item x="7"/>
        <item x="8"/>
        <item x="9"/>
        <item t="default"/>
      </items>
    </pivotField>
    <pivotField compact="0" showAll="0">
      <items count="10">
        <item x="8"/>
        <item x="2"/>
        <item x="0"/>
        <item x="1"/>
        <item x="3"/>
        <item x="4"/>
        <item x="5"/>
        <item x="6"/>
        <item x="7"/>
        <item t="default"/>
      </items>
    </pivotField>
    <pivotField compact="0" showAll="0">
      <items count="7">
        <item x="3"/>
        <item x="5"/>
        <item x="2"/>
        <item x="1"/>
        <item x="0"/>
        <item x="4"/>
        <item t="default"/>
      </items>
    </pivotField>
    <pivotField compact="0" showAll="0">
      <items count="10">
        <item x="8"/>
        <item x="0"/>
        <item x="1"/>
        <item x="2"/>
        <item x="3"/>
        <item x="4"/>
        <item x="5"/>
        <item x="6"/>
        <item x="7"/>
        <item t="default"/>
      </items>
    </pivotField>
    <pivotField compact="0" showAll="0">
      <items count="7">
        <item x="3"/>
        <item x="5"/>
        <item x="0"/>
        <item x="1"/>
        <item x="2"/>
        <item x="4"/>
        <item t="default"/>
      </items>
    </pivotField>
    <pivotField compact="0" showAll="0">
      <items count="12">
        <item x="10"/>
        <item x="0"/>
        <item x="1"/>
        <item x="2"/>
        <item x="3"/>
        <item x="4"/>
        <item x="5"/>
        <item x="6"/>
        <item x="7"/>
        <item x="8"/>
        <item x="9"/>
        <item t="default"/>
      </items>
    </pivotField>
    <pivotField compact="0" showAll="0">
      <items count="8">
        <item x="4"/>
        <item x="6"/>
        <item x="2"/>
        <item x="5"/>
        <item x="0"/>
        <item x="1"/>
        <item x="3"/>
        <item t="default"/>
      </items>
    </pivotField>
    <pivotField compact="0" showAll="0">
      <items count="12">
        <item x="10"/>
        <item x="0"/>
        <item x="1"/>
        <item x="2"/>
        <item x="3"/>
        <item x="4"/>
        <item x="5"/>
        <item x="6"/>
        <item x="7"/>
        <item x="8"/>
        <item x="9"/>
        <item t="default"/>
      </items>
    </pivotField>
    <pivotField compact="0" showAll="0">
      <items count="8">
        <item x="4"/>
        <item x="6"/>
        <item x="0"/>
        <item x="1"/>
        <item x="2"/>
        <item x="3"/>
        <item x="5"/>
        <item t="default"/>
      </items>
    </pivotField>
    <pivotField compact="0" showAll="0">
      <items count="6">
        <item x="0"/>
        <item x="4"/>
        <item x="1"/>
        <item x="2"/>
        <item x="3"/>
        <item t="default"/>
      </items>
    </pivotField>
    <pivotField compact="0" showAll="0">
      <items count="4">
        <item x="1"/>
        <item x="2"/>
        <item x="0"/>
        <item t="default"/>
      </items>
    </pivotField>
    <pivotField dataField="1" compact="0" showAll="0">
      <items count="7">
        <item x="5"/>
        <item x="1"/>
        <item x="2"/>
        <item x="0"/>
        <item x="3"/>
        <item x="4"/>
        <item t="default"/>
      </items>
    </pivotField>
  </pivotFields>
  <rowFields count="1">
    <field x="2"/>
  </rowFields>
  <rowItems count="12">
    <i>
      <x/>
    </i>
    <i>
      <x v="1"/>
    </i>
    <i>
      <x v="2"/>
    </i>
    <i>
      <x v="3"/>
    </i>
    <i>
      <x v="4"/>
    </i>
    <i>
      <x v="5"/>
    </i>
    <i>
      <x v="6"/>
    </i>
    <i>
      <x v="7"/>
    </i>
    <i>
      <x v="8"/>
    </i>
    <i>
      <x v="9"/>
    </i>
    <i>
      <x v="10"/>
    </i>
    <i t="grand">
      <x/>
    </i>
  </rowItems>
  <colItems count="1">
    <i/>
  </colItems>
  <dataFields count="1">
    <dataField name="求和项:已订购商品数量" fld="13" baseField="2"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数据透视表28" cacheId="3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K1:R32" firstHeaderRow="0" firstDataRow="1" firstDataCol="1"/>
  <pivotFields count="19">
    <pivotField axis="axisRow" compact="0" showAll="0">
      <items count="31">
        <item x="29"/>
        <item x="0"/>
        <item x="1"/>
        <item x="3"/>
        <item x="9"/>
        <item x="4"/>
        <item x="2"/>
        <item x="6"/>
        <item x="11"/>
        <item x="12"/>
        <item x="20"/>
        <item x="5"/>
        <item x="13"/>
        <item x="15"/>
        <item x="14"/>
        <item x="18"/>
        <item x="8"/>
        <item x="10"/>
        <item x="16"/>
        <item x="19"/>
        <item x="21"/>
        <item x="7"/>
        <item x="17"/>
        <item x="22"/>
        <item x="23"/>
        <item x="24"/>
        <item x="25"/>
        <item x="26"/>
        <item x="27"/>
        <item x="28"/>
        <item t="default"/>
      </items>
    </pivotField>
    <pivotField compact="0" showAll="0">
      <items count="31">
        <item x="29"/>
        <item x="0"/>
        <item x="1"/>
        <item x="3"/>
        <item x="9"/>
        <item x="4"/>
        <item x="2"/>
        <item x="6"/>
        <item x="11"/>
        <item x="12"/>
        <item x="20"/>
        <item x="5"/>
        <item x="13"/>
        <item x="15"/>
        <item x="14"/>
        <item x="18"/>
        <item x="8"/>
        <item x="10"/>
        <item x="16"/>
        <item x="19"/>
        <item x="21"/>
        <item x="7"/>
        <item x="17"/>
        <item x="22"/>
        <item x="23"/>
        <item x="24"/>
        <item x="25"/>
        <item x="26"/>
        <item x="27"/>
        <item x="28"/>
        <item t="default"/>
      </items>
    </pivotField>
    <pivotField dataField="1" compact="0" showAll="0">
      <items count="56">
        <item x="54"/>
        <item x="12"/>
        <item x="0"/>
        <item x="18"/>
        <item x="10"/>
        <item x="16"/>
        <item x="1"/>
        <item x="2"/>
        <item x="3"/>
        <item x="4"/>
        <item x="5"/>
        <item x="6"/>
        <item x="7"/>
        <item x="8"/>
        <item x="9"/>
        <item x="11"/>
        <item x="13"/>
        <item x="14"/>
        <item x="15"/>
        <item x="17"/>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dataField="1" compact="0" showAll="0">
      <items count="18">
        <item x="0"/>
        <item x="2"/>
        <item x="16"/>
        <item x="3"/>
        <item x="11"/>
        <item x="1"/>
        <item x="13"/>
        <item x="14"/>
        <item x="8"/>
        <item x="4"/>
        <item x="5"/>
        <item x="6"/>
        <item x="7"/>
        <item x="9"/>
        <item x="10"/>
        <item x="12"/>
        <item x="15"/>
        <item t="default"/>
      </items>
    </pivotField>
    <pivotField compact="0" showAll="0">
      <items count="33">
        <item x="0"/>
        <item x="9"/>
        <item x="1"/>
        <item x="2"/>
        <item x="3"/>
        <item x="4"/>
        <item x="5"/>
        <item x="6"/>
        <item x="7"/>
        <item x="8"/>
        <item x="10"/>
        <item x="11"/>
        <item x="12"/>
        <item x="13"/>
        <item x="14"/>
        <item x="15"/>
        <item x="16"/>
        <item x="17"/>
        <item x="18"/>
        <item x="19"/>
        <item x="20"/>
        <item x="21"/>
        <item x="22"/>
        <item x="23"/>
        <item x="24"/>
        <item x="25"/>
        <item x="26"/>
        <item x="27"/>
        <item x="28"/>
        <item x="29"/>
        <item x="30"/>
        <item x="31"/>
        <item t="default"/>
      </items>
    </pivotField>
    <pivotField compact="0" showAll="0">
      <items count="29">
        <item x="0"/>
        <item x="2"/>
        <item x="5"/>
        <item x="6"/>
        <item x="24"/>
        <item x="1"/>
        <item x="3"/>
        <item x="4"/>
        <item x="7"/>
        <item x="8"/>
        <item x="9"/>
        <item x="10"/>
        <item x="11"/>
        <item x="12"/>
        <item x="13"/>
        <item x="14"/>
        <item x="15"/>
        <item x="16"/>
        <item x="17"/>
        <item x="18"/>
        <item x="19"/>
        <item x="20"/>
        <item x="21"/>
        <item x="22"/>
        <item x="23"/>
        <item x="25"/>
        <item x="26"/>
        <item x="27"/>
        <item t="default"/>
      </items>
    </pivotField>
    <pivotField dataField="1" compact="0" showAll="0">
      <items count="30">
        <item x="0"/>
        <item x="28"/>
        <item x="2"/>
        <item x="10"/>
        <item x="1"/>
        <item x="3"/>
        <item x="4"/>
        <item x="5"/>
        <item x="6"/>
        <item x="7"/>
        <item x="8"/>
        <item x="9"/>
        <item x="11"/>
        <item x="12"/>
        <item x="13"/>
        <item x="14"/>
        <item x="15"/>
        <item x="16"/>
        <item x="17"/>
        <item x="18"/>
        <item x="19"/>
        <item x="20"/>
        <item x="21"/>
        <item x="22"/>
        <item x="23"/>
        <item x="24"/>
        <item x="25"/>
        <item x="26"/>
        <item x="27"/>
        <item t="default"/>
      </items>
    </pivotField>
    <pivotField dataField="1" compact="0" showAll="0">
      <items count="9">
        <item x="0"/>
        <item x="7"/>
        <item x="6"/>
        <item x="2"/>
        <item x="1"/>
        <item x="3"/>
        <item x="4"/>
        <item x="5"/>
        <item t="default"/>
      </items>
    </pivotField>
    <pivotField compact="0" showAll="0">
      <items count="8">
        <item x="0"/>
        <item x="1"/>
        <item x="2"/>
        <item x="3"/>
        <item x="4"/>
        <item x="5"/>
        <item x="6"/>
        <item t="default"/>
      </items>
    </pivotField>
    <pivotField compact="0" showAll="0">
      <items count="9">
        <item x="1"/>
        <item x="0"/>
        <item x="2"/>
        <item x="3"/>
        <item x="4"/>
        <item x="5"/>
        <item x="6"/>
        <item x="7"/>
        <item t="default"/>
      </items>
    </pivotField>
    <pivotField dataField="1" compact="0" showAll="0">
      <items count="6">
        <item x="0"/>
        <item x="2"/>
        <item x="4"/>
        <item x="1"/>
        <item x="3"/>
        <item t="default"/>
      </items>
    </pivotField>
    <pivotField compact="0" showAll="0">
      <items count="6">
        <item x="0"/>
        <item x="2"/>
        <item x="4"/>
        <item x="3"/>
        <item x="1"/>
        <item t="default"/>
      </items>
    </pivotField>
    <pivotField compact="0" showAll="0">
      <items count="9">
        <item x="1"/>
        <item x="0"/>
        <item x="3"/>
        <item x="2"/>
        <item x="4"/>
        <item x="5"/>
        <item x="6"/>
        <item x="7"/>
        <item t="default"/>
      </items>
    </pivotField>
    <pivotField compact="0" showAll="0">
      <items count="5">
        <item x="0"/>
        <item x="3"/>
        <item x="1"/>
        <item x="2"/>
        <item t="default"/>
      </items>
    </pivotField>
    <pivotField compact="0" showAll="0">
      <items count="4">
        <item x="0"/>
        <item x="2"/>
        <item x="1"/>
        <item t="default"/>
      </items>
    </pivotField>
    <pivotField compact="0" showAll="0">
      <items count="8">
        <item x="0"/>
        <item x="6"/>
        <item x="1"/>
        <item x="2"/>
        <item x="3"/>
        <item x="4"/>
        <item x="5"/>
        <item t="default"/>
      </items>
    </pivotField>
    <pivotField compact="0" showAll="0">
      <items count="4">
        <item x="0"/>
        <item x="2"/>
        <item x="1"/>
        <item t="default"/>
      </items>
    </pivotField>
    <pivotField dataField="1" dragToCol="0" dragToPage="0" dragToRow="0" compact="0" showAll="0"/>
    <pivotField dataField="1" dragToCol="0" dragToPage="0" dragToRow="0" compact="0"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910">
      <pivotArea dataOnly="0" labelOnly="1" fieldPosition="0">
        <references count="1">
          <reference field="4294967294" count="1">
            <x v="5"/>
          </reference>
        </references>
      </pivotArea>
    </format>
    <format dxfId="911">
      <pivotArea dataOnly="0" labelOnly="1" fieldPosition="0">
        <references count="1">
          <reference field="4294967294" count="1">
            <x v="6"/>
          </reference>
        </references>
      </pivotArea>
    </format>
    <format dxfId="912">
      <pivotArea collapsedLevelsAreSubtotals="1" fieldPosition="0">
        <references count="1">
          <reference field="4294967294" count="1" selected="0">
            <x v="5"/>
          </reference>
        </references>
      </pivotArea>
    </format>
    <format dxfId="913">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数据透视表31" cacheId="33"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B1:C42" firstHeaderRow="1" firstDataRow="1" firstDataCol="1"/>
  <pivotFields count="14">
    <pivotField compact="0" showAll="0">
      <items count="41">
        <item x="14"/>
        <item x="0"/>
        <item x="39"/>
        <item x="3"/>
        <item x="7"/>
        <item x="10"/>
        <item x="16"/>
        <item x="4"/>
        <item x="2"/>
        <item x="1"/>
        <item x="11"/>
        <item x="12"/>
        <item x="17"/>
        <item x="23"/>
        <item x="18"/>
        <item x="32"/>
        <item x="19"/>
        <item x="9"/>
        <item x="6"/>
        <item x="13"/>
        <item x="37"/>
        <item x="20"/>
        <item x="5"/>
        <item x="8"/>
        <item x="25"/>
        <item x="22"/>
        <item x="33"/>
        <item x="26"/>
        <item x="21"/>
        <item x="29"/>
        <item x="30"/>
        <item x="34"/>
        <item x="36"/>
        <item x="15"/>
        <item x="24"/>
        <item x="27"/>
        <item x="28"/>
        <item x="31"/>
        <item x="35"/>
        <item x="38"/>
        <item t="default"/>
      </items>
    </pivotField>
    <pivotField compact="0" showAll="0">
      <items count="40">
        <item x="14"/>
        <item x="38"/>
        <item x="16"/>
        <item x="4"/>
        <item x="11"/>
        <item x="10"/>
        <item x="3"/>
        <item x="7"/>
        <item x="19"/>
        <item x="18"/>
        <item x="13"/>
        <item x="9"/>
        <item x="0"/>
        <item x="1"/>
        <item x="2"/>
        <item x="12"/>
        <item x="17"/>
        <item x="5"/>
        <item x="6"/>
        <item x="32"/>
        <item x="8"/>
        <item x="23"/>
        <item x="25"/>
        <item x="22"/>
        <item x="33"/>
        <item x="20"/>
        <item x="26"/>
        <item x="21"/>
        <item x="29"/>
        <item x="30"/>
        <item x="34"/>
        <item x="36"/>
        <item x="15"/>
        <item x="24"/>
        <item x="27"/>
        <item x="28"/>
        <item x="31"/>
        <item x="35"/>
        <item x="37"/>
        <item t="default"/>
      </items>
    </pivotField>
    <pivotField axis="axisRow" compact="0" showAll="0">
      <items count="41">
        <item x="14"/>
        <item x="0"/>
        <item x="39"/>
        <item x="3"/>
        <item x="7"/>
        <item x="10"/>
        <item x="16"/>
        <item x="4"/>
        <item x="2"/>
        <item x="1"/>
        <item x="11"/>
        <item x="12"/>
        <item x="17"/>
        <item x="23"/>
        <item x="18"/>
        <item x="32"/>
        <item x="19"/>
        <item x="9"/>
        <item x="6"/>
        <item x="13"/>
        <item x="37"/>
        <item x="20"/>
        <item x="5"/>
        <item x="8"/>
        <item x="25"/>
        <item x="22"/>
        <item x="33"/>
        <item x="26"/>
        <item x="21"/>
        <item x="29"/>
        <item x="30"/>
        <item x="34"/>
        <item x="36"/>
        <item x="15"/>
        <item x="24"/>
        <item x="27"/>
        <item x="28"/>
        <item x="31"/>
        <item x="35"/>
        <item x="38"/>
        <item t="default"/>
      </items>
    </pivotField>
    <pivotField compact="0" showAll="0">
      <items count="39">
        <item x="37"/>
        <item x="25"/>
        <item x="18"/>
        <item x="20"/>
        <item x="35"/>
        <item x="27"/>
        <item x="0"/>
        <item x="1"/>
        <item x="2"/>
        <item x="3"/>
        <item x="4"/>
        <item x="5"/>
        <item x="6"/>
        <item x="7"/>
        <item x="8"/>
        <item x="9"/>
        <item x="10"/>
        <item x="11"/>
        <item x="12"/>
        <item x="13"/>
        <item x="14"/>
        <item x="15"/>
        <item x="16"/>
        <item x="17"/>
        <item x="19"/>
        <item x="21"/>
        <item x="22"/>
        <item x="23"/>
        <item x="24"/>
        <item x="26"/>
        <item x="28"/>
        <item x="29"/>
        <item x="30"/>
        <item x="31"/>
        <item x="32"/>
        <item x="33"/>
        <item x="34"/>
        <item x="36"/>
        <item t="default"/>
      </items>
    </pivotField>
    <pivotField compact="0" showAll="0">
      <items count="13">
        <item x="9"/>
        <item x="5"/>
        <item x="11"/>
        <item x="4"/>
        <item x="1"/>
        <item x="10"/>
        <item x="6"/>
        <item x="0"/>
        <item x="2"/>
        <item x="3"/>
        <item x="7"/>
        <item x="8"/>
        <item t="default"/>
      </items>
    </pivotField>
    <pivotField compact="0" showAll="0">
      <items count="39">
        <item x="37"/>
        <item x="21"/>
        <item x="0"/>
        <item x="1"/>
        <item x="2"/>
        <item x="3"/>
        <item x="4"/>
        <item x="5"/>
        <item x="6"/>
        <item x="7"/>
        <item x="8"/>
        <item x="9"/>
        <item x="10"/>
        <item x="11"/>
        <item x="12"/>
        <item x="13"/>
        <item x="14"/>
        <item x="15"/>
        <item x="16"/>
        <item x="17"/>
        <item x="18"/>
        <item x="19"/>
        <item x="20"/>
        <item x="22"/>
        <item x="23"/>
        <item x="24"/>
        <item x="25"/>
        <item x="26"/>
        <item x="27"/>
        <item x="28"/>
        <item x="29"/>
        <item x="30"/>
        <item x="31"/>
        <item x="32"/>
        <item x="33"/>
        <item x="34"/>
        <item x="35"/>
        <item x="36"/>
        <item t="default"/>
      </items>
    </pivotField>
    <pivotField compact="0" showAll="0">
      <items count="13">
        <item x="9"/>
        <item x="11"/>
        <item x="0"/>
        <item x="1"/>
        <item x="2"/>
        <item x="3"/>
        <item x="4"/>
        <item x="5"/>
        <item x="6"/>
        <item x="7"/>
        <item x="8"/>
        <item x="10"/>
        <item t="default"/>
      </items>
    </pivotField>
    <pivotField compact="0" showAll="0">
      <items count="40">
        <item x="38"/>
        <item x="30"/>
        <item x="12"/>
        <item x="31"/>
        <item x="0"/>
        <item x="1"/>
        <item x="2"/>
        <item x="3"/>
        <item x="4"/>
        <item x="5"/>
        <item x="6"/>
        <item x="7"/>
        <item x="8"/>
        <item x="9"/>
        <item x="10"/>
        <item x="11"/>
        <item x="13"/>
        <item x="14"/>
        <item x="15"/>
        <item x="16"/>
        <item x="17"/>
        <item x="18"/>
        <item x="19"/>
        <item x="20"/>
        <item x="21"/>
        <item x="22"/>
        <item x="23"/>
        <item x="24"/>
        <item x="25"/>
        <item x="26"/>
        <item x="27"/>
        <item x="28"/>
        <item x="29"/>
        <item x="32"/>
        <item x="33"/>
        <item x="34"/>
        <item x="35"/>
        <item x="36"/>
        <item x="37"/>
        <item t="default"/>
      </items>
    </pivotField>
    <pivotField compact="0" showAll="0">
      <items count="15">
        <item x="9"/>
        <item x="5"/>
        <item x="13"/>
        <item x="1"/>
        <item x="4"/>
        <item x="11"/>
        <item x="10"/>
        <item x="6"/>
        <item x="7"/>
        <item x="0"/>
        <item x="2"/>
        <item x="3"/>
        <item x="8"/>
        <item x="12"/>
        <item t="default"/>
      </items>
    </pivotField>
    <pivotField compact="0" showAll="0">
      <items count="40">
        <item x="38"/>
        <item x="31"/>
        <item x="23"/>
        <item x="22"/>
        <item x="29"/>
        <item x="0"/>
        <item x="1"/>
        <item x="2"/>
        <item x="3"/>
        <item x="4"/>
        <item x="5"/>
        <item x="6"/>
        <item x="7"/>
        <item x="8"/>
        <item x="9"/>
        <item x="10"/>
        <item x="11"/>
        <item x="12"/>
        <item x="13"/>
        <item x="14"/>
        <item x="15"/>
        <item x="16"/>
        <item x="17"/>
        <item x="18"/>
        <item x="19"/>
        <item x="20"/>
        <item x="21"/>
        <item x="24"/>
        <item x="25"/>
        <item x="26"/>
        <item x="27"/>
        <item x="28"/>
        <item x="30"/>
        <item x="32"/>
        <item x="33"/>
        <item x="34"/>
        <item x="35"/>
        <item x="36"/>
        <item x="37"/>
        <item t="default"/>
      </items>
    </pivotField>
    <pivotField compact="0" showAll="0">
      <items count="15">
        <item x="9"/>
        <item x="13"/>
        <item x="0"/>
        <item x="1"/>
        <item x="2"/>
        <item x="3"/>
        <item x="4"/>
        <item x="5"/>
        <item x="6"/>
        <item x="7"/>
        <item x="8"/>
        <item x="10"/>
        <item x="11"/>
        <item x="12"/>
        <item t="default"/>
      </items>
    </pivotField>
    <pivotField compact="0" showAll="0">
      <items count="25">
        <item x="6"/>
        <item x="23"/>
        <item x="15"/>
        <item x="9"/>
        <item x="0"/>
        <item x="1"/>
        <item x="2"/>
        <item x="3"/>
        <item x="4"/>
        <item x="5"/>
        <item x="7"/>
        <item x="8"/>
        <item x="10"/>
        <item x="11"/>
        <item x="12"/>
        <item x="13"/>
        <item x="14"/>
        <item x="16"/>
        <item x="17"/>
        <item x="18"/>
        <item x="19"/>
        <item x="20"/>
        <item x="21"/>
        <item x="22"/>
        <item t="default"/>
      </items>
    </pivotField>
    <pivotField compact="0" showAll="0">
      <items count="4">
        <item x="1"/>
        <item x="0"/>
        <item x="2"/>
        <item t="default"/>
      </items>
    </pivotField>
    <pivotField dataField="1" compact="0" showAll="0">
      <items count="20">
        <item x="17"/>
        <item x="18"/>
        <item x="16"/>
        <item x="15"/>
        <item x="14"/>
        <item x="13"/>
        <item x="11"/>
        <item x="7"/>
        <item x="12"/>
        <item x="0"/>
        <item x="1"/>
        <item x="2"/>
        <item x="3"/>
        <item x="4"/>
        <item x="5"/>
        <item x="6"/>
        <item x="8"/>
        <item x="9"/>
        <item x="10"/>
        <item t="default"/>
      </items>
    </pivotField>
  </pivotFields>
  <rowFields count="1">
    <field x="2"/>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数据透视表34" cacheId="36"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K1:R46" firstHeaderRow="0" firstDataRow="1" firstDataCol="1"/>
  <pivotFields count="19">
    <pivotField axis="axisRow" compact="0" showAll="0">
      <items count="45">
        <item x="0"/>
        <item x="1"/>
        <item x="2"/>
        <item x="3"/>
        <item x="4"/>
        <item x="5"/>
        <item x="10"/>
        <item x="9"/>
        <item x="43"/>
        <item x="11"/>
        <item x="7"/>
        <item x="13"/>
        <item x="6"/>
        <item x="17"/>
        <item x="18"/>
        <item x="19"/>
        <item x="15"/>
        <item x="16"/>
        <item x="14"/>
        <item x="20"/>
        <item x="25"/>
        <item x="21"/>
        <item x="12"/>
        <item x="38"/>
        <item x="39"/>
        <item x="40"/>
        <item x="41"/>
        <item x="42"/>
        <item x="22"/>
        <item x="23"/>
        <item x="26"/>
        <item x="28"/>
        <item x="29"/>
        <item x="8"/>
        <item x="27"/>
        <item x="30"/>
        <item x="31"/>
        <item x="32"/>
        <item x="33"/>
        <item x="24"/>
        <item x="34"/>
        <item x="35"/>
        <item x="36"/>
        <item x="37"/>
        <item t="default"/>
      </items>
    </pivotField>
    <pivotField compact="0" showAll="0">
      <items count="45">
        <item x="0"/>
        <item x="1"/>
        <item x="2"/>
        <item x="3"/>
        <item x="4"/>
        <item x="5"/>
        <item x="10"/>
        <item x="9"/>
        <item x="43"/>
        <item x="11"/>
        <item x="7"/>
        <item x="13"/>
        <item x="6"/>
        <item x="17"/>
        <item x="18"/>
        <item x="19"/>
        <item x="15"/>
        <item x="16"/>
        <item x="14"/>
        <item x="20"/>
        <item x="25"/>
        <item x="21"/>
        <item x="12"/>
        <item x="38"/>
        <item x="39"/>
        <item x="40"/>
        <item x="41"/>
        <item x="42"/>
        <item x="22"/>
        <item x="23"/>
        <item x="26"/>
        <item x="28"/>
        <item x="29"/>
        <item x="8"/>
        <item x="27"/>
        <item x="30"/>
        <item x="31"/>
        <item x="32"/>
        <item x="33"/>
        <item x="24"/>
        <item x="34"/>
        <item x="35"/>
        <item x="36"/>
        <item x="37"/>
        <item t="default"/>
      </items>
    </pivotField>
    <pivotField dataField="1" compact="0" showAll="0">
      <items count="91">
        <item x="89"/>
        <item x="52"/>
        <item x="47"/>
        <item x="86"/>
        <item x="20"/>
        <item x="78"/>
        <item x="0"/>
        <item x="1"/>
        <item x="2"/>
        <item x="3"/>
        <item x="4"/>
        <item x="5"/>
        <item x="6"/>
        <item x="7"/>
        <item x="8"/>
        <item x="9"/>
        <item x="10"/>
        <item x="11"/>
        <item x="12"/>
        <item x="13"/>
        <item x="14"/>
        <item x="15"/>
        <item x="16"/>
        <item x="17"/>
        <item x="18"/>
        <item x="19"/>
        <item x="21"/>
        <item x="22"/>
        <item x="23"/>
        <item x="24"/>
        <item x="25"/>
        <item x="26"/>
        <item x="27"/>
        <item x="28"/>
        <item x="29"/>
        <item x="30"/>
        <item x="31"/>
        <item x="32"/>
        <item x="33"/>
        <item x="34"/>
        <item x="35"/>
        <item x="36"/>
        <item x="37"/>
        <item x="38"/>
        <item x="39"/>
        <item x="40"/>
        <item x="41"/>
        <item x="42"/>
        <item x="43"/>
        <item x="44"/>
        <item x="45"/>
        <item x="46"/>
        <item x="48"/>
        <item x="49"/>
        <item x="50"/>
        <item x="51"/>
        <item x="53"/>
        <item x="54"/>
        <item x="55"/>
        <item x="56"/>
        <item x="57"/>
        <item x="58"/>
        <item x="59"/>
        <item x="60"/>
        <item x="61"/>
        <item x="62"/>
        <item x="63"/>
        <item x="64"/>
        <item x="65"/>
        <item x="66"/>
        <item x="67"/>
        <item x="68"/>
        <item x="69"/>
        <item x="70"/>
        <item x="71"/>
        <item x="72"/>
        <item x="73"/>
        <item x="74"/>
        <item x="75"/>
        <item x="76"/>
        <item x="77"/>
        <item x="79"/>
        <item x="80"/>
        <item x="81"/>
        <item x="82"/>
        <item x="83"/>
        <item x="84"/>
        <item x="85"/>
        <item x="87"/>
        <item x="88"/>
        <item t="default"/>
      </items>
    </pivotField>
    <pivotField dataField="1" compact="0" showAll="0">
      <items count="38">
        <item x="10"/>
        <item x="13"/>
        <item x="2"/>
        <item x="36"/>
        <item x="5"/>
        <item x="21"/>
        <item x="19"/>
        <item x="0"/>
        <item x="22"/>
        <item x="30"/>
        <item x="27"/>
        <item x="9"/>
        <item x="1"/>
        <item x="20"/>
        <item x="11"/>
        <item x="3"/>
        <item x="16"/>
        <item x="18"/>
        <item x="4"/>
        <item x="6"/>
        <item x="7"/>
        <item x="8"/>
        <item x="12"/>
        <item x="14"/>
        <item x="15"/>
        <item x="17"/>
        <item x="23"/>
        <item x="24"/>
        <item x="25"/>
        <item x="26"/>
        <item x="28"/>
        <item x="29"/>
        <item x="31"/>
        <item x="32"/>
        <item x="33"/>
        <item x="34"/>
        <item x="35"/>
        <item t="default"/>
      </items>
    </pivotField>
    <pivotField compact="0" showAll="0">
      <items count="72">
        <item x="11"/>
        <item x="70"/>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compact="0" showAll="0">
      <items count="67">
        <item x="11"/>
        <item x="14"/>
        <item x="47"/>
        <item x="37"/>
        <item x="18"/>
        <item x="29"/>
        <item x="42"/>
        <item x="21"/>
        <item x="56"/>
        <item x="0"/>
        <item x="1"/>
        <item x="2"/>
        <item x="3"/>
        <item x="4"/>
        <item x="5"/>
        <item x="6"/>
        <item x="7"/>
        <item x="8"/>
        <item x="9"/>
        <item x="10"/>
        <item x="12"/>
        <item x="13"/>
        <item x="15"/>
        <item x="16"/>
        <item x="17"/>
        <item x="19"/>
        <item x="20"/>
        <item x="22"/>
        <item x="23"/>
        <item x="24"/>
        <item x="25"/>
        <item x="26"/>
        <item x="27"/>
        <item x="28"/>
        <item x="30"/>
        <item x="31"/>
        <item x="32"/>
        <item x="33"/>
        <item x="34"/>
        <item x="35"/>
        <item x="36"/>
        <item x="38"/>
        <item x="39"/>
        <item x="40"/>
        <item x="41"/>
        <item x="43"/>
        <item x="44"/>
        <item x="45"/>
        <item x="46"/>
        <item x="48"/>
        <item x="49"/>
        <item x="50"/>
        <item x="51"/>
        <item x="52"/>
        <item x="53"/>
        <item x="54"/>
        <item x="55"/>
        <item x="57"/>
        <item x="58"/>
        <item x="59"/>
        <item x="60"/>
        <item x="61"/>
        <item x="62"/>
        <item x="63"/>
        <item x="64"/>
        <item x="65"/>
        <item t="default"/>
      </items>
    </pivotField>
    <pivotField dataField="1" compact="0" showAll="0">
      <items count="68">
        <item x="10"/>
        <item x="66"/>
        <item x="54"/>
        <item x="17"/>
        <item x="13"/>
        <item x="49"/>
        <item x="5"/>
        <item x="52"/>
        <item x="6"/>
        <item x="40"/>
        <item x="21"/>
        <item x="45"/>
        <item x="0"/>
        <item x="1"/>
        <item x="2"/>
        <item x="3"/>
        <item x="4"/>
        <item x="7"/>
        <item x="8"/>
        <item x="9"/>
        <item x="11"/>
        <item x="12"/>
        <item x="14"/>
        <item x="15"/>
        <item x="16"/>
        <item x="18"/>
        <item x="19"/>
        <item x="20"/>
        <item x="22"/>
        <item x="23"/>
        <item x="24"/>
        <item x="25"/>
        <item x="26"/>
        <item x="27"/>
        <item x="28"/>
        <item x="29"/>
        <item x="30"/>
        <item x="31"/>
        <item x="32"/>
        <item x="33"/>
        <item x="34"/>
        <item x="35"/>
        <item x="36"/>
        <item x="37"/>
        <item x="38"/>
        <item x="39"/>
        <item x="41"/>
        <item x="42"/>
        <item x="43"/>
        <item x="44"/>
        <item x="46"/>
        <item x="47"/>
        <item x="48"/>
        <item x="50"/>
        <item x="51"/>
        <item x="53"/>
        <item x="55"/>
        <item x="56"/>
        <item x="57"/>
        <item x="58"/>
        <item x="59"/>
        <item x="60"/>
        <item x="61"/>
        <item x="62"/>
        <item x="63"/>
        <item x="64"/>
        <item x="65"/>
        <item t="default"/>
      </items>
    </pivotField>
    <pivotField dataField="1" compact="0" showAll="0">
      <items count="29">
        <item x="0"/>
        <item x="27"/>
        <item x="1"/>
        <item x="10"/>
        <item x="21"/>
        <item x="4"/>
        <item x="12"/>
        <item x="6"/>
        <item x="8"/>
        <item x="13"/>
        <item x="18"/>
        <item x="2"/>
        <item x="3"/>
        <item x="5"/>
        <item x="7"/>
        <item x="9"/>
        <item x="11"/>
        <item x="14"/>
        <item x="15"/>
        <item x="16"/>
        <item x="17"/>
        <item x="19"/>
        <item x="20"/>
        <item x="22"/>
        <item x="23"/>
        <item x="24"/>
        <item x="25"/>
        <item x="26"/>
        <item t="default"/>
      </items>
    </pivotField>
    <pivotField compact="0"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compact="0" showAll="0">
      <items count="38">
        <item x="0"/>
        <item x="7"/>
        <item x="1"/>
        <item x="2"/>
        <item x="3"/>
        <item x="4"/>
        <item x="5"/>
        <item x="6"/>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dataField="1" compact="0" showAll="0">
      <items count="12">
        <item x="0"/>
        <item x="1"/>
        <item x="6"/>
        <item x="10"/>
        <item x="5"/>
        <item x="9"/>
        <item x="2"/>
        <item x="3"/>
        <item x="4"/>
        <item x="7"/>
        <item x="8"/>
        <item t="default"/>
      </items>
    </pivotField>
    <pivotField compact="0" showAll="0">
      <items count="12">
        <item x="0"/>
        <item x="1"/>
        <item x="7"/>
        <item x="10"/>
        <item x="6"/>
        <item x="4"/>
        <item x="2"/>
        <item x="3"/>
        <item x="5"/>
        <item x="8"/>
        <item x="9"/>
        <item t="default"/>
      </items>
    </pivotField>
    <pivotField compact="0" showAll="0">
      <items count="33">
        <item x="0"/>
        <item x="7"/>
        <item x="12"/>
        <item x="8"/>
        <item x="17"/>
        <item x="18"/>
        <item x="26"/>
        <item x="24"/>
        <item x="1"/>
        <item x="2"/>
        <item x="3"/>
        <item x="4"/>
        <item x="5"/>
        <item x="6"/>
        <item x="9"/>
        <item x="10"/>
        <item x="11"/>
        <item x="13"/>
        <item x="14"/>
        <item x="15"/>
        <item x="16"/>
        <item x="19"/>
        <item x="20"/>
        <item x="21"/>
        <item x="22"/>
        <item x="23"/>
        <item x="25"/>
        <item x="27"/>
        <item x="28"/>
        <item x="29"/>
        <item x="30"/>
        <item x="31"/>
        <item t="default"/>
      </items>
    </pivotField>
    <pivotField compact="0" showAll="0">
      <items count="11">
        <item x="0"/>
        <item x="1"/>
        <item x="7"/>
        <item x="9"/>
        <item x="6"/>
        <item x="2"/>
        <item x="4"/>
        <item x="3"/>
        <item x="5"/>
        <item x="8"/>
        <item t="default"/>
      </items>
    </pivotField>
    <pivotField compact="0" showAll="0">
      <items count="6">
        <item x="0"/>
        <item x="4"/>
        <item x="1"/>
        <item x="2"/>
        <item x="3"/>
        <item t="default"/>
      </items>
    </pivotField>
    <pivotField compact="0" showAll="0">
      <items count="28">
        <item x="0"/>
        <item x="26"/>
        <item x="1"/>
        <item x="20"/>
        <item x="4"/>
        <item x="12"/>
        <item x="6"/>
        <item x="8"/>
        <item x="13"/>
        <item x="17"/>
        <item x="2"/>
        <item x="3"/>
        <item x="5"/>
        <item x="7"/>
        <item x="9"/>
        <item x="10"/>
        <item x="11"/>
        <item x="14"/>
        <item x="15"/>
        <item x="16"/>
        <item x="18"/>
        <item x="19"/>
        <item x="21"/>
        <item x="22"/>
        <item x="23"/>
        <item x="24"/>
        <item x="25"/>
        <item t="default"/>
      </items>
    </pivotField>
    <pivotField compact="0" showAll="0">
      <items count="9">
        <item x="0"/>
        <item x="7"/>
        <item x="2"/>
        <item x="1"/>
        <item x="5"/>
        <item x="3"/>
        <item x="4"/>
        <item x="6"/>
        <item t="default"/>
      </items>
    </pivotField>
    <pivotField dataField="1" dragToCol="0" dragToPage="0" dragToRow="0" compact="0" showAll="0"/>
    <pivotField dataField="1" dragToCol="0" dragToPage="0" dragToRow="0" compact="0" showAll="0"/>
  </pivotFields>
  <rowFields count="1">
    <field x="0"/>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914">
      <pivotArea dataOnly="0" labelOnly="1" fieldPosition="0">
        <references count="1">
          <reference field="4294967294" count="1">
            <x v="5"/>
          </reference>
        </references>
      </pivotArea>
    </format>
    <format dxfId="915">
      <pivotArea dataOnly="0" labelOnly="1" fieldPosition="0">
        <references count="1">
          <reference field="4294967294" count="1">
            <x v="6"/>
          </reference>
        </references>
      </pivotArea>
    </format>
    <format dxfId="916">
      <pivotArea collapsedLevelsAreSubtotals="1" fieldPosition="0">
        <references count="1">
          <reference field="4294967294" count="1" selected="0">
            <x v="5"/>
          </reference>
        </references>
      </pivotArea>
    </format>
    <format dxfId="917">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数据透视表32" cacheId="34"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E1:F49" firstHeaderRow="1" firstDataRow="1" firstDataCol="1"/>
  <pivotFields count="14">
    <pivotField compact="0" showAll="0">
      <items count="48">
        <item x="18"/>
        <item x="13"/>
        <item x="15"/>
        <item x="14"/>
        <item x="0"/>
        <item x="46"/>
        <item x="1"/>
        <item x="6"/>
        <item x="10"/>
        <item x="2"/>
        <item x="4"/>
        <item x="3"/>
        <item x="17"/>
        <item x="8"/>
        <item x="11"/>
        <item x="20"/>
        <item x="23"/>
        <item x="33"/>
        <item x="22"/>
        <item x="19"/>
        <item x="45"/>
        <item x="42"/>
        <item x="16"/>
        <item x="24"/>
        <item x="26"/>
        <item x="9"/>
        <item x="7"/>
        <item x="21"/>
        <item x="12"/>
        <item x="41"/>
        <item x="37"/>
        <item x="27"/>
        <item x="25"/>
        <item x="5"/>
        <item x="32"/>
        <item x="29"/>
        <item x="31"/>
        <item x="28"/>
        <item x="30"/>
        <item x="39"/>
        <item x="34"/>
        <item x="35"/>
        <item x="43"/>
        <item x="44"/>
        <item x="36"/>
        <item x="38"/>
        <item x="40"/>
        <item t="default"/>
      </items>
    </pivotField>
    <pivotField compact="0" showAll="0">
      <items count="47">
        <item x="18"/>
        <item x="14"/>
        <item x="15"/>
        <item x="45"/>
        <item x="2"/>
        <item x="11"/>
        <item x="20"/>
        <item x="23"/>
        <item x="19"/>
        <item x="10"/>
        <item x="1"/>
        <item x="6"/>
        <item x="16"/>
        <item x="26"/>
        <item x="9"/>
        <item x="21"/>
        <item x="12"/>
        <item x="41"/>
        <item x="37"/>
        <item x="27"/>
        <item x="0"/>
        <item x="3"/>
        <item x="4"/>
        <item x="8"/>
        <item x="17"/>
        <item x="7"/>
        <item x="22"/>
        <item x="5"/>
        <item x="24"/>
        <item x="13"/>
        <item x="33"/>
        <item x="25"/>
        <item x="32"/>
        <item x="29"/>
        <item x="44"/>
        <item x="31"/>
        <item x="28"/>
        <item x="30"/>
        <item x="39"/>
        <item x="34"/>
        <item x="35"/>
        <item x="42"/>
        <item x="43"/>
        <item x="36"/>
        <item x="38"/>
        <item x="40"/>
        <item t="default"/>
      </items>
    </pivotField>
    <pivotField axis="axisRow" compact="0" showAll="0">
      <items count="48">
        <item x="18"/>
        <item x="13"/>
        <item x="15"/>
        <item x="14"/>
        <item x="0"/>
        <item x="46"/>
        <item x="1"/>
        <item x="6"/>
        <item x="10"/>
        <item x="2"/>
        <item x="4"/>
        <item x="3"/>
        <item x="17"/>
        <item x="8"/>
        <item x="11"/>
        <item x="20"/>
        <item x="23"/>
        <item x="33"/>
        <item x="22"/>
        <item x="19"/>
        <item x="45"/>
        <item x="42"/>
        <item x="16"/>
        <item x="24"/>
        <item x="26"/>
        <item x="9"/>
        <item x="7"/>
        <item x="21"/>
        <item x="12"/>
        <item x="41"/>
        <item x="37"/>
        <item x="27"/>
        <item x="25"/>
        <item x="5"/>
        <item x="32"/>
        <item x="29"/>
        <item x="31"/>
        <item x="28"/>
        <item x="30"/>
        <item x="39"/>
        <item x="34"/>
        <item x="35"/>
        <item x="43"/>
        <item x="44"/>
        <item x="36"/>
        <item x="38"/>
        <item x="40"/>
        <item t="default"/>
      </items>
    </pivotField>
    <pivotField compact="0" showAll="0">
      <items count="47">
        <item x="45"/>
        <item x="27"/>
        <item x="21"/>
        <item x="44"/>
        <item x="28"/>
        <item x="43"/>
        <item x="0"/>
        <item x="1"/>
        <item x="2"/>
        <item x="3"/>
        <item x="4"/>
        <item x="5"/>
        <item x="6"/>
        <item x="7"/>
        <item x="8"/>
        <item x="9"/>
        <item x="10"/>
        <item x="11"/>
        <item x="12"/>
        <item x="13"/>
        <item x="14"/>
        <item x="15"/>
        <item x="16"/>
        <item x="17"/>
        <item x="18"/>
        <item x="19"/>
        <item x="20"/>
        <item x="22"/>
        <item x="23"/>
        <item x="24"/>
        <item x="25"/>
        <item x="26"/>
        <item x="29"/>
        <item x="30"/>
        <item x="31"/>
        <item x="32"/>
        <item x="33"/>
        <item x="34"/>
        <item x="35"/>
        <item x="36"/>
        <item x="37"/>
        <item x="38"/>
        <item x="39"/>
        <item x="40"/>
        <item x="41"/>
        <item x="42"/>
        <item t="default"/>
      </items>
    </pivotField>
    <pivotField compact="0" showAll="0">
      <items count="15">
        <item x="10"/>
        <item x="9"/>
        <item x="11"/>
        <item x="13"/>
        <item x="5"/>
        <item x="6"/>
        <item x="2"/>
        <item x="3"/>
        <item x="7"/>
        <item x="0"/>
        <item x="1"/>
        <item x="4"/>
        <item x="8"/>
        <item x="12"/>
        <item t="default"/>
      </items>
    </pivotField>
    <pivotField compact="0" showAll="0">
      <items count="48">
        <item x="46"/>
        <item x="19"/>
        <item x="28"/>
        <item x="40"/>
        <item x="0"/>
        <item x="1"/>
        <item x="2"/>
        <item x="3"/>
        <item x="4"/>
        <item x="5"/>
        <item x="6"/>
        <item x="7"/>
        <item x="8"/>
        <item x="9"/>
        <item x="10"/>
        <item x="11"/>
        <item x="12"/>
        <item x="13"/>
        <item x="14"/>
        <item x="15"/>
        <item x="16"/>
        <item x="17"/>
        <item x="18"/>
        <item x="20"/>
        <item x="21"/>
        <item x="22"/>
        <item x="23"/>
        <item x="24"/>
        <item x="25"/>
        <item x="26"/>
        <item x="27"/>
        <item x="29"/>
        <item x="30"/>
        <item x="31"/>
        <item x="32"/>
        <item x="33"/>
        <item x="34"/>
        <item x="35"/>
        <item x="36"/>
        <item x="37"/>
        <item x="38"/>
        <item x="39"/>
        <item x="41"/>
        <item x="42"/>
        <item x="43"/>
        <item x="44"/>
        <item x="45"/>
        <item t="default"/>
      </items>
    </pivotField>
    <pivotField compact="0" showAll="0">
      <items count="17">
        <item x="10"/>
        <item x="15"/>
        <item x="0"/>
        <item x="1"/>
        <item x="2"/>
        <item x="3"/>
        <item x="4"/>
        <item x="5"/>
        <item x="6"/>
        <item x="7"/>
        <item x="8"/>
        <item x="9"/>
        <item x="11"/>
        <item x="12"/>
        <item x="13"/>
        <item x="14"/>
        <item t="default"/>
      </items>
    </pivotField>
    <pivotField compact="0" showAll="0">
      <items count="46">
        <item x="44"/>
        <item x="15"/>
        <item x="38"/>
        <item x="36"/>
        <item x="27"/>
        <item x="43"/>
        <item x="33"/>
        <item x="21"/>
        <item x="0"/>
        <item x="1"/>
        <item x="2"/>
        <item x="3"/>
        <item x="4"/>
        <item x="5"/>
        <item x="6"/>
        <item x="7"/>
        <item x="8"/>
        <item x="9"/>
        <item x="10"/>
        <item x="11"/>
        <item x="12"/>
        <item x="13"/>
        <item x="14"/>
        <item x="16"/>
        <item x="17"/>
        <item x="18"/>
        <item x="19"/>
        <item x="20"/>
        <item x="22"/>
        <item x="23"/>
        <item x="24"/>
        <item x="25"/>
        <item x="26"/>
        <item x="28"/>
        <item x="29"/>
        <item x="30"/>
        <item x="31"/>
        <item x="32"/>
        <item x="34"/>
        <item x="35"/>
        <item x="37"/>
        <item x="39"/>
        <item x="40"/>
        <item x="41"/>
        <item x="42"/>
        <item t="default"/>
      </items>
    </pivotField>
    <pivotField compact="0" showAll="0">
      <items count="18">
        <item x="9"/>
        <item x="7"/>
        <item x="16"/>
        <item x="15"/>
        <item x="10"/>
        <item x="4"/>
        <item x="12"/>
        <item x="13"/>
        <item x="1"/>
        <item x="14"/>
        <item x="3"/>
        <item x="0"/>
        <item x="2"/>
        <item x="5"/>
        <item x="6"/>
        <item x="8"/>
        <item x="11"/>
        <item t="default"/>
      </items>
    </pivotField>
    <pivotField compact="0" showAll="0">
      <items count="46">
        <item x="44"/>
        <item x="21"/>
        <item x="41"/>
        <item x="18"/>
        <item x="35"/>
        <item x="0"/>
        <item x="1"/>
        <item x="2"/>
        <item x="3"/>
        <item x="4"/>
        <item x="5"/>
        <item x="6"/>
        <item x="7"/>
        <item x="8"/>
        <item x="9"/>
        <item x="10"/>
        <item x="11"/>
        <item x="12"/>
        <item x="13"/>
        <item x="14"/>
        <item x="15"/>
        <item x="16"/>
        <item x="17"/>
        <item x="19"/>
        <item x="20"/>
        <item x="22"/>
        <item x="23"/>
        <item x="24"/>
        <item x="25"/>
        <item x="26"/>
        <item x="27"/>
        <item x="28"/>
        <item x="29"/>
        <item x="30"/>
        <item x="31"/>
        <item x="32"/>
        <item x="33"/>
        <item x="34"/>
        <item x="36"/>
        <item x="37"/>
        <item x="38"/>
        <item x="39"/>
        <item x="40"/>
        <item x="42"/>
        <item x="43"/>
        <item t="default"/>
      </items>
    </pivotField>
    <pivotField compact="0" showAll="0">
      <items count="21">
        <item x="9"/>
        <item x="19"/>
        <item x="0"/>
        <item x="1"/>
        <item x="2"/>
        <item x="3"/>
        <item x="4"/>
        <item x="5"/>
        <item x="6"/>
        <item x="7"/>
        <item x="8"/>
        <item x="10"/>
        <item x="11"/>
        <item x="12"/>
        <item x="13"/>
        <item x="14"/>
        <item x="15"/>
        <item x="16"/>
        <item x="17"/>
        <item x="18"/>
        <item t="default"/>
      </items>
    </pivotField>
    <pivotField compact="0" showAll="0">
      <items count="38">
        <item x="15"/>
        <item x="36"/>
        <item x="35"/>
        <item x="23"/>
        <item x="19"/>
        <item x="0"/>
        <item x="1"/>
        <item x="2"/>
        <item x="3"/>
        <item x="4"/>
        <item x="5"/>
        <item x="6"/>
        <item x="7"/>
        <item x="8"/>
        <item x="9"/>
        <item x="10"/>
        <item x="11"/>
        <item x="12"/>
        <item x="13"/>
        <item x="14"/>
        <item x="16"/>
        <item x="17"/>
        <item x="18"/>
        <item x="20"/>
        <item x="21"/>
        <item x="22"/>
        <item x="24"/>
        <item x="25"/>
        <item x="26"/>
        <item x="27"/>
        <item x="28"/>
        <item x="29"/>
        <item x="30"/>
        <item x="31"/>
        <item x="32"/>
        <item x="33"/>
        <item x="34"/>
        <item t="default"/>
      </items>
    </pivotField>
    <pivotField compact="0" showAll="0">
      <items count="8">
        <item x="3"/>
        <item x="0"/>
        <item x="6"/>
        <item x="2"/>
        <item x="1"/>
        <item x="4"/>
        <item x="5"/>
        <item t="default"/>
      </items>
    </pivotField>
    <pivotField dataField="1" compact="0" showAll="0">
      <items count="24">
        <item x="22"/>
        <item x="20"/>
        <item x="19"/>
        <item x="17"/>
        <item x="18"/>
        <item x="21"/>
        <item x="16"/>
        <item x="3"/>
        <item x="12"/>
        <item x="14"/>
        <item x="0"/>
        <item x="1"/>
        <item x="2"/>
        <item x="4"/>
        <item x="5"/>
        <item x="6"/>
        <item x="7"/>
        <item x="8"/>
        <item x="9"/>
        <item x="10"/>
        <item x="11"/>
        <item x="13"/>
        <item x="15"/>
        <item t="default"/>
      </items>
    </pivotField>
  </pivotFields>
  <rowFields count="1">
    <field x="2"/>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数据透视表33" cacheId="35"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1:I55" firstHeaderRow="1" firstDataRow="1" firstDataCol="1"/>
  <pivotFields count="14">
    <pivotField compact="0" showAll="0">
      <items count="54">
        <item x="19"/>
        <item x="16"/>
        <item x="0"/>
        <item x="25"/>
        <item x="20"/>
        <item x="15"/>
        <item x="10"/>
        <item x="34"/>
        <item x="4"/>
        <item x="52"/>
        <item x="1"/>
        <item x="6"/>
        <item x="7"/>
        <item x="3"/>
        <item x="18"/>
        <item x="2"/>
        <item x="13"/>
        <item x="9"/>
        <item x="28"/>
        <item x="23"/>
        <item x="11"/>
        <item x="36"/>
        <item x="21"/>
        <item x="43"/>
        <item x="49"/>
        <item x="50"/>
        <item x="47"/>
        <item x="46"/>
        <item x="5"/>
        <item x="17"/>
        <item x="22"/>
        <item x="42"/>
        <item x="27"/>
        <item x="45"/>
        <item x="48"/>
        <item x="12"/>
        <item x="8"/>
        <item x="26"/>
        <item x="14"/>
        <item x="40"/>
        <item x="39"/>
        <item x="37"/>
        <item x="24"/>
        <item x="33"/>
        <item x="31"/>
        <item x="29"/>
        <item x="30"/>
        <item x="35"/>
        <item x="32"/>
        <item x="44"/>
        <item x="38"/>
        <item x="41"/>
        <item x="51"/>
        <item t="default"/>
      </items>
    </pivotField>
    <pivotField compact="0" showAll="0">
      <items count="53">
        <item x="19"/>
        <item x="25"/>
        <item x="20"/>
        <item x="10"/>
        <item x="15"/>
        <item x="51"/>
        <item x="23"/>
        <item x="3"/>
        <item x="11"/>
        <item x="28"/>
        <item x="7"/>
        <item x="42"/>
        <item x="45"/>
        <item x="1"/>
        <item x="6"/>
        <item x="17"/>
        <item x="22"/>
        <item x="12"/>
        <item x="26"/>
        <item x="27"/>
        <item x="14"/>
        <item x="40"/>
        <item x="39"/>
        <item x="0"/>
        <item x="4"/>
        <item x="2"/>
        <item x="9"/>
        <item x="13"/>
        <item x="18"/>
        <item x="8"/>
        <item x="21"/>
        <item x="34"/>
        <item x="16"/>
        <item x="5"/>
        <item x="43"/>
        <item x="36"/>
        <item x="37"/>
        <item x="24"/>
        <item x="33"/>
        <item x="31"/>
        <item x="46"/>
        <item x="48"/>
        <item x="49"/>
        <item x="47"/>
        <item x="29"/>
        <item x="30"/>
        <item x="35"/>
        <item x="32"/>
        <item x="44"/>
        <item x="38"/>
        <item x="41"/>
        <item x="50"/>
        <item t="default"/>
      </items>
    </pivotField>
    <pivotField axis="axisRow" compact="0" showAll="0">
      <items count="54">
        <item x="25"/>
        <item x="19"/>
        <item x="16"/>
        <item x="0"/>
        <item x="20"/>
        <item x="15"/>
        <item x="10"/>
        <item x="34"/>
        <item x="4"/>
        <item x="52"/>
        <item x="1"/>
        <item x="6"/>
        <item x="7"/>
        <item x="3"/>
        <item x="18"/>
        <item x="2"/>
        <item x="13"/>
        <item x="9"/>
        <item x="28"/>
        <item x="23"/>
        <item x="11"/>
        <item x="36"/>
        <item x="21"/>
        <item x="43"/>
        <item x="49"/>
        <item x="50"/>
        <item x="47"/>
        <item x="46"/>
        <item x="5"/>
        <item x="17"/>
        <item x="22"/>
        <item x="42"/>
        <item x="27"/>
        <item x="45"/>
        <item x="48"/>
        <item x="12"/>
        <item x="8"/>
        <item x="26"/>
        <item x="14"/>
        <item x="40"/>
        <item x="39"/>
        <item x="37"/>
        <item x="24"/>
        <item x="33"/>
        <item x="31"/>
        <item x="29"/>
        <item x="30"/>
        <item x="35"/>
        <item x="32"/>
        <item x="44"/>
        <item x="38"/>
        <item x="41"/>
        <item x="51"/>
        <item t="default"/>
      </items>
    </pivotField>
    <pivotField compact="0" showAll="0">
      <items count="52">
        <item x="50"/>
        <item x="49"/>
        <item x="25"/>
        <item x="47"/>
        <item x="32"/>
        <item x="0"/>
        <item x="1"/>
        <item x="2"/>
        <item x="3"/>
        <item x="4"/>
        <item x="5"/>
        <item x="6"/>
        <item x="7"/>
        <item x="8"/>
        <item x="9"/>
        <item x="10"/>
        <item x="11"/>
        <item x="12"/>
        <item x="13"/>
        <item x="14"/>
        <item x="15"/>
        <item x="16"/>
        <item x="17"/>
        <item x="18"/>
        <item x="19"/>
        <item x="20"/>
        <item x="21"/>
        <item x="22"/>
        <item x="23"/>
        <item x="24"/>
        <item x="26"/>
        <item x="27"/>
        <item x="28"/>
        <item x="29"/>
        <item x="30"/>
        <item x="31"/>
        <item x="33"/>
        <item x="34"/>
        <item x="35"/>
        <item x="36"/>
        <item x="37"/>
        <item x="38"/>
        <item x="39"/>
        <item x="40"/>
        <item x="41"/>
        <item x="42"/>
        <item x="43"/>
        <item x="44"/>
        <item x="45"/>
        <item x="46"/>
        <item x="48"/>
        <item t="default"/>
      </items>
    </pivotField>
    <pivotField compact="0" showAll="0">
      <items count="20">
        <item x="17"/>
        <item x="16"/>
        <item x="11"/>
        <item x="18"/>
        <item x="12"/>
        <item x="14"/>
        <item x="15"/>
        <item x="5"/>
        <item x="13"/>
        <item x="4"/>
        <item x="0"/>
        <item x="2"/>
        <item x="6"/>
        <item x="1"/>
        <item x="3"/>
        <item x="7"/>
        <item x="8"/>
        <item x="9"/>
        <item x="10"/>
        <item t="default"/>
      </items>
    </pivotField>
    <pivotField compact="0" showAll="0">
      <items count="51">
        <item x="49"/>
        <item x="42"/>
        <item x="38"/>
        <item x="27"/>
        <item x="34"/>
        <item x="21"/>
        <item x="24"/>
        <item x="26"/>
        <item x="32"/>
        <item x="0"/>
        <item x="1"/>
        <item x="2"/>
        <item x="3"/>
        <item x="4"/>
        <item x="5"/>
        <item x="6"/>
        <item x="7"/>
        <item x="8"/>
        <item x="9"/>
        <item x="10"/>
        <item x="11"/>
        <item x="12"/>
        <item x="13"/>
        <item x="14"/>
        <item x="15"/>
        <item x="16"/>
        <item x="17"/>
        <item x="18"/>
        <item x="19"/>
        <item x="20"/>
        <item x="22"/>
        <item x="23"/>
        <item x="25"/>
        <item x="28"/>
        <item x="29"/>
        <item x="30"/>
        <item x="31"/>
        <item x="33"/>
        <item x="35"/>
        <item x="36"/>
        <item x="37"/>
        <item x="39"/>
        <item x="40"/>
        <item x="41"/>
        <item x="43"/>
        <item x="44"/>
        <item x="45"/>
        <item x="46"/>
        <item x="47"/>
        <item x="48"/>
        <item t="default"/>
      </items>
    </pivotField>
    <pivotField compact="0" showAll="0">
      <items count="23">
        <item x="17"/>
        <item x="21"/>
        <item x="0"/>
        <item x="1"/>
        <item x="2"/>
        <item x="3"/>
        <item x="4"/>
        <item x="5"/>
        <item x="6"/>
        <item x="7"/>
        <item x="8"/>
        <item x="9"/>
        <item x="10"/>
        <item x="11"/>
        <item x="12"/>
        <item x="13"/>
        <item x="14"/>
        <item x="15"/>
        <item x="16"/>
        <item x="18"/>
        <item x="19"/>
        <item x="20"/>
        <item t="default"/>
      </items>
    </pivotField>
    <pivotField compact="0" showAll="0">
      <items count="53">
        <item x="51"/>
        <item x="27"/>
        <item x="48"/>
        <item x="43"/>
        <item x="26"/>
        <item x="0"/>
        <item x="1"/>
        <item x="2"/>
        <item x="3"/>
        <item x="4"/>
        <item x="5"/>
        <item x="6"/>
        <item x="7"/>
        <item x="8"/>
        <item x="9"/>
        <item x="10"/>
        <item x="11"/>
        <item x="12"/>
        <item x="13"/>
        <item x="14"/>
        <item x="15"/>
        <item x="16"/>
        <item x="17"/>
        <item x="18"/>
        <item x="19"/>
        <item x="20"/>
        <item x="21"/>
        <item x="22"/>
        <item x="23"/>
        <item x="24"/>
        <item x="25"/>
        <item x="28"/>
        <item x="29"/>
        <item x="30"/>
        <item x="31"/>
        <item x="32"/>
        <item x="33"/>
        <item x="34"/>
        <item x="35"/>
        <item x="36"/>
        <item x="37"/>
        <item x="38"/>
        <item x="39"/>
        <item x="40"/>
        <item x="41"/>
        <item x="42"/>
        <item x="44"/>
        <item x="45"/>
        <item x="46"/>
        <item x="47"/>
        <item x="49"/>
        <item x="50"/>
        <item t="default"/>
      </items>
    </pivotField>
    <pivotField compact="0" showAll="0">
      <items count="23">
        <item x="20"/>
        <item x="17"/>
        <item x="21"/>
        <item x="11"/>
        <item x="19"/>
        <item x="16"/>
        <item x="13"/>
        <item x="15"/>
        <item x="14"/>
        <item x="12"/>
        <item x="1"/>
        <item x="2"/>
        <item x="5"/>
        <item x="18"/>
        <item x="0"/>
        <item x="3"/>
        <item x="4"/>
        <item x="6"/>
        <item x="7"/>
        <item x="8"/>
        <item x="9"/>
        <item x="10"/>
        <item t="default"/>
      </items>
    </pivotField>
    <pivotField compact="0" showAll="0">
      <items count="49">
        <item x="47"/>
        <item x="40"/>
        <item x="38"/>
        <item x="36"/>
        <item x="24"/>
        <item x="30"/>
        <item x="20"/>
        <item x="29"/>
        <item x="25"/>
        <item x="0"/>
        <item x="1"/>
        <item x="2"/>
        <item x="3"/>
        <item x="4"/>
        <item x="5"/>
        <item x="6"/>
        <item x="7"/>
        <item x="8"/>
        <item x="9"/>
        <item x="10"/>
        <item x="11"/>
        <item x="12"/>
        <item x="13"/>
        <item x="14"/>
        <item x="15"/>
        <item x="16"/>
        <item x="17"/>
        <item x="18"/>
        <item x="19"/>
        <item x="21"/>
        <item x="22"/>
        <item x="23"/>
        <item x="26"/>
        <item x="27"/>
        <item x="28"/>
        <item x="31"/>
        <item x="32"/>
        <item x="33"/>
        <item x="34"/>
        <item x="35"/>
        <item x="37"/>
        <item x="39"/>
        <item x="41"/>
        <item x="42"/>
        <item x="43"/>
        <item x="44"/>
        <item x="45"/>
        <item x="46"/>
        <item t="default"/>
      </items>
    </pivotField>
    <pivotField compact="0" showAll="0">
      <items count="26">
        <item x="20"/>
        <item x="24"/>
        <item x="0"/>
        <item x="1"/>
        <item x="2"/>
        <item x="3"/>
        <item x="4"/>
        <item x="5"/>
        <item x="6"/>
        <item x="7"/>
        <item x="8"/>
        <item x="9"/>
        <item x="10"/>
        <item x="11"/>
        <item x="12"/>
        <item x="13"/>
        <item x="14"/>
        <item x="15"/>
        <item x="16"/>
        <item x="17"/>
        <item x="18"/>
        <item x="19"/>
        <item x="21"/>
        <item x="22"/>
        <item x="23"/>
        <item t="default"/>
      </items>
    </pivotField>
    <pivotField compact="0" showAll="0">
      <items count="47">
        <item x="16"/>
        <item x="45"/>
        <item x="10"/>
        <item x="32"/>
        <item x="1"/>
        <item x="20"/>
        <item x="41"/>
        <item x="44"/>
        <item x="0"/>
        <item x="2"/>
        <item x="3"/>
        <item x="4"/>
        <item x="5"/>
        <item x="6"/>
        <item x="7"/>
        <item x="8"/>
        <item x="9"/>
        <item x="11"/>
        <item x="12"/>
        <item x="13"/>
        <item x="14"/>
        <item x="15"/>
        <item x="17"/>
        <item x="18"/>
        <item x="19"/>
        <item x="21"/>
        <item x="22"/>
        <item x="23"/>
        <item x="24"/>
        <item x="25"/>
        <item x="26"/>
        <item x="27"/>
        <item x="28"/>
        <item x="29"/>
        <item x="30"/>
        <item x="31"/>
        <item x="33"/>
        <item x="34"/>
        <item x="35"/>
        <item x="36"/>
        <item x="37"/>
        <item x="38"/>
        <item x="39"/>
        <item x="40"/>
        <item x="42"/>
        <item x="43"/>
        <item t="default"/>
      </items>
    </pivotField>
    <pivotField compact="0" showAll="0">
      <items count="12">
        <item x="8"/>
        <item x="1"/>
        <item x="10"/>
        <item x="2"/>
        <item x="0"/>
        <item x="3"/>
        <item x="4"/>
        <item x="5"/>
        <item x="6"/>
        <item x="7"/>
        <item x="9"/>
        <item t="default"/>
      </items>
    </pivotField>
    <pivotField dataField="1" compact="0" showAll="0">
      <items count="28">
        <item x="26"/>
        <item x="23"/>
        <item x="24"/>
        <item x="21"/>
        <item x="17"/>
        <item x="22"/>
        <item x="16"/>
        <item x="19"/>
        <item x="18"/>
        <item x="20"/>
        <item x="15"/>
        <item x="11"/>
        <item x="6"/>
        <item x="13"/>
        <item x="0"/>
        <item x="1"/>
        <item x="2"/>
        <item x="3"/>
        <item x="4"/>
        <item x="5"/>
        <item x="7"/>
        <item x="8"/>
        <item x="9"/>
        <item x="10"/>
        <item x="12"/>
        <item x="14"/>
        <item x="25"/>
        <item t="default"/>
      </items>
    </pivotField>
  </pivotFields>
  <rowFields count="1">
    <field x="2"/>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数据透视表35" cacheId="37"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1:AA48" firstHeaderRow="0" firstDataRow="1" firstDataCol="1"/>
  <pivotFields count="19">
    <pivotField axis="axisRow" compact="0" showAll="0">
      <items count="47">
        <item x="0"/>
        <item x="1"/>
        <item x="2"/>
        <item x="3"/>
        <item x="4"/>
        <item x="5"/>
        <item x="10"/>
        <item x="9"/>
        <item x="45"/>
        <item x="11"/>
        <item x="7"/>
        <item x="13"/>
        <item x="6"/>
        <item x="12"/>
        <item x="17"/>
        <item x="18"/>
        <item x="19"/>
        <item x="15"/>
        <item x="16"/>
        <item x="14"/>
        <item x="20"/>
        <item x="26"/>
        <item x="21"/>
        <item x="40"/>
        <item x="41"/>
        <item x="42"/>
        <item x="43"/>
        <item x="44"/>
        <item x="22"/>
        <item x="23"/>
        <item x="27"/>
        <item x="28"/>
        <item x="29"/>
        <item x="30"/>
        <item x="31"/>
        <item x="32"/>
        <item x="8"/>
        <item x="33"/>
        <item x="34"/>
        <item x="35"/>
        <item x="24"/>
        <item x="25"/>
        <item x="36"/>
        <item x="37"/>
        <item x="38"/>
        <item x="39"/>
        <item t="default"/>
      </items>
    </pivotField>
    <pivotField compact="0" showAll="0">
      <items count="47">
        <item x="0"/>
        <item x="1"/>
        <item x="2"/>
        <item x="3"/>
        <item x="4"/>
        <item x="5"/>
        <item x="10"/>
        <item x="9"/>
        <item x="45"/>
        <item x="11"/>
        <item x="7"/>
        <item x="13"/>
        <item x="6"/>
        <item x="12"/>
        <item x="17"/>
        <item x="18"/>
        <item x="19"/>
        <item x="15"/>
        <item x="16"/>
        <item x="14"/>
        <item x="20"/>
        <item x="26"/>
        <item x="21"/>
        <item x="40"/>
        <item x="41"/>
        <item x="42"/>
        <item x="43"/>
        <item x="44"/>
        <item x="22"/>
        <item x="23"/>
        <item x="27"/>
        <item x="28"/>
        <item x="29"/>
        <item x="30"/>
        <item x="31"/>
        <item x="32"/>
        <item x="8"/>
        <item x="33"/>
        <item x="34"/>
        <item x="35"/>
        <item x="24"/>
        <item x="25"/>
        <item x="36"/>
        <item x="37"/>
        <item x="38"/>
        <item x="39"/>
        <item t="default"/>
      </items>
    </pivotField>
    <pivotField dataField="1" compact="0" showAll="0">
      <items count="97">
        <item x="95"/>
        <item x="37"/>
        <item x="20"/>
        <item x="0"/>
        <item x="1"/>
        <item x="2"/>
        <item x="3"/>
        <item x="4"/>
        <item x="5"/>
        <item x="6"/>
        <item x="7"/>
        <item x="8"/>
        <item x="9"/>
        <item x="10"/>
        <item x="11"/>
        <item x="12"/>
        <item x="13"/>
        <item x="14"/>
        <item x="15"/>
        <item x="16"/>
        <item x="17"/>
        <item x="18"/>
        <item x="19"/>
        <item x="21"/>
        <item x="22"/>
        <item x="23"/>
        <item x="24"/>
        <item x="25"/>
        <item x="26"/>
        <item x="27"/>
        <item x="28"/>
        <item x="29"/>
        <item x="30"/>
        <item x="31"/>
        <item x="32"/>
        <item x="33"/>
        <item x="34"/>
        <item x="35"/>
        <item x="36"/>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dataField="1" compact="0" showAll="0">
      <items count="51">
        <item x="11"/>
        <item x="16"/>
        <item x="49"/>
        <item x="17"/>
        <item x="5"/>
        <item x="2"/>
        <item x="28"/>
        <item x="9"/>
        <item x="23"/>
        <item x="13"/>
        <item x="46"/>
        <item x="22"/>
        <item x="19"/>
        <item x="27"/>
        <item x="1"/>
        <item x="43"/>
        <item x="41"/>
        <item x="0"/>
        <item x="31"/>
        <item x="10"/>
        <item x="3"/>
        <item x="4"/>
        <item x="6"/>
        <item x="7"/>
        <item x="8"/>
        <item x="12"/>
        <item x="14"/>
        <item x="15"/>
        <item x="18"/>
        <item x="20"/>
        <item x="21"/>
        <item x="24"/>
        <item x="25"/>
        <item x="26"/>
        <item x="29"/>
        <item x="30"/>
        <item x="32"/>
        <item x="33"/>
        <item x="34"/>
        <item x="35"/>
        <item x="36"/>
        <item x="37"/>
        <item x="38"/>
        <item x="39"/>
        <item x="40"/>
        <item x="42"/>
        <item x="44"/>
        <item x="45"/>
        <item x="47"/>
        <item x="48"/>
        <item t="default"/>
      </items>
    </pivotField>
    <pivotField compact="0" showAll="0">
      <items count="79">
        <item x="11"/>
        <item x="18"/>
        <item x="25"/>
        <item x="0"/>
        <item x="1"/>
        <item x="2"/>
        <item x="3"/>
        <item x="4"/>
        <item x="5"/>
        <item x="6"/>
        <item x="7"/>
        <item x="8"/>
        <item x="9"/>
        <item x="10"/>
        <item x="12"/>
        <item x="13"/>
        <item x="14"/>
        <item x="15"/>
        <item x="16"/>
        <item x="17"/>
        <item x="19"/>
        <item x="20"/>
        <item x="21"/>
        <item x="22"/>
        <item x="23"/>
        <item x="24"/>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compact="0" showAll="0">
      <items count="75">
        <item x="11"/>
        <item x="23"/>
        <item x="73"/>
        <item x="50"/>
        <item x="19"/>
        <item x="20"/>
        <item x="32"/>
        <item x="25"/>
        <item x="44"/>
        <item x="65"/>
        <item x="71"/>
        <item x="0"/>
        <item x="1"/>
        <item x="2"/>
        <item x="3"/>
        <item x="4"/>
        <item x="5"/>
        <item x="6"/>
        <item x="7"/>
        <item x="8"/>
        <item x="9"/>
        <item x="10"/>
        <item x="12"/>
        <item x="13"/>
        <item x="14"/>
        <item x="15"/>
        <item x="16"/>
        <item x="17"/>
        <item x="18"/>
        <item x="21"/>
        <item x="22"/>
        <item x="24"/>
        <item x="26"/>
        <item x="27"/>
        <item x="28"/>
        <item x="29"/>
        <item x="30"/>
        <item x="31"/>
        <item x="33"/>
        <item x="34"/>
        <item x="35"/>
        <item x="36"/>
        <item x="37"/>
        <item x="38"/>
        <item x="39"/>
        <item x="40"/>
        <item x="41"/>
        <item x="42"/>
        <item x="43"/>
        <item x="45"/>
        <item x="46"/>
        <item x="47"/>
        <item x="48"/>
        <item x="49"/>
        <item x="51"/>
        <item x="52"/>
        <item x="53"/>
        <item x="54"/>
        <item x="55"/>
        <item x="56"/>
        <item x="57"/>
        <item x="58"/>
        <item x="59"/>
        <item x="60"/>
        <item x="61"/>
        <item x="62"/>
        <item x="63"/>
        <item x="64"/>
        <item x="66"/>
        <item x="67"/>
        <item x="68"/>
        <item x="69"/>
        <item x="70"/>
        <item x="72"/>
        <item t="default"/>
      </items>
    </pivotField>
    <pivotField dataField="1" compact="0" showAll="0">
      <items count="78">
        <item x="11"/>
        <item x="76"/>
        <item x="23"/>
        <item x="19"/>
        <item x="20"/>
        <item x="33"/>
        <item x="49"/>
        <item x="16"/>
        <item x="48"/>
        <item x="24"/>
        <item x="0"/>
        <item x="1"/>
        <item x="2"/>
        <item x="3"/>
        <item x="4"/>
        <item x="5"/>
        <item x="6"/>
        <item x="7"/>
        <item x="8"/>
        <item x="9"/>
        <item x="10"/>
        <item x="12"/>
        <item x="13"/>
        <item x="14"/>
        <item x="15"/>
        <item x="17"/>
        <item x="18"/>
        <item x="21"/>
        <item x="22"/>
        <item x="25"/>
        <item x="26"/>
        <item x="27"/>
        <item x="28"/>
        <item x="29"/>
        <item x="30"/>
        <item x="31"/>
        <item x="32"/>
        <item x="34"/>
        <item x="35"/>
        <item x="36"/>
        <item x="37"/>
        <item x="38"/>
        <item x="39"/>
        <item x="40"/>
        <item x="41"/>
        <item x="42"/>
        <item x="43"/>
        <item x="44"/>
        <item x="45"/>
        <item x="46"/>
        <item x="47"/>
        <item x="50"/>
        <item x="51"/>
        <item x="52"/>
        <item x="53"/>
        <item x="54"/>
        <item x="55"/>
        <item x="56"/>
        <item x="57"/>
        <item x="58"/>
        <item x="59"/>
        <item x="60"/>
        <item x="61"/>
        <item x="62"/>
        <item x="63"/>
        <item x="64"/>
        <item x="65"/>
        <item x="66"/>
        <item x="67"/>
        <item x="68"/>
        <item x="69"/>
        <item x="70"/>
        <item x="71"/>
        <item x="72"/>
        <item x="73"/>
        <item x="74"/>
        <item x="75"/>
        <item t="default"/>
      </items>
    </pivotField>
    <pivotField dataField="1" compact="0" showAll="0">
      <items count="39">
        <item x="2"/>
        <item x="37"/>
        <item x="0"/>
        <item x="12"/>
        <item x="33"/>
        <item x="15"/>
        <item x="18"/>
        <item x="29"/>
        <item x="8"/>
        <item x="13"/>
        <item x="17"/>
        <item x="19"/>
        <item x="23"/>
        <item x="26"/>
        <item x="1"/>
        <item x="36"/>
        <item x="3"/>
        <item x="4"/>
        <item x="5"/>
        <item x="6"/>
        <item x="7"/>
        <item x="9"/>
        <item x="10"/>
        <item x="11"/>
        <item x="14"/>
        <item x="16"/>
        <item x="20"/>
        <item x="21"/>
        <item x="22"/>
        <item x="24"/>
        <item x="25"/>
        <item x="27"/>
        <item x="28"/>
        <item x="30"/>
        <item x="31"/>
        <item x="32"/>
        <item x="34"/>
        <item x="35"/>
        <item t="default"/>
      </items>
    </pivotField>
    <pivotField compact="0" showAll="0">
      <items count="45">
        <item x="2"/>
        <item x="0"/>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compact="0" showAll="0">
      <items count="46">
        <item x="2"/>
        <item x="8"/>
        <item x="0"/>
        <item x="1"/>
        <item x="3"/>
        <item x="4"/>
        <item x="5"/>
        <item x="6"/>
        <item x="7"/>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dataField="1" compact="0" showAll="0">
      <items count="15">
        <item x="1"/>
        <item x="0"/>
        <item x="5"/>
        <item x="13"/>
        <item x="8"/>
        <item x="4"/>
        <item x="11"/>
        <item x="2"/>
        <item x="3"/>
        <item x="6"/>
        <item x="7"/>
        <item x="9"/>
        <item x="10"/>
        <item x="12"/>
        <item t="default"/>
      </items>
    </pivotField>
    <pivotField compact="0" showAll="0">
      <items count="15">
        <item x="1"/>
        <item x="0"/>
        <item x="6"/>
        <item x="13"/>
        <item x="9"/>
        <item x="2"/>
        <item x="4"/>
        <item x="12"/>
        <item x="3"/>
        <item x="5"/>
        <item x="7"/>
        <item x="8"/>
        <item x="10"/>
        <item x="11"/>
        <item t="default"/>
      </items>
    </pivotField>
    <pivotField compact="0" showAll="0">
      <items count="43">
        <item x="2"/>
        <item x="8"/>
        <item x="14"/>
        <item x="31"/>
        <item x="20"/>
        <item x="23"/>
        <item x="19"/>
        <item x="33"/>
        <item x="16"/>
        <item x="0"/>
        <item x="1"/>
        <item x="3"/>
        <item x="4"/>
        <item x="5"/>
        <item x="6"/>
        <item x="7"/>
        <item x="9"/>
        <item x="10"/>
        <item x="11"/>
        <item x="12"/>
        <item x="13"/>
        <item x="15"/>
        <item x="17"/>
        <item x="18"/>
        <item x="21"/>
        <item x="22"/>
        <item x="24"/>
        <item x="25"/>
        <item x="26"/>
        <item x="27"/>
        <item x="28"/>
        <item x="29"/>
        <item x="30"/>
        <item x="32"/>
        <item x="34"/>
        <item x="35"/>
        <item x="36"/>
        <item x="37"/>
        <item x="38"/>
        <item x="39"/>
        <item x="40"/>
        <item x="41"/>
        <item t="default"/>
      </items>
    </pivotField>
    <pivotField compact="0" showAll="0">
      <items count="15">
        <item x="0"/>
        <item x="1"/>
        <item x="9"/>
        <item x="13"/>
        <item x="8"/>
        <item x="5"/>
        <item x="2"/>
        <item x="4"/>
        <item x="12"/>
        <item x="3"/>
        <item x="6"/>
        <item x="7"/>
        <item x="10"/>
        <item x="11"/>
        <item t="default"/>
      </items>
    </pivotField>
    <pivotField compact="0" showAll="0">
      <items count="6">
        <item x="1"/>
        <item x="0"/>
        <item x="4"/>
        <item x="2"/>
        <item x="3"/>
        <item t="default"/>
      </items>
    </pivotField>
    <pivotField compact="0" showAll="0">
      <items count="34">
        <item x="0"/>
        <item x="32"/>
        <item x="4"/>
        <item x="13"/>
        <item x="21"/>
        <item x="16"/>
        <item x="30"/>
        <item x="15"/>
        <item x="17"/>
        <item x="26"/>
        <item x="7"/>
        <item x="11"/>
        <item x="18"/>
        <item x="23"/>
        <item x="25"/>
        <item x="1"/>
        <item x="31"/>
        <item x="2"/>
        <item x="3"/>
        <item x="5"/>
        <item x="6"/>
        <item x="8"/>
        <item x="9"/>
        <item x="10"/>
        <item x="12"/>
        <item x="14"/>
        <item x="19"/>
        <item x="20"/>
        <item x="22"/>
        <item x="24"/>
        <item x="27"/>
        <item x="28"/>
        <item x="29"/>
        <item t="default"/>
      </items>
    </pivotField>
    <pivotField compact="0" showAll="0">
      <items count="13">
        <item x="1"/>
        <item x="11"/>
        <item x="0"/>
        <item x="5"/>
        <item x="7"/>
        <item x="2"/>
        <item x="3"/>
        <item x="4"/>
        <item x="6"/>
        <item x="8"/>
        <item x="9"/>
        <item x="10"/>
        <item t="default"/>
      </items>
    </pivotField>
    <pivotField dataField="1" dragToCol="0" dragToPage="0" dragToRow="0" compact="0" showAll="0"/>
    <pivotField dataField="1" dragToCol="0" dragToPage="0" dragToRow="0" compact="0" showAl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918">
      <pivotArea dataOnly="0" labelOnly="1" fieldPosition="0">
        <references count="1">
          <reference field="4294967294" count="1">
            <x v="5"/>
          </reference>
        </references>
      </pivotArea>
    </format>
    <format dxfId="919">
      <pivotArea dataOnly="0" labelOnly="1" fieldPosition="0">
        <references count="1">
          <reference field="4294967294" count="1">
            <x v="6"/>
          </reference>
        </references>
      </pivotArea>
    </format>
    <format dxfId="920">
      <pivotArea collapsedLevelsAreSubtotals="1" fieldPosition="0">
        <references count="1">
          <reference field="4294967294" count="1" selected="0">
            <x v="5"/>
          </reference>
        </references>
      </pivotArea>
    </format>
    <format dxfId="921">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数据透视表36" cacheId="38"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AJ51" firstHeaderRow="0" firstDataRow="1" firstDataCol="1"/>
  <pivotFields count="19">
    <pivotField axis="axisRow" compact="0" showAll="0">
      <items count="50">
        <item x="0"/>
        <item x="1"/>
        <item x="2"/>
        <item x="4"/>
        <item x="5"/>
        <item x="6"/>
        <item x="7"/>
        <item x="11"/>
        <item x="10"/>
        <item x="48"/>
        <item x="13"/>
        <item x="12"/>
        <item x="8"/>
        <item x="14"/>
        <item x="15"/>
        <item x="19"/>
        <item x="20"/>
        <item x="21"/>
        <item x="17"/>
        <item x="18"/>
        <item x="16"/>
        <item x="22"/>
        <item x="23"/>
        <item x="24"/>
        <item x="25"/>
        <item x="43"/>
        <item x="44"/>
        <item x="45"/>
        <item x="46"/>
        <item x="47"/>
        <item x="26"/>
        <item x="27"/>
        <item x="30"/>
        <item x="31"/>
        <item x="32"/>
        <item x="33"/>
        <item x="34"/>
        <item x="35"/>
        <item x="9"/>
        <item x="36"/>
        <item x="37"/>
        <item x="38"/>
        <item x="3"/>
        <item x="28"/>
        <item x="29"/>
        <item x="39"/>
        <item x="40"/>
        <item x="41"/>
        <item x="42"/>
        <item t="default"/>
      </items>
    </pivotField>
    <pivotField compact="0" showAll="0">
      <items count="50">
        <item x="0"/>
        <item x="1"/>
        <item x="2"/>
        <item x="4"/>
        <item x="5"/>
        <item x="6"/>
        <item x="7"/>
        <item x="11"/>
        <item x="10"/>
        <item x="48"/>
        <item x="13"/>
        <item x="12"/>
        <item x="8"/>
        <item x="14"/>
        <item x="15"/>
        <item x="19"/>
        <item x="20"/>
        <item x="21"/>
        <item x="17"/>
        <item x="18"/>
        <item x="16"/>
        <item x="22"/>
        <item x="23"/>
        <item x="24"/>
        <item x="25"/>
        <item x="43"/>
        <item x="44"/>
        <item x="45"/>
        <item x="46"/>
        <item x="47"/>
        <item x="26"/>
        <item x="27"/>
        <item x="30"/>
        <item x="31"/>
        <item x="32"/>
        <item x="33"/>
        <item x="34"/>
        <item x="35"/>
        <item x="9"/>
        <item x="36"/>
        <item x="37"/>
        <item x="38"/>
        <item x="3"/>
        <item x="28"/>
        <item x="29"/>
        <item x="39"/>
        <item x="40"/>
        <item x="41"/>
        <item x="42"/>
        <item t="default"/>
      </items>
    </pivotField>
    <pivotField dataField="1" compact="0" showAll="0">
      <items count="102">
        <item x="100"/>
        <item x="6"/>
        <item x="60"/>
        <item x="19"/>
        <item x="34"/>
        <item x="71"/>
        <item x="90"/>
        <item x="51"/>
        <item x="0"/>
        <item x="1"/>
        <item x="2"/>
        <item x="3"/>
        <item x="4"/>
        <item x="5"/>
        <item x="7"/>
        <item x="8"/>
        <item x="9"/>
        <item x="10"/>
        <item x="11"/>
        <item x="12"/>
        <item x="13"/>
        <item x="14"/>
        <item x="15"/>
        <item x="16"/>
        <item x="17"/>
        <item x="18"/>
        <item x="20"/>
        <item x="21"/>
        <item x="22"/>
        <item x="23"/>
        <item x="24"/>
        <item x="25"/>
        <item x="26"/>
        <item x="27"/>
        <item x="28"/>
        <item x="29"/>
        <item x="30"/>
        <item x="31"/>
        <item x="32"/>
        <item x="33"/>
        <item x="35"/>
        <item x="36"/>
        <item x="37"/>
        <item x="38"/>
        <item x="39"/>
        <item x="40"/>
        <item x="41"/>
        <item x="42"/>
        <item x="43"/>
        <item x="44"/>
        <item x="45"/>
        <item x="46"/>
        <item x="47"/>
        <item x="48"/>
        <item x="49"/>
        <item x="50"/>
        <item x="52"/>
        <item x="53"/>
        <item x="54"/>
        <item x="55"/>
        <item x="56"/>
        <item x="57"/>
        <item x="58"/>
        <item x="59"/>
        <item x="61"/>
        <item x="62"/>
        <item x="63"/>
        <item x="64"/>
        <item x="65"/>
        <item x="66"/>
        <item x="67"/>
        <item x="68"/>
        <item x="69"/>
        <item x="70"/>
        <item x="72"/>
        <item x="73"/>
        <item x="74"/>
        <item x="75"/>
        <item x="76"/>
        <item x="77"/>
        <item x="78"/>
        <item x="79"/>
        <item x="80"/>
        <item x="81"/>
        <item x="82"/>
        <item x="83"/>
        <item x="84"/>
        <item x="85"/>
        <item x="86"/>
        <item x="87"/>
        <item x="88"/>
        <item x="89"/>
        <item x="91"/>
        <item x="92"/>
        <item x="93"/>
        <item x="94"/>
        <item x="95"/>
        <item x="96"/>
        <item x="97"/>
        <item x="98"/>
        <item x="99"/>
        <item t="default"/>
      </items>
    </pivotField>
    <pivotField dataField="1" compact="0" showAll="0">
      <items count="61">
        <item x="19"/>
        <item x="6"/>
        <item x="59"/>
        <item x="31"/>
        <item x="12"/>
        <item x="18"/>
        <item x="2"/>
        <item x="36"/>
        <item x="5"/>
        <item x="58"/>
        <item x="15"/>
        <item x="1"/>
        <item x="10"/>
        <item x="30"/>
        <item x="49"/>
        <item x="0"/>
        <item x="42"/>
        <item x="47"/>
        <item x="25"/>
        <item x="22"/>
        <item x="41"/>
        <item x="44"/>
        <item x="29"/>
        <item x="21"/>
        <item x="11"/>
        <item x="56"/>
        <item x="40"/>
        <item x="28"/>
        <item x="3"/>
        <item x="4"/>
        <item x="7"/>
        <item x="8"/>
        <item x="9"/>
        <item x="13"/>
        <item x="14"/>
        <item x="16"/>
        <item x="17"/>
        <item x="20"/>
        <item x="23"/>
        <item x="24"/>
        <item x="26"/>
        <item x="27"/>
        <item x="32"/>
        <item x="33"/>
        <item x="34"/>
        <item x="35"/>
        <item x="37"/>
        <item x="38"/>
        <item x="39"/>
        <item x="43"/>
        <item x="45"/>
        <item x="46"/>
        <item x="48"/>
        <item x="50"/>
        <item x="51"/>
        <item x="52"/>
        <item x="53"/>
        <item x="54"/>
        <item x="55"/>
        <item x="57"/>
        <item t="default"/>
      </items>
    </pivotField>
    <pivotField compact="0" showAll="0">
      <items count="89">
        <item x="6"/>
        <item x="19"/>
        <item x="53"/>
        <item x="79"/>
        <item x="0"/>
        <item x="1"/>
        <item x="2"/>
        <item x="3"/>
        <item x="4"/>
        <item x="5"/>
        <item x="7"/>
        <item x="8"/>
        <item x="9"/>
        <item x="10"/>
        <item x="11"/>
        <item x="12"/>
        <item x="13"/>
        <item x="14"/>
        <item x="15"/>
        <item x="16"/>
        <item x="17"/>
        <item x="18"/>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4"/>
        <item x="55"/>
        <item x="56"/>
        <item x="57"/>
        <item x="58"/>
        <item x="59"/>
        <item x="60"/>
        <item x="61"/>
        <item x="62"/>
        <item x="63"/>
        <item x="64"/>
        <item x="65"/>
        <item x="66"/>
        <item x="67"/>
        <item x="68"/>
        <item x="69"/>
        <item x="70"/>
        <item x="71"/>
        <item x="72"/>
        <item x="73"/>
        <item x="74"/>
        <item x="75"/>
        <item x="76"/>
        <item x="77"/>
        <item x="78"/>
        <item x="80"/>
        <item x="81"/>
        <item x="82"/>
        <item x="83"/>
        <item x="84"/>
        <item x="85"/>
        <item x="86"/>
        <item x="87"/>
        <item t="default"/>
      </items>
    </pivotField>
    <pivotField compact="0" showAll="0">
      <items count="85">
        <item x="6"/>
        <item x="12"/>
        <item x="21"/>
        <item x="25"/>
        <item x="76"/>
        <item x="36"/>
        <item x="50"/>
        <item x="52"/>
        <item x="62"/>
        <item x="71"/>
        <item x="78"/>
        <item x="61"/>
        <item x="22"/>
        <item x="0"/>
        <item x="1"/>
        <item x="2"/>
        <item x="3"/>
        <item x="4"/>
        <item x="5"/>
        <item x="7"/>
        <item x="8"/>
        <item x="9"/>
        <item x="10"/>
        <item x="11"/>
        <item x="13"/>
        <item x="14"/>
        <item x="15"/>
        <item x="16"/>
        <item x="17"/>
        <item x="18"/>
        <item x="19"/>
        <item x="20"/>
        <item x="23"/>
        <item x="24"/>
        <item x="26"/>
        <item x="27"/>
        <item x="28"/>
        <item x="29"/>
        <item x="30"/>
        <item x="31"/>
        <item x="32"/>
        <item x="33"/>
        <item x="34"/>
        <item x="35"/>
        <item x="37"/>
        <item x="38"/>
        <item x="39"/>
        <item x="40"/>
        <item x="41"/>
        <item x="42"/>
        <item x="43"/>
        <item x="44"/>
        <item x="45"/>
        <item x="46"/>
        <item x="47"/>
        <item x="48"/>
        <item x="49"/>
        <item x="51"/>
        <item x="53"/>
        <item x="54"/>
        <item x="55"/>
        <item x="56"/>
        <item x="57"/>
        <item x="58"/>
        <item x="59"/>
        <item x="60"/>
        <item x="63"/>
        <item x="64"/>
        <item x="65"/>
        <item x="66"/>
        <item x="67"/>
        <item x="68"/>
        <item x="69"/>
        <item x="70"/>
        <item x="72"/>
        <item x="73"/>
        <item x="74"/>
        <item x="75"/>
        <item x="77"/>
        <item x="79"/>
        <item x="80"/>
        <item x="81"/>
        <item x="82"/>
        <item x="83"/>
        <item t="default"/>
      </items>
    </pivotField>
    <pivotField dataField="1" compact="0" showAll="0">
      <items count="87">
        <item x="6"/>
        <item x="85"/>
        <item x="12"/>
        <item x="43"/>
        <item x="53"/>
        <item x="21"/>
        <item x="25"/>
        <item x="36"/>
        <item x="39"/>
        <item x="50"/>
        <item x="51"/>
        <item x="15"/>
        <item x="76"/>
        <item x="83"/>
        <item x="0"/>
        <item x="1"/>
        <item x="2"/>
        <item x="3"/>
        <item x="4"/>
        <item x="5"/>
        <item x="7"/>
        <item x="8"/>
        <item x="9"/>
        <item x="10"/>
        <item x="11"/>
        <item x="13"/>
        <item x="14"/>
        <item x="16"/>
        <item x="17"/>
        <item x="18"/>
        <item x="19"/>
        <item x="20"/>
        <item x="22"/>
        <item x="23"/>
        <item x="24"/>
        <item x="26"/>
        <item x="27"/>
        <item x="28"/>
        <item x="29"/>
        <item x="30"/>
        <item x="31"/>
        <item x="32"/>
        <item x="33"/>
        <item x="34"/>
        <item x="35"/>
        <item x="37"/>
        <item x="38"/>
        <item x="40"/>
        <item x="41"/>
        <item x="42"/>
        <item x="44"/>
        <item x="45"/>
        <item x="46"/>
        <item x="47"/>
        <item x="48"/>
        <item x="49"/>
        <item x="52"/>
        <item x="54"/>
        <item x="55"/>
        <item x="56"/>
        <item x="57"/>
        <item x="58"/>
        <item x="59"/>
        <item x="60"/>
        <item x="61"/>
        <item x="62"/>
        <item x="63"/>
        <item x="64"/>
        <item x="65"/>
        <item x="66"/>
        <item x="67"/>
        <item x="68"/>
        <item x="69"/>
        <item x="70"/>
        <item x="71"/>
        <item x="72"/>
        <item x="73"/>
        <item x="74"/>
        <item x="75"/>
        <item x="77"/>
        <item x="78"/>
        <item x="79"/>
        <item x="80"/>
        <item x="81"/>
        <item x="82"/>
        <item x="84"/>
        <item t="default"/>
      </items>
    </pivotField>
    <pivotField dataField="1" compact="0" showAll="0">
      <items count="48">
        <item x="2"/>
        <item x="46"/>
        <item x="43"/>
        <item x="0"/>
        <item x="41"/>
        <item x="24"/>
        <item x="16"/>
        <item x="13"/>
        <item x="1"/>
        <item x="5"/>
        <item x="11"/>
        <item x="22"/>
        <item x="28"/>
        <item x="29"/>
        <item x="30"/>
        <item x="34"/>
        <item x="38"/>
        <item x="3"/>
        <item x="4"/>
        <item x="6"/>
        <item x="7"/>
        <item x="8"/>
        <item x="9"/>
        <item x="10"/>
        <item x="12"/>
        <item x="14"/>
        <item x="15"/>
        <item x="17"/>
        <item x="18"/>
        <item x="19"/>
        <item x="20"/>
        <item x="21"/>
        <item x="23"/>
        <item x="25"/>
        <item x="26"/>
        <item x="27"/>
        <item x="31"/>
        <item x="32"/>
        <item x="33"/>
        <item x="35"/>
        <item x="36"/>
        <item x="37"/>
        <item x="39"/>
        <item x="40"/>
        <item x="42"/>
        <item x="44"/>
        <item x="45"/>
        <item t="default"/>
      </items>
    </pivotField>
    <pivotField compact="0" showAll="0">
      <items count="51">
        <item x="2"/>
        <item x="28"/>
        <item x="47"/>
        <item x="0"/>
        <item x="1"/>
        <item x="3"/>
        <item x="4"/>
        <item x="5"/>
        <item x="6"/>
        <item x="7"/>
        <item x="8"/>
        <item x="9"/>
        <item x="10"/>
        <item x="11"/>
        <item x="12"/>
        <item x="13"/>
        <item x="14"/>
        <item x="15"/>
        <item x="16"/>
        <item x="17"/>
        <item x="18"/>
        <item x="19"/>
        <item x="20"/>
        <item x="21"/>
        <item x="22"/>
        <item x="23"/>
        <item x="24"/>
        <item x="25"/>
        <item x="26"/>
        <item x="27"/>
        <item x="29"/>
        <item x="30"/>
        <item x="31"/>
        <item x="32"/>
        <item x="33"/>
        <item x="34"/>
        <item x="35"/>
        <item x="36"/>
        <item x="37"/>
        <item x="38"/>
        <item x="39"/>
        <item x="40"/>
        <item x="41"/>
        <item x="42"/>
        <item x="43"/>
        <item x="44"/>
        <item x="45"/>
        <item x="46"/>
        <item x="48"/>
        <item x="49"/>
        <item t="default"/>
      </items>
    </pivotField>
    <pivotField compact="0" showAll="0">
      <items count="52">
        <item x="2"/>
        <item x="5"/>
        <item x="29"/>
        <item x="48"/>
        <item x="0"/>
        <item x="1"/>
        <item x="3"/>
        <item x="4"/>
        <item x="6"/>
        <item x="7"/>
        <item x="8"/>
        <item x="9"/>
        <item x="10"/>
        <item x="11"/>
        <item x="12"/>
        <item x="13"/>
        <item x="14"/>
        <item x="15"/>
        <item x="16"/>
        <item x="17"/>
        <item x="18"/>
        <item x="19"/>
        <item x="20"/>
        <item x="21"/>
        <item x="22"/>
        <item x="23"/>
        <item x="24"/>
        <item x="25"/>
        <item x="26"/>
        <item x="27"/>
        <item x="28"/>
        <item x="30"/>
        <item x="31"/>
        <item x="32"/>
        <item x="33"/>
        <item x="34"/>
        <item x="35"/>
        <item x="36"/>
        <item x="37"/>
        <item x="38"/>
        <item x="39"/>
        <item x="40"/>
        <item x="41"/>
        <item x="42"/>
        <item x="43"/>
        <item x="44"/>
        <item x="45"/>
        <item x="46"/>
        <item x="47"/>
        <item x="49"/>
        <item x="50"/>
        <item t="default"/>
      </items>
    </pivotField>
    <pivotField dataField="1" compact="0" showAll="0">
      <items count="21">
        <item x="1"/>
        <item x="0"/>
        <item x="11"/>
        <item x="19"/>
        <item x="12"/>
        <item x="7"/>
        <item x="2"/>
        <item x="4"/>
        <item x="18"/>
        <item x="13"/>
        <item x="5"/>
        <item x="16"/>
        <item x="9"/>
        <item x="6"/>
        <item x="10"/>
        <item x="3"/>
        <item x="8"/>
        <item x="14"/>
        <item x="15"/>
        <item x="17"/>
        <item t="default"/>
      </items>
    </pivotField>
    <pivotField compact="0" showAll="0">
      <items count="20">
        <item x="1"/>
        <item x="0"/>
        <item x="11"/>
        <item x="18"/>
        <item x="12"/>
        <item x="7"/>
        <item x="14"/>
        <item x="4"/>
        <item x="6"/>
        <item x="17"/>
        <item x="13"/>
        <item x="2"/>
        <item x="5"/>
        <item x="9"/>
        <item x="10"/>
        <item x="3"/>
        <item x="8"/>
        <item x="15"/>
        <item x="16"/>
        <item t="default"/>
      </items>
    </pivotField>
    <pivotField compact="0" showAll="0">
      <items count="49">
        <item x="2"/>
        <item x="5"/>
        <item x="35"/>
        <item x="19"/>
        <item x="23"/>
        <item x="0"/>
        <item x="45"/>
        <item x="18"/>
        <item x="21"/>
        <item x="27"/>
        <item x="31"/>
        <item x="29"/>
        <item x="1"/>
        <item x="3"/>
        <item x="4"/>
        <item x="6"/>
        <item x="7"/>
        <item x="8"/>
        <item x="9"/>
        <item x="10"/>
        <item x="11"/>
        <item x="12"/>
        <item x="13"/>
        <item x="14"/>
        <item x="15"/>
        <item x="16"/>
        <item x="17"/>
        <item x="20"/>
        <item x="22"/>
        <item x="24"/>
        <item x="25"/>
        <item x="26"/>
        <item x="28"/>
        <item x="30"/>
        <item x="32"/>
        <item x="33"/>
        <item x="34"/>
        <item x="36"/>
        <item x="37"/>
        <item x="38"/>
        <item x="39"/>
        <item x="40"/>
        <item x="41"/>
        <item x="42"/>
        <item x="43"/>
        <item x="44"/>
        <item x="46"/>
        <item x="47"/>
        <item t="default"/>
      </items>
    </pivotField>
    <pivotField compact="0" showAll="0">
      <items count="20">
        <item x="0"/>
        <item x="9"/>
        <item x="1"/>
        <item x="6"/>
        <item x="18"/>
        <item x="12"/>
        <item x="13"/>
        <item x="8"/>
        <item x="2"/>
        <item x="5"/>
        <item x="11"/>
        <item x="3"/>
        <item x="4"/>
        <item x="7"/>
        <item x="10"/>
        <item x="14"/>
        <item x="15"/>
        <item x="16"/>
        <item x="17"/>
        <item t="default"/>
      </items>
    </pivotField>
    <pivotField compact="0" showAll="0">
      <items count="8">
        <item x="1"/>
        <item x="0"/>
        <item x="4"/>
        <item x="6"/>
        <item x="5"/>
        <item x="2"/>
        <item x="3"/>
        <item t="default"/>
      </items>
    </pivotField>
    <pivotField compact="0" showAll="0">
      <items count="43">
        <item x="0"/>
        <item x="41"/>
        <item x="22"/>
        <item x="4"/>
        <item x="10"/>
        <item x="38"/>
        <item x="27"/>
        <item x="21"/>
        <item x="11"/>
        <item x="24"/>
        <item x="19"/>
        <item x="37"/>
        <item x="1"/>
        <item x="20"/>
        <item x="25"/>
        <item x="26"/>
        <item x="31"/>
        <item x="2"/>
        <item x="3"/>
        <item x="5"/>
        <item x="6"/>
        <item x="7"/>
        <item x="8"/>
        <item x="9"/>
        <item x="12"/>
        <item x="13"/>
        <item x="14"/>
        <item x="15"/>
        <item x="16"/>
        <item x="17"/>
        <item x="18"/>
        <item x="23"/>
        <item x="28"/>
        <item x="29"/>
        <item x="30"/>
        <item x="32"/>
        <item x="33"/>
        <item x="34"/>
        <item x="35"/>
        <item x="36"/>
        <item x="39"/>
        <item x="40"/>
        <item t="default"/>
      </items>
    </pivotField>
    <pivotField compact="0" showAll="0">
      <items count="19">
        <item x="1"/>
        <item x="17"/>
        <item x="4"/>
        <item x="7"/>
        <item x="0"/>
        <item x="2"/>
        <item x="3"/>
        <item x="9"/>
        <item x="12"/>
        <item x="13"/>
        <item x="14"/>
        <item x="5"/>
        <item x="6"/>
        <item x="8"/>
        <item x="10"/>
        <item x="11"/>
        <item x="15"/>
        <item x="16"/>
        <item t="default"/>
      </items>
    </pivotField>
    <pivotField dataField="1" dragToCol="0" dragToPage="0" dragToRow="0" compact="0" showAll="0"/>
    <pivotField dataField="1" dragToCol="0" dragToPage="0" dragToRow="0" compact="0" showAll="0"/>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922">
      <pivotArea dataOnly="0" labelOnly="1" fieldPosition="0">
        <references count="1">
          <reference field="4294967294" count="1">
            <x v="5"/>
          </reference>
        </references>
      </pivotArea>
    </format>
    <format dxfId="923">
      <pivotArea dataOnly="0" labelOnly="1" fieldPosition="0">
        <references count="1">
          <reference field="4294967294" count="1">
            <x v="6"/>
          </reference>
        </references>
      </pivotArea>
    </format>
    <format dxfId="924">
      <pivotArea collapsedLevelsAreSubtotals="1" fieldPosition="0">
        <references count="1">
          <reference field="4294967294" count="1" selected="0">
            <x v="5"/>
          </reference>
        </references>
      </pivotArea>
    </format>
    <format dxfId="925">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数据透视表52" cacheId="4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1:I183" firstHeaderRow="1" firstDataRow="1" firstDataCol="1"/>
  <pivotFields count="14">
    <pivotField compact="0" showAll="0">
      <items count="164">
        <item x="162"/>
        <item x="2"/>
        <item x="0"/>
        <item x="6"/>
        <item x="3"/>
        <item x="29"/>
        <item x="11"/>
        <item x="14"/>
        <item x="36"/>
        <item x="27"/>
        <item x="18"/>
        <item x="16"/>
        <item x="9"/>
        <item x="22"/>
        <item x="31"/>
        <item x="38"/>
        <item x="7"/>
        <item x="19"/>
        <item x="13"/>
        <item x="23"/>
        <item x="26"/>
        <item x="28"/>
        <item x="54"/>
        <item x="8"/>
        <item x="17"/>
        <item x="10"/>
        <item x="35"/>
        <item x="21"/>
        <item x="42"/>
        <item x="59"/>
        <item x="48"/>
        <item x="32"/>
        <item x="53"/>
        <item x="45"/>
        <item x="99"/>
        <item x="65"/>
        <item x="96"/>
        <item x="56"/>
        <item x="43"/>
        <item x="46"/>
        <item x="97"/>
        <item x="70"/>
        <item x="41"/>
        <item x="81"/>
        <item x="119"/>
        <item x="69"/>
        <item x="131"/>
        <item x="58"/>
        <item x="85"/>
        <item x="49"/>
        <item x="120"/>
        <item x="86"/>
        <item x="90"/>
        <item x="88"/>
        <item x="62"/>
        <item x="44"/>
        <item x="133"/>
        <item x="64"/>
        <item x="87"/>
        <item x="74"/>
        <item x="67"/>
        <item x="76"/>
        <item x="47"/>
        <item x="39"/>
        <item x="104"/>
        <item x="51"/>
        <item x="121"/>
        <item x="91"/>
        <item x="66"/>
        <item x="122"/>
        <item x="83"/>
        <item x="82"/>
        <item x="123"/>
        <item x="106"/>
        <item x="50"/>
        <item x="57"/>
        <item x="71"/>
        <item x="102"/>
        <item x="89"/>
        <item x="114"/>
        <item x="75"/>
        <item x="129"/>
        <item x="148"/>
        <item x="95"/>
        <item x="72"/>
        <item x="135"/>
        <item x="134"/>
        <item x="92"/>
        <item x="155"/>
        <item x="152"/>
        <item x="105"/>
        <item x="154"/>
        <item x="68"/>
        <item x="107"/>
        <item x="153"/>
        <item x="140"/>
        <item x="118"/>
        <item x="158"/>
        <item x="125"/>
        <item x="142"/>
        <item x="108"/>
        <item x="115"/>
        <item x="98"/>
        <item x="93"/>
        <item x="60"/>
        <item x="144"/>
        <item x="40"/>
        <item x="73"/>
        <item x="103"/>
        <item x="143"/>
        <item x="100"/>
        <item x="33"/>
        <item x="77"/>
        <item x="94"/>
        <item x="151"/>
        <item x="136"/>
        <item x="116"/>
        <item x="117"/>
        <item x="127"/>
        <item x="132"/>
        <item x="128"/>
        <item x="147"/>
        <item x="138"/>
        <item x="1"/>
        <item x="12"/>
        <item x="20"/>
        <item x="37"/>
        <item x="30"/>
        <item x="4"/>
        <item x="55"/>
        <item x="24"/>
        <item x="5"/>
        <item x="61"/>
        <item x="25"/>
        <item x="34"/>
        <item x="101"/>
        <item x="15"/>
        <item x="139"/>
        <item x="124"/>
        <item x="84"/>
        <item x="78"/>
        <item x="52"/>
        <item x="141"/>
        <item x="80"/>
        <item x="149"/>
        <item x="130"/>
        <item x="150"/>
        <item x="137"/>
        <item x="156"/>
        <item x="109"/>
        <item x="126"/>
        <item x="146"/>
        <item x="79"/>
        <item x="112"/>
        <item x="161"/>
        <item x="63"/>
        <item x="110"/>
        <item x="111"/>
        <item x="113"/>
        <item x="145"/>
        <item x="157"/>
        <item x="159"/>
        <item x="160"/>
        <item t="default"/>
      </items>
    </pivotField>
    <pivotField compact="0" showAll="0">
      <items count="173">
        <item x="171"/>
        <item x="2"/>
        <item x="0"/>
        <item x="6"/>
        <item x="3"/>
        <item x="29"/>
        <item x="11"/>
        <item x="14"/>
        <item x="36"/>
        <item x="27"/>
        <item x="18"/>
        <item x="16"/>
        <item x="9"/>
        <item x="22"/>
        <item x="31"/>
        <item x="38"/>
        <item x="7"/>
        <item x="19"/>
        <item x="13"/>
        <item x="23"/>
        <item x="26"/>
        <item x="28"/>
        <item x="54"/>
        <item x="8"/>
        <item x="17"/>
        <item x="10"/>
        <item x="35"/>
        <item x="21"/>
        <item x="42"/>
        <item x="59"/>
        <item x="48"/>
        <item x="32"/>
        <item x="53"/>
        <item x="45"/>
        <item x="99"/>
        <item x="65"/>
        <item x="96"/>
        <item x="56"/>
        <item x="43"/>
        <item x="46"/>
        <item x="97"/>
        <item x="70"/>
        <item x="41"/>
        <item x="81"/>
        <item x="119"/>
        <item x="69"/>
        <item x="131"/>
        <item x="58"/>
        <item x="85"/>
        <item x="49"/>
        <item x="120"/>
        <item x="86"/>
        <item x="90"/>
        <item x="88"/>
        <item x="62"/>
        <item x="44"/>
        <item x="133"/>
        <item x="64"/>
        <item x="87"/>
        <item x="74"/>
        <item x="67"/>
        <item x="76"/>
        <item x="47"/>
        <item x="39"/>
        <item x="51"/>
        <item x="121"/>
        <item x="91"/>
        <item x="66"/>
        <item x="122"/>
        <item x="83"/>
        <item x="82"/>
        <item x="123"/>
        <item x="106"/>
        <item x="50"/>
        <item x="57"/>
        <item x="71"/>
        <item x="102"/>
        <item x="89"/>
        <item x="114"/>
        <item x="75"/>
        <item x="129"/>
        <item x="148"/>
        <item x="95"/>
        <item x="72"/>
        <item x="135"/>
        <item x="134"/>
        <item x="92"/>
        <item x="155"/>
        <item x="152"/>
        <item x="105"/>
        <item x="154"/>
        <item x="68"/>
        <item x="107"/>
        <item x="153"/>
        <item x="140"/>
        <item x="118"/>
        <item x="158"/>
        <item x="125"/>
        <item x="142"/>
        <item x="108"/>
        <item x="115"/>
        <item x="98"/>
        <item x="93"/>
        <item x="60"/>
        <item x="144"/>
        <item x="40"/>
        <item x="73"/>
        <item x="103"/>
        <item x="143"/>
        <item x="100"/>
        <item x="33"/>
        <item x="77"/>
        <item x="94"/>
        <item x="151"/>
        <item x="136"/>
        <item x="116"/>
        <item x="162"/>
        <item x="161"/>
        <item x="163"/>
        <item x="117"/>
        <item x="127"/>
        <item x="132"/>
        <item x="128"/>
        <item x="147"/>
        <item x="138"/>
        <item x="165"/>
        <item x="1"/>
        <item x="12"/>
        <item x="20"/>
        <item x="37"/>
        <item x="30"/>
        <item x="4"/>
        <item x="55"/>
        <item x="24"/>
        <item x="5"/>
        <item x="61"/>
        <item x="25"/>
        <item x="34"/>
        <item x="101"/>
        <item x="15"/>
        <item x="139"/>
        <item x="124"/>
        <item x="84"/>
        <item x="52"/>
        <item x="104"/>
        <item x="78"/>
        <item x="141"/>
        <item x="80"/>
        <item x="149"/>
        <item x="130"/>
        <item x="150"/>
        <item x="137"/>
        <item x="156"/>
        <item x="109"/>
        <item x="126"/>
        <item x="146"/>
        <item x="79"/>
        <item x="112"/>
        <item x="164"/>
        <item x="166"/>
        <item x="167"/>
        <item x="168"/>
        <item x="169"/>
        <item x="170"/>
        <item x="63"/>
        <item x="110"/>
        <item x="111"/>
        <item x="113"/>
        <item x="145"/>
        <item x="157"/>
        <item x="159"/>
        <item x="160"/>
        <item t="default"/>
      </items>
    </pivotField>
    <pivotField axis="axisRow" compact="0" showAll="0">
      <items count="182">
        <item x="180"/>
        <item x="2"/>
        <item x="0"/>
        <item x="6"/>
        <item x="3"/>
        <item x="29"/>
        <item x="11"/>
        <item x="14"/>
        <item x="36"/>
        <item x="27"/>
        <item x="18"/>
        <item x="16"/>
        <item x="9"/>
        <item x="22"/>
        <item x="31"/>
        <item x="38"/>
        <item x="7"/>
        <item x="19"/>
        <item x="13"/>
        <item x="23"/>
        <item x="26"/>
        <item x="28"/>
        <item x="54"/>
        <item x="8"/>
        <item x="17"/>
        <item x="10"/>
        <item x="35"/>
        <item x="21"/>
        <item x="42"/>
        <item x="59"/>
        <item x="48"/>
        <item x="32"/>
        <item x="53"/>
        <item x="45"/>
        <item x="100"/>
        <item x="65"/>
        <item x="97"/>
        <item x="56"/>
        <item x="43"/>
        <item x="46"/>
        <item x="98"/>
        <item x="70"/>
        <item x="41"/>
        <item x="82"/>
        <item x="122"/>
        <item x="69"/>
        <item x="134"/>
        <item x="58"/>
        <item x="86"/>
        <item x="49"/>
        <item x="123"/>
        <item x="87"/>
        <item x="91"/>
        <item x="89"/>
        <item x="62"/>
        <item x="44"/>
        <item x="136"/>
        <item x="64"/>
        <item x="88"/>
        <item x="74"/>
        <item x="67"/>
        <item x="76"/>
        <item x="47"/>
        <item x="39"/>
        <item x="106"/>
        <item x="51"/>
        <item x="124"/>
        <item x="92"/>
        <item x="66"/>
        <item x="125"/>
        <item x="84"/>
        <item x="83"/>
        <item x="126"/>
        <item x="108"/>
        <item x="50"/>
        <item x="57"/>
        <item x="71"/>
        <item x="104"/>
        <item x="90"/>
        <item x="116"/>
        <item x="75"/>
        <item x="132"/>
        <item x="152"/>
        <item x="96"/>
        <item x="72"/>
        <item x="138"/>
        <item x="137"/>
        <item x="93"/>
        <item x="159"/>
        <item x="156"/>
        <item x="107"/>
        <item x="158"/>
        <item x="68"/>
        <item x="109"/>
        <item x="157"/>
        <item x="143"/>
        <item x="120"/>
        <item x="162"/>
        <item x="128"/>
        <item x="145"/>
        <item x="110"/>
        <item x="117"/>
        <item x="99"/>
        <item x="94"/>
        <item x="60"/>
        <item x="147"/>
        <item x="40"/>
        <item x="73"/>
        <item x="105"/>
        <item x="146"/>
        <item x="101"/>
        <item x="33"/>
        <item x="77"/>
        <item x="95"/>
        <item x="155"/>
        <item x="139"/>
        <item x="118"/>
        <item x="166"/>
        <item x="165"/>
        <item x="176"/>
        <item x="168"/>
        <item x="170"/>
        <item x="172"/>
        <item x="167"/>
        <item x="169"/>
        <item x="175"/>
        <item x="179"/>
        <item x="119"/>
        <item x="130"/>
        <item x="131"/>
        <item x="135"/>
        <item x="150"/>
        <item x="141"/>
        <item x="1"/>
        <item x="12"/>
        <item x="20"/>
        <item x="37"/>
        <item x="30"/>
        <item x="4"/>
        <item x="55"/>
        <item x="24"/>
        <item x="5"/>
        <item x="61"/>
        <item x="25"/>
        <item x="121"/>
        <item x="34"/>
        <item x="102"/>
        <item x="15"/>
        <item x="142"/>
        <item x="127"/>
        <item x="85"/>
        <item x="78"/>
        <item x="171"/>
        <item x="52"/>
        <item x="103"/>
        <item x="79"/>
        <item x="144"/>
        <item x="81"/>
        <item x="153"/>
        <item x="133"/>
        <item x="154"/>
        <item x="140"/>
        <item x="160"/>
        <item x="111"/>
        <item x="129"/>
        <item x="149"/>
        <item x="80"/>
        <item x="114"/>
        <item x="173"/>
        <item x="177"/>
        <item x="178"/>
        <item x="63"/>
        <item x="112"/>
        <item x="113"/>
        <item x="115"/>
        <item x="148"/>
        <item x="151"/>
        <item x="161"/>
        <item x="163"/>
        <item x="164"/>
        <item x="174"/>
        <item t="default"/>
      </items>
    </pivotField>
    <pivotField compact="0" showAll="0">
      <items count="131">
        <item x="129"/>
        <item x="112"/>
        <item x="117"/>
        <item x="95"/>
        <item x="118"/>
        <item x="120"/>
        <item x="116"/>
        <item x="90"/>
        <item x="82"/>
        <item x="96"/>
        <item x="119"/>
        <item x="91"/>
        <item x="97"/>
        <item x="62"/>
        <item x="64"/>
        <item x="99"/>
        <item x="81"/>
        <item x="124"/>
        <item x="102"/>
        <item x="108"/>
        <item x="103"/>
        <item x="67"/>
        <item x="76"/>
        <item x="111"/>
        <item x="100"/>
        <item x="106"/>
        <item x="109"/>
        <item x="66"/>
        <item x="83"/>
        <item x="93"/>
        <item x="42"/>
        <item x="123"/>
        <item x="122"/>
        <item x="121"/>
        <item x="27"/>
        <item x="47"/>
        <item x="43"/>
        <item x="77"/>
        <item x="80"/>
        <item x="36"/>
        <item x="69"/>
        <item x="57"/>
        <item x="114"/>
        <item x="101"/>
        <item x="98"/>
        <item x="55"/>
        <item x="56"/>
        <item x="70"/>
        <item x="113"/>
        <item x="110"/>
        <item x="127"/>
        <item x="0"/>
        <item x="1"/>
        <item x="2"/>
        <item x="3"/>
        <item x="4"/>
        <item x="5"/>
        <item x="6"/>
        <item x="7"/>
        <item x="8"/>
        <item x="9"/>
        <item x="10"/>
        <item x="11"/>
        <item x="12"/>
        <item x="13"/>
        <item x="14"/>
        <item x="15"/>
        <item x="16"/>
        <item x="17"/>
        <item x="18"/>
        <item x="19"/>
        <item x="20"/>
        <item x="21"/>
        <item x="22"/>
        <item x="23"/>
        <item x="24"/>
        <item x="25"/>
        <item x="26"/>
        <item x="28"/>
        <item x="29"/>
        <item x="30"/>
        <item x="31"/>
        <item x="32"/>
        <item x="33"/>
        <item x="34"/>
        <item x="35"/>
        <item x="37"/>
        <item x="38"/>
        <item x="39"/>
        <item x="40"/>
        <item x="41"/>
        <item x="44"/>
        <item x="45"/>
        <item x="46"/>
        <item x="48"/>
        <item x="49"/>
        <item x="50"/>
        <item x="51"/>
        <item x="52"/>
        <item x="53"/>
        <item x="54"/>
        <item x="58"/>
        <item x="59"/>
        <item x="60"/>
        <item x="61"/>
        <item x="63"/>
        <item x="65"/>
        <item x="68"/>
        <item x="71"/>
        <item x="72"/>
        <item x="73"/>
        <item x="74"/>
        <item x="75"/>
        <item x="78"/>
        <item x="79"/>
        <item x="84"/>
        <item x="85"/>
        <item x="86"/>
        <item x="87"/>
        <item x="88"/>
        <item x="89"/>
        <item x="92"/>
        <item x="94"/>
        <item x="104"/>
        <item x="105"/>
        <item x="107"/>
        <item x="115"/>
        <item x="125"/>
        <item x="126"/>
        <item x="128"/>
        <item t="default"/>
      </items>
    </pivotField>
    <pivotField compact="0" showAll="0">
      <items count="23">
        <item x="20"/>
        <item x="19"/>
        <item x="18"/>
        <item x="13"/>
        <item x="8"/>
        <item x="16"/>
        <item x="11"/>
        <item x="21"/>
        <item x="12"/>
        <item x="14"/>
        <item x="5"/>
        <item x="9"/>
        <item x="7"/>
        <item x="4"/>
        <item x="10"/>
        <item x="15"/>
        <item x="6"/>
        <item x="0"/>
        <item x="1"/>
        <item x="2"/>
        <item x="3"/>
        <item x="17"/>
        <item t="default"/>
      </items>
    </pivotField>
    <pivotField compact="0" showAll="0">
      <items count="101">
        <item x="99"/>
        <item x="64"/>
        <item x="72"/>
        <item x="62"/>
        <item x="67"/>
        <item x="70"/>
        <item x="76"/>
        <item x="77"/>
        <item x="61"/>
        <item x="57"/>
        <item x="45"/>
        <item x="56"/>
        <item x="79"/>
        <item x="69"/>
        <item x="81"/>
        <item x="55"/>
        <item x="82"/>
        <item x="36"/>
        <item x="75"/>
        <item x="74"/>
        <item x="65"/>
        <item x="51"/>
        <item x="66"/>
        <item x="78"/>
        <item x="54"/>
        <item x="73"/>
        <item x="93"/>
        <item x="14"/>
        <item x="40"/>
        <item x="32"/>
        <item x="71"/>
        <item x="68"/>
        <item x="80"/>
        <item x="26"/>
        <item x="8"/>
        <item x="47"/>
        <item x="20"/>
        <item x="17"/>
        <item x="33"/>
        <item x="15"/>
        <item x="19"/>
        <item x="10"/>
        <item x="97"/>
        <item x="27"/>
        <item x="48"/>
        <item x="63"/>
        <item x="30"/>
        <item x="38"/>
        <item x="53"/>
        <item x="43"/>
        <item x="85"/>
        <item x="5"/>
        <item x="0"/>
        <item x="1"/>
        <item x="2"/>
        <item x="3"/>
        <item x="4"/>
        <item x="6"/>
        <item x="7"/>
        <item x="9"/>
        <item x="11"/>
        <item x="12"/>
        <item x="13"/>
        <item x="16"/>
        <item x="18"/>
        <item x="21"/>
        <item x="22"/>
        <item x="23"/>
        <item x="24"/>
        <item x="25"/>
        <item x="28"/>
        <item x="29"/>
        <item x="31"/>
        <item x="34"/>
        <item x="35"/>
        <item x="37"/>
        <item x="39"/>
        <item x="41"/>
        <item x="42"/>
        <item x="44"/>
        <item x="46"/>
        <item x="49"/>
        <item x="50"/>
        <item x="52"/>
        <item x="58"/>
        <item x="59"/>
        <item x="60"/>
        <item x="83"/>
        <item x="84"/>
        <item x="86"/>
        <item x="87"/>
        <item x="88"/>
        <item x="89"/>
        <item x="90"/>
        <item x="91"/>
        <item x="92"/>
        <item x="94"/>
        <item x="95"/>
        <item x="96"/>
        <item x="98"/>
        <item t="default"/>
      </items>
    </pivotField>
    <pivotField compact="0" showAll="0">
      <items count="29">
        <item x="20"/>
        <item x="27"/>
        <item x="19"/>
        <item x="0"/>
        <item x="1"/>
        <item x="2"/>
        <item x="3"/>
        <item x="4"/>
        <item x="5"/>
        <item x="6"/>
        <item x="7"/>
        <item x="8"/>
        <item x="9"/>
        <item x="10"/>
        <item x="11"/>
        <item x="12"/>
        <item x="13"/>
        <item x="14"/>
        <item x="15"/>
        <item x="16"/>
        <item x="17"/>
        <item x="18"/>
        <item x="21"/>
        <item x="22"/>
        <item x="23"/>
        <item x="24"/>
        <item x="25"/>
        <item x="26"/>
        <item t="default"/>
      </items>
    </pivotField>
    <pivotField compact="0" showAll="0">
      <items count="152">
        <item x="150"/>
        <item x="91"/>
        <item x="129"/>
        <item x="128"/>
        <item x="85"/>
        <item x="146"/>
        <item x="67"/>
        <item x="141"/>
        <item x="103"/>
        <item x="117"/>
        <item x="88"/>
        <item x="98"/>
        <item x="140"/>
        <item x="113"/>
        <item x="133"/>
        <item x="61"/>
        <item x="83"/>
        <item x="137"/>
        <item x="122"/>
        <item x="147"/>
        <item x="111"/>
        <item x="136"/>
        <item x="94"/>
        <item x="134"/>
        <item x="97"/>
        <item x="131"/>
        <item x="114"/>
        <item x="149"/>
        <item x="36"/>
        <item x="82"/>
        <item x="46"/>
        <item x="42"/>
        <item x="55"/>
        <item x="41"/>
        <item x="78"/>
        <item x="75"/>
        <item x="74"/>
        <item x="45"/>
        <item x="124"/>
        <item x="72"/>
        <item x="115"/>
        <item x="110"/>
        <item x="108"/>
        <item x="112"/>
        <item x="84"/>
        <item x="130"/>
        <item x="123"/>
        <item x="132"/>
        <item x="127"/>
        <item x="102"/>
        <item x="145"/>
        <item x="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7"/>
        <item x="38"/>
        <item x="39"/>
        <item x="40"/>
        <item x="43"/>
        <item x="44"/>
        <item x="47"/>
        <item x="48"/>
        <item x="49"/>
        <item x="50"/>
        <item x="51"/>
        <item x="52"/>
        <item x="53"/>
        <item x="54"/>
        <item x="56"/>
        <item x="57"/>
        <item x="58"/>
        <item x="59"/>
        <item x="60"/>
        <item x="62"/>
        <item x="63"/>
        <item x="64"/>
        <item x="65"/>
        <item x="66"/>
        <item x="68"/>
        <item x="69"/>
        <item x="70"/>
        <item x="71"/>
        <item x="73"/>
        <item x="76"/>
        <item x="77"/>
        <item x="79"/>
        <item x="80"/>
        <item x="81"/>
        <item x="86"/>
        <item x="87"/>
        <item x="89"/>
        <item x="90"/>
        <item x="92"/>
        <item x="93"/>
        <item x="95"/>
        <item x="96"/>
        <item x="99"/>
        <item x="100"/>
        <item x="101"/>
        <item x="104"/>
        <item x="105"/>
        <item x="106"/>
        <item x="107"/>
        <item x="109"/>
        <item x="116"/>
        <item x="118"/>
        <item x="119"/>
        <item x="120"/>
        <item x="121"/>
        <item x="125"/>
        <item x="126"/>
        <item x="135"/>
        <item x="138"/>
        <item x="139"/>
        <item x="142"/>
        <item x="143"/>
        <item x="144"/>
        <item t="default"/>
      </items>
    </pivotField>
    <pivotField compact="0" showAll="0">
      <items count="25">
        <item x="21"/>
        <item x="19"/>
        <item x="20"/>
        <item x="14"/>
        <item x="8"/>
        <item x="17"/>
        <item x="23"/>
        <item x="5"/>
        <item x="11"/>
        <item x="10"/>
        <item x="18"/>
        <item x="16"/>
        <item x="15"/>
        <item x="22"/>
        <item x="7"/>
        <item x="3"/>
        <item x="9"/>
        <item x="4"/>
        <item x="13"/>
        <item x="0"/>
        <item x="1"/>
        <item x="2"/>
        <item x="6"/>
        <item x="12"/>
        <item t="default"/>
      </items>
    </pivotField>
    <pivotField compact="0" showAll="0">
      <items count="98">
        <item x="96"/>
        <item x="58"/>
        <item x="62"/>
        <item x="64"/>
        <item x="70"/>
        <item x="65"/>
        <item x="54"/>
        <item x="68"/>
        <item x="48"/>
        <item x="67"/>
        <item x="72"/>
        <item x="85"/>
        <item x="69"/>
        <item x="56"/>
        <item x="44"/>
        <item x="50"/>
        <item x="34"/>
        <item x="36"/>
        <item x="57"/>
        <item x="59"/>
        <item x="61"/>
        <item x="35"/>
        <item x="66"/>
        <item x="52"/>
        <item x="60"/>
        <item x="49"/>
        <item x="55"/>
        <item x="71"/>
        <item x="46"/>
        <item x="37"/>
        <item x="45"/>
        <item x="51"/>
        <item x="73"/>
        <item x="86"/>
        <item x="92"/>
        <item x="94"/>
        <item x="90"/>
        <item x="16"/>
        <item x="22"/>
        <item x="89"/>
        <item x="19"/>
        <item x="13"/>
        <item x="53"/>
        <item x="12"/>
        <item x="0"/>
        <item x="1"/>
        <item x="2"/>
        <item x="3"/>
        <item x="4"/>
        <item x="5"/>
        <item x="6"/>
        <item x="7"/>
        <item x="8"/>
        <item x="9"/>
        <item x="10"/>
        <item x="11"/>
        <item x="14"/>
        <item x="15"/>
        <item x="17"/>
        <item x="18"/>
        <item x="20"/>
        <item x="21"/>
        <item x="23"/>
        <item x="24"/>
        <item x="25"/>
        <item x="26"/>
        <item x="27"/>
        <item x="28"/>
        <item x="29"/>
        <item x="30"/>
        <item x="31"/>
        <item x="32"/>
        <item x="33"/>
        <item x="38"/>
        <item x="39"/>
        <item x="40"/>
        <item x="41"/>
        <item x="42"/>
        <item x="43"/>
        <item x="47"/>
        <item x="63"/>
        <item x="74"/>
        <item x="75"/>
        <item x="76"/>
        <item x="77"/>
        <item x="78"/>
        <item x="79"/>
        <item x="80"/>
        <item x="81"/>
        <item x="82"/>
        <item x="83"/>
        <item x="84"/>
        <item x="87"/>
        <item x="88"/>
        <item x="91"/>
        <item x="93"/>
        <item x="95"/>
        <item t="default"/>
      </items>
    </pivotField>
    <pivotField compact="0" showAll="0">
      <items count="30">
        <item x="21"/>
        <item x="28"/>
        <item x="19"/>
        <item x="0"/>
        <item x="1"/>
        <item x="2"/>
        <item x="3"/>
        <item x="4"/>
        <item x="5"/>
        <item x="6"/>
        <item x="7"/>
        <item x="8"/>
        <item x="9"/>
        <item x="10"/>
        <item x="11"/>
        <item x="12"/>
        <item x="13"/>
        <item x="14"/>
        <item x="15"/>
        <item x="16"/>
        <item x="17"/>
        <item x="18"/>
        <item x="20"/>
        <item x="22"/>
        <item x="23"/>
        <item x="24"/>
        <item x="25"/>
        <item x="26"/>
        <item x="27"/>
        <item t="default"/>
      </items>
    </pivotField>
    <pivotField compact="0" showAll="0">
      <items count="93">
        <item x="6"/>
        <item x="91"/>
        <item x="46"/>
        <item x="81"/>
        <item x="5"/>
        <item x="29"/>
        <item x="24"/>
        <item x="42"/>
        <item x="40"/>
        <item x="12"/>
        <item x="15"/>
        <item x="77"/>
        <item x="74"/>
        <item x="60"/>
        <item x="79"/>
        <item x="14"/>
        <item x="23"/>
        <item x="78"/>
        <item x="47"/>
        <item x="21"/>
        <item x="37"/>
        <item x="64"/>
        <item x="35"/>
        <item x="71"/>
        <item x="90"/>
        <item x="32"/>
        <item x="85"/>
        <item x="0"/>
        <item x="1"/>
        <item x="2"/>
        <item x="3"/>
        <item x="4"/>
        <item x="7"/>
        <item x="8"/>
        <item x="9"/>
        <item x="10"/>
        <item x="11"/>
        <item x="13"/>
        <item x="16"/>
        <item x="17"/>
        <item x="18"/>
        <item x="19"/>
        <item x="20"/>
        <item x="22"/>
        <item x="25"/>
        <item x="26"/>
        <item x="27"/>
        <item x="28"/>
        <item x="30"/>
        <item x="31"/>
        <item x="33"/>
        <item x="34"/>
        <item x="36"/>
        <item x="38"/>
        <item x="39"/>
        <item x="41"/>
        <item x="43"/>
        <item x="44"/>
        <item x="45"/>
        <item x="48"/>
        <item x="49"/>
        <item x="50"/>
        <item x="51"/>
        <item x="52"/>
        <item x="53"/>
        <item x="54"/>
        <item x="55"/>
        <item x="56"/>
        <item x="57"/>
        <item x="58"/>
        <item x="59"/>
        <item x="61"/>
        <item x="62"/>
        <item x="63"/>
        <item x="65"/>
        <item x="66"/>
        <item x="67"/>
        <item x="68"/>
        <item x="69"/>
        <item x="70"/>
        <item x="72"/>
        <item x="73"/>
        <item x="75"/>
        <item x="76"/>
        <item x="80"/>
        <item x="82"/>
        <item x="83"/>
        <item x="84"/>
        <item x="86"/>
        <item x="87"/>
        <item x="88"/>
        <item x="89"/>
        <item t="default"/>
      </items>
    </pivotField>
    <pivotField compact="0" showAll="0">
      <items count="18">
        <item x="12"/>
        <item x="1"/>
        <item x="16"/>
        <item x="9"/>
        <item x="8"/>
        <item x="5"/>
        <item x="4"/>
        <item x="3"/>
        <item x="0"/>
        <item x="2"/>
        <item x="6"/>
        <item x="7"/>
        <item x="10"/>
        <item x="11"/>
        <item x="13"/>
        <item x="14"/>
        <item x="15"/>
        <item t="default"/>
      </items>
    </pivotField>
    <pivotField dataField="1" compact="0" showAll="0">
      <items count="56">
        <item x="53"/>
        <item x="50"/>
        <item x="51"/>
        <item x="52"/>
        <item x="49"/>
        <item x="48"/>
        <item x="54"/>
        <item x="40"/>
        <item x="47"/>
        <item x="46"/>
        <item x="41"/>
        <item x="42"/>
        <item x="44"/>
        <item x="43"/>
        <item x="38"/>
        <item x="45"/>
        <item x="36"/>
        <item x="33"/>
        <item x="39"/>
        <item x="13"/>
        <item x="27"/>
        <item x="29"/>
        <item x="25"/>
        <item x="34"/>
        <item x="15"/>
        <item x="22"/>
        <item x="23"/>
        <item x="26"/>
        <item x="30"/>
        <item x="32"/>
        <item x="31"/>
        <item x="35"/>
        <item x="7"/>
        <item x="14"/>
        <item x="18"/>
        <item x="19"/>
        <item x="37"/>
        <item x="0"/>
        <item x="1"/>
        <item x="2"/>
        <item x="3"/>
        <item x="4"/>
        <item x="5"/>
        <item x="6"/>
        <item x="8"/>
        <item x="9"/>
        <item x="10"/>
        <item x="11"/>
        <item x="12"/>
        <item x="16"/>
        <item x="17"/>
        <item x="20"/>
        <item x="21"/>
        <item x="24"/>
        <item x="28"/>
        <item t="default"/>
      </items>
    </pivotField>
  </pivotFields>
  <rowFields count="1">
    <field x="2"/>
  </rowFields>
  <rowItems count="1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1.xml><?xml version="1.0" encoding="utf-8"?>
<pivotTableDefinition xmlns="http://schemas.openxmlformats.org/spreadsheetml/2006/main" name="数据透视表49" cacheId="43"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1:AA126" firstHeaderRow="0" firstDataRow="1" firstDataCol="1"/>
  <pivotFields count="19">
    <pivotField axis="axisRow" compact="0" showAll="0">
      <items count="125">
        <item x="123"/>
        <item x="0"/>
        <item x="2"/>
        <item x="3"/>
        <item x="4"/>
        <item x="25"/>
        <item x="5"/>
        <item x="16"/>
        <item x="10"/>
        <item x="41"/>
        <item x="11"/>
        <item x="12"/>
        <item x="13"/>
        <item x="14"/>
        <item x="42"/>
        <item x="43"/>
        <item x="15"/>
        <item x="17"/>
        <item x="18"/>
        <item x="19"/>
        <item x="21"/>
        <item x="23"/>
        <item x="24"/>
        <item x="22"/>
        <item x="27"/>
        <item x="28"/>
        <item x="46"/>
        <item x="31"/>
        <item x="30"/>
        <item x="38"/>
        <item x="33"/>
        <item x="32"/>
        <item x="34"/>
        <item x="37"/>
        <item x="39"/>
        <item x="40"/>
        <item x="44"/>
        <item x="45"/>
        <item x="6"/>
        <item x="47"/>
        <item x="62"/>
        <item x="50"/>
        <item x="51"/>
        <item x="52"/>
        <item x="54"/>
        <item x="55"/>
        <item x="56"/>
        <item x="61"/>
        <item x="57"/>
        <item x="58"/>
        <item x="59"/>
        <item x="65"/>
        <item x="63"/>
        <item x="64"/>
        <item x="66"/>
        <item x="71"/>
        <item x="67"/>
        <item x="74"/>
        <item x="72"/>
        <item x="75"/>
        <item x="73"/>
        <item x="81"/>
        <item x="77"/>
        <item x="79"/>
        <item x="80"/>
        <item x="84"/>
        <item x="82"/>
        <item x="83"/>
        <item x="78"/>
        <item x="7"/>
        <item x="48"/>
        <item x="49"/>
        <item x="85"/>
        <item x="107"/>
        <item x="108"/>
        <item x="105"/>
        <item x="106"/>
        <item x="109"/>
        <item x="110"/>
        <item x="111"/>
        <item x="112"/>
        <item x="113"/>
        <item x="114"/>
        <item x="117"/>
        <item x="118"/>
        <item x="119"/>
        <item x="120"/>
        <item x="121"/>
        <item x="76"/>
        <item x="9"/>
        <item x="20"/>
        <item x="36"/>
        <item x="68"/>
        <item x="70"/>
        <item x="26"/>
        <item x="87"/>
        <item x="96"/>
        <item x="97"/>
        <item x="88"/>
        <item x="89"/>
        <item x="94"/>
        <item x="90"/>
        <item x="91"/>
        <item x="29"/>
        <item x="35"/>
        <item x="53"/>
        <item x="60"/>
        <item x="69"/>
        <item x="92"/>
        <item x="93"/>
        <item x="95"/>
        <item x="98"/>
        <item x="99"/>
        <item x="100"/>
        <item x="101"/>
        <item x="103"/>
        <item x="122"/>
        <item x="1"/>
        <item x="8"/>
        <item x="86"/>
        <item x="102"/>
        <item x="104"/>
        <item x="115"/>
        <item x="116"/>
        <item t="default"/>
      </items>
    </pivotField>
    <pivotField compact="0" showAll="0">
      <items count="110">
        <item x="108"/>
        <item x="0"/>
        <item x="2"/>
        <item x="3"/>
        <item x="4"/>
        <item x="25"/>
        <item x="5"/>
        <item x="16"/>
        <item x="10"/>
        <item x="41"/>
        <item x="11"/>
        <item x="12"/>
        <item x="13"/>
        <item x="14"/>
        <item x="42"/>
        <item x="43"/>
        <item x="15"/>
        <item x="17"/>
        <item x="18"/>
        <item x="19"/>
        <item x="21"/>
        <item x="23"/>
        <item x="24"/>
        <item x="22"/>
        <item x="27"/>
        <item x="28"/>
        <item x="46"/>
        <item x="31"/>
        <item x="30"/>
        <item x="38"/>
        <item x="33"/>
        <item x="32"/>
        <item x="34"/>
        <item x="37"/>
        <item x="39"/>
        <item x="40"/>
        <item x="44"/>
        <item x="45"/>
        <item x="6"/>
        <item x="47"/>
        <item x="62"/>
        <item x="50"/>
        <item x="51"/>
        <item x="52"/>
        <item x="54"/>
        <item x="55"/>
        <item x="56"/>
        <item x="61"/>
        <item x="57"/>
        <item x="58"/>
        <item x="59"/>
        <item x="65"/>
        <item x="63"/>
        <item x="64"/>
        <item x="66"/>
        <item x="71"/>
        <item x="67"/>
        <item x="74"/>
        <item x="72"/>
        <item x="75"/>
        <item x="73"/>
        <item x="81"/>
        <item x="77"/>
        <item x="79"/>
        <item x="80"/>
        <item x="84"/>
        <item x="82"/>
        <item x="83"/>
        <item x="105"/>
        <item x="78"/>
        <item x="107"/>
        <item x="7"/>
        <item x="48"/>
        <item x="49"/>
        <item x="85"/>
        <item x="106"/>
        <item x="76"/>
        <item x="9"/>
        <item x="20"/>
        <item x="36"/>
        <item x="68"/>
        <item x="70"/>
        <item x="26"/>
        <item x="87"/>
        <item x="96"/>
        <item x="97"/>
        <item x="88"/>
        <item x="89"/>
        <item x="94"/>
        <item x="90"/>
        <item x="91"/>
        <item x="29"/>
        <item x="35"/>
        <item x="53"/>
        <item x="60"/>
        <item x="69"/>
        <item x="92"/>
        <item x="93"/>
        <item x="95"/>
        <item x="98"/>
        <item x="99"/>
        <item x="100"/>
        <item x="101"/>
        <item x="103"/>
        <item x="1"/>
        <item x="8"/>
        <item x="86"/>
        <item x="102"/>
        <item x="104"/>
        <item t="default"/>
      </items>
    </pivotField>
    <pivotField dataField="1" compact="0" showAll="0">
      <items count="181">
        <item x="179"/>
        <item x="56"/>
        <item x="57"/>
        <item x="67"/>
        <item x="154"/>
        <item x="73"/>
        <item x="167"/>
        <item x="168"/>
        <item x="72"/>
        <item x="68"/>
        <item x="69"/>
        <item x="121"/>
        <item x="108"/>
        <item x="163"/>
        <item x="65"/>
        <item x="143"/>
        <item x="62"/>
        <item x="51"/>
        <item x="122"/>
        <item x="88"/>
        <item x="166"/>
        <item x="30"/>
        <item x="55"/>
        <item x="123"/>
        <item x="133"/>
        <item x="24"/>
        <item x="0"/>
        <item x="1"/>
        <item x="2"/>
        <item x="3"/>
        <item x="4"/>
        <item x="5"/>
        <item x="6"/>
        <item x="7"/>
        <item x="8"/>
        <item x="9"/>
        <item x="10"/>
        <item x="11"/>
        <item x="12"/>
        <item x="13"/>
        <item x="14"/>
        <item x="15"/>
        <item x="16"/>
        <item x="17"/>
        <item x="18"/>
        <item x="19"/>
        <item x="20"/>
        <item x="21"/>
        <item x="22"/>
        <item x="23"/>
        <item x="25"/>
        <item x="26"/>
        <item x="27"/>
        <item x="28"/>
        <item x="29"/>
        <item x="31"/>
        <item x="32"/>
        <item x="33"/>
        <item x="34"/>
        <item x="35"/>
        <item x="36"/>
        <item x="37"/>
        <item x="38"/>
        <item x="39"/>
        <item x="40"/>
        <item x="41"/>
        <item x="42"/>
        <item x="43"/>
        <item x="44"/>
        <item x="45"/>
        <item x="46"/>
        <item x="47"/>
        <item x="48"/>
        <item x="49"/>
        <item x="50"/>
        <item x="52"/>
        <item x="53"/>
        <item x="54"/>
        <item x="58"/>
        <item x="59"/>
        <item x="60"/>
        <item x="61"/>
        <item x="63"/>
        <item x="64"/>
        <item x="66"/>
        <item x="70"/>
        <item x="71"/>
        <item x="74"/>
        <item x="75"/>
        <item x="76"/>
        <item x="77"/>
        <item x="78"/>
        <item x="79"/>
        <item x="80"/>
        <item x="81"/>
        <item x="82"/>
        <item x="83"/>
        <item x="84"/>
        <item x="85"/>
        <item x="86"/>
        <item x="87"/>
        <item x="89"/>
        <item x="90"/>
        <item x="91"/>
        <item x="92"/>
        <item x="93"/>
        <item x="94"/>
        <item x="95"/>
        <item x="96"/>
        <item x="97"/>
        <item x="98"/>
        <item x="99"/>
        <item x="100"/>
        <item x="101"/>
        <item x="102"/>
        <item x="103"/>
        <item x="104"/>
        <item x="105"/>
        <item x="106"/>
        <item x="107"/>
        <item x="109"/>
        <item x="110"/>
        <item x="111"/>
        <item x="112"/>
        <item x="113"/>
        <item x="114"/>
        <item x="115"/>
        <item x="116"/>
        <item x="117"/>
        <item x="118"/>
        <item x="119"/>
        <item x="120"/>
        <item x="124"/>
        <item x="125"/>
        <item x="126"/>
        <item x="127"/>
        <item x="128"/>
        <item x="129"/>
        <item x="130"/>
        <item x="131"/>
        <item x="132"/>
        <item x="134"/>
        <item x="135"/>
        <item x="136"/>
        <item x="137"/>
        <item x="138"/>
        <item x="139"/>
        <item x="140"/>
        <item x="141"/>
        <item x="142"/>
        <item x="144"/>
        <item x="145"/>
        <item x="146"/>
        <item x="147"/>
        <item x="148"/>
        <item x="149"/>
        <item x="150"/>
        <item x="151"/>
        <item x="152"/>
        <item x="153"/>
        <item x="155"/>
        <item x="156"/>
        <item x="157"/>
        <item x="158"/>
        <item x="159"/>
        <item x="160"/>
        <item x="161"/>
        <item x="162"/>
        <item x="164"/>
        <item x="165"/>
        <item x="169"/>
        <item x="170"/>
        <item x="171"/>
        <item x="172"/>
        <item x="173"/>
        <item x="174"/>
        <item x="175"/>
        <item x="176"/>
        <item x="177"/>
        <item x="178"/>
        <item t="default"/>
      </items>
    </pivotField>
    <pivotField dataField="1" compact="0" showAll="0">
      <items count="63">
        <item x="11"/>
        <item x="15"/>
        <item x="34"/>
        <item x="40"/>
        <item x="20"/>
        <item x="28"/>
        <item x="19"/>
        <item x="1"/>
        <item x="61"/>
        <item x="6"/>
        <item x="26"/>
        <item x="18"/>
        <item x="55"/>
        <item x="23"/>
        <item x="45"/>
        <item x="32"/>
        <item x="5"/>
        <item x="2"/>
        <item x="21"/>
        <item x="56"/>
        <item x="57"/>
        <item x="0"/>
        <item x="46"/>
        <item x="3"/>
        <item x="59"/>
        <item x="4"/>
        <item x="31"/>
        <item x="39"/>
        <item x="27"/>
        <item x="30"/>
        <item x="37"/>
        <item x="50"/>
        <item x="7"/>
        <item x="8"/>
        <item x="9"/>
        <item x="10"/>
        <item x="12"/>
        <item x="13"/>
        <item x="14"/>
        <item x="16"/>
        <item x="17"/>
        <item x="22"/>
        <item x="24"/>
        <item x="25"/>
        <item x="29"/>
        <item x="33"/>
        <item x="35"/>
        <item x="36"/>
        <item x="38"/>
        <item x="41"/>
        <item x="42"/>
        <item x="43"/>
        <item x="44"/>
        <item x="47"/>
        <item x="48"/>
        <item x="49"/>
        <item x="51"/>
        <item x="52"/>
        <item x="53"/>
        <item x="54"/>
        <item x="58"/>
        <item x="60"/>
        <item t="default"/>
      </items>
    </pivotField>
    <pivotField compact="0" showAll="0">
      <items count="156">
        <item x="12"/>
        <item x="56"/>
        <item x="58"/>
        <item x="74"/>
        <item x="126"/>
        <item x="116"/>
        <item x="0"/>
        <item x="1"/>
        <item x="2"/>
        <item x="3"/>
        <item x="4"/>
        <item x="5"/>
        <item x="6"/>
        <item x="7"/>
        <item x="8"/>
        <item x="9"/>
        <item x="10"/>
        <item x="11"/>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7"/>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7"/>
        <item x="118"/>
        <item x="119"/>
        <item x="120"/>
        <item x="121"/>
        <item x="122"/>
        <item x="123"/>
        <item x="124"/>
        <item x="125"/>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t="default"/>
      </items>
    </pivotField>
    <pivotField compact="0" showAll="0">
      <items count="137">
        <item x="12"/>
        <item x="124"/>
        <item x="39"/>
        <item x="2"/>
        <item x="85"/>
        <item x="66"/>
        <item x="61"/>
        <item x="54"/>
        <item x="17"/>
        <item x="46"/>
        <item x="36"/>
        <item x="53"/>
        <item x="56"/>
        <item x="28"/>
        <item x="73"/>
        <item x="121"/>
        <item x="80"/>
        <item x="70"/>
        <item x="102"/>
        <item x="0"/>
        <item x="1"/>
        <item x="3"/>
        <item x="4"/>
        <item x="5"/>
        <item x="6"/>
        <item x="7"/>
        <item x="8"/>
        <item x="9"/>
        <item x="10"/>
        <item x="11"/>
        <item x="13"/>
        <item x="14"/>
        <item x="15"/>
        <item x="16"/>
        <item x="18"/>
        <item x="19"/>
        <item x="20"/>
        <item x="21"/>
        <item x="22"/>
        <item x="23"/>
        <item x="24"/>
        <item x="25"/>
        <item x="26"/>
        <item x="27"/>
        <item x="29"/>
        <item x="30"/>
        <item x="31"/>
        <item x="32"/>
        <item x="33"/>
        <item x="34"/>
        <item x="35"/>
        <item x="37"/>
        <item x="38"/>
        <item x="40"/>
        <item x="41"/>
        <item x="42"/>
        <item x="43"/>
        <item x="44"/>
        <item x="45"/>
        <item x="47"/>
        <item x="48"/>
        <item x="49"/>
        <item x="50"/>
        <item x="51"/>
        <item x="52"/>
        <item x="55"/>
        <item x="57"/>
        <item x="58"/>
        <item x="59"/>
        <item x="60"/>
        <item x="62"/>
        <item x="63"/>
        <item x="64"/>
        <item x="65"/>
        <item x="67"/>
        <item x="68"/>
        <item x="69"/>
        <item x="71"/>
        <item x="72"/>
        <item x="74"/>
        <item x="75"/>
        <item x="76"/>
        <item x="77"/>
        <item x="78"/>
        <item x="79"/>
        <item x="81"/>
        <item x="82"/>
        <item x="83"/>
        <item x="84"/>
        <item x="86"/>
        <item x="87"/>
        <item x="88"/>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2"/>
        <item x="123"/>
        <item x="125"/>
        <item x="126"/>
        <item x="127"/>
        <item x="128"/>
        <item x="129"/>
        <item x="130"/>
        <item x="131"/>
        <item x="132"/>
        <item x="133"/>
        <item x="134"/>
        <item x="135"/>
        <item t="default"/>
      </items>
    </pivotField>
    <pivotField dataField="1" compact="0" showAll="0">
      <items count="149">
        <item x="12"/>
        <item x="147"/>
        <item x="70"/>
        <item x="54"/>
        <item x="18"/>
        <item x="72"/>
        <item x="50"/>
        <item x="17"/>
        <item x="55"/>
        <item x="58"/>
        <item x="63"/>
        <item x="29"/>
        <item x="69"/>
        <item x="81"/>
        <item x="102"/>
        <item x="92"/>
        <item x="142"/>
        <item x="130"/>
        <item x="10"/>
        <item x="120"/>
        <item x="110"/>
        <item x="34"/>
        <item x="64"/>
        <item x="0"/>
        <item x="1"/>
        <item x="2"/>
        <item x="3"/>
        <item x="4"/>
        <item x="5"/>
        <item x="6"/>
        <item x="7"/>
        <item x="8"/>
        <item x="9"/>
        <item x="11"/>
        <item x="13"/>
        <item x="14"/>
        <item x="15"/>
        <item x="16"/>
        <item x="19"/>
        <item x="20"/>
        <item x="21"/>
        <item x="22"/>
        <item x="23"/>
        <item x="24"/>
        <item x="25"/>
        <item x="26"/>
        <item x="27"/>
        <item x="28"/>
        <item x="30"/>
        <item x="31"/>
        <item x="32"/>
        <item x="33"/>
        <item x="35"/>
        <item x="36"/>
        <item x="37"/>
        <item x="38"/>
        <item x="39"/>
        <item x="40"/>
        <item x="41"/>
        <item x="42"/>
        <item x="43"/>
        <item x="44"/>
        <item x="45"/>
        <item x="46"/>
        <item x="47"/>
        <item x="48"/>
        <item x="49"/>
        <item x="51"/>
        <item x="52"/>
        <item x="53"/>
        <item x="56"/>
        <item x="57"/>
        <item x="59"/>
        <item x="60"/>
        <item x="61"/>
        <item x="62"/>
        <item x="65"/>
        <item x="66"/>
        <item x="67"/>
        <item x="68"/>
        <item x="71"/>
        <item x="73"/>
        <item x="74"/>
        <item x="75"/>
        <item x="76"/>
        <item x="77"/>
        <item x="78"/>
        <item x="79"/>
        <item x="80"/>
        <item x="82"/>
        <item x="83"/>
        <item x="84"/>
        <item x="85"/>
        <item x="86"/>
        <item x="87"/>
        <item x="88"/>
        <item x="89"/>
        <item x="90"/>
        <item x="91"/>
        <item x="93"/>
        <item x="94"/>
        <item x="95"/>
        <item x="96"/>
        <item x="97"/>
        <item x="98"/>
        <item x="99"/>
        <item x="100"/>
        <item x="101"/>
        <item x="103"/>
        <item x="104"/>
        <item x="105"/>
        <item x="106"/>
        <item x="107"/>
        <item x="108"/>
        <item x="109"/>
        <item x="111"/>
        <item x="112"/>
        <item x="113"/>
        <item x="114"/>
        <item x="115"/>
        <item x="116"/>
        <item x="117"/>
        <item x="118"/>
        <item x="119"/>
        <item x="121"/>
        <item x="122"/>
        <item x="123"/>
        <item x="124"/>
        <item x="125"/>
        <item x="126"/>
        <item x="127"/>
        <item x="128"/>
        <item x="129"/>
        <item x="131"/>
        <item x="132"/>
        <item x="133"/>
        <item x="134"/>
        <item x="135"/>
        <item x="136"/>
        <item x="137"/>
        <item x="138"/>
        <item x="139"/>
        <item x="140"/>
        <item x="141"/>
        <item x="143"/>
        <item x="144"/>
        <item x="145"/>
        <item x="146"/>
        <item t="default"/>
      </items>
    </pivotField>
    <pivotField dataField="1" compact="0" showAll="0">
      <items count="52">
        <item x="1"/>
        <item x="50"/>
        <item x="5"/>
        <item x="2"/>
        <item x="10"/>
        <item x="46"/>
        <item x="49"/>
        <item x="47"/>
        <item x="21"/>
        <item x="23"/>
        <item x="24"/>
        <item x="3"/>
        <item x="12"/>
        <item x="13"/>
        <item x="31"/>
        <item x="15"/>
        <item x="18"/>
        <item x="33"/>
        <item x="0"/>
        <item x="34"/>
        <item x="37"/>
        <item x="40"/>
        <item x="20"/>
        <item x="14"/>
        <item x="4"/>
        <item x="6"/>
        <item x="7"/>
        <item x="8"/>
        <item x="9"/>
        <item x="11"/>
        <item x="16"/>
        <item x="17"/>
        <item x="19"/>
        <item x="22"/>
        <item x="25"/>
        <item x="26"/>
        <item x="27"/>
        <item x="28"/>
        <item x="29"/>
        <item x="30"/>
        <item x="32"/>
        <item x="35"/>
        <item x="36"/>
        <item x="38"/>
        <item x="39"/>
        <item x="41"/>
        <item x="42"/>
        <item x="43"/>
        <item x="44"/>
        <item x="45"/>
        <item x="48"/>
        <item t="default"/>
      </items>
    </pivotField>
    <pivotField compact="0" showAll="0">
      <items count="92">
        <item x="1"/>
        <item x="42"/>
        <item x="68"/>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9"/>
        <item x="70"/>
        <item x="71"/>
        <item x="72"/>
        <item x="73"/>
        <item x="74"/>
        <item x="75"/>
        <item x="76"/>
        <item x="77"/>
        <item x="78"/>
        <item x="79"/>
        <item x="80"/>
        <item x="81"/>
        <item x="82"/>
        <item x="83"/>
        <item x="84"/>
        <item x="85"/>
        <item x="86"/>
        <item x="87"/>
        <item x="88"/>
        <item x="89"/>
        <item x="90"/>
        <item t="default"/>
      </items>
    </pivotField>
    <pivotField compact="0" showAll="0">
      <items count="93">
        <item x="1"/>
        <item x="9"/>
        <item x="43"/>
        <item x="69"/>
        <item x="0"/>
        <item x="2"/>
        <item x="3"/>
        <item x="4"/>
        <item x="5"/>
        <item x="6"/>
        <item x="7"/>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4"/>
        <item x="45"/>
        <item x="46"/>
        <item x="47"/>
        <item x="48"/>
        <item x="49"/>
        <item x="50"/>
        <item x="51"/>
        <item x="52"/>
        <item x="53"/>
        <item x="54"/>
        <item x="55"/>
        <item x="56"/>
        <item x="57"/>
        <item x="58"/>
        <item x="59"/>
        <item x="60"/>
        <item x="61"/>
        <item x="62"/>
        <item x="63"/>
        <item x="64"/>
        <item x="65"/>
        <item x="66"/>
        <item x="67"/>
        <item x="68"/>
        <item x="70"/>
        <item x="71"/>
        <item x="72"/>
        <item x="73"/>
        <item x="74"/>
        <item x="75"/>
        <item x="76"/>
        <item x="77"/>
        <item x="78"/>
        <item x="79"/>
        <item x="80"/>
        <item x="81"/>
        <item x="82"/>
        <item x="83"/>
        <item x="84"/>
        <item x="85"/>
        <item x="86"/>
        <item x="87"/>
        <item x="88"/>
        <item x="89"/>
        <item x="90"/>
        <item x="91"/>
        <item t="default"/>
      </items>
    </pivotField>
    <pivotField dataField="1" compact="0" showAll="0">
      <items count="24">
        <item x="1"/>
        <item x="9"/>
        <item x="4"/>
        <item x="0"/>
        <item x="20"/>
        <item x="13"/>
        <item x="22"/>
        <item x="21"/>
        <item x="15"/>
        <item x="2"/>
        <item x="8"/>
        <item x="3"/>
        <item x="6"/>
        <item x="11"/>
        <item x="19"/>
        <item x="10"/>
        <item x="17"/>
        <item x="7"/>
        <item x="12"/>
        <item x="5"/>
        <item x="14"/>
        <item x="16"/>
        <item x="18"/>
        <item t="default"/>
      </items>
    </pivotField>
    <pivotField compact="0" showAll="0">
      <items count="25">
        <item x="1"/>
        <item x="9"/>
        <item x="4"/>
        <item x="0"/>
        <item x="14"/>
        <item x="23"/>
        <item x="12"/>
        <item x="2"/>
        <item x="20"/>
        <item x="3"/>
        <item x="22"/>
        <item x="6"/>
        <item x="10"/>
        <item x="11"/>
        <item x="17"/>
        <item x="16"/>
        <item x="7"/>
        <item x="5"/>
        <item x="8"/>
        <item x="13"/>
        <item x="15"/>
        <item x="18"/>
        <item x="19"/>
        <item x="21"/>
        <item t="default"/>
      </items>
    </pivotField>
    <pivotField compact="0" showAll="0">
      <items count="65">
        <item x="1"/>
        <item x="9"/>
        <item x="29"/>
        <item x="14"/>
        <item x="58"/>
        <item x="40"/>
        <item x="21"/>
        <item x="19"/>
        <item x="25"/>
        <item x="2"/>
        <item x="28"/>
        <item x="39"/>
        <item x="18"/>
        <item x="17"/>
        <item x="13"/>
        <item x="33"/>
        <item x="22"/>
        <item x="61"/>
        <item x="59"/>
        <item x="5"/>
        <item x="48"/>
        <item x="31"/>
        <item x="52"/>
        <item x="44"/>
        <item x="0"/>
        <item x="3"/>
        <item x="4"/>
        <item x="6"/>
        <item x="7"/>
        <item x="8"/>
        <item x="10"/>
        <item x="11"/>
        <item x="12"/>
        <item x="15"/>
        <item x="16"/>
        <item x="20"/>
        <item x="23"/>
        <item x="24"/>
        <item x="26"/>
        <item x="27"/>
        <item x="30"/>
        <item x="32"/>
        <item x="34"/>
        <item x="35"/>
        <item x="36"/>
        <item x="37"/>
        <item x="38"/>
        <item x="41"/>
        <item x="42"/>
        <item x="43"/>
        <item x="45"/>
        <item x="46"/>
        <item x="47"/>
        <item x="49"/>
        <item x="50"/>
        <item x="51"/>
        <item x="53"/>
        <item x="54"/>
        <item x="55"/>
        <item x="56"/>
        <item x="57"/>
        <item x="60"/>
        <item x="62"/>
        <item x="63"/>
        <item t="default"/>
      </items>
    </pivotField>
    <pivotField compact="0" showAll="0">
      <items count="15">
        <item x="0"/>
        <item x="1"/>
        <item x="6"/>
        <item x="8"/>
        <item x="13"/>
        <item x="2"/>
        <item x="7"/>
        <item x="3"/>
        <item x="4"/>
        <item x="10"/>
        <item x="5"/>
        <item x="9"/>
        <item x="11"/>
        <item x="12"/>
        <item t="default"/>
      </items>
    </pivotField>
    <pivotField compact="0" showAll="0">
      <items count="17">
        <item x="1"/>
        <item x="3"/>
        <item x="0"/>
        <item x="10"/>
        <item x="15"/>
        <item x="14"/>
        <item x="8"/>
        <item x="5"/>
        <item x="11"/>
        <item x="12"/>
        <item x="13"/>
        <item x="2"/>
        <item x="6"/>
        <item x="4"/>
        <item x="7"/>
        <item x="9"/>
        <item t="default"/>
      </items>
    </pivotField>
    <pivotField compact="0" showAll="0">
      <items count="33">
        <item x="1"/>
        <item x="31"/>
        <item x="16"/>
        <item x="0"/>
        <item x="6"/>
        <item x="19"/>
        <item x="30"/>
        <item x="3"/>
        <item x="9"/>
        <item x="2"/>
        <item x="15"/>
        <item x="14"/>
        <item x="17"/>
        <item x="10"/>
        <item x="11"/>
        <item x="12"/>
        <item x="24"/>
        <item x="25"/>
        <item x="4"/>
        <item x="5"/>
        <item x="7"/>
        <item x="8"/>
        <item x="13"/>
        <item x="18"/>
        <item x="20"/>
        <item x="21"/>
        <item x="22"/>
        <item x="23"/>
        <item x="26"/>
        <item x="27"/>
        <item x="28"/>
        <item x="29"/>
        <item t="default"/>
      </items>
    </pivotField>
    <pivotField compact="0"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dragToCol="0" dragToPage="0" dragToRow="0" compact="0" showAll="0"/>
    <pivotField dataField="1" dragToCol="0" dragToPage="0" dragToRow="0" compact="0" showAll="0"/>
  </pivotFields>
  <rowFields count="1">
    <field x="0"/>
  </rowFields>
  <rowItems count="1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926">
      <pivotArea dataOnly="0" labelOnly="1" fieldPosition="0">
        <references count="1">
          <reference field="4294967294" count="1">
            <x v="5"/>
          </reference>
        </references>
      </pivotArea>
    </format>
    <format dxfId="927">
      <pivotArea dataOnly="0" labelOnly="1" fieldPosition="0">
        <references count="1">
          <reference field="4294967294" count="1">
            <x v="6"/>
          </reference>
        </references>
      </pivotArea>
    </format>
    <format dxfId="928">
      <pivotArea collapsedLevelsAreSubtotals="1" fieldPosition="0">
        <references count="1">
          <reference field="4294967294" count="1" selected="0">
            <x v="5"/>
          </reference>
        </references>
      </pivotArea>
    </format>
    <format dxfId="929">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2.xml><?xml version="1.0" encoding="utf-8"?>
<pivotTableDefinition xmlns="http://schemas.openxmlformats.org/spreadsheetml/2006/main" name="数据透视表53" cacheId="44"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AJ129" firstHeaderRow="0" firstDataRow="1" firstDataCol="1"/>
  <pivotFields count="19">
    <pivotField axis="axisRow" compact="0" showAll="0">
      <items count="128">
        <item x="126"/>
        <item x="0"/>
        <item x="2"/>
        <item x="3"/>
        <item x="4"/>
        <item x="26"/>
        <item x="5"/>
        <item x="17"/>
        <item x="10"/>
        <item x="42"/>
        <item x="11"/>
        <item x="12"/>
        <item x="13"/>
        <item x="14"/>
        <item x="15"/>
        <item x="43"/>
        <item x="44"/>
        <item x="16"/>
        <item x="18"/>
        <item x="19"/>
        <item x="20"/>
        <item x="22"/>
        <item x="24"/>
        <item x="25"/>
        <item x="23"/>
        <item x="28"/>
        <item x="29"/>
        <item x="47"/>
        <item x="51"/>
        <item x="32"/>
        <item x="31"/>
        <item x="39"/>
        <item x="34"/>
        <item x="33"/>
        <item x="35"/>
        <item x="38"/>
        <item x="40"/>
        <item x="41"/>
        <item x="45"/>
        <item x="46"/>
        <item x="6"/>
        <item x="49"/>
        <item x="65"/>
        <item x="53"/>
        <item x="52"/>
        <item x="56"/>
        <item x="54"/>
        <item x="57"/>
        <item x="58"/>
        <item x="59"/>
        <item x="64"/>
        <item x="60"/>
        <item x="61"/>
        <item x="62"/>
        <item x="68"/>
        <item x="66"/>
        <item x="67"/>
        <item x="69"/>
        <item x="74"/>
        <item x="70"/>
        <item x="72"/>
        <item x="77"/>
        <item x="75"/>
        <item x="78"/>
        <item x="76"/>
        <item x="84"/>
        <item x="80"/>
        <item x="82"/>
        <item x="83"/>
        <item x="87"/>
        <item x="85"/>
        <item x="86"/>
        <item x="81"/>
        <item x="7"/>
        <item x="50"/>
        <item x="88"/>
        <item x="21"/>
        <item x="111"/>
        <item x="108"/>
        <item x="109"/>
        <item x="110"/>
        <item x="112"/>
        <item x="113"/>
        <item x="114"/>
        <item x="115"/>
        <item x="116"/>
        <item x="117"/>
        <item x="118"/>
        <item x="124"/>
        <item x="120"/>
        <item x="121"/>
        <item x="123"/>
        <item x="122"/>
        <item x="79"/>
        <item x="9"/>
        <item x="37"/>
        <item x="71"/>
        <item x="73"/>
        <item x="27"/>
        <item x="90"/>
        <item x="95"/>
        <item x="96"/>
        <item x="91"/>
        <item x="92"/>
        <item x="97"/>
        <item x="93"/>
        <item x="94"/>
        <item x="30"/>
        <item x="36"/>
        <item x="48"/>
        <item x="55"/>
        <item x="63"/>
        <item x="98"/>
        <item x="99"/>
        <item x="100"/>
        <item x="101"/>
        <item x="102"/>
        <item x="103"/>
        <item x="104"/>
        <item x="106"/>
        <item x="125"/>
        <item x="1"/>
        <item x="8"/>
        <item x="89"/>
        <item x="105"/>
        <item x="107"/>
        <item x="119"/>
        <item t="default"/>
      </items>
    </pivotField>
    <pivotField compact="0" showAll="0">
      <items count="113">
        <item x="111"/>
        <item x="0"/>
        <item x="2"/>
        <item x="3"/>
        <item x="4"/>
        <item x="26"/>
        <item x="5"/>
        <item x="17"/>
        <item x="10"/>
        <item x="42"/>
        <item x="11"/>
        <item x="12"/>
        <item x="13"/>
        <item x="14"/>
        <item x="15"/>
        <item x="43"/>
        <item x="44"/>
        <item x="16"/>
        <item x="18"/>
        <item x="19"/>
        <item x="20"/>
        <item x="22"/>
        <item x="24"/>
        <item x="25"/>
        <item x="23"/>
        <item x="28"/>
        <item x="29"/>
        <item x="47"/>
        <item x="51"/>
        <item x="32"/>
        <item x="31"/>
        <item x="39"/>
        <item x="34"/>
        <item x="33"/>
        <item x="35"/>
        <item x="38"/>
        <item x="40"/>
        <item x="41"/>
        <item x="45"/>
        <item x="46"/>
        <item x="6"/>
        <item x="49"/>
        <item x="65"/>
        <item x="53"/>
        <item x="52"/>
        <item x="56"/>
        <item x="54"/>
        <item x="57"/>
        <item x="58"/>
        <item x="59"/>
        <item x="64"/>
        <item x="60"/>
        <item x="61"/>
        <item x="62"/>
        <item x="68"/>
        <item x="66"/>
        <item x="67"/>
        <item x="69"/>
        <item x="74"/>
        <item x="70"/>
        <item x="72"/>
        <item x="77"/>
        <item x="75"/>
        <item x="78"/>
        <item x="76"/>
        <item x="84"/>
        <item x="80"/>
        <item x="82"/>
        <item x="83"/>
        <item x="87"/>
        <item x="85"/>
        <item x="86"/>
        <item x="108"/>
        <item x="81"/>
        <item x="110"/>
        <item x="7"/>
        <item x="50"/>
        <item x="88"/>
        <item x="21"/>
        <item x="109"/>
        <item x="79"/>
        <item x="9"/>
        <item x="37"/>
        <item x="71"/>
        <item x="73"/>
        <item x="27"/>
        <item x="90"/>
        <item x="95"/>
        <item x="96"/>
        <item x="91"/>
        <item x="92"/>
        <item x="97"/>
        <item x="93"/>
        <item x="94"/>
        <item x="30"/>
        <item x="36"/>
        <item x="48"/>
        <item x="55"/>
        <item x="63"/>
        <item x="98"/>
        <item x="99"/>
        <item x="100"/>
        <item x="101"/>
        <item x="102"/>
        <item x="103"/>
        <item x="104"/>
        <item x="106"/>
        <item x="1"/>
        <item x="8"/>
        <item x="89"/>
        <item x="105"/>
        <item x="107"/>
        <item t="default"/>
      </items>
    </pivotField>
    <pivotField dataField="1" compact="0" showAll="0">
      <items count="200">
        <item x="198"/>
        <item x="77"/>
        <item x="148"/>
        <item x="63"/>
        <item x="61"/>
        <item x="76"/>
        <item x="73"/>
        <item x="81"/>
        <item x="60"/>
        <item x="128"/>
        <item x="156"/>
        <item x="180"/>
        <item x="127"/>
        <item x="64"/>
        <item x="12"/>
        <item x="38"/>
        <item x="187"/>
        <item x="123"/>
        <item x="129"/>
        <item x="133"/>
        <item x="132"/>
        <item x="0"/>
        <item x="1"/>
        <item x="2"/>
        <item x="3"/>
        <item x="4"/>
        <item x="5"/>
        <item x="6"/>
        <item x="7"/>
        <item x="8"/>
        <item x="9"/>
        <item x="10"/>
        <item x="11"/>
        <item x="13"/>
        <item x="14"/>
        <item x="15"/>
        <item x="16"/>
        <item x="17"/>
        <item x="18"/>
        <item x="19"/>
        <item x="20"/>
        <item x="21"/>
        <item x="22"/>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5"/>
        <item x="56"/>
        <item x="57"/>
        <item x="58"/>
        <item x="59"/>
        <item x="62"/>
        <item x="65"/>
        <item x="66"/>
        <item x="67"/>
        <item x="68"/>
        <item x="69"/>
        <item x="70"/>
        <item x="71"/>
        <item x="72"/>
        <item x="74"/>
        <item x="75"/>
        <item x="78"/>
        <item x="79"/>
        <item x="80"/>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4"/>
        <item x="125"/>
        <item x="126"/>
        <item x="130"/>
        <item x="131"/>
        <item x="134"/>
        <item x="135"/>
        <item x="136"/>
        <item x="137"/>
        <item x="138"/>
        <item x="139"/>
        <item x="140"/>
        <item x="141"/>
        <item x="142"/>
        <item x="143"/>
        <item x="144"/>
        <item x="145"/>
        <item x="146"/>
        <item x="147"/>
        <item x="149"/>
        <item x="150"/>
        <item x="151"/>
        <item x="152"/>
        <item x="153"/>
        <item x="154"/>
        <item x="155"/>
        <item x="157"/>
        <item x="158"/>
        <item x="159"/>
        <item x="160"/>
        <item x="161"/>
        <item x="162"/>
        <item x="163"/>
        <item x="164"/>
        <item x="165"/>
        <item x="166"/>
        <item x="167"/>
        <item x="168"/>
        <item x="169"/>
        <item x="170"/>
        <item x="171"/>
        <item x="172"/>
        <item x="173"/>
        <item x="174"/>
        <item x="175"/>
        <item x="176"/>
        <item x="177"/>
        <item x="178"/>
        <item x="179"/>
        <item x="181"/>
        <item x="182"/>
        <item x="183"/>
        <item x="184"/>
        <item x="185"/>
        <item x="186"/>
        <item x="188"/>
        <item x="189"/>
        <item x="190"/>
        <item x="191"/>
        <item x="192"/>
        <item x="193"/>
        <item x="194"/>
        <item x="195"/>
        <item x="196"/>
        <item x="197"/>
        <item t="default"/>
      </items>
    </pivotField>
    <pivotField dataField="1" compact="0" showAll="0">
      <items count="80">
        <item x="12"/>
        <item x="18"/>
        <item x="25"/>
        <item x="40"/>
        <item x="47"/>
        <item x="28"/>
        <item x="78"/>
        <item x="20"/>
        <item x="59"/>
        <item x="48"/>
        <item x="10"/>
        <item x="1"/>
        <item x="16"/>
        <item x="32"/>
        <item x="36"/>
        <item x="57"/>
        <item x="26"/>
        <item x="6"/>
        <item x="69"/>
        <item x="56"/>
        <item x="39"/>
        <item x="58"/>
        <item x="23"/>
        <item x="50"/>
        <item x="64"/>
        <item x="24"/>
        <item x="75"/>
        <item x="29"/>
        <item x="17"/>
        <item x="70"/>
        <item x="30"/>
        <item x="11"/>
        <item x="72"/>
        <item x="3"/>
        <item x="49"/>
        <item x="68"/>
        <item x="14"/>
        <item x="19"/>
        <item x="2"/>
        <item x="53"/>
        <item x="21"/>
        <item x="60"/>
        <item x="0"/>
        <item x="4"/>
        <item x="5"/>
        <item x="7"/>
        <item x="8"/>
        <item x="9"/>
        <item x="13"/>
        <item x="15"/>
        <item x="22"/>
        <item x="27"/>
        <item x="31"/>
        <item x="33"/>
        <item x="34"/>
        <item x="35"/>
        <item x="37"/>
        <item x="38"/>
        <item x="41"/>
        <item x="42"/>
        <item x="43"/>
        <item x="44"/>
        <item x="45"/>
        <item x="46"/>
        <item x="51"/>
        <item x="52"/>
        <item x="54"/>
        <item x="55"/>
        <item x="61"/>
        <item x="62"/>
        <item x="63"/>
        <item x="65"/>
        <item x="66"/>
        <item x="67"/>
        <item x="71"/>
        <item x="73"/>
        <item x="74"/>
        <item x="76"/>
        <item x="77"/>
        <item t="default"/>
      </items>
    </pivotField>
    <pivotField compact="0" showAll="0">
      <items count="179">
        <item x="12"/>
        <item x="134"/>
        <item x="61"/>
        <item x="157"/>
        <item x="119"/>
        <item x="65"/>
        <item x="142"/>
        <item x="57"/>
        <item x="0"/>
        <item x="1"/>
        <item x="2"/>
        <item x="3"/>
        <item x="4"/>
        <item x="5"/>
        <item x="6"/>
        <item x="7"/>
        <item x="8"/>
        <item x="9"/>
        <item x="10"/>
        <item x="11"/>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8"/>
        <item x="59"/>
        <item x="60"/>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20"/>
        <item x="121"/>
        <item x="122"/>
        <item x="123"/>
        <item x="124"/>
        <item x="125"/>
        <item x="126"/>
        <item x="127"/>
        <item x="128"/>
        <item x="129"/>
        <item x="130"/>
        <item x="131"/>
        <item x="132"/>
        <item x="133"/>
        <item x="135"/>
        <item x="136"/>
        <item x="137"/>
        <item x="138"/>
        <item x="139"/>
        <item x="140"/>
        <item x="141"/>
        <item x="143"/>
        <item x="144"/>
        <item x="145"/>
        <item x="146"/>
        <item x="147"/>
        <item x="148"/>
        <item x="149"/>
        <item x="150"/>
        <item x="151"/>
        <item x="152"/>
        <item x="153"/>
        <item x="154"/>
        <item x="155"/>
        <item x="156"/>
        <item x="158"/>
        <item x="159"/>
        <item x="160"/>
        <item x="161"/>
        <item x="162"/>
        <item x="163"/>
        <item x="164"/>
        <item x="165"/>
        <item x="166"/>
        <item x="167"/>
        <item x="168"/>
        <item x="169"/>
        <item x="170"/>
        <item x="171"/>
        <item x="172"/>
        <item x="173"/>
        <item x="174"/>
        <item x="175"/>
        <item x="176"/>
        <item x="177"/>
        <item t="default"/>
      </items>
    </pivotField>
    <pivotField compact="0" showAll="0">
      <items count="165">
        <item x="12"/>
        <item x="109"/>
        <item x="105"/>
        <item x="67"/>
        <item x="146"/>
        <item x="59"/>
        <item x="43"/>
        <item x="87"/>
        <item x="58"/>
        <item x="6"/>
        <item x="93"/>
        <item x="77"/>
        <item x="96"/>
        <item x="86"/>
        <item x="115"/>
        <item x="30"/>
        <item x="99"/>
        <item x="27"/>
        <item x="39"/>
        <item x="144"/>
        <item x="54"/>
        <item x="61"/>
        <item x="63"/>
        <item x="32"/>
        <item x="38"/>
        <item x="127"/>
        <item x="131"/>
        <item x="150"/>
        <item x="151"/>
        <item x="153"/>
        <item x="74"/>
        <item x="112"/>
        <item x="0"/>
        <item x="1"/>
        <item x="2"/>
        <item x="3"/>
        <item x="4"/>
        <item x="5"/>
        <item x="7"/>
        <item x="8"/>
        <item x="9"/>
        <item x="10"/>
        <item x="11"/>
        <item x="13"/>
        <item x="14"/>
        <item x="15"/>
        <item x="16"/>
        <item x="17"/>
        <item x="18"/>
        <item x="19"/>
        <item x="20"/>
        <item x="21"/>
        <item x="22"/>
        <item x="23"/>
        <item x="24"/>
        <item x="25"/>
        <item x="26"/>
        <item x="28"/>
        <item x="29"/>
        <item x="31"/>
        <item x="33"/>
        <item x="34"/>
        <item x="35"/>
        <item x="36"/>
        <item x="37"/>
        <item x="40"/>
        <item x="41"/>
        <item x="42"/>
        <item x="44"/>
        <item x="45"/>
        <item x="46"/>
        <item x="47"/>
        <item x="48"/>
        <item x="49"/>
        <item x="50"/>
        <item x="51"/>
        <item x="52"/>
        <item x="53"/>
        <item x="55"/>
        <item x="56"/>
        <item x="57"/>
        <item x="60"/>
        <item x="62"/>
        <item x="64"/>
        <item x="65"/>
        <item x="66"/>
        <item x="68"/>
        <item x="69"/>
        <item x="70"/>
        <item x="71"/>
        <item x="72"/>
        <item x="73"/>
        <item x="75"/>
        <item x="76"/>
        <item x="78"/>
        <item x="79"/>
        <item x="80"/>
        <item x="81"/>
        <item x="82"/>
        <item x="83"/>
        <item x="84"/>
        <item x="85"/>
        <item x="88"/>
        <item x="89"/>
        <item x="90"/>
        <item x="91"/>
        <item x="92"/>
        <item x="94"/>
        <item x="95"/>
        <item x="97"/>
        <item x="98"/>
        <item x="100"/>
        <item x="101"/>
        <item x="102"/>
        <item x="103"/>
        <item x="104"/>
        <item x="106"/>
        <item x="107"/>
        <item x="108"/>
        <item x="110"/>
        <item x="111"/>
        <item x="113"/>
        <item x="114"/>
        <item x="116"/>
        <item x="117"/>
        <item x="118"/>
        <item x="119"/>
        <item x="120"/>
        <item x="121"/>
        <item x="122"/>
        <item x="123"/>
        <item x="124"/>
        <item x="125"/>
        <item x="126"/>
        <item x="128"/>
        <item x="129"/>
        <item x="130"/>
        <item x="132"/>
        <item x="133"/>
        <item x="134"/>
        <item x="135"/>
        <item x="136"/>
        <item x="137"/>
        <item x="138"/>
        <item x="139"/>
        <item x="140"/>
        <item x="141"/>
        <item x="142"/>
        <item x="143"/>
        <item x="145"/>
        <item x="147"/>
        <item x="148"/>
        <item x="149"/>
        <item x="152"/>
        <item x="154"/>
        <item x="155"/>
        <item x="156"/>
        <item x="157"/>
        <item x="158"/>
        <item x="159"/>
        <item x="160"/>
        <item x="161"/>
        <item x="162"/>
        <item x="163"/>
        <item t="default"/>
      </items>
    </pivotField>
    <pivotField dataField="1" compact="0" showAll="0">
      <items count="172">
        <item x="12"/>
        <item x="170"/>
        <item x="114"/>
        <item x="80"/>
        <item x="69"/>
        <item x="156"/>
        <item x="90"/>
        <item x="89"/>
        <item x="159"/>
        <item x="84"/>
        <item x="76"/>
        <item x="103"/>
        <item x="27"/>
        <item x="39"/>
        <item x="54"/>
        <item x="61"/>
        <item x="63"/>
        <item x="65"/>
        <item x="32"/>
        <item x="78"/>
        <item x="96"/>
        <item x="160"/>
        <item x="152"/>
        <item x="118"/>
        <item x="137"/>
        <item x="157"/>
        <item x="102"/>
        <item x="117"/>
        <item x="0"/>
        <item x="1"/>
        <item x="2"/>
        <item x="3"/>
        <item x="4"/>
        <item x="5"/>
        <item x="6"/>
        <item x="7"/>
        <item x="8"/>
        <item x="9"/>
        <item x="10"/>
        <item x="11"/>
        <item x="13"/>
        <item x="14"/>
        <item x="15"/>
        <item x="16"/>
        <item x="17"/>
        <item x="18"/>
        <item x="19"/>
        <item x="20"/>
        <item x="21"/>
        <item x="22"/>
        <item x="23"/>
        <item x="24"/>
        <item x="25"/>
        <item x="26"/>
        <item x="28"/>
        <item x="29"/>
        <item x="30"/>
        <item x="31"/>
        <item x="33"/>
        <item x="34"/>
        <item x="35"/>
        <item x="36"/>
        <item x="37"/>
        <item x="38"/>
        <item x="40"/>
        <item x="41"/>
        <item x="42"/>
        <item x="43"/>
        <item x="44"/>
        <item x="45"/>
        <item x="46"/>
        <item x="47"/>
        <item x="48"/>
        <item x="49"/>
        <item x="50"/>
        <item x="51"/>
        <item x="52"/>
        <item x="53"/>
        <item x="55"/>
        <item x="56"/>
        <item x="57"/>
        <item x="58"/>
        <item x="59"/>
        <item x="60"/>
        <item x="62"/>
        <item x="64"/>
        <item x="66"/>
        <item x="67"/>
        <item x="68"/>
        <item x="70"/>
        <item x="71"/>
        <item x="72"/>
        <item x="73"/>
        <item x="74"/>
        <item x="75"/>
        <item x="77"/>
        <item x="79"/>
        <item x="81"/>
        <item x="82"/>
        <item x="83"/>
        <item x="85"/>
        <item x="86"/>
        <item x="87"/>
        <item x="88"/>
        <item x="91"/>
        <item x="92"/>
        <item x="93"/>
        <item x="94"/>
        <item x="95"/>
        <item x="97"/>
        <item x="98"/>
        <item x="99"/>
        <item x="100"/>
        <item x="101"/>
        <item x="104"/>
        <item x="105"/>
        <item x="106"/>
        <item x="107"/>
        <item x="108"/>
        <item x="109"/>
        <item x="110"/>
        <item x="111"/>
        <item x="112"/>
        <item x="113"/>
        <item x="115"/>
        <item x="116"/>
        <item x="119"/>
        <item x="120"/>
        <item x="121"/>
        <item x="122"/>
        <item x="123"/>
        <item x="124"/>
        <item x="125"/>
        <item x="126"/>
        <item x="127"/>
        <item x="128"/>
        <item x="129"/>
        <item x="130"/>
        <item x="131"/>
        <item x="132"/>
        <item x="133"/>
        <item x="134"/>
        <item x="135"/>
        <item x="136"/>
        <item x="138"/>
        <item x="139"/>
        <item x="140"/>
        <item x="141"/>
        <item x="142"/>
        <item x="143"/>
        <item x="144"/>
        <item x="145"/>
        <item x="146"/>
        <item x="147"/>
        <item x="148"/>
        <item x="149"/>
        <item x="150"/>
        <item x="151"/>
        <item x="153"/>
        <item x="154"/>
        <item x="155"/>
        <item x="158"/>
        <item x="161"/>
        <item x="162"/>
        <item x="163"/>
        <item x="164"/>
        <item x="165"/>
        <item x="166"/>
        <item x="167"/>
        <item x="168"/>
        <item x="169"/>
        <item t="default"/>
      </items>
    </pivotField>
    <pivotField dataField="1" compact="0" showAll="0">
      <items count="63">
        <item x="1"/>
        <item x="61"/>
        <item x="23"/>
        <item x="39"/>
        <item x="9"/>
        <item x="5"/>
        <item x="19"/>
        <item x="11"/>
        <item x="59"/>
        <item x="57"/>
        <item x="38"/>
        <item x="25"/>
        <item x="58"/>
        <item x="35"/>
        <item x="4"/>
        <item x="46"/>
        <item x="14"/>
        <item x="18"/>
        <item x="16"/>
        <item x="27"/>
        <item x="40"/>
        <item x="24"/>
        <item x="29"/>
        <item x="34"/>
        <item x="36"/>
        <item x="0"/>
        <item x="41"/>
        <item x="43"/>
        <item x="44"/>
        <item x="45"/>
        <item x="2"/>
        <item x="3"/>
        <item x="6"/>
        <item x="7"/>
        <item x="8"/>
        <item x="10"/>
        <item x="12"/>
        <item x="13"/>
        <item x="15"/>
        <item x="17"/>
        <item x="20"/>
        <item x="21"/>
        <item x="22"/>
        <item x="26"/>
        <item x="28"/>
        <item x="30"/>
        <item x="31"/>
        <item x="32"/>
        <item x="33"/>
        <item x="37"/>
        <item x="42"/>
        <item x="47"/>
        <item x="48"/>
        <item x="49"/>
        <item x="50"/>
        <item x="51"/>
        <item x="52"/>
        <item x="53"/>
        <item x="54"/>
        <item x="55"/>
        <item x="56"/>
        <item x="60"/>
        <item t="default"/>
      </items>
    </pivotField>
    <pivotField compact="0" showAll="0">
      <items count="123">
        <item x="1"/>
        <item x="63"/>
        <item x="27"/>
        <item x="104"/>
        <item x="82"/>
        <item x="100"/>
        <item x="115"/>
        <item x="116"/>
        <item x="0"/>
        <item x="2"/>
        <item x="3"/>
        <item x="4"/>
        <item x="5"/>
        <item x="6"/>
        <item x="7"/>
        <item x="8"/>
        <item x="9"/>
        <item x="10"/>
        <item x="11"/>
        <item x="12"/>
        <item x="13"/>
        <item x="14"/>
        <item x="15"/>
        <item x="16"/>
        <item x="17"/>
        <item x="18"/>
        <item x="19"/>
        <item x="20"/>
        <item x="21"/>
        <item x="22"/>
        <item x="23"/>
        <item x="24"/>
        <item x="25"/>
        <item x="26"/>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4"/>
        <item x="65"/>
        <item x="66"/>
        <item x="67"/>
        <item x="68"/>
        <item x="69"/>
        <item x="70"/>
        <item x="71"/>
        <item x="72"/>
        <item x="73"/>
        <item x="74"/>
        <item x="75"/>
        <item x="76"/>
        <item x="77"/>
        <item x="78"/>
        <item x="79"/>
        <item x="80"/>
        <item x="81"/>
        <item x="83"/>
        <item x="84"/>
        <item x="85"/>
        <item x="86"/>
        <item x="87"/>
        <item x="88"/>
        <item x="89"/>
        <item x="90"/>
        <item x="91"/>
        <item x="92"/>
        <item x="93"/>
        <item x="94"/>
        <item x="95"/>
        <item x="96"/>
        <item x="97"/>
        <item x="98"/>
        <item x="99"/>
        <item x="101"/>
        <item x="102"/>
        <item x="103"/>
        <item x="105"/>
        <item x="106"/>
        <item x="107"/>
        <item x="108"/>
        <item x="109"/>
        <item x="110"/>
        <item x="111"/>
        <item x="112"/>
        <item x="113"/>
        <item x="114"/>
        <item x="117"/>
        <item x="118"/>
        <item x="119"/>
        <item x="120"/>
        <item x="121"/>
        <item t="default"/>
      </items>
    </pivotField>
    <pivotField compact="0" showAll="0">
      <items count="124">
        <item x="1"/>
        <item x="12"/>
        <item x="64"/>
        <item x="28"/>
        <item x="105"/>
        <item x="83"/>
        <item x="101"/>
        <item x="116"/>
        <item x="117"/>
        <item x="0"/>
        <item x="2"/>
        <item x="3"/>
        <item x="4"/>
        <item x="5"/>
        <item x="6"/>
        <item x="7"/>
        <item x="8"/>
        <item x="9"/>
        <item x="10"/>
        <item x="11"/>
        <item x="13"/>
        <item x="14"/>
        <item x="15"/>
        <item x="16"/>
        <item x="17"/>
        <item x="18"/>
        <item x="19"/>
        <item x="20"/>
        <item x="21"/>
        <item x="22"/>
        <item x="23"/>
        <item x="24"/>
        <item x="25"/>
        <item x="26"/>
        <item x="27"/>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5"/>
        <item x="66"/>
        <item x="67"/>
        <item x="68"/>
        <item x="69"/>
        <item x="70"/>
        <item x="71"/>
        <item x="72"/>
        <item x="73"/>
        <item x="74"/>
        <item x="75"/>
        <item x="76"/>
        <item x="77"/>
        <item x="78"/>
        <item x="79"/>
        <item x="80"/>
        <item x="81"/>
        <item x="82"/>
        <item x="84"/>
        <item x="85"/>
        <item x="86"/>
        <item x="87"/>
        <item x="88"/>
        <item x="89"/>
        <item x="90"/>
        <item x="91"/>
        <item x="92"/>
        <item x="93"/>
        <item x="94"/>
        <item x="95"/>
        <item x="96"/>
        <item x="97"/>
        <item x="98"/>
        <item x="99"/>
        <item x="100"/>
        <item x="102"/>
        <item x="103"/>
        <item x="104"/>
        <item x="106"/>
        <item x="107"/>
        <item x="108"/>
        <item x="109"/>
        <item x="110"/>
        <item x="111"/>
        <item x="112"/>
        <item x="113"/>
        <item x="114"/>
        <item x="115"/>
        <item x="118"/>
        <item x="119"/>
        <item x="120"/>
        <item x="121"/>
        <item x="122"/>
        <item t="default"/>
      </items>
    </pivotField>
    <pivotField dataField="1" compact="0" showAll="0">
      <items count="34">
        <item x="1"/>
        <item x="9"/>
        <item x="5"/>
        <item x="0"/>
        <item x="19"/>
        <item x="11"/>
        <item x="16"/>
        <item x="15"/>
        <item x="32"/>
        <item x="14"/>
        <item x="20"/>
        <item x="27"/>
        <item x="3"/>
        <item x="7"/>
        <item x="30"/>
        <item x="4"/>
        <item x="12"/>
        <item x="31"/>
        <item x="6"/>
        <item x="2"/>
        <item x="8"/>
        <item x="10"/>
        <item x="13"/>
        <item x="17"/>
        <item x="18"/>
        <item x="21"/>
        <item x="22"/>
        <item x="23"/>
        <item x="24"/>
        <item x="25"/>
        <item x="26"/>
        <item x="28"/>
        <item x="29"/>
        <item t="default"/>
      </items>
    </pivotField>
    <pivotField compact="0" showAll="0">
      <items count="34">
        <item x="1"/>
        <item x="9"/>
        <item x="5"/>
        <item x="18"/>
        <item x="0"/>
        <item x="11"/>
        <item x="13"/>
        <item x="32"/>
        <item x="19"/>
        <item x="15"/>
        <item x="24"/>
        <item x="2"/>
        <item x="28"/>
        <item x="4"/>
        <item x="10"/>
        <item x="3"/>
        <item x="7"/>
        <item x="12"/>
        <item x="31"/>
        <item x="27"/>
        <item x="29"/>
        <item x="6"/>
        <item x="8"/>
        <item x="14"/>
        <item x="16"/>
        <item x="17"/>
        <item x="20"/>
        <item x="21"/>
        <item x="22"/>
        <item x="23"/>
        <item x="25"/>
        <item x="26"/>
        <item x="30"/>
        <item t="default"/>
      </items>
    </pivotField>
    <pivotField compact="0" showAll="0">
      <items count="84">
        <item x="1"/>
        <item x="11"/>
        <item x="49"/>
        <item x="2"/>
        <item x="25"/>
        <item x="20"/>
        <item x="45"/>
        <item x="19"/>
        <item x="37"/>
        <item x="60"/>
        <item x="9"/>
        <item x="27"/>
        <item x="21"/>
        <item x="16"/>
        <item x="80"/>
        <item x="81"/>
        <item x="57"/>
        <item x="43"/>
        <item x="47"/>
        <item x="64"/>
        <item x="24"/>
        <item x="32"/>
        <item x="41"/>
        <item x="50"/>
        <item x="44"/>
        <item x="71"/>
        <item x="0"/>
        <item x="3"/>
        <item x="4"/>
        <item x="5"/>
        <item x="6"/>
        <item x="7"/>
        <item x="8"/>
        <item x="10"/>
        <item x="12"/>
        <item x="13"/>
        <item x="14"/>
        <item x="15"/>
        <item x="17"/>
        <item x="18"/>
        <item x="22"/>
        <item x="23"/>
        <item x="26"/>
        <item x="28"/>
        <item x="29"/>
        <item x="30"/>
        <item x="31"/>
        <item x="33"/>
        <item x="34"/>
        <item x="35"/>
        <item x="36"/>
        <item x="38"/>
        <item x="39"/>
        <item x="40"/>
        <item x="42"/>
        <item x="46"/>
        <item x="48"/>
        <item x="51"/>
        <item x="52"/>
        <item x="53"/>
        <item x="54"/>
        <item x="55"/>
        <item x="56"/>
        <item x="58"/>
        <item x="59"/>
        <item x="61"/>
        <item x="62"/>
        <item x="63"/>
        <item x="65"/>
        <item x="66"/>
        <item x="67"/>
        <item x="68"/>
        <item x="69"/>
        <item x="70"/>
        <item x="72"/>
        <item x="73"/>
        <item x="74"/>
        <item x="75"/>
        <item x="76"/>
        <item x="77"/>
        <item x="78"/>
        <item x="79"/>
        <item x="82"/>
        <item t="default"/>
      </items>
    </pivotField>
    <pivotField compact="0" showAll="0">
      <items count="20">
        <item x="1"/>
        <item x="2"/>
        <item x="0"/>
        <item x="10"/>
        <item x="18"/>
        <item x="8"/>
        <item x="7"/>
        <item x="5"/>
        <item x="14"/>
        <item x="3"/>
        <item x="13"/>
        <item x="4"/>
        <item x="15"/>
        <item x="6"/>
        <item x="9"/>
        <item x="11"/>
        <item x="12"/>
        <item x="16"/>
        <item x="17"/>
        <item t="default"/>
      </items>
    </pivotField>
    <pivotField compact="0" showAll="0">
      <items count="25">
        <item x="1"/>
        <item x="5"/>
        <item x="10"/>
        <item x="4"/>
        <item x="0"/>
        <item x="23"/>
        <item x="16"/>
        <item x="20"/>
        <item x="13"/>
        <item x="2"/>
        <item x="9"/>
        <item x="6"/>
        <item x="3"/>
        <item x="22"/>
        <item x="8"/>
        <item x="12"/>
        <item x="17"/>
        <item x="7"/>
        <item x="11"/>
        <item x="14"/>
        <item x="15"/>
        <item x="18"/>
        <item x="19"/>
        <item x="21"/>
        <item t="default"/>
      </items>
    </pivotField>
    <pivotField compact="0" showAll="0">
      <items count="43">
        <item x="1"/>
        <item x="41"/>
        <item x="35"/>
        <item x="0"/>
        <item x="2"/>
        <item x="8"/>
        <item x="5"/>
        <item x="38"/>
        <item x="17"/>
        <item x="19"/>
        <item x="31"/>
        <item x="28"/>
        <item x="14"/>
        <item x="12"/>
        <item x="36"/>
        <item x="11"/>
        <item x="26"/>
        <item x="24"/>
        <item x="27"/>
        <item x="29"/>
        <item x="30"/>
        <item x="4"/>
        <item x="40"/>
        <item x="3"/>
        <item x="6"/>
        <item x="7"/>
        <item x="9"/>
        <item x="10"/>
        <item x="13"/>
        <item x="15"/>
        <item x="16"/>
        <item x="18"/>
        <item x="20"/>
        <item x="21"/>
        <item x="22"/>
        <item x="23"/>
        <item x="25"/>
        <item x="32"/>
        <item x="33"/>
        <item x="34"/>
        <item x="37"/>
        <item x="39"/>
        <item t="default"/>
      </items>
    </pivotField>
    <pivotField compact="0" showAll="0">
      <items count="44">
        <item x="1"/>
        <item x="42"/>
        <item x="10"/>
        <item x="29"/>
        <item x="27"/>
        <item x="5"/>
        <item x="11"/>
        <item x="39"/>
        <item x="2"/>
        <item x="40"/>
        <item x="17"/>
        <item x="38"/>
        <item x="6"/>
        <item x="9"/>
        <item x="14"/>
        <item x="30"/>
        <item x="22"/>
        <item x="0"/>
        <item x="32"/>
        <item x="35"/>
        <item x="36"/>
        <item x="15"/>
        <item x="3"/>
        <item x="4"/>
        <item x="7"/>
        <item x="8"/>
        <item x="12"/>
        <item x="13"/>
        <item x="16"/>
        <item x="18"/>
        <item x="19"/>
        <item x="20"/>
        <item x="21"/>
        <item x="23"/>
        <item x="24"/>
        <item x="25"/>
        <item x="26"/>
        <item x="28"/>
        <item x="31"/>
        <item x="33"/>
        <item x="34"/>
        <item x="37"/>
        <item x="41"/>
        <item t="default"/>
      </items>
    </pivotField>
    <pivotField dataField="1" dragToCol="0" dragToPage="0" dragToRow="0" compact="0" showAll="0"/>
    <pivotField dataField="1" dragToCol="0" dragToPage="0" dragToRow="0" compact="0" showAll="0"/>
  </pivotFields>
  <rowFields count="1">
    <field x="0"/>
  </rowFields>
  <rowItems count="1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930">
      <pivotArea dataOnly="0" labelOnly="1" fieldPosition="0">
        <references count="1">
          <reference field="4294967294" count="1">
            <x v="5"/>
          </reference>
        </references>
      </pivotArea>
    </format>
    <format dxfId="931">
      <pivotArea dataOnly="0" labelOnly="1" fieldPosition="0">
        <references count="1">
          <reference field="4294967294" count="1">
            <x v="6"/>
          </reference>
        </references>
      </pivotArea>
    </format>
    <format dxfId="932">
      <pivotArea collapsedLevelsAreSubtotals="1" fieldPosition="0">
        <references count="1">
          <reference field="4294967294" count="1" selected="0">
            <x v="5"/>
          </reference>
        </references>
      </pivotArea>
    </format>
    <format dxfId="933">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3.xml><?xml version="1.0" encoding="utf-8"?>
<pivotTableDefinition xmlns="http://schemas.openxmlformats.org/spreadsheetml/2006/main" name="数据透视表50" cacheId="39"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B1:C130" firstHeaderRow="1" firstDataRow="1" firstDataCol="1"/>
  <pivotFields count="14">
    <pivotField compact="0" showAll="0">
      <items count="121">
        <item x="119"/>
        <item x="0"/>
        <item x="1"/>
        <item x="16"/>
        <item x="5"/>
        <item x="3"/>
        <item x="6"/>
        <item x="19"/>
        <item x="30"/>
        <item x="24"/>
        <item x="31"/>
        <item x="7"/>
        <item x="21"/>
        <item x="37"/>
        <item x="18"/>
        <item x="10"/>
        <item x="12"/>
        <item x="8"/>
        <item x="4"/>
        <item x="25"/>
        <item x="36"/>
        <item x="11"/>
        <item x="22"/>
        <item x="23"/>
        <item x="17"/>
        <item x="34"/>
        <item x="61"/>
        <item x="35"/>
        <item x="43"/>
        <item x="50"/>
        <item x="53"/>
        <item x="14"/>
        <item x="15"/>
        <item x="39"/>
        <item x="93"/>
        <item x="40"/>
        <item x="96"/>
        <item x="99"/>
        <item x="100"/>
        <item x="44"/>
        <item x="103"/>
        <item x="75"/>
        <item x="54"/>
        <item x="112"/>
        <item x="113"/>
        <item x="46"/>
        <item x="52"/>
        <item x="57"/>
        <item x="78"/>
        <item x="49"/>
        <item x="41"/>
        <item x="77"/>
        <item x="63"/>
        <item x="98"/>
        <item x="105"/>
        <item x="65"/>
        <item x="55"/>
        <item x="84"/>
        <item x="28"/>
        <item x="48"/>
        <item x="76"/>
        <item x="51"/>
        <item x="45"/>
        <item x="2"/>
        <item x="20"/>
        <item x="97"/>
        <item x="86"/>
        <item x="29"/>
        <item x="56"/>
        <item x="114"/>
        <item x="70"/>
        <item x="26"/>
        <item x="9"/>
        <item x="83"/>
        <item x="38"/>
        <item x="32"/>
        <item x="116"/>
        <item x="47"/>
        <item x="58"/>
        <item x="101"/>
        <item x="66"/>
        <item x="82"/>
        <item x="74"/>
        <item x="42"/>
        <item x="106"/>
        <item x="108"/>
        <item x="81"/>
        <item x="69"/>
        <item x="72"/>
        <item x="117"/>
        <item x="91"/>
        <item x="90"/>
        <item x="95"/>
        <item x="64"/>
        <item x="67"/>
        <item x="33"/>
        <item x="102"/>
        <item x="68"/>
        <item x="115"/>
        <item x="27"/>
        <item x="71"/>
        <item x="13"/>
        <item x="59"/>
        <item x="60"/>
        <item x="62"/>
        <item x="73"/>
        <item x="79"/>
        <item x="80"/>
        <item x="85"/>
        <item x="87"/>
        <item x="88"/>
        <item x="89"/>
        <item x="92"/>
        <item x="94"/>
        <item x="104"/>
        <item x="107"/>
        <item x="109"/>
        <item x="110"/>
        <item x="111"/>
        <item x="118"/>
        <item t="default"/>
      </items>
    </pivotField>
    <pivotField compact="0" showAll="0">
      <items count="124">
        <item x="122"/>
        <item x="0"/>
        <item x="1"/>
        <item x="16"/>
        <item x="5"/>
        <item x="3"/>
        <item x="6"/>
        <item x="19"/>
        <item x="30"/>
        <item x="24"/>
        <item x="31"/>
        <item x="7"/>
        <item x="21"/>
        <item x="37"/>
        <item x="18"/>
        <item x="10"/>
        <item x="12"/>
        <item x="8"/>
        <item x="4"/>
        <item x="25"/>
        <item x="36"/>
        <item x="11"/>
        <item x="22"/>
        <item x="23"/>
        <item x="17"/>
        <item x="34"/>
        <item x="61"/>
        <item x="35"/>
        <item x="43"/>
        <item x="50"/>
        <item x="53"/>
        <item x="14"/>
        <item x="15"/>
        <item x="39"/>
        <item x="93"/>
        <item x="40"/>
        <item x="96"/>
        <item x="99"/>
        <item x="100"/>
        <item x="44"/>
        <item x="103"/>
        <item x="75"/>
        <item x="54"/>
        <item x="112"/>
        <item x="113"/>
        <item x="46"/>
        <item x="52"/>
        <item x="57"/>
        <item x="78"/>
        <item x="49"/>
        <item x="41"/>
        <item x="77"/>
        <item x="63"/>
        <item x="98"/>
        <item x="105"/>
        <item x="65"/>
        <item x="55"/>
        <item x="84"/>
        <item x="121"/>
        <item x="28"/>
        <item x="119"/>
        <item x="48"/>
        <item x="76"/>
        <item x="51"/>
        <item x="45"/>
        <item x="2"/>
        <item x="20"/>
        <item x="97"/>
        <item x="86"/>
        <item x="29"/>
        <item x="56"/>
        <item x="114"/>
        <item x="70"/>
        <item x="26"/>
        <item x="9"/>
        <item x="83"/>
        <item x="38"/>
        <item x="32"/>
        <item x="116"/>
        <item x="47"/>
        <item x="58"/>
        <item x="101"/>
        <item x="66"/>
        <item x="82"/>
        <item x="74"/>
        <item x="42"/>
        <item x="106"/>
        <item x="108"/>
        <item x="81"/>
        <item x="72"/>
        <item x="117"/>
        <item x="91"/>
        <item x="90"/>
        <item x="95"/>
        <item x="64"/>
        <item x="67"/>
        <item x="33"/>
        <item x="102"/>
        <item x="68"/>
        <item x="115"/>
        <item x="69"/>
        <item x="27"/>
        <item x="71"/>
        <item x="13"/>
        <item x="59"/>
        <item x="60"/>
        <item x="62"/>
        <item x="73"/>
        <item x="79"/>
        <item x="80"/>
        <item x="85"/>
        <item x="87"/>
        <item x="88"/>
        <item x="89"/>
        <item x="92"/>
        <item x="94"/>
        <item x="104"/>
        <item x="107"/>
        <item x="109"/>
        <item x="110"/>
        <item x="111"/>
        <item x="118"/>
        <item x="120"/>
        <item t="default"/>
      </items>
    </pivotField>
    <pivotField axis="axisRow" compact="0" showAll="0">
      <items count="129">
        <item x="127"/>
        <item x="0"/>
        <item x="1"/>
        <item x="16"/>
        <item x="5"/>
        <item x="3"/>
        <item x="6"/>
        <item x="19"/>
        <item x="30"/>
        <item x="24"/>
        <item x="31"/>
        <item x="7"/>
        <item x="21"/>
        <item x="37"/>
        <item x="18"/>
        <item x="10"/>
        <item x="12"/>
        <item x="8"/>
        <item x="25"/>
        <item x="36"/>
        <item x="22"/>
        <item x="23"/>
        <item x="17"/>
        <item x="34"/>
        <item x="61"/>
        <item x="35"/>
        <item x="43"/>
        <item x="50"/>
        <item x="53"/>
        <item x="15"/>
        <item x="39"/>
        <item x="93"/>
        <item x="40"/>
        <item x="14"/>
        <item x="96"/>
        <item x="99"/>
        <item x="100"/>
        <item x="44"/>
        <item x="103"/>
        <item x="54"/>
        <item x="11"/>
        <item x="112"/>
        <item x="113"/>
        <item x="46"/>
        <item x="52"/>
        <item x="57"/>
        <item x="78"/>
        <item x="49"/>
        <item x="41"/>
        <item x="77"/>
        <item x="63"/>
        <item x="98"/>
        <item x="105"/>
        <item x="65"/>
        <item x="55"/>
        <item x="75"/>
        <item x="84"/>
        <item x="123"/>
        <item x="126"/>
        <item x="28"/>
        <item x="120"/>
        <item x="48"/>
        <item x="76"/>
        <item x="51"/>
        <item x="45"/>
        <item x="2"/>
        <item x="20"/>
        <item x="97"/>
        <item x="86"/>
        <item x="29"/>
        <item x="56"/>
        <item x="114"/>
        <item x="70"/>
        <item x="26"/>
        <item x="9"/>
        <item x="83"/>
        <item x="38"/>
        <item x="32"/>
        <item x="116"/>
        <item x="58"/>
        <item x="101"/>
        <item x="66"/>
        <item x="82"/>
        <item x="74"/>
        <item x="42"/>
        <item x="106"/>
        <item x="108"/>
        <item x="81"/>
        <item x="69"/>
        <item x="122"/>
        <item x="4"/>
        <item x="72"/>
        <item x="47"/>
        <item x="118"/>
        <item x="91"/>
        <item x="90"/>
        <item x="95"/>
        <item x="64"/>
        <item x="67"/>
        <item x="33"/>
        <item x="102"/>
        <item x="68"/>
        <item x="115"/>
        <item x="27"/>
        <item x="71"/>
        <item x="13"/>
        <item x="59"/>
        <item x="60"/>
        <item x="62"/>
        <item x="73"/>
        <item x="79"/>
        <item x="80"/>
        <item x="85"/>
        <item x="87"/>
        <item x="88"/>
        <item x="89"/>
        <item x="92"/>
        <item x="94"/>
        <item x="104"/>
        <item x="107"/>
        <item x="109"/>
        <item x="110"/>
        <item x="111"/>
        <item x="117"/>
        <item x="119"/>
        <item x="121"/>
        <item x="124"/>
        <item x="125"/>
        <item t="default"/>
      </items>
    </pivotField>
    <pivotField compact="0" showAll="0">
      <items count="76">
        <item x="74"/>
        <item x="44"/>
        <item x="51"/>
        <item x="55"/>
        <item x="63"/>
        <item x="59"/>
        <item x="58"/>
        <item x="62"/>
        <item x="70"/>
        <item x="47"/>
        <item x="25"/>
        <item x="67"/>
        <item x="43"/>
        <item x="48"/>
        <item x="72"/>
        <item x="46"/>
        <item x="71"/>
        <item x="61"/>
        <item x="28"/>
        <item x="50"/>
        <item x="65"/>
        <item x="56"/>
        <item x="60"/>
        <item x="27"/>
        <item x="53"/>
        <item x="33"/>
        <item x="12"/>
        <item x="11"/>
        <item x="22"/>
        <item x="52"/>
        <item x="54"/>
        <item x="35"/>
        <item x="36"/>
        <item x="38"/>
        <item x="26"/>
        <item x="37"/>
        <item x="69"/>
        <item x="39"/>
        <item x="30"/>
        <item x="64"/>
        <item x="0"/>
        <item x="1"/>
        <item x="2"/>
        <item x="3"/>
        <item x="4"/>
        <item x="5"/>
        <item x="6"/>
        <item x="7"/>
        <item x="8"/>
        <item x="9"/>
        <item x="10"/>
        <item x="13"/>
        <item x="14"/>
        <item x="15"/>
        <item x="16"/>
        <item x="17"/>
        <item x="18"/>
        <item x="19"/>
        <item x="20"/>
        <item x="21"/>
        <item x="23"/>
        <item x="24"/>
        <item x="29"/>
        <item x="31"/>
        <item x="32"/>
        <item x="34"/>
        <item x="40"/>
        <item x="41"/>
        <item x="42"/>
        <item x="45"/>
        <item x="49"/>
        <item x="57"/>
        <item x="66"/>
        <item x="68"/>
        <item x="73"/>
        <item t="default"/>
      </items>
    </pivotField>
    <pivotField compact="0" showAll="0">
      <items count="11">
        <item x="7"/>
        <item x="5"/>
        <item x="4"/>
        <item x="9"/>
        <item x="1"/>
        <item x="6"/>
        <item x="8"/>
        <item x="3"/>
        <item x="0"/>
        <item x="2"/>
        <item t="default"/>
      </items>
    </pivotField>
    <pivotField compact="0" showAll="0">
      <items count="85">
        <item x="83"/>
        <item x="44"/>
        <item x="59"/>
        <item x="25"/>
        <item x="61"/>
        <item x="27"/>
        <item x="70"/>
        <item x="63"/>
        <item x="67"/>
        <item x="72"/>
        <item x="37"/>
        <item x="62"/>
        <item x="39"/>
        <item x="48"/>
        <item x="47"/>
        <item x="51"/>
        <item x="58"/>
        <item x="69"/>
        <item x="71"/>
        <item x="29"/>
        <item x="8"/>
        <item x="60"/>
        <item x="30"/>
        <item x="35"/>
        <item x="36"/>
        <item x="38"/>
        <item x="26"/>
        <item x="43"/>
        <item x="56"/>
        <item x="28"/>
        <item x="64"/>
        <item x="33"/>
        <item x="3"/>
        <item x="0"/>
        <item x="1"/>
        <item x="2"/>
        <item x="4"/>
        <item x="5"/>
        <item x="6"/>
        <item x="7"/>
        <item x="9"/>
        <item x="10"/>
        <item x="11"/>
        <item x="12"/>
        <item x="13"/>
        <item x="14"/>
        <item x="15"/>
        <item x="16"/>
        <item x="17"/>
        <item x="18"/>
        <item x="19"/>
        <item x="20"/>
        <item x="21"/>
        <item x="22"/>
        <item x="23"/>
        <item x="24"/>
        <item x="31"/>
        <item x="32"/>
        <item x="34"/>
        <item x="40"/>
        <item x="41"/>
        <item x="42"/>
        <item x="45"/>
        <item x="46"/>
        <item x="49"/>
        <item x="50"/>
        <item x="52"/>
        <item x="53"/>
        <item x="54"/>
        <item x="55"/>
        <item x="57"/>
        <item x="65"/>
        <item x="66"/>
        <item x="68"/>
        <item x="73"/>
        <item x="74"/>
        <item x="75"/>
        <item x="76"/>
        <item x="77"/>
        <item x="78"/>
        <item x="79"/>
        <item x="80"/>
        <item x="81"/>
        <item x="82"/>
        <item t="default"/>
      </items>
    </pivotField>
    <pivotField compact="0" showAll="0">
      <items count="12">
        <item x="7"/>
        <item x="10"/>
        <item x="0"/>
        <item x="1"/>
        <item x="2"/>
        <item x="3"/>
        <item x="4"/>
        <item x="5"/>
        <item x="6"/>
        <item x="8"/>
        <item x="9"/>
        <item t="default"/>
      </items>
    </pivotField>
    <pivotField compact="0" showAll="0">
      <items count="92">
        <item x="90"/>
        <item x="28"/>
        <item x="89"/>
        <item x="68"/>
        <item x="64"/>
        <item x="65"/>
        <item x="73"/>
        <item x="46"/>
        <item x="71"/>
        <item x="81"/>
        <item x="57"/>
        <item x="59"/>
        <item x="72"/>
        <item x="83"/>
        <item x="37"/>
        <item x="88"/>
        <item x="78"/>
        <item x="74"/>
        <item x="75"/>
        <item x="53"/>
        <item x="55"/>
        <item x="87"/>
        <item x="31"/>
        <item x="56"/>
        <item x="58"/>
        <item x="50"/>
        <item x="34"/>
        <item x="27"/>
        <item x="49"/>
        <item x="35"/>
        <item x="86"/>
        <item x="85"/>
        <item x="43"/>
        <item x="38"/>
        <item x="82"/>
        <item x="60"/>
        <item x="76"/>
        <item x="0"/>
        <item x="1"/>
        <item x="2"/>
        <item x="3"/>
        <item x="4"/>
        <item x="5"/>
        <item x="6"/>
        <item x="7"/>
        <item x="8"/>
        <item x="9"/>
        <item x="10"/>
        <item x="11"/>
        <item x="12"/>
        <item x="13"/>
        <item x="14"/>
        <item x="15"/>
        <item x="16"/>
        <item x="17"/>
        <item x="18"/>
        <item x="19"/>
        <item x="20"/>
        <item x="21"/>
        <item x="22"/>
        <item x="23"/>
        <item x="24"/>
        <item x="25"/>
        <item x="26"/>
        <item x="29"/>
        <item x="30"/>
        <item x="32"/>
        <item x="33"/>
        <item x="36"/>
        <item x="39"/>
        <item x="40"/>
        <item x="41"/>
        <item x="42"/>
        <item x="44"/>
        <item x="45"/>
        <item x="47"/>
        <item x="48"/>
        <item x="51"/>
        <item x="52"/>
        <item x="54"/>
        <item x="61"/>
        <item x="62"/>
        <item x="63"/>
        <item x="66"/>
        <item x="67"/>
        <item x="69"/>
        <item x="70"/>
        <item x="77"/>
        <item x="79"/>
        <item x="80"/>
        <item x="84"/>
        <item t="default"/>
      </items>
    </pivotField>
    <pivotField compact="0" showAll="0">
      <items count="15">
        <item x="7"/>
        <item x="5"/>
        <item x="4"/>
        <item x="1"/>
        <item x="13"/>
        <item x="10"/>
        <item x="12"/>
        <item x="11"/>
        <item x="9"/>
        <item x="2"/>
        <item x="6"/>
        <item x="0"/>
        <item x="3"/>
        <item x="8"/>
        <item t="default"/>
      </items>
    </pivotField>
    <pivotField compact="0" showAll="0">
      <items count="90">
        <item x="88"/>
        <item x="28"/>
        <item x="61"/>
        <item x="45"/>
        <item x="69"/>
        <item x="58"/>
        <item x="67"/>
        <item x="65"/>
        <item x="49"/>
        <item x="57"/>
        <item x="38"/>
        <item x="74"/>
        <item x="31"/>
        <item x="62"/>
        <item x="54"/>
        <item x="68"/>
        <item x="55"/>
        <item x="9"/>
        <item x="15"/>
        <item x="5"/>
        <item x="33"/>
        <item x="34"/>
        <item x="56"/>
        <item x="27"/>
        <item x="19"/>
        <item x="43"/>
        <item x="48"/>
        <item x="37"/>
        <item x="52"/>
        <item x="24"/>
        <item x="53"/>
        <item x="76"/>
        <item x="73"/>
        <item x="50"/>
        <item x="0"/>
        <item x="1"/>
        <item x="2"/>
        <item x="3"/>
        <item x="4"/>
        <item x="6"/>
        <item x="7"/>
        <item x="8"/>
        <item x="10"/>
        <item x="11"/>
        <item x="12"/>
        <item x="13"/>
        <item x="14"/>
        <item x="16"/>
        <item x="17"/>
        <item x="18"/>
        <item x="20"/>
        <item x="21"/>
        <item x="22"/>
        <item x="23"/>
        <item x="25"/>
        <item x="26"/>
        <item x="29"/>
        <item x="30"/>
        <item x="32"/>
        <item x="35"/>
        <item x="36"/>
        <item x="39"/>
        <item x="40"/>
        <item x="41"/>
        <item x="42"/>
        <item x="44"/>
        <item x="46"/>
        <item x="47"/>
        <item x="51"/>
        <item x="59"/>
        <item x="60"/>
        <item x="63"/>
        <item x="64"/>
        <item x="66"/>
        <item x="70"/>
        <item x="71"/>
        <item x="72"/>
        <item x="75"/>
        <item x="77"/>
        <item x="78"/>
        <item x="79"/>
        <item x="80"/>
        <item x="81"/>
        <item x="82"/>
        <item x="83"/>
        <item x="84"/>
        <item x="85"/>
        <item x="86"/>
        <item x="87"/>
        <item t="default"/>
      </items>
    </pivotField>
    <pivotField compact="0" showAll="0">
      <items count="17">
        <item x="7"/>
        <item x="15"/>
        <item x="0"/>
        <item x="1"/>
        <item x="2"/>
        <item x="3"/>
        <item x="4"/>
        <item x="5"/>
        <item x="6"/>
        <item x="8"/>
        <item x="9"/>
        <item x="10"/>
        <item x="11"/>
        <item x="12"/>
        <item x="13"/>
        <item x="14"/>
        <item t="default"/>
      </items>
    </pivotField>
    <pivotField compact="0" showAll="0">
      <items count="34">
        <item x="5"/>
        <item x="32"/>
        <item x="17"/>
        <item x="23"/>
        <item x="21"/>
        <item x="16"/>
        <item x="28"/>
        <item x="0"/>
        <item x="1"/>
        <item x="2"/>
        <item x="3"/>
        <item x="4"/>
        <item x="6"/>
        <item x="7"/>
        <item x="8"/>
        <item x="9"/>
        <item x="10"/>
        <item x="11"/>
        <item x="12"/>
        <item x="13"/>
        <item x="14"/>
        <item x="15"/>
        <item x="18"/>
        <item x="19"/>
        <item x="20"/>
        <item x="22"/>
        <item x="24"/>
        <item x="25"/>
        <item x="26"/>
        <item x="27"/>
        <item x="29"/>
        <item x="30"/>
        <item x="31"/>
        <item t="default"/>
      </items>
    </pivotField>
    <pivotField compact="0" showAll="0">
      <items count="5">
        <item x="1"/>
        <item x="0"/>
        <item x="3"/>
        <item x="2"/>
        <item t="default"/>
      </items>
    </pivotField>
    <pivotField dataField="1" compact="0" showAll="0">
      <items count="25">
        <item x="21"/>
        <item x="19"/>
        <item x="18"/>
        <item x="20"/>
        <item x="22"/>
        <item x="23"/>
        <item x="15"/>
        <item x="14"/>
        <item x="13"/>
        <item x="17"/>
        <item x="11"/>
        <item x="10"/>
        <item x="16"/>
        <item x="8"/>
        <item x="1"/>
        <item x="12"/>
        <item x="0"/>
        <item x="2"/>
        <item x="3"/>
        <item x="4"/>
        <item x="5"/>
        <item x="6"/>
        <item x="7"/>
        <item x="9"/>
        <item t="default"/>
      </items>
    </pivotField>
  </pivotFields>
  <rowFields count="1">
    <field x="2"/>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4.xml><?xml version="1.0" encoding="utf-8"?>
<pivotTableDefinition xmlns="http://schemas.openxmlformats.org/spreadsheetml/2006/main" name="数据透视表54" cacheId="4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E1:F158" firstHeaderRow="1" firstDataRow="1" firstDataCol="1"/>
  <pivotFields count="14">
    <pivotField compact="0" showAll="0">
      <items count="146">
        <item x="144"/>
        <item x="0"/>
        <item x="1"/>
        <item x="12"/>
        <item x="5"/>
        <item x="3"/>
        <item x="43"/>
        <item x="21"/>
        <item x="32"/>
        <item x="8"/>
        <item x="26"/>
        <item x="9"/>
        <item x="6"/>
        <item x="17"/>
        <item x="23"/>
        <item x="16"/>
        <item x="33"/>
        <item x="63"/>
        <item x="24"/>
        <item x="10"/>
        <item x="11"/>
        <item x="61"/>
        <item x="25"/>
        <item x="4"/>
        <item x="56"/>
        <item x="15"/>
        <item x="18"/>
        <item x="50"/>
        <item x="14"/>
        <item x="28"/>
        <item x="37"/>
        <item x="31"/>
        <item x="38"/>
        <item x="131"/>
        <item x="47"/>
        <item x="35"/>
        <item x="66"/>
        <item x="44"/>
        <item x="45"/>
        <item x="36"/>
        <item x="49"/>
        <item x="20"/>
        <item x="70"/>
        <item x="71"/>
        <item x="77"/>
        <item x="76"/>
        <item x="127"/>
        <item x="103"/>
        <item x="55"/>
        <item x="98"/>
        <item x="78"/>
        <item x="64"/>
        <item x="93"/>
        <item x="105"/>
        <item x="130"/>
        <item x="57"/>
        <item x="96"/>
        <item x="95"/>
        <item x="108"/>
        <item x="67"/>
        <item x="134"/>
        <item x="42"/>
        <item x="106"/>
        <item x="140"/>
        <item x="48"/>
        <item x="115"/>
        <item x="58"/>
        <item x="74"/>
        <item x="143"/>
        <item x="54"/>
        <item x="116"/>
        <item x="46"/>
        <item x="75"/>
        <item x="89"/>
        <item x="97"/>
        <item x="29"/>
        <item x="81"/>
        <item x="141"/>
        <item x="65"/>
        <item x="109"/>
        <item x="128"/>
        <item x="73"/>
        <item x="124"/>
        <item x="72"/>
        <item x="102"/>
        <item x="91"/>
        <item x="139"/>
        <item x="126"/>
        <item x="90"/>
        <item x="114"/>
        <item x="59"/>
        <item x="79"/>
        <item x="111"/>
        <item x="2"/>
        <item x="125"/>
        <item x="13"/>
        <item x="92"/>
        <item x="107"/>
        <item x="27"/>
        <item x="30"/>
        <item x="41"/>
        <item x="19"/>
        <item x="7"/>
        <item x="100"/>
        <item x="22"/>
        <item x="39"/>
        <item x="68"/>
        <item x="51"/>
        <item x="40"/>
        <item x="80"/>
        <item x="60"/>
        <item x="62"/>
        <item x="129"/>
        <item x="132"/>
        <item x="133"/>
        <item x="113"/>
        <item x="83"/>
        <item x="84"/>
        <item x="137"/>
        <item x="69"/>
        <item x="94"/>
        <item x="101"/>
        <item x="112"/>
        <item x="53"/>
        <item x="119"/>
        <item x="121"/>
        <item x="104"/>
        <item x="110"/>
        <item x="82"/>
        <item x="99"/>
        <item x="118"/>
        <item x="52"/>
        <item x="87"/>
        <item x="34"/>
        <item x="85"/>
        <item x="86"/>
        <item x="88"/>
        <item x="117"/>
        <item x="120"/>
        <item x="122"/>
        <item x="123"/>
        <item x="135"/>
        <item x="136"/>
        <item x="138"/>
        <item x="142"/>
        <item t="default"/>
      </items>
    </pivotField>
    <pivotField compact="0" showAll="0">
      <items count="151">
        <item x="149"/>
        <item x="0"/>
        <item x="1"/>
        <item x="2"/>
        <item x="41"/>
        <item x="12"/>
        <item x="3"/>
        <item x="14"/>
        <item x="19"/>
        <item x="5"/>
        <item x="13"/>
        <item x="10"/>
        <item x="9"/>
        <item x="43"/>
        <item x="8"/>
        <item x="6"/>
        <item x="25"/>
        <item x="32"/>
        <item x="18"/>
        <item x="21"/>
        <item x="17"/>
        <item x="7"/>
        <item x="26"/>
        <item x="35"/>
        <item x="11"/>
        <item x="20"/>
        <item x="23"/>
        <item x="47"/>
        <item x="24"/>
        <item x="16"/>
        <item x="63"/>
        <item x="15"/>
        <item x="100"/>
        <item x="38"/>
        <item x="44"/>
        <item x="56"/>
        <item x="61"/>
        <item x="45"/>
        <item x="59"/>
        <item x="29"/>
        <item x="36"/>
        <item x="72"/>
        <item x="46"/>
        <item x="50"/>
        <item x="42"/>
        <item x="77"/>
        <item x="73"/>
        <item x="22"/>
        <item x="39"/>
        <item x="49"/>
        <item x="33"/>
        <item x="58"/>
        <item x="74"/>
        <item x="141"/>
        <item x="68"/>
        <item x="31"/>
        <item x="27"/>
        <item x="28"/>
        <item x="95"/>
        <item x="57"/>
        <item x="96"/>
        <item x="116"/>
        <item x="140"/>
        <item x="51"/>
        <item x="65"/>
        <item x="102"/>
        <item x="103"/>
        <item x="105"/>
        <item x="4"/>
        <item x="71"/>
        <item x="130"/>
        <item x="107"/>
        <item x="98"/>
        <item x="134"/>
        <item x="79"/>
        <item x="81"/>
        <item x="148"/>
        <item x="40"/>
        <item x="64"/>
        <item x="70"/>
        <item x="125"/>
        <item x="66"/>
        <item x="54"/>
        <item x="76"/>
        <item x="127"/>
        <item x="109"/>
        <item x="78"/>
        <item x="115"/>
        <item x="30"/>
        <item x="89"/>
        <item x="37"/>
        <item x="48"/>
        <item x="124"/>
        <item x="106"/>
        <item x="55"/>
        <item x="126"/>
        <item x="93"/>
        <item x="108"/>
        <item x="97"/>
        <item x="131"/>
        <item x="80"/>
        <item x="60"/>
        <item x="90"/>
        <item x="91"/>
        <item x="62"/>
        <item x="92"/>
        <item x="128"/>
        <item x="129"/>
        <item x="67"/>
        <item x="132"/>
        <item x="133"/>
        <item x="111"/>
        <item x="113"/>
        <item x="114"/>
        <item x="139"/>
        <item x="75"/>
        <item x="83"/>
        <item x="144"/>
        <item x="143"/>
        <item x="145"/>
        <item x="69"/>
        <item x="94"/>
        <item x="101"/>
        <item x="112"/>
        <item x="53"/>
        <item x="119"/>
        <item x="121"/>
        <item x="104"/>
        <item x="110"/>
        <item x="137"/>
        <item x="82"/>
        <item x="99"/>
        <item x="118"/>
        <item x="84"/>
        <item x="52"/>
        <item x="87"/>
        <item x="147"/>
        <item x="34"/>
        <item x="85"/>
        <item x="86"/>
        <item x="88"/>
        <item x="117"/>
        <item x="120"/>
        <item x="122"/>
        <item x="123"/>
        <item x="135"/>
        <item x="136"/>
        <item x="138"/>
        <item x="142"/>
        <item x="146"/>
        <item t="default"/>
      </items>
    </pivotField>
    <pivotField axis="axisRow" compact="0" showAll="0">
      <items count="157">
        <item x="155"/>
        <item x="0"/>
        <item x="1"/>
        <item x="12"/>
        <item x="5"/>
        <item x="3"/>
        <item x="43"/>
        <item x="21"/>
        <item x="32"/>
        <item x="8"/>
        <item x="26"/>
        <item x="9"/>
        <item x="6"/>
        <item x="17"/>
        <item x="23"/>
        <item x="16"/>
        <item x="33"/>
        <item x="63"/>
        <item x="24"/>
        <item x="10"/>
        <item x="11"/>
        <item x="61"/>
        <item x="25"/>
        <item x="4"/>
        <item x="56"/>
        <item x="15"/>
        <item x="18"/>
        <item x="50"/>
        <item x="14"/>
        <item x="28"/>
        <item x="37"/>
        <item x="31"/>
        <item x="38"/>
        <item x="131"/>
        <item x="47"/>
        <item x="35"/>
        <item x="66"/>
        <item x="44"/>
        <item x="45"/>
        <item x="36"/>
        <item x="49"/>
        <item x="20"/>
        <item x="70"/>
        <item x="71"/>
        <item x="77"/>
        <item x="76"/>
        <item x="127"/>
        <item x="103"/>
        <item x="55"/>
        <item x="98"/>
        <item x="78"/>
        <item x="64"/>
        <item x="93"/>
        <item x="105"/>
        <item x="130"/>
        <item x="57"/>
        <item x="96"/>
        <item x="95"/>
        <item x="108"/>
        <item x="67"/>
        <item x="134"/>
        <item x="106"/>
        <item x="140"/>
        <item x="48"/>
        <item x="115"/>
        <item x="58"/>
        <item x="74"/>
        <item x="54"/>
        <item x="116"/>
        <item x="46"/>
        <item x="75"/>
        <item x="89"/>
        <item x="97"/>
        <item x="29"/>
        <item x="81"/>
        <item x="141"/>
        <item x="65"/>
        <item x="109"/>
        <item x="128"/>
        <item x="73"/>
        <item x="124"/>
        <item x="72"/>
        <item x="42"/>
        <item x="102"/>
        <item x="91"/>
        <item x="145"/>
        <item x="144"/>
        <item x="149"/>
        <item x="146"/>
        <item x="152"/>
        <item x="153"/>
        <item x="148"/>
        <item x="139"/>
        <item x="126"/>
        <item x="90"/>
        <item x="114"/>
        <item x="59"/>
        <item x="79"/>
        <item x="111"/>
        <item x="2"/>
        <item x="125"/>
        <item x="13"/>
        <item x="92"/>
        <item x="107"/>
        <item x="27"/>
        <item x="30"/>
        <item x="41"/>
        <item x="19"/>
        <item x="7"/>
        <item x="100"/>
        <item x="22"/>
        <item x="39"/>
        <item x="68"/>
        <item x="142"/>
        <item x="40"/>
        <item x="80"/>
        <item x="60"/>
        <item x="62"/>
        <item x="129"/>
        <item x="132"/>
        <item x="133"/>
        <item x="113"/>
        <item x="83"/>
        <item x="84"/>
        <item x="147"/>
        <item x="137"/>
        <item x="69"/>
        <item x="94"/>
        <item x="51"/>
        <item x="101"/>
        <item x="112"/>
        <item x="53"/>
        <item x="119"/>
        <item x="121"/>
        <item x="104"/>
        <item x="110"/>
        <item x="82"/>
        <item x="99"/>
        <item x="118"/>
        <item x="52"/>
        <item x="87"/>
        <item x="154"/>
        <item x="34"/>
        <item x="85"/>
        <item x="86"/>
        <item x="88"/>
        <item x="117"/>
        <item x="120"/>
        <item x="122"/>
        <item x="123"/>
        <item x="135"/>
        <item x="136"/>
        <item x="138"/>
        <item x="143"/>
        <item x="150"/>
        <item x="151"/>
        <item t="default"/>
      </items>
    </pivotField>
    <pivotField compact="0" showAll="0">
      <items count="108">
        <item x="106"/>
        <item x="87"/>
        <item x="104"/>
        <item x="91"/>
        <item x="74"/>
        <item x="62"/>
        <item x="79"/>
        <item x="96"/>
        <item x="102"/>
        <item x="61"/>
        <item x="73"/>
        <item x="99"/>
        <item x="98"/>
        <item x="76"/>
        <item x="101"/>
        <item x="45"/>
        <item x="51"/>
        <item x="89"/>
        <item x="80"/>
        <item x="85"/>
        <item x="90"/>
        <item x="40"/>
        <item x="12"/>
        <item x="66"/>
        <item x="41"/>
        <item x="67"/>
        <item x="94"/>
        <item x="82"/>
        <item x="72"/>
        <item x="20"/>
        <item x="10"/>
        <item x="37"/>
        <item x="36"/>
        <item x="75"/>
        <item x="47"/>
        <item x="29"/>
        <item x="46"/>
        <item x="64"/>
        <item x="35"/>
        <item x="52"/>
        <item x="97"/>
        <item x="54"/>
        <item x="77"/>
        <item x="95"/>
        <item x="81"/>
        <item x="105"/>
        <item x="83"/>
        <item x="100"/>
        <item x="0"/>
        <item x="1"/>
        <item x="2"/>
        <item x="3"/>
        <item x="4"/>
        <item x="5"/>
        <item x="6"/>
        <item x="7"/>
        <item x="8"/>
        <item x="9"/>
        <item x="11"/>
        <item x="13"/>
        <item x="14"/>
        <item x="15"/>
        <item x="16"/>
        <item x="17"/>
        <item x="18"/>
        <item x="19"/>
        <item x="21"/>
        <item x="22"/>
        <item x="23"/>
        <item x="24"/>
        <item x="25"/>
        <item x="26"/>
        <item x="27"/>
        <item x="28"/>
        <item x="30"/>
        <item x="31"/>
        <item x="32"/>
        <item x="33"/>
        <item x="34"/>
        <item x="38"/>
        <item x="39"/>
        <item x="42"/>
        <item x="43"/>
        <item x="44"/>
        <item x="48"/>
        <item x="49"/>
        <item x="50"/>
        <item x="53"/>
        <item x="55"/>
        <item x="56"/>
        <item x="57"/>
        <item x="58"/>
        <item x="59"/>
        <item x="60"/>
        <item x="63"/>
        <item x="65"/>
        <item x="68"/>
        <item x="69"/>
        <item x="70"/>
        <item x="71"/>
        <item x="78"/>
        <item x="84"/>
        <item x="86"/>
        <item x="88"/>
        <item x="92"/>
        <item x="93"/>
        <item x="103"/>
        <item t="default"/>
      </items>
    </pivotField>
    <pivotField compact="0" showAll="0">
      <items count="16">
        <item x="13"/>
        <item x="10"/>
        <item x="8"/>
        <item x="11"/>
        <item x="5"/>
        <item x="6"/>
        <item x="14"/>
        <item x="7"/>
        <item x="12"/>
        <item x="0"/>
        <item x="1"/>
        <item x="2"/>
        <item x="3"/>
        <item x="4"/>
        <item x="9"/>
        <item t="default"/>
      </items>
    </pivotField>
    <pivotField compact="0" showAll="0">
      <items count="104">
        <item x="102"/>
        <item x="77"/>
        <item x="74"/>
        <item x="61"/>
        <item x="81"/>
        <item x="34"/>
        <item x="71"/>
        <item x="52"/>
        <item x="69"/>
        <item x="28"/>
        <item x="72"/>
        <item x="73"/>
        <item x="63"/>
        <item x="75"/>
        <item x="66"/>
        <item x="40"/>
        <item x="60"/>
        <item x="82"/>
        <item x="76"/>
        <item x="30"/>
        <item x="50"/>
        <item x="65"/>
        <item x="70"/>
        <item x="83"/>
        <item x="80"/>
        <item x="55"/>
        <item x="45"/>
        <item x="44"/>
        <item x="53"/>
        <item x="51"/>
        <item x="37"/>
        <item x="78"/>
        <item x="85"/>
        <item x="59"/>
        <item x="33"/>
        <item x="46"/>
        <item x="86"/>
        <item x="32"/>
        <item x="19"/>
        <item x="11"/>
        <item x="36"/>
        <item x="35"/>
        <item x="67"/>
        <item x="24"/>
        <item x="79"/>
        <item x="39"/>
        <item x="87"/>
        <item x="38"/>
        <item x="22"/>
        <item x="9"/>
        <item x="0"/>
        <item x="1"/>
        <item x="2"/>
        <item x="3"/>
        <item x="4"/>
        <item x="5"/>
        <item x="6"/>
        <item x="7"/>
        <item x="8"/>
        <item x="10"/>
        <item x="12"/>
        <item x="13"/>
        <item x="14"/>
        <item x="15"/>
        <item x="16"/>
        <item x="17"/>
        <item x="18"/>
        <item x="20"/>
        <item x="21"/>
        <item x="23"/>
        <item x="25"/>
        <item x="26"/>
        <item x="27"/>
        <item x="29"/>
        <item x="31"/>
        <item x="41"/>
        <item x="42"/>
        <item x="43"/>
        <item x="47"/>
        <item x="48"/>
        <item x="49"/>
        <item x="54"/>
        <item x="56"/>
        <item x="57"/>
        <item x="58"/>
        <item x="62"/>
        <item x="64"/>
        <item x="68"/>
        <item x="84"/>
        <item x="88"/>
        <item x="89"/>
        <item x="90"/>
        <item x="91"/>
        <item x="92"/>
        <item x="93"/>
        <item x="94"/>
        <item x="95"/>
        <item x="96"/>
        <item x="97"/>
        <item x="98"/>
        <item x="99"/>
        <item x="100"/>
        <item x="101"/>
        <item t="default"/>
      </items>
    </pivotField>
    <pivotField compact="0" showAll="0">
      <items count="19">
        <item x="13"/>
        <item x="17"/>
        <item x="0"/>
        <item x="1"/>
        <item x="2"/>
        <item x="3"/>
        <item x="4"/>
        <item x="5"/>
        <item x="6"/>
        <item x="7"/>
        <item x="8"/>
        <item x="9"/>
        <item x="10"/>
        <item x="11"/>
        <item x="12"/>
        <item x="14"/>
        <item x="15"/>
        <item x="16"/>
        <item t="default"/>
      </items>
    </pivotField>
    <pivotField compact="0" showAll="0">
      <items count="114">
        <item x="112"/>
        <item x="109"/>
        <item x="81"/>
        <item x="99"/>
        <item x="93"/>
        <item x="86"/>
        <item x="98"/>
        <item x="105"/>
        <item x="67"/>
        <item x="91"/>
        <item x="76"/>
        <item x="79"/>
        <item x="96"/>
        <item x="54"/>
        <item x="51"/>
        <item x="90"/>
        <item x="84"/>
        <item x="97"/>
        <item x="104"/>
        <item x="66"/>
        <item x="92"/>
        <item x="73"/>
        <item x="108"/>
        <item x="101"/>
        <item x="100"/>
        <item x="63"/>
        <item x="111"/>
        <item x="61"/>
        <item x="23"/>
        <item x="8"/>
        <item x="15"/>
        <item x="78"/>
        <item x="4"/>
        <item x="82"/>
        <item x="27"/>
        <item x="71"/>
        <item x="47"/>
        <item x="56"/>
        <item x="58"/>
        <item x="77"/>
        <item x="72"/>
        <item x="55"/>
        <item x="102"/>
        <item x="103"/>
        <item x="110"/>
        <item x="0"/>
        <item x="1"/>
        <item x="2"/>
        <item x="3"/>
        <item x="5"/>
        <item x="6"/>
        <item x="7"/>
        <item x="9"/>
        <item x="10"/>
        <item x="11"/>
        <item x="12"/>
        <item x="13"/>
        <item x="14"/>
        <item x="16"/>
        <item x="17"/>
        <item x="18"/>
        <item x="19"/>
        <item x="20"/>
        <item x="21"/>
        <item x="22"/>
        <item x="24"/>
        <item x="25"/>
        <item x="26"/>
        <item x="28"/>
        <item x="29"/>
        <item x="30"/>
        <item x="31"/>
        <item x="32"/>
        <item x="33"/>
        <item x="34"/>
        <item x="35"/>
        <item x="36"/>
        <item x="37"/>
        <item x="38"/>
        <item x="39"/>
        <item x="40"/>
        <item x="41"/>
        <item x="42"/>
        <item x="43"/>
        <item x="44"/>
        <item x="45"/>
        <item x="46"/>
        <item x="48"/>
        <item x="49"/>
        <item x="50"/>
        <item x="52"/>
        <item x="53"/>
        <item x="57"/>
        <item x="59"/>
        <item x="60"/>
        <item x="62"/>
        <item x="64"/>
        <item x="65"/>
        <item x="68"/>
        <item x="69"/>
        <item x="70"/>
        <item x="74"/>
        <item x="75"/>
        <item x="80"/>
        <item x="83"/>
        <item x="85"/>
        <item x="87"/>
        <item x="88"/>
        <item x="89"/>
        <item x="94"/>
        <item x="95"/>
        <item x="106"/>
        <item x="107"/>
        <item t="default"/>
      </items>
    </pivotField>
    <pivotField compact="0" showAll="0">
      <items count="19">
        <item x="16"/>
        <item x="11"/>
        <item x="9"/>
        <item x="13"/>
        <item x="4"/>
        <item x="5"/>
        <item x="17"/>
        <item x="6"/>
        <item x="8"/>
        <item x="15"/>
        <item x="14"/>
        <item x="12"/>
        <item x="7"/>
        <item x="0"/>
        <item x="1"/>
        <item x="2"/>
        <item x="3"/>
        <item x="10"/>
        <item t="default"/>
      </items>
    </pivotField>
    <pivotField compact="0" showAll="0">
      <items count="99">
        <item x="97"/>
        <item x="73"/>
        <item x="48"/>
        <item x="70"/>
        <item x="71"/>
        <item x="68"/>
        <item x="66"/>
        <item x="69"/>
        <item x="63"/>
        <item x="60"/>
        <item x="55"/>
        <item x="51"/>
        <item x="77"/>
        <item x="64"/>
        <item x="65"/>
        <item x="91"/>
        <item x="50"/>
        <item x="49"/>
        <item x="52"/>
        <item x="44"/>
        <item x="26"/>
        <item x="80"/>
        <item x="74"/>
        <item x="81"/>
        <item x="28"/>
        <item x="24"/>
        <item x="40"/>
        <item x="53"/>
        <item x="76"/>
        <item x="72"/>
        <item x="32"/>
        <item x="79"/>
        <item x="8"/>
        <item x="20"/>
        <item x="36"/>
        <item x="15"/>
        <item x="45"/>
        <item x="19"/>
        <item x="4"/>
        <item x="59"/>
        <item x="42"/>
        <item x="27"/>
        <item x="57"/>
        <item x="56"/>
        <item x="54"/>
        <item x="30"/>
        <item x="82"/>
        <item x="41"/>
        <item x="0"/>
        <item x="1"/>
        <item x="2"/>
        <item x="3"/>
        <item x="5"/>
        <item x="6"/>
        <item x="7"/>
        <item x="9"/>
        <item x="10"/>
        <item x="11"/>
        <item x="12"/>
        <item x="13"/>
        <item x="14"/>
        <item x="16"/>
        <item x="17"/>
        <item x="18"/>
        <item x="21"/>
        <item x="22"/>
        <item x="23"/>
        <item x="25"/>
        <item x="29"/>
        <item x="31"/>
        <item x="33"/>
        <item x="34"/>
        <item x="35"/>
        <item x="37"/>
        <item x="38"/>
        <item x="39"/>
        <item x="43"/>
        <item x="46"/>
        <item x="47"/>
        <item x="58"/>
        <item x="61"/>
        <item x="62"/>
        <item x="67"/>
        <item x="75"/>
        <item x="78"/>
        <item x="83"/>
        <item x="84"/>
        <item x="85"/>
        <item x="86"/>
        <item x="87"/>
        <item x="88"/>
        <item x="89"/>
        <item x="90"/>
        <item x="92"/>
        <item x="93"/>
        <item x="94"/>
        <item x="95"/>
        <item x="96"/>
        <item t="default"/>
      </items>
    </pivotField>
    <pivotField compact="0" showAll="0">
      <items count="23">
        <item x="16"/>
        <item x="21"/>
        <item x="10"/>
        <item x="0"/>
        <item x="1"/>
        <item x="2"/>
        <item x="3"/>
        <item x="4"/>
        <item x="5"/>
        <item x="6"/>
        <item x="7"/>
        <item x="8"/>
        <item x="9"/>
        <item x="11"/>
        <item x="12"/>
        <item x="13"/>
        <item x="14"/>
        <item x="15"/>
        <item x="17"/>
        <item x="18"/>
        <item x="19"/>
        <item x="20"/>
        <item t="default"/>
      </items>
    </pivotField>
    <pivotField compact="0" showAll="0">
      <items count="69">
        <item x="5"/>
        <item x="67"/>
        <item x="48"/>
        <item x="47"/>
        <item x="18"/>
        <item x="42"/>
        <item x="22"/>
        <item x="37"/>
        <item x="53"/>
        <item x="41"/>
        <item x="66"/>
        <item x="17"/>
        <item x="55"/>
        <item x="10"/>
        <item x="0"/>
        <item x="1"/>
        <item x="2"/>
        <item x="3"/>
        <item x="4"/>
        <item x="6"/>
        <item x="7"/>
        <item x="8"/>
        <item x="9"/>
        <item x="11"/>
        <item x="12"/>
        <item x="13"/>
        <item x="14"/>
        <item x="15"/>
        <item x="16"/>
        <item x="19"/>
        <item x="20"/>
        <item x="21"/>
        <item x="23"/>
        <item x="24"/>
        <item x="25"/>
        <item x="26"/>
        <item x="27"/>
        <item x="28"/>
        <item x="29"/>
        <item x="30"/>
        <item x="31"/>
        <item x="32"/>
        <item x="33"/>
        <item x="34"/>
        <item x="35"/>
        <item x="36"/>
        <item x="38"/>
        <item x="39"/>
        <item x="40"/>
        <item x="43"/>
        <item x="44"/>
        <item x="45"/>
        <item x="46"/>
        <item x="49"/>
        <item x="50"/>
        <item x="51"/>
        <item x="52"/>
        <item x="54"/>
        <item x="56"/>
        <item x="57"/>
        <item x="58"/>
        <item x="59"/>
        <item x="60"/>
        <item x="61"/>
        <item x="62"/>
        <item x="63"/>
        <item x="64"/>
        <item x="65"/>
        <item t="default"/>
      </items>
    </pivotField>
    <pivotField compact="0" showAll="0">
      <items count="12">
        <item x="7"/>
        <item x="1"/>
        <item x="10"/>
        <item x="5"/>
        <item x="3"/>
        <item x="9"/>
        <item x="0"/>
        <item x="2"/>
        <item x="4"/>
        <item x="6"/>
        <item x="8"/>
        <item t="default"/>
      </items>
    </pivotField>
    <pivotField dataField="1" compact="0" showAll="0">
      <items count="36">
        <item x="30"/>
        <item x="32"/>
        <item x="29"/>
        <item x="33"/>
        <item x="31"/>
        <item x="28"/>
        <item x="34"/>
        <item x="26"/>
        <item x="27"/>
        <item x="25"/>
        <item x="24"/>
        <item x="23"/>
        <item x="22"/>
        <item x="20"/>
        <item x="21"/>
        <item x="18"/>
        <item x="8"/>
        <item x="12"/>
        <item x="16"/>
        <item x="17"/>
        <item x="0"/>
        <item x="1"/>
        <item x="2"/>
        <item x="3"/>
        <item x="4"/>
        <item x="5"/>
        <item x="6"/>
        <item x="7"/>
        <item x="9"/>
        <item x="10"/>
        <item x="11"/>
        <item x="13"/>
        <item x="14"/>
        <item x="15"/>
        <item x="19"/>
        <item t="default"/>
      </items>
    </pivotField>
  </pivotFields>
  <rowFields count="1">
    <field x="2"/>
  </rowFields>
  <rowItems count="1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5.xml><?xml version="1.0" encoding="utf-8"?>
<pivotTableDefinition xmlns="http://schemas.openxmlformats.org/spreadsheetml/2006/main" name="数据透视表51" cacheId="42"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K1:R118" firstHeaderRow="0" firstDataRow="1" firstDataCol="1"/>
  <pivotFields count="19">
    <pivotField axis="axisRow" compact="0" showAll="0">
      <items count="117">
        <item x="115"/>
        <item x="0"/>
        <item x="2"/>
        <item x="3"/>
        <item x="4"/>
        <item x="24"/>
        <item x="5"/>
        <item x="16"/>
        <item x="10"/>
        <item x="11"/>
        <item x="12"/>
        <item x="13"/>
        <item x="14"/>
        <item x="40"/>
        <item x="41"/>
        <item x="15"/>
        <item x="17"/>
        <item x="18"/>
        <item x="19"/>
        <item x="21"/>
        <item x="22"/>
        <item x="44"/>
        <item x="26"/>
        <item x="45"/>
        <item x="29"/>
        <item x="28"/>
        <item x="36"/>
        <item x="30"/>
        <item x="32"/>
        <item x="35"/>
        <item x="37"/>
        <item x="38"/>
        <item x="42"/>
        <item x="43"/>
        <item x="46"/>
        <item x="58"/>
        <item x="49"/>
        <item x="50"/>
        <item x="59"/>
        <item x="52"/>
        <item x="57"/>
        <item x="53"/>
        <item x="54"/>
        <item x="55"/>
        <item x="60"/>
        <item x="61"/>
        <item x="62"/>
        <item x="63"/>
        <item x="69"/>
        <item x="67"/>
        <item x="70"/>
        <item x="68"/>
        <item x="72"/>
        <item x="74"/>
        <item x="75"/>
        <item x="78"/>
        <item x="76"/>
        <item x="73"/>
        <item x="7"/>
        <item x="47"/>
        <item x="48"/>
        <item x="79"/>
        <item x="100"/>
        <item x="97"/>
        <item x="98"/>
        <item x="101"/>
        <item x="102"/>
        <item x="103"/>
        <item x="104"/>
        <item x="105"/>
        <item x="106"/>
        <item x="109"/>
        <item x="110"/>
        <item x="111"/>
        <item x="112"/>
        <item x="113"/>
        <item x="71"/>
        <item x="77"/>
        <item x="6"/>
        <item x="9"/>
        <item x="20"/>
        <item x="34"/>
        <item x="64"/>
        <item x="66"/>
        <item x="23"/>
        <item x="25"/>
        <item x="81"/>
        <item x="88"/>
        <item x="89"/>
        <item x="82"/>
        <item x="86"/>
        <item x="39"/>
        <item x="99"/>
        <item x="27"/>
        <item x="31"/>
        <item x="33"/>
        <item x="51"/>
        <item x="56"/>
        <item x="65"/>
        <item x="83"/>
        <item x="84"/>
        <item x="87"/>
        <item x="90"/>
        <item x="91"/>
        <item x="92"/>
        <item x="93"/>
        <item x="95"/>
        <item x="114"/>
        <item x="1"/>
        <item x="8"/>
        <item x="80"/>
        <item x="85"/>
        <item x="94"/>
        <item x="96"/>
        <item x="107"/>
        <item x="108"/>
        <item t="default"/>
      </items>
    </pivotField>
    <pivotField compact="0" showAll="0">
      <items count="102">
        <item x="100"/>
        <item x="0"/>
        <item x="2"/>
        <item x="3"/>
        <item x="4"/>
        <item x="24"/>
        <item x="5"/>
        <item x="16"/>
        <item x="10"/>
        <item x="11"/>
        <item x="12"/>
        <item x="13"/>
        <item x="14"/>
        <item x="40"/>
        <item x="41"/>
        <item x="15"/>
        <item x="17"/>
        <item x="18"/>
        <item x="19"/>
        <item x="21"/>
        <item x="22"/>
        <item x="44"/>
        <item x="26"/>
        <item x="45"/>
        <item x="29"/>
        <item x="28"/>
        <item x="36"/>
        <item x="30"/>
        <item x="32"/>
        <item x="35"/>
        <item x="37"/>
        <item x="38"/>
        <item x="42"/>
        <item x="43"/>
        <item x="46"/>
        <item x="58"/>
        <item x="49"/>
        <item x="50"/>
        <item x="59"/>
        <item x="52"/>
        <item x="57"/>
        <item x="53"/>
        <item x="54"/>
        <item x="55"/>
        <item x="60"/>
        <item x="61"/>
        <item x="62"/>
        <item x="63"/>
        <item x="69"/>
        <item x="67"/>
        <item x="70"/>
        <item x="68"/>
        <item x="72"/>
        <item x="74"/>
        <item x="75"/>
        <item x="78"/>
        <item x="76"/>
        <item x="97"/>
        <item x="73"/>
        <item x="99"/>
        <item x="7"/>
        <item x="47"/>
        <item x="48"/>
        <item x="79"/>
        <item x="77"/>
        <item x="98"/>
        <item x="71"/>
        <item x="6"/>
        <item x="9"/>
        <item x="20"/>
        <item x="34"/>
        <item x="64"/>
        <item x="66"/>
        <item x="23"/>
        <item x="25"/>
        <item x="81"/>
        <item x="88"/>
        <item x="89"/>
        <item x="82"/>
        <item x="86"/>
        <item x="39"/>
        <item x="27"/>
        <item x="31"/>
        <item x="33"/>
        <item x="51"/>
        <item x="56"/>
        <item x="65"/>
        <item x="83"/>
        <item x="84"/>
        <item x="87"/>
        <item x="90"/>
        <item x="91"/>
        <item x="92"/>
        <item x="93"/>
        <item x="95"/>
        <item x="1"/>
        <item x="8"/>
        <item x="80"/>
        <item x="85"/>
        <item x="94"/>
        <item x="96"/>
        <item t="default"/>
      </items>
    </pivotField>
    <pivotField dataField="1" compact="0" showAll="0">
      <items count="150">
        <item x="148"/>
        <item x="52"/>
        <item x="38"/>
        <item x="63"/>
        <item x="51"/>
        <item x="56"/>
        <item x="76"/>
        <item x="137"/>
        <item x="101"/>
        <item x="75"/>
        <item x="135"/>
        <item x="105"/>
        <item x="43"/>
        <item x="145"/>
        <item x="128"/>
        <item x="70"/>
        <item x="88"/>
        <item x="100"/>
        <item x="47"/>
        <item x="143"/>
        <item x="82"/>
        <item x="5"/>
        <item x="81"/>
        <item x="62"/>
        <item x="45"/>
        <item x="93"/>
        <item x="120"/>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9"/>
        <item x="40"/>
        <item x="41"/>
        <item x="42"/>
        <item x="44"/>
        <item x="46"/>
        <item x="48"/>
        <item x="49"/>
        <item x="50"/>
        <item x="53"/>
        <item x="54"/>
        <item x="55"/>
        <item x="57"/>
        <item x="58"/>
        <item x="59"/>
        <item x="60"/>
        <item x="61"/>
        <item x="64"/>
        <item x="65"/>
        <item x="66"/>
        <item x="67"/>
        <item x="68"/>
        <item x="69"/>
        <item x="71"/>
        <item x="72"/>
        <item x="73"/>
        <item x="74"/>
        <item x="77"/>
        <item x="78"/>
        <item x="79"/>
        <item x="80"/>
        <item x="83"/>
        <item x="84"/>
        <item x="85"/>
        <item x="86"/>
        <item x="87"/>
        <item x="89"/>
        <item x="90"/>
        <item x="91"/>
        <item x="92"/>
        <item x="94"/>
        <item x="95"/>
        <item x="96"/>
        <item x="97"/>
        <item x="98"/>
        <item x="99"/>
        <item x="102"/>
        <item x="103"/>
        <item x="104"/>
        <item x="106"/>
        <item x="107"/>
        <item x="108"/>
        <item x="109"/>
        <item x="110"/>
        <item x="111"/>
        <item x="112"/>
        <item x="113"/>
        <item x="114"/>
        <item x="115"/>
        <item x="116"/>
        <item x="117"/>
        <item x="118"/>
        <item x="119"/>
        <item x="121"/>
        <item x="122"/>
        <item x="123"/>
        <item x="124"/>
        <item x="125"/>
        <item x="126"/>
        <item x="127"/>
        <item x="129"/>
        <item x="130"/>
        <item x="131"/>
        <item x="132"/>
        <item x="133"/>
        <item x="134"/>
        <item x="136"/>
        <item x="138"/>
        <item x="139"/>
        <item x="140"/>
        <item x="141"/>
        <item x="142"/>
        <item x="144"/>
        <item x="146"/>
        <item x="147"/>
        <item t="default"/>
      </items>
    </pivotField>
    <pivotField dataField="1" compact="0" showAll="0">
      <items count="49">
        <item x="12"/>
        <item x="14"/>
        <item x="19"/>
        <item x="10"/>
        <item x="6"/>
        <item x="16"/>
        <item x="35"/>
        <item x="1"/>
        <item x="0"/>
        <item x="31"/>
        <item x="47"/>
        <item x="21"/>
        <item x="4"/>
        <item x="11"/>
        <item x="32"/>
        <item x="22"/>
        <item x="3"/>
        <item x="45"/>
        <item x="7"/>
        <item x="26"/>
        <item x="42"/>
        <item x="34"/>
        <item x="5"/>
        <item x="13"/>
        <item x="25"/>
        <item x="33"/>
        <item x="15"/>
        <item x="28"/>
        <item x="27"/>
        <item x="2"/>
        <item x="8"/>
        <item x="9"/>
        <item x="17"/>
        <item x="18"/>
        <item x="20"/>
        <item x="23"/>
        <item x="24"/>
        <item x="29"/>
        <item x="30"/>
        <item x="36"/>
        <item x="37"/>
        <item x="38"/>
        <item x="39"/>
        <item x="40"/>
        <item x="41"/>
        <item x="43"/>
        <item x="44"/>
        <item x="46"/>
        <item t="default"/>
      </items>
    </pivotField>
    <pivotField compact="0" showAll="0">
      <items count="130">
        <item x="12"/>
        <item x="37"/>
        <item x="90"/>
        <item x="114"/>
        <item x="126"/>
        <item x="124"/>
        <item x="115"/>
        <item x="87"/>
        <item x="0"/>
        <item x="1"/>
        <item x="2"/>
        <item x="3"/>
        <item x="4"/>
        <item x="5"/>
        <item x="6"/>
        <item x="7"/>
        <item x="8"/>
        <item x="9"/>
        <item x="10"/>
        <item x="11"/>
        <item x="13"/>
        <item x="14"/>
        <item x="15"/>
        <item x="16"/>
        <item x="17"/>
        <item x="18"/>
        <item x="19"/>
        <item x="20"/>
        <item x="21"/>
        <item x="22"/>
        <item x="23"/>
        <item x="24"/>
        <item x="25"/>
        <item x="26"/>
        <item x="27"/>
        <item x="28"/>
        <item x="29"/>
        <item x="30"/>
        <item x="31"/>
        <item x="32"/>
        <item x="33"/>
        <item x="34"/>
        <item x="35"/>
        <item x="36"/>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8"/>
        <item x="89"/>
        <item x="91"/>
        <item x="92"/>
        <item x="93"/>
        <item x="94"/>
        <item x="95"/>
        <item x="96"/>
        <item x="97"/>
        <item x="98"/>
        <item x="99"/>
        <item x="100"/>
        <item x="101"/>
        <item x="102"/>
        <item x="103"/>
        <item x="104"/>
        <item x="105"/>
        <item x="106"/>
        <item x="107"/>
        <item x="108"/>
        <item x="109"/>
        <item x="110"/>
        <item x="111"/>
        <item x="112"/>
        <item x="113"/>
        <item x="116"/>
        <item x="117"/>
        <item x="118"/>
        <item x="119"/>
        <item x="120"/>
        <item x="121"/>
        <item x="122"/>
        <item x="123"/>
        <item x="125"/>
        <item x="127"/>
        <item x="128"/>
        <item t="default"/>
      </items>
    </pivotField>
    <pivotField compact="0" showAll="0">
      <items count="114">
        <item x="12"/>
        <item x="65"/>
        <item x="17"/>
        <item x="61"/>
        <item x="102"/>
        <item x="73"/>
        <item x="34"/>
        <item x="57"/>
        <item x="21"/>
        <item x="60"/>
        <item x="38"/>
        <item x="22"/>
        <item x="71"/>
        <item x="105"/>
        <item x="42"/>
        <item x="30"/>
        <item x="77"/>
        <item x="59"/>
        <item x="56"/>
        <item x="54"/>
        <item x="0"/>
        <item x="1"/>
        <item x="2"/>
        <item x="3"/>
        <item x="4"/>
        <item x="5"/>
        <item x="6"/>
        <item x="7"/>
        <item x="8"/>
        <item x="9"/>
        <item x="10"/>
        <item x="11"/>
        <item x="13"/>
        <item x="14"/>
        <item x="15"/>
        <item x="16"/>
        <item x="18"/>
        <item x="19"/>
        <item x="20"/>
        <item x="23"/>
        <item x="24"/>
        <item x="25"/>
        <item x="26"/>
        <item x="27"/>
        <item x="28"/>
        <item x="29"/>
        <item x="31"/>
        <item x="32"/>
        <item x="33"/>
        <item x="35"/>
        <item x="36"/>
        <item x="37"/>
        <item x="39"/>
        <item x="40"/>
        <item x="41"/>
        <item x="43"/>
        <item x="44"/>
        <item x="45"/>
        <item x="46"/>
        <item x="47"/>
        <item x="48"/>
        <item x="49"/>
        <item x="50"/>
        <item x="51"/>
        <item x="52"/>
        <item x="53"/>
        <item x="55"/>
        <item x="58"/>
        <item x="62"/>
        <item x="63"/>
        <item x="64"/>
        <item x="66"/>
        <item x="67"/>
        <item x="68"/>
        <item x="69"/>
        <item x="70"/>
        <item x="72"/>
        <item x="74"/>
        <item x="75"/>
        <item x="76"/>
        <item x="78"/>
        <item x="79"/>
        <item x="80"/>
        <item x="81"/>
        <item x="82"/>
        <item x="83"/>
        <item x="84"/>
        <item x="85"/>
        <item x="86"/>
        <item x="87"/>
        <item x="88"/>
        <item x="89"/>
        <item x="90"/>
        <item x="91"/>
        <item x="92"/>
        <item x="93"/>
        <item x="94"/>
        <item x="95"/>
        <item x="96"/>
        <item x="97"/>
        <item x="98"/>
        <item x="99"/>
        <item x="100"/>
        <item x="101"/>
        <item x="103"/>
        <item x="104"/>
        <item x="106"/>
        <item x="107"/>
        <item x="108"/>
        <item x="109"/>
        <item x="110"/>
        <item x="111"/>
        <item x="112"/>
        <item t="default"/>
      </items>
    </pivotField>
    <pivotField dataField="1" compact="0" showAll="0">
      <items count="121">
        <item x="12"/>
        <item x="119"/>
        <item x="59"/>
        <item x="17"/>
        <item x="113"/>
        <item x="62"/>
        <item x="30"/>
        <item x="61"/>
        <item x="28"/>
        <item x="111"/>
        <item x="70"/>
        <item x="106"/>
        <item x="79"/>
        <item x="97"/>
        <item x="53"/>
        <item x="75"/>
        <item x="80"/>
        <item x="0"/>
        <item x="1"/>
        <item x="2"/>
        <item x="3"/>
        <item x="4"/>
        <item x="5"/>
        <item x="6"/>
        <item x="7"/>
        <item x="8"/>
        <item x="9"/>
        <item x="10"/>
        <item x="11"/>
        <item x="13"/>
        <item x="14"/>
        <item x="15"/>
        <item x="16"/>
        <item x="18"/>
        <item x="19"/>
        <item x="20"/>
        <item x="21"/>
        <item x="22"/>
        <item x="23"/>
        <item x="24"/>
        <item x="25"/>
        <item x="26"/>
        <item x="27"/>
        <item x="29"/>
        <item x="31"/>
        <item x="32"/>
        <item x="33"/>
        <item x="34"/>
        <item x="35"/>
        <item x="36"/>
        <item x="37"/>
        <item x="38"/>
        <item x="39"/>
        <item x="40"/>
        <item x="41"/>
        <item x="42"/>
        <item x="43"/>
        <item x="44"/>
        <item x="45"/>
        <item x="46"/>
        <item x="47"/>
        <item x="48"/>
        <item x="49"/>
        <item x="50"/>
        <item x="51"/>
        <item x="52"/>
        <item x="54"/>
        <item x="55"/>
        <item x="56"/>
        <item x="57"/>
        <item x="58"/>
        <item x="60"/>
        <item x="63"/>
        <item x="64"/>
        <item x="65"/>
        <item x="66"/>
        <item x="67"/>
        <item x="68"/>
        <item x="69"/>
        <item x="71"/>
        <item x="72"/>
        <item x="73"/>
        <item x="74"/>
        <item x="76"/>
        <item x="77"/>
        <item x="78"/>
        <item x="81"/>
        <item x="82"/>
        <item x="83"/>
        <item x="84"/>
        <item x="85"/>
        <item x="86"/>
        <item x="87"/>
        <item x="88"/>
        <item x="89"/>
        <item x="90"/>
        <item x="91"/>
        <item x="92"/>
        <item x="93"/>
        <item x="94"/>
        <item x="95"/>
        <item x="96"/>
        <item x="98"/>
        <item x="99"/>
        <item x="100"/>
        <item x="101"/>
        <item x="102"/>
        <item x="103"/>
        <item x="104"/>
        <item x="105"/>
        <item x="107"/>
        <item x="108"/>
        <item x="109"/>
        <item x="110"/>
        <item x="112"/>
        <item x="114"/>
        <item x="115"/>
        <item x="116"/>
        <item x="117"/>
        <item x="118"/>
        <item t="default"/>
      </items>
    </pivotField>
    <pivotField dataField="1" compact="0" showAll="0">
      <items count="19">
        <item x="1"/>
        <item x="17"/>
        <item x="2"/>
        <item x="0"/>
        <item x="16"/>
        <item x="3"/>
        <item x="4"/>
        <item x="5"/>
        <item x="6"/>
        <item x="7"/>
        <item x="8"/>
        <item x="9"/>
        <item x="10"/>
        <item x="11"/>
        <item x="12"/>
        <item x="13"/>
        <item x="14"/>
        <item x="15"/>
        <item t="default"/>
      </items>
    </pivotField>
    <pivotField compact="0" showAll="0">
      <items count="70">
        <item x="1"/>
        <item x="35"/>
        <item x="43"/>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37"/>
        <item x="38"/>
        <item x="39"/>
        <item x="40"/>
        <item x="41"/>
        <item x="42"/>
        <item x="44"/>
        <item x="45"/>
        <item x="46"/>
        <item x="47"/>
        <item x="48"/>
        <item x="49"/>
        <item x="50"/>
        <item x="51"/>
        <item x="52"/>
        <item x="53"/>
        <item x="54"/>
        <item x="55"/>
        <item x="56"/>
        <item x="57"/>
        <item x="58"/>
        <item x="59"/>
        <item x="60"/>
        <item x="61"/>
        <item x="62"/>
        <item x="63"/>
        <item x="64"/>
        <item x="65"/>
        <item x="66"/>
        <item x="67"/>
        <item x="68"/>
        <item t="default"/>
      </items>
    </pivotField>
    <pivotField compact="0" showAll="0">
      <items count="71">
        <item x="1"/>
        <item x="9"/>
        <item x="36"/>
        <item x="44"/>
        <item x="0"/>
        <item x="2"/>
        <item x="3"/>
        <item x="4"/>
        <item x="5"/>
        <item x="6"/>
        <item x="7"/>
        <item x="8"/>
        <item x="10"/>
        <item x="11"/>
        <item x="12"/>
        <item x="13"/>
        <item x="14"/>
        <item x="15"/>
        <item x="16"/>
        <item x="17"/>
        <item x="18"/>
        <item x="19"/>
        <item x="20"/>
        <item x="21"/>
        <item x="22"/>
        <item x="23"/>
        <item x="24"/>
        <item x="25"/>
        <item x="26"/>
        <item x="27"/>
        <item x="28"/>
        <item x="29"/>
        <item x="30"/>
        <item x="31"/>
        <item x="32"/>
        <item x="33"/>
        <item x="34"/>
        <item x="35"/>
        <item x="37"/>
        <item x="38"/>
        <item x="39"/>
        <item x="40"/>
        <item x="41"/>
        <item x="42"/>
        <item x="43"/>
        <item x="45"/>
        <item x="46"/>
        <item x="47"/>
        <item x="48"/>
        <item x="49"/>
        <item x="50"/>
        <item x="51"/>
        <item x="52"/>
        <item x="53"/>
        <item x="54"/>
        <item x="55"/>
        <item x="56"/>
        <item x="57"/>
        <item x="58"/>
        <item x="59"/>
        <item x="60"/>
        <item x="61"/>
        <item x="62"/>
        <item x="63"/>
        <item x="64"/>
        <item x="65"/>
        <item x="66"/>
        <item x="67"/>
        <item x="68"/>
        <item x="69"/>
        <item t="default"/>
      </items>
    </pivotField>
    <pivotField dataField="1" compact="0" showAll="0">
      <items count="15">
        <item x="1"/>
        <item x="2"/>
        <item x="0"/>
        <item x="4"/>
        <item x="13"/>
        <item x="3"/>
        <item x="7"/>
        <item x="8"/>
        <item x="10"/>
        <item x="5"/>
        <item x="6"/>
        <item x="12"/>
        <item x="11"/>
        <item x="9"/>
        <item t="default"/>
      </items>
    </pivotField>
    <pivotField compact="0" showAll="0">
      <items count="14">
        <item x="1"/>
        <item x="2"/>
        <item x="0"/>
        <item x="4"/>
        <item x="12"/>
        <item x="3"/>
        <item x="7"/>
        <item x="8"/>
        <item x="11"/>
        <item x="5"/>
        <item x="6"/>
        <item x="10"/>
        <item x="9"/>
        <item t="default"/>
      </items>
    </pivotField>
    <pivotField compact="0" showAll="0">
      <items count="45">
        <item x="1"/>
        <item x="9"/>
        <item x="29"/>
        <item x="6"/>
        <item x="0"/>
        <item x="33"/>
        <item x="10"/>
        <item x="43"/>
        <item x="21"/>
        <item x="14"/>
        <item x="12"/>
        <item x="18"/>
        <item x="4"/>
        <item x="13"/>
        <item x="2"/>
        <item x="27"/>
        <item x="32"/>
        <item x="16"/>
        <item x="3"/>
        <item x="5"/>
        <item x="7"/>
        <item x="8"/>
        <item x="11"/>
        <item x="15"/>
        <item x="17"/>
        <item x="19"/>
        <item x="20"/>
        <item x="22"/>
        <item x="23"/>
        <item x="24"/>
        <item x="25"/>
        <item x="26"/>
        <item x="28"/>
        <item x="30"/>
        <item x="31"/>
        <item x="34"/>
        <item x="35"/>
        <item x="36"/>
        <item x="37"/>
        <item x="38"/>
        <item x="39"/>
        <item x="40"/>
        <item x="41"/>
        <item x="42"/>
        <item t="default"/>
      </items>
    </pivotField>
    <pivotField compact="0" showAll="0">
      <items count="10">
        <item x="1"/>
        <item x="0"/>
        <item x="2"/>
        <item x="3"/>
        <item x="8"/>
        <item x="4"/>
        <item x="7"/>
        <item x="5"/>
        <item x="6"/>
        <item t="default"/>
      </items>
    </pivotField>
    <pivotField compact="0" showAll="0">
      <items count="11">
        <item x="1"/>
        <item x="0"/>
        <item x="4"/>
        <item x="2"/>
        <item x="9"/>
        <item x="3"/>
        <item x="7"/>
        <item x="8"/>
        <item x="5"/>
        <item x="6"/>
        <item t="default"/>
      </items>
    </pivotField>
    <pivotField compact="0" showAll="0">
      <items count="13">
        <item x="1"/>
        <item x="11"/>
        <item x="0"/>
        <item x="2"/>
        <item x="10"/>
        <item x="3"/>
        <item x="4"/>
        <item x="5"/>
        <item x="6"/>
        <item x="7"/>
        <item x="8"/>
        <item x="9"/>
        <item t="default"/>
      </items>
    </pivotField>
    <pivotField compact="0" showAll="0">
      <items count="13">
        <item x="1"/>
        <item x="11"/>
        <item x="4"/>
        <item x="0"/>
        <item x="2"/>
        <item x="3"/>
        <item x="5"/>
        <item x="6"/>
        <item x="7"/>
        <item x="8"/>
        <item x="9"/>
        <item x="10"/>
        <item t="default"/>
      </items>
    </pivotField>
    <pivotField dataField="1" dragToCol="0" dragToPage="0" dragToRow="0" compact="0" showAll="0"/>
    <pivotField dataField="1" dragToCol="0" dragToPage="0" dragToRow="0" compact="0" showAll="0"/>
  </pivotFields>
  <rowFields count="1">
    <field x="0"/>
  </rowFields>
  <rowItems count="1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934">
      <pivotArea dataOnly="0" labelOnly="1" fieldPosition="0">
        <references count="1">
          <reference field="4294967294" count="1">
            <x v="5"/>
          </reference>
        </references>
      </pivotArea>
    </format>
    <format dxfId="935">
      <pivotArea dataOnly="0" labelOnly="1" fieldPosition="0">
        <references count="1">
          <reference field="4294967294" count="1">
            <x v="6"/>
          </reference>
        </references>
      </pivotArea>
    </format>
    <format dxfId="936">
      <pivotArea collapsedLevelsAreSubtotals="1" fieldPosition="0">
        <references count="1">
          <reference field="4294967294" count="1" selected="0">
            <x v="5"/>
          </reference>
        </references>
      </pivotArea>
    </format>
    <format dxfId="937">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6.xml><?xml version="1.0" encoding="utf-8"?>
<pivotTableDefinition xmlns="http://schemas.openxmlformats.org/spreadsheetml/2006/main" name="数据透视表37" cacheId="45"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B1:C46" firstHeaderRow="1" firstDataRow="1" firstDataCol="1"/>
  <pivotFields count="14">
    <pivotField compact="0" showAll="0">
      <items count="45">
        <item x="2"/>
        <item x="8"/>
        <item x="7"/>
        <item x="12"/>
        <item x="5"/>
        <item x="6"/>
        <item x="1"/>
        <item x="13"/>
        <item x="27"/>
        <item x="22"/>
        <item x="43"/>
        <item x="0"/>
        <item x="4"/>
        <item x="3"/>
        <item x="18"/>
        <item x="10"/>
        <item x="24"/>
        <item x="9"/>
        <item x="15"/>
        <item x="25"/>
        <item x="23"/>
        <item x="16"/>
        <item x="20"/>
        <item x="17"/>
        <item x="30"/>
        <item x="14"/>
        <item x="28"/>
        <item x="41"/>
        <item x="19"/>
        <item x="37"/>
        <item x="11"/>
        <item x="33"/>
        <item x="36"/>
        <item x="26"/>
        <item x="35"/>
        <item x="39"/>
        <item x="42"/>
        <item x="21"/>
        <item x="29"/>
        <item x="31"/>
        <item x="32"/>
        <item x="34"/>
        <item x="38"/>
        <item x="40"/>
        <item t="default"/>
      </items>
    </pivotField>
    <pivotField compact="0" showAll="0">
      <items count="45">
        <item x="2"/>
        <item x="8"/>
        <item x="7"/>
        <item x="12"/>
        <item x="5"/>
        <item x="6"/>
        <item x="13"/>
        <item x="27"/>
        <item x="43"/>
        <item x="4"/>
        <item x="1"/>
        <item x="0"/>
        <item x="10"/>
        <item x="22"/>
        <item x="3"/>
        <item x="25"/>
        <item x="23"/>
        <item x="24"/>
        <item x="18"/>
        <item x="16"/>
        <item x="20"/>
        <item x="30"/>
        <item x="14"/>
        <item x="28"/>
        <item x="41"/>
        <item x="15"/>
        <item x="19"/>
        <item x="37"/>
        <item x="9"/>
        <item x="11"/>
        <item x="17"/>
        <item x="33"/>
        <item x="36"/>
        <item x="26"/>
        <item x="35"/>
        <item x="39"/>
        <item x="42"/>
        <item x="21"/>
        <item x="29"/>
        <item x="31"/>
        <item x="32"/>
        <item x="34"/>
        <item x="38"/>
        <item x="40"/>
        <item t="default"/>
      </items>
    </pivotField>
    <pivotField axis="axisRow" compact="0" showAll="0">
      <items count="45">
        <item x="43"/>
        <item x="2"/>
        <item x="7"/>
        <item x="8"/>
        <item x="12"/>
        <item x="13"/>
        <item x="27"/>
        <item x="6"/>
        <item x="5"/>
        <item x="1"/>
        <item x="22"/>
        <item x="0"/>
        <item x="4"/>
        <item x="3"/>
        <item x="18"/>
        <item x="10"/>
        <item x="24"/>
        <item x="9"/>
        <item x="15"/>
        <item x="25"/>
        <item x="23"/>
        <item x="16"/>
        <item x="20"/>
        <item x="17"/>
        <item x="30"/>
        <item x="14"/>
        <item x="28"/>
        <item x="41"/>
        <item x="19"/>
        <item x="37"/>
        <item x="11"/>
        <item x="33"/>
        <item x="36"/>
        <item x="26"/>
        <item x="35"/>
        <item x="39"/>
        <item x="42"/>
        <item x="21"/>
        <item x="29"/>
        <item x="31"/>
        <item x="32"/>
        <item x="34"/>
        <item x="38"/>
        <item x="40"/>
        <item t="default"/>
      </items>
    </pivotField>
    <pivotField compact="0" showAll="0">
      <items count="45">
        <item x="43"/>
        <item x="38"/>
        <item x="25"/>
        <item x="28"/>
        <item x="20"/>
        <item x="31"/>
        <item x="18"/>
        <item x="36"/>
        <item x="33"/>
        <item x="0"/>
        <item x="1"/>
        <item x="2"/>
        <item x="3"/>
        <item x="4"/>
        <item x="5"/>
        <item x="6"/>
        <item x="7"/>
        <item x="8"/>
        <item x="9"/>
        <item x="10"/>
        <item x="11"/>
        <item x="12"/>
        <item x="13"/>
        <item x="14"/>
        <item x="15"/>
        <item x="16"/>
        <item x="17"/>
        <item x="19"/>
        <item x="21"/>
        <item x="22"/>
        <item x="23"/>
        <item x="24"/>
        <item x="26"/>
        <item x="27"/>
        <item x="29"/>
        <item x="30"/>
        <item x="32"/>
        <item x="34"/>
        <item x="35"/>
        <item x="37"/>
        <item x="39"/>
        <item x="40"/>
        <item x="41"/>
        <item x="42"/>
        <item t="default"/>
      </items>
    </pivotField>
    <pivotField compact="0" showAll="0">
      <items count="16">
        <item x="13"/>
        <item x="11"/>
        <item x="9"/>
        <item x="10"/>
        <item x="7"/>
        <item x="12"/>
        <item x="6"/>
        <item x="14"/>
        <item x="0"/>
        <item x="5"/>
        <item x="8"/>
        <item x="1"/>
        <item x="2"/>
        <item x="3"/>
        <item x="4"/>
        <item t="default"/>
      </items>
    </pivotField>
    <pivotField compact="0" showAll="0">
      <items count="45">
        <item x="43"/>
        <item x="38"/>
        <item x="16"/>
        <item x="33"/>
        <item x="0"/>
        <item x="1"/>
        <item x="2"/>
        <item x="3"/>
        <item x="4"/>
        <item x="5"/>
        <item x="6"/>
        <item x="7"/>
        <item x="8"/>
        <item x="9"/>
        <item x="10"/>
        <item x="11"/>
        <item x="12"/>
        <item x="13"/>
        <item x="14"/>
        <item x="15"/>
        <item x="17"/>
        <item x="18"/>
        <item x="19"/>
        <item x="20"/>
        <item x="21"/>
        <item x="22"/>
        <item x="23"/>
        <item x="24"/>
        <item x="25"/>
        <item x="26"/>
        <item x="27"/>
        <item x="28"/>
        <item x="29"/>
        <item x="30"/>
        <item x="31"/>
        <item x="32"/>
        <item x="34"/>
        <item x="35"/>
        <item x="36"/>
        <item x="37"/>
        <item x="39"/>
        <item x="40"/>
        <item x="41"/>
        <item x="42"/>
        <item t="default"/>
      </items>
    </pivotField>
    <pivotField compact="0" showAll="0">
      <items count="16">
        <item x="13"/>
        <item x="14"/>
        <item x="0"/>
        <item x="1"/>
        <item x="2"/>
        <item x="3"/>
        <item x="4"/>
        <item x="5"/>
        <item x="6"/>
        <item x="7"/>
        <item x="8"/>
        <item x="9"/>
        <item x="10"/>
        <item x="11"/>
        <item x="12"/>
        <item t="default"/>
      </items>
    </pivotField>
    <pivotField compact="0" showAll="0">
      <items count="42">
        <item x="40"/>
        <item x="14"/>
        <item x="0"/>
        <item x="1"/>
        <item x="2"/>
        <item x="3"/>
        <item x="4"/>
        <item x="5"/>
        <item x="6"/>
        <item x="7"/>
        <item x="8"/>
        <item x="9"/>
        <item x="10"/>
        <item x="11"/>
        <item x="12"/>
        <item x="13"/>
        <item x="15"/>
        <item x="16"/>
        <item x="17"/>
        <item x="18"/>
        <item x="19"/>
        <item x="20"/>
        <item x="21"/>
        <item x="22"/>
        <item x="23"/>
        <item x="24"/>
        <item x="25"/>
        <item x="26"/>
        <item x="27"/>
        <item x="28"/>
        <item x="29"/>
        <item x="30"/>
        <item x="31"/>
        <item x="32"/>
        <item x="33"/>
        <item x="34"/>
        <item x="35"/>
        <item x="36"/>
        <item x="37"/>
        <item x="38"/>
        <item x="39"/>
        <item t="default"/>
      </items>
    </pivotField>
    <pivotField compact="0" showAll="0">
      <items count="18">
        <item x="14"/>
        <item x="12"/>
        <item x="11"/>
        <item x="9"/>
        <item x="15"/>
        <item x="8"/>
        <item x="16"/>
        <item x="7"/>
        <item x="5"/>
        <item x="0"/>
        <item x="1"/>
        <item x="2"/>
        <item x="3"/>
        <item x="4"/>
        <item x="6"/>
        <item x="10"/>
        <item x="13"/>
        <item t="default"/>
      </items>
    </pivotField>
    <pivotField compact="0" showAll="0">
      <items count="41">
        <item x="39"/>
        <item x="7"/>
        <item x="21"/>
        <item x="34"/>
        <item x="0"/>
        <item x="1"/>
        <item x="2"/>
        <item x="3"/>
        <item x="4"/>
        <item x="5"/>
        <item x="6"/>
        <item x="8"/>
        <item x="9"/>
        <item x="10"/>
        <item x="11"/>
        <item x="12"/>
        <item x="13"/>
        <item x="14"/>
        <item x="15"/>
        <item x="16"/>
        <item x="17"/>
        <item x="18"/>
        <item x="19"/>
        <item x="20"/>
        <item x="22"/>
        <item x="23"/>
        <item x="24"/>
        <item x="25"/>
        <item x="26"/>
        <item x="27"/>
        <item x="28"/>
        <item x="29"/>
        <item x="30"/>
        <item x="31"/>
        <item x="32"/>
        <item x="33"/>
        <item x="35"/>
        <item x="36"/>
        <item x="37"/>
        <item x="38"/>
        <item t="default"/>
      </items>
    </pivotField>
    <pivotField compact="0" showAll="0">
      <items count="18">
        <item x="14"/>
        <item x="16"/>
        <item x="0"/>
        <item x="1"/>
        <item x="2"/>
        <item x="3"/>
        <item x="4"/>
        <item x="5"/>
        <item x="6"/>
        <item x="7"/>
        <item x="8"/>
        <item x="9"/>
        <item x="10"/>
        <item x="11"/>
        <item x="12"/>
        <item x="13"/>
        <item x="15"/>
        <item t="default"/>
      </items>
    </pivotField>
    <pivotField compact="0" showAll="0">
      <items count="22">
        <item x="3"/>
        <item x="20"/>
        <item x="10"/>
        <item x="16"/>
        <item x="0"/>
        <item x="1"/>
        <item x="2"/>
        <item x="4"/>
        <item x="5"/>
        <item x="6"/>
        <item x="7"/>
        <item x="8"/>
        <item x="9"/>
        <item x="11"/>
        <item x="12"/>
        <item x="13"/>
        <item x="14"/>
        <item x="15"/>
        <item x="17"/>
        <item x="18"/>
        <item x="19"/>
        <item t="default"/>
      </items>
    </pivotField>
    <pivotField compact="0" showAll="0">
      <items count="7">
        <item x="3"/>
        <item x="0"/>
        <item x="5"/>
        <item x="1"/>
        <item x="2"/>
        <item x="4"/>
        <item t="default"/>
      </items>
    </pivotField>
    <pivotField dataField="1" compact="0" showAll="0">
      <items count="22">
        <item x="17"/>
        <item x="20"/>
        <item x="18"/>
        <item x="16"/>
        <item x="19"/>
        <item x="15"/>
        <item x="14"/>
        <item x="9"/>
        <item x="0"/>
        <item x="1"/>
        <item x="2"/>
        <item x="3"/>
        <item x="4"/>
        <item x="5"/>
        <item x="6"/>
        <item x="7"/>
        <item x="8"/>
        <item x="10"/>
        <item x="11"/>
        <item x="12"/>
        <item x="13"/>
        <item t="default"/>
      </items>
    </pivotField>
  </pivotFields>
  <rowFields count="1">
    <field x="2"/>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dataFields count="1">
    <dataField name="求和项:已订购商品数量" fld="13" baseField="2"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7.xml><?xml version="1.0" encoding="utf-8"?>
<pivotTableDefinition xmlns="http://schemas.openxmlformats.org/spreadsheetml/2006/main" name="数据透视表40" cacheId="48"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K1:R49" firstHeaderRow="0" firstDataRow="1" firstDataCol="1"/>
  <pivotFields count="19">
    <pivotField axis="axisRow" compact="0" showAll="0">
      <items count="48">
        <item x="46"/>
        <item x="0"/>
        <item x="1"/>
        <item x="2"/>
        <item x="3"/>
        <item x="4"/>
        <item x="7"/>
        <item x="5"/>
        <item x="8"/>
        <item x="10"/>
        <item x="11"/>
        <item x="12"/>
        <item x="14"/>
        <item x="15"/>
        <item x="13"/>
        <item x="17"/>
        <item x="16"/>
        <item x="31"/>
        <item x="27"/>
        <item x="20"/>
        <item x="19"/>
        <item x="21"/>
        <item x="22"/>
        <item x="23"/>
        <item x="25"/>
        <item x="24"/>
        <item x="26"/>
        <item x="28"/>
        <item x="29"/>
        <item x="39"/>
        <item x="40"/>
        <item x="41"/>
        <item x="42"/>
        <item x="43"/>
        <item x="44"/>
        <item x="45"/>
        <item x="30"/>
        <item x="33"/>
        <item x="32"/>
        <item x="34"/>
        <item x="18"/>
        <item x="9"/>
        <item x="35"/>
        <item x="6"/>
        <item x="36"/>
        <item x="37"/>
        <item x="38"/>
        <item t="default"/>
      </items>
    </pivotField>
    <pivotField compact="0" showAll="0">
      <items count="48">
        <item x="46"/>
        <item x="0"/>
        <item x="1"/>
        <item x="2"/>
        <item x="3"/>
        <item x="4"/>
        <item x="7"/>
        <item x="5"/>
        <item x="8"/>
        <item x="10"/>
        <item x="11"/>
        <item x="12"/>
        <item x="14"/>
        <item x="15"/>
        <item x="13"/>
        <item x="17"/>
        <item x="16"/>
        <item x="31"/>
        <item x="27"/>
        <item x="20"/>
        <item x="19"/>
        <item x="21"/>
        <item x="22"/>
        <item x="23"/>
        <item x="25"/>
        <item x="24"/>
        <item x="26"/>
        <item x="28"/>
        <item x="29"/>
        <item x="39"/>
        <item x="40"/>
        <item x="41"/>
        <item x="42"/>
        <item x="43"/>
        <item x="44"/>
        <item x="45"/>
        <item x="30"/>
        <item x="33"/>
        <item x="32"/>
        <item x="34"/>
        <item x="18"/>
        <item x="9"/>
        <item x="35"/>
        <item x="6"/>
        <item x="36"/>
        <item x="37"/>
        <item x="38"/>
        <item t="default"/>
      </items>
    </pivotField>
    <pivotField dataField="1" compact="0" showAll="0">
      <items count="82">
        <item x="80"/>
        <item x="17"/>
        <item x="78"/>
        <item x="75"/>
        <item x="70"/>
        <item x="73"/>
        <item x="0"/>
        <item x="1"/>
        <item x="2"/>
        <item x="3"/>
        <item x="4"/>
        <item x="5"/>
        <item x="6"/>
        <item x="7"/>
        <item x="8"/>
        <item x="9"/>
        <item x="10"/>
        <item x="11"/>
        <item x="12"/>
        <item x="13"/>
        <item x="14"/>
        <item x="15"/>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1"/>
        <item x="72"/>
        <item x="74"/>
        <item x="76"/>
        <item x="77"/>
        <item x="79"/>
        <item t="default"/>
      </items>
    </pivotField>
    <pivotField dataField="1" compact="0" showAll="0">
      <items count="37">
        <item x="14"/>
        <item x="12"/>
        <item x="0"/>
        <item x="16"/>
        <item x="17"/>
        <item x="35"/>
        <item x="29"/>
        <item x="5"/>
        <item x="6"/>
        <item x="2"/>
        <item x="33"/>
        <item x="13"/>
        <item x="21"/>
        <item x="26"/>
        <item x="11"/>
        <item x="23"/>
        <item x="34"/>
        <item x="22"/>
        <item x="28"/>
        <item x="3"/>
        <item x="1"/>
        <item x="4"/>
        <item x="7"/>
        <item x="8"/>
        <item x="9"/>
        <item x="10"/>
        <item x="15"/>
        <item x="18"/>
        <item x="19"/>
        <item x="20"/>
        <item x="24"/>
        <item x="25"/>
        <item x="27"/>
        <item x="30"/>
        <item x="31"/>
        <item x="32"/>
        <item t="default"/>
      </items>
    </pivotField>
    <pivotField compact="0" showAll="0">
      <items count="65">
        <item x="15"/>
        <item x="63"/>
        <item x="62"/>
        <item x="0"/>
        <item x="1"/>
        <item x="2"/>
        <item x="3"/>
        <item x="4"/>
        <item x="5"/>
        <item x="6"/>
        <item x="7"/>
        <item x="8"/>
        <item x="9"/>
        <item x="10"/>
        <item x="11"/>
        <item x="12"/>
        <item x="13"/>
        <item x="14"/>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showAll="0">
      <items count="61">
        <item x="15"/>
        <item x="23"/>
        <item x="21"/>
        <item x="42"/>
        <item x="58"/>
        <item x="43"/>
        <item x="0"/>
        <item x="1"/>
        <item x="2"/>
        <item x="3"/>
        <item x="4"/>
        <item x="5"/>
        <item x="6"/>
        <item x="7"/>
        <item x="8"/>
        <item x="9"/>
        <item x="10"/>
        <item x="11"/>
        <item x="12"/>
        <item x="13"/>
        <item x="14"/>
        <item x="16"/>
        <item x="17"/>
        <item x="18"/>
        <item x="19"/>
        <item x="20"/>
        <item x="22"/>
        <item x="24"/>
        <item x="25"/>
        <item x="26"/>
        <item x="27"/>
        <item x="28"/>
        <item x="29"/>
        <item x="30"/>
        <item x="31"/>
        <item x="32"/>
        <item x="33"/>
        <item x="34"/>
        <item x="35"/>
        <item x="36"/>
        <item x="37"/>
        <item x="38"/>
        <item x="39"/>
        <item x="40"/>
        <item x="41"/>
        <item x="44"/>
        <item x="45"/>
        <item x="46"/>
        <item x="47"/>
        <item x="48"/>
        <item x="49"/>
        <item x="50"/>
        <item x="51"/>
        <item x="52"/>
        <item x="53"/>
        <item x="54"/>
        <item x="55"/>
        <item x="56"/>
        <item x="57"/>
        <item x="59"/>
        <item t="default"/>
      </items>
    </pivotField>
    <pivotField dataField="1" compact="0" showAll="0">
      <items count="64">
        <item x="15"/>
        <item x="62"/>
        <item x="41"/>
        <item x="59"/>
        <item x="42"/>
        <item x="30"/>
        <item x="40"/>
        <item x="21"/>
        <item x="0"/>
        <item x="1"/>
        <item x="2"/>
        <item x="3"/>
        <item x="4"/>
        <item x="5"/>
        <item x="6"/>
        <item x="7"/>
        <item x="8"/>
        <item x="9"/>
        <item x="10"/>
        <item x="11"/>
        <item x="12"/>
        <item x="13"/>
        <item x="14"/>
        <item x="16"/>
        <item x="17"/>
        <item x="18"/>
        <item x="19"/>
        <item x="20"/>
        <item x="22"/>
        <item x="23"/>
        <item x="24"/>
        <item x="25"/>
        <item x="26"/>
        <item x="27"/>
        <item x="28"/>
        <item x="29"/>
        <item x="31"/>
        <item x="32"/>
        <item x="33"/>
        <item x="34"/>
        <item x="35"/>
        <item x="36"/>
        <item x="37"/>
        <item x="38"/>
        <item x="39"/>
        <item x="43"/>
        <item x="44"/>
        <item x="45"/>
        <item x="46"/>
        <item x="47"/>
        <item x="48"/>
        <item x="49"/>
        <item x="50"/>
        <item x="51"/>
        <item x="52"/>
        <item x="53"/>
        <item x="54"/>
        <item x="55"/>
        <item x="56"/>
        <item x="57"/>
        <item x="58"/>
        <item x="60"/>
        <item x="61"/>
        <item t="default"/>
      </items>
    </pivotField>
    <pivotField dataField="1" compact="0" showAll="0">
      <items count="32">
        <item x="0"/>
        <item x="30"/>
        <item x="1"/>
        <item x="12"/>
        <item x="17"/>
        <item x="20"/>
        <item x="8"/>
        <item x="27"/>
        <item x="2"/>
        <item x="3"/>
        <item x="4"/>
        <item x="5"/>
        <item x="6"/>
        <item x="7"/>
        <item x="9"/>
        <item x="10"/>
        <item x="11"/>
        <item x="13"/>
        <item x="14"/>
        <item x="15"/>
        <item x="16"/>
        <item x="18"/>
        <item x="19"/>
        <item x="21"/>
        <item x="22"/>
        <item x="23"/>
        <item x="24"/>
        <item x="25"/>
        <item x="26"/>
        <item x="28"/>
        <item x="29"/>
        <item t="default"/>
      </items>
    </pivotField>
    <pivotField compact="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compact="0" showAll="0">
      <items count="36">
        <item x="0"/>
        <item x="9"/>
        <item x="1"/>
        <item x="2"/>
        <item x="3"/>
        <item x="4"/>
        <item x="5"/>
        <item x="6"/>
        <item x="7"/>
        <item x="8"/>
        <item x="10"/>
        <item x="11"/>
        <item x="12"/>
        <item x="13"/>
        <item x="14"/>
        <item x="15"/>
        <item x="16"/>
        <item x="17"/>
        <item x="18"/>
        <item x="19"/>
        <item x="20"/>
        <item x="21"/>
        <item x="22"/>
        <item x="23"/>
        <item x="24"/>
        <item x="25"/>
        <item x="26"/>
        <item x="27"/>
        <item x="28"/>
        <item x="29"/>
        <item x="30"/>
        <item x="31"/>
        <item x="32"/>
        <item x="33"/>
        <item x="34"/>
        <item t="default"/>
      </items>
    </pivotField>
    <pivotField dataField="1" compact="0" showAll="0">
      <items count="17">
        <item x="0"/>
        <item x="1"/>
        <item x="4"/>
        <item x="3"/>
        <item x="15"/>
        <item x="14"/>
        <item x="10"/>
        <item x="11"/>
        <item x="2"/>
        <item x="9"/>
        <item x="6"/>
        <item x="5"/>
        <item x="7"/>
        <item x="8"/>
        <item x="12"/>
        <item x="13"/>
        <item t="default"/>
      </items>
    </pivotField>
    <pivotField compact="0" showAll="0">
      <items count="17">
        <item x="0"/>
        <item x="1"/>
        <item x="4"/>
        <item x="3"/>
        <item x="15"/>
        <item x="14"/>
        <item x="11"/>
        <item x="6"/>
        <item x="12"/>
        <item x="2"/>
        <item x="10"/>
        <item x="7"/>
        <item x="5"/>
        <item x="8"/>
        <item x="9"/>
        <item x="13"/>
        <item t="default"/>
      </items>
    </pivotField>
    <pivotField compact="0" showAll="0">
      <items count="32">
        <item x="0"/>
        <item x="9"/>
        <item x="26"/>
        <item x="30"/>
        <item x="29"/>
        <item x="1"/>
        <item x="22"/>
        <item x="7"/>
        <item x="12"/>
        <item x="16"/>
        <item x="21"/>
        <item x="2"/>
        <item x="3"/>
        <item x="4"/>
        <item x="5"/>
        <item x="6"/>
        <item x="8"/>
        <item x="10"/>
        <item x="11"/>
        <item x="13"/>
        <item x="14"/>
        <item x="15"/>
        <item x="17"/>
        <item x="18"/>
        <item x="19"/>
        <item x="20"/>
        <item x="23"/>
        <item x="24"/>
        <item x="25"/>
        <item x="27"/>
        <item x="28"/>
        <item t="default"/>
      </items>
    </pivotField>
    <pivotField compact="0" showAll="0">
      <items count="15">
        <item x="0"/>
        <item x="7"/>
        <item x="2"/>
        <item x="4"/>
        <item x="13"/>
        <item x="5"/>
        <item x="10"/>
        <item x="9"/>
        <item x="1"/>
        <item x="3"/>
        <item x="6"/>
        <item x="8"/>
        <item x="11"/>
        <item x="12"/>
        <item t="default"/>
      </items>
    </pivotField>
    <pivotField compact="0" showAll="0">
      <items count="10">
        <item x="0"/>
        <item x="1"/>
        <item x="8"/>
        <item x="2"/>
        <item x="7"/>
        <item x="4"/>
        <item x="6"/>
        <item x="3"/>
        <item x="5"/>
        <item t="default"/>
      </items>
    </pivotField>
    <pivotField compact="0" showAll="0">
      <items count="27">
        <item x="0"/>
        <item x="25"/>
        <item x="17"/>
        <item x="6"/>
        <item x="9"/>
        <item x="23"/>
        <item x="21"/>
        <item x="5"/>
        <item x="14"/>
        <item x="1"/>
        <item x="2"/>
        <item x="3"/>
        <item x="4"/>
        <item x="7"/>
        <item x="8"/>
        <item x="10"/>
        <item x="11"/>
        <item x="12"/>
        <item x="13"/>
        <item x="15"/>
        <item x="16"/>
        <item x="18"/>
        <item x="19"/>
        <item x="20"/>
        <item x="22"/>
        <item x="24"/>
        <item t="default"/>
      </items>
    </pivotField>
    <pivotField compact="0" showAll="0">
      <items count="20">
        <item x="0"/>
        <item x="18"/>
        <item x="1"/>
        <item x="6"/>
        <item x="10"/>
        <item x="3"/>
        <item x="2"/>
        <item x="4"/>
        <item x="5"/>
        <item x="7"/>
        <item x="8"/>
        <item x="9"/>
        <item x="11"/>
        <item x="12"/>
        <item x="13"/>
        <item x="14"/>
        <item x="15"/>
        <item x="16"/>
        <item x="17"/>
        <item t="default"/>
      </items>
    </pivotField>
    <pivotField dataField="1" dragToCol="0" dragToPage="0" dragToRow="0" compact="0" showAll="0"/>
    <pivotField dataField="1" dragToCol="0" dragToPage="0" dragToRow="0" compact="0"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938">
      <pivotArea dataOnly="0" labelOnly="1" fieldPosition="0">
        <references count="1">
          <reference field="4294967294" count="1">
            <x v="5"/>
          </reference>
        </references>
      </pivotArea>
    </format>
    <format dxfId="939">
      <pivotArea dataOnly="0" labelOnly="1" fieldPosition="0">
        <references count="1">
          <reference field="4294967294" count="1">
            <x v="6"/>
          </reference>
        </references>
      </pivotArea>
    </format>
    <format dxfId="940">
      <pivotArea collapsedLevelsAreSubtotals="1" fieldPosition="0">
        <references count="1">
          <reference field="4294967294" count="1" selected="0">
            <x v="5"/>
          </reference>
        </references>
      </pivotArea>
    </format>
    <format dxfId="941">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8.xml><?xml version="1.0" encoding="utf-8"?>
<pivotTableDefinition xmlns="http://schemas.openxmlformats.org/spreadsheetml/2006/main" name="数据透视表39" cacheId="47"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1:I61" firstHeaderRow="1" firstDataRow="1" firstDataCol="1"/>
  <pivotFields count="14">
    <pivotField compact="0" showAll="0">
      <items count="60">
        <item x="58"/>
        <item x="0"/>
        <item x="8"/>
        <item x="17"/>
        <item x="10"/>
        <item x="9"/>
        <item x="13"/>
        <item x="16"/>
        <item x="27"/>
        <item x="30"/>
        <item x="1"/>
        <item x="6"/>
        <item x="29"/>
        <item x="3"/>
        <item x="2"/>
        <item x="41"/>
        <item x="47"/>
        <item x="7"/>
        <item x="24"/>
        <item x="25"/>
        <item x="5"/>
        <item x="4"/>
        <item x="26"/>
        <item x="19"/>
        <item x="42"/>
        <item x="12"/>
        <item x="40"/>
        <item x="22"/>
        <item x="39"/>
        <item x="21"/>
        <item x="11"/>
        <item x="14"/>
        <item x="48"/>
        <item x="20"/>
        <item x="36"/>
        <item x="31"/>
        <item x="35"/>
        <item x="32"/>
        <item x="53"/>
        <item x="55"/>
        <item x="28"/>
        <item x="18"/>
        <item x="23"/>
        <item x="15"/>
        <item x="33"/>
        <item x="38"/>
        <item x="51"/>
        <item x="57"/>
        <item x="54"/>
        <item x="50"/>
        <item x="37"/>
        <item x="44"/>
        <item x="45"/>
        <item x="49"/>
        <item x="56"/>
        <item x="34"/>
        <item x="43"/>
        <item x="46"/>
        <item x="52"/>
        <item t="default"/>
      </items>
    </pivotField>
    <pivotField compact="0" showAll="0">
      <items count="60">
        <item x="58"/>
        <item x="8"/>
        <item x="17"/>
        <item x="10"/>
        <item x="9"/>
        <item x="13"/>
        <item x="16"/>
        <item x="30"/>
        <item x="29"/>
        <item x="47"/>
        <item x="25"/>
        <item x="0"/>
        <item x="3"/>
        <item x="6"/>
        <item x="5"/>
        <item x="19"/>
        <item x="12"/>
        <item x="2"/>
        <item x="1"/>
        <item x="7"/>
        <item x="24"/>
        <item x="42"/>
        <item x="22"/>
        <item x="48"/>
        <item x="4"/>
        <item x="40"/>
        <item x="14"/>
        <item x="31"/>
        <item x="41"/>
        <item x="39"/>
        <item x="35"/>
        <item x="21"/>
        <item x="36"/>
        <item x="32"/>
        <item x="53"/>
        <item x="55"/>
        <item x="26"/>
        <item x="28"/>
        <item x="18"/>
        <item x="23"/>
        <item x="51"/>
        <item x="20"/>
        <item x="38"/>
        <item x="57"/>
        <item x="54"/>
        <item x="50"/>
        <item x="11"/>
        <item x="15"/>
        <item x="27"/>
        <item x="37"/>
        <item x="44"/>
        <item x="45"/>
        <item x="56"/>
        <item x="33"/>
        <item x="34"/>
        <item x="43"/>
        <item x="46"/>
        <item x="49"/>
        <item x="52"/>
        <item t="default"/>
      </items>
    </pivotField>
    <pivotField axis="axisRow" compact="0" showAll="0">
      <items count="60">
        <item x="58"/>
        <item x="0"/>
        <item x="8"/>
        <item x="17"/>
        <item x="10"/>
        <item x="9"/>
        <item x="13"/>
        <item x="16"/>
        <item x="27"/>
        <item x="30"/>
        <item x="1"/>
        <item x="6"/>
        <item x="29"/>
        <item x="3"/>
        <item x="2"/>
        <item x="41"/>
        <item x="47"/>
        <item x="7"/>
        <item x="24"/>
        <item x="25"/>
        <item x="5"/>
        <item x="4"/>
        <item x="26"/>
        <item x="19"/>
        <item x="42"/>
        <item x="12"/>
        <item x="40"/>
        <item x="22"/>
        <item x="39"/>
        <item x="21"/>
        <item x="11"/>
        <item x="14"/>
        <item x="48"/>
        <item x="20"/>
        <item x="36"/>
        <item x="31"/>
        <item x="35"/>
        <item x="32"/>
        <item x="53"/>
        <item x="55"/>
        <item x="28"/>
        <item x="18"/>
        <item x="23"/>
        <item x="15"/>
        <item x="33"/>
        <item x="38"/>
        <item x="51"/>
        <item x="57"/>
        <item x="54"/>
        <item x="50"/>
        <item x="37"/>
        <item x="44"/>
        <item x="45"/>
        <item x="49"/>
        <item x="56"/>
        <item x="34"/>
        <item x="43"/>
        <item x="46"/>
        <item x="52"/>
        <item t="default"/>
      </items>
    </pivotField>
    <pivotField compact="0" showAll="0">
      <items count="59">
        <item x="57"/>
        <item x="19"/>
        <item x="39"/>
        <item x="31"/>
        <item x="35"/>
        <item x="40"/>
        <item x="54"/>
        <item x="45"/>
        <item x="41"/>
        <item x="55"/>
        <item x="0"/>
        <item x="1"/>
        <item x="2"/>
        <item x="3"/>
        <item x="4"/>
        <item x="5"/>
        <item x="6"/>
        <item x="7"/>
        <item x="8"/>
        <item x="9"/>
        <item x="10"/>
        <item x="11"/>
        <item x="12"/>
        <item x="13"/>
        <item x="14"/>
        <item x="15"/>
        <item x="16"/>
        <item x="17"/>
        <item x="18"/>
        <item x="20"/>
        <item x="21"/>
        <item x="22"/>
        <item x="23"/>
        <item x="24"/>
        <item x="25"/>
        <item x="26"/>
        <item x="27"/>
        <item x="28"/>
        <item x="29"/>
        <item x="30"/>
        <item x="32"/>
        <item x="33"/>
        <item x="34"/>
        <item x="36"/>
        <item x="37"/>
        <item x="38"/>
        <item x="42"/>
        <item x="43"/>
        <item x="44"/>
        <item x="46"/>
        <item x="47"/>
        <item x="48"/>
        <item x="49"/>
        <item x="50"/>
        <item x="51"/>
        <item x="52"/>
        <item x="53"/>
        <item x="56"/>
        <item t="default"/>
      </items>
    </pivotField>
    <pivotField compact="0" showAll="0">
      <items count="25">
        <item x="19"/>
        <item x="20"/>
        <item x="21"/>
        <item x="15"/>
        <item x="17"/>
        <item x="18"/>
        <item x="13"/>
        <item x="14"/>
        <item x="6"/>
        <item x="23"/>
        <item x="1"/>
        <item x="11"/>
        <item x="22"/>
        <item x="0"/>
        <item x="2"/>
        <item x="3"/>
        <item x="4"/>
        <item x="5"/>
        <item x="7"/>
        <item x="8"/>
        <item x="9"/>
        <item x="10"/>
        <item x="12"/>
        <item x="16"/>
        <item t="default"/>
      </items>
    </pivotField>
    <pivotField compact="0" showAll="0">
      <items count="53">
        <item x="51"/>
        <item x="32"/>
        <item x="38"/>
        <item x="36"/>
        <item x="25"/>
        <item x="40"/>
        <item x="19"/>
        <item x="31"/>
        <item x="30"/>
        <item x="35"/>
        <item x="17"/>
        <item x="26"/>
        <item x="42"/>
        <item x="43"/>
        <item x="44"/>
        <item x="41"/>
        <item x="48"/>
        <item x="49"/>
        <item x="0"/>
        <item x="1"/>
        <item x="2"/>
        <item x="3"/>
        <item x="4"/>
        <item x="5"/>
        <item x="6"/>
        <item x="7"/>
        <item x="8"/>
        <item x="9"/>
        <item x="10"/>
        <item x="11"/>
        <item x="12"/>
        <item x="13"/>
        <item x="14"/>
        <item x="15"/>
        <item x="16"/>
        <item x="18"/>
        <item x="20"/>
        <item x="21"/>
        <item x="22"/>
        <item x="23"/>
        <item x="24"/>
        <item x="27"/>
        <item x="28"/>
        <item x="29"/>
        <item x="33"/>
        <item x="34"/>
        <item x="37"/>
        <item x="39"/>
        <item x="45"/>
        <item x="46"/>
        <item x="47"/>
        <item x="50"/>
        <item t="default"/>
      </items>
    </pivotField>
    <pivotField compact="0" showAll="0">
      <items count="27">
        <item x="19"/>
        <item x="25"/>
        <item x="0"/>
        <item x="1"/>
        <item x="2"/>
        <item x="3"/>
        <item x="4"/>
        <item x="5"/>
        <item x="6"/>
        <item x="7"/>
        <item x="8"/>
        <item x="9"/>
        <item x="10"/>
        <item x="11"/>
        <item x="12"/>
        <item x="13"/>
        <item x="14"/>
        <item x="15"/>
        <item x="16"/>
        <item x="17"/>
        <item x="18"/>
        <item x="20"/>
        <item x="21"/>
        <item x="22"/>
        <item x="23"/>
        <item x="24"/>
        <item t="default"/>
      </items>
    </pivotField>
    <pivotField compact="0" showAll="0">
      <items count="61">
        <item x="59"/>
        <item x="39"/>
        <item x="57"/>
        <item x="49"/>
        <item x="44"/>
        <item x="47"/>
        <item x="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40"/>
        <item x="41"/>
        <item x="42"/>
        <item x="43"/>
        <item x="45"/>
        <item x="46"/>
        <item x="48"/>
        <item x="50"/>
        <item x="52"/>
        <item x="53"/>
        <item x="54"/>
        <item x="55"/>
        <item x="56"/>
        <item x="58"/>
        <item t="default"/>
      </items>
    </pivotField>
    <pivotField compact="0" showAll="0">
      <items count="29">
        <item x="24"/>
        <item x="25"/>
        <item x="26"/>
        <item x="21"/>
        <item x="16"/>
        <item x="19"/>
        <item x="22"/>
        <item x="23"/>
        <item x="12"/>
        <item x="18"/>
        <item x="27"/>
        <item x="1"/>
        <item x="4"/>
        <item x="20"/>
        <item x="0"/>
        <item x="2"/>
        <item x="3"/>
        <item x="5"/>
        <item x="6"/>
        <item x="7"/>
        <item x="8"/>
        <item x="9"/>
        <item x="10"/>
        <item x="11"/>
        <item x="13"/>
        <item x="14"/>
        <item x="15"/>
        <item x="17"/>
        <item t="default"/>
      </items>
    </pivotField>
    <pivotField compact="0" showAll="0">
      <items count="52">
        <item x="50"/>
        <item x="39"/>
        <item x="38"/>
        <item x="44"/>
        <item x="33"/>
        <item x="41"/>
        <item x="34"/>
        <item x="25"/>
        <item x="26"/>
        <item x="31"/>
        <item x="23"/>
        <item x="15"/>
        <item x="36"/>
        <item x="24"/>
        <item x="17"/>
        <item x="42"/>
        <item x="40"/>
        <item x="0"/>
        <item x="1"/>
        <item x="2"/>
        <item x="3"/>
        <item x="4"/>
        <item x="5"/>
        <item x="6"/>
        <item x="7"/>
        <item x="8"/>
        <item x="9"/>
        <item x="10"/>
        <item x="11"/>
        <item x="12"/>
        <item x="13"/>
        <item x="14"/>
        <item x="16"/>
        <item x="18"/>
        <item x="19"/>
        <item x="20"/>
        <item x="21"/>
        <item x="22"/>
        <item x="27"/>
        <item x="28"/>
        <item x="29"/>
        <item x="30"/>
        <item x="32"/>
        <item x="35"/>
        <item x="37"/>
        <item x="43"/>
        <item x="45"/>
        <item x="46"/>
        <item x="47"/>
        <item x="48"/>
        <item x="49"/>
        <item t="default"/>
      </items>
    </pivotField>
    <pivotField compact="0" showAll="0">
      <items count="32">
        <item x="24"/>
        <item x="30"/>
        <item x="0"/>
        <item x="1"/>
        <item x="2"/>
        <item x="3"/>
        <item x="4"/>
        <item x="5"/>
        <item x="6"/>
        <item x="7"/>
        <item x="8"/>
        <item x="9"/>
        <item x="10"/>
        <item x="11"/>
        <item x="12"/>
        <item x="13"/>
        <item x="14"/>
        <item x="15"/>
        <item x="16"/>
        <item x="17"/>
        <item x="18"/>
        <item x="19"/>
        <item x="20"/>
        <item x="21"/>
        <item x="22"/>
        <item x="23"/>
        <item x="25"/>
        <item x="26"/>
        <item x="27"/>
        <item x="28"/>
        <item x="29"/>
        <item t="default"/>
      </items>
    </pivotField>
    <pivotField compact="0" showAll="0">
      <items count="42">
        <item x="40"/>
        <item x="18"/>
        <item x="9"/>
        <item x="6"/>
        <item x="0"/>
        <item x="2"/>
        <item x="12"/>
        <item x="10"/>
        <item x="20"/>
        <item x="36"/>
        <item x="1"/>
        <item x="3"/>
        <item x="4"/>
        <item x="5"/>
        <item x="7"/>
        <item x="8"/>
        <item x="11"/>
        <item x="13"/>
        <item x="14"/>
        <item x="15"/>
        <item x="16"/>
        <item x="17"/>
        <item x="19"/>
        <item x="21"/>
        <item x="22"/>
        <item x="23"/>
        <item x="24"/>
        <item x="25"/>
        <item x="26"/>
        <item x="27"/>
        <item x="28"/>
        <item x="29"/>
        <item x="30"/>
        <item x="31"/>
        <item x="32"/>
        <item x="33"/>
        <item x="34"/>
        <item x="35"/>
        <item x="37"/>
        <item x="38"/>
        <item x="39"/>
        <item t="default"/>
      </items>
    </pivotField>
    <pivotField compact="0" showAll="0">
      <items count="11">
        <item x="7"/>
        <item x="2"/>
        <item x="9"/>
        <item x="1"/>
        <item x="0"/>
        <item x="3"/>
        <item x="4"/>
        <item x="5"/>
        <item x="6"/>
        <item x="8"/>
        <item t="default"/>
      </items>
    </pivotField>
    <pivotField dataField="1" compact="0" showAll="0">
      <items count="37">
        <item x="32"/>
        <item x="35"/>
        <item x="29"/>
        <item x="30"/>
        <item x="31"/>
        <item x="23"/>
        <item x="33"/>
        <item x="28"/>
        <item x="22"/>
        <item x="24"/>
        <item x="17"/>
        <item x="20"/>
        <item x="26"/>
        <item x="14"/>
        <item x="13"/>
        <item x="18"/>
        <item x="27"/>
        <item x="0"/>
        <item x="1"/>
        <item x="2"/>
        <item x="3"/>
        <item x="4"/>
        <item x="5"/>
        <item x="6"/>
        <item x="7"/>
        <item x="8"/>
        <item x="9"/>
        <item x="10"/>
        <item x="11"/>
        <item x="12"/>
        <item x="15"/>
        <item x="16"/>
        <item x="19"/>
        <item x="21"/>
        <item x="25"/>
        <item x="34"/>
        <item t="default"/>
      </items>
    </pivotField>
  </pivotFields>
  <rowFields count="1">
    <field x="2"/>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9.xml><?xml version="1.0" encoding="utf-8"?>
<pivotTableDefinition xmlns="http://schemas.openxmlformats.org/spreadsheetml/2006/main" name="数据透视表41" cacheId="5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AJ53" firstHeaderRow="0" firstDataRow="1" firstDataCol="1"/>
  <pivotFields count="19">
    <pivotField axis="axisRow" compact="0" showAll="0">
      <items count="52">
        <item x="50"/>
        <item x="0"/>
        <item x="1"/>
        <item x="2"/>
        <item x="3"/>
        <item x="4"/>
        <item x="5"/>
        <item x="9"/>
        <item x="6"/>
        <item x="7"/>
        <item x="10"/>
        <item x="12"/>
        <item x="13"/>
        <item x="14"/>
        <item x="15"/>
        <item x="16"/>
        <item x="17"/>
        <item x="20"/>
        <item x="18"/>
        <item x="19"/>
        <item x="21"/>
        <item x="34"/>
        <item x="22"/>
        <item x="30"/>
        <item x="23"/>
        <item x="29"/>
        <item x="24"/>
        <item x="25"/>
        <item x="27"/>
        <item x="38"/>
        <item x="26"/>
        <item x="8"/>
        <item x="28"/>
        <item x="31"/>
        <item x="32"/>
        <item x="42"/>
        <item x="43"/>
        <item x="44"/>
        <item x="45"/>
        <item x="46"/>
        <item x="47"/>
        <item x="48"/>
        <item x="49"/>
        <item x="33"/>
        <item x="36"/>
        <item x="35"/>
        <item x="37"/>
        <item x="11"/>
        <item x="39"/>
        <item x="40"/>
        <item x="41"/>
        <item t="default"/>
      </items>
    </pivotField>
    <pivotField compact="0" showAll="0">
      <items count="52">
        <item x="50"/>
        <item x="0"/>
        <item x="1"/>
        <item x="2"/>
        <item x="3"/>
        <item x="4"/>
        <item x="5"/>
        <item x="9"/>
        <item x="6"/>
        <item x="7"/>
        <item x="10"/>
        <item x="12"/>
        <item x="13"/>
        <item x="14"/>
        <item x="15"/>
        <item x="16"/>
        <item x="17"/>
        <item x="20"/>
        <item x="18"/>
        <item x="19"/>
        <item x="21"/>
        <item x="34"/>
        <item x="22"/>
        <item x="30"/>
        <item x="23"/>
        <item x="29"/>
        <item x="24"/>
        <item x="25"/>
        <item x="27"/>
        <item x="38"/>
        <item x="26"/>
        <item x="8"/>
        <item x="28"/>
        <item x="31"/>
        <item x="32"/>
        <item x="42"/>
        <item x="43"/>
        <item x="44"/>
        <item x="45"/>
        <item x="46"/>
        <item x="47"/>
        <item x="48"/>
        <item x="49"/>
        <item x="33"/>
        <item x="36"/>
        <item x="35"/>
        <item x="37"/>
        <item x="11"/>
        <item x="39"/>
        <item x="40"/>
        <item x="41"/>
        <item t="default"/>
      </items>
    </pivotField>
    <pivotField dataField="1" compact="0" showAll="0">
      <items count="86">
        <item x="84"/>
        <item x="11"/>
        <item x="78"/>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9"/>
        <item x="80"/>
        <item x="81"/>
        <item x="82"/>
        <item x="83"/>
        <item t="default"/>
      </items>
    </pivotField>
    <pivotField dataField="1" compact="0" showAll="0">
      <items count="56">
        <item x="54"/>
        <item x="11"/>
        <item x="26"/>
        <item x="23"/>
        <item x="19"/>
        <item x="17"/>
        <item x="29"/>
        <item x="21"/>
        <item x="40"/>
        <item x="4"/>
        <item x="53"/>
        <item x="10"/>
        <item x="32"/>
        <item x="41"/>
        <item x="2"/>
        <item x="6"/>
        <item x="37"/>
        <item x="30"/>
        <item x="35"/>
        <item x="0"/>
        <item x="1"/>
        <item x="3"/>
        <item x="5"/>
        <item x="7"/>
        <item x="8"/>
        <item x="9"/>
        <item x="12"/>
        <item x="13"/>
        <item x="14"/>
        <item x="15"/>
        <item x="16"/>
        <item x="18"/>
        <item x="20"/>
        <item x="22"/>
        <item x="24"/>
        <item x="25"/>
        <item x="27"/>
        <item x="28"/>
        <item x="31"/>
        <item x="33"/>
        <item x="34"/>
        <item x="36"/>
        <item x="38"/>
        <item x="39"/>
        <item x="42"/>
        <item x="43"/>
        <item x="44"/>
        <item x="45"/>
        <item x="46"/>
        <item x="47"/>
        <item x="48"/>
        <item x="49"/>
        <item x="50"/>
        <item x="51"/>
        <item x="52"/>
        <item t="default"/>
      </items>
    </pivotField>
    <pivotField compact="0" showAll="0">
      <items count="72">
        <item x="11"/>
        <item x="27"/>
        <item x="0"/>
        <item x="1"/>
        <item x="2"/>
        <item x="3"/>
        <item x="4"/>
        <item x="5"/>
        <item x="6"/>
        <item x="7"/>
        <item x="8"/>
        <item x="9"/>
        <item x="10"/>
        <item x="12"/>
        <item x="13"/>
        <item x="14"/>
        <item x="15"/>
        <item x="16"/>
        <item x="17"/>
        <item x="18"/>
        <item x="19"/>
        <item x="20"/>
        <item x="21"/>
        <item x="22"/>
        <item x="23"/>
        <item x="24"/>
        <item x="25"/>
        <item x="26"/>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compact="0" showAll="0">
      <items count="69">
        <item x="11"/>
        <item x="19"/>
        <item x="66"/>
        <item x="49"/>
        <item x="38"/>
        <item x="0"/>
        <item x="1"/>
        <item x="2"/>
        <item x="3"/>
        <item x="4"/>
        <item x="5"/>
        <item x="6"/>
        <item x="7"/>
        <item x="8"/>
        <item x="9"/>
        <item x="10"/>
        <item x="12"/>
        <item x="13"/>
        <item x="14"/>
        <item x="15"/>
        <item x="16"/>
        <item x="17"/>
        <item x="18"/>
        <item x="20"/>
        <item x="21"/>
        <item x="22"/>
        <item x="23"/>
        <item x="24"/>
        <item x="25"/>
        <item x="26"/>
        <item x="27"/>
        <item x="28"/>
        <item x="29"/>
        <item x="30"/>
        <item x="31"/>
        <item x="32"/>
        <item x="33"/>
        <item x="34"/>
        <item x="35"/>
        <item x="36"/>
        <item x="37"/>
        <item x="39"/>
        <item x="40"/>
        <item x="41"/>
        <item x="42"/>
        <item x="43"/>
        <item x="44"/>
        <item x="45"/>
        <item x="46"/>
        <item x="47"/>
        <item x="48"/>
        <item x="50"/>
        <item x="51"/>
        <item x="52"/>
        <item x="53"/>
        <item x="54"/>
        <item x="55"/>
        <item x="56"/>
        <item x="57"/>
        <item x="58"/>
        <item x="59"/>
        <item x="60"/>
        <item x="61"/>
        <item x="62"/>
        <item x="63"/>
        <item x="64"/>
        <item x="65"/>
        <item x="67"/>
        <item t="default"/>
      </items>
    </pivotField>
    <pivotField dataField="1" compact="0" showAll="0">
      <items count="70">
        <item x="68"/>
        <item x="11"/>
        <item x="19"/>
        <item x="66"/>
        <item x="17"/>
        <item x="49"/>
        <item x="0"/>
        <item x="1"/>
        <item x="2"/>
        <item x="3"/>
        <item x="4"/>
        <item x="5"/>
        <item x="6"/>
        <item x="7"/>
        <item x="8"/>
        <item x="9"/>
        <item x="10"/>
        <item x="12"/>
        <item x="13"/>
        <item x="14"/>
        <item x="15"/>
        <item x="16"/>
        <item x="18"/>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0"/>
        <item x="61"/>
        <item x="62"/>
        <item x="63"/>
        <item x="64"/>
        <item x="65"/>
        <item x="67"/>
        <item t="default"/>
      </items>
    </pivotField>
    <pivotField dataField="1" compact="0" showAll="0">
      <items count="47">
        <item x="0"/>
        <item x="45"/>
        <item x="1"/>
        <item x="2"/>
        <item x="3"/>
        <item x="8"/>
        <item x="11"/>
        <item x="29"/>
        <item x="16"/>
        <item x="17"/>
        <item x="22"/>
        <item x="34"/>
        <item x="35"/>
        <item x="36"/>
        <item x="4"/>
        <item x="5"/>
        <item x="6"/>
        <item x="7"/>
        <item x="9"/>
        <item x="10"/>
        <item x="12"/>
        <item x="13"/>
        <item x="14"/>
        <item x="15"/>
        <item x="18"/>
        <item x="19"/>
        <item x="20"/>
        <item x="21"/>
        <item x="23"/>
        <item x="24"/>
        <item x="25"/>
        <item x="26"/>
        <item x="27"/>
        <item x="28"/>
        <item x="30"/>
        <item x="31"/>
        <item x="32"/>
        <item x="33"/>
        <item x="37"/>
        <item x="38"/>
        <item x="39"/>
        <item x="40"/>
        <item x="41"/>
        <item x="42"/>
        <item x="43"/>
        <item x="44"/>
        <item t="default"/>
      </items>
    </pivotField>
    <pivotField compact="0"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compact="0" showAll="0">
      <items count="48">
        <item x="0"/>
        <item x="9"/>
        <item x="1"/>
        <item x="2"/>
        <item x="3"/>
        <item x="4"/>
        <item x="5"/>
        <item x="6"/>
        <item x="7"/>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dataField="1" compact="0" showAll="0">
      <items count="27">
        <item x="0"/>
        <item x="1"/>
        <item x="3"/>
        <item x="5"/>
        <item x="11"/>
        <item x="25"/>
        <item x="16"/>
        <item x="2"/>
        <item x="23"/>
        <item x="8"/>
        <item x="6"/>
        <item x="22"/>
        <item x="17"/>
        <item x="4"/>
        <item x="7"/>
        <item x="9"/>
        <item x="10"/>
        <item x="12"/>
        <item x="13"/>
        <item x="14"/>
        <item x="15"/>
        <item x="18"/>
        <item x="19"/>
        <item x="20"/>
        <item x="21"/>
        <item x="24"/>
        <item t="default"/>
      </items>
    </pivotField>
    <pivotField compact="0" showAll="0">
      <items count="28">
        <item x="0"/>
        <item x="1"/>
        <item x="3"/>
        <item x="11"/>
        <item x="5"/>
        <item x="26"/>
        <item x="18"/>
        <item x="2"/>
        <item x="12"/>
        <item x="8"/>
        <item x="6"/>
        <item x="25"/>
        <item x="19"/>
        <item x="4"/>
        <item x="7"/>
        <item x="9"/>
        <item x="10"/>
        <item x="13"/>
        <item x="14"/>
        <item x="15"/>
        <item x="16"/>
        <item x="17"/>
        <item x="20"/>
        <item x="21"/>
        <item x="22"/>
        <item x="23"/>
        <item x="24"/>
        <item t="default"/>
      </items>
    </pivotField>
    <pivotField compact="0" showAll="0">
      <items count="47">
        <item x="0"/>
        <item x="9"/>
        <item x="14"/>
        <item x="2"/>
        <item x="5"/>
        <item x="3"/>
        <item x="26"/>
        <item x="8"/>
        <item x="1"/>
        <item x="4"/>
        <item x="6"/>
        <item x="7"/>
        <item x="10"/>
        <item x="11"/>
        <item x="12"/>
        <item x="13"/>
        <item x="15"/>
        <item x="16"/>
        <item x="17"/>
        <item x="18"/>
        <item x="19"/>
        <item x="20"/>
        <item x="21"/>
        <item x="22"/>
        <item x="23"/>
        <item x="24"/>
        <item x="25"/>
        <item x="27"/>
        <item x="28"/>
        <item x="29"/>
        <item x="30"/>
        <item x="31"/>
        <item x="32"/>
        <item x="33"/>
        <item x="34"/>
        <item x="35"/>
        <item x="36"/>
        <item x="37"/>
        <item x="38"/>
        <item x="39"/>
        <item x="40"/>
        <item x="41"/>
        <item x="42"/>
        <item x="43"/>
        <item x="44"/>
        <item x="45"/>
        <item t="default"/>
      </items>
    </pivotField>
    <pivotField compact="0" showAll="0">
      <items count="24">
        <item x="0"/>
        <item x="2"/>
        <item x="1"/>
        <item x="11"/>
        <item x="22"/>
        <item x="8"/>
        <item x="17"/>
        <item x="6"/>
        <item x="4"/>
        <item x="20"/>
        <item x="14"/>
        <item x="3"/>
        <item x="18"/>
        <item x="7"/>
        <item x="9"/>
        <item x="5"/>
        <item x="10"/>
        <item x="12"/>
        <item x="13"/>
        <item x="15"/>
        <item x="16"/>
        <item x="19"/>
        <item x="21"/>
        <item t="default"/>
      </items>
    </pivotField>
    <pivotField compact="0" showAll="0">
      <items count="15">
        <item x="0"/>
        <item x="2"/>
        <item x="13"/>
        <item x="3"/>
        <item x="9"/>
        <item x="12"/>
        <item x="1"/>
        <item x="5"/>
        <item x="4"/>
        <item x="6"/>
        <item x="7"/>
        <item x="8"/>
        <item x="10"/>
        <item x="11"/>
        <item t="default"/>
      </items>
    </pivotField>
    <pivotField compact="0" showAll="0">
      <items count="43">
        <item x="0"/>
        <item x="41"/>
        <item x="30"/>
        <item x="2"/>
        <item x="15"/>
        <item x="8"/>
        <item x="1"/>
        <item x="3"/>
        <item x="10"/>
        <item x="9"/>
        <item x="20"/>
        <item x="14"/>
        <item x="11"/>
        <item x="31"/>
        <item x="32"/>
        <item x="33"/>
        <item x="21"/>
        <item x="4"/>
        <item x="5"/>
        <item x="6"/>
        <item x="7"/>
        <item x="12"/>
        <item x="13"/>
        <item x="16"/>
        <item x="17"/>
        <item x="18"/>
        <item x="19"/>
        <item x="22"/>
        <item x="23"/>
        <item x="24"/>
        <item x="25"/>
        <item x="26"/>
        <item x="27"/>
        <item x="28"/>
        <item x="29"/>
        <item x="34"/>
        <item x="35"/>
        <item x="36"/>
        <item x="37"/>
        <item x="38"/>
        <item x="39"/>
        <item x="40"/>
        <item t="default"/>
      </items>
    </pivotField>
    <pivotField compact="0" showAll="0">
      <items count="29">
        <item x="0"/>
        <item x="27"/>
        <item x="4"/>
        <item x="13"/>
        <item x="2"/>
        <item x="19"/>
        <item x="12"/>
        <item x="1"/>
        <item x="6"/>
        <item x="3"/>
        <item x="20"/>
        <item x="14"/>
        <item x="5"/>
        <item x="7"/>
        <item x="8"/>
        <item x="9"/>
        <item x="10"/>
        <item x="11"/>
        <item x="15"/>
        <item x="16"/>
        <item x="17"/>
        <item x="18"/>
        <item x="21"/>
        <item x="22"/>
        <item x="23"/>
        <item x="24"/>
        <item x="25"/>
        <item x="26"/>
        <item t="default"/>
      </items>
    </pivotField>
    <pivotField dataField="1" dragToCol="0" dragToPage="0" dragToRow="0" compact="0" showAll="0"/>
    <pivotField dataField="1" dragToCol="0" dragToPage="0" dragToRow="0" compact="0" showAl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942">
      <pivotArea dataOnly="0" labelOnly="1" fieldPosition="0">
        <references count="1">
          <reference field="4294967294" count="1">
            <x v="5"/>
          </reference>
        </references>
      </pivotArea>
    </format>
    <format dxfId="943">
      <pivotArea dataOnly="0" labelOnly="1" fieldPosition="0">
        <references count="1">
          <reference field="4294967294" count="1">
            <x v="6"/>
          </reference>
        </references>
      </pivotArea>
    </format>
    <format dxfId="944">
      <pivotArea collapsedLevelsAreSubtotals="1" fieldPosition="0">
        <references count="1">
          <reference field="4294967294" count="1" selected="0">
            <x v="5"/>
          </reference>
        </references>
      </pivotArea>
    </format>
    <format dxfId="945">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0.xml><?xml version="1.0" encoding="utf-8"?>
<pivotTableDefinition xmlns="http://schemas.openxmlformats.org/spreadsheetml/2006/main" name="数据透视表42" cacheId="49"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1:AA51" firstHeaderRow="0" firstDataRow="1" firstDataCol="1"/>
  <pivotFields count="19">
    <pivotField axis="axisRow" compact="0" showAll="0">
      <items count="50">
        <item x="48"/>
        <item x="0"/>
        <item x="1"/>
        <item x="3"/>
        <item x="4"/>
        <item x="5"/>
        <item x="8"/>
        <item x="6"/>
        <item x="9"/>
        <item x="11"/>
        <item x="12"/>
        <item x="13"/>
        <item x="15"/>
        <item x="16"/>
        <item x="14"/>
        <item x="18"/>
        <item x="17"/>
        <item x="19"/>
        <item x="32"/>
        <item x="20"/>
        <item x="28"/>
        <item x="21"/>
        <item x="22"/>
        <item x="23"/>
        <item x="24"/>
        <item x="26"/>
        <item x="25"/>
        <item x="27"/>
        <item x="29"/>
        <item x="30"/>
        <item x="40"/>
        <item x="41"/>
        <item x="42"/>
        <item x="43"/>
        <item x="44"/>
        <item x="45"/>
        <item x="46"/>
        <item x="47"/>
        <item x="31"/>
        <item x="34"/>
        <item x="33"/>
        <item x="35"/>
        <item x="2"/>
        <item x="10"/>
        <item x="36"/>
        <item x="7"/>
        <item x="37"/>
        <item x="38"/>
        <item x="39"/>
        <item t="default"/>
      </items>
    </pivotField>
    <pivotField compact="0" showAll="0">
      <items count="50">
        <item x="48"/>
        <item x="0"/>
        <item x="1"/>
        <item x="3"/>
        <item x="4"/>
        <item x="5"/>
        <item x="8"/>
        <item x="6"/>
        <item x="9"/>
        <item x="11"/>
        <item x="12"/>
        <item x="13"/>
        <item x="15"/>
        <item x="16"/>
        <item x="14"/>
        <item x="18"/>
        <item x="17"/>
        <item x="19"/>
        <item x="32"/>
        <item x="20"/>
        <item x="28"/>
        <item x="21"/>
        <item x="22"/>
        <item x="23"/>
        <item x="24"/>
        <item x="26"/>
        <item x="25"/>
        <item x="27"/>
        <item x="29"/>
        <item x="30"/>
        <item x="40"/>
        <item x="41"/>
        <item x="42"/>
        <item x="43"/>
        <item x="44"/>
        <item x="45"/>
        <item x="46"/>
        <item x="47"/>
        <item x="31"/>
        <item x="34"/>
        <item x="33"/>
        <item x="35"/>
        <item x="2"/>
        <item x="10"/>
        <item x="36"/>
        <item x="7"/>
        <item x="37"/>
        <item x="38"/>
        <item x="39"/>
        <item t="default"/>
      </items>
    </pivotField>
    <pivotField dataField="1" compact="0" showAll="0">
      <items count="83">
        <item x="81"/>
        <item x="75"/>
        <item x="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7"/>
        <item x="78"/>
        <item x="79"/>
        <item x="80"/>
        <item t="default"/>
      </items>
    </pivotField>
    <pivotField dataField="1" compact="0" showAll="0">
      <items count="50">
        <item x="14"/>
        <item x="20"/>
        <item x="16"/>
        <item x="48"/>
        <item x="18"/>
        <item x="23"/>
        <item x="3"/>
        <item x="19"/>
        <item x="36"/>
        <item x="39"/>
        <item x="4"/>
        <item x="35"/>
        <item x="7"/>
        <item x="24"/>
        <item x="13"/>
        <item x="47"/>
        <item x="10"/>
        <item x="37"/>
        <item x="43"/>
        <item x="28"/>
        <item x="31"/>
        <item x="8"/>
        <item x="34"/>
        <item x="0"/>
        <item x="1"/>
        <item x="2"/>
        <item x="5"/>
        <item x="6"/>
        <item x="9"/>
        <item x="11"/>
        <item x="12"/>
        <item x="15"/>
        <item x="17"/>
        <item x="21"/>
        <item x="22"/>
        <item x="25"/>
        <item x="26"/>
        <item x="27"/>
        <item x="29"/>
        <item x="30"/>
        <item x="32"/>
        <item x="33"/>
        <item x="38"/>
        <item x="40"/>
        <item x="41"/>
        <item x="42"/>
        <item x="44"/>
        <item x="45"/>
        <item x="46"/>
        <item t="default"/>
      </items>
    </pivotField>
    <pivotField compact="0" showAll="0">
      <items count="68">
        <item x="16"/>
        <item x="66"/>
        <item x="0"/>
        <item x="1"/>
        <item x="2"/>
        <item x="3"/>
        <item x="4"/>
        <item x="5"/>
        <item x="6"/>
        <item x="7"/>
        <item x="8"/>
        <item x="9"/>
        <item x="10"/>
        <item x="11"/>
        <item x="12"/>
        <item x="13"/>
        <item x="14"/>
        <item x="15"/>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compact="0" showAll="0">
      <items count="66">
        <item x="16"/>
        <item x="18"/>
        <item x="57"/>
        <item x="37"/>
        <item x="63"/>
        <item x="3"/>
        <item x="23"/>
        <item x="49"/>
        <item x="0"/>
        <item x="1"/>
        <item x="2"/>
        <item x="4"/>
        <item x="5"/>
        <item x="6"/>
        <item x="7"/>
        <item x="8"/>
        <item x="9"/>
        <item x="10"/>
        <item x="11"/>
        <item x="12"/>
        <item x="13"/>
        <item x="14"/>
        <item x="15"/>
        <item x="17"/>
        <item x="19"/>
        <item x="20"/>
        <item x="21"/>
        <item x="22"/>
        <item x="24"/>
        <item x="25"/>
        <item x="26"/>
        <item x="27"/>
        <item x="28"/>
        <item x="29"/>
        <item x="30"/>
        <item x="31"/>
        <item x="32"/>
        <item x="33"/>
        <item x="34"/>
        <item x="35"/>
        <item x="36"/>
        <item x="38"/>
        <item x="39"/>
        <item x="40"/>
        <item x="41"/>
        <item x="42"/>
        <item x="43"/>
        <item x="44"/>
        <item x="45"/>
        <item x="46"/>
        <item x="47"/>
        <item x="48"/>
        <item x="50"/>
        <item x="51"/>
        <item x="52"/>
        <item x="53"/>
        <item x="54"/>
        <item x="55"/>
        <item x="56"/>
        <item x="58"/>
        <item x="59"/>
        <item x="60"/>
        <item x="61"/>
        <item x="62"/>
        <item x="64"/>
        <item t="default"/>
      </items>
    </pivotField>
    <pivotField dataField="1" compact="0" showAll="0">
      <items count="68">
        <item x="16"/>
        <item x="66"/>
        <item x="58"/>
        <item x="3"/>
        <item x="18"/>
        <item x="0"/>
        <item x="1"/>
        <item x="2"/>
        <item x="4"/>
        <item x="5"/>
        <item x="6"/>
        <item x="7"/>
        <item x="8"/>
        <item x="9"/>
        <item x="10"/>
        <item x="11"/>
        <item x="12"/>
        <item x="13"/>
        <item x="14"/>
        <item x="15"/>
        <item x="17"/>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9"/>
        <item x="60"/>
        <item x="61"/>
        <item x="62"/>
        <item x="63"/>
        <item x="64"/>
        <item x="65"/>
        <item t="default"/>
      </items>
    </pivotField>
    <pivotField dataField="1" compact="0" showAll="0">
      <items count="41">
        <item x="0"/>
        <item x="39"/>
        <item x="2"/>
        <item x="16"/>
        <item x="12"/>
        <item x="8"/>
        <item x="1"/>
        <item x="3"/>
        <item x="11"/>
        <item x="19"/>
        <item x="15"/>
        <item x="27"/>
        <item x="30"/>
        <item x="33"/>
        <item x="38"/>
        <item x="4"/>
        <item x="5"/>
        <item x="6"/>
        <item x="7"/>
        <item x="9"/>
        <item x="10"/>
        <item x="13"/>
        <item x="14"/>
        <item x="17"/>
        <item x="18"/>
        <item x="20"/>
        <item x="21"/>
        <item x="22"/>
        <item x="23"/>
        <item x="24"/>
        <item x="25"/>
        <item x="26"/>
        <item x="28"/>
        <item x="29"/>
        <item x="31"/>
        <item x="32"/>
        <item x="34"/>
        <item x="35"/>
        <item x="36"/>
        <item x="37"/>
        <item t="default"/>
      </items>
    </pivotField>
    <pivotField compact="0" showAll="0">
      <items count="44">
        <item x="0"/>
        <item x="3"/>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compact="0" showAll="0">
      <items count="45">
        <item x="0"/>
        <item x="13"/>
        <item x="3"/>
        <item x="1"/>
        <item x="2"/>
        <item x="4"/>
        <item x="5"/>
        <item x="6"/>
        <item x="7"/>
        <item x="8"/>
        <item x="9"/>
        <item x="10"/>
        <item x="11"/>
        <item x="12"/>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dataField="1" compact="0" showAll="0">
      <items count="20">
        <item x="0"/>
        <item x="1"/>
        <item x="2"/>
        <item x="4"/>
        <item x="18"/>
        <item x="5"/>
        <item x="14"/>
        <item x="13"/>
        <item x="7"/>
        <item x="8"/>
        <item x="17"/>
        <item x="3"/>
        <item x="6"/>
        <item x="9"/>
        <item x="10"/>
        <item x="11"/>
        <item x="12"/>
        <item x="15"/>
        <item x="16"/>
        <item t="default"/>
      </items>
    </pivotField>
    <pivotField compact="0" showAll="0">
      <items count="22">
        <item x="0"/>
        <item x="1"/>
        <item x="2"/>
        <item x="4"/>
        <item x="20"/>
        <item x="5"/>
        <item x="15"/>
        <item x="7"/>
        <item x="14"/>
        <item x="3"/>
        <item x="17"/>
        <item x="11"/>
        <item x="9"/>
        <item x="19"/>
        <item x="6"/>
        <item x="8"/>
        <item x="10"/>
        <item x="12"/>
        <item x="13"/>
        <item x="16"/>
        <item x="18"/>
        <item t="default"/>
      </items>
    </pivotField>
    <pivotField compact="0" showAll="0">
      <items count="40">
        <item x="0"/>
        <item x="13"/>
        <item x="5"/>
        <item x="3"/>
        <item x="32"/>
        <item x="16"/>
        <item x="1"/>
        <item x="2"/>
        <item x="4"/>
        <item x="6"/>
        <item x="7"/>
        <item x="8"/>
        <item x="9"/>
        <item x="10"/>
        <item x="11"/>
        <item x="12"/>
        <item x="14"/>
        <item x="15"/>
        <item x="17"/>
        <item x="18"/>
        <item x="19"/>
        <item x="20"/>
        <item x="21"/>
        <item x="22"/>
        <item x="23"/>
        <item x="24"/>
        <item x="25"/>
        <item x="26"/>
        <item x="27"/>
        <item x="28"/>
        <item x="29"/>
        <item x="30"/>
        <item x="31"/>
        <item x="33"/>
        <item x="34"/>
        <item x="35"/>
        <item x="36"/>
        <item x="37"/>
        <item x="38"/>
        <item t="default"/>
      </items>
    </pivotField>
    <pivotField compact="0" showAll="0">
      <items count="19">
        <item x="1"/>
        <item x="0"/>
        <item x="16"/>
        <item x="2"/>
        <item x="17"/>
        <item x="4"/>
        <item x="12"/>
        <item x="7"/>
        <item x="6"/>
        <item x="8"/>
        <item x="3"/>
        <item x="5"/>
        <item x="9"/>
        <item x="10"/>
        <item x="11"/>
        <item x="13"/>
        <item x="14"/>
        <item x="15"/>
        <item t="default"/>
      </items>
    </pivotField>
    <pivotField compact="0" showAll="0">
      <items count="13">
        <item x="0"/>
        <item x="1"/>
        <item x="11"/>
        <item x="4"/>
        <item x="9"/>
        <item x="3"/>
        <item x="6"/>
        <item x="2"/>
        <item x="5"/>
        <item x="7"/>
        <item x="8"/>
        <item x="10"/>
        <item t="default"/>
      </items>
    </pivotField>
    <pivotField compact="0" showAll="0">
      <items count="39">
        <item x="0"/>
        <item x="37"/>
        <item x="11"/>
        <item x="29"/>
        <item x="15"/>
        <item x="26"/>
        <item x="7"/>
        <item x="8"/>
        <item x="1"/>
        <item x="2"/>
        <item x="35"/>
        <item x="10"/>
        <item x="18"/>
        <item x="14"/>
        <item x="25"/>
        <item x="30"/>
        <item x="33"/>
        <item x="36"/>
        <item x="3"/>
        <item x="4"/>
        <item x="5"/>
        <item x="6"/>
        <item x="9"/>
        <item x="12"/>
        <item x="13"/>
        <item x="16"/>
        <item x="17"/>
        <item x="19"/>
        <item x="20"/>
        <item x="21"/>
        <item x="22"/>
        <item x="23"/>
        <item x="24"/>
        <item x="27"/>
        <item x="28"/>
        <item x="31"/>
        <item x="32"/>
        <item x="34"/>
        <item t="default"/>
      </items>
    </pivotField>
    <pivotField compact="0" showAll="0">
      <items count="25">
        <item x="0"/>
        <item x="23"/>
        <item x="1"/>
        <item x="2"/>
        <item x="7"/>
        <item x="5"/>
        <item x="6"/>
        <item x="13"/>
        <item x="3"/>
        <item x="4"/>
        <item x="8"/>
        <item x="9"/>
        <item x="10"/>
        <item x="11"/>
        <item x="12"/>
        <item x="14"/>
        <item x="15"/>
        <item x="16"/>
        <item x="17"/>
        <item x="18"/>
        <item x="19"/>
        <item x="20"/>
        <item x="21"/>
        <item x="22"/>
        <item t="default"/>
      </items>
    </pivotField>
    <pivotField dataField="1" dragToCol="0" dragToPage="0" dragToRow="0" compact="0" showAll="0"/>
    <pivotField dataField="1" dragToCol="0" dragToPage="0" dragToRow="0" compact="0" showAll="0"/>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946">
      <pivotArea dataOnly="0" labelOnly="1" fieldPosition="0">
        <references count="1">
          <reference field="4294967294" count="1">
            <x v="5"/>
          </reference>
        </references>
      </pivotArea>
    </format>
    <format dxfId="947">
      <pivotArea dataOnly="0" labelOnly="1" fieldPosition="0">
        <references count="1">
          <reference field="4294967294" count="1">
            <x v="6"/>
          </reference>
        </references>
      </pivotArea>
    </format>
    <format dxfId="948">
      <pivotArea collapsedLevelsAreSubtotals="1" fieldPosition="0">
        <references count="1">
          <reference field="4294967294" count="1" selected="0">
            <x v="5"/>
          </reference>
        </references>
      </pivotArea>
    </format>
    <format dxfId="949">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1.xml><?xml version="1.0" encoding="utf-8"?>
<pivotTableDefinition xmlns="http://schemas.openxmlformats.org/spreadsheetml/2006/main" name="数据透视表38" cacheId="46"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E1:F53" firstHeaderRow="1" firstDataRow="1" firstDataCol="1"/>
  <pivotFields count="14">
    <pivotField compact="0" showAll="0">
      <items count="52">
        <item x="50"/>
        <item x="1"/>
        <item x="8"/>
        <item x="16"/>
        <item x="9"/>
        <item x="10"/>
        <item x="23"/>
        <item x="14"/>
        <item x="30"/>
        <item x="5"/>
        <item x="4"/>
        <item x="2"/>
        <item x="0"/>
        <item x="7"/>
        <item x="22"/>
        <item x="6"/>
        <item x="3"/>
        <item x="25"/>
        <item x="17"/>
        <item x="19"/>
        <item x="24"/>
        <item x="21"/>
        <item x="12"/>
        <item x="13"/>
        <item x="46"/>
        <item x="29"/>
        <item x="39"/>
        <item x="20"/>
        <item x="27"/>
        <item x="35"/>
        <item x="18"/>
        <item x="15"/>
        <item x="11"/>
        <item x="37"/>
        <item x="44"/>
        <item x="34"/>
        <item x="31"/>
        <item x="48"/>
        <item x="47"/>
        <item x="36"/>
        <item x="38"/>
        <item x="28"/>
        <item x="32"/>
        <item x="42"/>
        <item x="33"/>
        <item x="49"/>
        <item x="26"/>
        <item x="40"/>
        <item x="41"/>
        <item x="43"/>
        <item x="45"/>
        <item t="default"/>
      </items>
    </pivotField>
    <pivotField compact="0" showAll="0">
      <items count="52">
        <item x="50"/>
        <item x="8"/>
        <item x="16"/>
        <item x="9"/>
        <item x="10"/>
        <item x="23"/>
        <item x="14"/>
        <item x="1"/>
        <item x="4"/>
        <item x="5"/>
        <item x="6"/>
        <item x="17"/>
        <item x="24"/>
        <item x="2"/>
        <item x="0"/>
        <item x="7"/>
        <item x="3"/>
        <item x="22"/>
        <item x="19"/>
        <item x="21"/>
        <item x="46"/>
        <item x="25"/>
        <item x="29"/>
        <item x="39"/>
        <item x="20"/>
        <item x="27"/>
        <item x="35"/>
        <item x="18"/>
        <item x="11"/>
        <item x="44"/>
        <item x="34"/>
        <item x="13"/>
        <item x="31"/>
        <item x="48"/>
        <item x="47"/>
        <item x="36"/>
        <item x="38"/>
        <item x="12"/>
        <item x="15"/>
        <item x="30"/>
        <item x="28"/>
        <item x="32"/>
        <item x="42"/>
        <item x="33"/>
        <item x="49"/>
        <item x="26"/>
        <item x="37"/>
        <item x="40"/>
        <item x="41"/>
        <item x="43"/>
        <item x="45"/>
        <item t="default"/>
      </items>
    </pivotField>
    <pivotField axis="axisRow" compact="0" showAll="0">
      <items count="52">
        <item x="50"/>
        <item x="1"/>
        <item x="8"/>
        <item x="16"/>
        <item x="9"/>
        <item x="10"/>
        <item x="23"/>
        <item x="14"/>
        <item x="30"/>
        <item x="5"/>
        <item x="4"/>
        <item x="2"/>
        <item x="0"/>
        <item x="7"/>
        <item x="22"/>
        <item x="6"/>
        <item x="3"/>
        <item x="25"/>
        <item x="17"/>
        <item x="19"/>
        <item x="24"/>
        <item x="21"/>
        <item x="12"/>
        <item x="13"/>
        <item x="46"/>
        <item x="29"/>
        <item x="39"/>
        <item x="20"/>
        <item x="27"/>
        <item x="35"/>
        <item x="18"/>
        <item x="15"/>
        <item x="11"/>
        <item x="37"/>
        <item x="44"/>
        <item x="34"/>
        <item x="31"/>
        <item x="48"/>
        <item x="47"/>
        <item x="36"/>
        <item x="38"/>
        <item x="28"/>
        <item x="32"/>
        <item x="42"/>
        <item x="33"/>
        <item x="49"/>
        <item x="26"/>
        <item x="40"/>
        <item x="41"/>
        <item x="43"/>
        <item x="45"/>
        <item t="default"/>
      </items>
    </pivotField>
    <pivotField compact="0" showAll="0">
      <items count="52">
        <item x="50"/>
        <item x="15"/>
        <item x="49"/>
        <item x="41"/>
        <item x="45"/>
        <item x="43"/>
        <item x="0"/>
        <item x="1"/>
        <item x="2"/>
        <item x="3"/>
        <item x="4"/>
        <item x="5"/>
        <item x="6"/>
        <item x="7"/>
        <item x="8"/>
        <item x="9"/>
        <item x="10"/>
        <item x="11"/>
        <item x="12"/>
        <item x="13"/>
        <item x="14"/>
        <item x="16"/>
        <item x="17"/>
        <item x="18"/>
        <item x="19"/>
        <item x="20"/>
        <item x="21"/>
        <item x="22"/>
        <item x="23"/>
        <item x="24"/>
        <item x="25"/>
        <item x="26"/>
        <item x="27"/>
        <item x="28"/>
        <item x="29"/>
        <item x="30"/>
        <item x="31"/>
        <item x="32"/>
        <item x="33"/>
        <item x="34"/>
        <item x="35"/>
        <item x="36"/>
        <item x="37"/>
        <item x="38"/>
        <item x="39"/>
        <item x="40"/>
        <item x="42"/>
        <item x="44"/>
        <item x="46"/>
        <item x="47"/>
        <item x="48"/>
        <item t="default"/>
      </items>
    </pivotField>
    <pivotField compact="0" showAll="0">
      <items count="22">
        <item x="19"/>
        <item x="15"/>
        <item x="17"/>
        <item x="11"/>
        <item x="14"/>
        <item x="13"/>
        <item x="10"/>
        <item x="18"/>
        <item x="12"/>
        <item x="8"/>
        <item x="20"/>
        <item x="0"/>
        <item x="7"/>
        <item x="1"/>
        <item x="2"/>
        <item x="3"/>
        <item x="4"/>
        <item x="5"/>
        <item x="6"/>
        <item x="9"/>
        <item x="16"/>
        <item t="default"/>
      </items>
    </pivotField>
    <pivotField compact="0" showAll="0">
      <items count="49">
        <item x="47"/>
        <item x="32"/>
        <item x="29"/>
        <item x="42"/>
        <item x="38"/>
        <item x="43"/>
        <item x="30"/>
        <item x="0"/>
        <item x="1"/>
        <item x="2"/>
        <item x="3"/>
        <item x="4"/>
        <item x="5"/>
        <item x="6"/>
        <item x="7"/>
        <item x="8"/>
        <item x="9"/>
        <item x="10"/>
        <item x="11"/>
        <item x="12"/>
        <item x="13"/>
        <item x="14"/>
        <item x="15"/>
        <item x="16"/>
        <item x="17"/>
        <item x="18"/>
        <item x="19"/>
        <item x="20"/>
        <item x="21"/>
        <item x="22"/>
        <item x="23"/>
        <item x="24"/>
        <item x="25"/>
        <item x="26"/>
        <item x="27"/>
        <item x="28"/>
        <item x="31"/>
        <item x="33"/>
        <item x="34"/>
        <item x="35"/>
        <item x="36"/>
        <item x="37"/>
        <item x="39"/>
        <item x="40"/>
        <item x="41"/>
        <item x="44"/>
        <item x="45"/>
        <item x="46"/>
        <item t="default"/>
      </items>
    </pivotField>
    <pivotField compact="0" showAll="0">
      <items count="22">
        <item x="19"/>
        <item x="20"/>
        <item x="0"/>
        <item x="1"/>
        <item x="2"/>
        <item x="3"/>
        <item x="4"/>
        <item x="5"/>
        <item x="6"/>
        <item x="7"/>
        <item x="8"/>
        <item x="9"/>
        <item x="10"/>
        <item x="11"/>
        <item x="12"/>
        <item x="13"/>
        <item x="14"/>
        <item x="15"/>
        <item x="16"/>
        <item x="17"/>
        <item x="18"/>
        <item t="default"/>
      </items>
    </pivotField>
    <pivotField compact="0" showAll="0">
      <items count="53">
        <item x="51"/>
        <item x="48"/>
        <item x="50"/>
        <item x="30"/>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9"/>
        <item t="default"/>
      </items>
    </pivotField>
    <pivotField compact="0" showAll="0">
      <items count="24">
        <item x="21"/>
        <item x="15"/>
        <item x="18"/>
        <item x="12"/>
        <item x="16"/>
        <item x="14"/>
        <item x="11"/>
        <item x="19"/>
        <item x="22"/>
        <item x="2"/>
        <item x="6"/>
        <item x="13"/>
        <item x="0"/>
        <item x="1"/>
        <item x="3"/>
        <item x="4"/>
        <item x="5"/>
        <item x="7"/>
        <item x="8"/>
        <item x="9"/>
        <item x="10"/>
        <item x="17"/>
        <item x="20"/>
        <item t="default"/>
      </items>
    </pivotField>
    <pivotField compact="0" showAll="0">
      <items count="50">
        <item x="48"/>
        <item x="35"/>
        <item x="20"/>
        <item x="30"/>
        <item x="37"/>
        <item x="29"/>
        <item x="21"/>
        <item x="43"/>
        <item x="31"/>
        <item x="39"/>
        <item x="0"/>
        <item x="1"/>
        <item x="2"/>
        <item x="3"/>
        <item x="4"/>
        <item x="5"/>
        <item x="6"/>
        <item x="7"/>
        <item x="8"/>
        <item x="9"/>
        <item x="10"/>
        <item x="11"/>
        <item x="12"/>
        <item x="13"/>
        <item x="14"/>
        <item x="15"/>
        <item x="16"/>
        <item x="17"/>
        <item x="18"/>
        <item x="19"/>
        <item x="22"/>
        <item x="23"/>
        <item x="24"/>
        <item x="25"/>
        <item x="26"/>
        <item x="27"/>
        <item x="28"/>
        <item x="32"/>
        <item x="33"/>
        <item x="34"/>
        <item x="36"/>
        <item x="38"/>
        <item x="40"/>
        <item x="41"/>
        <item x="42"/>
        <item x="44"/>
        <item x="45"/>
        <item x="46"/>
        <item x="47"/>
        <item t="default"/>
      </items>
    </pivotField>
    <pivotField compact="0" showAll="0">
      <items count="24">
        <item x="21"/>
        <item x="22"/>
        <item x="6"/>
        <item x="0"/>
        <item x="1"/>
        <item x="2"/>
        <item x="3"/>
        <item x="4"/>
        <item x="5"/>
        <item x="7"/>
        <item x="8"/>
        <item x="9"/>
        <item x="10"/>
        <item x="11"/>
        <item x="12"/>
        <item x="13"/>
        <item x="14"/>
        <item x="15"/>
        <item x="16"/>
        <item x="17"/>
        <item x="18"/>
        <item x="19"/>
        <item x="20"/>
        <item t="default"/>
      </items>
    </pivotField>
    <pivotField compact="0" showAll="0">
      <items count="35">
        <item x="15"/>
        <item x="33"/>
        <item x="4"/>
        <item x="26"/>
        <item x="1"/>
        <item x="0"/>
        <item x="2"/>
        <item x="3"/>
        <item x="5"/>
        <item x="6"/>
        <item x="7"/>
        <item x="8"/>
        <item x="9"/>
        <item x="10"/>
        <item x="11"/>
        <item x="12"/>
        <item x="13"/>
        <item x="14"/>
        <item x="16"/>
        <item x="17"/>
        <item x="18"/>
        <item x="19"/>
        <item x="20"/>
        <item x="21"/>
        <item x="22"/>
        <item x="23"/>
        <item x="24"/>
        <item x="25"/>
        <item x="27"/>
        <item x="28"/>
        <item x="29"/>
        <item x="30"/>
        <item x="31"/>
        <item x="32"/>
        <item t="default"/>
      </items>
    </pivotField>
    <pivotField compact="0" showAll="0">
      <items count="8">
        <item x="3"/>
        <item x="0"/>
        <item x="6"/>
        <item x="1"/>
        <item x="2"/>
        <item x="4"/>
        <item x="5"/>
        <item t="default"/>
      </items>
    </pivotField>
    <pivotField dataField="1" compact="0" showAll="0">
      <items count="28">
        <item x="24"/>
        <item x="26"/>
        <item x="22"/>
        <item x="23"/>
        <item x="20"/>
        <item x="21"/>
        <item x="25"/>
        <item x="18"/>
        <item x="17"/>
        <item x="1"/>
        <item x="8"/>
        <item x="0"/>
        <item x="2"/>
        <item x="3"/>
        <item x="4"/>
        <item x="5"/>
        <item x="6"/>
        <item x="7"/>
        <item x="9"/>
        <item x="10"/>
        <item x="11"/>
        <item x="12"/>
        <item x="13"/>
        <item x="14"/>
        <item x="15"/>
        <item x="16"/>
        <item x="19"/>
        <item t="default"/>
      </items>
    </pivotField>
  </pivotFields>
  <rowFields count="1">
    <field x="2"/>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2.xml><?xml version="1.0" encoding="utf-8"?>
<pivotTableDefinition xmlns="http://schemas.openxmlformats.org/spreadsheetml/2006/main" name="数据透视表55" cacheId="55"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1:AA107" firstHeaderRow="0" firstDataRow="1" firstDataCol="1"/>
  <pivotFields count="19">
    <pivotField axis="axisRow" compact="0" showAll="0">
      <items count="106">
        <item x="3"/>
        <item x="5"/>
        <item x="9"/>
        <item x="7"/>
        <item x="104"/>
        <item x="13"/>
        <item x="16"/>
        <item x="17"/>
        <item x="14"/>
        <item x="15"/>
        <item x="21"/>
        <item x="8"/>
        <item x="4"/>
        <item x="22"/>
        <item x="26"/>
        <item x="24"/>
        <item x="23"/>
        <item x="0"/>
        <item x="25"/>
        <item x="42"/>
        <item x="6"/>
        <item x="27"/>
        <item x="28"/>
        <item x="29"/>
        <item x="10"/>
        <item x="19"/>
        <item x="30"/>
        <item x="31"/>
        <item x="32"/>
        <item x="33"/>
        <item x="67"/>
        <item x="34"/>
        <item x="35"/>
        <item x="36"/>
        <item x="70"/>
        <item x="37"/>
        <item x="71"/>
        <item x="41"/>
        <item x="20"/>
        <item x="2"/>
        <item x="38"/>
        <item x="39"/>
        <item x="40"/>
        <item x="46"/>
        <item x="43"/>
        <item x="44"/>
        <item x="45"/>
        <item x="47"/>
        <item x="48"/>
        <item x="49"/>
        <item x="50"/>
        <item x="51"/>
        <item x="52"/>
        <item x="53"/>
        <item x="54"/>
        <item x="56"/>
        <item x="57"/>
        <item x="55"/>
        <item x="58"/>
        <item x="59"/>
        <item x="65"/>
        <item x="60"/>
        <item x="61"/>
        <item x="64"/>
        <item x="63"/>
        <item x="62"/>
        <item x="12"/>
        <item x="18"/>
        <item x="69"/>
        <item x="1"/>
        <item x="72"/>
        <item x="73"/>
        <item x="66"/>
        <item x="68"/>
        <item x="11"/>
        <item x="74"/>
        <item x="77"/>
        <item x="75"/>
        <item x="76"/>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compact="0" showAll="0">
      <items count="106">
        <item x="3"/>
        <item x="5"/>
        <item x="9"/>
        <item x="7"/>
        <item x="104"/>
        <item x="13"/>
        <item x="16"/>
        <item x="17"/>
        <item x="14"/>
        <item x="15"/>
        <item x="21"/>
        <item x="8"/>
        <item x="4"/>
        <item x="22"/>
        <item x="26"/>
        <item x="24"/>
        <item x="23"/>
        <item x="0"/>
        <item x="25"/>
        <item x="42"/>
        <item x="6"/>
        <item x="27"/>
        <item x="28"/>
        <item x="29"/>
        <item x="10"/>
        <item x="19"/>
        <item x="30"/>
        <item x="31"/>
        <item x="32"/>
        <item x="33"/>
        <item x="67"/>
        <item x="34"/>
        <item x="35"/>
        <item x="36"/>
        <item x="70"/>
        <item x="37"/>
        <item x="71"/>
        <item x="41"/>
        <item x="20"/>
        <item x="2"/>
        <item x="38"/>
        <item x="39"/>
        <item x="40"/>
        <item x="46"/>
        <item x="43"/>
        <item x="44"/>
        <item x="45"/>
        <item x="47"/>
        <item x="48"/>
        <item x="49"/>
        <item x="50"/>
        <item x="51"/>
        <item x="52"/>
        <item x="53"/>
        <item x="54"/>
        <item x="56"/>
        <item x="57"/>
        <item x="55"/>
        <item x="58"/>
        <item x="59"/>
        <item x="65"/>
        <item x="60"/>
        <item x="61"/>
        <item x="64"/>
        <item x="63"/>
        <item x="62"/>
        <item x="12"/>
        <item x="18"/>
        <item x="69"/>
        <item x="1"/>
        <item x="72"/>
        <item x="73"/>
        <item x="66"/>
        <item x="68"/>
        <item x="11"/>
        <item x="74"/>
        <item x="77"/>
        <item x="75"/>
        <item x="76"/>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dataField="1" compact="0" showAll="0">
      <items count="282">
        <item x="280"/>
        <item x="18"/>
        <item x="1"/>
        <item x="99"/>
        <item x="17"/>
        <item x="185"/>
        <item x="181"/>
        <item x="28"/>
        <item x="152"/>
        <item x="94"/>
        <item x="123"/>
        <item x="234"/>
        <item x="245"/>
        <item x="148"/>
        <item x="96"/>
        <item x="157"/>
        <item x="195"/>
        <item x="7"/>
        <item x="231"/>
        <item x="244"/>
        <item x="93"/>
        <item x="2"/>
        <item x="136"/>
        <item x="33"/>
        <item x="122"/>
        <item x="150"/>
        <item x="225"/>
        <item x="174"/>
        <item x="120"/>
        <item x="27"/>
        <item x="135"/>
        <item x="237"/>
        <item x="0"/>
        <item x="3"/>
        <item x="4"/>
        <item x="5"/>
        <item x="6"/>
        <item x="8"/>
        <item x="9"/>
        <item x="10"/>
        <item x="11"/>
        <item x="12"/>
        <item x="13"/>
        <item x="14"/>
        <item x="15"/>
        <item x="16"/>
        <item x="19"/>
        <item x="20"/>
        <item x="21"/>
        <item x="22"/>
        <item x="23"/>
        <item x="24"/>
        <item x="25"/>
        <item x="26"/>
        <item x="29"/>
        <item x="30"/>
        <item x="31"/>
        <item x="32"/>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5"/>
        <item x="97"/>
        <item x="98"/>
        <item x="100"/>
        <item x="101"/>
        <item x="102"/>
        <item x="103"/>
        <item x="104"/>
        <item x="105"/>
        <item x="106"/>
        <item x="107"/>
        <item x="108"/>
        <item x="109"/>
        <item x="110"/>
        <item x="111"/>
        <item x="112"/>
        <item x="113"/>
        <item x="114"/>
        <item x="115"/>
        <item x="116"/>
        <item x="117"/>
        <item x="118"/>
        <item x="119"/>
        <item x="121"/>
        <item x="124"/>
        <item x="125"/>
        <item x="126"/>
        <item x="127"/>
        <item x="128"/>
        <item x="129"/>
        <item x="130"/>
        <item x="131"/>
        <item x="132"/>
        <item x="133"/>
        <item x="134"/>
        <item x="137"/>
        <item x="138"/>
        <item x="139"/>
        <item x="140"/>
        <item x="141"/>
        <item x="142"/>
        <item x="143"/>
        <item x="144"/>
        <item x="145"/>
        <item x="146"/>
        <item x="147"/>
        <item x="149"/>
        <item x="151"/>
        <item x="153"/>
        <item x="154"/>
        <item x="155"/>
        <item x="156"/>
        <item x="158"/>
        <item x="159"/>
        <item x="160"/>
        <item x="161"/>
        <item x="162"/>
        <item x="163"/>
        <item x="164"/>
        <item x="165"/>
        <item x="166"/>
        <item x="167"/>
        <item x="168"/>
        <item x="169"/>
        <item x="170"/>
        <item x="171"/>
        <item x="172"/>
        <item x="173"/>
        <item x="175"/>
        <item x="176"/>
        <item x="177"/>
        <item x="178"/>
        <item x="179"/>
        <item x="180"/>
        <item x="182"/>
        <item x="183"/>
        <item x="184"/>
        <item x="186"/>
        <item x="187"/>
        <item x="188"/>
        <item x="189"/>
        <item x="190"/>
        <item x="191"/>
        <item x="192"/>
        <item x="193"/>
        <item x="194"/>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6"/>
        <item x="227"/>
        <item x="228"/>
        <item x="229"/>
        <item x="230"/>
        <item x="232"/>
        <item x="233"/>
        <item x="235"/>
        <item x="236"/>
        <item x="238"/>
        <item x="239"/>
        <item x="240"/>
        <item x="241"/>
        <item x="242"/>
        <item x="243"/>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t="default"/>
      </items>
    </pivotField>
    <pivotField dataField="1" compact="0" showAll="0">
      <items count="53">
        <item x="1"/>
        <item x="14"/>
        <item x="7"/>
        <item x="0"/>
        <item x="5"/>
        <item x="2"/>
        <item x="51"/>
        <item x="15"/>
        <item x="22"/>
        <item x="17"/>
        <item x="3"/>
        <item x="40"/>
        <item x="4"/>
        <item x="16"/>
        <item x="31"/>
        <item x="23"/>
        <item x="18"/>
        <item x="8"/>
        <item x="6"/>
        <item x="20"/>
        <item x="45"/>
        <item x="9"/>
        <item x="11"/>
        <item x="30"/>
        <item x="46"/>
        <item x="35"/>
        <item x="36"/>
        <item x="21"/>
        <item x="24"/>
        <item x="13"/>
        <item x="34"/>
        <item x="50"/>
        <item x="49"/>
        <item x="10"/>
        <item x="42"/>
        <item x="33"/>
        <item x="12"/>
        <item x="19"/>
        <item x="25"/>
        <item x="26"/>
        <item x="27"/>
        <item x="28"/>
        <item x="29"/>
        <item x="32"/>
        <item x="37"/>
        <item x="38"/>
        <item x="39"/>
        <item x="41"/>
        <item x="43"/>
        <item x="44"/>
        <item x="47"/>
        <item x="48"/>
        <item t="default"/>
      </items>
    </pivotField>
    <pivotField compact="0" showAll="0">
      <items count="238">
        <item x="5"/>
        <item x="1"/>
        <item x="155"/>
        <item x="24"/>
        <item x="152"/>
        <item x="216"/>
        <item x="89"/>
        <item x="159"/>
        <item x="71"/>
        <item x="23"/>
        <item x="11"/>
        <item x="143"/>
        <item x="202"/>
        <item x="205"/>
        <item x="119"/>
        <item x="213"/>
        <item x="0"/>
        <item x="2"/>
        <item x="3"/>
        <item x="4"/>
        <item x="6"/>
        <item x="7"/>
        <item x="8"/>
        <item x="9"/>
        <item x="10"/>
        <item x="12"/>
        <item x="13"/>
        <item x="14"/>
        <item x="15"/>
        <item x="16"/>
        <item x="17"/>
        <item x="18"/>
        <item x="19"/>
        <item x="20"/>
        <item x="21"/>
        <item x="22"/>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2"/>
        <item x="73"/>
        <item x="74"/>
        <item x="75"/>
        <item x="76"/>
        <item x="77"/>
        <item x="78"/>
        <item x="79"/>
        <item x="80"/>
        <item x="81"/>
        <item x="82"/>
        <item x="83"/>
        <item x="84"/>
        <item x="85"/>
        <item x="86"/>
        <item x="87"/>
        <item x="88"/>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20"/>
        <item x="121"/>
        <item x="122"/>
        <item x="123"/>
        <item x="124"/>
        <item x="125"/>
        <item x="126"/>
        <item x="127"/>
        <item x="128"/>
        <item x="129"/>
        <item x="130"/>
        <item x="131"/>
        <item x="132"/>
        <item x="133"/>
        <item x="134"/>
        <item x="135"/>
        <item x="136"/>
        <item x="137"/>
        <item x="138"/>
        <item x="139"/>
        <item x="140"/>
        <item x="141"/>
        <item x="142"/>
        <item x="144"/>
        <item x="145"/>
        <item x="146"/>
        <item x="147"/>
        <item x="148"/>
        <item x="149"/>
        <item x="150"/>
        <item x="151"/>
        <item x="153"/>
        <item x="154"/>
        <item x="156"/>
        <item x="157"/>
        <item x="158"/>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3"/>
        <item x="204"/>
        <item x="206"/>
        <item x="207"/>
        <item x="208"/>
        <item x="209"/>
        <item x="210"/>
        <item x="211"/>
        <item x="212"/>
        <item x="214"/>
        <item x="215"/>
        <item x="217"/>
        <item x="218"/>
        <item x="219"/>
        <item x="220"/>
        <item x="221"/>
        <item x="222"/>
        <item x="223"/>
        <item x="224"/>
        <item x="225"/>
        <item x="226"/>
        <item x="227"/>
        <item x="228"/>
        <item x="229"/>
        <item x="230"/>
        <item x="231"/>
        <item x="232"/>
        <item x="233"/>
        <item x="234"/>
        <item x="235"/>
        <item x="236"/>
        <item t="default"/>
      </items>
    </pivotField>
    <pivotField compact="0" showAll="0">
      <items count="213">
        <item x="1"/>
        <item x="116"/>
        <item x="27"/>
        <item x="121"/>
        <item x="3"/>
        <item x="7"/>
        <item x="44"/>
        <item x="50"/>
        <item x="97"/>
        <item x="68"/>
        <item x="81"/>
        <item x="24"/>
        <item x="43"/>
        <item x="11"/>
        <item x="56"/>
        <item x="64"/>
        <item x="120"/>
        <item x="92"/>
        <item x="49"/>
        <item x="62"/>
        <item x="146"/>
        <item x="142"/>
        <item x="2"/>
        <item x="22"/>
        <item x="131"/>
        <item x="35"/>
        <item x="23"/>
        <item x="141"/>
        <item x="166"/>
        <item x="5"/>
        <item x="117"/>
        <item x="6"/>
        <item x="103"/>
        <item x="104"/>
        <item x="0"/>
        <item x="135"/>
        <item x="25"/>
        <item x="148"/>
        <item x="114"/>
        <item x="118"/>
        <item x="132"/>
        <item x="106"/>
        <item x="200"/>
        <item x="154"/>
        <item x="112"/>
        <item x="157"/>
        <item x="175"/>
        <item x="178"/>
        <item x="115"/>
        <item x="58"/>
        <item x="4"/>
        <item x="8"/>
        <item x="9"/>
        <item x="10"/>
        <item x="12"/>
        <item x="13"/>
        <item x="14"/>
        <item x="15"/>
        <item x="16"/>
        <item x="17"/>
        <item x="18"/>
        <item x="19"/>
        <item x="20"/>
        <item x="21"/>
        <item x="26"/>
        <item x="28"/>
        <item x="29"/>
        <item x="30"/>
        <item x="31"/>
        <item x="32"/>
        <item x="33"/>
        <item x="34"/>
        <item x="36"/>
        <item x="37"/>
        <item x="38"/>
        <item x="39"/>
        <item x="40"/>
        <item x="41"/>
        <item x="42"/>
        <item x="45"/>
        <item x="46"/>
        <item x="47"/>
        <item x="48"/>
        <item x="51"/>
        <item x="52"/>
        <item x="53"/>
        <item x="54"/>
        <item x="55"/>
        <item x="57"/>
        <item x="59"/>
        <item x="60"/>
        <item x="61"/>
        <item x="63"/>
        <item x="65"/>
        <item x="66"/>
        <item x="67"/>
        <item x="69"/>
        <item x="70"/>
        <item x="71"/>
        <item x="72"/>
        <item x="73"/>
        <item x="74"/>
        <item x="75"/>
        <item x="76"/>
        <item x="77"/>
        <item x="78"/>
        <item x="79"/>
        <item x="80"/>
        <item x="82"/>
        <item x="83"/>
        <item x="84"/>
        <item x="85"/>
        <item x="86"/>
        <item x="87"/>
        <item x="88"/>
        <item x="89"/>
        <item x="90"/>
        <item x="91"/>
        <item x="93"/>
        <item x="94"/>
        <item x="95"/>
        <item x="96"/>
        <item x="98"/>
        <item x="99"/>
        <item x="100"/>
        <item x="101"/>
        <item x="102"/>
        <item x="105"/>
        <item x="107"/>
        <item x="108"/>
        <item x="109"/>
        <item x="110"/>
        <item x="111"/>
        <item x="113"/>
        <item x="119"/>
        <item x="122"/>
        <item x="123"/>
        <item x="124"/>
        <item x="125"/>
        <item x="126"/>
        <item x="127"/>
        <item x="128"/>
        <item x="129"/>
        <item x="130"/>
        <item x="133"/>
        <item x="134"/>
        <item x="136"/>
        <item x="137"/>
        <item x="138"/>
        <item x="139"/>
        <item x="140"/>
        <item x="143"/>
        <item x="144"/>
        <item x="145"/>
        <item x="147"/>
        <item x="149"/>
        <item x="150"/>
        <item x="151"/>
        <item x="152"/>
        <item x="153"/>
        <item x="155"/>
        <item x="156"/>
        <item x="158"/>
        <item x="159"/>
        <item x="160"/>
        <item x="161"/>
        <item x="162"/>
        <item x="163"/>
        <item x="164"/>
        <item x="165"/>
        <item x="167"/>
        <item x="168"/>
        <item x="169"/>
        <item x="170"/>
        <item x="171"/>
        <item x="172"/>
        <item x="173"/>
        <item x="174"/>
        <item x="176"/>
        <item x="177"/>
        <item x="179"/>
        <item x="180"/>
        <item x="181"/>
        <item x="182"/>
        <item x="183"/>
        <item x="184"/>
        <item x="185"/>
        <item x="186"/>
        <item x="187"/>
        <item x="188"/>
        <item x="189"/>
        <item x="190"/>
        <item x="191"/>
        <item x="192"/>
        <item x="193"/>
        <item x="194"/>
        <item x="195"/>
        <item x="196"/>
        <item x="197"/>
        <item x="198"/>
        <item x="199"/>
        <item x="201"/>
        <item x="202"/>
        <item x="203"/>
        <item x="204"/>
        <item x="205"/>
        <item x="206"/>
        <item x="207"/>
        <item x="208"/>
        <item x="209"/>
        <item x="210"/>
        <item x="211"/>
        <item t="default"/>
      </items>
    </pivotField>
    <pivotField dataField="1" compact="0" showAll="0">
      <items count="217">
        <item x="1"/>
        <item x="215"/>
        <item x="153"/>
        <item x="147"/>
        <item x="129"/>
        <item x="112"/>
        <item x="11"/>
        <item x="194"/>
        <item x="6"/>
        <item x="10"/>
        <item x="151"/>
        <item x="136"/>
        <item x="116"/>
        <item x="25"/>
        <item x="7"/>
        <item x="47"/>
        <item x="54"/>
        <item x="125"/>
        <item x="127"/>
        <item x="124"/>
        <item x="212"/>
        <item x="122"/>
        <item x="61"/>
        <item x="82"/>
        <item x="2"/>
        <item x="22"/>
        <item x="23"/>
        <item x="24"/>
        <item x="213"/>
        <item x="83"/>
        <item x="145"/>
        <item x="98"/>
        <item x="154"/>
        <item x="12"/>
        <item x="4"/>
        <item x="105"/>
        <item x="5"/>
        <item x="29"/>
        <item x="20"/>
        <item x="103"/>
        <item x="104"/>
        <item x="0"/>
        <item x="142"/>
        <item x="126"/>
        <item x="167"/>
        <item x="43"/>
        <item x="119"/>
        <item x="158"/>
        <item x="108"/>
        <item x="65"/>
        <item x="148"/>
        <item x="27"/>
        <item x="160"/>
        <item x="163"/>
        <item x="117"/>
        <item x="135"/>
        <item x="184"/>
        <item x="187"/>
        <item x="21"/>
        <item x="3"/>
        <item x="8"/>
        <item x="9"/>
        <item x="13"/>
        <item x="14"/>
        <item x="15"/>
        <item x="16"/>
        <item x="17"/>
        <item x="18"/>
        <item x="19"/>
        <item x="26"/>
        <item x="28"/>
        <item x="30"/>
        <item x="31"/>
        <item x="32"/>
        <item x="33"/>
        <item x="34"/>
        <item x="35"/>
        <item x="36"/>
        <item x="37"/>
        <item x="38"/>
        <item x="39"/>
        <item x="40"/>
        <item x="41"/>
        <item x="42"/>
        <item x="44"/>
        <item x="45"/>
        <item x="46"/>
        <item x="48"/>
        <item x="49"/>
        <item x="50"/>
        <item x="51"/>
        <item x="52"/>
        <item x="53"/>
        <item x="55"/>
        <item x="56"/>
        <item x="57"/>
        <item x="58"/>
        <item x="59"/>
        <item x="60"/>
        <item x="62"/>
        <item x="63"/>
        <item x="64"/>
        <item x="66"/>
        <item x="67"/>
        <item x="68"/>
        <item x="69"/>
        <item x="70"/>
        <item x="71"/>
        <item x="72"/>
        <item x="73"/>
        <item x="74"/>
        <item x="75"/>
        <item x="76"/>
        <item x="77"/>
        <item x="78"/>
        <item x="79"/>
        <item x="80"/>
        <item x="81"/>
        <item x="84"/>
        <item x="85"/>
        <item x="86"/>
        <item x="87"/>
        <item x="88"/>
        <item x="89"/>
        <item x="90"/>
        <item x="91"/>
        <item x="92"/>
        <item x="93"/>
        <item x="94"/>
        <item x="95"/>
        <item x="96"/>
        <item x="97"/>
        <item x="99"/>
        <item x="100"/>
        <item x="101"/>
        <item x="102"/>
        <item x="106"/>
        <item x="107"/>
        <item x="109"/>
        <item x="110"/>
        <item x="111"/>
        <item x="113"/>
        <item x="114"/>
        <item x="115"/>
        <item x="118"/>
        <item x="120"/>
        <item x="121"/>
        <item x="123"/>
        <item x="128"/>
        <item x="130"/>
        <item x="131"/>
        <item x="132"/>
        <item x="133"/>
        <item x="134"/>
        <item x="137"/>
        <item x="138"/>
        <item x="139"/>
        <item x="140"/>
        <item x="141"/>
        <item x="143"/>
        <item x="144"/>
        <item x="146"/>
        <item x="149"/>
        <item x="150"/>
        <item x="152"/>
        <item x="155"/>
        <item x="156"/>
        <item x="157"/>
        <item x="159"/>
        <item x="161"/>
        <item x="162"/>
        <item x="164"/>
        <item x="165"/>
        <item x="166"/>
        <item x="168"/>
        <item x="169"/>
        <item x="170"/>
        <item x="171"/>
        <item x="172"/>
        <item x="173"/>
        <item x="174"/>
        <item x="175"/>
        <item x="176"/>
        <item x="177"/>
        <item x="178"/>
        <item x="179"/>
        <item x="180"/>
        <item x="181"/>
        <item x="182"/>
        <item x="183"/>
        <item x="185"/>
        <item x="186"/>
        <item x="188"/>
        <item x="189"/>
        <item x="190"/>
        <item x="191"/>
        <item x="192"/>
        <item x="193"/>
        <item x="195"/>
        <item x="196"/>
        <item x="197"/>
        <item x="198"/>
        <item x="199"/>
        <item x="200"/>
        <item x="201"/>
        <item x="202"/>
        <item x="203"/>
        <item x="204"/>
        <item x="205"/>
        <item x="206"/>
        <item x="207"/>
        <item x="208"/>
        <item x="209"/>
        <item x="210"/>
        <item x="211"/>
        <item x="214"/>
        <item t="default"/>
      </items>
    </pivotField>
    <pivotField dataField="1" compact="0" showAll="0">
      <items count="68">
        <item x="1"/>
        <item x="66"/>
        <item x="3"/>
        <item x="2"/>
        <item x="41"/>
        <item x="31"/>
        <item x="18"/>
        <item x="4"/>
        <item x="37"/>
        <item x="5"/>
        <item x="32"/>
        <item x="34"/>
        <item x="7"/>
        <item x="11"/>
        <item x="15"/>
        <item x="17"/>
        <item x="25"/>
        <item x="36"/>
        <item x="35"/>
        <item x="44"/>
        <item x="40"/>
        <item x="24"/>
        <item x="45"/>
        <item x="48"/>
        <item x="21"/>
        <item x="54"/>
        <item x="61"/>
        <item x="59"/>
        <item x="62"/>
        <item x="63"/>
        <item x="0"/>
        <item x="6"/>
        <item x="8"/>
        <item x="9"/>
        <item x="10"/>
        <item x="12"/>
        <item x="13"/>
        <item x="14"/>
        <item x="16"/>
        <item x="19"/>
        <item x="20"/>
        <item x="22"/>
        <item x="23"/>
        <item x="26"/>
        <item x="27"/>
        <item x="28"/>
        <item x="29"/>
        <item x="30"/>
        <item x="33"/>
        <item x="38"/>
        <item x="39"/>
        <item x="42"/>
        <item x="43"/>
        <item x="46"/>
        <item x="47"/>
        <item x="49"/>
        <item x="50"/>
        <item x="51"/>
        <item x="52"/>
        <item x="53"/>
        <item x="55"/>
        <item x="56"/>
        <item x="57"/>
        <item x="58"/>
        <item x="60"/>
        <item x="64"/>
        <item x="65"/>
        <item t="default"/>
      </items>
    </pivotField>
    <pivotField compact="0" showAll="0">
      <items count="116">
        <item x="1"/>
        <item x="2"/>
        <item x="30"/>
        <item x="67"/>
        <item x="66"/>
        <item x="4"/>
        <item x="87"/>
        <item x="107"/>
        <item x="108"/>
        <item x="0"/>
        <item x="3"/>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8"/>
        <item x="69"/>
        <item x="70"/>
        <item x="71"/>
        <item x="72"/>
        <item x="73"/>
        <item x="74"/>
        <item x="75"/>
        <item x="76"/>
        <item x="77"/>
        <item x="78"/>
        <item x="79"/>
        <item x="80"/>
        <item x="81"/>
        <item x="82"/>
        <item x="83"/>
        <item x="84"/>
        <item x="85"/>
        <item x="86"/>
        <item x="88"/>
        <item x="89"/>
        <item x="90"/>
        <item x="91"/>
        <item x="92"/>
        <item x="93"/>
        <item x="94"/>
        <item x="95"/>
        <item x="96"/>
        <item x="97"/>
        <item x="98"/>
        <item x="99"/>
        <item x="100"/>
        <item x="101"/>
        <item x="102"/>
        <item x="103"/>
        <item x="104"/>
        <item x="105"/>
        <item x="106"/>
        <item x="109"/>
        <item x="110"/>
        <item x="111"/>
        <item x="112"/>
        <item x="113"/>
        <item x="114"/>
        <item t="default"/>
      </items>
    </pivotField>
    <pivotField compact="0" showAll="0">
      <items count="117">
        <item x="2"/>
        <item x="1"/>
        <item x="3"/>
        <item x="31"/>
        <item x="68"/>
        <item x="67"/>
        <item x="5"/>
        <item x="88"/>
        <item x="108"/>
        <item x="109"/>
        <item x="0"/>
        <item x="4"/>
        <item x="6"/>
        <item x="7"/>
        <item x="8"/>
        <item x="9"/>
        <item x="10"/>
        <item x="11"/>
        <item x="12"/>
        <item x="13"/>
        <item x="14"/>
        <item x="15"/>
        <item x="16"/>
        <item x="17"/>
        <item x="18"/>
        <item x="19"/>
        <item x="20"/>
        <item x="21"/>
        <item x="22"/>
        <item x="23"/>
        <item x="24"/>
        <item x="25"/>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9"/>
        <item x="70"/>
        <item x="71"/>
        <item x="72"/>
        <item x="73"/>
        <item x="74"/>
        <item x="75"/>
        <item x="76"/>
        <item x="77"/>
        <item x="78"/>
        <item x="79"/>
        <item x="80"/>
        <item x="81"/>
        <item x="82"/>
        <item x="83"/>
        <item x="84"/>
        <item x="85"/>
        <item x="86"/>
        <item x="87"/>
        <item x="89"/>
        <item x="90"/>
        <item x="91"/>
        <item x="92"/>
        <item x="93"/>
        <item x="94"/>
        <item x="95"/>
        <item x="96"/>
        <item x="97"/>
        <item x="98"/>
        <item x="99"/>
        <item x="100"/>
        <item x="101"/>
        <item x="102"/>
        <item x="103"/>
        <item x="104"/>
        <item x="105"/>
        <item x="106"/>
        <item x="107"/>
        <item x="110"/>
        <item x="111"/>
        <item x="112"/>
        <item x="113"/>
        <item x="114"/>
        <item x="115"/>
        <item t="default"/>
      </items>
    </pivotField>
    <pivotField dataField="1" compact="0" showAll="0">
      <items count="21">
        <item x="1"/>
        <item x="0"/>
        <item x="2"/>
        <item x="7"/>
        <item x="19"/>
        <item x="3"/>
        <item x="4"/>
        <item x="5"/>
        <item x="15"/>
        <item x="17"/>
        <item x="9"/>
        <item x="13"/>
        <item x="14"/>
        <item x="11"/>
        <item x="6"/>
        <item x="8"/>
        <item x="10"/>
        <item x="12"/>
        <item x="16"/>
        <item x="18"/>
        <item t="default"/>
      </items>
    </pivotField>
    <pivotField compact="0" showAll="0">
      <items count="22">
        <item x="1"/>
        <item x="0"/>
        <item x="2"/>
        <item x="7"/>
        <item x="20"/>
        <item x="4"/>
        <item x="3"/>
        <item x="15"/>
        <item x="5"/>
        <item x="9"/>
        <item x="14"/>
        <item x="8"/>
        <item x="10"/>
        <item x="12"/>
        <item x="11"/>
        <item x="6"/>
        <item x="13"/>
        <item x="16"/>
        <item x="17"/>
        <item x="18"/>
        <item x="19"/>
        <item t="default"/>
      </items>
    </pivotField>
    <pivotField compact="0" showAll="0">
      <items count="63">
        <item x="2"/>
        <item x="1"/>
        <item x="5"/>
        <item x="4"/>
        <item x="19"/>
        <item x="12"/>
        <item x="3"/>
        <item x="37"/>
        <item x="0"/>
        <item x="42"/>
        <item x="10"/>
        <item x="14"/>
        <item x="43"/>
        <item x="26"/>
        <item x="13"/>
        <item x="41"/>
        <item x="34"/>
        <item x="31"/>
        <item x="28"/>
        <item x="11"/>
        <item x="27"/>
        <item x="33"/>
        <item x="44"/>
        <item x="6"/>
        <item x="21"/>
        <item x="20"/>
        <item x="39"/>
        <item x="7"/>
        <item x="8"/>
        <item x="9"/>
        <item x="15"/>
        <item x="16"/>
        <item x="17"/>
        <item x="18"/>
        <item x="22"/>
        <item x="23"/>
        <item x="24"/>
        <item x="25"/>
        <item x="29"/>
        <item x="30"/>
        <item x="32"/>
        <item x="35"/>
        <item x="36"/>
        <item x="38"/>
        <item x="40"/>
        <item x="45"/>
        <item x="46"/>
        <item x="47"/>
        <item x="48"/>
        <item x="49"/>
        <item x="50"/>
        <item x="51"/>
        <item x="52"/>
        <item x="53"/>
        <item x="54"/>
        <item x="55"/>
        <item x="56"/>
        <item x="57"/>
        <item x="58"/>
        <item x="59"/>
        <item x="60"/>
        <item x="61"/>
        <item t="default"/>
      </items>
    </pivotField>
    <pivotField compact="0" showAll="0">
      <items count="18">
        <item x="0"/>
        <item x="1"/>
        <item x="4"/>
        <item x="16"/>
        <item x="3"/>
        <item x="6"/>
        <item x="2"/>
        <item x="9"/>
        <item x="5"/>
        <item x="7"/>
        <item x="8"/>
        <item x="10"/>
        <item x="11"/>
        <item x="12"/>
        <item x="13"/>
        <item x="14"/>
        <item x="15"/>
        <item t="default"/>
      </items>
    </pivotField>
    <pivotField compact="0" showAll="0">
      <items count="13">
        <item x="1"/>
        <item x="0"/>
        <item x="11"/>
        <item x="4"/>
        <item x="3"/>
        <item x="2"/>
        <item x="8"/>
        <item x="10"/>
        <item x="6"/>
        <item x="5"/>
        <item x="7"/>
        <item x="9"/>
        <item t="default"/>
      </items>
    </pivotField>
    <pivotField compact="0" showAll="0">
      <items count="49">
        <item x="0"/>
        <item x="47"/>
        <item x="1"/>
        <item x="10"/>
        <item x="13"/>
        <item x="44"/>
        <item x="9"/>
        <item x="7"/>
        <item x="28"/>
        <item x="21"/>
        <item x="26"/>
        <item x="25"/>
        <item x="12"/>
        <item x="27"/>
        <item x="32"/>
        <item x="31"/>
        <item x="34"/>
        <item x="46"/>
        <item x="38"/>
        <item x="45"/>
        <item x="2"/>
        <item x="3"/>
        <item x="4"/>
        <item x="5"/>
        <item x="6"/>
        <item x="8"/>
        <item x="11"/>
        <item x="14"/>
        <item x="15"/>
        <item x="16"/>
        <item x="17"/>
        <item x="18"/>
        <item x="19"/>
        <item x="20"/>
        <item x="22"/>
        <item x="23"/>
        <item x="24"/>
        <item x="29"/>
        <item x="30"/>
        <item x="33"/>
        <item x="35"/>
        <item x="36"/>
        <item x="37"/>
        <item x="39"/>
        <item x="40"/>
        <item x="41"/>
        <item x="42"/>
        <item x="43"/>
        <item t="default"/>
      </items>
    </pivotField>
    <pivotField compact="0" showAll="0">
      <items count="47">
        <item x="1"/>
        <item x="45"/>
        <item x="2"/>
        <item x="5"/>
        <item x="28"/>
        <item x="24"/>
        <item x="3"/>
        <item x="27"/>
        <item x="23"/>
        <item x="31"/>
        <item x="11"/>
        <item x="12"/>
        <item x="13"/>
        <item x="14"/>
        <item x="18"/>
        <item x="6"/>
        <item x="20"/>
        <item x="22"/>
        <item x="26"/>
        <item x="30"/>
        <item x="32"/>
        <item x="36"/>
        <item x="37"/>
        <item x="41"/>
        <item x="39"/>
        <item x="42"/>
        <item x="0"/>
        <item x="4"/>
        <item x="7"/>
        <item x="8"/>
        <item x="9"/>
        <item x="10"/>
        <item x="15"/>
        <item x="16"/>
        <item x="17"/>
        <item x="19"/>
        <item x="21"/>
        <item x="25"/>
        <item x="29"/>
        <item x="33"/>
        <item x="34"/>
        <item x="35"/>
        <item x="38"/>
        <item x="40"/>
        <item x="43"/>
        <item x="44"/>
        <item t="default"/>
      </items>
    </pivotField>
    <pivotField dataField="1" dragToCol="0" dragToPage="0" dragToRow="0" compact="0" showAll="0"/>
    <pivotField dataField="1" dragToCol="0" dragToPage="0" dragToRow="0" compact="0" showAll="0"/>
  </pivotFields>
  <rowFields count="1">
    <field x="0"/>
  </rowFields>
  <rowItems count="1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950">
      <pivotArea dataOnly="0" labelOnly="1" fieldPosition="0">
        <references count="1">
          <reference field="4294967294" count="1">
            <x v="5"/>
          </reference>
        </references>
      </pivotArea>
    </format>
    <format dxfId="951">
      <pivotArea dataOnly="0" labelOnly="1" fieldPosition="0">
        <references count="1">
          <reference field="4294967294" count="1">
            <x v="6"/>
          </reference>
        </references>
      </pivotArea>
    </format>
    <format dxfId="952">
      <pivotArea collapsedLevelsAreSubtotals="1" fieldPosition="0">
        <references count="1">
          <reference field="4294967294" count="1" selected="0">
            <x v="5"/>
          </reference>
        </references>
      </pivotArea>
    </format>
    <format dxfId="953">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3.xml><?xml version="1.0" encoding="utf-8"?>
<pivotTableDefinition xmlns="http://schemas.openxmlformats.org/spreadsheetml/2006/main" name="数据透视表57" cacheId="54"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K1:R106" firstHeaderRow="0" firstDataRow="1" firstDataCol="1"/>
  <pivotFields count="19">
    <pivotField axis="axisRow" compact="0" showAll="0">
      <items count="105">
        <item x="3"/>
        <item x="5"/>
        <item x="9"/>
        <item x="103"/>
        <item x="13"/>
        <item x="16"/>
        <item x="17"/>
        <item x="14"/>
        <item x="15"/>
        <item x="21"/>
        <item x="8"/>
        <item x="4"/>
        <item x="22"/>
        <item x="26"/>
        <item x="24"/>
        <item x="23"/>
        <item x="0"/>
        <item x="25"/>
        <item x="42"/>
        <item x="6"/>
        <item x="27"/>
        <item x="28"/>
        <item x="29"/>
        <item x="10"/>
        <item x="19"/>
        <item x="30"/>
        <item x="31"/>
        <item x="41"/>
        <item x="32"/>
        <item x="67"/>
        <item x="33"/>
        <item x="34"/>
        <item x="35"/>
        <item x="70"/>
        <item x="36"/>
        <item x="71"/>
        <item x="40"/>
        <item x="37"/>
        <item x="39"/>
        <item x="20"/>
        <item x="46"/>
        <item x="43"/>
        <item x="44"/>
        <item x="45"/>
        <item x="47"/>
        <item x="48"/>
        <item x="49"/>
        <item x="50"/>
        <item x="51"/>
        <item x="52"/>
        <item x="53"/>
        <item x="54"/>
        <item x="56"/>
        <item x="57"/>
        <item x="55"/>
        <item x="58"/>
        <item x="59"/>
        <item x="65"/>
        <item x="60"/>
        <item x="61"/>
        <item x="64"/>
        <item x="63"/>
        <item x="62"/>
        <item x="2"/>
        <item x="12"/>
        <item x="18"/>
        <item x="69"/>
        <item x="72"/>
        <item x="73"/>
        <item x="1"/>
        <item x="68"/>
        <item x="11"/>
        <item x="38"/>
        <item x="66"/>
        <item x="75"/>
        <item x="74"/>
        <item x="85"/>
        <item x="86"/>
        <item x="76"/>
        <item x="81"/>
        <item x="87"/>
        <item x="88"/>
        <item x="77"/>
        <item x="78"/>
        <item x="79"/>
        <item x="80"/>
        <item x="82"/>
        <item x="83"/>
        <item x="84"/>
        <item x="7"/>
        <item x="89"/>
        <item x="90"/>
        <item x="91"/>
        <item x="92"/>
        <item x="93"/>
        <item x="94"/>
        <item x="95"/>
        <item x="96"/>
        <item x="97"/>
        <item x="98"/>
        <item x="99"/>
        <item x="100"/>
        <item x="101"/>
        <item x="102"/>
        <item t="default"/>
      </items>
    </pivotField>
    <pivotField compact="0" showAll="0">
      <items count="105">
        <item x="3"/>
        <item x="5"/>
        <item x="9"/>
        <item x="103"/>
        <item x="13"/>
        <item x="16"/>
        <item x="17"/>
        <item x="14"/>
        <item x="15"/>
        <item x="21"/>
        <item x="8"/>
        <item x="4"/>
        <item x="22"/>
        <item x="26"/>
        <item x="24"/>
        <item x="23"/>
        <item x="0"/>
        <item x="25"/>
        <item x="42"/>
        <item x="6"/>
        <item x="27"/>
        <item x="28"/>
        <item x="29"/>
        <item x="10"/>
        <item x="19"/>
        <item x="30"/>
        <item x="31"/>
        <item x="41"/>
        <item x="32"/>
        <item x="67"/>
        <item x="33"/>
        <item x="34"/>
        <item x="35"/>
        <item x="70"/>
        <item x="36"/>
        <item x="71"/>
        <item x="40"/>
        <item x="37"/>
        <item x="39"/>
        <item x="20"/>
        <item x="46"/>
        <item x="43"/>
        <item x="44"/>
        <item x="45"/>
        <item x="47"/>
        <item x="48"/>
        <item x="49"/>
        <item x="50"/>
        <item x="51"/>
        <item x="52"/>
        <item x="53"/>
        <item x="54"/>
        <item x="56"/>
        <item x="57"/>
        <item x="55"/>
        <item x="58"/>
        <item x="59"/>
        <item x="65"/>
        <item x="60"/>
        <item x="61"/>
        <item x="64"/>
        <item x="63"/>
        <item x="62"/>
        <item x="2"/>
        <item x="12"/>
        <item x="18"/>
        <item x="69"/>
        <item x="72"/>
        <item x="73"/>
        <item x="1"/>
        <item x="68"/>
        <item x="11"/>
        <item x="38"/>
        <item x="66"/>
        <item x="75"/>
        <item x="74"/>
        <item x="85"/>
        <item x="86"/>
        <item x="76"/>
        <item x="81"/>
        <item x="87"/>
        <item x="88"/>
        <item x="77"/>
        <item x="78"/>
        <item x="79"/>
        <item x="80"/>
        <item x="82"/>
        <item x="83"/>
        <item x="84"/>
        <item x="7"/>
        <item x="89"/>
        <item x="90"/>
        <item x="91"/>
        <item x="92"/>
        <item x="93"/>
        <item x="94"/>
        <item x="95"/>
        <item x="96"/>
        <item x="97"/>
        <item x="98"/>
        <item x="99"/>
        <item x="100"/>
        <item x="101"/>
        <item x="102"/>
        <item t="default"/>
      </items>
    </pivotField>
    <pivotField dataField="1" compact="0" showAll="0">
      <items count="230">
        <item x="228"/>
        <item x="136"/>
        <item x="1"/>
        <item x="10"/>
        <item x="92"/>
        <item x="173"/>
        <item x="164"/>
        <item x="60"/>
        <item x="119"/>
        <item x="26"/>
        <item x="224"/>
        <item x="176"/>
        <item x="168"/>
        <item x="72"/>
        <item x="100"/>
        <item x="2"/>
        <item x="118"/>
        <item x="150"/>
        <item x="171"/>
        <item x="144"/>
        <item x="95"/>
        <item x="5"/>
        <item x="31"/>
        <item x="36"/>
        <item x="103"/>
        <item x="62"/>
        <item x="15"/>
        <item x="41"/>
        <item x="192"/>
        <item x="67"/>
        <item x="140"/>
        <item x="77"/>
        <item x="186"/>
        <item x="142"/>
        <item x="86"/>
        <item x="61"/>
        <item x="131"/>
        <item x="48"/>
        <item x="27"/>
        <item x="116"/>
        <item x="120"/>
        <item x="138"/>
        <item x="172"/>
        <item x="153"/>
        <item x="149"/>
        <item x="122"/>
        <item x="25"/>
        <item x="166"/>
        <item x="170"/>
        <item x="53"/>
        <item x="102"/>
        <item x="13"/>
        <item x="0"/>
        <item x="3"/>
        <item x="4"/>
        <item x="6"/>
        <item x="7"/>
        <item x="8"/>
        <item x="9"/>
        <item x="11"/>
        <item x="12"/>
        <item x="14"/>
        <item x="16"/>
        <item x="17"/>
        <item x="18"/>
        <item x="19"/>
        <item x="20"/>
        <item x="21"/>
        <item x="22"/>
        <item x="23"/>
        <item x="24"/>
        <item x="28"/>
        <item x="29"/>
        <item x="30"/>
        <item x="32"/>
        <item x="33"/>
        <item x="34"/>
        <item x="35"/>
        <item x="37"/>
        <item x="38"/>
        <item x="39"/>
        <item x="40"/>
        <item x="42"/>
        <item x="43"/>
        <item x="44"/>
        <item x="45"/>
        <item x="46"/>
        <item x="47"/>
        <item x="49"/>
        <item x="50"/>
        <item x="51"/>
        <item x="52"/>
        <item x="54"/>
        <item x="55"/>
        <item x="56"/>
        <item x="57"/>
        <item x="58"/>
        <item x="59"/>
        <item x="63"/>
        <item x="64"/>
        <item x="65"/>
        <item x="66"/>
        <item x="68"/>
        <item x="69"/>
        <item x="70"/>
        <item x="71"/>
        <item x="73"/>
        <item x="74"/>
        <item x="75"/>
        <item x="76"/>
        <item x="78"/>
        <item x="79"/>
        <item x="80"/>
        <item x="81"/>
        <item x="82"/>
        <item x="83"/>
        <item x="84"/>
        <item x="85"/>
        <item x="87"/>
        <item x="88"/>
        <item x="89"/>
        <item x="90"/>
        <item x="91"/>
        <item x="93"/>
        <item x="94"/>
        <item x="96"/>
        <item x="97"/>
        <item x="98"/>
        <item x="99"/>
        <item x="101"/>
        <item x="104"/>
        <item x="105"/>
        <item x="106"/>
        <item x="107"/>
        <item x="108"/>
        <item x="109"/>
        <item x="110"/>
        <item x="111"/>
        <item x="112"/>
        <item x="113"/>
        <item x="114"/>
        <item x="115"/>
        <item x="117"/>
        <item x="121"/>
        <item x="123"/>
        <item x="124"/>
        <item x="125"/>
        <item x="126"/>
        <item x="127"/>
        <item x="128"/>
        <item x="129"/>
        <item x="130"/>
        <item x="132"/>
        <item x="133"/>
        <item x="134"/>
        <item x="135"/>
        <item x="137"/>
        <item x="139"/>
        <item x="141"/>
        <item x="143"/>
        <item x="145"/>
        <item x="146"/>
        <item x="147"/>
        <item x="148"/>
        <item x="151"/>
        <item x="152"/>
        <item x="154"/>
        <item x="155"/>
        <item x="156"/>
        <item x="157"/>
        <item x="158"/>
        <item x="159"/>
        <item x="160"/>
        <item x="161"/>
        <item x="162"/>
        <item x="163"/>
        <item x="165"/>
        <item x="167"/>
        <item x="169"/>
        <item x="174"/>
        <item x="175"/>
        <item x="177"/>
        <item x="178"/>
        <item x="179"/>
        <item x="180"/>
        <item x="181"/>
        <item x="182"/>
        <item x="183"/>
        <item x="184"/>
        <item x="185"/>
        <item x="187"/>
        <item x="188"/>
        <item x="189"/>
        <item x="190"/>
        <item x="191"/>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5"/>
        <item x="226"/>
        <item x="227"/>
        <item t="default"/>
      </items>
    </pivotField>
    <pivotField dataField="1" compact="0" showAll="0">
      <items count="39">
        <item x="1"/>
        <item x="5"/>
        <item x="0"/>
        <item x="3"/>
        <item x="2"/>
        <item x="8"/>
        <item x="6"/>
        <item x="37"/>
        <item x="13"/>
        <item x="26"/>
        <item x="4"/>
        <item x="9"/>
        <item x="10"/>
        <item x="7"/>
        <item x="15"/>
        <item x="12"/>
        <item x="25"/>
        <item x="11"/>
        <item x="36"/>
        <item x="17"/>
        <item x="22"/>
        <item x="24"/>
        <item x="16"/>
        <item x="20"/>
        <item x="29"/>
        <item x="21"/>
        <item x="27"/>
        <item x="23"/>
        <item x="18"/>
        <item x="14"/>
        <item x="19"/>
        <item x="28"/>
        <item x="30"/>
        <item x="31"/>
        <item x="32"/>
        <item x="33"/>
        <item x="34"/>
        <item x="35"/>
        <item t="default"/>
      </items>
    </pivotField>
    <pivotField compact="0" showAll="0">
      <items count="182">
        <item x="2"/>
        <item x="1"/>
        <item x="94"/>
        <item x="58"/>
        <item x="86"/>
        <item x="137"/>
        <item x="65"/>
        <item x="23"/>
        <item x="136"/>
        <item x="96"/>
        <item x="97"/>
        <item x="80"/>
        <item x="127"/>
        <item x="0"/>
        <item x="3"/>
        <item x="4"/>
        <item x="5"/>
        <item x="6"/>
        <item x="7"/>
        <item x="8"/>
        <item x="9"/>
        <item x="10"/>
        <item x="11"/>
        <item x="12"/>
        <item x="13"/>
        <item x="14"/>
        <item x="15"/>
        <item x="16"/>
        <item x="17"/>
        <item x="18"/>
        <item x="19"/>
        <item x="20"/>
        <item x="21"/>
        <item x="22"/>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9"/>
        <item x="60"/>
        <item x="61"/>
        <item x="62"/>
        <item x="63"/>
        <item x="64"/>
        <item x="66"/>
        <item x="67"/>
        <item x="68"/>
        <item x="69"/>
        <item x="70"/>
        <item x="71"/>
        <item x="72"/>
        <item x="73"/>
        <item x="74"/>
        <item x="75"/>
        <item x="76"/>
        <item x="77"/>
        <item x="78"/>
        <item x="79"/>
        <item x="81"/>
        <item x="82"/>
        <item x="83"/>
        <item x="84"/>
        <item x="85"/>
        <item x="87"/>
        <item x="88"/>
        <item x="89"/>
        <item x="90"/>
        <item x="91"/>
        <item x="92"/>
        <item x="93"/>
        <item x="95"/>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8"/>
        <item x="129"/>
        <item x="130"/>
        <item x="131"/>
        <item x="132"/>
        <item x="133"/>
        <item x="134"/>
        <item x="135"/>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compact="0" showAll="0">
      <items count="152">
        <item x="1"/>
        <item x="20"/>
        <item x="84"/>
        <item x="2"/>
        <item x="9"/>
        <item x="28"/>
        <item x="44"/>
        <item x="58"/>
        <item x="101"/>
        <item x="41"/>
        <item x="45"/>
        <item x="6"/>
        <item x="76"/>
        <item x="37"/>
        <item x="109"/>
        <item x="36"/>
        <item x="23"/>
        <item x="54"/>
        <item x="4"/>
        <item x="70"/>
        <item x="103"/>
        <item x="79"/>
        <item x="98"/>
        <item x="67"/>
        <item x="50"/>
        <item x="77"/>
        <item x="80"/>
        <item x="82"/>
        <item x="115"/>
        <item x="0"/>
        <item x="3"/>
        <item x="5"/>
        <item x="7"/>
        <item x="8"/>
        <item x="10"/>
        <item x="11"/>
        <item x="12"/>
        <item x="13"/>
        <item x="14"/>
        <item x="15"/>
        <item x="16"/>
        <item x="17"/>
        <item x="18"/>
        <item x="19"/>
        <item x="21"/>
        <item x="22"/>
        <item x="24"/>
        <item x="25"/>
        <item x="26"/>
        <item x="27"/>
        <item x="29"/>
        <item x="30"/>
        <item x="31"/>
        <item x="32"/>
        <item x="33"/>
        <item x="34"/>
        <item x="35"/>
        <item x="38"/>
        <item x="39"/>
        <item x="40"/>
        <item x="42"/>
        <item x="43"/>
        <item x="46"/>
        <item x="47"/>
        <item x="48"/>
        <item x="49"/>
        <item x="51"/>
        <item x="52"/>
        <item x="53"/>
        <item x="55"/>
        <item x="56"/>
        <item x="57"/>
        <item x="59"/>
        <item x="60"/>
        <item x="61"/>
        <item x="62"/>
        <item x="63"/>
        <item x="64"/>
        <item x="65"/>
        <item x="66"/>
        <item x="68"/>
        <item x="69"/>
        <item x="71"/>
        <item x="72"/>
        <item x="73"/>
        <item x="74"/>
        <item x="75"/>
        <item x="78"/>
        <item x="81"/>
        <item x="83"/>
        <item x="85"/>
        <item x="86"/>
        <item x="87"/>
        <item x="88"/>
        <item x="89"/>
        <item x="90"/>
        <item x="91"/>
        <item x="92"/>
        <item x="93"/>
        <item x="94"/>
        <item x="95"/>
        <item x="96"/>
        <item x="97"/>
        <item x="99"/>
        <item x="100"/>
        <item x="102"/>
        <item x="104"/>
        <item x="105"/>
        <item x="106"/>
        <item x="107"/>
        <item x="108"/>
        <item x="110"/>
        <item x="111"/>
        <item x="112"/>
        <item x="113"/>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t="default"/>
      </items>
    </pivotField>
    <pivotField dataField="1" compact="0" showAll="0">
      <items count="156">
        <item x="1"/>
        <item x="154"/>
        <item x="109"/>
        <item x="91"/>
        <item x="5"/>
        <item x="21"/>
        <item x="42"/>
        <item x="81"/>
        <item x="45"/>
        <item x="106"/>
        <item x="2"/>
        <item x="3"/>
        <item x="73"/>
        <item x="136"/>
        <item x="56"/>
        <item x="22"/>
        <item x="10"/>
        <item x="107"/>
        <item x="30"/>
        <item x="110"/>
        <item x="85"/>
        <item x="31"/>
        <item x="90"/>
        <item x="37"/>
        <item x="51"/>
        <item x="27"/>
        <item x="87"/>
        <item x="7"/>
        <item x="20"/>
        <item x="94"/>
        <item x="36"/>
        <item x="70"/>
        <item x="25"/>
        <item x="105"/>
        <item x="17"/>
        <item x="0"/>
        <item x="4"/>
        <item x="6"/>
        <item x="8"/>
        <item x="9"/>
        <item x="11"/>
        <item x="12"/>
        <item x="13"/>
        <item x="14"/>
        <item x="15"/>
        <item x="16"/>
        <item x="18"/>
        <item x="19"/>
        <item x="23"/>
        <item x="24"/>
        <item x="26"/>
        <item x="28"/>
        <item x="29"/>
        <item x="32"/>
        <item x="33"/>
        <item x="34"/>
        <item x="35"/>
        <item x="38"/>
        <item x="39"/>
        <item x="40"/>
        <item x="41"/>
        <item x="43"/>
        <item x="44"/>
        <item x="46"/>
        <item x="47"/>
        <item x="48"/>
        <item x="49"/>
        <item x="50"/>
        <item x="52"/>
        <item x="53"/>
        <item x="54"/>
        <item x="55"/>
        <item x="57"/>
        <item x="58"/>
        <item x="59"/>
        <item x="60"/>
        <item x="61"/>
        <item x="62"/>
        <item x="63"/>
        <item x="64"/>
        <item x="65"/>
        <item x="66"/>
        <item x="67"/>
        <item x="68"/>
        <item x="69"/>
        <item x="71"/>
        <item x="72"/>
        <item x="74"/>
        <item x="75"/>
        <item x="76"/>
        <item x="77"/>
        <item x="78"/>
        <item x="79"/>
        <item x="80"/>
        <item x="82"/>
        <item x="83"/>
        <item x="84"/>
        <item x="86"/>
        <item x="88"/>
        <item x="89"/>
        <item x="92"/>
        <item x="93"/>
        <item x="95"/>
        <item x="96"/>
        <item x="97"/>
        <item x="98"/>
        <item x="99"/>
        <item x="100"/>
        <item x="101"/>
        <item x="102"/>
        <item x="103"/>
        <item x="104"/>
        <item x="108"/>
        <item x="111"/>
        <item x="112"/>
        <item x="113"/>
        <item x="114"/>
        <item x="115"/>
        <item x="116"/>
        <item x="117"/>
        <item x="118"/>
        <item x="119"/>
        <item x="120"/>
        <item x="121"/>
        <item x="122"/>
        <item x="123"/>
        <item x="124"/>
        <item x="125"/>
        <item x="126"/>
        <item x="127"/>
        <item x="128"/>
        <item x="129"/>
        <item x="130"/>
        <item x="131"/>
        <item x="132"/>
        <item x="133"/>
        <item x="134"/>
        <item x="135"/>
        <item x="137"/>
        <item x="138"/>
        <item x="139"/>
        <item x="140"/>
        <item x="141"/>
        <item x="142"/>
        <item x="143"/>
        <item x="144"/>
        <item x="145"/>
        <item x="146"/>
        <item x="147"/>
        <item x="148"/>
        <item x="149"/>
        <item x="150"/>
        <item x="151"/>
        <item x="152"/>
        <item x="153"/>
        <item t="default"/>
      </items>
    </pivotField>
    <pivotField dataField="1" compact="0" showAll="0">
      <items count="35">
        <item x="1"/>
        <item x="33"/>
        <item x="2"/>
        <item x="11"/>
        <item x="3"/>
        <item x="30"/>
        <item x="13"/>
        <item x="8"/>
        <item x="6"/>
        <item x="22"/>
        <item x="14"/>
        <item x="32"/>
        <item x="20"/>
        <item x="0"/>
        <item x="4"/>
        <item x="5"/>
        <item x="7"/>
        <item x="9"/>
        <item x="10"/>
        <item x="12"/>
        <item x="15"/>
        <item x="16"/>
        <item x="17"/>
        <item x="18"/>
        <item x="19"/>
        <item x="21"/>
        <item x="23"/>
        <item x="24"/>
        <item x="25"/>
        <item x="26"/>
        <item x="27"/>
        <item x="28"/>
        <item x="29"/>
        <item x="31"/>
        <item t="default"/>
      </items>
    </pivotField>
    <pivotField compact="0" showAll="0">
      <items count="64">
        <item x="1"/>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compact="0" showAll="0">
      <items count="65">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dataField="1" compact="0" showAll="0">
      <items count="14">
        <item x="1"/>
        <item x="0"/>
        <item x="5"/>
        <item x="12"/>
        <item x="2"/>
        <item x="3"/>
        <item x="4"/>
        <item x="6"/>
        <item x="7"/>
        <item x="8"/>
        <item x="9"/>
        <item x="10"/>
        <item x="11"/>
        <item t="default"/>
      </items>
    </pivotField>
    <pivotField compact="0" showAll="0">
      <items count="16">
        <item x="1"/>
        <item x="0"/>
        <item x="5"/>
        <item x="14"/>
        <item x="2"/>
        <item x="3"/>
        <item x="11"/>
        <item x="7"/>
        <item x="10"/>
        <item x="6"/>
        <item x="4"/>
        <item x="8"/>
        <item x="9"/>
        <item x="12"/>
        <item x="13"/>
        <item t="default"/>
      </items>
    </pivotField>
    <pivotField compact="0" showAll="0">
      <items count="39">
        <item x="2"/>
        <item x="1"/>
        <item x="8"/>
        <item x="7"/>
        <item x="14"/>
        <item x="0"/>
        <item x="16"/>
        <item x="9"/>
        <item x="5"/>
        <item x="4"/>
        <item x="3"/>
        <item x="31"/>
        <item x="22"/>
        <item x="23"/>
        <item x="15"/>
        <item x="6"/>
        <item x="10"/>
        <item x="11"/>
        <item x="12"/>
        <item x="13"/>
        <item x="17"/>
        <item x="18"/>
        <item x="19"/>
        <item x="20"/>
        <item x="21"/>
        <item x="24"/>
        <item x="25"/>
        <item x="26"/>
        <item x="27"/>
        <item x="28"/>
        <item x="29"/>
        <item x="30"/>
        <item x="32"/>
        <item x="33"/>
        <item x="34"/>
        <item x="35"/>
        <item x="36"/>
        <item x="37"/>
        <item t="default"/>
      </items>
    </pivotField>
    <pivotField compact="0" showAll="0">
      <items count="13">
        <item x="0"/>
        <item x="2"/>
        <item x="11"/>
        <item x="6"/>
        <item x="1"/>
        <item x="4"/>
        <item x="3"/>
        <item x="5"/>
        <item x="7"/>
        <item x="8"/>
        <item x="9"/>
        <item x="10"/>
        <item t="default"/>
      </items>
    </pivotField>
    <pivotField compact="0" showAll="0">
      <items count="12">
        <item x="1"/>
        <item x="0"/>
        <item x="10"/>
        <item x="3"/>
        <item x="5"/>
        <item x="2"/>
        <item x="4"/>
        <item x="6"/>
        <item x="7"/>
        <item x="8"/>
        <item x="9"/>
        <item t="default"/>
      </items>
    </pivotField>
    <pivotField compact="0" showAll="0">
      <items count="30">
        <item x="0"/>
        <item x="28"/>
        <item x="2"/>
        <item x="10"/>
        <item x="5"/>
        <item x="4"/>
        <item x="19"/>
        <item x="14"/>
        <item x="26"/>
        <item x="18"/>
        <item x="27"/>
        <item x="16"/>
        <item x="1"/>
        <item x="3"/>
        <item x="6"/>
        <item x="7"/>
        <item x="8"/>
        <item x="9"/>
        <item x="11"/>
        <item x="12"/>
        <item x="13"/>
        <item x="15"/>
        <item x="17"/>
        <item x="20"/>
        <item x="21"/>
        <item x="22"/>
        <item x="23"/>
        <item x="24"/>
        <item x="25"/>
        <item t="default"/>
      </items>
    </pivotField>
    <pivotField compact="0" showAll="0">
      <items count="22">
        <item x="1"/>
        <item x="20"/>
        <item x="2"/>
        <item x="13"/>
        <item x="8"/>
        <item x="10"/>
        <item x="6"/>
        <item x="0"/>
        <item x="3"/>
        <item x="4"/>
        <item x="5"/>
        <item x="7"/>
        <item x="9"/>
        <item x="11"/>
        <item x="12"/>
        <item x="14"/>
        <item x="15"/>
        <item x="16"/>
        <item x="17"/>
        <item x="18"/>
        <item x="19"/>
        <item t="default"/>
      </items>
    </pivotField>
    <pivotField dataField="1" dragToCol="0" dragToPage="0" dragToRow="0" compact="0" showAll="0"/>
    <pivotField dataField="1" dragToCol="0" dragToPage="0" dragToRow="0" compact="0" showAll="0"/>
  </pivotFields>
  <rowFields count="1">
    <field x="0"/>
  </rowFields>
  <rowItems count="10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954">
      <pivotArea dataOnly="0" labelOnly="1" fieldPosition="0">
        <references count="1">
          <reference field="4294967294" count="1">
            <x v="5"/>
          </reference>
        </references>
      </pivotArea>
    </format>
    <format dxfId="955">
      <pivotArea dataOnly="0" labelOnly="1" fieldPosition="0">
        <references count="1">
          <reference field="4294967294" count="1">
            <x v="6"/>
          </reference>
        </references>
      </pivotArea>
    </format>
    <format dxfId="956">
      <pivotArea collapsedLevelsAreSubtotals="1" fieldPosition="0">
        <references count="1">
          <reference field="4294967294" count="1" selected="0">
            <x v="5"/>
          </reference>
        </references>
      </pivotArea>
    </format>
    <format dxfId="957">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4.xml><?xml version="1.0" encoding="utf-8"?>
<pivotTableDefinition xmlns="http://schemas.openxmlformats.org/spreadsheetml/2006/main" name="数据透视表56" cacheId="5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B1:C72" firstHeaderRow="1" firstDataRow="1" firstDataCol="1"/>
  <pivotFields count="14">
    <pivotField compact="0" showAll="0">
      <items count="67">
        <item x="15"/>
        <item x="4"/>
        <item x="6"/>
        <item x="0"/>
        <item x="9"/>
        <item x="21"/>
        <item x="3"/>
        <item x="2"/>
        <item x="8"/>
        <item x="10"/>
        <item x="14"/>
        <item x="12"/>
        <item x="1"/>
        <item x="11"/>
        <item x="22"/>
        <item x="45"/>
        <item x="7"/>
        <item x="52"/>
        <item x="65"/>
        <item x="20"/>
        <item x="33"/>
        <item x="50"/>
        <item x="29"/>
        <item x="16"/>
        <item x="30"/>
        <item x="54"/>
        <item x="26"/>
        <item x="27"/>
        <item x="13"/>
        <item x="23"/>
        <item x="62"/>
        <item x="39"/>
        <item x="43"/>
        <item x="19"/>
        <item x="34"/>
        <item x="58"/>
        <item x="5"/>
        <item x="17"/>
        <item x="36"/>
        <item x="59"/>
        <item x="42"/>
        <item x="48"/>
        <item x="57"/>
        <item x="60"/>
        <item x="24"/>
        <item x="38"/>
        <item x="49"/>
        <item x="28"/>
        <item x="56"/>
        <item x="35"/>
        <item x="61"/>
        <item x="63"/>
        <item x="37"/>
        <item x="25"/>
        <item x="18"/>
        <item x="31"/>
        <item x="32"/>
        <item x="40"/>
        <item x="41"/>
        <item x="44"/>
        <item x="46"/>
        <item x="47"/>
        <item x="51"/>
        <item x="53"/>
        <item x="55"/>
        <item x="64"/>
        <item t="default"/>
      </items>
    </pivotField>
    <pivotField compact="0" showAll="0">
      <items count="67">
        <item x="15"/>
        <item x="9"/>
        <item x="21"/>
        <item x="3"/>
        <item x="2"/>
        <item x="8"/>
        <item x="10"/>
        <item x="14"/>
        <item x="12"/>
        <item x="1"/>
        <item x="11"/>
        <item x="22"/>
        <item x="45"/>
        <item x="7"/>
        <item x="52"/>
        <item x="65"/>
        <item x="0"/>
        <item x="20"/>
        <item x="6"/>
        <item x="33"/>
        <item x="50"/>
        <item x="29"/>
        <item x="16"/>
        <item x="30"/>
        <item x="54"/>
        <item x="26"/>
        <item x="27"/>
        <item x="13"/>
        <item x="23"/>
        <item x="62"/>
        <item x="39"/>
        <item x="43"/>
        <item x="19"/>
        <item x="34"/>
        <item x="4"/>
        <item x="58"/>
        <item x="5"/>
        <item x="17"/>
        <item x="36"/>
        <item x="59"/>
        <item x="42"/>
        <item x="48"/>
        <item x="57"/>
        <item x="60"/>
        <item x="24"/>
        <item x="49"/>
        <item x="28"/>
        <item x="56"/>
        <item x="35"/>
        <item x="61"/>
        <item x="63"/>
        <item x="37"/>
        <item x="25"/>
        <item x="18"/>
        <item x="31"/>
        <item x="32"/>
        <item x="38"/>
        <item x="40"/>
        <item x="41"/>
        <item x="44"/>
        <item x="46"/>
        <item x="47"/>
        <item x="51"/>
        <item x="53"/>
        <item x="55"/>
        <item x="64"/>
        <item t="default"/>
      </items>
    </pivotField>
    <pivotField axis="axisRow" compact="0" showAll="0">
      <items count="71">
        <item x="69"/>
        <item x="9"/>
        <item x="8"/>
        <item x="11"/>
        <item x="14"/>
        <item x="12"/>
        <item x="0"/>
        <item x="4"/>
        <item x="15"/>
        <item x="6"/>
        <item x="2"/>
        <item x="21"/>
        <item x="1"/>
        <item x="7"/>
        <item x="10"/>
        <item x="55"/>
        <item x="3"/>
        <item x="22"/>
        <item x="20"/>
        <item x="33"/>
        <item x="52"/>
        <item x="29"/>
        <item x="16"/>
        <item x="47"/>
        <item x="30"/>
        <item x="57"/>
        <item x="26"/>
        <item x="27"/>
        <item x="13"/>
        <item x="23"/>
        <item x="66"/>
        <item x="40"/>
        <item x="19"/>
        <item x="54"/>
        <item x="35"/>
        <item x="62"/>
        <item x="5"/>
        <item x="17"/>
        <item x="37"/>
        <item x="63"/>
        <item x="43"/>
        <item x="45"/>
        <item x="50"/>
        <item x="60"/>
        <item x="64"/>
        <item x="24"/>
        <item x="39"/>
        <item x="51"/>
        <item x="28"/>
        <item x="59"/>
        <item x="61"/>
        <item x="36"/>
        <item x="65"/>
        <item x="67"/>
        <item x="38"/>
        <item x="25"/>
        <item x="18"/>
        <item x="31"/>
        <item x="32"/>
        <item x="34"/>
        <item x="41"/>
        <item x="42"/>
        <item x="44"/>
        <item x="46"/>
        <item x="48"/>
        <item x="49"/>
        <item x="53"/>
        <item x="56"/>
        <item x="58"/>
        <item x="68"/>
        <item t="default"/>
      </items>
    </pivotField>
    <pivotField compact="0" showAll="0">
      <items count="51">
        <item x="49"/>
        <item x="19"/>
        <item x="33"/>
        <item x="40"/>
        <item x="13"/>
        <item x="28"/>
        <item x="37"/>
        <item x="45"/>
        <item x="30"/>
        <item x="6"/>
        <item x="39"/>
        <item x="44"/>
        <item x="46"/>
        <item x="15"/>
        <item x="14"/>
        <item x="7"/>
        <item x="27"/>
        <item x="35"/>
        <item x="20"/>
        <item x="32"/>
        <item x="23"/>
        <item x="26"/>
        <item x="0"/>
        <item x="1"/>
        <item x="2"/>
        <item x="3"/>
        <item x="4"/>
        <item x="5"/>
        <item x="8"/>
        <item x="9"/>
        <item x="10"/>
        <item x="11"/>
        <item x="12"/>
        <item x="16"/>
        <item x="17"/>
        <item x="18"/>
        <item x="21"/>
        <item x="22"/>
        <item x="24"/>
        <item x="25"/>
        <item x="29"/>
        <item x="31"/>
        <item x="34"/>
        <item x="36"/>
        <item x="38"/>
        <item x="41"/>
        <item x="42"/>
        <item x="43"/>
        <item x="47"/>
        <item x="48"/>
        <item t="default"/>
      </items>
    </pivotField>
    <pivotField compact="0" showAll="0">
      <items count="10">
        <item x="5"/>
        <item x="7"/>
        <item x="8"/>
        <item x="4"/>
        <item x="2"/>
        <item x="6"/>
        <item x="0"/>
        <item x="1"/>
        <item x="3"/>
        <item t="default"/>
      </items>
    </pivotField>
    <pivotField compact="0" showAll="0">
      <items count="51">
        <item x="49"/>
        <item x="47"/>
        <item x="42"/>
        <item x="30"/>
        <item x="36"/>
        <item x="41"/>
        <item x="3"/>
        <item x="33"/>
        <item x="9"/>
        <item x="44"/>
        <item x="37"/>
        <item x="26"/>
        <item x="31"/>
        <item x="43"/>
        <item x="0"/>
        <item x="1"/>
        <item x="2"/>
        <item x="4"/>
        <item x="5"/>
        <item x="6"/>
        <item x="7"/>
        <item x="8"/>
        <item x="10"/>
        <item x="11"/>
        <item x="12"/>
        <item x="13"/>
        <item x="14"/>
        <item x="15"/>
        <item x="16"/>
        <item x="17"/>
        <item x="18"/>
        <item x="19"/>
        <item x="20"/>
        <item x="21"/>
        <item x="22"/>
        <item x="23"/>
        <item x="24"/>
        <item x="25"/>
        <item x="27"/>
        <item x="28"/>
        <item x="29"/>
        <item x="32"/>
        <item x="34"/>
        <item x="35"/>
        <item x="38"/>
        <item x="39"/>
        <item x="40"/>
        <item x="45"/>
        <item x="46"/>
        <item x="48"/>
        <item t="default"/>
      </items>
    </pivotField>
    <pivotField compact="0" showAll="0">
      <items count="10">
        <item x="5"/>
        <item x="8"/>
        <item x="0"/>
        <item x="1"/>
        <item x="2"/>
        <item x="3"/>
        <item x="4"/>
        <item x="6"/>
        <item x="7"/>
        <item t="default"/>
      </items>
    </pivotField>
    <pivotField compact="0" showAll="0">
      <items count="57">
        <item x="55"/>
        <item x="34"/>
        <item x="26"/>
        <item x="8"/>
        <item x="43"/>
        <item x="49"/>
        <item x="53"/>
        <item x="11"/>
        <item x="39"/>
        <item x="51"/>
        <item x="28"/>
        <item x="19"/>
        <item x="44"/>
        <item x="37"/>
        <item x="22"/>
        <item x="46"/>
        <item x="25"/>
        <item x="41"/>
        <item x="32"/>
        <item x="29"/>
        <item x="0"/>
        <item x="1"/>
        <item x="2"/>
        <item x="3"/>
        <item x="4"/>
        <item x="5"/>
        <item x="6"/>
        <item x="7"/>
        <item x="9"/>
        <item x="10"/>
        <item x="12"/>
        <item x="13"/>
        <item x="14"/>
        <item x="15"/>
        <item x="16"/>
        <item x="17"/>
        <item x="18"/>
        <item x="20"/>
        <item x="21"/>
        <item x="23"/>
        <item x="24"/>
        <item x="27"/>
        <item x="30"/>
        <item x="31"/>
        <item x="33"/>
        <item x="35"/>
        <item x="36"/>
        <item x="38"/>
        <item x="40"/>
        <item x="42"/>
        <item x="45"/>
        <item x="47"/>
        <item x="48"/>
        <item x="50"/>
        <item x="52"/>
        <item x="54"/>
        <item t="default"/>
      </items>
    </pivotField>
    <pivotField compact="0" showAll="0">
      <items count="11">
        <item x="4"/>
        <item x="6"/>
        <item x="9"/>
        <item x="7"/>
        <item x="8"/>
        <item x="3"/>
        <item x="2"/>
        <item x="0"/>
        <item x="1"/>
        <item x="5"/>
        <item t="default"/>
      </items>
    </pivotField>
    <pivotField compact="0" showAll="0">
      <items count="57">
        <item x="55"/>
        <item x="13"/>
        <item x="49"/>
        <item x="3"/>
        <item x="23"/>
        <item x="54"/>
        <item x="47"/>
        <item x="32"/>
        <item x="28"/>
        <item x="37"/>
        <item x="48"/>
        <item x="31"/>
        <item x="0"/>
        <item x="1"/>
        <item x="2"/>
        <item x="4"/>
        <item x="5"/>
        <item x="6"/>
        <item x="7"/>
        <item x="8"/>
        <item x="9"/>
        <item x="10"/>
        <item x="11"/>
        <item x="12"/>
        <item x="14"/>
        <item x="15"/>
        <item x="16"/>
        <item x="17"/>
        <item x="18"/>
        <item x="19"/>
        <item x="20"/>
        <item x="21"/>
        <item x="22"/>
        <item x="24"/>
        <item x="25"/>
        <item x="26"/>
        <item x="27"/>
        <item x="29"/>
        <item x="30"/>
        <item x="33"/>
        <item x="34"/>
        <item x="35"/>
        <item x="36"/>
        <item x="38"/>
        <item x="39"/>
        <item x="40"/>
        <item x="41"/>
        <item x="42"/>
        <item x="43"/>
        <item x="44"/>
        <item x="45"/>
        <item x="46"/>
        <item x="50"/>
        <item x="51"/>
        <item x="52"/>
        <item x="53"/>
        <item t="default"/>
      </items>
    </pivotField>
    <pivotField compact="0" showAll="0">
      <items count="11">
        <item x="4"/>
        <item x="9"/>
        <item x="0"/>
        <item x="1"/>
        <item x="2"/>
        <item x="3"/>
        <item x="5"/>
        <item x="6"/>
        <item x="7"/>
        <item x="8"/>
        <item t="default"/>
      </items>
    </pivotField>
    <pivotField compact="0" showAll="0">
      <items count="28">
        <item x="4"/>
        <item x="26"/>
        <item x="0"/>
        <item x="1"/>
        <item x="2"/>
        <item x="3"/>
        <item x="5"/>
        <item x="6"/>
        <item x="7"/>
        <item x="8"/>
        <item x="9"/>
        <item x="10"/>
        <item x="11"/>
        <item x="12"/>
        <item x="13"/>
        <item x="14"/>
        <item x="15"/>
        <item x="16"/>
        <item x="17"/>
        <item x="18"/>
        <item x="19"/>
        <item x="20"/>
        <item x="21"/>
        <item x="22"/>
        <item x="23"/>
        <item x="24"/>
        <item x="25"/>
        <item t="default"/>
      </items>
    </pivotField>
    <pivotField compact="0" showAll="0">
      <items count="5">
        <item x="2"/>
        <item x="0"/>
        <item x="3"/>
        <item x="1"/>
        <item t="default"/>
      </items>
    </pivotField>
    <pivotField dataField="1" compact="0" showAll="0">
      <items count="13">
        <item x="10"/>
        <item x="11"/>
        <item x="9"/>
        <item x="7"/>
        <item x="8"/>
        <item x="6"/>
        <item x="5"/>
        <item x="4"/>
        <item x="3"/>
        <item x="0"/>
        <item x="1"/>
        <item x="2"/>
        <item t="default"/>
      </items>
    </pivotField>
  </pivotFields>
  <rowFields count="1">
    <field x="2"/>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Items count="1">
    <i/>
  </colItems>
  <dataFields count="1">
    <dataField name="求和项:已订购商品数量" fld="13" baseField="2"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5.xml><?xml version="1.0" encoding="utf-8"?>
<pivotTableDefinition xmlns="http://schemas.openxmlformats.org/spreadsheetml/2006/main" name="数据透视表60" cacheId="52"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E1:F89" firstHeaderRow="1" firstDataRow="1" firstDataCol="1"/>
  <pivotFields count="14">
    <pivotField compact="0" showAll="0">
      <items count="83">
        <item x="81"/>
        <item x="13"/>
        <item x="15"/>
        <item x="11"/>
        <item x="30"/>
        <item x="20"/>
        <item x="31"/>
        <item x="38"/>
        <item x="14"/>
        <item x="7"/>
        <item x="0"/>
        <item x="19"/>
        <item x="3"/>
        <item x="9"/>
        <item x="8"/>
        <item x="1"/>
        <item x="2"/>
        <item x="12"/>
        <item x="4"/>
        <item x="47"/>
        <item x="22"/>
        <item x="36"/>
        <item x="10"/>
        <item x="21"/>
        <item x="5"/>
        <item x="18"/>
        <item x="65"/>
        <item x="25"/>
        <item x="44"/>
        <item x="56"/>
        <item x="71"/>
        <item x="24"/>
        <item x="46"/>
        <item x="70"/>
        <item x="17"/>
        <item x="29"/>
        <item x="34"/>
        <item x="39"/>
        <item x="50"/>
        <item x="27"/>
        <item x="68"/>
        <item x="73"/>
        <item x="75"/>
        <item x="48"/>
        <item x="45"/>
        <item x="72"/>
        <item x="57"/>
        <item x="69"/>
        <item x="23"/>
        <item x="49"/>
        <item x="40"/>
        <item x="43"/>
        <item x="35"/>
        <item x="77"/>
        <item x="28"/>
        <item x="6"/>
        <item x="26"/>
        <item x="32"/>
        <item x="16"/>
        <item x="33"/>
        <item x="37"/>
        <item x="58"/>
        <item x="51"/>
        <item x="61"/>
        <item x="41"/>
        <item x="55"/>
        <item x="53"/>
        <item x="60"/>
        <item x="54"/>
        <item x="67"/>
        <item x="74"/>
        <item x="78"/>
        <item x="79"/>
        <item x="52"/>
        <item x="62"/>
        <item x="42"/>
        <item x="59"/>
        <item x="63"/>
        <item x="64"/>
        <item x="66"/>
        <item x="76"/>
        <item x="80"/>
        <item t="default"/>
      </items>
    </pivotField>
    <pivotField compact="0" showAll="0">
      <items count="83">
        <item x="81"/>
        <item x="13"/>
        <item x="15"/>
        <item x="11"/>
        <item x="30"/>
        <item x="20"/>
        <item x="31"/>
        <item x="38"/>
        <item x="7"/>
        <item x="19"/>
        <item x="14"/>
        <item x="12"/>
        <item x="4"/>
        <item x="47"/>
        <item x="22"/>
        <item x="9"/>
        <item x="2"/>
        <item x="1"/>
        <item x="36"/>
        <item x="10"/>
        <item x="21"/>
        <item x="5"/>
        <item x="18"/>
        <item x="0"/>
        <item x="65"/>
        <item x="25"/>
        <item x="8"/>
        <item x="44"/>
        <item x="56"/>
        <item x="71"/>
        <item x="24"/>
        <item x="46"/>
        <item x="70"/>
        <item x="17"/>
        <item x="34"/>
        <item x="39"/>
        <item x="50"/>
        <item x="27"/>
        <item x="68"/>
        <item x="73"/>
        <item x="75"/>
        <item x="48"/>
        <item x="45"/>
        <item x="72"/>
        <item x="57"/>
        <item x="69"/>
        <item x="23"/>
        <item x="49"/>
        <item x="40"/>
        <item x="43"/>
        <item x="35"/>
        <item x="77"/>
        <item x="28"/>
        <item x="29"/>
        <item x="3"/>
        <item x="6"/>
        <item x="26"/>
        <item x="32"/>
        <item x="16"/>
        <item x="33"/>
        <item x="58"/>
        <item x="51"/>
        <item x="61"/>
        <item x="41"/>
        <item x="55"/>
        <item x="53"/>
        <item x="60"/>
        <item x="54"/>
        <item x="67"/>
        <item x="74"/>
        <item x="78"/>
        <item x="79"/>
        <item x="52"/>
        <item x="62"/>
        <item x="37"/>
        <item x="42"/>
        <item x="59"/>
        <item x="63"/>
        <item x="64"/>
        <item x="66"/>
        <item x="76"/>
        <item x="80"/>
        <item t="default"/>
      </items>
    </pivotField>
    <pivotField axis="axisRow" compact="0" showAll="0">
      <items count="88">
        <item x="86"/>
        <item x="13"/>
        <item x="15"/>
        <item x="11"/>
        <item x="30"/>
        <item x="20"/>
        <item x="31"/>
        <item x="38"/>
        <item x="14"/>
        <item x="7"/>
        <item x="0"/>
        <item x="19"/>
        <item x="3"/>
        <item x="9"/>
        <item x="8"/>
        <item x="1"/>
        <item x="2"/>
        <item x="12"/>
        <item x="4"/>
        <item x="47"/>
        <item x="22"/>
        <item x="36"/>
        <item x="10"/>
        <item x="21"/>
        <item x="5"/>
        <item x="18"/>
        <item x="68"/>
        <item x="25"/>
        <item x="44"/>
        <item x="56"/>
        <item x="75"/>
        <item x="24"/>
        <item x="57"/>
        <item x="74"/>
        <item x="17"/>
        <item x="29"/>
        <item x="34"/>
        <item x="39"/>
        <item x="50"/>
        <item x="27"/>
        <item x="71"/>
        <item x="77"/>
        <item x="79"/>
        <item x="48"/>
        <item x="45"/>
        <item x="76"/>
        <item x="58"/>
        <item x="72"/>
        <item x="23"/>
        <item x="49"/>
        <item x="40"/>
        <item x="43"/>
        <item x="35"/>
        <item x="81"/>
        <item x="28"/>
        <item x="6"/>
        <item x="26"/>
        <item x="32"/>
        <item x="16"/>
        <item x="46"/>
        <item x="33"/>
        <item x="37"/>
        <item x="59"/>
        <item x="51"/>
        <item x="63"/>
        <item x="41"/>
        <item x="55"/>
        <item x="82"/>
        <item x="61"/>
        <item x="53"/>
        <item x="62"/>
        <item x="54"/>
        <item x="70"/>
        <item x="73"/>
        <item x="78"/>
        <item x="83"/>
        <item x="84"/>
        <item x="52"/>
        <item x="64"/>
        <item x="42"/>
        <item x="60"/>
        <item x="65"/>
        <item x="66"/>
        <item x="67"/>
        <item x="69"/>
        <item x="80"/>
        <item x="85"/>
        <item t="default"/>
      </items>
    </pivotField>
    <pivotField compact="0" showAll="0">
      <items count="66">
        <item x="64"/>
        <item x="58"/>
        <item x="56"/>
        <item x="59"/>
        <item x="50"/>
        <item x="62"/>
        <item x="34"/>
        <item x="61"/>
        <item x="36"/>
        <item x="26"/>
        <item x="46"/>
        <item x="47"/>
        <item x="43"/>
        <item x="48"/>
        <item x="60"/>
        <item x="19"/>
        <item x="4"/>
        <item x="23"/>
        <item x="39"/>
        <item x="29"/>
        <item x="32"/>
        <item x="12"/>
        <item x="7"/>
        <item x="6"/>
        <item x="38"/>
        <item x="15"/>
        <item x="44"/>
        <item x="35"/>
        <item x="0"/>
        <item x="1"/>
        <item x="2"/>
        <item x="3"/>
        <item x="5"/>
        <item x="8"/>
        <item x="9"/>
        <item x="10"/>
        <item x="11"/>
        <item x="13"/>
        <item x="14"/>
        <item x="16"/>
        <item x="17"/>
        <item x="18"/>
        <item x="20"/>
        <item x="21"/>
        <item x="22"/>
        <item x="24"/>
        <item x="25"/>
        <item x="27"/>
        <item x="28"/>
        <item x="30"/>
        <item x="31"/>
        <item x="33"/>
        <item x="37"/>
        <item x="40"/>
        <item x="41"/>
        <item x="42"/>
        <item x="45"/>
        <item x="49"/>
        <item x="51"/>
        <item x="52"/>
        <item x="53"/>
        <item x="54"/>
        <item x="55"/>
        <item x="57"/>
        <item x="63"/>
        <item t="default"/>
      </items>
    </pivotField>
    <pivotField compact="0" showAll="0">
      <items count="15">
        <item x="10"/>
        <item x="7"/>
        <item x="5"/>
        <item x="13"/>
        <item x="6"/>
        <item x="1"/>
        <item x="9"/>
        <item x="11"/>
        <item x="12"/>
        <item x="0"/>
        <item x="2"/>
        <item x="3"/>
        <item x="4"/>
        <item x="8"/>
        <item t="default"/>
      </items>
    </pivotField>
    <pivotField compact="0" showAll="0">
      <items count="66">
        <item x="64"/>
        <item x="62"/>
        <item x="60"/>
        <item x="17"/>
        <item x="26"/>
        <item x="34"/>
        <item x="57"/>
        <item x="22"/>
        <item x="12"/>
        <item x="29"/>
        <item x="35"/>
        <item x="45"/>
        <item x="41"/>
        <item x="30"/>
        <item x="52"/>
        <item x="48"/>
        <item x="43"/>
        <item x="59"/>
        <item x="61"/>
        <item x="44"/>
        <item x="56"/>
        <item x="58"/>
        <item x="18"/>
        <item x="0"/>
        <item x="1"/>
        <item x="2"/>
        <item x="3"/>
        <item x="4"/>
        <item x="5"/>
        <item x="6"/>
        <item x="7"/>
        <item x="8"/>
        <item x="9"/>
        <item x="10"/>
        <item x="11"/>
        <item x="13"/>
        <item x="14"/>
        <item x="15"/>
        <item x="16"/>
        <item x="19"/>
        <item x="20"/>
        <item x="21"/>
        <item x="23"/>
        <item x="24"/>
        <item x="25"/>
        <item x="27"/>
        <item x="28"/>
        <item x="31"/>
        <item x="32"/>
        <item x="33"/>
        <item x="36"/>
        <item x="37"/>
        <item x="38"/>
        <item x="39"/>
        <item x="40"/>
        <item x="42"/>
        <item x="46"/>
        <item x="47"/>
        <item x="49"/>
        <item x="50"/>
        <item x="51"/>
        <item x="53"/>
        <item x="54"/>
        <item x="55"/>
        <item x="63"/>
        <item t="default"/>
      </items>
    </pivotField>
    <pivotField compact="0" showAll="0">
      <items count="15">
        <item x="10"/>
        <item x="13"/>
        <item x="7"/>
        <item x="0"/>
        <item x="1"/>
        <item x="2"/>
        <item x="3"/>
        <item x="4"/>
        <item x="5"/>
        <item x="6"/>
        <item x="8"/>
        <item x="9"/>
        <item x="11"/>
        <item x="12"/>
        <item t="default"/>
      </items>
    </pivotField>
    <pivotField compact="0" showAll="0">
      <items count="72">
        <item x="70"/>
        <item x="62"/>
        <item x="58"/>
        <item x="59"/>
        <item x="61"/>
        <item x="35"/>
        <item x="47"/>
        <item x="45"/>
        <item x="24"/>
        <item x="56"/>
        <item x="19"/>
        <item x="6"/>
        <item x="29"/>
        <item x="28"/>
        <item x="25"/>
        <item x="54"/>
        <item x="67"/>
        <item x="53"/>
        <item x="49"/>
        <item x="65"/>
        <item x="0"/>
        <item x="1"/>
        <item x="2"/>
        <item x="3"/>
        <item x="4"/>
        <item x="5"/>
        <item x="7"/>
        <item x="8"/>
        <item x="9"/>
        <item x="10"/>
        <item x="11"/>
        <item x="12"/>
        <item x="13"/>
        <item x="14"/>
        <item x="15"/>
        <item x="16"/>
        <item x="17"/>
        <item x="18"/>
        <item x="20"/>
        <item x="21"/>
        <item x="22"/>
        <item x="23"/>
        <item x="26"/>
        <item x="27"/>
        <item x="30"/>
        <item x="31"/>
        <item x="32"/>
        <item x="33"/>
        <item x="34"/>
        <item x="36"/>
        <item x="37"/>
        <item x="38"/>
        <item x="39"/>
        <item x="40"/>
        <item x="41"/>
        <item x="42"/>
        <item x="43"/>
        <item x="44"/>
        <item x="46"/>
        <item x="48"/>
        <item x="50"/>
        <item x="51"/>
        <item x="52"/>
        <item x="55"/>
        <item x="57"/>
        <item x="60"/>
        <item x="63"/>
        <item x="64"/>
        <item x="66"/>
        <item x="68"/>
        <item x="69"/>
        <item t="default"/>
      </items>
    </pivotField>
    <pivotField compact="0" showAll="0">
      <items count="18">
        <item x="10"/>
        <item x="7"/>
        <item x="11"/>
        <item x="16"/>
        <item x="5"/>
        <item x="9"/>
        <item x="15"/>
        <item x="14"/>
        <item x="12"/>
        <item x="2"/>
        <item x="6"/>
        <item x="0"/>
        <item x="1"/>
        <item x="3"/>
        <item x="4"/>
        <item x="8"/>
        <item x="13"/>
        <item t="default"/>
      </items>
    </pivotField>
    <pivotField compact="0" showAll="0">
      <items count="66">
        <item x="64"/>
        <item x="22"/>
        <item x="55"/>
        <item x="41"/>
        <item x="28"/>
        <item x="54"/>
        <item x="39"/>
        <item x="35"/>
        <item x="18"/>
        <item x="44"/>
        <item x="45"/>
        <item x="56"/>
        <item x="34"/>
        <item x="32"/>
        <item x="37"/>
        <item x="17"/>
        <item x="43"/>
        <item x="60"/>
        <item x="59"/>
        <item x="57"/>
        <item x="48"/>
        <item x="58"/>
        <item x="0"/>
        <item x="1"/>
        <item x="2"/>
        <item x="3"/>
        <item x="4"/>
        <item x="5"/>
        <item x="6"/>
        <item x="7"/>
        <item x="8"/>
        <item x="9"/>
        <item x="10"/>
        <item x="11"/>
        <item x="12"/>
        <item x="13"/>
        <item x="14"/>
        <item x="15"/>
        <item x="16"/>
        <item x="19"/>
        <item x="20"/>
        <item x="21"/>
        <item x="23"/>
        <item x="24"/>
        <item x="25"/>
        <item x="26"/>
        <item x="27"/>
        <item x="29"/>
        <item x="30"/>
        <item x="31"/>
        <item x="33"/>
        <item x="36"/>
        <item x="38"/>
        <item x="40"/>
        <item x="42"/>
        <item x="46"/>
        <item x="47"/>
        <item x="49"/>
        <item x="50"/>
        <item x="51"/>
        <item x="52"/>
        <item x="53"/>
        <item x="61"/>
        <item x="62"/>
        <item x="63"/>
        <item t="default"/>
      </items>
    </pivotField>
    <pivotField compact="0" showAll="0">
      <items count="18">
        <item x="10"/>
        <item x="16"/>
        <item x="7"/>
        <item x="0"/>
        <item x="1"/>
        <item x="2"/>
        <item x="3"/>
        <item x="4"/>
        <item x="5"/>
        <item x="6"/>
        <item x="8"/>
        <item x="9"/>
        <item x="11"/>
        <item x="12"/>
        <item x="13"/>
        <item x="14"/>
        <item x="15"/>
        <item t="default"/>
      </items>
    </pivotField>
    <pivotField compact="0" showAll="0">
      <items count="48">
        <item x="10"/>
        <item x="46"/>
        <item x="30"/>
        <item x="17"/>
        <item x="38"/>
        <item x="24"/>
        <item x="14"/>
        <item x="15"/>
        <item x="35"/>
        <item x="0"/>
        <item x="1"/>
        <item x="2"/>
        <item x="3"/>
        <item x="4"/>
        <item x="5"/>
        <item x="6"/>
        <item x="7"/>
        <item x="8"/>
        <item x="9"/>
        <item x="11"/>
        <item x="12"/>
        <item x="13"/>
        <item x="16"/>
        <item x="18"/>
        <item x="19"/>
        <item x="20"/>
        <item x="21"/>
        <item x="22"/>
        <item x="23"/>
        <item x="25"/>
        <item x="26"/>
        <item x="27"/>
        <item x="28"/>
        <item x="29"/>
        <item x="31"/>
        <item x="32"/>
        <item x="33"/>
        <item x="34"/>
        <item x="36"/>
        <item x="37"/>
        <item x="39"/>
        <item x="40"/>
        <item x="41"/>
        <item x="42"/>
        <item x="43"/>
        <item x="44"/>
        <item x="45"/>
        <item t="default"/>
      </items>
    </pivotField>
    <pivotField compact="0" showAll="0">
      <items count="6">
        <item x="2"/>
        <item x="0"/>
        <item x="4"/>
        <item x="1"/>
        <item x="3"/>
        <item t="default"/>
      </items>
    </pivotField>
    <pivotField dataField="1" compact="0" showAll="0">
      <items count="25">
        <item x="21"/>
        <item x="22"/>
        <item x="20"/>
        <item x="23"/>
        <item x="16"/>
        <item x="19"/>
        <item x="17"/>
        <item x="13"/>
        <item x="18"/>
        <item x="12"/>
        <item x="14"/>
        <item x="15"/>
        <item x="11"/>
        <item x="6"/>
        <item x="0"/>
        <item x="1"/>
        <item x="2"/>
        <item x="3"/>
        <item x="4"/>
        <item x="5"/>
        <item x="7"/>
        <item x="8"/>
        <item x="9"/>
        <item x="10"/>
        <item t="default"/>
      </items>
    </pivotField>
  </pivotFields>
  <rowFields count="1">
    <field x="2"/>
  </rowFields>
  <rowItems count="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6.xml><?xml version="1.0" encoding="utf-8"?>
<pivotTableDefinition xmlns="http://schemas.openxmlformats.org/spreadsheetml/2006/main" name="数据透视表59" cacheId="56"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AJ109" firstHeaderRow="0" firstDataRow="1" firstDataCol="1"/>
  <pivotFields count="19">
    <pivotField axis="axisRow" compact="0" showAll="0">
      <items count="108">
        <item x="1"/>
        <item x="3"/>
        <item x="5"/>
        <item x="10"/>
        <item x="7"/>
        <item x="9"/>
        <item x="106"/>
        <item x="14"/>
        <item x="17"/>
        <item x="18"/>
        <item x="15"/>
        <item x="16"/>
        <item x="22"/>
        <item x="2"/>
        <item x="8"/>
        <item x="4"/>
        <item x="23"/>
        <item x="27"/>
        <item x="25"/>
        <item x="24"/>
        <item x="0"/>
        <item x="26"/>
        <item x="28"/>
        <item x="70"/>
        <item x="6"/>
        <item x="29"/>
        <item x="30"/>
        <item x="31"/>
        <item x="12"/>
        <item x="11"/>
        <item x="20"/>
        <item x="32"/>
        <item x="33"/>
        <item x="34"/>
        <item x="35"/>
        <item x="69"/>
        <item x="36"/>
        <item x="37"/>
        <item x="38"/>
        <item x="72"/>
        <item x="39"/>
        <item x="73"/>
        <item x="43"/>
        <item x="21"/>
        <item x="40"/>
        <item x="41"/>
        <item x="42"/>
        <item x="47"/>
        <item x="44"/>
        <item x="45"/>
        <item x="46"/>
        <item x="48"/>
        <item x="49"/>
        <item x="50"/>
        <item x="51"/>
        <item x="52"/>
        <item x="53"/>
        <item x="54"/>
        <item x="55"/>
        <item x="56"/>
        <item x="58"/>
        <item x="59"/>
        <item x="57"/>
        <item x="60"/>
        <item x="61"/>
        <item x="67"/>
        <item x="62"/>
        <item x="63"/>
        <item x="66"/>
        <item x="65"/>
        <item x="64"/>
        <item x="13"/>
        <item x="19"/>
        <item x="68"/>
        <item x="71"/>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t="default"/>
      </items>
    </pivotField>
    <pivotField compact="0" showAll="0">
      <items count="108">
        <item x="1"/>
        <item x="3"/>
        <item x="5"/>
        <item x="10"/>
        <item x="7"/>
        <item x="9"/>
        <item x="106"/>
        <item x="14"/>
        <item x="17"/>
        <item x="18"/>
        <item x="15"/>
        <item x="16"/>
        <item x="22"/>
        <item x="2"/>
        <item x="8"/>
        <item x="4"/>
        <item x="23"/>
        <item x="27"/>
        <item x="25"/>
        <item x="24"/>
        <item x="0"/>
        <item x="26"/>
        <item x="28"/>
        <item x="70"/>
        <item x="6"/>
        <item x="29"/>
        <item x="30"/>
        <item x="31"/>
        <item x="12"/>
        <item x="11"/>
        <item x="20"/>
        <item x="32"/>
        <item x="33"/>
        <item x="34"/>
        <item x="35"/>
        <item x="69"/>
        <item x="36"/>
        <item x="37"/>
        <item x="38"/>
        <item x="72"/>
        <item x="39"/>
        <item x="73"/>
        <item x="43"/>
        <item x="21"/>
        <item x="40"/>
        <item x="41"/>
        <item x="42"/>
        <item x="47"/>
        <item x="44"/>
        <item x="45"/>
        <item x="46"/>
        <item x="48"/>
        <item x="49"/>
        <item x="50"/>
        <item x="51"/>
        <item x="52"/>
        <item x="53"/>
        <item x="54"/>
        <item x="55"/>
        <item x="56"/>
        <item x="58"/>
        <item x="59"/>
        <item x="57"/>
        <item x="60"/>
        <item x="61"/>
        <item x="67"/>
        <item x="62"/>
        <item x="63"/>
        <item x="66"/>
        <item x="65"/>
        <item x="64"/>
        <item x="13"/>
        <item x="19"/>
        <item x="68"/>
        <item x="71"/>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t="default"/>
      </items>
    </pivotField>
    <pivotField dataField="1" compact="0" showAll="0">
      <items count="297">
        <item x="295"/>
        <item x="64"/>
        <item x="1"/>
        <item x="18"/>
        <item x="29"/>
        <item x="3"/>
        <item x="192"/>
        <item x="31"/>
        <item x="10"/>
        <item x="30"/>
        <item x="42"/>
        <item x="115"/>
        <item x="28"/>
        <item x="253"/>
        <item x="39"/>
        <item x="274"/>
        <item x="144"/>
        <item x="283"/>
        <item x="170"/>
        <item x="133"/>
        <item x="175"/>
        <item x="163"/>
        <item x="11"/>
        <item x="68"/>
        <item x="233"/>
        <item x="236"/>
        <item x="237"/>
        <item x="244"/>
        <item x="46"/>
        <item x="250"/>
        <item x="261"/>
        <item x="0"/>
        <item x="2"/>
        <item x="4"/>
        <item x="5"/>
        <item x="6"/>
        <item x="7"/>
        <item x="8"/>
        <item x="9"/>
        <item x="12"/>
        <item x="13"/>
        <item x="14"/>
        <item x="15"/>
        <item x="16"/>
        <item x="17"/>
        <item x="19"/>
        <item x="20"/>
        <item x="21"/>
        <item x="22"/>
        <item x="23"/>
        <item x="24"/>
        <item x="25"/>
        <item x="26"/>
        <item x="27"/>
        <item x="32"/>
        <item x="33"/>
        <item x="34"/>
        <item x="35"/>
        <item x="36"/>
        <item x="37"/>
        <item x="38"/>
        <item x="40"/>
        <item x="41"/>
        <item x="43"/>
        <item x="44"/>
        <item x="45"/>
        <item x="47"/>
        <item x="48"/>
        <item x="49"/>
        <item x="50"/>
        <item x="51"/>
        <item x="52"/>
        <item x="53"/>
        <item x="54"/>
        <item x="55"/>
        <item x="56"/>
        <item x="57"/>
        <item x="58"/>
        <item x="59"/>
        <item x="60"/>
        <item x="61"/>
        <item x="62"/>
        <item x="63"/>
        <item x="65"/>
        <item x="66"/>
        <item x="67"/>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6"/>
        <item x="117"/>
        <item x="118"/>
        <item x="119"/>
        <item x="120"/>
        <item x="121"/>
        <item x="122"/>
        <item x="123"/>
        <item x="124"/>
        <item x="125"/>
        <item x="126"/>
        <item x="127"/>
        <item x="128"/>
        <item x="129"/>
        <item x="130"/>
        <item x="131"/>
        <item x="132"/>
        <item x="134"/>
        <item x="135"/>
        <item x="136"/>
        <item x="137"/>
        <item x="138"/>
        <item x="139"/>
        <item x="140"/>
        <item x="141"/>
        <item x="142"/>
        <item x="143"/>
        <item x="145"/>
        <item x="146"/>
        <item x="147"/>
        <item x="148"/>
        <item x="149"/>
        <item x="150"/>
        <item x="151"/>
        <item x="152"/>
        <item x="153"/>
        <item x="154"/>
        <item x="155"/>
        <item x="156"/>
        <item x="157"/>
        <item x="158"/>
        <item x="159"/>
        <item x="160"/>
        <item x="161"/>
        <item x="162"/>
        <item x="164"/>
        <item x="165"/>
        <item x="166"/>
        <item x="167"/>
        <item x="168"/>
        <item x="169"/>
        <item x="171"/>
        <item x="172"/>
        <item x="173"/>
        <item x="174"/>
        <item x="176"/>
        <item x="177"/>
        <item x="178"/>
        <item x="179"/>
        <item x="180"/>
        <item x="181"/>
        <item x="182"/>
        <item x="183"/>
        <item x="184"/>
        <item x="185"/>
        <item x="186"/>
        <item x="187"/>
        <item x="188"/>
        <item x="189"/>
        <item x="190"/>
        <item x="191"/>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4"/>
        <item x="235"/>
        <item x="238"/>
        <item x="239"/>
        <item x="240"/>
        <item x="241"/>
        <item x="242"/>
        <item x="243"/>
        <item x="245"/>
        <item x="246"/>
        <item x="247"/>
        <item x="248"/>
        <item x="249"/>
        <item x="251"/>
        <item x="252"/>
        <item x="254"/>
        <item x="255"/>
        <item x="256"/>
        <item x="257"/>
        <item x="258"/>
        <item x="259"/>
        <item x="260"/>
        <item x="262"/>
        <item x="263"/>
        <item x="264"/>
        <item x="265"/>
        <item x="266"/>
        <item x="267"/>
        <item x="268"/>
        <item x="269"/>
        <item x="270"/>
        <item x="271"/>
        <item x="272"/>
        <item x="273"/>
        <item x="275"/>
        <item x="276"/>
        <item x="277"/>
        <item x="278"/>
        <item x="279"/>
        <item x="280"/>
        <item x="281"/>
        <item x="282"/>
        <item x="284"/>
        <item x="285"/>
        <item x="286"/>
        <item x="287"/>
        <item x="288"/>
        <item x="289"/>
        <item x="290"/>
        <item x="291"/>
        <item x="292"/>
        <item x="293"/>
        <item x="294"/>
        <item t="default"/>
      </items>
    </pivotField>
    <pivotField dataField="1" compact="0" showAll="0">
      <items count="68">
        <item x="1"/>
        <item x="3"/>
        <item x="5"/>
        <item x="11"/>
        <item x="47"/>
        <item x="25"/>
        <item x="66"/>
        <item x="0"/>
        <item x="4"/>
        <item x="21"/>
        <item x="7"/>
        <item x="10"/>
        <item x="2"/>
        <item x="23"/>
        <item x="12"/>
        <item x="30"/>
        <item x="38"/>
        <item x="8"/>
        <item x="31"/>
        <item x="24"/>
        <item x="35"/>
        <item x="36"/>
        <item x="9"/>
        <item x="51"/>
        <item x="16"/>
        <item x="43"/>
        <item x="22"/>
        <item x="28"/>
        <item x="18"/>
        <item x="39"/>
        <item x="55"/>
        <item x="58"/>
        <item x="26"/>
        <item x="34"/>
        <item x="15"/>
        <item x="32"/>
        <item x="45"/>
        <item x="29"/>
        <item x="19"/>
        <item x="65"/>
        <item x="17"/>
        <item x="6"/>
        <item x="59"/>
        <item x="60"/>
        <item x="63"/>
        <item x="13"/>
        <item x="14"/>
        <item x="20"/>
        <item x="27"/>
        <item x="33"/>
        <item x="37"/>
        <item x="40"/>
        <item x="41"/>
        <item x="42"/>
        <item x="44"/>
        <item x="46"/>
        <item x="48"/>
        <item x="49"/>
        <item x="50"/>
        <item x="52"/>
        <item x="53"/>
        <item x="54"/>
        <item x="56"/>
        <item x="57"/>
        <item x="61"/>
        <item x="62"/>
        <item x="64"/>
        <item t="default"/>
      </items>
    </pivotField>
    <pivotField compact="0" showAll="0">
      <items count="273">
        <item x="5"/>
        <item x="1"/>
        <item x="53"/>
        <item x="3"/>
        <item x="36"/>
        <item x="142"/>
        <item x="249"/>
        <item x="132"/>
        <item x="0"/>
        <item x="148"/>
        <item x="170"/>
        <item x="164"/>
        <item x="10"/>
        <item x="208"/>
        <item x="218"/>
        <item x="221"/>
        <item x="222"/>
        <item x="235"/>
        <item x="49"/>
        <item x="238"/>
        <item x="27"/>
        <item x="246"/>
        <item x="2"/>
        <item x="4"/>
        <item x="6"/>
        <item x="7"/>
        <item x="8"/>
        <item x="9"/>
        <item x="11"/>
        <item x="12"/>
        <item x="13"/>
        <item x="14"/>
        <item x="15"/>
        <item x="16"/>
        <item x="17"/>
        <item x="18"/>
        <item x="19"/>
        <item x="20"/>
        <item x="21"/>
        <item x="22"/>
        <item x="23"/>
        <item x="24"/>
        <item x="25"/>
        <item x="26"/>
        <item x="28"/>
        <item x="29"/>
        <item x="30"/>
        <item x="31"/>
        <item x="32"/>
        <item x="33"/>
        <item x="34"/>
        <item x="35"/>
        <item x="37"/>
        <item x="38"/>
        <item x="39"/>
        <item x="40"/>
        <item x="41"/>
        <item x="42"/>
        <item x="43"/>
        <item x="44"/>
        <item x="45"/>
        <item x="46"/>
        <item x="47"/>
        <item x="48"/>
        <item x="50"/>
        <item x="51"/>
        <item x="52"/>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3"/>
        <item x="134"/>
        <item x="135"/>
        <item x="136"/>
        <item x="137"/>
        <item x="138"/>
        <item x="139"/>
        <item x="140"/>
        <item x="141"/>
        <item x="143"/>
        <item x="144"/>
        <item x="145"/>
        <item x="146"/>
        <item x="147"/>
        <item x="149"/>
        <item x="150"/>
        <item x="151"/>
        <item x="152"/>
        <item x="153"/>
        <item x="154"/>
        <item x="155"/>
        <item x="156"/>
        <item x="157"/>
        <item x="158"/>
        <item x="159"/>
        <item x="160"/>
        <item x="161"/>
        <item x="162"/>
        <item x="163"/>
        <item x="165"/>
        <item x="166"/>
        <item x="167"/>
        <item x="168"/>
        <item x="169"/>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9"/>
        <item x="210"/>
        <item x="211"/>
        <item x="212"/>
        <item x="213"/>
        <item x="214"/>
        <item x="215"/>
        <item x="216"/>
        <item x="217"/>
        <item x="219"/>
        <item x="220"/>
        <item x="223"/>
        <item x="224"/>
        <item x="225"/>
        <item x="226"/>
        <item x="227"/>
        <item x="228"/>
        <item x="229"/>
        <item x="230"/>
        <item x="231"/>
        <item x="232"/>
        <item x="233"/>
        <item x="234"/>
        <item x="236"/>
        <item x="237"/>
        <item x="239"/>
        <item x="240"/>
        <item x="241"/>
        <item x="242"/>
        <item x="243"/>
        <item x="244"/>
        <item x="245"/>
        <item x="247"/>
        <item x="248"/>
        <item x="250"/>
        <item x="251"/>
        <item x="252"/>
        <item x="253"/>
        <item x="254"/>
        <item x="255"/>
        <item x="256"/>
        <item x="257"/>
        <item x="258"/>
        <item x="259"/>
        <item x="260"/>
        <item x="261"/>
        <item x="262"/>
        <item x="263"/>
        <item x="264"/>
        <item x="265"/>
        <item x="266"/>
        <item x="267"/>
        <item x="268"/>
        <item x="269"/>
        <item x="270"/>
        <item x="271"/>
        <item t="default"/>
      </items>
    </pivotField>
    <pivotField compact="0" showAll="0">
      <items count="238">
        <item x="1"/>
        <item x="8"/>
        <item x="4"/>
        <item x="102"/>
        <item x="23"/>
        <item x="41"/>
        <item x="114"/>
        <item x="158"/>
        <item x="9"/>
        <item x="130"/>
        <item x="136"/>
        <item x="132"/>
        <item x="45"/>
        <item x="58"/>
        <item x="211"/>
        <item x="3"/>
        <item x="134"/>
        <item x="120"/>
        <item x="2"/>
        <item x="5"/>
        <item x="52"/>
        <item x="157"/>
        <item x="25"/>
        <item x="143"/>
        <item x="44"/>
        <item x="156"/>
        <item x="61"/>
        <item x="50"/>
        <item x="108"/>
        <item x="153"/>
        <item x="72"/>
        <item x="113"/>
        <item x="36"/>
        <item x="126"/>
        <item x="128"/>
        <item x="109"/>
        <item x="146"/>
        <item x="149"/>
        <item x="10"/>
        <item x="22"/>
        <item x="159"/>
        <item x="161"/>
        <item x="162"/>
        <item x="112"/>
        <item x="176"/>
        <item x="175"/>
        <item x="178"/>
        <item x="181"/>
        <item x="182"/>
        <item x="183"/>
        <item x="184"/>
        <item x="187"/>
        <item x="188"/>
        <item x="65"/>
        <item x="192"/>
        <item x="193"/>
        <item x="195"/>
        <item x="200"/>
        <item x="203"/>
        <item x="0"/>
        <item x="6"/>
        <item x="7"/>
        <item x="11"/>
        <item x="12"/>
        <item x="13"/>
        <item x="14"/>
        <item x="15"/>
        <item x="16"/>
        <item x="17"/>
        <item x="18"/>
        <item x="19"/>
        <item x="20"/>
        <item x="21"/>
        <item x="24"/>
        <item x="26"/>
        <item x="27"/>
        <item x="28"/>
        <item x="29"/>
        <item x="30"/>
        <item x="31"/>
        <item x="32"/>
        <item x="33"/>
        <item x="34"/>
        <item x="35"/>
        <item x="37"/>
        <item x="38"/>
        <item x="39"/>
        <item x="40"/>
        <item x="42"/>
        <item x="43"/>
        <item x="46"/>
        <item x="47"/>
        <item x="48"/>
        <item x="49"/>
        <item x="51"/>
        <item x="53"/>
        <item x="54"/>
        <item x="55"/>
        <item x="56"/>
        <item x="57"/>
        <item x="59"/>
        <item x="60"/>
        <item x="62"/>
        <item x="63"/>
        <item x="64"/>
        <item x="66"/>
        <item x="67"/>
        <item x="68"/>
        <item x="69"/>
        <item x="70"/>
        <item x="71"/>
        <item x="73"/>
        <item x="74"/>
        <item x="75"/>
        <item x="76"/>
        <item x="77"/>
        <item x="78"/>
        <item x="79"/>
        <item x="80"/>
        <item x="81"/>
        <item x="82"/>
        <item x="83"/>
        <item x="84"/>
        <item x="85"/>
        <item x="86"/>
        <item x="87"/>
        <item x="88"/>
        <item x="89"/>
        <item x="90"/>
        <item x="91"/>
        <item x="92"/>
        <item x="93"/>
        <item x="94"/>
        <item x="95"/>
        <item x="96"/>
        <item x="97"/>
        <item x="98"/>
        <item x="99"/>
        <item x="100"/>
        <item x="101"/>
        <item x="103"/>
        <item x="104"/>
        <item x="105"/>
        <item x="106"/>
        <item x="107"/>
        <item x="110"/>
        <item x="111"/>
        <item x="115"/>
        <item x="116"/>
        <item x="117"/>
        <item x="118"/>
        <item x="119"/>
        <item x="121"/>
        <item x="122"/>
        <item x="123"/>
        <item x="124"/>
        <item x="125"/>
        <item x="127"/>
        <item x="129"/>
        <item x="131"/>
        <item x="133"/>
        <item x="135"/>
        <item x="137"/>
        <item x="138"/>
        <item x="139"/>
        <item x="140"/>
        <item x="141"/>
        <item x="142"/>
        <item x="144"/>
        <item x="145"/>
        <item x="147"/>
        <item x="148"/>
        <item x="150"/>
        <item x="151"/>
        <item x="152"/>
        <item x="154"/>
        <item x="155"/>
        <item x="160"/>
        <item x="163"/>
        <item x="164"/>
        <item x="165"/>
        <item x="166"/>
        <item x="167"/>
        <item x="168"/>
        <item x="169"/>
        <item x="170"/>
        <item x="171"/>
        <item x="172"/>
        <item x="173"/>
        <item x="174"/>
        <item x="177"/>
        <item x="179"/>
        <item x="180"/>
        <item x="185"/>
        <item x="186"/>
        <item x="189"/>
        <item x="190"/>
        <item x="191"/>
        <item x="194"/>
        <item x="196"/>
        <item x="197"/>
        <item x="198"/>
        <item x="199"/>
        <item x="201"/>
        <item x="202"/>
        <item x="204"/>
        <item x="205"/>
        <item x="206"/>
        <item x="207"/>
        <item x="208"/>
        <item x="209"/>
        <item x="210"/>
        <item x="212"/>
        <item x="213"/>
        <item x="214"/>
        <item x="215"/>
        <item x="216"/>
        <item x="217"/>
        <item x="218"/>
        <item x="219"/>
        <item x="220"/>
        <item x="221"/>
        <item x="222"/>
        <item x="223"/>
        <item x="224"/>
        <item x="225"/>
        <item x="226"/>
        <item x="227"/>
        <item x="228"/>
        <item x="229"/>
        <item x="230"/>
        <item x="231"/>
        <item x="232"/>
        <item x="233"/>
        <item x="234"/>
        <item x="235"/>
        <item x="236"/>
        <item t="default"/>
      </items>
    </pivotField>
    <pivotField dataField="1" compact="0" showAll="0">
      <items count="249">
        <item x="1"/>
        <item x="247"/>
        <item x="151"/>
        <item x="43"/>
        <item x="121"/>
        <item x="190"/>
        <item x="120"/>
        <item x="91"/>
        <item x="169"/>
        <item x="93"/>
        <item x="145"/>
        <item x="167"/>
        <item x="63"/>
        <item x="134"/>
        <item x="111"/>
        <item x="178"/>
        <item x="125"/>
        <item x="208"/>
        <item x="25"/>
        <item x="144"/>
        <item x="127"/>
        <item x="52"/>
        <item x="113"/>
        <item x="2"/>
        <item x="3"/>
        <item x="4"/>
        <item x="5"/>
        <item x="136"/>
        <item x="9"/>
        <item x="163"/>
        <item x="38"/>
        <item x="24"/>
        <item x="26"/>
        <item x="103"/>
        <item x="114"/>
        <item x="47"/>
        <item x="140"/>
        <item x="60"/>
        <item x="173"/>
        <item x="54"/>
        <item x="170"/>
        <item x="200"/>
        <item x="119"/>
        <item x="28"/>
        <item x="130"/>
        <item x="133"/>
        <item x="135"/>
        <item x="137"/>
        <item x="142"/>
        <item x="147"/>
        <item x="158"/>
        <item x="88"/>
        <item x="171"/>
        <item x="174"/>
        <item x="117"/>
        <item x="179"/>
        <item x="180"/>
        <item x="191"/>
        <item x="192"/>
        <item x="194"/>
        <item x="196"/>
        <item x="197"/>
        <item x="198"/>
        <item x="199"/>
        <item x="203"/>
        <item x="204"/>
        <item x="209"/>
        <item x="210"/>
        <item x="212"/>
        <item x="160"/>
        <item x="68"/>
        <item x="219"/>
        <item x="0"/>
        <item x="6"/>
        <item x="7"/>
        <item x="8"/>
        <item x="10"/>
        <item x="11"/>
        <item x="12"/>
        <item x="13"/>
        <item x="14"/>
        <item x="15"/>
        <item x="16"/>
        <item x="17"/>
        <item x="18"/>
        <item x="19"/>
        <item x="20"/>
        <item x="21"/>
        <item x="22"/>
        <item x="23"/>
        <item x="27"/>
        <item x="29"/>
        <item x="30"/>
        <item x="31"/>
        <item x="32"/>
        <item x="33"/>
        <item x="34"/>
        <item x="35"/>
        <item x="36"/>
        <item x="37"/>
        <item x="39"/>
        <item x="40"/>
        <item x="41"/>
        <item x="42"/>
        <item x="44"/>
        <item x="45"/>
        <item x="46"/>
        <item x="48"/>
        <item x="49"/>
        <item x="50"/>
        <item x="51"/>
        <item x="53"/>
        <item x="55"/>
        <item x="56"/>
        <item x="57"/>
        <item x="58"/>
        <item x="59"/>
        <item x="61"/>
        <item x="62"/>
        <item x="64"/>
        <item x="65"/>
        <item x="66"/>
        <item x="67"/>
        <item x="69"/>
        <item x="70"/>
        <item x="71"/>
        <item x="72"/>
        <item x="73"/>
        <item x="74"/>
        <item x="75"/>
        <item x="76"/>
        <item x="77"/>
        <item x="78"/>
        <item x="79"/>
        <item x="80"/>
        <item x="81"/>
        <item x="82"/>
        <item x="83"/>
        <item x="84"/>
        <item x="85"/>
        <item x="86"/>
        <item x="87"/>
        <item x="89"/>
        <item x="90"/>
        <item x="92"/>
        <item x="94"/>
        <item x="95"/>
        <item x="96"/>
        <item x="97"/>
        <item x="98"/>
        <item x="99"/>
        <item x="100"/>
        <item x="101"/>
        <item x="102"/>
        <item x="104"/>
        <item x="105"/>
        <item x="106"/>
        <item x="107"/>
        <item x="108"/>
        <item x="109"/>
        <item x="110"/>
        <item x="112"/>
        <item x="115"/>
        <item x="116"/>
        <item x="118"/>
        <item x="122"/>
        <item x="123"/>
        <item x="124"/>
        <item x="126"/>
        <item x="128"/>
        <item x="129"/>
        <item x="131"/>
        <item x="132"/>
        <item x="138"/>
        <item x="139"/>
        <item x="141"/>
        <item x="143"/>
        <item x="146"/>
        <item x="148"/>
        <item x="149"/>
        <item x="150"/>
        <item x="152"/>
        <item x="153"/>
        <item x="154"/>
        <item x="155"/>
        <item x="156"/>
        <item x="157"/>
        <item x="159"/>
        <item x="161"/>
        <item x="162"/>
        <item x="164"/>
        <item x="165"/>
        <item x="166"/>
        <item x="168"/>
        <item x="172"/>
        <item x="175"/>
        <item x="176"/>
        <item x="177"/>
        <item x="181"/>
        <item x="182"/>
        <item x="183"/>
        <item x="184"/>
        <item x="185"/>
        <item x="186"/>
        <item x="187"/>
        <item x="188"/>
        <item x="189"/>
        <item x="193"/>
        <item x="195"/>
        <item x="201"/>
        <item x="202"/>
        <item x="205"/>
        <item x="206"/>
        <item x="207"/>
        <item x="211"/>
        <item x="213"/>
        <item x="214"/>
        <item x="215"/>
        <item x="216"/>
        <item x="217"/>
        <item x="218"/>
        <item x="220"/>
        <item x="221"/>
        <item x="222"/>
        <item x="223"/>
        <item x="224"/>
        <item x="225"/>
        <item x="226"/>
        <item x="227"/>
        <item x="228"/>
        <item x="229"/>
        <item x="230"/>
        <item x="231"/>
        <item x="232"/>
        <item x="233"/>
        <item x="234"/>
        <item x="235"/>
        <item x="236"/>
        <item x="237"/>
        <item x="238"/>
        <item x="239"/>
        <item x="240"/>
        <item x="241"/>
        <item x="242"/>
        <item x="243"/>
        <item x="244"/>
        <item x="245"/>
        <item x="246"/>
        <item t="default"/>
      </items>
    </pivotField>
    <pivotField dataField="1" compact="0" showAll="0">
      <items count="94">
        <item x="1"/>
        <item x="92"/>
        <item x="3"/>
        <item x="2"/>
        <item x="57"/>
        <item x="4"/>
        <item x="10"/>
        <item x="26"/>
        <item x="72"/>
        <item x="51"/>
        <item x="7"/>
        <item x="52"/>
        <item x="8"/>
        <item x="9"/>
        <item x="11"/>
        <item x="17"/>
        <item x="19"/>
        <item x="21"/>
        <item x="15"/>
        <item x="23"/>
        <item x="24"/>
        <item x="25"/>
        <item x="27"/>
        <item x="31"/>
        <item x="33"/>
        <item x="36"/>
        <item x="44"/>
        <item x="46"/>
        <item x="45"/>
        <item x="47"/>
        <item x="48"/>
        <item x="53"/>
        <item x="56"/>
        <item x="58"/>
        <item x="60"/>
        <item x="32"/>
        <item x="64"/>
        <item x="71"/>
        <item x="73"/>
        <item x="74"/>
        <item x="75"/>
        <item x="76"/>
        <item x="77"/>
        <item x="78"/>
        <item x="80"/>
        <item x="81"/>
        <item x="82"/>
        <item x="83"/>
        <item x="85"/>
        <item x="86"/>
        <item x="87"/>
        <item x="88"/>
        <item x="89"/>
        <item x="0"/>
        <item x="5"/>
        <item x="6"/>
        <item x="12"/>
        <item x="13"/>
        <item x="14"/>
        <item x="16"/>
        <item x="18"/>
        <item x="20"/>
        <item x="22"/>
        <item x="28"/>
        <item x="29"/>
        <item x="30"/>
        <item x="34"/>
        <item x="35"/>
        <item x="37"/>
        <item x="38"/>
        <item x="39"/>
        <item x="40"/>
        <item x="41"/>
        <item x="42"/>
        <item x="43"/>
        <item x="49"/>
        <item x="50"/>
        <item x="54"/>
        <item x="55"/>
        <item x="59"/>
        <item x="61"/>
        <item x="62"/>
        <item x="63"/>
        <item x="65"/>
        <item x="66"/>
        <item x="67"/>
        <item x="68"/>
        <item x="69"/>
        <item x="70"/>
        <item x="79"/>
        <item x="84"/>
        <item x="90"/>
        <item x="91"/>
        <item t="default"/>
      </items>
    </pivotField>
    <pivotField compact="0" showAll="0">
      <items count="151">
        <item x="1"/>
        <item x="2"/>
        <item x="3"/>
        <item x="84"/>
        <item x="39"/>
        <item x="42"/>
        <item x="85"/>
        <item x="88"/>
        <item x="93"/>
        <item x="111"/>
        <item x="114"/>
        <item x="117"/>
        <item x="126"/>
        <item x="128"/>
        <item x="129"/>
        <item x="130"/>
        <item x="136"/>
        <item x="137"/>
        <item x="139"/>
        <item x="142"/>
        <item x="143"/>
        <item x="0"/>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6"/>
        <item x="87"/>
        <item x="89"/>
        <item x="90"/>
        <item x="91"/>
        <item x="92"/>
        <item x="94"/>
        <item x="95"/>
        <item x="96"/>
        <item x="97"/>
        <item x="98"/>
        <item x="99"/>
        <item x="100"/>
        <item x="101"/>
        <item x="102"/>
        <item x="103"/>
        <item x="104"/>
        <item x="105"/>
        <item x="106"/>
        <item x="107"/>
        <item x="108"/>
        <item x="109"/>
        <item x="110"/>
        <item x="112"/>
        <item x="113"/>
        <item x="115"/>
        <item x="116"/>
        <item x="118"/>
        <item x="119"/>
        <item x="120"/>
        <item x="121"/>
        <item x="122"/>
        <item x="123"/>
        <item x="124"/>
        <item x="125"/>
        <item x="127"/>
        <item x="131"/>
        <item x="132"/>
        <item x="133"/>
        <item x="134"/>
        <item x="135"/>
        <item x="138"/>
        <item x="140"/>
        <item x="141"/>
        <item x="144"/>
        <item x="145"/>
        <item x="146"/>
        <item x="147"/>
        <item x="148"/>
        <item x="149"/>
        <item t="default"/>
      </items>
    </pivotField>
    <pivotField compact="0" showAll="0">
      <items count="152">
        <item x="2"/>
        <item x="1"/>
        <item x="3"/>
        <item x="4"/>
        <item x="85"/>
        <item x="40"/>
        <item x="43"/>
        <item x="86"/>
        <item x="89"/>
        <item x="94"/>
        <item x="112"/>
        <item x="115"/>
        <item x="118"/>
        <item x="127"/>
        <item x="129"/>
        <item x="130"/>
        <item x="131"/>
        <item x="137"/>
        <item x="138"/>
        <item x="140"/>
        <item x="143"/>
        <item x="144"/>
        <item x="0"/>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1"/>
        <item x="42"/>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7"/>
        <item x="88"/>
        <item x="90"/>
        <item x="91"/>
        <item x="92"/>
        <item x="93"/>
        <item x="95"/>
        <item x="96"/>
        <item x="97"/>
        <item x="98"/>
        <item x="99"/>
        <item x="100"/>
        <item x="101"/>
        <item x="102"/>
        <item x="103"/>
        <item x="104"/>
        <item x="105"/>
        <item x="106"/>
        <item x="107"/>
        <item x="108"/>
        <item x="109"/>
        <item x="110"/>
        <item x="111"/>
        <item x="113"/>
        <item x="114"/>
        <item x="116"/>
        <item x="117"/>
        <item x="119"/>
        <item x="120"/>
        <item x="121"/>
        <item x="122"/>
        <item x="123"/>
        <item x="124"/>
        <item x="125"/>
        <item x="126"/>
        <item x="128"/>
        <item x="132"/>
        <item x="133"/>
        <item x="134"/>
        <item x="135"/>
        <item x="136"/>
        <item x="139"/>
        <item x="141"/>
        <item x="142"/>
        <item x="145"/>
        <item x="146"/>
        <item x="147"/>
        <item x="148"/>
        <item x="149"/>
        <item x="150"/>
        <item t="default"/>
      </items>
    </pivotField>
    <pivotField dataField="1" compact="0" showAll="0">
      <items count="23">
        <item x="1"/>
        <item x="0"/>
        <item x="2"/>
        <item x="3"/>
        <item x="21"/>
        <item x="8"/>
        <item x="4"/>
        <item x="15"/>
        <item x="10"/>
        <item x="13"/>
        <item x="6"/>
        <item x="7"/>
        <item x="20"/>
        <item x="11"/>
        <item x="12"/>
        <item x="18"/>
        <item x="5"/>
        <item x="9"/>
        <item x="14"/>
        <item x="16"/>
        <item x="17"/>
        <item x="19"/>
        <item t="default"/>
      </items>
    </pivotField>
    <pivotField compact="0" showAll="0">
      <items count="26">
        <item x="1"/>
        <item x="0"/>
        <item x="2"/>
        <item x="3"/>
        <item x="24"/>
        <item x="8"/>
        <item x="4"/>
        <item x="5"/>
        <item x="10"/>
        <item x="19"/>
        <item x="6"/>
        <item x="20"/>
        <item x="13"/>
        <item x="7"/>
        <item x="11"/>
        <item x="14"/>
        <item x="18"/>
        <item x="9"/>
        <item x="12"/>
        <item x="15"/>
        <item x="16"/>
        <item x="17"/>
        <item x="21"/>
        <item x="22"/>
        <item x="23"/>
        <item t="default"/>
      </items>
    </pivotField>
    <pivotField compact="0" showAll="0">
      <items count="90">
        <item x="2"/>
        <item x="1"/>
        <item x="22"/>
        <item x="23"/>
        <item x="64"/>
        <item x="9"/>
        <item x="52"/>
        <item x="7"/>
        <item x="56"/>
        <item x="30"/>
        <item x="0"/>
        <item x="62"/>
        <item x="13"/>
        <item x="21"/>
        <item x="19"/>
        <item x="24"/>
        <item x="85"/>
        <item x="50"/>
        <item x="75"/>
        <item x="53"/>
        <item x="6"/>
        <item x="29"/>
        <item x="48"/>
        <item x="18"/>
        <item x="59"/>
        <item x="25"/>
        <item x="44"/>
        <item x="34"/>
        <item x="3"/>
        <item x="4"/>
        <item x="15"/>
        <item x="36"/>
        <item x="27"/>
        <item x="58"/>
        <item x="71"/>
        <item x="32"/>
        <item x="39"/>
        <item x="5"/>
        <item x="74"/>
        <item x="80"/>
        <item x="81"/>
        <item x="86"/>
        <item x="8"/>
        <item x="10"/>
        <item x="11"/>
        <item x="12"/>
        <item x="14"/>
        <item x="16"/>
        <item x="17"/>
        <item x="20"/>
        <item x="26"/>
        <item x="28"/>
        <item x="31"/>
        <item x="33"/>
        <item x="35"/>
        <item x="37"/>
        <item x="38"/>
        <item x="40"/>
        <item x="41"/>
        <item x="42"/>
        <item x="43"/>
        <item x="45"/>
        <item x="46"/>
        <item x="47"/>
        <item x="49"/>
        <item x="51"/>
        <item x="54"/>
        <item x="55"/>
        <item x="57"/>
        <item x="60"/>
        <item x="61"/>
        <item x="63"/>
        <item x="65"/>
        <item x="66"/>
        <item x="67"/>
        <item x="68"/>
        <item x="69"/>
        <item x="70"/>
        <item x="72"/>
        <item x="73"/>
        <item x="76"/>
        <item x="77"/>
        <item x="78"/>
        <item x="79"/>
        <item x="82"/>
        <item x="83"/>
        <item x="84"/>
        <item x="87"/>
        <item x="88"/>
        <item t="default"/>
      </items>
    </pivotField>
    <pivotField compact="0" showAll="0">
      <items count="22">
        <item x="0"/>
        <item x="2"/>
        <item x="1"/>
        <item x="20"/>
        <item x="3"/>
        <item x="4"/>
        <item x="6"/>
        <item x="11"/>
        <item x="12"/>
        <item x="9"/>
        <item x="10"/>
        <item x="8"/>
        <item x="13"/>
        <item x="19"/>
        <item x="5"/>
        <item x="7"/>
        <item x="14"/>
        <item x="15"/>
        <item x="16"/>
        <item x="17"/>
        <item x="18"/>
        <item t="default"/>
      </items>
    </pivotField>
    <pivotField compact="0" showAll="0">
      <items count="15">
        <item x="1"/>
        <item x="0"/>
        <item x="13"/>
        <item x="7"/>
        <item x="3"/>
        <item x="4"/>
        <item x="5"/>
        <item x="2"/>
        <item x="8"/>
        <item x="11"/>
        <item x="9"/>
        <item x="6"/>
        <item x="10"/>
        <item x="12"/>
        <item t="default"/>
      </items>
    </pivotField>
    <pivotField compact="0" showAll="0">
      <items count="64">
        <item x="0"/>
        <item x="62"/>
        <item x="1"/>
        <item x="2"/>
        <item x="3"/>
        <item x="13"/>
        <item x="6"/>
        <item x="17"/>
        <item x="48"/>
        <item x="7"/>
        <item x="10"/>
        <item x="12"/>
        <item x="15"/>
        <item x="16"/>
        <item x="18"/>
        <item x="21"/>
        <item x="33"/>
        <item x="26"/>
        <item x="28"/>
        <item x="30"/>
        <item x="40"/>
        <item x="32"/>
        <item x="38"/>
        <item x="36"/>
        <item x="37"/>
        <item x="35"/>
        <item x="41"/>
        <item x="44"/>
        <item x="47"/>
        <item x="49"/>
        <item x="50"/>
        <item x="51"/>
        <item x="52"/>
        <item x="53"/>
        <item x="54"/>
        <item x="56"/>
        <item x="57"/>
        <item x="58"/>
        <item x="60"/>
        <item x="4"/>
        <item x="5"/>
        <item x="8"/>
        <item x="9"/>
        <item x="11"/>
        <item x="14"/>
        <item x="19"/>
        <item x="20"/>
        <item x="22"/>
        <item x="23"/>
        <item x="24"/>
        <item x="25"/>
        <item x="27"/>
        <item x="29"/>
        <item x="31"/>
        <item x="34"/>
        <item x="39"/>
        <item x="42"/>
        <item x="43"/>
        <item x="45"/>
        <item x="46"/>
        <item x="55"/>
        <item x="59"/>
        <item x="61"/>
        <item t="default"/>
      </items>
    </pivotField>
    <pivotField compact="0" showAll="0">
      <items count="62">
        <item x="1"/>
        <item x="60"/>
        <item x="2"/>
        <item x="4"/>
        <item x="38"/>
        <item x="6"/>
        <item x="32"/>
        <item x="9"/>
        <item x="17"/>
        <item x="36"/>
        <item x="43"/>
        <item x="12"/>
        <item x="13"/>
        <item x="14"/>
        <item x="15"/>
        <item x="16"/>
        <item x="19"/>
        <item x="21"/>
        <item x="18"/>
        <item x="31"/>
        <item x="24"/>
        <item x="33"/>
        <item x="40"/>
        <item x="41"/>
        <item x="42"/>
        <item x="46"/>
        <item x="47"/>
        <item x="49"/>
        <item x="50"/>
        <item x="51"/>
        <item x="52"/>
        <item x="53"/>
        <item x="55"/>
        <item x="56"/>
        <item x="57"/>
        <item x="58"/>
        <item x="0"/>
        <item x="3"/>
        <item x="5"/>
        <item x="7"/>
        <item x="8"/>
        <item x="10"/>
        <item x="11"/>
        <item x="20"/>
        <item x="22"/>
        <item x="23"/>
        <item x="25"/>
        <item x="26"/>
        <item x="27"/>
        <item x="28"/>
        <item x="29"/>
        <item x="30"/>
        <item x="34"/>
        <item x="35"/>
        <item x="37"/>
        <item x="39"/>
        <item x="44"/>
        <item x="45"/>
        <item x="48"/>
        <item x="54"/>
        <item x="59"/>
        <item t="default"/>
      </items>
    </pivotField>
    <pivotField dataField="1" dragToCol="0" dragToPage="0" dragToRow="0" compact="0" showAll="0"/>
    <pivotField dataField="1" dragToCol="0" dragToPage="0" dragToRow="0" compact="0" showAll="0"/>
  </pivotFields>
  <rowFields count="1">
    <field x="0"/>
  </rowFields>
  <rowItems count="1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958">
      <pivotArea dataOnly="0" labelOnly="1" fieldPosition="0">
        <references count="1">
          <reference field="4294967294" count="1">
            <x v="5"/>
          </reference>
        </references>
      </pivotArea>
    </format>
    <format dxfId="959">
      <pivotArea dataOnly="0" labelOnly="1" fieldPosition="0">
        <references count="1">
          <reference field="4294967294" count="1">
            <x v="6"/>
          </reference>
        </references>
      </pivotArea>
    </format>
    <format dxfId="960">
      <pivotArea collapsedLevelsAreSubtotals="1" fieldPosition="0">
        <references count="1">
          <reference field="4294967294" count="1" selected="0">
            <x v="5"/>
          </reference>
        </references>
      </pivotArea>
    </format>
    <format dxfId="961">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7.xml><?xml version="1.0" encoding="utf-8"?>
<pivotTableDefinition xmlns="http://schemas.openxmlformats.org/spreadsheetml/2006/main" name="数据透视表58" cacheId="53"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1:I102" firstHeaderRow="1" firstDataRow="1" firstDataCol="1"/>
  <pivotFields count="14">
    <pivotField compact="0" showAll="0">
      <items count="95">
        <item x="85"/>
        <item x="93"/>
        <item x="30"/>
        <item x="8"/>
        <item x="12"/>
        <item x="10"/>
        <item x="18"/>
        <item x="17"/>
        <item x="27"/>
        <item x="24"/>
        <item x="19"/>
        <item x="14"/>
        <item x="1"/>
        <item x="62"/>
        <item x="23"/>
        <item x="5"/>
        <item x="2"/>
        <item x="11"/>
        <item x="15"/>
        <item x="0"/>
        <item x="3"/>
        <item x="9"/>
        <item x="7"/>
        <item x="48"/>
        <item x="6"/>
        <item x="22"/>
        <item x="21"/>
        <item x="80"/>
        <item x="31"/>
        <item x="38"/>
        <item x="25"/>
        <item x="53"/>
        <item x="68"/>
        <item x="79"/>
        <item x="70"/>
        <item x="34"/>
        <item x="20"/>
        <item x="40"/>
        <item x="63"/>
        <item x="59"/>
        <item x="71"/>
        <item x="29"/>
        <item x="55"/>
        <item x="61"/>
        <item x="41"/>
        <item x="43"/>
        <item x="76"/>
        <item x="77"/>
        <item x="16"/>
        <item x="42"/>
        <item x="86"/>
        <item x="32"/>
        <item x="64"/>
        <item x="51"/>
        <item x="54"/>
        <item x="39"/>
        <item x="49"/>
        <item x="28"/>
        <item x="46"/>
        <item x="74"/>
        <item x="45"/>
        <item x="78"/>
        <item x="60"/>
        <item x="88"/>
        <item x="4"/>
        <item x="56"/>
        <item x="57"/>
        <item x="90"/>
        <item x="69"/>
        <item x="87"/>
        <item x="26"/>
        <item x="83"/>
        <item x="13"/>
        <item x="35"/>
        <item x="33"/>
        <item x="36"/>
        <item x="44"/>
        <item x="37"/>
        <item x="50"/>
        <item x="52"/>
        <item x="47"/>
        <item x="65"/>
        <item x="66"/>
        <item x="72"/>
        <item x="67"/>
        <item x="81"/>
        <item x="82"/>
        <item x="89"/>
        <item x="91"/>
        <item x="58"/>
        <item x="73"/>
        <item x="75"/>
        <item x="84"/>
        <item x="92"/>
        <item t="default"/>
      </items>
    </pivotField>
    <pivotField compact="0" showAll="0">
      <items count="95">
        <item x="85"/>
        <item x="93"/>
        <item x="30"/>
        <item x="8"/>
        <item x="12"/>
        <item x="10"/>
        <item x="18"/>
        <item x="17"/>
        <item x="27"/>
        <item x="24"/>
        <item x="62"/>
        <item x="19"/>
        <item x="14"/>
        <item x="23"/>
        <item x="5"/>
        <item x="9"/>
        <item x="7"/>
        <item x="48"/>
        <item x="6"/>
        <item x="22"/>
        <item x="21"/>
        <item x="11"/>
        <item x="3"/>
        <item x="0"/>
        <item x="80"/>
        <item x="31"/>
        <item x="38"/>
        <item x="25"/>
        <item x="53"/>
        <item x="68"/>
        <item x="79"/>
        <item x="70"/>
        <item x="34"/>
        <item x="1"/>
        <item x="20"/>
        <item x="40"/>
        <item x="63"/>
        <item x="59"/>
        <item x="71"/>
        <item x="29"/>
        <item x="15"/>
        <item x="55"/>
        <item x="61"/>
        <item x="41"/>
        <item x="76"/>
        <item x="77"/>
        <item x="16"/>
        <item x="42"/>
        <item x="86"/>
        <item x="32"/>
        <item x="64"/>
        <item x="51"/>
        <item x="54"/>
        <item x="39"/>
        <item x="49"/>
        <item x="28"/>
        <item x="46"/>
        <item x="74"/>
        <item x="45"/>
        <item x="78"/>
        <item x="60"/>
        <item x="88"/>
        <item x="4"/>
        <item x="56"/>
        <item x="57"/>
        <item x="69"/>
        <item x="87"/>
        <item x="43"/>
        <item x="26"/>
        <item x="83"/>
        <item x="90"/>
        <item x="2"/>
        <item x="13"/>
        <item x="35"/>
        <item x="33"/>
        <item x="36"/>
        <item x="37"/>
        <item x="50"/>
        <item x="52"/>
        <item x="47"/>
        <item x="65"/>
        <item x="66"/>
        <item x="72"/>
        <item x="67"/>
        <item x="81"/>
        <item x="82"/>
        <item x="89"/>
        <item x="91"/>
        <item x="44"/>
        <item x="58"/>
        <item x="73"/>
        <item x="75"/>
        <item x="84"/>
        <item x="92"/>
        <item t="default"/>
      </items>
    </pivotField>
    <pivotField axis="axisRow" compact="0" showAll="0">
      <items count="101">
        <item x="91"/>
        <item x="99"/>
        <item x="30"/>
        <item x="8"/>
        <item x="12"/>
        <item x="10"/>
        <item x="18"/>
        <item x="17"/>
        <item x="27"/>
        <item x="24"/>
        <item x="19"/>
        <item x="14"/>
        <item x="1"/>
        <item x="64"/>
        <item x="23"/>
        <item x="5"/>
        <item x="2"/>
        <item x="11"/>
        <item x="15"/>
        <item x="0"/>
        <item x="3"/>
        <item x="9"/>
        <item x="7"/>
        <item x="49"/>
        <item x="6"/>
        <item x="22"/>
        <item x="21"/>
        <item x="86"/>
        <item x="31"/>
        <item x="38"/>
        <item x="25"/>
        <item x="55"/>
        <item x="70"/>
        <item x="72"/>
        <item x="34"/>
        <item x="85"/>
        <item x="20"/>
        <item x="40"/>
        <item x="65"/>
        <item x="61"/>
        <item x="73"/>
        <item x="29"/>
        <item x="57"/>
        <item x="63"/>
        <item x="41"/>
        <item x="44"/>
        <item x="81"/>
        <item x="82"/>
        <item x="16"/>
        <item x="42"/>
        <item x="92"/>
        <item x="32"/>
        <item x="66"/>
        <item x="53"/>
        <item x="56"/>
        <item x="39"/>
        <item x="51"/>
        <item x="50"/>
        <item x="28"/>
        <item x="47"/>
        <item x="79"/>
        <item x="46"/>
        <item x="83"/>
        <item x="62"/>
        <item x="94"/>
        <item x="4"/>
        <item x="58"/>
        <item x="59"/>
        <item x="96"/>
        <item x="71"/>
        <item x="93"/>
        <item x="26"/>
        <item x="78"/>
        <item x="89"/>
        <item x="13"/>
        <item x="35"/>
        <item x="33"/>
        <item x="43"/>
        <item x="36"/>
        <item x="45"/>
        <item x="37"/>
        <item x="52"/>
        <item x="54"/>
        <item x="48"/>
        <item x="67"/>
        <item x="68"/>
        <item x="74"/>
        <item x="75"/>
        <item x="69"/>
        <item x="84"/>
        <item x="87"/>
        <item x="88"/>
        <item x="95"/>
        <item x="97"/>
        <item x="60"/>
        <item x="76"/>
        <item x="77"/>
        <item x="80"/>
        <item x="90"/>
        <item x="98"/>
        <item t="default"/>
      </items>
    </pivotField>
    <pivotField compact="0" showAll="0">
      <items count="87">
        <item x="85"/>
        <item x="84"/>
        <item x="73"/>
        <item x="81"/>
        <item x="78"/>
        <item x="52"/>
        <item x="66"/>
        <item x="60"/>
        <item x="82"/>
        <item x="61"/>
        <item x="18"/>
        <item x="58"/>
        <item x="31"/>
        <item x="77"/>
        <item x="67"/>
        <item x="38"/>
        <item x="76"/>
        <item x="5"/>
        <item x="10"/>
        <item x="64"/>
        <item x="16"/>
        <item x="40"/>
        <item x="24"/>
        <item x="34"/>
        <item x="54"/>
        <item x="46"/>
        <item x="30"/>
        <item x="50"/>
        <item x="55"/>
        <item x="57"/>
        <item x="74"/>
        <item x="69"/>
        <item x="83"/>
        <item x="0"/>
        <item x="1"/>
        <item x="2"/>
        <item x="3"/>
        <item x="4"/>
        <item x="6"/>
        <item x="7"/>
        <item x="8"/>
        <item x="9"/>
        <item x="11"/>
        <item x="12"/>
        <item x="13"/>
        <item x="14"/>
        <item x="15"/>
        <item x="17"/>
        <item x="19"/>
        <item x="20"/>
        <item x="21"/>
        <item x="22"/>
        <item x="23"/>
        <item x="25"/>
        <item x="26"/>
        <item x="27"/>
        <item x="28"/>
        <item x="29"/>
        <item x="32"/>
        <item x="33"/>
        <item x="35"/>
        <item x="36"/>
        <item x="37"/>
        <item x="39"/>
        <item x="41"/>
        <item x="42"/>
        <item x="43"/>
        <item x="44"/>
        <item x="45"/>
        <item x="47"/>
        <item x="48"/>
        <item x="49"/>
        <item x="51"/>
        <item x="53"/>
        <item x="56"/>
        <item x="59"/>
        <item x="62"/>
        <item x="63"/>
        <item x="65"/>
        <item x="68"/>
        <item x="70"/>
        <item x="71"/>
        <item x="72"/>
        <item x="75"/>
        <item x="79"/>
        <item x="80"/>
        <item t="default"/>
      </items>
    </pivotField>
    <pivotField compact="0" showAll="0">
      <items count="19">
        <item x="13"/>
        <item x="12"/>
        <item x="17"/>
        <item x="4"/>
        <item x="15"/>
        <item x="14"/>
        <item x="9"/>
        <item x="5"/>
        <item x="3"/>
        <item x="0"/>
        <item x="16"/>
        <item x="2"/>
        <item x="1"/>
        <item x="6"/>
        <item x="7"/>
        <item x="8"/>
        <item x="10"/>
        <item x="11"/>
        <item t="default"/>
      </items>
    </pivotField>
    <pivotField compact="0" showAll="0">
      <items count="76">
        <item x="74"/>
        <item x="63"/>
        <item x="55"/>
        <item x="60"/>
        <item x="46"/>
        <item x="16"/>
        <item x="31"/>
        <item x="27"/>
        <item x="53"/>
        <item x="38"/>
        <item x="65"/>
        <item x="72"/>
        <item x="56"/>
        <item x="15"/>
        <item x="47"/>
        <item x="30"/>
        <item x="50"/>
        <item x="57"/>
        <item x="41"/>
        <item x="39"/>
        <item x="36"/>
        <item x="29"/>
        <item x="43"/>
        <item x="51"/>
        <item x="64"/>
        <item x="68"/>
        <item x="66"/>
        <item x="62"/>
        <item x="0"/>
        <item x="1"/>
        <item x="2"/>
        <item x="3"/>
        <item x="4"/>
        <item x="5"/>
        <item x="6"/>
        <item x="7"/>
        <item x="8"/>
        <item x="9"/>
        <item x="10"/>
        <item x="11"/>
        <item x="12"/>
        <item x="13"/>
        <item x="14"/>
        <item x="17"/>
        <item x="18"/>
        <item x="19"/>
        <item x="20"/>
        <item x="21"/>
        <item x="22"/>
        <item x="23"/>
        <item x="24"/>
        <item x="25"/>
        <item x="26"/>
        <item x="28"/>
        <item x="32"/>
        <item x="33"/>
        <item x="34"/>
        <item x="35"/>
        <item x="37"/>
        <item x="40"/>
        <item x="42"/>
        <item x="44"/>
        <item x="45"/>
        <item x="48"/>
        <item x="49"/>
        <item x="52"/>
        <item x="54"/>
        <item x="58"/>
        <item x="59"/>
        <item x="61"/>
        <item x="67"/>
        <item x="69"/>
        <item x="70"/>
        <item x="71"/>
        <item x="73"/>
        <item t="default"/>
      </items>
    </pivotField>
    <pivotField compact="0" showAll="0">
      <items count="19">
        <item x="13"/>
        <item x="17"/>
        <item x="0"/>
        <item x="1"/>
        <item x="2"/>
        <item x="3"/>
        <item x="4"/>
        <item x="5"/>
        <item x="6"/>
        <item x="7"/>
        <item x="8"/>
        <item x="9"/>
        <item x="10"/>
        <item x="11"/>
        <item x="12"/>
        <item x="14"/>
        <item x="15"/>
        <item x="16"/>
        <item t="default"/>
      </items>
    </pivotField>
    <pivotField compact="0" showAll="0">
      <items count="89">
        <item x="87"/>
        <item x="37"/>
        <item x="50"/>
        <item x="76"/>
        <item x="81"/>
        <item x="43"/>
        <item x="41"/>
        <item x="51"/>
        <item x="59"/>
        <item x="44"/>
        <item x="48"/>
        <item x="84"/>
        <item x="26"/>
        <item x="33"/>
        <item x="34"/>
        <item x="46"/>
        <item x="74"/>
        <item x="9"/>
        <item x="62"/>
        <item x="66"/>
        <item x="38"/>
        <item x="61"/>
        <item x="64"/>
        <item x="55"/>
        <item x="85"/>
        <item x="71"/>
        <item x="82"/>
        <item x="72"/>
        <item x="63"/>
        <item x="70"/>
        <item x="28"/>
        <item x="0"/>
        <item x="1"/>
        <item x="2"/>
        <item x="3"/>
        <item x="4"/>
        <item x="5"/>
        <item x="6"/>
        <item x="7"/>
        <item x="8"/>
        <item x="10"/>
        <item x="11"/>
        <item x="12"/>
        <item x="13"/>
        <item x="14"/>
        <item x="15"/>
        <item x="16"/>
        <item x="17"/>
        <item x="18"/>
        <item x="19"/>
        <item x="20"/>
        <item x="21"/>
        <item x="22"/>
        <item x="23"/>
        <item x="24"/>
        <item x="25"/>
        <item x="27"/>
        <item x="29"/>
        <item x="30"/>
        <item x="31"/>
        <item x="32"/>
        <item x="35"/>
        <item x="36"/>
        <item x="39"/>
        <item x="40"/>
        <item x="42"/>
        <item x="45"/>
        <item x="47"/>
        <item x="49"/>
        <item x="52"/>
        <item x="53"/>
        <item x="54"/>
        <item x="56"/>
        <item x="57"/>
        <item x="58"/>
        <item x="60"/>
        <item x="65"/>
        <item x="67"/>
        <item x="68"/>
        <item x="69"/>
        <item x="73"/>
        <item x="75"/>
        <item x="77"/>
        <item x="78"/>
        <item x="79"/>
        <item x="80"/>
        <item x="83"/>
        <item x="86"/>
        <item t="default"/>
      </items>
    </pivotField>
    <pivotField compact="0" showAll="0">
      <items count="24">
        <item x="14"/>
        <item x="12"/>
        <item x="22"/>
        <item x="13"/>
        <item x="18"/>
        <item x="4"/>
        <item x="21"/>
        <item x="19"/>
        <item x="6"/>
        <item x="15"/>
        <item x="16"/>
        <item x="17"/>
        <item x="0"/>
        <item x="3"/>
        <item x="11"/>
        <item x="1"/>
        <item x="2"/>
        <item x="5"/>
        <item x="7"/>
        <item x="8"/>
        <item x="9"/>
        <item x="10"/>
        <item x="20"/>
        <item t="default"/>
      </items>
    </pivotField>
    <pivotField compact="0" showAll="0">
      <items count="77">
        <item x="75"/>
        <item x="51"/>
        <item x="53"/>
        <item x="36"/>
        <item x="39"/>
        <item x="42"/>
        <item x="23"/>
        <item x="54"/>
        <item x="63"/>
        <item x="28"/>
        <item x="22"/>
        <item x="74"/>
        <item x="67"/>
        <item x="50"/>
        <item x="68"/>
        <item x="65"/>
        <item x="25"/>
        <item x="49"/>
        <item x="31"/>
        <item x="47"/>
        <item x="57"/>
        <item x="55"/>
        <item x="18"/>
        <item x="30"/>
        <item x="46"/>
        <item x="48"/>
        <item x="62"/>
        <item x="59"/>
        <item x="56"/>
        <item x="64"/>
        <item x="33"/>
        <item x="52"/>
        <item x="72"/>
        <item x="66"/>
        <item x="0"/>
        <item x="1"/>
        <item x="2"/>
        <item x="3"/>
        <item x="4"/>
        <item x="5"/>
        <item x="6"/>
        <item x="7"/>
        <item x="8"/>
        <item x="9"/>
        <item x="10"/>
        <item x="11"/>
        <item x="12"/>
        <item x="13"/>
        <item x="14"/>
        <item x="15"/>
        <item x="16"/>
        <item x="17"/>
        <item x="19"/>
        <item x="20"/>
        <item x="21"/>
        <item x="24"/>
        <item x="26"/>
        <item x="27"/>
        <item x="29"/>
        <item x="32"/>
        <item x="34"/>
        <item x="35"/>
        <item x="37"/>
        <item x="38"/>
        <item x="40"/>
        <item x="41"/>
        <item x="43"/>
        <item x="44"/>
        <item x="45"/>
        <item x="58"/>
        <item x="60"/>
        <item x="61"/>
        <item x="69"/>
        <item x="70"/>
        <item x="71"/>
        <item x="73"/>
        <item t="default"/>
      </items>
    </pivotField>
    <pivotField compact="0" showAll="0">
      <items count="24">
        <item x="14"/>
        <item x="22"/>
        <item x="0"/>
        <item x="1"/>
        <item x="2"/>
        <item x="3"/>
        <item x="4"/>
        <item x="5"/>
        <item x="6"/>
        <item x="7"/>
        <item x="8"/>
        <item x="9"/>
        <item x="10"/>
        <item x="11"/>
        <item x="12"/>
        <item x="13"/>
        <item x="15"/>
        <item x="16"/>
        <item x="17"/>
        <item x="18"/>
        <item x="19"/>
        <item x="20"/>
        <item x="21"/>
        <item t="default"/>
      </items>
    </pivotField>
    <pivotField compact="0" showAll="0">
      <items count="64">
        <item x="8"/>
        <item x="62"/>
        <item x="50"/>
        <item x="3"/>
        <item x="25"/>
        <item x="4"/>
        <item x="36"/>
        <item x="34"/>
        <item x="38"/>
        <item x="30"/>
        <item x="14"/>
        <item x="41"/>
        <item x="49"/>
        <item x="52"/>
        <item x="0"/>
        <item x="1"/>
        <item x="2"/>
        <item x="5"/>
        <item x="6"/>
        <item x="7"/>
        <item x="9"/>
        <item x="10"/>
        <item x="11"/>
        <item x="12"/>
        <item x="13"/>
        <item x="15"/>
        <item x="16"/>
        <item x="17"/>
        <item x="18"/>
        <item x="19"/>
        <item x="20"/>
        <item x="21"/>
        <item x="22"/>
        <item x="23"/>
        <item x="24"/>
        <item x="26"/>
        <item x="27"/>
        <item x="28"/>
        <item x="29"/>
        <item x="31"/>
        <item x="32"/>
        <item x="33"/>
        <item x="35"/>
        <item x="37"/>
        <item x="39"/>
        <item x="40"/>
        <item x="42"/>
        <item x="43"/>
        <item x="44"/>
        <item x="45"/>
        <item x="46"/>
        <item x="47"/>
        <item x="48"/>
        <item x="51"/>
        <item x="53"/>
        <item x="54"/>
        <item x="55"/>
        <item x="56"/>
        <item x="57"/>
        <item x="58"/>
        <item x="59"/>
        <item x="60"/>
        <item x="61"/>
        <item t="default"/>
      </items>
    </pivotField>
    <pivotField compact="0" showAll="0">
      <items count="9">
        <item x="3"/>
        <item x="0"/>
        <item x="7"/>
        <item x="4"/>
        <item x="1"/>
        <item x="2"/>
        <item x="5"/>
        <item x="6"/>
        <item t="default"/>
      </items>
    </pivotField>
    <pivotField dataField="1" compact="0" showAll="0">
      <items count="35">
        <item x="32"/>
        <item x="30"/>
        <item x="33"/>
        <item x="31"/>
        <item x="28"/>
        <item x="26"/>
        <item x="29"/>
        <item x="21"/>
        <item x="27"/>
        <item x="16"/>
        <item x="10"/>
        <item x="14"/>
        <item x="23"/>
        <item x="22"/>
        <item x="25"/>
        <item x="15"/>
        <item x="18"/>
        <item x="19"/>
        <item x="24"/>
        <item x="0"/>
        <item x="1"/>
        <item x="2"/>
        <item x="3"/>
        <item x="4"/>
        <item x="5"/>
        <item x="6"/>
        <item x="7"/>
        <item x="8"/>
        <item x="9"/>
        <item x="11"/>
        <item x="12"/>
        <item x="13"/>
        <item x="17"/>
        <item x="20"/>
        <item t="default"/>
      </items>
    </pivotField>
  </pivotFields>
  <rowFields count="1">
    <field x="2"/>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8.xml><?xml version="1.0" encoding="utf-8"?>
<pivotTableDefinition xmlns="http://schemas.openxmlformats.org/spreadsheetml/2006/main" name="数据透视表1" cacheId="59"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11:AJ131" firstHeaderRow="0" firstDataRow="1" firstDataCol="1"/>
  <pivotFields count="26">
    <pivotField axis="axisRow" compact="0" showAll="0">
      <items count="20">
        <item x="2"/>
        <item x="5"/>
        <item x="3"/>
        <item x="6"/>
        <item x="4"/>
        <item x="8"/>
        <item x="7"/>
        <item x="1"/>
        <item x="13"/>
        <item x="12"/>
        <item x="10"/>
        <item x="9"/>
        <item x="11"/>
        <item x="0"/>
        <item x="14"/>
        <item x="15"/>
        <item x="16"/>
        <item x="17"/>
        <item x="18"/>
        <item t="default"/>
      </items>
    </pivotField>
    <pivotField compact="0" showAll="0">
      <items count="20">
        <item x="2"/>
        <item x="5"/>
        <item x="6"/>
        <item x="4"/>
        <item x="3"/>
        <item x="7"/>
        <item x="8"/>
        <item x="1"/>
        <item x="13"/>
        <item x="9"/>
        <item x="12"/>
        <item x="11"/>
        <item x="10"/>
        <item x="0"/>
        <item x="14"/>
        <item x="15"/>
        <item x="16"/>
        <item x="17"/>
        <item x="18"/>
        <item t="default"/>
      </items>
    </pivotField>
    <pivotField dataField="1" compact="0" showAll="0">
      <items count="23">
        <item x="21"/>
        <item x="0"/>
        <item x="1"/>
        <item x="2"/>
        <item x="3"/>
        <item x="4"/>
        <item x="5"/>
        <item x="6"/>
        <item x="7"/>
        <item x="8"/>
        <item x="9"/>
        <item x="10"/>
        <item x="11"/>
        <item x="12"/>
        <item x="13"/>
        <item x="14"/>
        <item x="15"/>
        <item x="16"/>
        <item x="17"/>
        <item x="18"/>
        <item x="19"/>
        <item x="20"/>
        <item t="default"/>
      </items>
    </pivotField>
    <pivotField compact="0" showAll="0">
      <items count="4">
        <item x="0"/>
        <item x="2"/>
        <item x="1"/>
        <item t="default"/>
      </items>
    </pivotField>
    <pivotField dataField="1" compact="0" showAll="0">
      <items count="11">
        <item x="0"/>
        <item x="1"/>
        <item x="9"/>
        <item x="3"/>
        <item x="5"/>
        <item x="2"/>
        <item x="4"/>
        <item x="6"/>
        <item x="7"/>
        <item x="8"/>
        <item t="default"/>
      </items>
    </pivotField>
    <pivotField compact="0" showAll="0">
      <items count="18">
        <item x="8"/>
        <item x="0"/>
        <item x="1"/>
        <item x="2"/>
        <item x="3"/>
        <item x="4"/>
        <item x="5"/>
        <item x="6"/>
        <item x="7"/>
        <item x="9"/>
        <item x="10"/>
        <item x="11"/>
        <item x="12"/>
        <item x="13"/>
        <item x="14"/>
        <item x="15"/>
        <item x="16"/>
        <item t="default"/>
      </items>
    </pivotField>
    <pivotField compact="0" showAll="0">
      <items count="16">
        <item x="0"/>
        <item x="11"/>
        <item x="14"/>
        <item x="10"/>
        <item x="7"/>
        <item x="9"/>
        <item x="13"/>
        <item x="1"/>
        <item x="2"/>
        <item x="3"/>
        <item x="4"/>
        <item x="5"/>
        <item x="6"/>
        <item x="8"/>
        <item x="12"/>
        <item t="default"/>
      </items>
    </pivotField>
    <pivotField dataField="1" compact="0" showAll="0">
      <items count="19">
        <item x="0"/>
        <item x="17"/>
        <item x="10"/>
        <item x="13"/>
        <item x="14"/>
        <item x="15"/>
        <item x="16"/>
        <item x="1"/>
        <item x="2"/>
        <item x="3"/>
        <item x="4"/>
        <item x="5"/>
        <item x="6"/>
        <item x="7"/>
        <item x="8"/>
        <item x="9"/>
        <item x="11"/>
        <item x="12"/>
        <item t="default"/>
      </items>
    </pivotField>
    <pivotField compact="0" showAll="0">
      <items count="16">
        <item x="0"/>
        <item x="9"/>
        <item x="12"/>
        <item x="5"/>
        <item x="13"/>
        <item x="14"/>
        <item x="1"/>
        <item x="2"/>
        <item x="3"/>
        <item x="4"/>
        <item x="6"/>
        <item x="7"/>
        <item x="8"/>
        <item x="10"/>
        <item x="11"/>
        <item t="default"/>
      </items>
    </pivotField>
    <pivotField compact="0" showAll="0">
      <items count="3">
        <item x="0"/>
        <item x="1"/>
        <item t="default"/>
      </items>
    </pivotField>
    <pivotField dataField="1" compact="0" showAll="0">
      <items count="10">
        <item x="0"/>
        <item x="7"/>
        <item x="8"/>
        <item x="1"/>
        <item x="2"/>
        <item x="3"/>
        <item x="4"/>
        <item x="5"/>
        <item x="6"/>
        <item t="default"/>
      </items>
    </pivotField>
    <pivotField dataField="1" compact="0" showAll="0">
      <items count="11">
        <item x="1"/>
        <item x="0"/>
        <item x="8"/>
        <item x="9"/>
        <item x="2"/>
        <item x="3"/>
        <item x="4"/>
        <item x="5"/>
        <item x="6"/>
        <item x="7"/>
        <item t="default"/>
      </items>
    </pivotField>
    <pivotField dataField="1" compact="0" showAll="0">
      <items count="9">
        <item x="0"/>
        <item x="7"/>
        <item x="2"/>
        <item x="3"/>
        <item x="5"/>
        <item x="6"/>
        <item x="1"/>
        <item x="4"/>
        <item t="default"/>
      </items>
    </pivotField>
    <pivotField compact="0" showAll="0">
      <items count="9">
        <item x="0"/>
        <item x="7"/>
        <item x="2"/>
        <item x="3"/>
        <item x="6"/>
        <item x="1"/>
        <item x="4"/>
        <item x="5"/>
        <item t="default"/>
      </items>
    </pivotField>
    <pivotField dataField="1" compact="0" showAll="0">
      <items count="9">
        <item x="0"/>
        <item x="7"/>
        <item x="2"/>
        <item x="3"/>
        <item x="6"/>
        <item x="1"/>
        <item x="4"/>
        <item x="5"/>
        <item t="default"/>
      </items>
    </pivotField>
    <pivotField compact="0" showAll="0">
      <items count="9">
        <item x="0"/>
        <item x="7"/>
        <item x="2"/>
        <item x="3"/>
        <item x="5"/>
        <item x="1"/>
        <item x="6"/>
        <item x="4"/>
        <item t="default"/>
      </items>
    </pivotField>
    <pivotField compact="0" showAll="0">
      <items count="9">
        <item x="0"/>
        <item x="7"/>
        <item x="1"/>
        <item x="2"/>
        <item x="3"/>
        <item x="6"/>
        <item x="4"/>
        <item x="5"/>
        <item t="default"/>
      </items>
    </pivotField>
    <pivotField compact="0" showAll="0">
      <items count="9">
        <item x="0"/>
        <item x="7"/>
        <item x="2"/>
        <item x="3"/>
        <item x="6"/>
        <item x="1"/>
        <item x="4"/>
        <item x="5"/>
        <item t="default"/>
      </items>
    </pivotField>
    <pivotField compact="0" showAll="0">
      <items count="10">
        <item x="0"/>
        <item x="7"/>
        <item x="8"/>
        <item x="1"/>
        <item x="2"/>
        <item x="3"/>
        <item x="4"/>
        <item x="5"/>
        <item x="6"/>
        <item t="default"/>
      </items>
    </pivotField>
    <pivotField compact="0" showAll="0">
      <items count="11">
        <item x="1"/>
        <item x="0"/>
        <item x="8"/>
        <item x="9"/>
        <item x="2"/>
        <item x="3"/>
        <item x="4"/>
        <item x="5"/>
        <item x="6"/>
        <item x="7"/>
        <item t="default"/>
      </items>
    </pivotField>
    <pivotField compact="0" showAll="0">
      <items count="9">
        <item x="0"/>
        <item x="7"/>
        <item x="2"/>
        <item x="3"/>
        <item x="5"/>
        <item x="6"/>
        <item x="1"/>
        <item x="4"/>
        <item t="default"/>
      </items>
    </pivotField>
    <pivotField compact="0" showAll="0">
      <items count="9">
        <item x="0"/>
        <item x="7"/>
        <item x="2"/>
        <item x="3"/>
        <item x="6"/>
        <item x="1"/>
        <item x="4"/>
        <item x="5"/>
        <item t="default"/>
      </items>
    </pivotField>
    <pivotField compact="0" showAll="0">
      <items count="9">
        <item x="0"/>
        <item x="7"/>
        <item x="2"/>
        <item x="3"/>
        <item x="6"/>
        <item x="1"/>
        <item x="4"/>
        <item x="5"/>
        <item t="default"/>
      </items>
    </pivotField>
    <pivotField compact="0" showAll="0">
      <items count="9">
        <item x="0"/>
        <item x="7"/>
        <item x="2"/>
        <item x="3"/>
        <item x="5"/>
        <item x="1"/>
        <item x="6"/>
        <item x="4"/>
        <item t="default"/>
      </items>
    </pivotField>
    <pivotField compact="0" showAll="0">
      <items count="9">
        <item x="0"/>
        <item x="7"/>
        <item x="1"/>
        <item x="2"/>
        <item x="3"/>
        <item x="6"/>
        <item x="4"/>
        <item x="5"/>
        <item t="default"/>
      </items>
    </pivotField>
    <pivotField compact="0" showAll="0">
      <items count="9">
        <item x="0"/>
        <item x="7"/>
        <item x="2"/>
        <item x="3"/>
        <item x="6"/>
        <item x="1"/>
        <item x="4"/>
        <item x="5"/>
        <item t="default"/>
      </items>
    </pivotField>
  </pivotFields>
  <rowFields count="1">
    <field x="0"/>
  </rowFields>
  <rowItems count="20">
    <i>
      <x/>
    </i>
    <i>
      <x v="1"/>
    </i>
    <i>
      <x v="2"/>
    </i>
    <i>
      <x v="3"/>
    </i>
    <i>
      <x v="4"/>
    </i>
    <i>
      <x v="5"/>
    </i>
    <i>
      <x v="6"/>
    </i>
    <i>
      <x v="7"/>
    </i>
    <i>
      <x v="8"/>
    </i>
    <i>
      <x v="9"/>
    </i>
    <i>
      <x v="10"/>
    </i>
    <i>
      <x v="11"/>
    </i>
    <i>
      <x v="12"/>
    </i>
    <i>
      <x v="13"/>
    </i>
    <i>
      <x v="14"/>
    </i>
    <i>
      <x v="15"/>
    </i>
    <i>
      <x v="16"/>
    </i>
    <i>
      <x v="17"/>
    </i>
    <i>
      <x v="18"/>
    </i>
    <i t="grand">
      <x/>
    </i>
  </rowItems>
  <colFields count="1">
    <field x="-2"/>
  </colFields>
  <colItems count="7">
    <i>
      <x/>
    </i>
    <i i="1">
      <x v="1"/>
    </i>
    <i i="2">
      <x v="2"/>
    </i>
    <i i="3">
      <x v="3"/>
    </i>
    <i i="4">
      <x v="4"/>
    </i>
    <i i="5">
      <x v="5"/>
    </i>
    <i i="6">
      <x v="6"/>
    </i>
  </colItems>
  <dataFields count="7">
    <dataField name="求和项:展示量" fld="2" baseField="0" baseItem="0"/>
    <dataField name="求和项:点击量" fld="4" baseField="0" baseItem="0"/>
    <dataField name="求和项:花费" fld="7" baseField="0" baseItem="0"/>
    <dataField name="求和项:14天总销售额" fld="14" baseField="0" baseItem="0"/>
    <dataField name="求和项:14天总订单数(#)" fld="12" baseField="0" baseItem="0"/>
    <dataField name="求和项:广告成本销售比(ACOS)" fld="10" baseField="0" baseItem="0"/>
    <dataField name="求和项:投入产出比(ROAS)" fld="11" baseField="0" baseItem="0"/>
  </dataFields>
  <formats count="3">
    <format dxfId="962">
      <pivotArea collapsedLevelsAreSubtotals="1" fieldPosition="0">
        <references count="1">
          <reference field="4294967294" count="1" selected="0">
            <x v="5"/>
          </reference>
        </references>
      </pivotArea>
    </format>
    <format dxfId="963">
      <pivotArea collapsedLevelsAreSubtotals="1" fieldPosition="0">
        <references count="1">
          <reference field="4294967294" count="1" selected="0">
            <x v="6"/>
          </reference>
        </references>
      </pivotArea>
    </format>
    <format dxfId="964">
      <pivotArea collapsedLevelsAreSubtotals="1" fieldPosition="0">
        <references count="1">
          <reference field="4294967294" count="1" selected="0">
            <x v="2"/>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9.xml><?xml version="1.0" encoding="utf-8"?>
<pivotTableDefinition xmlns="http://schemas.openxmlformats.org/spreadsheetml/2006/main" name="数据透视表2" cacheId="57"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K111:R130" firstHeaderRow="0" firstDataRow="1" firstDataCol="1"/>
  <pivotFields count="26">
    <pivotField axis="axisRow" compact="0" showAll="0">
      <items count="19">
        <item x="1"/>
        <item x="2"/>
        <item x="10"/>
        <item x="3"/>
        <item x="11"/>
        <item x="5"/>
        <item x="4"/>
        <item x="0"/>
        <item x="9"/>
        <item x="7"/>
        <item x="6"/>
        <item x="8"/>
        <item x="17"/>
        <item x="12"/>
        <item x="13"/>
        <item x="14"/>
        <item x="15"/>
        <item x="16"/>
        <item t="default"/>
      </items>
    </pivotField>
    <pivotField compact="0" showAll="0">
      <items count="19">
        <item x="1"/>
        <item x="2"/>
        <item x="3"/>
        <item x="11"/>
        <item x="10"/>
        <item x="4"/>
        <item x="5"/>
        <item x="0"/>
        <item x="6"/>
        <item x="9"/>
        <item x="8"/>
        <item x="7"/>
        <item x="17"/>
        <item x="12"/>
        <item x="13"/>
        <item x="14"/>
        <item x="15"/>
        <item x="16"/>
        <item t="default"/>
      </items>
    </pivotField>
    <pivotField dataField="1" compact="0" showAll="0">
      <items count="22">
        <item x="1"/>
        <item x="20"/>
        <item x="0"/>
        <item x="2"/>
        <item x="3"/>
        <item x="4"/>
        <item x="5"/>
        <item x="6"/>
        <item x="7"/>
        <item x="8"/>
        <item x="9"/>
        <item x="10"/>
        <item x="11"/>
        <item x="12"/>
        <item x="13"/>
        <item x="14"/>
        <item x="15"/>
        <item x="16"/>
        <item x="17"/>
        <item x="18"/>
        <item x="19"/>
        <item t="default"/>
      </items>
    </pivotField>
    <pivotField compact="0" showAll="0">
      <items count="4">
        <item x="0"/>
        <item x="2"/>
        <item x="1"/>
        <item t="default"/>
      </items>
    </pivotField>
    <pivotField dataField="1" compact="0" showAll="0">
      <items count="9">
        <item x="0"/>
        <item x="6"/>
        <item x="7"/>
        <item x="3"/>
        <item x="1"/>
        <item x="2"/>
        <item x="4"/>
        <item x="5"/>
        <item t="default"/>
      </items>
    </pivotField>
    <pivotField compact="0" showAll="0">
      <items count="10">
        <item x="0"/>
        <item x="1"/>
        <item x="2"/>
        <item x="3"/>
        <item x="4"/>
        <item x="5"/>
        <item x="6"/>
        <item x="7"/>
        <item x="8"/>
        <item t="default"/>
      </items>
    </pivotField>
    <pivotField compact="0" showAll="0">
      <items count="9">
        <item x="0"/>
        <item x="7"/>
        <item x="5"/>
        <item x="2"/>
        <item x="6"/>
        <item x="1"/>
        <item x="3"/>
        <item x="4"/>
        <item t="default"/>
      </items>
    </pivotField>
    <pivotField dataField="1" compact="0" showAll="0">
      <items count="11">
        <item x="0"/>
        <item x="9"/>
        <item x="4"/>
        <item x="1"/>
        <item x="2"/>
        <item x="3"/>
        <item x="5"/>
        <item x="6"/>
        <item x="7"/>
        <item x="8"/>
        <item t="default"/>
      </items>
    </pivotField>
    <pivotField compact="0" showAll="0">
      <items count="9">
        <item x="0"/>
        <item x="1"/>
        <item x="2"/>
        <item x="3"/>
        <item x="4"/>
        <item x="5"/>
        <item x="6"/>
        <item x="7"/>
        <item t="default"/>
      </items>
    </pivotField>
    <pivotField compact="0" showAll="0">
      <items count="3">
        <item x="0"/>
        <item x="1"/>
        <item t="default"/>
      </items>
    </pivotField>
    <pivotField dataField="1" compact="0" showAll="0">
      <items count="5">
        <item x="0"/>
        <item x="1"/>
        <item x="2"/>
        <item x="3"/>
        <item t="default"/>
      </items>
    </pivotField>
    <pivotField dataField="1" compact="0" showAll="0">
      <items count="6">
        <item x="1"/>
        <item x="0"/>
        <item x="2"/>
        <item x="3"/>
        <item x="4"/>
        <item t="default"/>
      </items>
    </pivotField>
    <pivotField dataField="1" compact="0" showAll="0">
      <items count="5">
        <item x="0"/>
        <item x="3"/>
        <item x="1"/>
        <item x="2"/>
        <item t="default"/>
      </items>
    </pivotField>
    <pivotField compact="0" showAll="0">
      <items count="5">
        <item x="0"/>
        <item x="3"/>
        <item x="1"/>
        <item x="2"/>
        <item t="default"/>
      </items>
    </pivotField>
    <pivotField dataField="1" compact="0" showAll="0">
      <items count="5">
        <item x="0"/>
        <item x="3"/>
        <item x="1"/>
        <item x="2"/>
        <item t="default"/>
      </items>
    </pivotField>
    <pivotField compact="0" showAll="0">
      <items count="5">
        <item x="0"/>
        <item x="3"/>
        <item x="1"/>
        <item x="2"/>
        <item t="default"/>
      </items>
    </pivotField>
    <pivotField compact="0" showAll="0">
      <items count="5">
        <item x="0"/>
        <item x="3"/>
        <item x="1"/>
        <item x="2"/>
        <item t="default"/>
      </items>
    </pivotField>
    <pivotField compact="0" showAll="0">
      <items count="5">
        <item x="0"/>
        <item x="3"/>
        <item x="1"/>
        <item x="2"/>
        <item t="default"/>
      </items>
    </pivotField>
    <pivotField compact="0" showAll="0">
      <items count="5">
        <item x="0"/>
        <item x="1"/>
        <item x="2"/>
        <item x="3"/>
        <item t="default"/>
      </items>
    </pivotField>
    <pivotField compact="0" showAll="0">
      <items count="6">
        <item x="1"/>
        <item x="0"/>
        <item x="2"/>
        <item x="3"/>
        <item x="4"/>
        <item t="default"/>
      </items>
    </pivotField>
    <pivotField compact="0" showAll="0">
      <items count="5">
        <item x="0"/>
        <item x="3"/>
        <item x="1"/>
        <item x="2"/>
        <item t="default"/>
      </items>
    </pivotField>
    <pivotField compact="0" showAll="0">
      <items count="5">
        <item x="0"/>
        <item x="3"/>
        <item x="1"/>
        <item x="2"/>
        <item t="default"/>
      </items>
    </pivotField>
    <pivotField compact="0" showAll="0">
      <items count="5">
        <item x="0"/>
        <item x="3"/>
        <item x="1"/>
        <item x="2"/>
        <item t="default"/>
      </items>
    </pivotField>
    <pivotField compact="0" showAll="0">
      <items count="5">
        <item x="0"/>
        <item x="3"/>
        <item x="1"/>
        <item x="2"/>
        <item t="default"/>
      </items>
    </pivotField>
    <pivotField compact="0" showAll="0">
      <items count="5">
        <item x="0"/>
        <item x="3"/>
        <item x="1"/>
        <item x="2"/>
        <item t="default"/>
      </items>
    </pivotField>
    <pivotField compact="0" showAll="0">
      <items count="5">
        <item x="0"/>
        <item x="3"/>
        <item x="1"/>
        <item x="2"/>
        <item t="default"/>
      </items>
    </pivotField>
  </pivotFields>
  <rowFields count="1">
    <field x="0"/>
  </rowFields>
  <rowItems count="19">
    <i>
      <x/>
    </i>
    <i>
      <x v="1"/>
    </i>
    <i>
      <x v="2"/>
    </i>
    <i>
      <x v="3"/>
    </i>
    <i>
      <x v="4"/>
    </i>
    <i>
      <x v="5"/>
    </i>
    <i>
      <x v="6"/>
    </i>
    <i>
      <x v="7"/>
    </i>
    <i>
      <x v="8"/>
    </i>
    <i>
      <x v="9"/>
    </i>
    <i>
      <x v="10"/>
    </i>
    <i>
      <x v="11"/>
    </i>
    <i>
      <x v="12"/>
    </i>
    <i>
      <x v="13"/>
    </i>
    <i>
      <x v="14"/>
    </i>
    <i>
      <x v="15"/>
    </i>
    <i>
      <x v="16"/>
    </i>
    <i>
      <x v="17"/>
    </i>
    <i t="grand">
      <x/>
    </i>
  </rowItems>
  <colFields count="1">
    <field x="-2"/>
  </colFields>
  <colItems count="7">
    <i>
      <x/>
    </i>
    <i i="1">
      <x v="1"/>
    </i>
    <i i="2">
      <x v="2"/>
    </i>
    <i i="3">
      <x v="3"/>
    </i>
    <i i="4">
      <x v="4"/>
    </i>
    <i i="5">
      <x v="5"/>
    </i>
    <i i="6">
      <x v="6"/>
    </i>
  </colItems>
  <dataFields count="7">
    <dataField name="求和项:展示量" fld="2" baseField="0" baseItem="0"/>
    <dataField name="求和项:点击量" fld="4" baseField="0" baseItem="0"/>
    <dataField name="求和项:花费" fld="7" baseField="0" baseItem="0"/>
    <dataField name="求和项:14天总销售额" fld="14" baseField="0" baseItem="0"/>
    <dataField name="求和项:14天总订单数(#)" fld="12" baseField="0" baseItem="0"/>
    <dataField name="求和项:广告成本销售比(ACOS)" fld="10" baseField="0" baseItem="0" numFmtId="10"/>
    <dataField name="求和项:投入产出比(ROAS)" fld="11" baseField="0" baseItem="0" numFmtId="10"/>
  </dataFields>
  <formats count="3">
    <format dxfId="965">
      <pivotArea collapsedLevelsAreSubtotals="1" fieldPosition="0">
        <references count="1">
          <reference field="4294967294" count="1" selected="0">
            <x v="2"/>
          </reference>
        </references>
      </pivotArea>
    </format>
    <format dxfId="966">
      <pivotArea collapsedLevelsAreSubtotals="1" fieldPosition="0">
        <references count="1">
          <reference field="4294967294" count="1" selected="0">
            <x v="3"/>
          </reference>
        </references>
      </pivotArea>
    </format>
    <format dxfId="967">
      <pivotArea collapsedLevelsAreSubtotals="1" fieldPosition="0">
        <references count="1">
          <reference field="4294967294" count="1" selected="0">
            <x v="4"/>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0.xml><?xml version="1.0" encoding="utf-8"?>
<pivotTableDefinition xmlns="http://schemas.openxmlformats.org/spreadsheetml/2006/main" name="数据透视表3" cacheId="58"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111:AA131" firstHeaderRow="0" firstDataRow="1" firstDataCol="1"/>
  <pivotFields count="26">
    <pivotField axis="axisRow" compact="0" showAll="0">
      <items count="20">
        <item x="2"/>
        <item x="5"/>
        <item x="3"/>
        <item x="6"/>
        <item x="4"/>
        <item x="8"/>
        <item x="7"/>
        <item x="1"/>
        <item x="13"/>
        <item x="12"/>
        <item x="10"/>
        <item x="9"/>
        <item x="11"/>
        <item x="0"/>
        <item x="14"/>
        <item x="15"/>
        <item x="16"/>
        <item x="17"/>
        <item x="18"/>
        <item t="default"/>
      </items>
    </pivotField>
    <pivotField compact="0" showAll="0">
      <items count="20">
        <item x="2"/>
        <item x="5"/>
        <item x="6"/>
        <item x="4"/>
        <item x="3"/>
        <item x="7"/>
        <item x="8"/>
        <item x="1"/>
        <item x="13"/>
        <item x="9"/>
        <item x="12"/>
        <item x="11"/>
        <item x="10"/>
        <item x="0"/>
        <item x="14"/>
        <item x="15"/>
        <item x="16"/>
        <item x="17"/>
        <item x="18"/>
        <item t="default"/>
      </items>
    </pivotField>
    <pivotField dataField="1" compact="0" showAll="0">
      <items count="22">
        <item x="20"/>
        <item x="0"/>
        <item x="19"/>
        <item x="1"/>
        <item x="2"/>
        <item x="3"/>
        <item x="4"/>
        <item x="5"/>
        <item x="6"/>
        <item x="7"/>
        <item x="8"/>
        <item x="9"/>
        <item x="10"/>
        <item x="11"/>
        <item x="12"/>
        <item x="13"/>
        <item x="14"/>
        <item x="15"/>
        <item x="16"/>
        <item x="17"/>
        <item x="18"/>
        <item t="default"/>
      </items>
    </pivotField>
    <pivotField compact="0" showAll="0">
      <items count="4">
        <item x="0"/>
        <item x="2"/>
        <item x="1"/>
        <item t="default"/>
      </items>
    </pivotField>
    <pivotField dataField="1" compact="0" showAll="0">
      <items count="12">
        <item x="0"/>
        <item x="1"/>
        <item x="10"/>
        <item x="4"/>
        <item x="7"/>
        <item x="2"/>
        <item x="3"/>
        <item x="5"/>
        <item x="6"/>
        <item x="8"/>
        <item x="9"/>
        <item t="default"/>
      </items>
    </pivotField>
    <pivotField compact="0" showAll="0">
      <items count="16">
        <item x="8"/>
        <item x="0"/>
        <item x="1"/>
        <item x="2"/>
        <item x="3"/>
        <item x="4"/>
        <item x="5"/>
        <item x="6"/>
        <item x="7"/>
        <item x="9"/>
        <item x="10"/>
        <item x="11"/>
        <item x="12"/>
        <item x="13"/>
        <item x="14"/>
        <item t="default"/>
      </items>
    </pivotField>
    <pivotField compact="0" showAll="0">
      <items count="13">
        <item x="0"/>
        <item x="9"/>
        <item x="11"/>
        <item x="1"/>
        <item x="10"/>
        <item x="4"/>
        <item x="2"/>
        <item x="3"/>
        <item x="5"/>
        <item x="6"/>
        <item x="7"/>
        <item x="8"/>
        <item t="default"/>
      </items>
    </pivotField>
    <pivotField dataField="1" compact="0" showAll="0">
      <items count="17">
        <item x="0"/>
        <item x="15"/>
        <item x="1"/>
        <item x="11"/>
        <item x="13"/>
        <item x="2"/>
        <item x="3"/>
        <item x="4"/>
        <item x="5"/>
        <item x="6"/>
        <item x="7"/>
        <item x="8"/>
        <item x="9"/>
        <item x="10"/>
        <item x="12"/>
        <item x="14"/>
        <item t="default"/>
      </items>
    </pivotField>
    <pivotField compact="0" showAll="0">
      <items count="15">
        <item x="0"/>
        <item x="1"/>
        <item x="10"/>
        <item x="12"/>
        <item x="2"/>
        <item x="3"/>
        <item x="4"/>
        <item x="5"/>
        <item x="6"/>
        <item x="7"/>
        <item x="8"/>
        <item x="9"/>
        <item x="11"/>
        <item x="13"/>
        <item t="default"/>
      </items>
    </pivotField>
    <pivotField compact="0" showAll="0">
      <items count="3">
        <item x="0"/>
        <item x="1"/>
        <item t="default"/>
      </items>
    </pivotField>
    <pivotField dataField="1" compact="0" showAll="0">
      <items count="8">
        <item x="0"/>
        <item x="1"/>
        <item x="2"/>
        <item x="3"/>
        <item x="4"/>
        <item x="5"/>
        <item x="6"/>
        <item t="default"/>
      </items>
    </pivotField>
    <pivotField dataField="1" compact="0" showAll="0">
      <items count="9">
        <item x="1"/>
        <item x="0"/>
        <item x="2"/>
        <item x="3"/>
        <item x="4"/>
        <item x="5"/>
        <item x="6"/>
        <item x="7"/>
        <item t="default"/>
      </items>
    </pivotField>
    <pivotField dataField="1" compact="0" showAll="0">
      <items count="8">
        <item x="0"/>
        <item x="6"/>
        <item x="5"/>
        <item x="2"/>
        <item x="3"/>
        <item x="1"/>
        <item x="4"/>
        <item t="default"/>
      </items>
    </pivotField>
    <pivotField compact="0" showAll="0">
      <items count="8">
        <item x="0"/>
        <item x="6"/>
        <item x="5"/>
        <item x="3"/>
        <item x="2"/>
        <item x="1"/>
        <item x="4"/>
        <item t="default"/>
      </items>
    </pivotField>
    <pivotField dataField="1" compact="0" showAll="0">
      <items count="9">
        <item x="0"/>
        <item x="7"/>
        <item x="2"/>
        <item x="6"/>
        <item x="1"/>
        <item x="3"/>
        <item x="4"/>
        <item x="5"/>
        <item t="default"/>
      </items>
    </pivotField>
    <pivotField compact="0" showAll="0">
      <items count="8">
        <item x="0"/>
        <item x="6"/>
        <item x="5"/>
        <item x="3"/>
        <item x="2"/>
        <item x="1"/>
        <item x="4"/>
        <item t="default"/>
      </items>
    </pivotField>
    <pivotField compact="0" showAll="0">
      <items count="9">
        <item x="0"/>
        <item x="7"/>
        <item x="2"/>
        <item x="6"/>
        <item x="1"/>
        <item x="3"/>
        <item x="4"/>
        <item x="5"/>
        <item t="default"/>
      </items>
    </pivotField>
    <pivotField compact="0" showAll="0">
      <items count="8">
        <item x="0"/>
        <item x="6"/>
        <item x="5"/>
        <item x="3"/>
        <item x="2"/>
        <item x="1"/>
        <item x="4"/>
        <item t="default"/>
      </items>
    </pivotField>
    <pivotField compact="0" showAll="0">
      <items count="8">
        <item x="0"/>
        <item x="1"/>
        <item x="2"/>
        <item x="3"/>
        <item x="4"/>
        <item x="5"/>
        <item x="6"/>
        <item t="default"/>
      </items>
    </pivotField>
    <pivotField compact="0" showAll="0">
      <items count="9">
        <item x="1"/>
        <item x="0"/>
        <item x="2"/>
        <item x="3"/>
        <item x="4"/>
        <item x="5"/>
        <item x="6"/>
        <item x="7"/>
        <item t="default"/>
      </items>
    </pivotField>
    <pivotField compact="0" showAll="0">
      <items count="8">
        <item x="0"/>
        <item x="6"/>
        <item x="5"/>
        <item x="2"/>
        <item x="3"/>
        <item x="1"/>
        <item x="4"/>
        <item t="default"/>
      </items>
    </pivotField>
    <pivotField compact="0" showAll="0">
      <items count="8">
        <item x="0"/>
        <item x="6"/>
        <item x="5"/>
        <item x="3"/>
        <item x="2"/>
        <item x="1"/>
        <item x="4"/>
        <item t="default"/>
      </items>
    </pivotField>
    <pivotField compact="0" showAll="0">
      <items count="9">
        <item x="0"/>
        <item x="7"/>
        <item x="2"/>
        <item x="6"/>
        <item x="1"/>
        <item x="3"/>
        <item x="4"/>
        <item x="5"/>
        <item t="default"/>
      </items>
    </pivotField>
    <pivotField compact="0" showAll="0">
      <items count="8">
        <item x="0"/>
        <item x="6"/>
        <item x="5"/>
        <item x="3"/>
        <item x="2"/>
        <item x="1"/>
        <item x="4"/>
        <item t="default"/>
      </items>
    </pivotField>
    <pivotField compact="0" showAll="0">
      <items count="9">
        <item x="0"/>
        <item x="7"/>
        <item x="2"/>
        <item x="6"/>
        <item x="1"/>
        <item x="3"/>
        <item x="4"/>
        <item x="5"/>
        <item t="default"/>
      </items>
    </pivotField>
    <pivotField compact="0" showAll="0">
      <items count="8">
        <item x="0"/>
        <item x="6"/>
        <item x="5"/>
        <item x="3"/>
        <item x="2"/>
        <item x="1"/>
        <item x="4"/>
        <item t="default"/>
      </items>
    </pivotField>
  </pivotFields>
  <rowFields count="1">
    <field x="0"/>
  </rowFields>
  <rowItems count="20">
    <i>
      <x/>
    </i>
    <i>
      <x v="1"/>
    </i>
    <i>
      <x v="2"/>
    </i>
    <i>
      <x v="3"/>
    </i>
    <i>
      <x v="4"/>
    </i>
    <i>
      <x v="5"/>
    </i>
    <i>
      <x v="6"/>
    </i>
    <i>
      <x v="7"/>
    </i>
    <i>
      <x v="8"/>
    </i>
    <i>
      <x v="9"/>
    </i>
    <i>
      <x v="10"/>
    </i>
    <i>
      <x v="11"/>
    </i>
    <i>
      <x v="12"/>
    </i>
    <i>
      <x v="13"/>
    </i>
    <i>
      <x v="14"/>
    </i>
    <i>
      <x v="15"/>
    </i>
    <i>
      <x v="16"/>
    </i>
    <i>
      <x v="17"/>
    </i>
    <i>
      <x v="18"/>
    </i>
    <i t="grand">
      <x/>
    </i>
  </rowItems>
  <colFields count="1">
    <field x="-2"/>
  </colFields>
  <colItems count="7">
    <i>
      <x/>
    </i>
    <i i="1">
      <x v="1"/>
    </i>
    <i i="2">
      <x v="2"/>
    </i>
    <i i="3">
      <x v="3"/>
    </i>
    <i i="4">
      <x v="4"/>
    </i>
    <i i="5">
      <x v="5"/>
    </i>
    <i i="6">
      <x v="6"/>
    </i>
  </colItems>
  <dataFields count="7">
    <dataField name="求和项:展示量" fld="2" baseField="0" baseItem="0"/>
    <dataField name="求和项:点击量" fld="4" baseField="0" baseItem="0"/>
    <dataField name="求和项:花费" fld="7" baseField="0" baseItem="0"/>
    <dataField name="求和项:14天总销售额" fld="14" baseField="0" baseItem="0"/>
    <dataField name="求和项:14天总订单数(#)" fld="12" baseField="0" baseItem="0"/>
    <dataField name="求和项:广告成本销售比(ACOS)" fld="10" baseField="0" baseItem="0"/>
    <dataField name="求和项:投入产出比(ROAS)" fld="11" baseField="0" baseItem="0"/>
  </dataFields>
  <formats count="4">
    <format dxfId="968">
      <pivotArea collapsedLevelsAreSubtotals="1" fieldPosition="0">
        <references count="1">
          <reference field="4294967294" count="1" selected="0">
            <x v="5"/>
          </reference>
        </references>
      </pivotArea>
    </format>
    <format dxfId="969">
      <pivotArea collapsedLevelsAreSubtotals="1" fieldPosition="0">
        <references count="1">
          <reference field="4294967294" count="1" selected="0">
            <x v="6"/>
          </reference>
        </references>
      </pivotArea>
    </format>
    <format dxfId="970">
      <pivotArea collapsedLevelsAreSubtotals="1" fieldPosition="0">
        <references count="1">
          <reference field="4294967294" count="1" selected="0">
            <x v="2"/>
          </reference>
        </references>
      </pivotArea>
    </format>
    <format dxfId="971">
      <pivotArea collapsedLevelsAreSubtotals="1" fieldPosition="0">
        <references count="1">
          <reference field="4294967294" count="1" selected="0">
            <x v="3"/>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1.xml><?xml version="1.0" encoding="utf-8"?>
<pivotTableDefinition xmlns="http://schemas.openxmlformats.org/spreadsheetml/2006/main" name="数据透视表55" cacheId="64"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1:AA22" firstHeaderRow="0" firstDataRow="1" firstDataCol="1"/>
  <pivotFields count="19">
    <pivotField axis="axisRow" compact="0" showAll="0">
      <items count="21">
        <item x="19"/>
        <item x="0"/>
        <item x="1"/>
        <item x="2"/>
        <item x="3"/>
        <item x="4"/>
        <item x="5"/>
        <item x="6"/>
        <item x="7"/>
        <item x="8"/>
        <item x="9"/>
        <item x="10"/>
        <item x="11"/>
        <item x="12"/>
        <item x="13"/>
        <item x="14"/>
        <item x="15"/>
        <item x="16"/>
        <item x="17"/>
        <item x="18"/>
        <item t="default"/>
      </items>
    </pivotField>
    <pivotField compact="0" showAll="0">
      <items count="21">
        <item x="19"/>
        <item x="0"/>
        <item x="1"/>
        <item x="2"/>
        <item x="3"/>
        <item x="4"/>
        <item x="5"/>
        <item x="6"/>
        <item x="7"/>
        <item x="8"/>
        <item x="9"/>
        <item x="10"/>
        <item x="11"/>
        <item x="12"/>
        <item x="13"/>
        <item x="14"/>
        <item x="15"/>
        <item x="16"/>
        <item x="17"/>
        <item x="18"/>
        <item t="default"/>
      </items>
    </pivotField>
    <pivotField dataField="1" compact="0" showAll="0">
      <items count="39">
        <item x="37"/>
        <item x="29"/>
        <item x="0"/>
        <item x="1"/>
        <item x="2"/>
        <item x="3"/>
        <item x="4"/>
        <item x="5"/>
        <item x="6"/>
        <item x="7"/>
        <item x="8"/>
        <item x="9"/>
        <item x="10"/>
        <item x="11"/>
        <item x="12"/>
        <item x="13"/>
        <item x="14"/>
        <item x="15"/>
        <item x="16"/>
        <item x="17"/>
        <item x="18"/>
        <item x="19"/>
        <item x="20"/>
        <item x="21"/>
        <item x="22"/>
        <item x="23"/>
        <item x="24"/>
        <item x="25"/>
        <item x="26"/>
        <item x="27"/>
        <item x="28"/>
        <item x="30"/>
        <item x="31"/>
        <item x="32"/>
        <item x="33"/>
        <item x="34"/>
        <item x="35"/>
        <item x="36"/>
        <item t="default"/>
      </items>
    </pivotField>
    <pivotField dataField="1" compact="0" showAll="0">
      <items count="14">
        <item x="0"/>
        <item x="7"/>
        <item x="5"/>
        <item x="1"/>
        <item x="12"/>
        <item x="9"/>
        <item x="11"/>
        <item x="2"/>
        <item x="3"/>
        <item x="4"/>
        <item x="6"/>
        <item x="8"/>
        <item x="10"/>
        <item t="default"/>
      </items>
    </pivotField>
    <pivotField compact="0" showAll="0">
      <items count="27">
        <item x="0"/>
        <item x="25"/>
        <item x="20"/>
        <item x="1"/>
        <item x="2"/>
        <item x="3"/>
        <item x="4"/>
        <item x="5"/>
        <item x="6"/>
        <item x="7"/>
        <item x="8"/>
        <item x="9"/>
        <item x="10"/>
        <item x="11"/>
        <item x="12"/>
        <item x="13"/>
        <item x="14"/>
        <item x="15"/>
        <item x="16"/>
        <item x="17"/>
        <item x="18"/>
        <item x="19"/>
        <item x="21"/>
        <item x="22"/>
        <item x="23"/>
        <item x="24"/>
        <item t="default"/>
      </items>
    </pivotField>
    <pivotField compact="0" showAll="0">
      <items count="24">
        <item x="0"/>
        <item x="7"/>
        <item x="6"/>
        <item x="12"/>
        <item x="13"/>
        <item x="9"/>
        <item x="1"/>
        <item x="2"/>
        <item x="3"/>
        <item x="4"/>
        <item x="5"/>
        <item x="8"/>
        <item x="10"/>
        <item x="11"/>
        <item x="14"/>
        <item x="15"/>
        <item x="16"/>
        <item x="17"/>
        <item x="18"/>
        <item x="19"/>
        <item x="20"/>
        <item x="21"/>
        <item x="22"/>
        <item t="default"/>
      </items>
    </pivotField>
    <pivotField dataField="1" compact="0" showAll="0">
      <items count="26">
        <item x="0"/>
        <item x="24"/>
        <item x="7"/>
        <item x="9"/>
        <item x="19"/>
        <item x="1"/>
        <item x="2"/>
        <item x="3"/>
        <item x="4"/>
        <item x="5"/>
        <item x="6"/>
        <item x="8"/>
        <item x="10"/>
        <item x="11"/>
        <item x="12"/>
        <item x="13"/>
        <item x="14"/>
        <item x="15"/>
        <item x="16"/>
        <item x="17"/>
        <item x="18"/>
        <item x="20"/>
        <item x="21"/>
        <item x="22"/>
        <item x="23"/>
        <item t="default"/>
      </items>
    </pivotField>
    <pivotField dataField="1" compact="0" showAll="0">
      <items count="8">
        <item x="0"/>
        <item x="6"/>
        <item x="2"/>
        <item x="1"/>
        <item x="3"/>
        <item x="4"/>
        <item x="5"/>
        <item t="default"/>
      </items>
    </pivotField>
    <pivotField compact="0" showAll="0">
      <items count="11">
        <item x="0"/>
        <item x="1"/>
        <item x="2"/>
        <item x="3"/>
        <item x="4"/>
        <item x="5"/>
        <item x="6"/>
        <item x="7"/>
        <item x="8"/>
        <item x="9"/>
        <item t="default"/>
      </items>
    </pivotField>
    <pivotField compact="0" showAll="0">
      <items count="12">
        <item x="1"/>
        <item x="0"/>
        <item x="2"/>
        <item x="3"/>
        <item x="4"/>
        <item x="5"/>
        <item x="6"/>
        <item x="7"/>
        <item x="8"/>
        <item x="9"/>
        <item x="10"/>
        <item t="default"/>
      </items>
    </pivotField>
    <pivotField dataField="1" compact="0" showAll="0">
      <items count="6">
        <item x="0"/>
        <item x="2"/>
        <item x="4"/>
        <item x="1"/>
        <item x="3"/>
        <item t="default"/>
      </items>
    </pivotField>
    <pivotField compact="0" showAll="0">
      <items count="6">
        <item x="0"/>
        <item x="2"/>
        <item x="4"/>
        <item x="1"/>
        <item x="3"/>
        <item t="default"/>
      </items>
    </pivotField>
    <pivotField compact="0" showAll="0">
      <items count="11">
        <item x="1"/>
        <item x="0"/>
        <item x="4"/>
        <item x="2"/>
        <item x="3"/>
        <item x="5"/>
        <item x="6"/>
        <item x="7"/>
        <item x="8"/>
        <item x="9"/>
        <item t="default"/>
      </items>
    </pivotField>
    <pivotField compact="0" showAll="0">
      <items count="4">
        <item x="0"/>
        <item x="1"/>
        <item x="2"/>
        <item t="default"/>
      </items>
    </pivotField>
    <pivotField compact="0" showAll="0">
      <items count="5">
        <item x="0"/>
        <item x="2"/>
        <item x="3"/>
        <item x="1"/>
        <item t="default"/>
      </items>
    </pivotField>
    <pivotField compact="0" showAll="0">
      <items count="6">
        <item x="0"/>
        <item x="4"/>
        <item x="2"/>
        <item x="1"/>
        <item x="3"/>
        <item t="default"/>
      </items>
    </pivotField>
    <pivotField compact="0" showAll="0">
      <items count="6">
        <item x="0"/>
        <item x="4"/>
        <item x="2"/>
        <item x="1"/>
        <item x="3"/>
        <item t="default"/>
      </items>
    </pivotField>
    <pivotField dataField="1" dragToCol="0" dragToPage="0" dragToRow="0" compact="0" showAll="0"/>
    <pivotField dataField="1" dragToCol="0" dragToPage="0" dragToRow="0" compact="0"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15天ACOS" fld="17" baseField="0" baseItem="0"/>
    <dataField name="求和项:15天转化率" fld="18" baseField="0" baseItem="0"/>
  </dataFields>
  <formats count="4">
    <format dxfId="972">
      <pivotArea dataOnly="0" labelOnly="1" fieldPosition="0">
        <references count="1">
          <reference field="4294967294" count="1">
            <x v="5"/>
          </reference>
        </references>
      </pivotArea>
    </format>
    <format dxfId="973">
      <pivotArea dataOnly="0" labelOnly="1" fieldPosition="0">
        <references count="1">
          <reference field="4294967294" count="1">
            <x v="6"/>
          </reference>
        </references>
      </pivotArea>
    </format>
    <format dxfId="974">
      <pivotArea collapsedLevelsAreSubtotals="1" fieldPosition="0">
        <references count="1">
          <reference field="4294967294" count="1" selected="0">
            <x v="5"/>
          </reference>
        </references>
      </pivotArea>
    </format>
    <format dxfId="975">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2.xml><?xml version="1.0" encoding="utf-8"?>
<pivotTableDefinition xmlns="http://schemas.openxmlformats.org/spreadsheetml/2006/main" name="数据透视表56" cacheId="6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B1:C12" firstHeaderRow="1" firstDataRow="1" firstDataCol="1"/>
  <pivotFields count="14">
    <pivotField compact="0" showAll="0">
      <items count="11">
        <item x="9"/>
        <item x="4"/>
        <item x="7"/>
        <item x="0"/>
        <item x="1"/>
        <item x="2"/>
        <item x="3"/>
        <item x="5"/>
        <item x="6"/>
        <item x="8"/>
        <item t="default"/>
      </items>
    </pivotField>
    <pivotField compact="0" showAll="0">
      <items count="11">
        <item x="9"/>
        <item x="4"/>
        <item x="7"/>
        <item x="0"/>
        <item x="1"/>
        <item x="2"/>
        <item x="3"/>
        <item x="5"/>
        <item x="6"/>
        <item x="8"/>
        <item t="default"/>
      </items>
    </pivotField>
    <pivotField axis="axisRow" compact="0" showAll="0">
      <items count="11">
        <item x="9"/>
        <item x="4"/>
        <item x="7"/>
        <item x="0"/>
        <item x="1"/>
        <item x="2"/>
        <item x="3"/>
        <item x="5"/>
        <item x="6"/>
        <item x="8"/>
        <item t="default"/>
      </items>
    </pivotField>
    <pivotField compact="0" showAll="0">
      <items count="9">
        <item x="7"/>
        <item x="2"/>
        <item x="0"/>
        <item x="1"/>
        <item x="3"/>
        <item x="4"/>
        <item x="5"/>
        <item x="6"/>
        <item t="default"/>
      </items>
    </pivotField>
    <pivotField compact="0" showAll="0">
      <items count="4">
        <item x="0"/>
        <item x="2"/>
        <item x="1"/>
        <item t="default"/>
      </items>
    </pivotField>
    <pivotField compact="0" showAll="0">
      <items count="9">
        <item x="7"/>
        <item x="0"/>
        <item x="1"/>
        <item x="2"/>
        <item x="3"/>
        <item x="4"/>
        <item x="5"/>
        <item x="6"/>
        <item t="default"/>
      </items>
    </pivotField>
    <pivotField compact="0" showAll="0">
      <items count="4">
        <item x="0"/>
        <item x="2"/>
        <item x="1"/>
        <item t="default"/>
      </items>
    </pivotField>
    <pivotField compact="0" showAll="0">
      <items count="10">
        <item x="8"/>
        <item x="2"/>
        <item x="0"/>
        <item x="1"/>
        <item x="3"/>
        <item x="4"/>
        <item x="5"/>
        <item x="6"/>
        <item x="7"/>
        <item t="default"/>
      </items>
    </pivotField>
    <pivotField compact="0" showAll="0">
      <items count="5">
        <item x="0"/>
        <item x="3"/>
        <item x="1"/>
        <item x="2"/>
        <item t="default"/>
      </items>
    </pivotField>
    <pivotField compact="0" showAll="0">
      <items count="10">
        <item x="8"/>
        <item x="0"/>
        <item x="1"/>
        <item x="2"/>
        <item x="3"/>
        <item x="4"/>
        <item x="5"/>
        <item x="6"/>
        <item x="7"/>
        <item t="default"/>
      </items>
    </pivotField>
    <pivotField compact="0" showAll="0">
      <items count="5">
        <item x="0"/>
        <item x="3"/>
        <item x="1"/>
        <item x="2"/>
        <item t="default"/>
      </items>
    </pivotField>
    <pivotField compact="0" showAll="0">
      <items count="3">
        <item x="0"/>
        <item x="1"/>
        <item t="default"/>
      </items>
    </pivotField>
    <pivotField compact="0" showAll="0">
      <items count="4">
        <item x="0"/>
        <item x="2"/>
        <item x="1"/>
        <item t="default"/>
      </items>
    </pivotField>
    <pivotField dataField="1" compact="0" showAll="0">
      <items count="4">
        <item x="1"/>
        <item x="2"/>
        <item x="0"/>
        <item t="default"/>
      </items>
    </pivotField>
  </pivotFields>
  <rowFields count="1">
    <field x="2"/>
  </rowFields>
  <rowItems count="11">
    <i>
      <x/>
    </i>
    <i>
      <x v="1"/>
    </i>
    <i>
      <x v="2"/>
    </i>
    <i>
      <x v="3"/>
    </i>
    <i>
      <x v="4"/>
    </i>
    <i>
      <x v="5"/>
    </i>
    <i>
      <x v="6"/>
    </i>
    <i>
      <x v="7"/>
    </i>
    <i>
      <x v="8"/>
    </i>
    <i>
      <x v="9"/>
    </i>
    <i t="grand">
      <x/>
    </i>
  </rowItems>
  <colItems count="1">
    <i/>
  </colItems>
  <dataFields count="1">
    <dataField name="求和项:已订购商品数量" fld="13" baseField="2"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3.xml><?xml version="1.0" encoding="utf-8"?>
<pivotTableDefinition xmlns="http://schemas.openxmlformats.org/spreadsheetml/2006/main" name="数据透视表57" cacheId="63"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K1:R22" firstHeaderRow="0" firstDataRow="1" firstDataCol="1"/>
  <pivotFields count="19">
    <pivotField axis="axisRow" compact="0" showAll="0">
      <items count="21">
        <item x="19"/>
        <item x="0"/>
        <item x="1"/>
        <item x="2"/>
        <item x="3"/>
        <item x="4"/>
        <item x="5"/>
        <item x="6"/>
        <item x="7"/>
        <item x="8"/>
        <item x="9"/>
        <item x="10"/>
        <item x="11"/>
        <item x="12"/>
        <item x="13"/>
        <item x="14"/>
        <item x="15"/>
        <item x="16"/>
        <item x="17"/>
        <item x="18"/>
        <item t="default"/>
      </items>
    </pivotField>
    <pivotField compact="0" showAll="0">
      <items count="21">
        <item x="19"/>
        <item x="0"/>
        <item x="1"/>
        <item x="2"/>
        <item x="3"/>
        <item x="4"/>
        <item x="5"/>
        <item x="6"/>
        <item x="7"/>
        <item x="8"/>
        <item x="9"/>
        <item x="10"/>
        <item x="11"/>
        <item x="12"/>
        <item x="13"/>
        <item x="14"/>
        <item x="15"/>
        <item x="16"/>
        <item x="17"/>
        <item x="18"/>
        <item t="default"/>
      </items>
    </pivotField>
    <pivotField dataField="1" compact="0" showAll="0">
      <items count="38">
        <item x="36"/>
        <item x="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compact="0" showAll="0">
      <items count="13">
        <item x="0"/>
        <item x="6"/>
        <item x="1"/>
        <item x="5"/>
        <item x="4"/>
        <item x="7"/>
        <item x="11"/>
        <item x="9"/>
        <item x="2"/>
        <item x="3"/>
        <item x="8"/>
        <item x="10"/>
        <item t="default"/>
      </items>
    </pivotField>
    <pivotField compact="0" showAll="0">
      <items count="25">
        <item x="0"/>
        <item x="23"/>
        <item x="1"/>
        <item x="2"/>
        <item x="3"/>
        <item x="4"/>
        <item x="5"/>
        <item x="6"/>
        <item x="7"/>
        <item x="8"/>
        <item x="9"/>
        <item x="10"/>
        <item x="11"/>
        <item x="12"/>
        <item x="13"/>
        <item x="14"/>
        <item x="15"/>
        <item x="16"/>
        <item x="17"/>
        <item x="18"/>
        <item x="19"/>
        <item x="20"/>
        <item x="21"/>
        <item x="22"/>
        <item t="default"/>
      </items>
    </pivotField>
    <pivotField compact="0" showAll="0">
      <items count="20">
        <item x="0"/>
        <item x="5"/>
        <item x="9"/>
        <item x="1"/>
        <item x="2"/>
        <item x="3"/>
        <item x="4"/>
        <item x="6"/>
        <item x="7"/>
        <item x="8"/>
        <item x="10"/>
        <item x="11"/>
        <item x="12"/>
        <item x="13"/>
        <item x="14"/>
        <item x="15"/>
        <item x="16"/>
        <item x="17"/>
        <item x="18"/>
        <item t="default"/>
      </items>
    </pivotField>
    <pivotField dataField="1" compact="0" showAll="0">
      <items count="22">
        <item x="0"/>
        <item x="20"/>
        <item x="10"/>
        <item x="17"/>
        <item x="6"/>
        <item x="1"/>
        <item x="2"/>
        <item x="3"/>
        <item x="4"/>
        <item x="5"/>
        <item x="7"/>
        <item x="8"/>
        <item x="9"/>
        <item x="11"/>
        <item x="12"/>
        <item x="13"/>
        <item x="14"/>
        <item x="15"/>
        <item x="16"/>
        <item x="18"/>
        <item x="19"/>
        <item t="default"/>
      </items>
    </pivotField>
    <pivotField dataField="1" compact="0" showAll="0">
      <items count="7">
        <item x="0"/>
        <item x="5"/>
        <item x="2"/>
        <item x="1"/>
        <item x="3"/>
        <item x="4"/>
        <item t="default"/>
      </items>
    </pivotField>
    <pivotField compact="0" showAll="0">
      <items count="8">
        <item x="0"/>
        <item x="1"/>
        <item x="2"/>
        <item x="3"/>
        <item x="4"/>
        <item x="5"/>
        <item x="6"/>
        <item t="default"/>
      </items>
    </pivotField>
    <pivotField compact="0" showAll="0">
      <items count="9">
        <item x="1"/>
        <item x="0"/>
        <item x="2"/>
        <item x="3"/>
        <item x="4"/>
        <item x="5"/>
        <item x="6"/>
        <item x="7"/>
        <item t="default"/>
      </items>
    </pivotField>
    <pivotField dataField="1" compact="0" showAll="0">
      <items count="5">
        <item x="0"/>
        <item x="2"/>
        <item x="3"/>
        <item x="1"/>
        <item t="default"/>
      </items>
    </pivotField>
    <pivotField compact="0" showAll="0">
      <items count="5">
        <item x="0"/>
        <item x="2"/>
        <item x="3"/>
        <item x="1"/>
        <item t="default"/>
      </items>
    </pivotField>
    <pivotField compact="0" showAll="0">
      <items count="9">
        <item x="1"/>
        <item x="0"/>
        <item x="4"/>
        <item x="7"/>
        <item x="2"/>
        <item x="3"/>
        <item x="5"/>
        <item x="6"/>
        <item t="default"/>
      </items>
    </pivotField>
    <pivotField compact="0" showAll="0">
      <items count="4">
        <item x="0"/>
        <item x="1"/>
        <item x="2"/>
        <item t="default"/>
      </items>
    </pivotField>
    <pivotField compact="0" showAll="0">
      <items count="4">
        <item x="0"/>
        <item x="1"/>
        <item x="2"/>
        <item t="default"/>
      </items>
    </pivotField>
    <pivotField compact="0" showAll="0">
      <items count="6">
        <item x="0"/>
        <item x="4"/>
        <item x="2"/>
        <item x="1"/>
        <item x="3"/>
        <item t="default"/>
      </items>
    </pivotField>
    <pivotField compact="0" showAll="0">
      <items count="5">
        <item x="0"/>
        <item x="3"/>
        <item x="1"/>
        <item x="2"/>
        <item t="default"/>
      </items>
    </pivotField>
    <pivotField dataField="1" dragToCol="0" dragToPage="0" dragToRow="0" compact="0" showAll="0"/>
    <pivotField dataField="1" dragToCol="0" dragToPage="0" dragToRow="0" compact="0"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7天ACOS" fld="17" baseField="0" baseItem="0"/>
    <dataField name="求和项:7天转化率" fld="18" baseField="0" baseItem="0"/>
  </dataFields>
  <formats count="4">
    <format dxfId="976">
      <pivotArea dataOnly="0" labelOnly="1" fieldPosition="0">
        <references count="1">
          <reference field="4294967294" count="1">
            <x v="5"/>
          </reference>
        </references>
      </pivotArea>
    </format>
    <format dxfId="977">
      <pivotArea dataOnly="0" labelOnly="1" fieldPosition="0">
        <references count="1">
          <reference field="4294967294" count="1">
            <x v="6"/>
          </reference>
        </references>
      </pivotArea>
    </format>
    <format dxfId="978">
      <pivotArea collapsedLevelsAreSubtotals="1" fieldPosition="0">
        <references count="1">
          <reference field="4294967294" count="1" selected="0">
            <x v="5"/>
          </reference>
        </references>
      </pivotArea>
    </format>
    <format dxfId="979">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4.xml><?xml version="1.0" encoding="utf-8"?>
<pivotTableDefinition xmlns="http://schemas.openxmlformats.org/spreadsheetml/2006/main" name="数据透视表59" cacheId="65"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C1:AJ22" firstHeaderRow="0" firstDataRow="1" firstDataCol="1"/>
  <pivotFields count="19">
    <pivotField axis="axisRow" compact="0" showAll="0">
      <items count="21">
        <item x="19"/>
        <item x="0"/>
        <item x="1"/>
        <item x="2"/>
        <item x="3"/>
        <item x="4"/>
        <item x="5"/>
        <item x="6"/>
        <item x="7"/>
        <item x="8"/>
        <item x="9"/>
        <item x="10"/>
        <item x="11"/>
        <item x="12"/>
        <item x="13"/>
        <item x="14"/>
        <item x="15"/>
        <item x="16"/>
        <item x="17"/>
        <item x="18"/>
        <item t="default"/>
      </items>
    </pivotField>
    <pivotField compact="0" showAll="0">
      <items count="21">
        <item x="19"/>
        <item x="0"/>
        <item x="1"/>
        <item x="2"/>
        <item x="3"/>
        <item x="4"/>
        <item x="5"/>
        <item x="6"/>
        <item x="7"/>
        <item x="8"/>
        <item x="9"/>
        <item x="10"/>
        <item x="11"/>
        <item x="12"/>
        <item x="13"/>
        <item x="14"/>
        <item x="15"/>
        <item x="16"/>
        <item x="17"/>
        <item x="18"/>
        <item t="default"/>
      </items>
    </pivotField>
    <pivotField dataField="1" compact="0" showAll="0">
      <items count="40">
        <item x="38"/>
        <item x="4"/>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dataField="1" compact="0" showAll="0">
      <items count="14">
        <item x="0"/>
        <item x="7"/>
        <item x="5"/>
        <item x="6"/>
        <item x="12"/>
        <item x="1"/>
        <item x="2"/>
        <item x="3"/>
        <item x="4"/>
        <item x="8"/>
        <item x="9"/>
        <item x="10"/>
        <item x="11"/>
        <item t="default"/>
      </items>
    </pivotField>
    <pivotField compact="0" showAll="0">
      <items count="30">
        <item x="0"/>
        <item x="28"/>
        <item x="1"/>
        <item x="2"/>
        <item x="3"/>
        <item x="4"/>
        <item x="5"/>
        <item x="6"/>
        <item x="7"/>
        <item x="8"/>
        <item x="9"/>
        <item x="10"/>
        <item x="11"/>
        <item x="12"/>
        <item x="13"/>
        <item x="14"/>
        <item x="15"/>
        <item x="16"/>
        <item x="17"/>
        <item x="18"/>
        <item x="19"/>
        <item x="20"/>
        <item x="21"/>
        <item x="22"/>
        <item x="23"/>
        <item x="24"/>
        <item x="25"/>
        <item x="26"/>
        <item x="27"/>
        <item t="default"/>
      </items>
    </pivotField>
    <pivotField compact="0" showAll="0">
      <items count="26">
        <item x="0"/>
        <item x="7"/>
        <item x="6"/>
        <item x="9"/>
        <item x="12"/>
        <item x="20"/>
        <item x="1"/>
        <item x="2"/>
        <item x="3"/>
        <item x="4"/>
        <item x="5"/>
        <item x="8"/>
        <item x="10"/>
        <item x="11"/>
        <item x="13"/>
        <item x="14"/>
        <item x="15"/>
        <item x="16"/>
        <item x="17"/>
        <item x="18"/>
        <item x="19"/>
        <item x="21"/>
        <item x="22"/>
        <item x="23"/>
        <item x="24"/>
        <item t="default"/>
      </items>
    </pivotField>
    <pivotField dataField="1" compact="0" showAll="0">
      <items count="28">
        <item x="0"/>
        <item x="26"/>
        <item x="7"/>
        <item x="9"/>
        <item x="21"/>
        <item x="20"/>
        <item x="1"/>
        <item x="2"/>
        <item x="3"/>
        <item x="4"/>
        <item x="5"/>
        <item x="6"/>
        <item x="8"/>
        <item x="10"/>
        <item x="11"/>
        <item x="12"/>
        <item x="13"/>
        <item x="14"/>
        <item x="15"/>
        <item x="16"/>
        <item x="17"/>
        <item x="18"/>
        <item x="19"/>
        <item x="22"/>
        <item x="23"/>
        <item x="24"/>
        <item x="25"/>
        <item t="default"/>
      </items>
    </pivotField>
    <pivotField dataField="1" compact="0" showAll="0">
      <items count="8">
        <item x="0"/>
        <item x="6"/>
        <item x="2"/>
        <item x="1"/>
        <item x="3"/>
        <item x="4"/>
        <item x="5"/>
        <item t="default"/>
      </items>
    </pivotField>
    <pivotField compact="0" showAll="0">
      <items count="11">
        <item x="0"/>
        <item x="3"/>
        <item x="1"/>
        <item x="2"/>
        <item x="4"/>
        <item x="5"/>
        <item x="6"/>
        <item x="7"/>
        <item x="8"/>
        <item x="9"/>
        <item t="default"/>
      </items>
    </pivotField>
    <pivotField compact="0" showAll="0">
      <items count="12">
        <item x="1"/>
        <item x="0"/>
        <item x="4"/>
        <item x="2"/>
        <item x="3"/>
        <item x="5"/>
        <item x="6"/>
        <item x="7"/>
        <item x="8"/>
        <item x="9"/>
        <item x="10"/>
        <item t="default"/>
      </items>
    </pivotField>
    <pivotField dataField="1" compact="0" showAll="0">
      <items count="6">
        <item x="0"/>
        <item x="2"/>
        <item x="4"/>
        <item x="1"/>
        <item x="3"/>
        <item t="default"/>
      </items>
    </pivotField>
    <pivotField compact="0" showAll="0">
      <items count="6">
        <item x="0"/>
        <item x="2"/>
        <item x="4"/>
        <item x="1"/>
        <item x="3"/>
        <item t="default"/>
      </items>
    </pivotField>
    <pivotField compact="0" showAll="0">
      <items count="9">
        <item x="1"/>
        <item x="0"/>
        <item x="4"/>
        <item x="2"/>
        <item x="3"/>
        <item x="5"/>
        <item x="6"/>
        <item x="7"/>
        <item t="default"/>
      </items>
    </pivotField>
    <pivotField compact="0" showAll="0">
      <items count="4">
        <item x="0"/>
        <item x="1"/>
        <item x="2"/>
        <item t="default"/>
      </items>
    </pivotField>
    <pivotField compact="0" showAll="0">
      <items count="5">
        <item x="0"/>
        <item x="2"/>
        <item x="3"/>
        <item x="1"/>
        <item t="default"/>
      </items>
    </pivotField>
    <pivotField compact="0" showAll="0">
      <items count="6">
        <item x="0"/>
        <item x="4"/>
        <item x="2"/>
        <item x="1"/>
        <item x="3"/>
        <item t="default"/>
      </items>
    </pivotField>
    <pivotField compact="0" showAll="0">
      <items count="6">
        <item x="0"/>
        <item x="4"/>
        <item x="2"/>
        <item x="1"/>
        <item x="3"/>
        <item t="default"/>
      </items>
    </pivotField>
    <pivotField dataField="1" dragToCol="0" dragToPage="0" dragToRow="0" compact="0" showAll="0"/>
    <pivotField dataField="1" dragToCol="0" dragToPage="0" dragToRow="0" compact="0"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7">
    <i>
      <x/>
    </i>
    <i i="1">
      <x v="1"/>
    </i>
    <i i="2">
      <x v="2"/>
    </i>
    <i i="3">
      <x v="3"/>
    </i>
    <i i="4">
      <x v="4"/>
    </i>
    <i i="5">
      <x v="5"/>
    </i>
    <i i="6">
      <x v="6"/>
    </i>
  </colItems>
  <dataFields count="7">
    <dataField name="求和项:展示量" fld="2" baseField="0" baseItem="0"/>
    <dataField name="求和项:点击量" fld="3" baseField="0" baseItem="0"/>
    <dataField name="求和项:花费" fld="6" baseField="0" baseItem="0"/>
    <dataField name="求和项:7天总销售额" fld="7" baseField="0" baseItem="0"/>
    <dataField name="求和项:7天总订单数(#)" fld="10" baseField="0" baseItem="0"/>
    <dataField name="求和项:30天ACOS" fld="17" baseField="0" baseItem="0"/>
    <dataField name="求和项:30天转化率" fld="18" baseField="0" baseItem="0"/>
  </dataFields>
  <formats count="4">
    <format dxfId="980">
      <pivotArea dataOnly="0" labelOnly="1" fieldPosition="0">
        <references count="1">
          <reference field="4294967294" count="1">
            <x v="5"/>
          </reference>
        </references>
      </pivotArea>
    </format>
    <format dxfId="981">
      <pivotArea dataOnly="0" labelOnly="1" fieldPosition="0">
        <references count="1">
          <reference field="4294967294" count="1">
            <x v="6"/>
          </reference>
        </references>
      </pivotArea>
    </format>
    <format dxfId="982">
      <pivotArea collapsedLevelsAreSubtotals="1" fieldPosition="0">
        <references count="1">
          <reference field="4294967294" count="1" selected="0">
            <x v="5"/>
          </reference>
        </references>
      </pivotArea>
    </format>
    <format dxfId="983">
      <pivotArea collapsedLevelsAreSubtotals="1" fieldPosition="0">
        <references count="1">
          <reference field="4294967294" count="1" selected="0">
            <x v="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5.xml><?xml version="1.0" encoding="utf-8"?>
<pivotTableDefinition xmlns="http://schemas.openxmlformats.org/spreadsheetml/2006/main" name="数据透视表60" cacheId="6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E1:F14" firstHeaderRow="1" firstDataRow="1" firstDataCol="1"/>
  <pivotFields count="14">
    <pivotField compact="0" showAll="0">
      <items count="13">
        <item x="11"/>
        <item x="2"/>
        <item x="7"/>
        <item x="1"/>
        <item x="3"/>
        <item x="0"/>
        <item x="4"/>
        <item x="5"/>
        <item x="6"/>
        <item x="8"/>
        <item x="9"/>
        <item x="10"/>
        <item t="default"/>
      </items>
    </pivotField>
    <pivotField compact="0" showAll="0">
      <items count="13">
        <item x="11"/>
        <item x="2"/>
        <item x="7"/>
        <item x="1"/>
        <item x="3"/>
        <item x="0"/>
        <item x="4"/>
        <item x="5"/>
        <item x="6"/>
        <item x="8"/>
        <item x="9"/>
        <item x="10"/>
        <item t="default"/>
      </items>
    </pivotField>
    <pivotField axis="axisRow" compact="0" showAll="0">
      <items count="13">
        <item x="11"/>
        <item x="2"/>
        <item x="7"/>
        <item x="1"/>
        <item x="3"/>
        <item x="0"/>
        <item x="4"/>
        <item x="5"/>
        <item x="6"/>
        <item x="8"/>
        <item x="9"/>
        <item x="10"/>
        <item t="default"/>
      </items>
    </pivotField>
    <pivotField compact="0" showAll="0">
      <items count="11">
        <item x="9"/>
        <item x="6"/>
        <item x="5"/>
        <item x="7"/>
        <item x="0"/>
        <item x="1"/>
        <item x="2"/>
        <item x="3"/>
        <item x="4"/>
        <item x="8"/>
        <item t="default"/>
      </items>
    </pivotField>
    <pivotField compact="0" showAll="0">
      <items count="4">
        <item x="0"/>
        <item x="2"/>
        <item x="1"/>
        <item t="default"/>
      </items>
    </pivotField>
    <pivotField compact="0" showAll="0">
      <items count="11">
        <item x="9"/>
        <item x="0"/>
        <item x="1"/>
        <item x="2"/>
        <item x="3"/>
        <item x="4"/>
        <item x="5"/>
        <item x="6"/>
        <item x="7"/>
        <item x="8"/>
        <item t="default"/>
      </items>
    </pivotField>
    <pivotField compact="0" showAll="0">
      <items count="4">
        <item x="0"/>
        <item x="2"/>
        <item x="1"/>
        <item t="default"/>
      </items>
    </pivotField>
    <pivotField compact="0" showAll="0">
      <items count="12">
        <item x="10"/>
        <item x="8"/>
        <item x="0"/>
        <item x="1"/>
        <item x="2"/>
        <item x="3"/>
        <item x="4"/>
        <item x="5"/>
        <item x="6"/>
        <item x="7"/>
        <item x="9"/>
        <item t="default"/>
      </items>
    </pivotField>
    <pivotField compact="0" showAll="0">
      <items count="5">
        <item x="0"/>
        <item x="3"/>
        <item x="1"/>
        <item x="2"/>
        <item t="default"/>
      </items>
    </pivotField>
    <pivotField compact="0" showAll="0">
      <items count="12">
        <item x="10"/>
        <item x="0"/>
        <item x="1"/>
        <item x="2"/>
        <item x="3"/>
        <item x="4"/>
        <item x="5"/>
        <item x="6"/>
        <item x="7"/>
        <item x="8"/>
        <item x="9"/>
        <item t="default"/>
      </items>
    </pivotField>
    <pivotField compact="0" showAll="0">
      <items count="5">
        <item x="0"/>
        <item x="3"/>
        <item x="1"/>
        <item x="2"/>
        <item t="default"/>
      </items>
    </pivotField>
    <pivotField compact="0" showAll="0">
      <items count="3">
        <item x="0"/>
        <item x="1"/>
        <item t="default"/>
      </items>
    </pivotField>
    <pivotField compact="0" showAll="0">
      <items count="4">
        <item x="0"/>
        <item x="2"/>
        <item x="1"/>
        <item t="default"/>
      </items>
    </pivotField>
    <pivotField dataField="1" compact="0" showAll="0">
      <items count="5">
        <item x="1"/>
        <item x="2"/>
        <item x="3"/>
        <item x="0"/>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6.xml><?xml version="1.0" encoding="utf-8"?>
<pivotTableDefinition xmlns="http://schemas.openxmlformats.org/spreadsheetml/2006/main" name="数据透视表58" cacheId="62"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1:I14" firstHeaderRow="1" firstDataRow="1" firstDataCol="1"/>
  <pivotFields count="14">
    <pivotField compact="0" showAll="0">
      <items count="13">
        <item x="11"/>
        <item x="2"/>
        <item x="7"/>
        <item x="1"/>
        <item x="3"/>
        <item x="0"/>
        <item x="4"/>
        <item x="5"/>
        <item x="6"/>
        <item x="8"/>
        <item x="9"/>
        <item x="10"/>
        <item t="default"/>
      </items>
    </pivotField>
    <pivotField compact="0" showAll="0">
      <items count="13">
        <item x="11"/>
        <item x="2"/>
        <item x="7"/>
        <item x="1"/>
        <item x="3"/>
        <item x="0"/>
        <item x="4"/>
        <item x="5"/>
        <item x="6"/>
        <item x="8"/>
        <item x="9"/>
        <item x="10"/>
        <item t="default"/>
      </items>
    </pivotField>
    <pivotField axis="axisRow" compact="0" showAll="0">
      <items count="13">
        <item x="11"/>
        <item x="2"/>
        <item x="7"/>
        <item x="1"/>
        <item x="3"/>
        <item x="0"/>
        <item x="4"/>
        <item x="5"/>
        <item x="6"/>
        <item x="8"/>
        <item x="9"/>
        <item x="10"/>
        <item t="default"/>
      </items>
    </pivotField>
    <pivotField compact="0" showAll="0">
      <items count="13">
        <item x="11"/>
        <item x="7"/>
        <item x="0"/>
        <item x="1"/>
        <item x="2"/>
        <item x="3"/>
        <item x="4"/>
        <item x="5"/>
        <item x="6"/>
        <item x="8"/>
        <item x="9"/>
        <item x="10"/>
        <item t="default"/>
      </items>
    </pivotField>
    <pivotField compact="0" showAll="0">
      <items count="4">
        <item x="0"/>
        <item x="2"/>
        <item x="1"/>
        <item t="default"/>
      </items>
    </pivotField>
    <pivotField compact="0" showAll="0">
      <items count="13">
        <item x="11"/>
        <item x="0"/>
        <item x="1"/>
        <item x="2"/>
        <item x="3"/>
        <item x="4"/>
        <item x="5"/>
        <item x="6"/>
        <item x="7"/>
        <item x="8"/>
        <item x="9"/>
        <item x="10"/>
        <item t="default"/>
      </items>
    </pivotField>
    <pivotField compact="0" showAll="0">
      <items count="4">
        <item x="0"/>
        <item x="2"/>
        <item x="1"/>
        <item t="default"/>
      </items>
    </pivotField>
    <pivotField compact="0" showAll="0">
      <items count="13">
        <item x="11"/>
        <item x="7"/>
        <item x="0"/>
        <item x="1"/>
        <item x="2"/>
        <item x="3"/>
        <item x="4"/>
        <item x="5"/>
        <item x="6"/>
        <item x="8"/>
        <item x="9"/>
        <item x="10"/>
        <item t="default"/>
      </items>
    </pivotField>
    <pivotField compact="0" showAll="0">
      <items count="5">
        <item x="0"/>
        <item x="3"/>
        <item x="1"/>
        <item x="2"/>
        <item t="default"/>
      </items>
    </pivotField>
    <pivotField compact="0" showAll="0">
      <items count="13">
        <item x="11"/>
        <item x="0"/>
        <item x="1"/>
        <item x="2"/>
        <item x="3"/>
        <item x="4"/>
        <item x="5"/>
        <item x="6"/>
        <item x="7"/>
        <item x="8"/>
        <item x="9"/>
        <item x="10"/>
        <item t="default"/>
      </items>
    </pivotField>
    <pivotField compact="0" showAll="0">
      <items count="5">
        <item x="0"/>
        <item x="3"/>
        <item x="1"/>
        <item x="2"/>
        <item t="default"/>
      </items>
    </pivotField>
    <pivotField compact="0" showAll="0">
      <items count="3">
        <item x="0"/>
        <item x="1"/>
        <item t="default"/>
      </items>
    </pivotField>
    <pivotField compact="0" showAll="0">
      <items count="4">
        <item x="0"/>
        <item x="2"/>
        <item x="1"/>
        <item t="default"/>
      </items>
    </pivotField>
    <pivotField dataField="1" compact="0" showAll="0">
      <items count="5">
        <item x="2"/>
        <item x="3"/>
        <item x="1"/>
        <item x="0"/>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求和项:已订购商品数量"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6" Type="http://schemas.openxmlformats.org/officeDocument/2006/relationships/pivotTable" Target="../pivotTables/pivotTable21.xml"/><Relationship Id="rId5" Type="http://schemas.openxmlformats.org/officeDocument/2006/relationships/pivotTable" Target="../pivotTables/pivotTable20.xml"/><Relationship Id="rId4" Type="http://schemas.openxmlformats.org/officeDocument/2006/relationships/pivotTable" Target="../pivotTables/pivotTable19.xml"/><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8.xml.rels><?xml version="1.0" encoding="UTF-8" standalone="yes"?>
<Relationships xmlns="http://schemas.openxmlformats.org/package/2006/relationships"><Relationship Id="rId6" Type="http://schemas.openxmlformats.org/officeDocument/2006/relationships/pivotTable" Target="../pivotTables/pivotTable27.xml"/><Relationship Id="rId5" Type="http://schemas.openxmlformats.org/officeDocument/2006/relationships/pivotTable" Target="../pivotTables/pivotTable26.xml"/><Relationship Id="rId4" Type="http://schemas.openxmlformats.org/officeDocument/2006/relationships/pivotTable" Target="../pivotTables/pivotTable25.xml"/><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_rels/sheet10.xml.rels><?xml version="1.0" encoding="UTF-8" standalone="yes"?>
<Relationships xmlns="http://schemas.openxmlformats.org/package/2006/relationships"><Relationship Id="rId6" Type="http://schemas.openxmlformats.org/officeDocument/2006/relationships/pivotTable" Target="../pivotTables/pivotTable33.xml"/><Relationship Id="rId5" Type="http://schemas.openxmlformats.org/officeDocument/2006/relationships/pivotTable" Target="../pivotTables/pivotTable32.xml"/><Relationship Id="rId4" Type="http://schemas.openxmlformats.org/officeDocument/2006/relationships/pivotTable" Target="../pivotTables/pivotTable31.xml"/><Relationship Id="rId3" Type="http://schemas.openxmlformats.org/officeDocument/2006/relationships/pivotTable" Target="../pivotTables/pivotTable30.xml"/><Relationship Id="rId2" Type="http://schemas.openxmlformats.org/officeDocument/2006/relationships/pivotTable" Target="../pivotTables/pivotTable29.xml"/><Relationship Id="rId1" Type="http://schemas.openxmlformats.org/officeDocument/2006/relationships/pivotTable" Target="../pivotTables/pivotTable28.xml"/></Relationships>
</file>

<file path=xl/worksheets/_rels/sheet12.xml.rels><?xml version="1.0" encoding="UTF-8" standalone="yes"?>
<Relationships xmlns="http://schemas.openxmlformats.org/package/2006/relationships"><Relationship Id="rId6" Type="http://schemas.openxmlformats.org/officeDocument/2006/relationships/pivotTable" Target="../pivotTables/pivotTable39.xml"/><Relationship Id="rId5" Type="http://schemas.openxmlformats.org/officeDocument/2006/relationships/pivotTable" Target="../pivotTables/pivotTable38.xml"/><Relationship Id="rId4" Type="http://schemas.openxmlformats.org/officeDocument/2006/relationships/pivotTable" Target="../pivotTables/pivotTable37.xml"/><Relationship Id="rId3" Type="http://schemas.openxmlformats.org/officeDocument/2006/relationships/pivotTable" Target="../pivotTables/pivotTable36.xml"/><Relationship Id="rId2" Type="http://schemas.openxmlformats.org/officeDocument/2006/relationships/pivotTable" Target="../pivotTables/pivotTable35.xml"/><Relationship Id="rId1" Type="http://schemas.openxmlformats.org/officeDocument/2006/relationships/pivotTable" Target="../pivotTables/pivotTable34.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8" Type="http://schemas.openxmlformats.org/officeDocument/2006/relationships/vmlDrawing" Target="../drawings/vmlDrawing2.vml"/><Relationship Id="rId7" Type="http://schemas.openxmlformats.org/officeDocument/2006/relationships/pivotTable" Target="../pivotTables/pivotTable45.xml"/><Relationship Id="rId6" Type="http://schemas.openxmlformats.org/officeDocument/2006/relationships/pivotTable" Target="../pivotTables/pivotTable44.xml"/><Relationship Id="rId5" Type="http://schemas.openxmlformats.org/officeDocument/2006/relationships/pivotTable" Target="../pivotTables/pivotTable43.xml"/><Relationship Id="rId4" Type="http://schemas.openxmlformats.org/officeDocument/2006/relationships/pivotTable" Target="../pivotTables/pivotTable42.xml"/><Relationship Id="rId3" Type="http://schemas.openxmlformats.org/officeDocument/2006/relationships/pivotTable" Target="../pivotTables/pivotTable41.xml"/><Relationship Id="rId2" Type="http://schemas.openxmlformats.org/officeDocument/2006/relationships/pivotTable" Target="../pivotTables/pivotTable40.xml"/><Relationship Id="rId1"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6" Type="http://schemas.openxmlformats.org/officeDocument/2006/relationships/pivotTable" Target="../pivotTables/pivotTable51.xml"/><Relationship Id="rId5" Type="http://schemas.openxmlformats.org/officeDocument/2006/relationships/pivotTable" Target="../pivotTables/pivotTable50.xml"/><Relationship Id="rId4" Type="http://schemas.openxmlformats.org/officeDocument/2006/relationships/pivotTable" Target="../pivotTables/pivotTable49.xml"/><Relationship Id="rId3" Type="http://schemas.openxmlformats.org/officeDocument/2006/relationships/pivotTable" Target="../pivotTables/pivotTable48.xml"/><Relationship Id="rId2" Type="http://schemas.openxmlformats.org/officeDocument/2006/relationships/pivotTable" Target="../pivotTables/pivotTable47.xml"/><Relationship Id="rId1" Type="http://schemas.openxmlformats.org/officeDocument/2006/relationships/pivotTable" Target="../pivotTables/pivotTable46.xml"/></Relationships>
</file>

<file path=xl/worksheets/_rels/sheet18.xml.rels><?xml version="1.0" encoding="UTF-8" standalone="yes"?>
<Relationships xmlns="http://schemas.openxmlformats.org/package/2006/relationships"><Relationship Id="rId9" Type="http://schemas.openxmlformats.org/officeDocument/2006/relationships/pivotTable" Target="../pivotTables/pivotTable60.xml"/><Relationship Id="rId8" Type="http://schemas.openxmlformats.org/officeDocument/2006/relationships/pivotTable" Target="../pivotTables/pivotTable59.xml"/><Relationship Id="rId7" Type="http://schemas.openxmlformats.org/officeDocument/2006/relationships/pivotTable" Target="../pivotTables/pivotTable58.xml"/><Relationship Id="rId6" Type="http://schemas.openxmlformats.org/officeDocument/2006/relationships/pivotTable" Target="../pivotTables/pivotTable57.xml"/><Relationship Id="rId5" Type="http://schemas.openxmlformats.org/officeDocument/2006/relationships/pivotTable" Target="../pivotTables/pivotTable56.xml"/><Relationship Id="rId4" Type="http://schemas.openxmlformats.org/officeDocument/2006/relationships/pivotTable" Target="../pivotTables/pivotTable55.xml"/><Relationship Id="rId3" Type="http://schemas.openxmlformats.org/officeDocument/2006/relationships/pivotTable" Target="../pivotTables/pivotTable54.xml"/><Relationship Id="rId2" Type="http://schemas.openxmlformats.org/officeDocument/2006/relationships/pivotTable" Target="../pivotTables/pivotTable53.xml"/><Relationship Id="rId1" Type="http://schemas.openxmlformats.org/officeDocument/2006/relationships/pivotTable" Target="../pivotTables/pivotTable52.xml"/></Relationships>
</file>

<file path=xl/worksheets/_rels/sheet20.xml.rels><?xml version="1.0" encoding="UTF-8" standalone="yes"?>
<Relationships xmlns="http://schemas.openxmlformats.org/package/2006/relationships"><Relationship Id="rId6" Type="http://schemas.openxmlformats.org/officeDocument/2006/relationships/pivotTable" Target="../pivotTables/pivotTable66.xml"/><Relationship Id="rId5" Type="http://schemas.openxmlformats.org/officeDocument/2006/relationships/pivotTable" Target="../pivotTables/pivotTable65.xml"/><Relationship Id="rId4" Type="http://schemas.openxmlformats.org/officeDocument/2006/relationships/pivotTable" Target="../pivotTables/pivotTable64.xml"/><Relationship Id="rId3" Type="http://schemas.openxmlformats.org/officeDocument/2006/relationships/pivotTable" Target="../pivotTables/pivotTable63.xml"/><Relationship Id="rId2" Type="http://schemas.openxmlformats.org/officeDocument/2006/relationships/pivotTable" Target="../pivotTables/pivotTable62.xml"/><Relationship Id="rId1" Type="http://schemas.openxmlformats.org/officeDocument/2006/relationships/pivotTable" Target="../pivotTables/pivotTable61.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FFFF00"/>
  </sheetPr>
  <dimension ref="A1:AN124"/>
  <sheetViews>
    <sheetView workbookViewId="0">
      <pane ySplit="3" topLeftCell="A4" activePane="bottomLeft" state="frozen"/>
      <selection/>
      <selection pane="bottomLeft" activeCell="BA36" sqref="BA36"/>
    </sheetView>
  </sheetViews>
  <sheetFormatPr defaultColWidth="9" defaultRowHeight="23" customHeight="1"/>
  <cols>
    <col min="1" max="1" width="5.35779816513761" customWidth="1"/>
    <col min="2" max="2" width="16.2018348623853" customWidth="1"/>
    <col min="3" max="3" width="12.3394495412844" customWidth="1"/>
    <col min="4" max="4" width="11.2110091743119" style="120" customWidth="1"/>
    <col min="5" max="5" width="10.4587155963303" customWidth="1"/>
    <col min="6" max="10" width="9" hidden="1" customWidth="1"/>
    <col min="11" max="11" width="8.22018348623853" customWidth="1"/>
    <col min="13" max="13" width="11.7155963302752" customWidth="1"/>
    <col min="17" max="17" width="8.10091743119266" customWidth="1"/>
    <col min="18" max="18" width="7.97247706422018" customWidth="1"/>
    <col min="21" max="21" width="8.3394495412844" customWidth="1"/>
    <col min="22" max="22" width="9.96330275229358" customWidth="1"/>
    <col min="23" max="23" width="12.7064220183486" style="184" customWidth="1"/>
    <col min="24" max="24" width="12.5871559633028" customWidth="1"/>
    <col min="25" max="25" width="9.44036697247706"/>
    <col min="26" max="26" width="10.4495412844037"/>
    <col min="27" max="27" width="10.6697247706422"/>
    <col min="29" max="29" width="10.7798165137615"/>
    <col min="30" max="30" width="11.3761467889908" customWidth="1"/>
    <col min="35" max="35" width="13" customWidth="1"/>
    <col min="36" max="36" width="11.8440366972477" customWidth="1"/>
    <col min="37" max="37" width="14.6238532110092" customWidth="1"/>
    <col min="38" max="38" width="11.8899082568807"/>
    <col min="39" max="39" width="10.4954128440367"/>
    <col min="40" max="40" width="9.4954128440367"/>
    <col min="41" max="41" width="13.8623853211009"/>
  </cols>
  <sheetData>
    <row r="1" s="1" customFormat="1" ht="150" customHeight="1" spans="2:37">
      <c r="B1" s="35">
        <f>COUNTA(B4:B1036824)</f>
        <v>121</v>
      </c>
      <c r="C1" s="51" t="s">
        <v>0</v>
      </c>
      <c r="D1" s="130"/>
      <c r="K1" s="35">
        <f>SUM(K4:K1037097)</f>
        <v>2559</v>
      </c>
      <c r="M1" s="36"/>
      <c r="T1" s="66" t="s">
        <v>1</v>
      </c>
      <c r="W1" s="67" t="s">
        <v>2</v>
      </c>
      <c r="X1" s="68" t="s">
        <v>3</v>
      </c>
      <c r="Y1" s="84" t="s">
        <v>4</v>
      </c>
      <c r="Z1" s="85"/>
      <c r="AA1" s="85"/>
      <c r="AB1" s="85"/>
      <c r="AC1" s="85"/>
      <c r="AD1" s="86"/>
      <c r="AE1" s="85"/>
      <c r="AF1" s="85"/>
      <c r="AG1" s="171" t="s">
        <v>5</v>
      </c>
      <c r="AH1" s="172"/>
      <c r="AI1" s="94" t="s">
        <v>6</v>
      </c>
      <c r="AJ1" s="94" t="s">
        <v>7</v>
      </c>
      <c r="AK1" s="95" t="s">
        <v>8</v>
      </c>
    </row>
    <row r="2" s="1" customFormat="1" ht="51.6" spans="1:40">
      <c r="A2" s="37" t="s">
        <v>9</v>
      </c>
      <c r="B2" s="37" t="s">
        <v>10</v>
      </c>
      <c r="C2" s="37" t="s">
        <v>11</v>
      </c>
      <c r="D2" s="37"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88" t="s">
        <v>30</v>
      </c>
      <c r="W2" s="73" t="s">
        <v>31</v>
      </c>
      <c r="X2" s="74" t="s">
        <v>32</v>
      </c>
      <c r="Y2" s="38" t="s">
        <v>33</v>
      </c>
      <c r="Z2" s="38" t="s">
        <v>34</v>
      </c>
      <c r="AA2" s="38" t="s">
        <v>35</v>
      </c>
      <c r="AB2" s="87" t="s">
        <v>36</v>
      </c>
      <c r="AC2" s="88" t="s">
        <v>37</v>
      </c>
      <c r="AD2" s="88" t="s">
        <v>38</v>
      </c>
      <c r="AE2" s="38" t="s">
        <v>39</v>
      </c>
      <c r="AF2" s="38" t="s">
        <v>40</v>
      </c>
      <c r="AG2" s="38" t="s">
        <v>41</v>
      </c>
      <c r="AH2" s="38" t="s">
        <v>42</v>
      </c>
      <c r="AI2" s="97" t="s">
        <v>43</v>
      </c>
      <c r="AJ2" s="97" t="s">
        <v>44</v>
      </c>
      <c r="AK2" s="38" t="s">
        <v>45</v>
      </c>
      <c r="AL2" s="38" t="s">
        <v>46</v>
      </c>
      <c r="AM2" s="24">
        <v>45200</v>
      </c>
      <c r="AN2" s="24" t="s">
        <v>47</v>
      </c>
    </row>
    <row r="3" s="49" customFormat="1" ht="20" customHeight="1" spans="2:38">
      <c r="B3" s="40" t="s">
        <v>48</v>
      </c>
      <c r="C3" s="54"/>
      <c r="D3" s="185"/>
      <c r="E3" s="131"/>
      <c r="F3" s="57"/>
      <c r="G3" s="57"/>
      <c r="H3" s="57"/>
      <c r="I3" s="57"/>
      <c r="J3" s="57"/>
      <c r="K3" s="57">
        <f>SUM(K4:K1037083)</f>
        <v>2559</v>
      </c>
      <c r="L3" s="41"/>
      <c r="M3" s="41">
        <f t="shared" ref="M3:R3" si="0">SUM(M4:M1037083)</f>
        <v>55663.219</v>
      </c>
      <c r="N3" s="57">
        <f t="shared" si="0"/>
        <v>206</v>
      </c>
      <c r="O3" s="57">
        <f t="shared" si="0"/>
        <v>494</v>
      </c>
      <c r="P3" s="57">
        <f t="shared" si="0"/>
        <v>841</v>
      </c>
      <c r="Q3" s="57">
        <f t="shared" si="0"/>
        <v>261</v>
      </c>
      <c r="R3" s="57">
        <f t="shared" si="0"/>
        <v>-55</v>
      </c>
      <c r="S3" s="75"/>
      <c r="T3" s="76"/>
      <c r="U3" s="77"/>
      <c r="V3" s="78"/>
      <c r="W3" s="187"/>
      <c r="X3" s="76"/>
      <c r="Y3" s="41">
        <f>SUM(Y4:Y1037083)</f>
        <v>364.69553</v>
      </c>
      <c r="Z3" s="41">
        <f>SUM(Z4:Z1037083)</f>
        <v>828.16723</v>
      </c>
      <c r="AA3" s="41">
        <f>SUM(AA4:AA1037083)</f>
        <v>1560.02176</v>
      </c>
      <c r="AB3" s="89"/>
      <c r="AC3" s="89"/>
      <c r="AD3" s="90"/>
      <c r="AE3" s="89"/>
      <c r="AF3" s="89"/>
      <c r="AG3" s="89"/>
      <c r="AH3" s="98"/>
      <c r="AI3" s="76"/>
      <c r="AJ3" s="76"/>
      <c r="AK3" s="41">
        <f>SUM(AK4:AK1037083)</f>
        <v>6591.261</v>
      </c>
      <c r="AL3" s="41">
        <f>SUM(AL4:AL1037083)</f>
        <v>16454.645</v>
      </c>
    </row>
    <row r="4" customHeight="1" spans="1:40">
      <c r="A4" s="58" t="str">
        <f>INDEX('[1]1店'!$A:$A,MATCH(B:B,'[1]1店'!$B:$B,0))</f>
        <v>晓美</v>
      </c>
      <c r="B4" s="43" t="s">
        <v>49</v>
      </c>
      <c r="C4" s="43" t="s">
        <v>50</v>
      </c>
      <c r="D4" s="59"/>
      <c r="E4" s="43" t="s">
        <v>51</v>
      </c>
      <c r="F4" s="43">
        <v>0</v>
      </c>
      <c r="G4" s="43">
        <v>1</v>
      </c>
      <c r="H4" s="43">
        <v>0</v>
      </c>
      <c r="I4" s="43">
        <v>0</v>
      </c>
      <c r="J4" s="43">
        <v>0</v>
      </c>
      <c r="K4" s="63">
        <f t="shared" ref="K4:K9" si="1">F4+G4+H4+I4+J4</f>
        <v>1</v>
      </c>
      <c r="L4" s="64">
        <f>VLOOKUP($B:$B,'[1]1店'!$B:$L,11,0)</f>
        <v>13.9</v>
      </c>
      <c r="M4" s="44">
        <f>K4*L4</f>
        <v>13.9</v>
      </c>
      <c r="N4" s="186">
        <f>IFERROR(VLOOKUP(B:B,'1店辅助表'!B:C,2,FALSE),0)</f>
        <v>0</v>
      </c>
      <c r="O4" s="186">
        <f>IFERROR(VLOOKUP(B:B,'1店辅助表'!E:F,2,FALSE),0)</f>
        <v>0</v>
      </c>
      <c r="P4" s="186">
        <f>IFERROR(VLOOKUP(B:B,'1店辅助表'!H:I,2,FALSE),0)</f>
        <v>0</v>
      </c>
      <c r="Q4" s="65">
        <f>IFERROR(VLOOKUP($B:$B,'[1]1店'!$B:$N,13,FALSE),0)</f>
        <v>0</v>
      </c>
      <c r="R4" s="79">
        <f t="shared" ref="R4:R9" si="2">N4-Q4</f>
        <v>0</v>
      </c>
      <c r="S4" s="80" t="str">
        <f t="shared" ref="S4:S9" si="3">IFERROR(K4/((N4/7+O4/15+P4/30)/3),"-")</f>
        <v>-</v>
      </c>
      <c r="T4" s="44" t="str">
        <f t="shared" ref="T4:T9" si="4">IFERROR(S4/30,"-")</f>
        <v>-</v>
      </c>
      <c r="U4" s="188" t="str">
        <f>IFERROR(VLOOKUP($B:$B,'[1]1店'!$B:$T,19,FALSE),0)</f>
        <v>-</v>
      </c>
      <c r="V4" s="81" t="str">
        <f t="shared" ref="V4:V9" si="5">IFERROR(T4-U4,"-")</f>
        <v>-</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有库存无销量</v>
      </c>
      <c r="X4" s="83" t="str">
        <f>_xlfn.IFS(AND(D4&lt;&gt;0,D4-$AM$2&gt;=0,K4&gt;0,D4&lt;&gt;0),"本月刚到货",AND(T4="-",K4&gt;0),"有库存无销量",AND(T4="-",K4=0),"无库存无销量",AND(T4&lt;=0.5,K4=0),"无库存有销量",T4&lt;=0.5,"库存过低",T4&lt;=1.5,"正常",T4&gt;1.5,"库存过高")</f>
        <v>有库存无销量</v>
      </c>
      <c r="Y4" s="44">
        <f>IFERROR(SUMIF('1店辅助表'!K:K,B:B,'1店辅助表'!N:N),0)</f>
        <v>0</v>
      </c>
      <c r="Z4" s="44">
        <f>IFERROR(SUMIF('1店辅助表'!T:T,B:B,'1店辅助表'!W:W),0)</f>
        <v>0</v>
      </c>
      <c r="AA4" s="44">
        <f>IFERROR(SUMIF('1店辅助表'!AC:AC,B:B,'1店辅助表'!AF:AF),0)</f>
        <v>0</v>
      </c>
      <c r="AB4" s="91" t="str">
        <f>IFERROR(SUMIF('1店辅助表'!K:K,B:B,'1店辅助表'!N:N)/SUMIF('1店辅助表'!K:K,B:B,'1店辅助表'!O:O),"-")</f>
        <v>-</v>
      </c>
      <c r="AC4" s="91" t="str">
        <f>IFERROR(VLOOKUP($B:$B,'[1]1店'!$B:$AB,27,FALSE),"-")</f>
        <v>-</v>
      </c>
      <c r="AD4" s="92" t="str">
        <f t="shared" ref="AD4:AD9" si="6">IFERROR(AB4-AC4,"-")</f>
        <v>-</v>
      </c>
      <c r="AE4" s="91" t="str">
        <f>IFERROR(SUMIF('1店辅助表'!T:T,B:B,'1店辅助表'!W:W)/SUMIF('1店辅助表'!T:T,B:B,'1店辅助表'!X:X),"-")</f>
        <v>-</v>
      </c>
      <c r="AF4" s="91" t="str">
        <f>IFERROR(SUMIF('1店辅助表'!AC:AC,B:B,'1店辅助表'!AF:AF)/SUMIF('1店辅助表'!AC:AC,B:B,'1店辅助表'!AG:AG),"-")</f>
        <v>-</v>
      </c>
      <c r="AG4" s="99">
        <f>IFERROR(AK4/((SUMIF('1店辅助表'!AT:AT,B:B,'1店辅助表'!AU:AU)+M4)/2),"-")</f>
        <v>0</v>
      </c>
      <c r="AH4" s="99">
        <f>IFERROR(AL4/((SUMIF('1店辅助表'!AW:AW,B:B,'1店辅助表'!AX:AX)+M4)/2),"-")</f>
        <v>0</v>
      </c>
      <c r="AI4" s="100" t="str">
        <f>IFERROR((SUMIF('1店辅助表'!AP:AP,B:B,'1店辅助表'!AR:AR)-SUMIF('1店辅助表'!AP:AP,B:B,'1店辅助表'!AR:AR)*0.15-(L4+IFERROR(VLOOKUP(B:B,'1店辅助表'!AZ:BA,2,0),0))*O4-IF(AN:AN="US",6.85,4.9)*(Z4+3.99*O4))/SUMIF('1店辅助表'!AP:AP,B:B,'1店辅助表'!AR:AR),"-")</f>
        <v>-</v>
      </c>
      <c r="AJ4" s="100" t="str">
        <f t="shared" ref="AJ4:AJ9" si="7">IFERROR(AH4*AI4,"-")</f>
        <v>-</v>
      </c>
      <c r="AK4" s="101">
        <f t="shared" ref="AK4:AK9" si="8">$N4*$L4</f>
        <v>0</v>
      </c>
      <c r="AL4" s="101">
        <f t="shared" ref="AL4:AL9" si="9">$O4*$L4</f>
        <v>0</v>
      </c>
      <c r="AM4" s="1" t="str">
        <f>VLOOKUP(B:B,'1店辅助表'!$AZ:$BB,1,FALSE)</f>
        <v>E02000-BL+E02013-1</v>
      </c>
      <c r="AN4" s="1" t="str">
        <f>VLOOKUP(B:B,'1店辅助表'!AZ:BB,3,FALSE)</f>
        <v>US</v>
      </c>
    </row>
    <row r="5" customHeight="1" spans="1:40">
      <c r="A5" s="58" t="str">
        <f>INDEX('[1]1店'!$A:$A,MATCH(B:B,'[1]1店'!$B:$B,0))</f>
        <v>晓美</v>
      </c>
      <c r="B5" s="43" t="s">
        <v>52</v>
      </c>
      <c r="C5" s="43" t="s">
        <v>53</v>
      </c>
      <c r="D5" s="59"/>
      <c r="E5" s="43" t="s">
        <v>54</v>
      </c>
      <c r="F5" s="43">
        <v>0</v>
      </c>
      <c r="G5" s="43">
        <v>1</v>
      </c>
      <c r="H5" s="43">
        <v>0</v>
      </c>
      <c r="I5" s="43">
        <v>0</v>
      </c>
      <c r="J5" s="43">
        <v>0</v>
      </c>
      <c r="K5" s="63">
        <f t="shared" si="1"/>
        <v>1</v>
      </c>
      <c r="L5" s="64">
        <f>VLOOKUP($B:$B,'[1]1店'!$B:$L,11,0)</f>
        <v>13.9</v>
      </c>
      <c r="M5" s="44">
        <f t="shared" ref="M5:M36" si="10">K5*L5</f>
        <v>13.9</v>
      </c>
      <c r="N5" s="186">
        <f>IFERROR(VLOOKUP(B:B,'1店辅助表'!B:C,2,FALSE),0)</f>
        <v>0</v>
      </c>
      <c r="O5" s="186">
        <f>IFERROR(VLOOKUP(B:B,'1店辅助表'!E:F,2,FALSE),0)</f>
        <v>0</v>
      </c>
      <c r="P5" s="186">
        <f>IFERROR(VLOOKUP(B:B,'1店辅助表'!H:I,2,FALSE),0)</f>
        <v>0</v>
      </c>
      <c r="Q5" s="65">
        <f>IFERROR(VLOOKUP($B:$B,'[1]1店'!$B:$N,13,FALSE),0)</f>
        <v>0</v>
      </c>
      <c r="R5" s="79">
        <f t="shared" si="2"/>
        <v>0</v>
      </c>
      <c r="S5" s="80" t="str">
        <f t="shared" si="3"/>
        <v>-</v>
      </c>
      <c r="T5" s="44" t="str">
        <f t="shared" si="4"/>
        <v>-</v>
      </c>
      <c r="U5" s="188" t="str">
        <f>IFERROR(VLOOKUP($B:$B,'[1]1店'!$B:$T,19,FALSE),0)</f>
        <v>-</v>
      </c>
      <c r="V5" s="81" t="str">
        <f t="shared" si="5"/>
        <v>-</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有库存无销量</v>
      </c>
      <c r="X5" s="83" t="str">
        <f>_xlfn.IFS(AND(D5&lt;&gt;0,D5-$AM$2&gt;=0,K5&gt;0,D5&lt;&gt;0),"本月刚到货",AND(T5="-",K5&gt;0),"有库存无销量",AND(T5="-",K5=0),"无库存无销量",AND(T5&lt;=0.5,K5=0),"无库存有销量",T5&lt;=0.5,"库存过低",T5&lt;=1.5,"正常",T5&gt;1.5,"库存过高")</f>
        <v>有库存无销量</v>
      </c>
      <c r="Y5" s="44">
        <f>IFERROR(SUMIF('1店辅助表'!K:K,B:B,'1店辅助表'!N:N),0)</f>
        <v>0</v>
      </c>
      <c r="Z5" s="44">
        <f>IFERROR(SUMIF('1店辅助表'!T:T,B:B,'1店辅助表'!W:W),0)</f>
        <v>0</v>
      </c>
      <c r="AA5" s="44">
        <f>IFERROR(SUMIF('1店辅助表'!AC:AC,B:B,'1店辅助表'!AF:AF),0)</f>
        <v>0</v>
      </c>
      <c r="AB5" s="91" t="str">
        <f>IFERROR(SUMIF('1店辅助表'!K:K,B:B,'1店辅助表'!N:N)/SUMIF('1店辅助表'!K:K,B:B,'1店辅助表'!O:O),"-")</f>
        <v>-</v>
      </c>
      <c r="AC5" s="91" t="str">
        <f>IFERROR(VLOOKUP($B:$B,'[1]1店'!$B:$AB,27,FALSE),"-")</f>
        <v>-</v>
      </c>
      <c r="AD5" s="92" t="str">
        <f t="shared" si="6"/>
        <v>-</v>
      </c>
      <c r="AE5" s="91" t="str">
        <f>IFERROR(SUMIF('1店辅助表'!T:T,B:B,'1店辅助表'!W:W)/SUMIF('1店辅助表'!T:T,B:B,'1店辅助表'!X:X),"-")</f>
        <v>-</v>
      </c>
      <c r="AF5" s="91" t="str">
        <f>IFERROR(SUMIF('1店辅助表'!AC:AC,B:B,'1店辅助表'!AF:AF)/SUMIF('1店辅助表'!AC:AC,B:B,'1店辅助表'!AG:AG),"-")</f>
        <v>-</v>
      </c>
      <c r="AG5" s="99">
        <f>IFERROR(AK5/((SUMIF('1店辅助表'!AT:AT,B:B,'1店辅助表'!AU:AU)+M5)/2),"-")</f>
        <v>0</v>
      </c>
      <c r="AH5" s="99">
        <f>IFERROR(AL5/((SUMIF('1店辅助表'!AW:AW,B:B,'1店辅助表'!AX:AX)+M5)/2),"-")</f>
        <v>0</v>
      </c>
      <c r="AI5" s="100" t="str">
        <f>IFERROR((SUMIF('1店辅助表'!AP:AP,B:B,'1店辅助表'!AR:AR)-SUMIF('1店辅助表'!AP:AP,B:B,'1店辅助表'!AR:AR)*0.15-(L5+IFERROR(VLOOKUP(B:B,'1店辅助表'!AZ:BA,2,0),0))*O5-IF(AN:AN="US",6.85,4.9)*(Z5+3.99*O5))/SUMIF('1店辅助表'!AP:AP,B:B,'1店辅助表'!AR:AR),"-")</f>
        <v>-</v>
      </c>
      <c r="AJ5" s="100" t="str">
        <f t="shared" si="7"/>
        <v>-</v>
      </c>
      <c r="AK5" s="101">
        <f t="shared" si="8"/>
        <v>0</v>
      </c>
      <c r="AL5" s="101">
        <f t="shared" si="9"/>
        <v>0</v>
      </c>
      <c r="AM5" s="1" t="str">
        <f>VLOOKUP(B:B,'1店辅助表'!$AZ:$BB,1,FALSE)</f>
        <v>E02055-BL+E02058-1</v>
      </c>
      <c r="AN5" s="1" t="str">
        <f>VLOOKUP(B:B,'1店辅助表'!AZ:BB,3,FALSE)</f>
        <v>US</v>
      </c>
    </row>
    <row r="6" customHeight="1" spans="1:40">
      <c r="A6" s="58" t="str">
        <f>INDEX('[1]1店'!$A:$A,MATCH(B:B,'[1]1店'!$B:$B,0))</f>
        <v>晓美</v>
      </c>
      <c r="B6" s="43" t="s">
        <v>55</v>
      </c>
      <c r="C6" s="43" t="s">
        <v>56</v>
      </c>
      <c r="D6" s="59"/>
      <c r="E6" s="43" t="s">
        <v>57</v>
      </c>
      <c r="F6" s="43">
        <v>0</v>
      </c>
      <c r="G6" s="43">
        <v>1</v>
      </c>
      <c r="H6" s="43">
        <v>0</v>
      </c>
      <c r="I6" s="43">
        <v>0</v>
      </c>
      <c r="J6" s="43">
        <v>0</v>
      </c>
      <c r="K6" s="63">
        <f t="shared" si="1"/>
        <v>1</v>
      </c>
      <c r="L6" s="64">
        <f>VLOOKUP($B:$B,'[1]1店'!$B:$L,11,0)</f>
        <v>13.9</v>
      </c>
      <c r="M6" s="44">
        <f t="shared" si="10"/>
        <v>13.9</v>
      </c>
      <c r="N6" s="186">
        <f>IFERROR(VLOOKUP(B:B,'1店辅助表'!B:C,2,FALSE),0)</f>
        <v>0</v>
      </c>
      <c r="O6" s="186">
        <f>IFERROR(VLOOKUP(B:B,'1店辅助表'!E:F,2,FALSE),0)</f>
        <v>0</v>
      </c>
      <c r="P6" s="186">
        <f>IFERROR(VLOOKUP(B:B,'1店辅助表'!H:I,2,FALSE),0)</f>
        <v>0</v>
      </c>
      <c r="Q6" s="65">
        <f>IFERROR(VLOOKUP($B:$B,'[1]1店'!$B:$N,13,FALSE),0)</f>
        <v>0</v>
      </c>
      <c r="R6" s="79">
        <f t="shared" si="2"/>
        <v>0</v>
      </c>
      <c r="S6" s="80" t="str">
        <f t="shared" si="3"/>
        <v>-</v>
      </c>
      <c r="T6" s="44" t="str">
        <f t="shared" si="4"/>
        <v>-</v>
      </c>
      <c r="U6" s="188" t="str">
        <f>IFERROR(VLOOKUP($B:$B,'[1]1店'!$B:$T,19,FALSE),0)</f>
        <v>-</v>
      </c>
      <c r="V6" s="81" t="str">
        <f t="shared" si="5"/>
        <v>-</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有库存无销量</v>
      </c>
      <c r="X6" s="83" t="str">
        <f>_xlfn.IFS(AND(D6&lt;&gt;0,D6-$AM$2&gt;=0,K6&gt;0,D6&lt;&gt;0),"本月刚到货",AND(T6="-",K6&gt;0),"有库存无销量",AND(T6="-",K6=0),"无库存无销量",AND(T6&lt;=0.5,K6=0),"无库存有销量",T6&lt;=0.5,"库存过低",T6&lt;=1.5,"正常",T6&gt;1.5,"库存过高")</f>
        <v>有库存无销量</v>
      </c>
      <c r="Y6" s="44">
        <f>IFERROR(SUMIF('1店辅助表'!K:K,B:B,'1店辅助表'!N:N),0)</f>
        <v>0</v>
      </c>
      <c r="Z6" s="44">
        <f>IFERROR(SUMIF('1店辅助表'!T:T,B:B,'1店辅助表'!W:W),0)</f>
        <v>0</v>
      </c>
      <c r="AA6" s="44">
        <f>IFERROR(SUMIF('1店辅助表'!AC:AC,B:B,'1店辅助表'!AF:AF),0)</f>
        <v>0</v>
      </c>
      <c r="AB6" s="91" t="str">
        <f>IFERROR(SUMIF('1店辅助表'!K:K,B:B,'1店辅助表'!N:N)/SUMIF('1店辅助表'!K:K,B:B,'1店辅助表'!O:O),"-")</f>
        <v>-</v>
      </c>
      <c r="AC6" s="91" t="str">
        <f>IFERROR(VLOOKUP($B:$B,'[1]1店'!$B:$AB,27,FALSE),"-")</f>
        <v>-</v>
      </c>
      <c r="AD6" s="92" t="str">
        <f t="shared" si="6"/>
        <v>-</v>
      </c>
      <c r="AE6" s="91" t="str">
        <f>IFERROR(SUMIF('1店辅助表'!T:T,B:B,'1店辅助表'!W:W)/SUMIF('1店辅助表'!T:T,B:B,'1店辅助表'!X:X),"-")</f>
        <v>-</v>
      </c>
      <c r="AF6" s="91" t="str">
        <f>IFERROR(SUMIF('1店辅助表'!AC:AC,B:B,'1店辅助表'!AF:AF)/SUMIF('1店辅助表'!AC:AC,B:B,'1店辅助表'!AG:AG),"-")</f>
        <v>-</v>
      </c>
      <c r="AG6" s="99">
        <f>IFERROR(AK6/((SUMIF('1店辅助表'!AT:AT,B:B,'1店辅助表'!AU:AU)+M6)/2),"-")</f>
        <v>0</v>
      </c>
      <c r="AH6" s="99">
        <f>IFERROR(AL6/((SUMIF('1店辅助表'!AW:AW,B:B,'1店辅助表'!AX:AX)+M6)/2),"-")</f>
        <v>0</v>
      </c>
      <c r="AI6" s="100" t="str">
        <f>IFERROR((SUMIF('1店辅助表'!AP:AP,B:B,'1店辅助表'!AR:AR)-SUMIF('1店辅助表'!AP:AP,B:B,'1店辅助表'!AR:AR)*0.15-(L6+IFERROR(VLOOKUP(B:B,'1店辅助表'!AZ:BA,2,0),0))*O6-IF(AN:AN="US",6.85,4.9)*(Z6+3.99*O6))/SUMIF('1店辅助表'!AP:AP,B:B,'1店辅助表'!AR:AR),"-")</f>
        <v>-</v>
      </c>
      <c r="AJ6" s="100" t="str">
        <f t="shared" si="7"/>
        <v>-</v>
      </c>
      <c r="AK6" s="101">
        <f t="shared" si="8"/>
        <v>0</v>
      </c>
      <c r="AL6" s="101">
        <f t="shared" si="9"/>
        <v>0</v>
      </c>
      <c r="AM6" s="1" t="str">
        <f>VLOOKUP(B:B,'1店辅助表'!$AZ:$BB,1,FALSE)</f>
        <v>E02391-NB+E02394+E02377</v>
      </c>
      <c r="AN6" s="1" t="str">
        <f>VLOOKUP(B:B,'1店辅助表'!AZ:BB,3,FALSE)</f>
        <v>US</v>
      </c>
    </row>
    <row r="7" customHeight="1" spans="1:40">
      <c r="A7" s="58" t="str">
        <f>INDEX('[1]1店'!$A:$A,MATCH(B:B,'[1]1店'!$B:$B,0))</f>
        <v>晓美</v>
      </c>
      <c r="B7" s="43" t="s">
        <v>58</v>
      </c>
      <c r="C7" s="43" t="s">
        <v>59</v>
      </c>
      <c r="D7" s="59"/>
      <c r="E7" s="43" t="s">
        <v>60</v>
      </c>
      <c r="F7" s="43">
        <v>0</v>
      </c>
      <c r="G7" s="43">
        <v>1</v>
      </c>
      <c r="H7" s="43">
        <v>0</v>
      </c>
      <c r="I7" s="43">
        <v>0</v>
      </c>
      <c r="J7" s="43">
        <v>0</v>
      </c>
      <c r="K7" s="63">
        <f t="shared" si="1"/>
        <v>1</v>
      </c>
      <c r="L7" s="64">
        <f>VLOOKUP($B:$B,'[1]1店'!$B:$L,11,0)</f>
        <v>13.9</v>
      </c>
      <c r="M7" s="44">
        <f t="shared" si="10"/>
        <v>13.9</v>
      </c>
      <c r="N7" s="186">
        <f>IFERROR(VLOOKUP(B:B,'1店辅助表'!B:C,2,FALSE),0)</f>
        <v>0</v>
      </c>
      <c r="O7" s="186">
        <f>IFERROR(VLOOKUP(B:B,'1店辅助表'!E:F,2,FALSE),0)</f>
        <v>0</v>
      </c>
      <c r="P7" s="186">
        <f>IFERROR(VLOOKUP(B:B,'1店辅助表'!H:I,2,FALSE),0)</f>
        <v>0</v>
      </c>
      <c r="Q7" s="65">
        <f>IFERROR(VLOOKUP($B:$B,'[1]1店'!$B:$N,13,FALSE),0)</f>
        <v>0</v>
      </c>
      <c r="R7" s="79">
        <f t="shared" si="2"/>
        <v>0</v>
      </c>
      <c r="S7" s="80" t="str">
        <f t="shared" si="3"/>
        <v>-</v>
      </c>
      <c r="T7" s="44" t="str">
        <f t="shared" si="4"/>
        <v>-</v>
      </c>
      <c r="U7" s="188" t="str">
        <f>IFERROR(VLOOKUP($B:$B,'[1]1店'!$B:$T,19,FALSE),0)</f>
        <v>-</v>
      </c>
      <c r="V7" s="81" t="str">
        <f t="shared" si="5"/>
        <v>-</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有库存无销量</v>
      </c>
      <c r="X7" s="83" t="str">
        <f>_xlfn.IFS(AND(D7&lt;&gt;0,D7-$AM$2&gt;=0,K7&gt;0,D7&lt;&gt;0),"本月刚到货",AND(T7="-",K7&gt;0),"有库存无销量",AND(T7="-",K7=0),"无库存无销量",AND(T7&lt;=0.5,K7=0),"无库存有销量",T7&lt;=0.5,"库存过低",T7&lt;=1.5,"正常",T7&gt;1.5,"库存过高")</f>
        <v>有库存无销量</v>
      </c>
      <c r="Y7" s="44">
        <f>IFERROR(SUMIF('1店辅助表'!K:K,B:B,'1店辅助表'!N:N),0)</f>
        <v>0</v>
      </c>
      <c r="Z7" s="44">
        <f>IFERROR(SUMIF('1店辅助表'!T:T,B:B,'1店辅助表'!W:W),0)</f>
        <v>0</v>
      </c>
      <c r="AA7" s="44">
        <f>IFERROR(SUMIF('1店辅助表'!AC:AC,B:B,'1店辅助表'!AF:AF),0)</f>
        <v>0</v>
      </c>
      <c r="AB7" s="91" t="str">
        <f>IFERROR(SUMIF('1店辅助表'!K:K,B:B,'1店辅助表'!N:N)/SUMIF('1店辅助表'!K:K,B:B,'1店辅助表'!O:O),"-")</f>
        <v>-</v>
      </c>
      <c r="AC7" s="91" t="str">
        <f>IFERROR(VLOOKUP($B:$B,'[1]1店'!$B:$AB,27,FALSE),"-")</f>
        <v>-</v>
      </c>
      <c r="AD7" s="92" t="str">
        <f t="shared" si="6"/>
        <v>-</v>
      </c>
      <c r="AE7" s="91" t="str">
        <f>IFERROR(SUMIF('1店辅助表'!T:T,B:B,'1店辅助表'!W:W)/SUMIF('1店辅助表'!T:T,B:B,'1店辅助表'!X:X),"-")</f>
        <v>-</v>
      </c>
      <c r="AF7" s="91" t="str">
        <f>IFERROR(SUMIF('1店辅助表'!AC:AC,B:B,'1店辅助表'!AF:AF)/SUMIF('1店辅助表'!AC:AC,B:B,'1店辅助表'!AG:AG),"-")</f>
        <v>-</v>
      </c>
      <c r="AG7" s="99">
        <f>IFERROR(AK7/((SUMIF('1店辅助表'!AT:AT,B:B,'1店辅助表'!AU:AU)+M7)/2),"-")</f>
        <v>0</v>
      </c>
      <c r="AH7" s="99">
        <f>IFERROR(AL7/((SUMIF('1店辅助表'!AW:AW,B:B,'1店辅助表'!AX:AX)+M7)/2),"-")</f>
        <v>0</v>
      </c>
      <c r="AI7" s="100" t="str">
        <f>IFERROR((SUMIF('1店辅助表'!AP:AP,B:B,'1店辅助表'!AR:AR)-SUMIF('1店辅助表'!AP:AP,B:B,'1店辅助表'!AR:AR)*0.15-(L7+IFERROR(VLOOKUP(B:B,'1店辅助表'!AZ:BA,2,0),0))*O7-IF(AN:AN="US",6.85,4.9)*(Z7+3.99*O7))/SUMIF('1店辅助表'!AP:AP,B:B,'1店辅助表'!AR:AR),"-")</f>
        <v>-</v>
      </c>
      <c r="AJ7" s="100" t="str">
        <f t="shared" si="7"/>
        <v>-</v>
      </c>
      <c r="AK7" s="101">
        <f t="shared" si="8"/>
        <v>0</v>
      </c>
      <c r="AL7" s="101">
        <f t="shared" si="9"/>
        <v>0</v>
      </c>
      <c r="AM7" s="1" t="str">
        <f>VLOOKUP(B:B,'1店辅助表'!$AZ:$BB,1,FALSE)</f>
        <v>E02563-OR+E02564+E02571-1</v>
      </c>
      <c r="AN7" s="1" t="str">
        <f>VLOOKUP(B:B,'1店辅助表'!AZ:BB,3,FALSE)</f>
        <v>US</v>
      </c>
    </row>
    <row r="8" customHeight="1" spans="1:40">
      <c r="A8" s="58" t="str">
        <f>INDEX('[1]1店'!$A:$A,MATCH(B:B,'[1]1店'!$B:$B,0))</f>
        <v>晓美</v>
      </c>
      <c r="B8" s="43" t="s">
        <v>61</v>
      </c>
      <c r="C8" s="43" t="s">
        <v>62</v>
      </c>
      <c r="D8" s="59"/>
      <c r="E8" s="43" t="s">
        <v>63</v>
      </c>
      <c r="F8" s="43">
        <v>0</v>
      </c>
      <c r="G8" s="43">
        <v>1</v>
      </c>
      <c r="H8" s="43">
        <v>0</v>
      </c>
      <c r="I8" s="43">
        <v>0</v>
      </c>
      <c r="J8" s="43">
        <v>0</v>
      </c>
      <c r="K8" s="63">
        <f t="shared" si="1"/>
        <v>1</v>
      </c>
      <c r="L8" s="64">
        <f>VLOOKUP($B:$B,'[1]1店'!$B:$L,11,0)</f>
        <v>13.9</v>
      </c>
      <c r="M8" s="44">
        <f t="shared" si="10"/>
        <v>13.9</v>
      </c>
      <c r="N8" s="186">
        <f>IFERROR(VLOOKUP(B:B,'1店辅助表'!B:C,2,FALSE),0)</f>
        <v>0</v>
      </c>
      <c r="O8" s="186">
        <f>IFERROR(VLOOKUP(B:B,'1店辅助表'!E:F,2,FALSE),0)</f>
        <v>0</v>
      </c>
      <c r="P8" s="186">
        <f>IFERROR(VLOOKUP(B:B,'1店辅助表'!H:I,2,FALSE),0)</f>
        <v>0</v>
      </c>
      <c r="Q8" s="65">
        <f>IFERROR(VLOOKUP($B:$B,'[1]1店'!$B:$N,13,FALSE),0)</f>
        <v>0</v>
      </c>
      <c r="R8" s="79">
        <f t="shared" si="2"/>
        <v>0</v>
      </c>
      <c r="S8" s="80" t="str">
        <f t="shared" si="3"/>
        <v>-</v>
      </c>
      <c r="T8" s="44" t="str">
        <f t="shared" si="4"/>
        <v>-</v>
      </c>
      <c r="U8" s="188" t="str">
        <f>IFERROR(VLOOKUP($B:$B,'[1]1店'!$B:$T,19,FALSE),0)</f>
        <v>-</v>
      </c>
      <c r="V8" s="81" t="str">
        <f t="shared" si="5"/>
        <v>-</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有库存无销量</v>
      </c>
      <c r="X8" s="83" t="str">
        <f>_xlfn.IFS(AND(D8&lt;&gt;0,D8-$AM$2&gt;=0,K8&gt;0,D8&lt;&gt;0),"本月刚到货",AND(T8="-",K8&gt;0),"有库存无销量",AND(T8="-",K8=0),"无库存无销量",AND(T8&lt;=0.5,K8=0),"无库存有销量",T8&lt;=0.5,"库存过低",T8&lt;=1.5,"正常",T8&gt;1.5,"库存过高")</f>
        <v>有库存无销量</v>
      </c>
      <c r="Y8" s="44">
        <f>IFERROR(SUMIF('1店辅助表'!K:K,B:B,'1店辅助表'!N:N),0)</f>
        <v>0</v>
      </c>
      <c r="Z8" s="44">
        <f>IFERROR(SUMIF('1店辅助表'!T:T,B:B,'1店辅助表'!W:W),0)</f>
        <v>0</v>
      </c>
      <c r="AA8" s="44">
        <f>IFERROR(SUMIF('1店辅助表'!AC:AC,B:B,'1店辅助表'!AF:AF),0)</f>
        <v>0</v>
      </c>
      <c r="AB8" s="91" t="str">
        <f>IFERROR(SUMIF('1店辅助表'!K:K,B:B,'1店辅助表'!N:N)/SUMIF('1店辅助表'!K:K,B:B,'1店辅助表'!O:O),"-")</f>
        <v>-</v>
      </c>
      <c r="AC8" s="91" t="str">
        <f>IFERROR(VLOOKUP($B:$B,'[1]1店'!$B:$AB,27,FALSE),"-")</f>
        <v>-</v>
      </c>
      <c r="AD8" s="92" t="str">
        <f t="shared" si="6"/>
        <v>-</v>
      </c>
      <c r="AE8" s="91" t="str">
        <f>IFERROR(SUMIF('1店辅助表'!T:T,B:B,'1店辅助表'!W:W)/SUMIF('1店辅助表'!T:T,B:B,'1店辅助表'!X:X),"-")</f>
        <v>-</v>
      </c>
      <c r="AF8" s="91" t="str">
        <f>IFERROR(SUMIF('1店辅助表'!AC:AC,B:B,'1店辅助表'!AF:AF)/SUMIF('1店辅助表'!AC:AC,B:B,'1店辅助表'!AG:AG),"-")</f>
        <v>-</v>
      </c>
      <c r="AG8" s="99">
        <f>IFERROR(AK8/((SUMIF('1店辅助表'!AT:AT,B:B,'1店辅助表'!AU:AU)+M8)/2),"-")</f>
        <v>0</v>
      </c>
      <c r="AH8" s="99">
        <f>IFERROR(AL8/((SUMIF('1店辅助表'!AW:AW,B:B,'1店辅助表'!AX:AX)+M8)/2),"-")</f>
        <v>0</v>
      </c>
      <c r="AI8" s="100" t="str">
        <f>IFERROR((SUMIF('1店辅助表'!AP:AP,B:B,'1店辅助表'!AR:AR)-SUMIF('1店辅助表'!AP:AP,B:B,'1店辅助表'!AR:AR)*0.15-(L8+IFERROR(VLOOKUP(B:B,'1店辅助表'!AZ:BA,2,0),0))*O8-IF(AN:AN="US",6.85,4.9)*(Z8+3.99*O8))/SUMIF('1店辅助表'!AP:AP,B:B,'1店辅助表'!AR:AR),"-")</f>
        <v>-</v>
      </c>
      <c r="AJ8" s="100" t="str">
        <f t="shared" si="7"/>
        <v>-</v>
      </c>
      <c r="AK8" s="101">
        <f t="shared" si="8"/>
        <v>0</v>
      </c>
      <c r="AL8" s="101">
        <f t="shared" si="9"/>
        <v>0</v>
      </c>
      <c r="AM8" s="1" t="str">
        <f>VLOOKUP(B:B,'1店辅助表'!$AZ:$BB,1,FALSE)</f>
        <v>E02610-BL+E02613+E02634-1</v>
      </c>
      <c r="AN8" s="1" t="str">
        <f>VLOOKUP(B:B,'1店辅助表'!AZ:BB,3,FALSE)</f>
        <v>US</v>
      </c>
    </row>
    <row r="9" customHeight="1" spans="1:40">
      <c r="A9" s="58" t="str">
        <f>INDEX('[1]1店'!$A:$A,MATCH(B:B,'[1]1店'!$B:$B,0))</f>
        <v>晓美</v>
      </c>
      <c r="B9" s="43" t="s">
        <v>64</v>
      </c>
      <c r="C9" s="43" t="s">
        <v>65</v>
      </c>
      <c r="D9" s="59"/>
      <c r="E9" s="43" t="s">
        <v>66</v>
      </c>
      <c r="F9" s="43">
        <v>0</v>
      </c>
      <c r="G9" s="43">
        <v>4</v>
      </c>
      <c r="H9" s="43">
        <v>0</v>
      </c>
      <c r="I9" s="43">
        <v>0</v>
      </c>
      <c r="J9" s="43">
        <v>0</v>
      </c>
      <c r="K9" s="63">
        <f t="shared" si="1"/>
        <v>4</v>
      </c>
      <c r="L9" s="64">
        <f>VLOOKUP($B:$B,'[1]1店'!$B:$L,11,0)</f>
        <v>13.9</v>
      </c>
      <c r="M9" s="44">
        <f t="shared" si="10"/>
        <v>55.6</v>
      </c>
      <c r="N9" s="186">
        <f>IFERROR(VLOOKUP(B:B,'1店辅助表'!B:C,2,FALSE),0)</f>
        <v>0</v>
      </c>
      <c r="O9" s="186">
        <f>IFERROR(VLOOKUP(B:B,'1店辅助表'!E:F,2,FALSE),0)</f>
        <v>0</v>
      </c>
      <c r="P9" s="186">
        <f>IFERROR(VLOOKUP(B:B,'1店辅助表'!H:I,2,FALSE),0)</f>
        <v>0</v>
      </c>
      <c r="Q9" s="65">
        <f>IFERROR(VLOOKUP($B:$B,'[1]1店'!$B:$N,13,FALSE),0)</f>
        <v>0</v>
      </c>
      <c r="R9" s="79">
        <f t="shared" si="2"/>
        <v>0</v>
      </c>
      <c r="S9" s="80" t="str">
        <f t="shared" si="3"/>
        <v>-</v>
      </c>
      <c r="T9" s="44" t="str">
        <f t="shared" si="4"/>
        <v>-</v>
      </c>
      <c r="U9" s="188" t="str">
        <f>IFERROR(VLOOKUP($B:$B,'[1]1店'!$B:$T,19,FALSE),0)</f>
        <v>-</v>
      </c>
      <c r="V9" s="81" t="str">
        <f t="shared" si="5"/>
        <v>-</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有库存无销量</v>
      </c>
      <c r="X9" s="83" t="str">
        <f>_xlfn.IFS(AND(D9&lt;&gt;0,D9-$AM$2&gt;=0,K9&gt;0,D9&lt;&gt;0),"本月刚到货",AND(T9="-",K9&gt;0),"有库存无销量",AND(T9="-",K9=0),"无库存无销量",AND(T9&lt;=0.5,K9=0),"无库存有销量",T9&lt;=0.5,"库存过低",T9&lt;=1.5,"正常",T9&gt;1.5,"库存过高")</f>
        <v>有库存无销量</v>
      </c>
      <c r="Y9" s="44">
        <f>IFERROR(SUMIF('1店辅助表'!K:K,B:B,'1店辅助表'!N:N),0)</f>
        <v>0</v>
      </c>
      <c r="Z9" s="44">
        <f>IFERROR(SUMIF('1店辅助表'!T:T,B:B,'1店辅助表'!W:W),0)</f>
        <v>0</v>
      </c>
      <c r="AA9" s="44">
        <f>IFERROR(SUMIF('1店辅助表'!AC:AC,B:B,'1店辅助表'!AF:AF),0)</f>
        <v>0</v>
      </c>
      <c r="AB9" s="91" t="str">
        <f>IFERROR(SUMIF('1店辅助表'!K:K,B:B,'1店辅助表'!N:N)/SUMIF('1店辅助表'!K:K,B:B,'1店辅助表'!O:O),"-")</f>
        <v>-</v>
      </c>
      <c r="AC9" s="91" t="str">
        <f>IFERROR(VLOOKUP($B:$B,'[1]1店'!$B:$AB,27,FALSE),"-")</f>
        <v>-</v>
      </c>
      <c r="AD9" s="92" t="str">
        <f t="shared" si="6"/>
        <v>-</v>
      </c>
      <c r="AE9" s="91" t="str">
        <f>IFERROR(SUMIF('1店辅助表'!T:T,B:B,'1店辅助表'!W:W)/SUMIF('1店辅助表'!T:T,B:B,'1店辅助表'!X:X),"-")</f>
        <v>-</v>
      </c>
      <c r="AF9" s="91" t="str">
        <f>IFERROR(SUMIF('1店辅助表'!AC:AC,B:B,'1店辅助表'!AF:AF)/SUMIF('1店辅助表'!AC:AC,B:B,'1店辅助表'!AG:AG),"-")</f>
        <v>-</v>
      </c>
      <c r="AG9" s="99">
        <f>IFERROR(AK9/((SUMIF('1店辅助表'!AT:AT,B:B,'1店辅助表'!AU:AU)+M9)/2),"-")</f>
        <v>0</v>
      </c>
      <c r="AH9" s="99">
        <f>IFERROR(AL9/((SUMIF('1店辅助表'!AW:AW,B:B,'1店辅助表'!AX:AX)+M9)/2),"-")</f>
        <v>0</v>
      </c>
      <c r="AI9" s="100" t="str">
        <f>IFERROR((SUMIF('1店辅助表'!AP:AP,B:B,'1店辅助表'!AR:AR)-SUMIF('1店辅助表'!AP:AP,B:B,'1店辅助表'!AR:AR)*0.15-(L9+IFERROR(VLOOKUP(B:B,'1店辅助表'!AZ:BA,2,0),0))*O9-IF(AN:AN="US",6.85,4.9)*(Z9+3.99*O9))/SUMIF('1店辅助表'!AP:AP,B:B,'1店辅助表'!AR:AR),"-")</f>
        <v>-</v>
      </c>
      <c r="AJ9" s="100" t="str">
        <f t="shared" si="7"/>
        <v>-</v>
      </c>
      <c r="AK9" s="101">
        <f t="shared" si="8"/>
        <v>0</v>
      </c>
      <c r="AL9" s="101">
        <f t="shared" si="9"/>
        <v>0</v>
      </c>
      <c r="AM9" s="1" t="str">
        <f>VLOOKUP(B:B,'1店辅助表'!$AZ:$BB,1,FALSE)</f>
        <v>E02611-NB+E02614+E02635</v>
      </c>
      <c r="AN9" s="1" t="str">
        <f>VLOOKUP(B:B,'1店辅助表'!AZ:BB,3,FALSE)</f>
        <v>US</v>
      </c>
    </row>
    <row r="10" customHeight="1" spans="1:40">
      <c r="A10" s="58" t="str">
        <f>INDEX('[1]1店'!$A:$A,MATCH(B:B,'[1]1店'!$B:$B,0))</f>
        <v>晓美</v>
      </c>
      <c r="B10" s="43" t="s">
        <v>67</v>
      </c>
      <c r="C10" s="43" t="s">
        <v>68</v>
      </c>
      <c r="D10" s="59"/>
      <c r="E10" s="43" t="s">
        <v>69</v>
      </c>
      <c r="F10" s="43">
        <v>0</v>
      </c>
      <c r="G10" s="43">
        <v>1</v>
      </c>
      <c r="H10" s="43">
        <v>0</v>
      </c>
      <c r="I10" s="43">
        <v>0</v>
      </c>
      <c r="J10" s="43">
        <v>0</v>
      </c>
      <c r="K10" s="63">
        <f t="shared" ref="K10:K35" si="11">F10+G10+H10+I10+J10</f>
        <v>1</v>
      </c>
      <c r="L10" s="64">
        <f>VLOOKUP($B:$B,'[1]1店'!$B:$L,11,0)</f>
        <v>6</v>
      </c>
      <c r="M10" s="44">
        <f t="shared" si="10"/>
        <v>6</v>
      </c>
      <c r="N10" s="186">
        <f>IFERROR(VLOOKUP(B:B,'1店辅助表'!B:C,2,FALSE),0)</f>
        <v>0</v>
      </c>
      <c r="O10" s="186">
        <f>IFERROR(VLOOKUP(B:B,'1店辅助表'!E:F,2,FALSE),0)</f>
        <v>0</v>
      </c>
      <c r="P10" s="186">
        <f>IFERROR(VLOOKUP(B:B,'1店辅助表'!H:I,2,FALSE),0)</f>
        <v>0</v>
      </c>
      <c r="Q10" s="65">
        <f>IFERROR(VLOOKUP($B:$B,'[1]1店'!$B:$N,13,FALSE),0)</f>
        <v>0</v>
      </c>
      <c r="R10" s="79">
        <f t="shared" ref="R10:R43" si="12">N10-Q10</f>
        <v>0</v>
      </c>
      <c r="S10" s="80" t="str">
        <f t="shared" ref="S10:S43" si="13">IFERROR(K10/((N10/7+O10/15+P10/30)/3),"-")</f>
        <v>-</v>
      </c>
      <c r="T10" s="44" t="str">
        <f t="shared" ref="T10:T43" si="14">IFERROR(S10/30,"-")</f>
        <v>-</v>
      </c>
      <c r="U10" s="188" t="str">
        <f>IFERROR(VLOOKUP($B:$B,'[1]1店'!$B:$T,19,FALSE),0)</f>
        <v>-</v>
      </c>
      <c r="V10" s="81" t="str">
        <f t="shared" ref="V10:V43" si="15">IFERROR(T10-U10,"-")</f>
        <v>-</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有库存无销量</v>
      </c>
      <c r="X10" s="83" t="str">
        <f>_xlfn.IFS(AND(D10&lt;&gt;0,D10-$AM$2&gt;=0,K10&gt;0,D10&lt;&gt;0),"本月刚到货",AND(T10="-",K10&gt;0),"有库存无销量",AND(T10="-",K10=0),"无库存无销量",AND(T10&lt;=0.5,K10=0),"无库存有销量",T10&lt;=0.5,"库存过低",T10&lt;=1.5,"正常",T10&gt;1.5,"库存过高")</f>
        <v>有库存无销量</v>
      </c>
      <c r="Y10" s="44">
        <f>IFERROR(SUMIF('1店辅助表'!K:K,B:B,'1店辅助表'!N:N),0)</f>
        <v>0</v>
      </c>
      <c r="Z10" s="44">
        <f>IFERROR(SUMIF('1店辅助表'!T:T,B:B,'1店辅助表'!W:W),0)</f>
        <v>0</v>
      </c>
      <c r="AA10" s="44">
        <f>IFERROR(SUMIF('1店辅助表'!AC:AC,B:B,'1店辅助表'!AF:AF),0)</f>
        <v>0</v>
      </c>
      <c r="AB10" s="91" t="str">
        <f>IFERROR(SUMIF('1店辅助表'!K:K,B:B,'1店辅助表'!N:N)/SUMIF('1店辅助表'!K:K,B:B,'1店辅助表'!O:O),"-")</f>
        <v>-</v>
      </c>
      <c r="AC10" s="91" t="str">
        <f>IFERROR(VLOOKUP($B:$B,'[1]1店'!$B:$AB,27,FALSE),"-")</f>
        <v>-</v>
      </c>
      <c r="AD10" s="92" t="str">
        <f t="shared" ref="AD10:AD43" si="16">IFERROR(AB10-AC10,"-")</f>
        <v>-</v>
      </c>
      <c r="AE10" s="91" t="str">
        <f>IFERROR(SUMIF('1店辅助表'!T:T,B:B,'1店辅助表'!W:W)/SUMIF('1店辅助表'!T:T,B:B,'1店辅助表'!X:X),"-")</f>
        <v>-</v>
      </c>
      <c r="AF10" s="91" t="str">
        <f>IFERROR(SUMIF('1店辅助表'!AC:AC,B:B,'1店辅助表'!AF:AF)/SUMIF('1店辅助表'!AC:AC,B:B,'1店辅助表'!AG:AG),"-")</f>
        <v>-</v>
      </c>
      <c r="AG10" s="99">
        <f>IFERROR(AK10/((SUMIF('1店辅助表'!AT:AT,B:B,'1店辅助表'!AU:AU)+M10)/2),"-")</f>
        <v>0</v>
      </c>
      <c r="AH10" s="99">
        <f>IFERROR(AL10/((SUMIF('1店辅助表'!AW:AW,B:B,'1店辅助表'!AX:AX)+M10)/2),"-")</f>
        <v>0</v>
      </c>
      <c r="AI10" s="100" t="str">
        <f>IFERROR((SUMIF('1店辅助表'!AP:AP,B:B,'1店辅助表'!AR:AR)-SUMIF('1店辅助表'!AP:AP,B:B,'1店辅助表'!AR:AR)*0.15-(L10+IFERROR(VLOOKUP(B:B,'1店辅助表'!AZ:BA,2,0),0))*O10-IF(AN:AN="US",6.85,4.9)*(Z10+3.99*O10))/SUMIF('1店辅助表'!AP:AP,B:B,'1店辅助表'!AR:AR),"-")</f>
        <v>-</v>
      </c>
      <c r="AJ10" s="100" t="str">
        <f t="shared" ref="AJ10:AJ43" si="17">IFERROR(AH10*AI10,"-")</f>
        <v>-</v>
      </c>
      <c r="AK10" s="101">
        <f t="shared" ref="AK10:AK43" si="18">$N10*$L10</f>
        <v>0</v>
      </c>
      <c r="AL10" s="101">
        <f t="shared" ref="AL10:AL43" si="19">$O10*$L10</f>
        <v>0</v>
      </c>
      <c r="AM10" s="1" t="str">
        <f>VLOOKUP(B:B,'1店辅助表'!$AZ:$BB,1,FALSE)</f>
        <v>E02615+2</v>
      </c>
      <c r="AN10" s="1" t="str">
        <f>VLOOKUP(B:B,'1店辅助表'!AZ:BB,3,FALSE)</f>
        <v>US</v>
      </c>
    </row>
    <row r="11" customHeight="1" spans="1:40">
      <c r="A11" s="58" t="str">
        <f>INDEX('[1]1店'!$A:$A,MATCH(B:B,'[1]1店'!$B:$B,0))</f>
        <v>晓美</v>
      </c>
      <c r="B11" s="43" t="s">
        <v>70</v>
      </c>
      <c r="C11" s="43" t="s">
        <v>71</v>
      </c>
      <c r="D11" s="59"/>
      <c r="E11" s="43" t="s">
        <v>72</v>
      </c>
      <c r="F11" s="43">
        <v>0</v>
      </c>
      <c r="G11" s="43">
        <v>1</v>
      </c>
      <c r="H11" s="43">
        <v>0</v>
      </c>
      <c r="I11" s="43">
        <v>0</v>
      </c>
      <c r="J11" s="43">
        <v>0</v>
      </c>
      <c r="K11" s="63">
        <f t="shared" si="11"/>
        <v>1</v>
      </c>
      <c r="L11" s="64">
        <f>VLOOKUP($B:$B,'[1]1店'!$B:$L,11,0)</f>
        <v>13.9</v>
      </c>
      <c r="M11" s="44">
        <f t="shared" si="10"/>
        <v>13.9</v>
      </c>
      <c r="N11" s="186">
        <f>IFERROR(VLOOKUP(B:B,'1店辅助表'!B:C,2,FALSE),0)</f>
        <v>0</v>
      </c>
      <c r="O11" s="186">
        <f>IFERROR(VLOOKUP(B:B,'1店辅助表'!E:F,2,FALSE),0)</f>
        <v>0</v>
      </c>
      <c r="P11" s="186">
        <f>IFERROR(VLOOKUP(B:B,'1店辅助表'!H:I,2,FALSE),0)</f>
        <v>0</v>
      </c>
      <c r="Q11" s="65">
        <f>IFERROR(VLOOKUP($B:$B,'[1]1店'!$B:$N,13,FALSE),0)</f>
        <v>0</v>
      </c>
      <c r="R11" s="79">
        <f t="shared" si="12"/>
        <v>0</v>
      </c>
      <c r="S11" s="80" t="str">
        <f t="shared" si="13"/>
        <v>-</v>
      </c>
      <c r="T11" s="44" t="str">
        <f t="shared" si="14"/>
        <v>-</v>
      </c>
      <c r="U11" s="188" t="str">
        <f>IFERROR(VLOOKUP($B:$B,'[1]1店'!$B:$T,19,FALSE),0)</f>
        <v>-</v>
      </c>
      <c r="V11" s="81" t="str">
        <f t="shared" si="15"/>
        <v>-</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有库存无销量</v>
      </c>
      <c r="X11" s="83" t="str">
        <f>_xlfn.IFS(AND(D11&lt;&gt;0,D11-$AM$2&gt;=0,K11&gt;0,D11&lt;&gt;0),"本月刚到货",AND(T11="-",K11&gt;0),"有库存无销量",AND(T11="-",K11=0),"无库存无销量",AND(T11&lt;=0.5,K11=0),"无库存有销量",T11&lt;=0.5,"库存过低",T11&lt;=1.5,"正常",T11&gt;1.5,"库存过高")</f>
        <v>有库存无销量</v>
      </c>
      <c r="Y11" s="44">
        <f>IFERROR(SUMIF('1店辅助表'!K:K,B:B,'1店辅助表'!N:N),0)</f>
        <v>0</v>
      </c>
      <c r="Z11" s="44">
        <f>IFERROR(SUMIF('1店辅助表'!T:T,B:B,'1店辅助表'!W:W),0)</f>
        <v>0</v>
      </c>
      <c r="AA11" s="44">
        <f>IFERROR(SUMIF('1店辅助表'!AC:AC,B:B,'1店辅助表'!AF:AF),0)</f>
        <v>0</v>
      </c>
      <c r="AB11" s="91" t="str">
        <f>IFERROR(SUMIF('1店辅助表'!K:K,B:B,'1店辅助表'!N:N)/SUMIF('1店辅助表'!K:K,B:B,'1店辅助表'!O:O),"-")</f>
        <v>-</v>
      </c>
      <c r="AC11" s="91" t="str">
        <f>IFERROR(VLOOKUP($B:$B,'[1]1店'!$B:$AB,27,FALSE),"-")</f>
        <v>-</v>
      </c>
      <c r="AD11" s="92" t="str">
        <f t="shared" si="16"/>
        <v>-</v>
      </c>
      <c r="AE11" s="91" t="str">
        <f>IFERROR(SUMIF('1店辅助表'!T:T,B:B,'1店辅助表'!W:W)/SUMIF('1店辅助表'!T:T,B:B,'1店辅助表'!X:X),"-")</f>
        <v>-</v>
      </c>
      <c r="AF11" s="91" t="str">
        <f>IFERROR(SUMIF('1店辅助表'!AC:AC,B:B,'1店辅助表'!AF:AF)/SUMIF('1店辅助表'!AC:AC,B:B,'1店辅助表'!AG:AG),"-")</f>
        <v>-</v>
      </c>
      <c r="AG11" s="99">
        <f>IFERROR(AK11/((SUMIF('1店辅助表'!AT:AT,B:B,'1店辅助表'!AU:AU)+M11)/2),"-")</f>
        <v>0</v>
      </c>
      <c r="AH11" s="99">
        <f>IFERROR(AL11/((SUMIF('1店辅助表'!AW:AW,B:B,'1店辅助表'!AX:AX)+M11)/2),"-")</f>
        <v>0</v>
      </c>
      <c r="AI11" s="100" t="str">
        <f>IFERROR((SUMIF('1店辅助表'!AP:AP,B:B,'1店辅助表'!AR:AR)-SUMIF('1店辅助表'!AP:AP,B:B,'1店辅助表'!AR:AR)*0.15-(L11+IFERROR(VLOOKUP(B:B,'1店辅助表'!AZ:BA,2,0),0))*O11-IF(AN:AN="US",6.85,4.9)*(Z11+3.99*O11))/SUMIF('1店辅助表'!AP:AP,B:B,'1店辅助表'!AR:AR),"-")</f>
        <v>-</v>
      </c>
      <c r="AJ11" s="100" t="str">
        <f t="shared" si="17"/>
        <v>-</v>
      </c>
      <c r="AK11" s="101">
        <f t="shared" si="18"/>
        <v>0</v>
      </c>
      <c r="AL11" s="101">
        <f t="shared" si="19"/>
        <v>0</v>
      </c>
      <c r="AM11" s="1" t="str">
        <f>VLOOKUP(B:B,'1店辅助表'!$AZ:$BB,1,FALSE)</f>
        <v>E02648-BL+E02649+E02381-1</v>
      </c>
      <c r="AN11" s="1" t="str">
        <f>VLOOKUP(B:B,'1店辅助表'!AZ:BB,3,FALSE)</f>
        <v>US</v>
      </c>
    </row>
    <row r="12" customHeight="1" spans="1:40">
      <c r="A12" s="58" t="str">
        <f>INDEX('[1]1店'!$A:$A,MATCH(B:B,'[1]1店'!$B:$B,0))</f>
        <v>晓美</v>
      </c>
      <c r="B12" s="43" t="s">
        <v>73</v>
      </c>
      <c r="C12" s="43" t="s">
        <v>74</v>
      </c>
      <c r="D12" s="59"/>
      <c r="E12" s="43" t="s">
        <v>75</v>
      </c>
      <c r="F12" s="43">
        <v>0</v>
      </c>
      <c r="G12" s="43">
        <v>1</v>
      </c>
      <c r="H12" s="43">
        <v>0</v>
      </c>
      <c r="I12" s="43">
        <v>0</v>
      </c>
      <c r="J12" s="43">
        <v>0</v>
      </c>
      <c r="K12" s="63">
        <f t="shared" si="11"/>
        <v>1</v>
      </c>
      <c r="L12" s="64">
        <f>VLOOKUP($B:$B,'[1]1店'!$B:$L,11,0)</f>
        <v>13.9</v>
      </c>
      <c r="M12" s="44">
        <f t="shared" si="10"/>
        <v>13.9</v>
      </c>
      <c r="N12" s="186">
        <f>IFERROR(VLOOKUP(B:B,'1店辅助表'!B:C,2,FALSE),0)</f>
        <v>0</v>
      </c>
      <c r="O12" s="186">
        <f>IFERROR(VLOOKUP(B:B,'1店辅助表'!E:F,2,FALSE),0)</f>
        <v>0</v>
      </c>
      <c r="P12" s="186">
        <f>IFERROR(VLOOKUP(B:B,'1店辅助表'!H:I,2,FALSE),0)</f>
        <v>0</v>
      </c>
      <c r="Q12" s="65">
        <f>IFERROR(VLOOKUP($B:$B,'[1]1店'!$B:$N,13,FALSE),0)</f>
        <v>0</v>
      </c>
      <c r="R12" s="79">
        <f t="shared" si="12"/>
        <v>0</v>
      </c>
      <c r="S12" s="80" t="str">
        <f t="shared" si="13"/>
        <v>-</v>
      </c>
      <c r="T12" s="44" t="str">
        <f t="shared" si="14"/>
        <v>-</v>
      </c>
      <c r="U12" s="188" t="str">
        <f>IFERROR(VLOOKUP($B:$B,'[1]1店'!$B:$T,19,FALSE),0)</f>
        <v>-</v>
      </c>
      <c r="V12" s="81" t="str">
        <f t="shared" si="15"/>
        <v>-</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有库存无销量</v>
      </c>
      <c r="X12" s="83" t="str">
        <f>_xlfn.IFS(AND(D12&lt;&gt;0,D12-$AM$2&gt;=0,K12&gt;0,D12&lt;&gt;0),"本月刚到货",AND(T12="-",K12&gt;0),"有库存无销量",AND(T12="-",K12=0),"无库存无销量",AND(T12&lt;=0.5,K12=0),"无库存有销量",T12&lt;=0.5,"库存过低",T12&lt;=1.5,"正常",T12&gt;1.5,"库存过高")</f>
        <v>有库存无销量</v>
      </c>
      <c r="Y12" s="44">
        <f>IFERROR(SUMIF('1店辅助表'!K:K,B:B,'1店辅助表'!N:N),0)</f>
        <v>0</v>
      </c>
      <c r="Z12" s="44">
        <f>IFERROR(SUMIF('1店辅助表'!T:T,B:B,'1店辅助表'!W:W),0)</f>
        <v>0</v>
      </c>
      <c r="AA12" s="44">
        <f>IFERROR(SUMIF('1店辅助表'!AC:AC,B:B,'1店辅助表'!AF:AF),0)</f>
        <v>0</v>
      </c>
      <c r="AB12" s="91" t="str">
        <f>IFERROR(SUMIF('1店辅助表'!K:K,B:B,'1店辅助表'!N:N)/SUMIF('1店辅助表'!K:K,B:B,'1店辅助表'!O:O),"-")</f>
        <v>-</v>
      </c>
      <c r="AC12" s="91" t="str">
        <f>IFERROR(VLOOKUP($B:$B,'[1]1店'!$B:$AB,27,FALSE),"-")</f>
        <v>-</v>
      </c>
      <c r="AD12" s="92" t="str">
        <f t="shared" si="16"/>
        <v>-</v>
      </c>
      <c r="AE12" s="91" t="str">
        <f>IFERROR(SUMIF('1店辅助表'!T:T,B:B,'1店辅助表'!W:W)/SUMIF('1店辅助表'!T:T,B:B,'1店辅助表'!X:X),"-")</f>
        <v>-</v>
      </c>
      <c r="AF12" s="91" t="str">
        <f>IFERROR(SUMIF('1店辅助表'!AC:AC,B:B,'1店辅助表'!AF:AF)/SUMIF('1店辅助表'!AC:AC,B:B,'1店辅助表'!AG:AG),"-")</f>
        <v>-</v>
      </c>
      <c r="AG12" s="99">
        <f>IFERROR(AK12/((SUMIF('1店辅助表'!AT:AT,B:B,'1店辅助表'!AU:AU)+M12)/2),"-")</f>
        <v>0</v>
      </c>
      <c r="AH12" s="99">
        <f>IFERROR(AL12/((SUMIF('1店辅助表'!AW:AW,B:B,'1店辅助表'!AX:AX)+M12)/2),"-")</f>
        <v>0</v>
      </c>
      <c r="AI12" s="100" t="str">
        <f>IFERROR((SUMIF('1店辅助表'!AP:AP,B:B,'1店辅助表'!AR:AR)-SUMIF('1店辅助表'!AP:AP,B:B,'1店辅助表'!AR:AR)*0.15-(L12+IFERROR(VLOOKUP(B:B,'1店辅助表'!AZ:BA,2,0),0))*O12-IF(AN:AN="US",6.85,4.9)*(Z12+3.99*O12))/SUMIF('1店辅助表'!AP:AP,B:B,'1店辅助表'!AR:AR),"-")</f>
        <v>-</v>
      </c>
      <c r="AJ12" s="100" t="str">
        <f t="shared" si="17"/>
        <v>-</v>
      </c>
      <c r="AK12" s="101">
        <f t="shared" si="18"/>
        <v>0</v>
      </c>
      <c r="AL12" s="101">
        <f t="shared" si="19"/>
        <v>0</v>
      </c>
      <c r="AM12" s="1" t="str">
        <f>VLOOKUP(B:B,'1店辅助表'!$AZ:$BB,1,FALSE)</f>
        <v>E02648-NB+E02649+E02381-1</v>
      </c>
      <c r="AN12" s="1" t="str">
        <f>VLOOKUP(B:B,'1店辅助表'!AZ:BB,3,FALSE)</f>
        <v>US</v>
      </c>
    </row>
    <row r="13" customHeight="1" spans="1:40">
      <c r="A13" s="58" t="str">
        <f>INDEX('[1]1店'!$A:$A,MATCH(B:B,'[1]1店'!$B:$B,0))</f>
        <v>晓美</v>
      </c>
      <c r="B13" s="43" t="s">
        <v>76</v>
      </c>
      <c r="C13" s="43" t="s">
        <v>77</v>
      </c>
      <c r="D13" s="59"/>
      <c r="E13" s="43" t="s">
        <v>78</v>
      </c>
      <c r="F13" s="43">
        <v>0</v>
      </c>
      <c r="G13" s="43">
        <v>1</v>
      </c>
      <c r="H13" s="43">
        <v>0</v>
      </c>
      <c r="I13" s="43">
        <v>0</v>
      </c>
      <c r="J13" s="43">
        <v>0</v>
      </c>
      <c r="K13" s="63">
        <f t="shared" si="11"/>
        <v>1</v>
      </c>
      <c r="L13" s="64">
        <f>VLOOKUP($B:$B,'[1]1店'!$B:$L,11,0)</f>
        <v>13.9</v>
      </c>
      <c r="M13" s="44">
        <f t="shared" si="10"/>
        <v>13.9</v>
      </c>
      <c r="N13" s="186">
        <f>IFERROR(VLOOKUP(B:B,'1店辅助表'!B:C,2,FALSE),0)</f>
        <v>0</v>
      </c>
      <c r="O13" s="186">
        <f>IFERROR(VLOOKUP(B:B,'1店辅助表'!E:F,2,FALSE),0)</f>
        <v>0</v>
      </c>
      <c r="P13" s="186">
        <f>IFERROR(VLOOKUP(B:B,'1店辅助表'!H:I,2,FALSE),0)</f>
        <v>0</v>
      </c>
      <c r="Q13" s="65">
        <f>IFERROR(VLOOKUP($B:$B,'[1]1店'!$B:$N,13,FALSE),0)</f>
        <v>0</v>
      </c>
      <c r="R13" s="79">
        <f t="shared" si="12"/>
        <v>0</v>
      </c>
      <c r="S13" s="80" t="str">
        <f t="shared" si="13"/>
        <v>-</v>
      </c>
      <c r="T13" s="44" t="str">
        <f t="shared" si="14"/>
        <v>-</v>
      </c>
      <c r="U13" s="188" t="str">
        <f>IFERROR(VLOOKUP($B:$B,'[1]1店'!$B:$T,19,FALSE),0)</f>
        <v>-</v>
      </c>
      <c r="V13" s="81" t="str">
        <f t="shared" si="15"/>
        <v>-</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有库存无销量</v>
      </c>
      <c r="X13" s="83" t="str">
        <f>_xlfn.IFS(AND(D13&lt;&gt;0,D13-$AM$2&gt;=0,K13&gt;0,D13&lt;&gt;0),"本月刚到货",AND(T13="-",K13&gt;0),"有库存无销量",AND(T13="-",K13=0),"无库存无销量",AND(T13&lt;=0.5,K13=0),"无库存有销量",T13&lt;=0.5,"库存过低",T13&lt;=1.5,"正常",T13&gt;1.5,"库存过高")</f>
        <v>有库存无销量</v>
      </c>
      <c r="Y13" s="44">
        <f>IFERROR(SUMIF('1店辅助表'!K:K,B:B,'1店辅助表'!N:N),0)</f>
        <v>0</v>
      </c>
      <c r="Z13" s="44">
        <f>IFERROR(SUMIF('1店辅助表'!T:T,B:B,'1店辅助表'!W:W),0)</f>
        <v>0</v>
      </c>
      <c r="AA13" s="44">
        <f>IFERROR(SUMIF('1店辅助表'!AC:AC,B:B,'1店辅助表'!AF:AF),0)</f>
        <v>0</v>
      </c>
      <c r="AB13" s="91" t="str">
        <f>IFERROR(SUMIF('1店辅助表'!K:K,B:B,'1店辅助表'!N:N)/SUMIF('1店辅助表'!K:K,B:B,'1店辅助表'!O:O),"-")</f>
        <v>-</v>
      </c>
      <c r="AC13" s="91" t="str">
        <f>IFERROR(VLOOKUP($B:$B,'[1]1店'!$B:$AB,27,FALSE),"-")</f>
        <v>-</v>
      </c>
      <c r="AD13" s="92" t="str">
        <f t="shared" si="16"/>
        <v>-</v>
      </c>
      <c r="AE13" s="91" t="str">
        <f>IFERROR(SUMIF('1店辅助表'!T:T,B:B,'1店辅助表'!W:W)/SUMIF('1店辅助表'!T:T,B:B,'1店辅助表'!X:X),"-")</f>
        <v>-</v>
      </c>
      <c r="AF13" s="91" t="str">
        <f>IFERROR(SUMIF('1店辅助表'!AC:AC,B:B,'1店辅助表'!AF:AF)/SUMIF('1店辅助表'!AC:AC,B:B,'1店辅助表'!AG:AG),"-")</f>
        <v>-</v>
      </c>
      <c r="AG13" s="99">
        <f>IFERROR(AK13/((SUMIF('1店辅助表'!AT:AT,B:B,'1店辅助表'!AU:AU)+M13)/2),"-")</f>
        <v>0</v>
      </c>
      <c r="AH13" s="99">
        <f>IFERROR(AL13/((SUMIF('1店辅助表'!AW:AW,B:B,'1店辅助表'!AX:AX)+M13)/2),"-")</f>
        <v>0</v>
      </c>
      <c r="AI13" s="100" t="str">
        <f>IFERROR((SUMIF('1店辅助表'!AP:AP,B:B,'1店辅助表'!AR:AR)-SUMIF('1店辅助表'!AP:AP,B:B,'1店辅助表'!AR:AR)*0.15-(L13+IFERROR(VLOOKUP(B:B,'1店辅助表'!AZ:BA,2,0),0))*O13-IF(AN:AN="US",6.85,4.9)*(Z13+3.99*O13))/SUMIF('1店辅助表'!AP:AP,B:B,'1店辅助表'!AR:AR),"-")</f>
        <v>-</v>
      </c>
      <c r="AJ13" s="100" t="str">
        <f t="shared" si="17"/>
        <v>-</v>
      </c>
      <c r="AK13" s="101">
        <f t="shared" si="18"/>
        <v>0</v>
      </c>
      <c r="AL13" s="101">
        <f t="shared" si="19"/>
        <v>0</v>
      </c>
      <c r="AM13" s="1" t="str">
        <f>VLOOKUP(B:B,'1店辅助表'!$AZ:$BB,1,FALSE)</f>
        <v>E02691-BL+E02692+E02734-1</v>
      </c>
      <c r="AN13" s="1" t="str">
        <f>VLOOKUP(B:B,'1店辅助表'!AZ:BB,3,FALSE)</f>
        <v>US</v>
      </c>
    </row>
    <row r="14" customHeight="1" spans="1:40">
      <c r="A14" s="58" t="str">
        <f>INDEX('[1]1店'!$A:$A,MATCH(B:B,'[1]1店'!$B:$B,0))</f>
        <v>晓美</v>
      </c>
      <c r="B14" s="43" t="s">
        <v>79</v>
      </c>
      <c r="C14" s="43" t="s">
        <v>80</v>
      </c>
      <c r="D14" s="59"/>
      <c r="E14" s="43" t="s">
        <v>81</v>
      </c>
      <c r="F14" s="43">
        <v>0</v>
      </c>
      <c r="G14" s="43">
        <v>1</v>
      </c>
      <c r="H14" s="43">
        <v>0</v>
      </c>
      <c r="I14" s="43">
        <v>0</v>
      </c>
      <c r="J14" s="43">
        <v>0</v>
      </c>
      <c r="K14" s="63">
        <f t="shared" si="11"/>
        <v>1</v>
      </c>
      <c r="L14" s="64">
        <f>VLOOKUP($B:$B,'[1]1店'!$B:$L,11,0)</f>
        <v>13.9</v>
      </c>
      <c r="M14" s="44">
        <f t="shared" si="10"/>
        <v>13.9</v>
      </c>
      <c r="N14" s="186">
        <f>IFERROR(VLOOKUP(B:B,'1店辅助表'!B:C,2,FALSE),0)</f>
        <v>0</v>
      </c>
      <c r="O14" s="186">
        <f>IFERROR(VLOOKUP(B:B,'1店辅助表'!E:F,2,FALSE),0)</f>
        <v>0</v>
      </c>
      <c r="P14" s="186">
        <f>IFERROR(VLOOKUP(B:B,'1店辅助表'!H:I,2,FALSE),0)</f>
        <v>0</v>
      </c>
      <c r="Q14" s="65">
        <f>IFERROR(VLOOKUP($B:$B,'[1]1店'!$B:$N,13,FALSE),0)</f>
        <v>0</v>
      </c>
      <c r="R14" s="79">
        <f t="shared" si="12"/>
        <v>0</v>
      </c>
      <c r="S14" s="80" t="str">
        <f t="shared" si="13"/>
        <v>-</v>
      </c>
      <c r="T14" s="44" t="str">
        <f t="shared" si="14"/>
        <v>-</v>
      </c>
      <c r="U14" s="188" t="str">
        <f>IFERROR(VLOOKUP($B:$B,'[1]1店'!$B:$T,19,FALSE),0)</f>
        <v>-</v>
      </c>
      <c r="V14" s="81" t="str">
        <f t="shared" si="15"/>
        <v>-</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有库存无销量</v>
      </c>
      <c r="X14" s="83" t="str">
        <f>_xlfn.IFS(AND(D14&lt;&gt;0,D14-$AM$2&gt;=0,K14&gt;0,D14&lt;&gt;0),"本月刚到货",AND(T14="-",K14&gt;0),"有库存无销量",AND(T14="-",K14=0),"无库存无销量",AND(T14&lt;=0.5,K14=0),"无库存有销量",T14&lt;=0.5,"库存过低",T14&lt;=1.5,"正常",T14&gt;1.5,"库存过高")</f>
        <v>有库存无销量</v>
      </c>
      <c r="Y14" s="44">
        <f>IFERROR(SUMIF('1店辅助表'!K:K,B:B,'1店辅助表'!N:N),0)</f>
        <v>0</v>
      </c>
      <c r="Z14" s="44">
        <f>IFERROR(SUMIF('1店辅助表'!T:T,B:B,'1店辅助表'!W:W),0)</f>
        <v>0</v>
      </c>
      <c r="AA14" s="44">
        <f>IFERROR(SUMIF('1店辅助表'!AC:AC,B:B,'1店辅助表'!AF:AF),0)</f>
        <v>0</v>
      </c>
      <c r="AB14" s="91" t="str">
        <f>IFERROR(SUMIF('1店辅助表'!K:K,B:B,'1店辅助表'!N:N)/SUMIF('1店辅助表'!K:K,B:B,'1店辅助表'!O:O),"-")</f>
        <v>-</v>
      </c>
      <c r="AC14" s="91" t="str">
        <f>IFERROR(VLOOKUP($B:$B,'[1]1店'!$B:$AB,27,FALSE),"-")</f>
        <v>-</v>
      </c>
      <c r="AD14" s="92" t="str">
        <f t="shared" si="16"/>
        <v>-</v>
      </c>
      <c r="AE14" s="91" t="str">
        <f>IFERROR(SUMIF('1店辅助表'!T:T,B:B,'1店辅助表'!W:W)/SUMIF('1店辅助表'!T:T,B:B,'1店辅助表'!X:X),"-")</f>
        <v>-</v>
      </c>
      <c r="AF14" s="91" t="str">
        <f>IFERROR(SUMIF('1店辅助表'!AC:AC,B:B,'1店辅助表'!AF:AF)/SUMIF('1店辅助表'!AC:AC,B:B,'1店辅助表'!AG:AG),"-")</f>
        <v>-</v>
      </c>
      <c r="AG14" s="99">
        <f>IFERROR(AK14/((SUMIF('1店辅助表'!AT:AT,B:B,'1店辅助表'!AU:AU)+M14)/2),"-")</f>
        <v>0</v>
      </c>
      <c r="AH14" s="99">
        <f>IFERROR(AL14/((SUMIF('1店辅助表'!AW:AW,B:B,'1店辅助表'!AX:AX)+M14)/2),"-")</f>
        <v>0</v>
      </c>
      <c r="AI14" s="100" t="str">
        <f>IFERROR((SUMIF('1店辅助表'!AP:AP,B:B,'1店辅助表'!AR:AR)-SUMIF('1店辅助表'!AP:AP,B:B,'1店辅助表'!AR:AR)*0.15-(L14+IFERROR(VLOOKUP(B:B,'1店辅助表'!AZ:BA,2,0),0))*O14-IF(AN:AN="US",6.85,4.9)*(Z14+3.99*O14))/SUMIF('1店辅助表'!AP:AP,B:B,'1店辅助表'!AR:AR),"-")</f>
        <v>-</v>
      </c>
      <c r="AJ14" s="100" t="str">
        <f t="shared" si="17"/>
        <v>-</v>
      </c>
      <c r="AK14" s="101">
        <f t="shared" si="18"/>
        <v>0</v>
      </c>
      <c r="AL14" s="101">
        <f t="shared" si="19"/>
        <v>0</v>
      </c>
      <c r="AM14" s="1" t="str">
        <f>VLOOKUP(B:B,'1店辅助表'!$AZ:$BB,1,FALSE)</f>
        <v>E02995-DB+E02997+E03011-1</v>
      </c>
      <c r="AN14" s="1" t="str">
        <f>VLOOKUP(B:B,'1店辅助表'!AZ:BB,3,FALSE)</f>
        <v>US</v>
      </c>
    </row>
    <row r="15" customHeight="1" spans="1:40">
      <c r="A15" s="58" t="str">
        <f>INDEX('[1]1店'!$A:$A,MATCH(B:B,'[1]1店'!$B:$B,0))</f>
        <v>晓美</v>
      </c>
      <c r="B15" s="43" t="s">
        <v>82</v>
      </c>
      <c r="C15" s="43" t="s">
        <v>83</v>
      </c>
      <c r="D15" s="59"/>
      <c r="E15" s="43" t="s">
        <v>84</v>
      </c>
      <c r="F15" s="43">
        <v>0</v>
      </c>
      <c r="G15" s="43">
        <v>2</v>
      </c>
      <c r="H15" s="43">
        <v>0</v>
      </c>
      <c r="I15" s="43">
        <v>0</v>
      </c>
      <c r="J15" s="43">
        <v>0</v>
      </c>
      <c r="K15" s="63">
        <f t="shared" si="11"/>
        <v>2</v>
      </c>
      <c r="L15" s="64">
        <f>VLOOKUP($B:$B,'[1]1店'!$B:$L,11,0)</f>
        <v>13.9</v>
      </c>
      <c r="M15" s="44">
        <f t="shared" si="10"/>
        <v>27.8</v>
      </c>
      <c r="N15" s="186">
        <f>IFERROR(VLOOKUP(B:B,'1店辅助表'!B:C,2,FALSE),0)</f>
        <v>0</v>
      </c>
      <c r="O15" s="186">
        <f>IFERROR(VLOOKUP(B:B,'1店辅助表'!E:F,2,FALSE),0)</f>
        <v>0</v>
      </c>
      <c r="P15" s="186">
        <f>IFERROR(VLOOKUP(B:B,'1店辅助表'!H:I,2,FALSE),0)</f>
        <v>0</v>
      </c>
      <c r="Q15" s="65">
        <f>IFERROR(VLOOKUP($B:$B,'[1]1店'!$B:$N,13,FALSE),0)</f>
        <v>0</v>
      </c>
      <c r="R15" s="79">
        <f t="shared" si="12"/>
        <v>0</v>
      </c>
      <c r="S15" s="80" t="str">
        <f t="shared" si="13"/>
        <v>-</v>
      </c>
      <c r="T15" s="44" t="str">
        <f t="shared" si="14"/>
        <v>-</v>
      </c>
      <c r="U15" s="188" t="str">
        <f>IFERROR(VLOOKUP($B:$B,'[1]1店'!$B:$T,19,FALSE),0)</f>
        <v>-</v>
      </c>
      <c r="V15" s="81" t="str">
        <f t="shared" si="15"/>
        <v>-</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有库存无销量</v>
      </c>
      <c r="X15" s="83" t="str">
        <f>_xlfn.IFS(AND(D15&lt;&gt;0,D15-$AM$2&gt;=0,K15&gt;0,D15&lt;&gt;0),"本月刚到货",AND(T15="-",K15&gt;0),"有库存无销量",AND(T15="-",K15=0),"无库存无销量",AND(T15&lt;=0.5,K15=0),"无库存有销量",T15&lt;=0.5,"库存过低",T15&lt;=1.5,"正常",T15&gt;1.5,"库存过高")</f>
        <v>有库存无销量</v>
      </c>
      <c r="Y15" s="44">
        <f>IFERROR(SUMIF('1店辅助表'!K:K,B:B,'1店辅助表'!N:N),0)</f>
        <v>0</v>
      </c>
      <c r="Z15" s="44">
        <f>IFERROR(SUMIF('1店辅助表'!T:T,B:B,'1店辅助表'!W:W),0)</f>
        <v>0</v>
      </c>
      <c r="AA15" s="44">
        <f>IFERROR(SUMIF('1店辅助表'!AC:AC,B:B,'1店辅助表'!AF:AF),0)</f>
        <v>0</v>
      </c>
      <c r="AB15" s="91" t="str">
        <f>IFERROR(SUMIF('1店辅助表'!K:K,B:B,'1店辅助表'!N:N)/SUMIF('1店辅助表'!K:K,B:B,'1店辅助表'!O:O),"-")</f>
        <v>-</v>
      </c>
      <c r="AC15" s="91" t="str">
        <f>IFERROR(VLOOKUP($B:$B,'[1]1店'!$B:$AB,27,FALSE),"-")</f>
        <v>-</v>
      </c>
      <c r="AD15" s="92" t="str">
        <f t="shared" si="16"/>
        <v>-</v>
      </c>
      <c r="AE15" s="91" t="str">
        <f>IFERROR(SUMIF('1店辅助表'!T:T,B:B,'1店辅助表'!W:W)/SUMIF('1店辅助表'!T:T,B:B,'1店辅助表'!X:X),"-")</f>
        <v>-</v>
      </c>
      <c r="AF15" s="91" t="str">
        <f>IFERROR(SUMIF('1店辅助表'!AC:AC,B:B,'1店辅助表'!AF:AF)/SUMIF('1店辅助表'!AC:AC,B:B,'1店辅助表'!AG:AG),"-")</f>
        <v>-</v>
      </c>
      <c r="AG15" s="99">
        <f>IFERROR(AK15/((SUMIF('1店辅助表'!AT:AT,B:B,'1店辅助表'!AU:AU)+M15)/2),"-")</f>
        <v>0</v>
      </c>
      <c r="AH15" s="99">
        <f>IFERROR(AL15/((SUMIF('1店辅助表'!AW:AW,B:B,'1店辅助表'!AX:AX)+M15)/2),"-")</f>
        <v>0</v>
      </c>
      <c r="AI15" s="100" t="str">
        <f>IFERROR((SUMIF('1店辅助表'!AP:AP,B:B,'1店辅助表'!AR:AR)-SUMIF('1店辅助表'!AP:AP,B:B,'1店辅助表'!AR:AR)*0.15-(L15+IFERROR(VLOOKUP(B:B,'1店辅助表'!AZ:BA,2,0),0))*O15-IF(AN:AN="US",6.85,4.9)*(Z15+3.99*O15))/SUMIF('1店辅助表'!AP:AP,B:B,'1店辅助表'!AR:AR),"-")</f>
        <v>-</v>
      </c>
      <c r="AJ15" s="100" t="str">
        <f t="shared" si="17"/>
        <v>-</v>
      </c>
      <c r="AK15" s="101">
        <f t="shared" si="18"/>
        <v>0</v>
      </c>
      <c r="AL15" s="101">
        <f t="shared" si="19"/>
        <v>0</v>
      </c>
      <c r="AM15" s="1" t="str">
        <f>VLOOKUP(B:B,'1店辅助表'!$AZ:$BB,1,FALSE)</f>
        <v>E03040-OR+E03045+E03043-1</v>
      </c>
      <c r="AN15" s="1" t="str">
        <f>VLOOKUP(B:B,'1店辅助表'!AZ:BB,3,FALSE)</f>
        <v>US</v>
      </c>
    </row>
    <row r="16" customHeight="1" spans="1:40">
      <c r="A16" s="58" t="str">
        <f>INDEX('[1]1店'!$A:$A,MATCH(B:B,'[1]1店'!$B:$B,0))</f>
        <v>晓美</v>
      </c>
      <c r="B16" s="43" t="s">
        <v>85</v>
      </c>
      <c r="C16" s="43" t="s">
        <v>86</v>
      </c>
      <c r="D16" s="59"/>
      <c r="E16" s="43" t="s">
        <v>87</v>
      </c>
      <c r="F16" s="43">
        <v>0</v>
      </c>
      <c r="G16" s="43">
        <v>2</v>
      </c>
      <c r="H16" s="43">
        <v>0</v>
      </c>
      <c r="I16" s="43">
        <v>0</v>
      </c>
      <c r="J16" s="43">
        <v>0</v>
      </c>
      <c r="K16" s="63">
        <f t="shared" si="11"/>
        <v>2</v>
      </c>
      <c r="L16" s="64">
        <f>VLOOKUP($B:$B,'[1]1店'!$B:$L,11,0)</f>
        <v>13.9</v>
      </c>
      <c r="M16" s="44">
        <f t="shared" si="10"/>
        <v>27.8</v>
      </c>
      <c r="N16" s="186">
        <f>IFERROR(VLOOKUP(B:B,'1店辅助表'!B:C,2,FALSE),0)</f>
        <v>0</v>
      </c>
      <c r="O16" s="186">
        <f>IFERROR(VLOOKUP(B:B,'1店辅助表'!E:F,2,FALSE),0)</f>
        <v>0</v>
      </c>
      <c r="P16" s="186">
        <f>IFERROR(VLOOKUP(B:B,'1店辅助表'!H:I,2,FALSE),0)</f>
        <v>0</v>
      </c>
      <c r="Q16" s="65">
        <f>IFERROR(VLOOKUP($B:$B,'[1]1店'!$B:$N,13,FALSE),0)</f>
        <v>0</v>
      </c>
      <c r="R16" s="79">
        <f t="shared" si="12"/>
        <v>0</v>
      </c>
      <c r="S16" s="80" t="str">
        <f t="shared" si="13"/>
        <v>-</v>
      </c>
      <c r="T16" s="44" t="str">
        <f t="shared" si="14"/>
        <v>-</v>
      </c>
      <c r="U16" s="188" t="str">
        <f>IFERROR(VLOOKUP($B:$B,'[1]1店'!$B:$T,19,FALSE),0)</f>
        <v>-</v>
      </c>
      <c r="V16" s="81" t="str">
        <f t="shared" si="15"/>
        <v>-</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有库存无销量</v>
      </c>
      <c r="X16" s="83" t="str">
        <f>_xlfn.IFS(AND(D16&lt;&gt;0,D16-$AM$2&gt;=0,K16&gt;0,D16&lt;&gt;0),"本月刚到货",AND(T16="-",K16&gt;0),"有库存无销量",AND(T16="-",K16=0),"无库存无销量",AND(T16&lt;=0.5,K16=0),"无库存有销量",T16&lt;=0.5,"库存过低",T16&lt;=1.5,"正常",T16&gt;1.5,"库存过高")</f>
        <v>有库存无销量</v>
      </c>
      <c r="Y16" s="44">
        <f>IFERROR(SUMIF('1店辅助表'!K:K,B:B,'1店辅助表'!N:N),0)</f>
        <v>0</v>
      </c>
      <c r="Z16" s="44">
        <f>IFERROR(SUMIF('1店辅助表'!T:T,B:B,'1店辅助表'!W:W),0)</f>
        <v>0</v>
      </c>
      <c r="AA16" s="44">
        <f>IFERROR(SUMIF('1店辅助表'!AC:AC,B:B,'1店辅助表'!AF:AF),0)</f>
        <v>0</v>
      </c>
      <c r="AB16" s="91" t="str">
        <f>IFERROR(SUMIF('1店辅助表'!K:K,B:B,'1店辅助表'!N:N)/SUMIF('1店辅助表'!K:K,B:B,'1店辅助表'!O:O),"-")</f>
        <v>-</v>
      </c>
      <c r="AC16" s="91" t="str">
        <f>IFERROR(VLOOKUP($B:$B,'[1]1店'!$B:$AB,27,FALSE),"-")</f>
        <v>-</v>
      </c>
      <c r="AD16" s="92" t="str">
        <f t="shared" si="16"/>
        <v>-</v>
      </c>
      <c r="AE16" s="91" t="str">
        <f>IFERROR(SUMIF('1店辅助表'!T:T,B:B,'1店辅助表'!W:W)/SUMIF('1店辅助表'!T:T,B:B,'1店辅助表'!X:X),"-")</f>
        <v>-</v>
      </c>
      <c r="AF16" s="91" t="str">
        <f>IFERROR(SUMIF('1店辅助表'!AC:AC,B:B,'1店辅助表'!AF:AF)/SUMIF('1店辅助表'!AC:AC,B:B,'1店辅助表'!AG:AG),"-")</f>
        <v>-</v>
      </c>
      <c r="AG16" s="99">
        <f>IFERROR(AK16/((SUMIF('1店辅助表'!AT:AT,B:B,'1店辅助表'!AU:AU)+M16)/2),"-")</f>
        <v>0</v>
      </c>
      <c r="AH16" s="99">
        <f>IFERROR(AL16/((SUMIF('1店辅助表'!AW:AW,B:B,'1店辅助表'!AX:AX)+M16)/2),"-")</f>
        <v>0</v>
      </c>
      <c r="AI16" s="100" t="str">
        <f>IFERROR((SUMIF('1店辅助表'!AP:AP,B:B,'1店辅助表'!AR:AR)-SUMIF('1店辅助表'!AP:AP,B:B,'1店辅助表'!AR:AR)*0.15-(L16+IFERROR(VLOOKUP(B:B,'1店辅助表'!AZ:BA,2,0),0))*O16-IF(AN:AN="US",6.85,4.9)*(Z16+3.99*O16))/SUMIF('1店辅助表'!AP:AP,B:B,'1店辅助表'!AR:AR),"-")</f>
        <v>-</v>
      </c>
      <c r="AJ16" s="100" t="str">
        <f t="shared" si="17"/>
        <v>-</v>
      </c>
      <c r="AK16" s="101">
        <f t="shared" si="18"/>
        <v>0</v>
      </c>
      <c r="AL16" s="101">
        <f t="shared" si="19"/>
        <v>0</v>
      </c>
      <c r="AM16" s="1" t="str">
        <f>VLOOKUP(B:B,'1店辅助表'!$AZ:$BB,1,FALSE)</f>
        <v>E03134-BL+E03137+E03268</v>
      </c>
      <c r="AN16" s="1" t="str">
        <f>VLOOKUP(B:B,'1店辅助表'!AZ:BB,3,FALSE)</f>
        <v>US</v>
      </c>
    </row>
    <row r="17" customHeight="1" spans="1:40">
      <c r="A17" s="58" t="str">
        <f>INDEX('[1]1店'!$A:$A,MATCH(B:B,'[1]1店'!$B:$B,0))</f>
        <v>晓美</v>
      </c>
      <c r="B17" s="43" t="s">
        <v>88</v>
      </c>
      <c r="C17" s="43" t="s">
        <v>89</v>
      </c>
      <c r="D17" s="59"/>
      <c r="E17" s="43" t="s">
        <v>90</v>
      </c>
      <c r="F17" s="43">
        <v>0</v>
      </c>
      <c r="G17" s="43">
        <v>2</v>
      </c>
      <c r="H17" s="43">
        <v>0</v>
      </c>
      <c r="I17" s="43">
        <v>0</v>
      </c>
      <c r="J17" s="43">
        <v>0</v>
      </c>
      <c r="K17" s="63">
        <f t="shared" si="11"/>
        <v>2</v>
      </c>
      <c r="L17" s="64">
        <f>VLOOKUP($B:$B,'[1]1店'!$B:$L,11,0)</f>
        <v>13.9</v>
      </c>
      <c r="M17" s="44">
        <f t="shared" si="10"/>
        <v>27.8</v>
      </c>
      <c r="N17" s="186">
        <f>IFERROR(VLOOKUP(B:B,'1店辅助表'!B:C,2,FALSE),0)</f>
        <v>0</v>
      </c>
      <c r="O17" s="186">
        <f>IFERROR(VLOOKUP(B:B,'1店辅助表'!E:F,2,FALSE),0)</f>
        <v>0</v>
      </c>
      <c r="P17" s="186">
        <f>IFERROR(VLOOKUP(B:B,'1店辅助表'!H:I,2,FALSE),0)</f>
        <v>0</v>
      </c>
      <c r="Q17" s="65">
        <f>IFERROR(VLOOKUP($B:$B,'[1]1店'!$B:$N,13,FALSE),0)</f>
        <v>0</v>
      </c>
      <c r="R17" s="79">
        <f t="shared" si="12"/>
        <v>0</v>
      </c>
      <c r="S17" s="80" t="str">
        <f t="shared" si="13"/>
        <v>-</v>
      </c>
      <c r="T17" s="44" t="str">
        <f t="shared" si="14"/>
        <v>-</v>
      </c>
      <c r="U17" s="188" t="str">
        <f>IFERROR(VLOOKUP($B:$B,'[1]1店'!$B:$T,19,FALSE),0)</f>
        <v>-</v>
      </c>
      <c r="V17" s="81" t="str">
        <f t="shared" si="15"/>
        <v>-</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有库存无销量</v>
      </c>
      <c r="X17" s="83" t="str">
        <f>_xlfn.IFS(AND(D17&lt;&gt;0,D17-$AM$2&gt;=0,K17&gt;0,D17&lt;&gt;0),"本月刚到货",AND(T17="-",K17&gt;0),"有库存无销量",AND(T17="-",K17=0),"无库存无销量",AND(T17&lt;=0.5,K17=0),"无库存有销量",T17&lt;=0.5,"库存过低",T17&lt;=1.5,"正常",T17&gt;1.5,"库存过高")</f>
        <v>有库存无销量</v>
      </c>
      <c r="Y17" s="44">
        <f>IFERROR(SUMIF('1店辅助表'!K:K,B:B,'1店辅助表'!N:N),0)</f>
        <v>0</v>
      </c>
      <c r="Z17" s="44">
        <f>IFERROR(SUMIF('1店辅助表'!T:T,B:B,'1店辅助表'!W:W),0)</f>
        <v>0</v>
      </c>
      <c r="AA17" s="44">
        <f>IFERROR(SUMIF('1店辅助表'!AC:AC,B:B,'1店辅助表'!AF:AF),0)</f>
        <v>0</v>
      </c>
      <c r="AB17" s="91" t="str">
        <f>IFERROR(SUMIF('1店辅助表'!K:K,B:B,'1店辅助表'!N:N)/SUMIF('1店辅助表'!K:K,B:B,'1店辅助表'!O:O),"-")</f>
        <v>-</v>
      </c>
      <c r="AC17" s="91" t="str">
        <f>IFERROR(VLOOKUP($B:$B,'[1]1店'!$B:$AB,27,FALSE),"-")</f>
        <v>-</v>
      </c>
      <c r="AD17" s="92" t="str">
        <f t="shared" si="16"/>
        <v>-</v>
      </c>
      <c r="AE17" s="91" t="str">
        <f>IFERROR(SUMIF('1店辅助表'!T:T,B:B,'1店辅助表'!W:W)/SUMIF('1店辅助表'!T:T,B:B,'1店辅助表'!X:X),"-")</f>
        <v>-</v>
      </c>
      <c r="AF17" s="91" t="str">
        <f>IFERROR(SUMIF('1店辅助表'!AC:AC,B:B,'1店辅助表'!AF:AF)/SUMIF('1店辅助表'!AC:AC,B:B,'1店辅助表'!AG:AG),"-")</f>
        <v>-</v>
      </c>
      <c r="AG17" s="99">
        <f>IFERROR(AK17/((SUMIF('1店辅助表'!AT:AT,B:B,'1店辅助表'!AU:AU)+M17)/2),"-")</f>
        <v>0</v>
      </c>
      <c r="AH17" s="99">
        <f>IFERROR(AL17/((SUMIF('1店辅助表'!AW:AW,B:B,'1店辅助表'!AX:AX)+M17)/2),"-")</f>
        <v>0</v>
      </c>
      <c r="AI17" s="100" t="str">
        <f>IFERROR((SUMIF('1店辅助表'!AP:AP,B:B,'1店辅助表'!AR:AR)-SUMIF('1店辅助表'!AP:AP,B:B,'1店辅助表'!AR:AR)*0.15-(L17+IFERROR(VLOOKUP(B:B,'1店辅助表'!AZ:BA,2,0),0))*O17-IF(AN:AN="US",6.85,4.9)*(Z17+3.99*O17))/SUMIF('1店辅助表'!AP:AP,B:B,'1店辅助表'!AR:AR),"-")</f>
        <v>-</v>
      </c>
      <c r="AJ17" s="100" t="str">
        <f t="shared" si="17"/>
        <v>-</v>
      </c>
      <c r="AK17" s="101">
        <f t="shared" si="18"/>
        <v>0</v>
      </c>
      <c r="AL17" s="101">
        <f t="shared" si="19"/>
        <v>0</v>
      </c>
      <c r="AM17" s="1" t="str">
        <f>VLOOKUP(B:B,'1店辅助表'!$AZ:$BB,1,FALSE)</f>
        <v>E03134-OR+E03137+E03268</v>
      </c>
      <c r="AN17" s="1" t="str">
        <f>VLOOKUP(B:B,'1店辅助表'!AZ:BB,3,FALSE)</f>
        <v>US</v>
      </c>
    </row>
    <row r="18" customHeight="1" spans="1:40">
      <c r="A18" s="58" t="str">
        <f>INDEX('[1]1店'!$A:$A,MATCH(B:B,'[1]1店'!$B:$B,0))</f>
        <v>晓美</v>
      </c>
      <c r="B18" s="43" t="s">
        <v>91</v>
      </c>
      <c r="C18" s="43" t="s">
        <v>92</v>
      </c>
      <c r="D18" s="59"/>
      <c r="E18" s="43" t="s">
        <v>93</v>
      </c>
      <c r="F18" s="43">
        <v>0</v>
      </c>
      <c r="G18" s="43">
        <v>1</v>
      </c>
      <c r="H18" s="43">
        <v>0</v>
      </c>
      <c r="I18" s="43">
        <v>0</v>
      </c>
      <c r="J18" s="43">
        <v>0</v>
      </c>
      <c r="K18" s="63">
        <f t="shared" si="11"/>
        <v>1</v>
      </c>
      <c r="L18" s="64">
        <f>VLOOKUP($B:$B,'[1]1店'!$B:$L,11,0)</f>
        <v>13.9</v>
      </c>
      <c r="M18" s="44">
        <f t="shared" si="10"/>
        <v>13.9</v>
      </c>
      <c r="N18" s="186">
        <f>IFERROR(VLOOKUP(B:B,'1店辅助表'!B:C,2,FALSE),0)</f>
        <v>0</v>
      </c>
      <c r="O18" s="186">
        <f>IFERROR(VLOOKUP(B:B,'1店辅助表'!E:F,2,FALSE),0)</f>
        <v>0</v>
      </c>
      <c r="P18" s="186">
        <f>IFERROR(VLOOKUP(B:B,'1店辅助表'!H:I,2,FALSE),0)</f>
        <v>0</v>
      </c>
      <c r="Q18" s="65">
        <f>IFERROR(VLOOKUP($B:$B,'[1]1店'!$B:$N,13,FALSE),0)</f>
        <v>0</v>
      </c>
      <c r="R18" s="79">
        <f t="shared" si="12"/>
        <v>0</v>
      </c>
      <c r="S18" s="80" t="str">
        <f t="shared" si="13"/>
        <v>-</v>
      </c>
      <c r="T18" s="44" t="str">
        <f t="shared" si="14"/>
        <v>-</v>
      </c>
      <c r="U18" s="188" t="str">
        <f>IFERROR(VLOOKUP($B:$B,'[1]1店'!$B:$T,19,FALSE),0)</f>
        <v>-</v>
      </c>
      <c r="V18" s="81" t="str">
        <f t="shared" si="15"/>
        <v>-</v>
      </c>
      <c r="W18" s="82" t="str">
        <f>_xlfn.IFS(AND(D18&lt;&gt;0,D18-$AM$2&gt;=0,B18&gt;0,D18&lt;&gt;0),"本月刚到货",AND(IFERROR((K18/(N18/7))/30,"-")="-",K18&gt;0),"有库存无销量",AND(IFERROR((K18/(N18/7))/30,"-")="-",K18=0),"无库存无销量",AND(IFERROR((K18/(N18/7))/30,"-")&lt;=0.5,K18=0),"无库存有销量",IFERROR((K18/(N18/7))/30,"-")&lt;=0.5,"库存过低",IFERROR((K18/(N18/7))/30,"-")&lt;=1.5,"正常",IFERROR((K18/(N18/7))/30,"-")&gt;1.5,"库存过高")</f>
        <v>有库存无销量</v>
      </c>
      <c r="X18" s="83" t="str">
        <f>_xlfn.IFS(AND(D18&lt;&gt;0,D18-$AM$2&gt;=0,K18&gt;0,D18&lt;&gt;0),"本月刚到货",AND(T18="-",K18&gt;0),"有库存无销量",AND(T18="-",K18=0),"无库存无销量",AND(T18&lt;=0.5,K18=0),"无库存有销量",T18&lt;=0.5,"库存过低",T18&lt;=1.5,"正常",T18&gt;1.5,"库存过高")</f>
        <v>有库存无销量</v>
      </c>
      <c r="Y18" s="44">
        <f>IFERROR(SUMIF('1店辅助表'!K:K,B:B,'1店辅助表'!N:N),0)</f>
        <v>0</v>
      </c>
      <c r="Z18" s="44">
        <f>IFERROR(SUMIF('1店辅助表'!T:T,B:B,'1店辅助表'!W:W),0)</f>
        <v>0</v>
      </c>
      <c r="AA18" s="44">
        <f>IFERROR(SUMIF('1店辅助表'!AC:AC,B:B,'1店辅助表'!AF:AF),0)</f>
        <v>0</v>
      </c>
      <c r="AB18" s="91" t="str">
        <f>IFERROR(SUMIF('1店辅助表'!K:K,B:B,'1店辅助表'!N:N)/SUMIF('1店辅助表'!K:K,B:B,'1店辅助表'!O:O),"-")</f>
        <v>-</v>
      </c>
      <c r="AC18" s="91" t="str">
        <f>IFERROR(VLOOKUP($B:$B,'[1]1店'!$B:$AB,27,FALSE),"-")</f>
        <v>-</v>
      </c>
      <c r="AD18" s="92" t="str">
        <f t="shared" si="16"/>
        <v>-</v>
      </c>
      <c r="AE18" s="91" t="str">
        <f>IFERROR(SUMIF('1店辅助表'!T:T,B:B,'1店辅助表'!W:W)/SUMIF('1店辅助表'!T:T,B:B,'1店辅助表'!X:X),"-")</f>
        <v>-</v>
      </c>
      <c r="AF18" s="91" t="str">
        <f>IFERROR(SUMIF('1店辅助表'!AC:AC,B:B,'1店辅助表'!AF:AF)/SUMIF('1店辅助表'!AC:AC,B:B,'1店辅助表'!AG:AG),"-")</f>
        <v>-</v>
      </c>
      <c r="AG18" s="99">
        <f>IFERROR(AK18/((SUMIF('1店辅助表'!AT:AT,B:B,'1店辅助表'!AU:AU)+M18)/2),"-")</f>
        <v>0</v>
      </c>
      <c r="AH18" s="99">
        <f>IFERROR(AL18/((SUMIF('1店辅助表'!AW:AW,B:B,'1店辅助表'!AX:AX)+M18)/2),"-")</f>
        <v>0</v>
      </c>
      <c r="AI18" s="100" t="str">
        <f>IFERROR((SUMIF('1店辅助表'!AP:AP,B:B,'1店辅助表'!AR:AR)-SUMIF('1店辅助表'!AP:AP,B:B,'1店辅助表'!AR:AR)*0.15-(L18+IFERROR(VLOOKUP(B:B,'1店辅助表'!AZ:BA,2,0),0))*O18-IF(AN:AN="US",6.85,4.9)*(Z18+3.99*O18))/SUMIF('1店辅助表'!AP:AP,B:B,'1店辅助表'!AR:AR),"-")</f>
        <v>-</v>
      </c>
      <c r="AJ18" s="100" t="str">
        <f t="shared" si="17"/>
        <v>-</v>
      </c>
      <c r="AK18" s="101">
        <f t="shared" si="18"/>
        <v>0</v>
      </c>
      <c r="AL18" s="101">
        <f t="shared" si="19"/>
        <v>0</v>
      </c>
      <c r="AM18" s="1" t="str">
        <f>VLOOKUP(B:B,'1店辅助表'!$AZ:$BB,1,FALSE)</f>
        <v>E03230-BL+E03231+E03240</v>
      </c>
      <c r="AN18" s="1" t="str">
        <f>VLOOKUP(B:B,'1店辅助表'!AZ:BB,3,FALSE)</f>
        <v>US</v>
      </c>
    </row>
    <row r="19" customHeight="1" spans="1:40">
      <c r="A19" s="58" t="str">
        <f>INDEX('[1]1店'!$A:$A,MATCH(B:B,'[1]1店'!$B:$B,0))</f>
        <v>晓美</v>
      </c>
      <c r="B19" s="43" t="s">
        <v>94</v>
      </c>
      <c r="C19" s="43" t="s">
        <v>95</v>
      </c>
      <c r="D19" s="59"/>
      <c r="E19" s="43" t="s">
        <v>96</v>
      </c>
      <c r="F19" s="43">
        <v>0</v>
      </c>
      <c r="G19" s="43">
        <v>2</v>
      </c>
      <c r="H19" s="43">
        <v>0</v>
      </c>
      <c r="I19" s="43">
        <v>0</v>
      </c>
      <c r="J19" s="43">
        <v>0</v>
      </c>
      <c r="K19" s="63">
        <f t="shared" si="11"/>
        <v>2</v>
      </c>
      <c r="L19" s="64">
        <f>VLOOKUP($B:$B,'[1]1店'!$B:$L,11,0)</f>
        <v>13.9</v>
      </c>
      <c r="M19" s="44">
        <f t="shared" si="10"/>
        <v>27.8</v>
      </c>
      <c r="N19" s="186">
        <f>IFERROR(VLOOKUP(B:B,'1店辅助表'!B:C,2,FALSE),0)</f>
        <v>0</v>
      </c>
      <c r="O19" s="186">
        <f>IFERROR(VLOOKUP(B:B,'1店辅助表'!E:F,2,FALSE),0)</f>
        <v>0</v>
      </c>
      <c r="P19" s="186">
        <f>IFERROR(VLOOKUP(B:B,'1店辅助表'!H:I,2,FALSE),0)</f>
        <v>0</v>
      </c>
      <c r="Q19" s="65">
        <f>IFERROR(VLOOKUP($B:$B,'[1]1店'!$B:$N,13,FALSE),0)</f>
        <v>0</v>
      </c>
      <c r="R19" s="79">
        <f t="shared" si="12"/>
        <v>0</v>
      </c>
      <c r="S19" s="80" t="str">
        <f t="shared" si="13"/>
        <v>-</v>
      </c>
      <c r="T19" s="44" t="str">
        <f t="shared" si="14"/>
        <v>-</v>
      </c>
      <c r="U19" s="188" t="str">
        <f>IFERROR(VLOOKUP($B:$B,'[1]1店'!$B:$T,19,FALSE),0)</f>
        <v>-</v>
      </c>
      <c r="V19" s="81" t="str">
        <f t="shared" si="15"/>
        <v>-</v>
      </c>
      <c r="W19" s="82" t="str">
        <f>_xlfn.IFS(AND(D19&lt;&gt;0,D19-$AM$2&gt;=0,B19&gt;0,D19&lt;&gt;0),"本月刚到货",AND(IFERROR((K19/(N19/7))/30,"-")="-",K19&gt;0),"有库存无销量",AND(IFERROR((K19/(N19/7))/30,"-")="-",K19=0),"无库存无销量",AND(IFERROR((K19/(N19/7))/30,"-")&lt;=0.5,K19=0),"无库存有销量",IFERROR((K19/(N19/7))/30,"-")&lt;=0.5,"库存过低",IFERROR((K19/(N19/7))/30,"-")&lt;=1.5,"正常",IFERROR((K19/(N19/7))/30,"-")&gt;1.5,"库存过高")</f>
        <v>有库存无销量</v>
      </c>
      <c r="X19" s="83" t="str">
        <f>_xlfn.IFS(AND(D19&lt;&gt;0,D19-$AM$2&gt;=0,K19&gt;0,D19&lt;&gt;0),"本月刚到货",AND(T19="-",K19&gt;0),"有库存无销量",AND(T19="-",K19=0),"无库存无销量",AND(T19&lt;=0.5,K19=0),"无库存有销量",T19&lt;=0.5,"库存过低",T19&lt;=1.5,"正常",T19&gt;1.5,"库存过高")</f>
        <v>有库存无销量</v>
      </c>
      <c r="Y19" s="44">
        <f>IFERROR(SUMIF('1店辅助表'!K:K,B:B,'1店辅助表'!N:N),0)</f>
        <v>0</v>
      </c>
      <c r="Z19" s="44">
        <f>IFERROR(SUMIF('1店辅助表'!T:T,B:B,'1店辅助表'!W:W),0)</f>
        <v>0</v>
      </c>
      <c r="AA19" s="44">
        <f>IFERROR(SUMIF('1店辅助表'!AC:AC,B:B,'1店辅助表'!AF:AF),0)</f>
        <v>0</v>
      </c>
      <c r="AB19" s="91" t="str">
        <f>IFERROR(SUMIF('1店辅助表'!K:K,B:B,'1店辅助表'!N:N)/SUMIF('1店辅助表'!K:K,B:B,'1店辅助表'!O:O),"-")</f>
        <v>-</v>
      </c>
      <c r="AC19" s="91" t="str">
        <f>IFERROR(VLOOKUP($B:$B,'[1]1店'!$B:$AB,27,FALSE),"-")</f>
        <v>-</v>
      </c>
      <c r="AD19" s="92" t="str">
        <f t="shared" si="16"/>
        <v>-</v>
      </c>
      <c r="AE19" s="91" t="str">
        <f>IFERROR(SUMIF('1店辅助表'!T:T,B:B,'1店辅助表'!W:W)/SUMIF('1店辅助表'!T:T,B:B,'1店辅助表'!X:X),"-")</f>
        <v>-</v>
      </c>
      <c r="AF19" s="91" t="str">
        <f>IFERROR(SUMIF('1店辅助表'!AC:AC,B:B,'1店辅助表'!AF:AF)/SUMIF('1店辅助表'!AC:AC,B:B,'1店辅助表'!AG:AG),"-")</f>
        <v>-</v>
      </c>
      <c r="AG19" s="99">
        <f>IFERROR(AK19/((SUMIF('1店辅助表'!AT:AT,B:B,'1店辅助表'!AU:AU)+M19)/2),"-")</f>
        <v>0</v>
      </c>
      <c r="AH19" s="99">
        <f>IFERROR(AL19/((SUMIF('1店辅助表'!AW:AW,B:B,'1店辅助表'!AX:AX)+M19)/2),"-")</f>
        <v>0</v>
      </c>
      <c r="AI19" s="100" t="str">
        <f>IFERROR((SUMIF('1店辅助表'!AP:AP,B:B,'1店辅助表'!AR:AR)-SUMIF('1店辅助表'!AP:AP,B:B,'1店辅助表'!AR:AR)*0.15-(L19+IFERROR(VLOOKUP(B:B,'1店辅助表'!AZ:BA,2,0),0))*O19-IF(AN:AN="US",6.85,4.9)*(Z19+3.99*O19))/SUMIF('1店辅助表'!AP:AP,B:B,'1店辅助表'!AR:AR),"-")</f>
        <v>-</v>
      </c>
      <c r="AJ19" s="100" t="str">
        <f t="shared" si="17"/>
        <v>-</v>
      </c>
      <c r="AK19" s="101">
        <f t="shared" si="18"/>
        <v>0</v>
      </c>
      <c r="AL19" s="101">
        <f t="shared" si="19"/>
        <v>0</v>
      </c>
      <c r="AM19" s="1" t="str">
        <f>VLOOKUP(B:B,'1店辅助表'!$AZ:$BB,1,FALSE)</f>
        <v>E03405-NA+E03406+E03397</v>
      </c>
      <c r="AN19" s="1" t="str">
        <f>VLOOKUP(B:B,'1店辅助表'!AZ:BB,3,FALSE)</f>
        <v>US</v>
      </c>
    </row>
    <row r="20" customHeight="1" spans="1:40">
      <c r="A20" s="58" t="str">
        <f>INDEX('[1]1店'!$A:$A,MATCH(B:B,'[1]1店'!$B:$B,0))</f>
        <v>晓美</v>
      </c>
      <c r="B20" s="43" t="s">
        <v>97</v>
      </c>
      <c r="C20" s="43" t="s">
        <v>98</v>
      </c>
      <c r="D20" s="59"/>
      <c r="E20" s="43" t="s">
        <v>99</v>
      </c>
      <c r="F20" s="43">
        <v>0</v>
      </c>
      <c r="G20" s="43">
        <v>1</v>
      </c>
      <c r="H20" s="43">
        <v>0</v>
      </c>
      <c r="I20" s="43">
        <v>0</v>
      </c>
      <c r="J20" s="43">
        <v>0</v>
      </c>
      <c r="K20" s="63">
        <f t="shared" si="11"/>
        <v>1</v>
      </c>
      <c r="L20" s="64">
        <f>VLOOKUP($B:$B,'[1]1店'!$B:$L,11,0)</f>
        <v>13.9</v>
      </c>
      <c r="M20" s="44">
        <f t="shared" si="10"/>
        <v>13.9</v>
      </c>
      <c r="N20" s="186">
        <f>IFERROR(VLOOKUP(B:B,'1店辅助表'!B:C,2,FALSE),0)</f>
        <v>0</v>
      </c>
      <c r="O20" s="186">
        <f>IFERROR(VLOOKUP(B:B,'1店辅助表'!E:F,2,FALSE),0)</f>
        <v>0</v>
      </c>
      <c r="P20" s="186">
        <f>IFERROR(VLOOKUP(B:B,'1店辅助表'!H:I,2,FALSE),0)</f>
        <v>0</v>
      </c>
      <c r="Q20" s="65">
        <f>IFERROR(VLOOKUP($B:$B,'[1]1店'!$B:$N,13,FALSE),0)</f>
        <v>0</v>
      </c>
      <c r="R20" s="79">
        <f t="shared" si="12"/>
        <v>0</v>
      </c>
      <c r="S20" s="80" t="str">
        <f t="shared" si="13"/>
        <v>-</v>
      </c>
      <c r="T20" s="44" t="str">
        <f t="shared" si="14"/>
        <v>-</v>
      </c>
      <c r="U20" s="188" t="str">
        <f>IFERROR(VLOOKUP($B:$B,'[1]1店'!$B:$T,19,FALSE),0)</f>
        <v>-</v>
      </c>
      <c r="V20" s="81" t="str">
        <f t="shared" si="15"/>
        <v>-</v>
      </c>
      <c r="W20" s="82" t="str">
        <f>_xlfn.IFS(AND(D20&lt;&gt;0,D20-$AM$2&gt;=0,B20&gt;0,D20&lt;&gt;0),"本月刚到货",AND(IFERROR((K20/(N20/7))/30,"-")="-",K20&gt;0),"有库存无销量",AND(IFERROR((K20/(N20/7))/30,"-")="-",K20=0),"无库存无销量",AND(IFERROR((K20/(N20/7))/30,"-")&lt;=0.5,K20=0),"无库存有销量",IFERROR((K20/(N20/7))/30,"-")&lt;=0.5,"库存过低",IFERROR((K20/(N20/7))/30,"-")&lt;=1.5,"正常",IFERROR((K20/(N20/7))/30,"-")&gt;1.5,"库存过高")</f>
        <v>有库存无销量</v>
      </c>
      <c r="X20" s="83" t="str">
        <f>_xlfn.IFS(AND(D20&lt;&gt;0,D20-$AM$2&gt;=0,K20&gt;0,D20&lt;&gt;0),"本月刚到货",AND(T20="-",K20&gt;0),"有库存无销量",AND(T20="-",K20=0),"无库存无销量",AND(T20&lt;=0.5,K20=0),"无库存有销量",T20&lt;=0.5,"库存过低",T20&lt;=1.5,"正常",T20&gt;1.5,"库存过高")</f>
        <v>有库存无销量</v>
      </c>
      <c r="Y20" s="44">
        <f>IFERROR(SUMIF('1店辅助表'!K:K,B:B,'1店辅助表'!N:N),0)</f>
        <v>0</v>
      </c>
      <c r="Z20" s="44">
        <f>IFERROR(SUMIF('1店辅助表'!T:T,B:B,'1店辅助表'!W:W),0)</f>
        <v>0</v>
      </c>
      <c r="AA20" s="44">
        <f>IFERROR(SUMIF('1店辅助表'!AC:AC,B:B,'1店辅助表'!AF:AF),0)</f>
        <v>0</v>
      </c>
      <c r="AB20" s="91" t="str">
        <f>IFERROR(SUMIF('1店辅助表'!K:K,B:B,'1店辅助表'!N:N)/SUMIF('1店辅助表'!K:K,B:B,'1店辅助表'!O:O),"-")</f>
        <v>-</v>
      </c>
      <c r="AC20" s="91" t="str">
        <f>IFERROR(VLOOKUP($B:$B,'[1]1店'!$B:$AB,27,FALSE),"-")</f>
        <v>-</v>
      </c>
      <c r="AD20" s="92" t="str">
        <f t="shared" si="16"/>
        <v>-</v>
      </c>
      <c r="AE20" s="91" t="str">
        <f>IFERROR(SUMIF('1店辅助表'!T:T,B:B,'1店辅助表'!W:W)/SUMIF('1店辅助表'!T:T,B:B,'1店辅助表'!X:X),"-")</f>
        <v>-</v>
      </c>
      <c r="AF20" s="91" t="str">
        <f>IFERROR(SUMIF('1店辅助表'!AC:AC,B:B,'1店辅助表'!AF:AF)/SUMIF('1店辅助表'!AC:AC,B:B,'1店辅助表'!AG:AG),"-")</f>
        <v>-</v>
      </c>
      <c r="AG20" s="99">
        <f>IFERROR(AK20/((SUMIF('1店辅助表'!AT:AT,B:B,'1店辅助表'!AU:AU)+M20)/2),"-")</f>
        <v>0</v>
      </c>
      <c r="AH20" s="99">
        <f>IFERROR(AL20/((SUMIF('1店辅助表'!AW:AW,B:B,'1店辅助表'!AX:AX)+M20)/2),"-")</f>
        <v>0</v>
      </c>
      <c r="AI20" s="100" t="str">
        <f>IFERROR((SUMIF('1店辅助表'!AP:AP,B:B,'1店辅助表'!AR:AR)-SUMIF('1店辅助表'!AP:AP,B:B,'1店辅助表'!AR:AR)*0.15-(L20+IFERROR(VLOOKUP(B:B,'1店辅助表'!AZ:BA,2,0),0))*O20-IF(AN:AN="US",6.85,4.9)*(Z20+3.99*O20))/SUMIF('1店辅助表'!AP:AP,B:B,'1店辅助表'!AR:AR),"-")</f>
        <v>-</v>
      </c>
      <c r="AJ20" s="100" t="str">
        <f t="shared" si="17"/>
        <v>-</v>
      </c>
      <c r="AK20" s="101">
        <f t="shared" si="18"/>
        <v>0</v>
      </c>
      <c r="AL20" s="101">
        <f t="shared" si="19"/>
        <v>0</v>
      </c>
      <c r="AM20" s="1" t="str">
        <f>VLOOKUP(B:B,'1店辅助表'!$AZ:$BB,1,FALSE)</f>
        <v>E03474-BL+E02614+Y03477</v>
      </c>
      <c r="AN20" s="1" t="str">
        <f>VLOOKUP(B:B,'1店辅助表'!AZ:BB,3,FALSE)</f>
        <v>US</v>
      </c>
    </row>
    <row r="21" customHeight="1" spans="1:40">
      <c r="A21" s="58" t="str">
        <f>INDEX('[1]1店'!$A:$A,MATCH(B:B,'[1]1店'!$B:$B,0))</f>
        <v>晓美</v>
      </c>
      <c r="B21" s="43" t="s">
        <v>100</v>
      </c>
      <c r="C21" s="43" t="s">
        <v>101</v>
      </c>
      <c r="D21" s="59"/>
      <c r="E21" s="43" t="s">
        <v>102</v>
      </c>
      <c r="F21" s="43">
        <v>0</v>
      </c>
      <c r="G21" s="43">
        <v>1</v>
      </c>
      <c r="H21" s="43">
        <v>0</v>
      </c>
      <c r="I21" s="43">
        <v>0</v>
      </c>
      <c r="J21" s="43">
        <v>0</v>
      </c>
      <c r="K21" s="63">
        <f t="shared" si="11"/>
        <v>1</v>
      </c>
      <c r="L21" s="64">
        <f>VLOOKUP($B:$B,'[1]1店'!$B:$L,11,0)</f>
        <v>13.9</v>
      </c>
      <c r="M21" s="44">
        <f t="shared" si="10"/>
        <v>13.9</v>
      </c>
      <c r="N21" s="186">
        <f>IFERROR(VLOOKUP(B:B,'1店辅助表'!B:C,2,FALSE),0)</f>
        <v>0</v>
      </c>
      <c r="O21" s="186">
        <f>IFERROR(VLOOKUP(B:B,'1店辅助表'!E:F,2,FALSE),0)</f>
        <v>0</v>
      </c>
      <c r="P21" s="186">
        <f>IFERROR(VLOOKUP(B:B,'1店辅助表'!H:I,2,FALSE),0)</f>
        <v>0</v>
      </c>
      <c r="Q21" s="65">
        <f>IFERROR(VLOOKUP($B:$B,'[1]1店'!$B:$N,13,FALSE),0)</f>
        <v>0</v>
      </c>
      <c r="R21" s="79">
        <f t="shared" si="12"/>
        <v>0</v>
      </c>
      <c r="S21" s="80" t="str">
        <f t="shared" si="13"/>
        <v>-</v>
      </c>
      <c r="T21" s="44" t="str">
        <f t="shared" si="14"/>
        <v>-</v>
      </c>
      <c r="U21" s="188" t="str">
        <f>IFERROR(VLOOKUP($B:$B,'[1]1店'!$B:$T,19,FALSE),0)</f>
        <v>-</v>
      </c>
      <c r="V21" s="81" t="str">
        <f t="shared" si="15"/>
        <v>-</v>
      </c>
      <c r="W21" s="82" t="str">
        <f>_xlfn.IFS(AND(D21&lt;&gt;0,D21-$AM$2&gt;=0,B21&gt;0,D21&lt;&gt;0),"本月刚到货",AND(IFERROR((K21/(N21/7))/30,"-")="-",K21&gt;0),"有库存无销量",AND(IFERROR((K21/(N21/7))/30,"-")="-",K21=0),"无库存无销量",AND(IFERROR((K21/(N21/7))/30,"-")&lt;=0.5,K21=0),"无库存有销量",IFERROR((K21/(N21/7))/30,"-")&lt;=0.5,"库存过低",IFERROR((K21/(N21/7))/30,"-")&lt;=1.5,"正常",IFERROR((K21/(N21/7))/30,"-")&gt;1.5,"库存过高")</f>
        <v>有库存无销量</v>
      </c>
      <c r="X21" s="83" t="str">
        <f>_xlfn.IFS(AND(D21&lt;&gt;0,D21-$AM$2&gt;=0,K21&gt;0,D21&lt;&gt;0),"本月刚到货",AND(T21="-",K21&gt;0),"有库存无销量",AND(T21="-",K21=0),"无库存无销量",AND(T21&lt;=0.5,K21=0),"无库存有销量",T21&lt;=0.5,"库存过低",T21&lt;=1.5,"正常",T21&gt;1.5,"库存过高")</f>
        <v>有库存无销量</v>
      </c>
      <c r="Y21" s="44">
        <f>IFERROR(SUMIF('1店辅助表'!K:K,B:B,'1店辅助表'!N:N),0)</f>
        <v>0</v>
      </c>
      <c r="Z21" s="44">
        <f>IFERROR(SUMIF('1店辅助表'!T:T,B:B,'1店辅助表'!W:W),0)</f>
        <v>0</v>
      </c>
      <c r="AA21" s="44">
        <f>IFERROR(SUMIF('1店辅助表'!AC:AC,B:B,'1店辅助表'!AF:AF),0)</f>
        <v>0</v>
      </c>
      <c r="AB21" s="91" t="str">
        <f>IFERROR(SUMIF('1店辅助表'!K:K,B:B,'1店辅助表'!N:N)/SUMIF('1店辅助表'!K:K,B:B,'1店辅助表'!O:O),"-")</f>
        <v>-</v>
      </c>
      <c r="AC21" s="91" t="str">
        <f>IFERROR(VLOOKUP($B:$B,'[1]1店'!$B:$AB,27,FALSE),"-")</f>
        <v>-</v>
      </c>
      <c r="AD21" s="92" t="str">
        <f t="shared" si="16"/>
        <v>-</v>
      </c>
      <c r="AE21" s="91" t="str">
        <f>IFERROR(SUMIF('1店辅助表'!T:T,B:B,'1店辅助表'!W:W)/SUMIF('1店辅助表'!T:T,B:B,'1店辅助表'!X:X),"-")</f>
        <v>-</v>
      </c>
      <c r="AF21" s="91" t="str">
        <f>IFERROR(SUMIF('1店辅助表'!AC:AC,B:B,'1店辅助表'!AF:AF)/SUMIF('1店辅助表'!AC:AC,B:B,'1店辅助表'!AG:AG),"-")</f>
        <v>-</v>
      </c>
      <c r="AG21" s="99">
        <f>IFERROR(AK21/((SUMIF('1店辅助表'!AT:AT,B:B,'1店辅助表'!AU:AU)+M21)/2),"-")</f>
        <v>0</v>
      </c>
      <c r="AH21" s="99">
        <f>IFERROR(AL21/((SUMIF('1店辅助表'!AW:AW,B:B,'1店辅助表'!AX:AX)+M21)/2),"-")</f>
        <v>0</v>
      </c>
      <c r="AI21" s="100" t="str">
        <f>IFERROR((SUMIF('1店辅助表'!AP:AP,B:B,'1店辅助表'!AR:AR)-SUMIF('1店辅助表'!AP:AP,B:B,'1店辅助表'!AR:AR)*0.15-(L21+IFERROR(VLOOKUP(B:B,'1店辅助表'!AZ:BA,2,0),0))*O21-IF(AN:AN="US",6.85,4.9)*(Z21+3.99*O21))/SUMIF('1店辅助表'!AP:AP,B:B,'1店辅助表'!AR:AR),"-")</f>
        <v>-</v>
      </c>
      <c r="AJ21" s="100" t="str">
        <f t="shared" si="17"/>
        <v>-</v>
      </c>
      <c r="AK21" s="101">
        <f t="shared" si="18"/>
        <v>0</v>
      </c>
      <c r="AL21" s="101">
        <f t="shared" si="19"/>
        <v>0</v>
      </c>
      <c r="AM21" s="1" t="str">
        <f>VLOOKUP(B:B,'1店辅助表'!$AZ:$BB,1,FALSE)</f>
        <v>E03475-BL+E02615+Y03478</v>
      </c>
      <c r="AN21" s="1" t="str">
        <f>VLOOKUP(B:B,'1店辅助表'!AZ:BB,3,FALSE)</f>
        <v>US</v>
      </c>
    </row>
    <row r="22" customHeight="1" spans="1:40">
      <c r="A22" s="58" t="str">
        <f>INDEX('[1]1店'!$A:$A,MATCH(B:B,'[1]1店'!$B:$B,0))</f>
        <v>晓美</v>
      </c>
      <c r="B22" s="43" t="s">
        <v>103</v>
      </c>
      <c r="C22" s="43" t="s">
        <v>104</v>
      </c>
      <c r="D22" s="59"/>
      <c r="E22" s="43" t="s">
        <v>105</v>
      </c>
      <c r="F22" s="43">
        <v>1</v>
      </c>
      <c r="G22" s="43">
        <v>0</v>
      </c>
      <c r="H22" s="43">
        <v>0</v>
      </c>
      <c r="I22" s="43">
        <v>0</v>
      </c>
      <c r="J22" s="43">
        <v>0</v>
      </c>
      <c r="K22" s="63">
        <f t="shared" si="11"/>
        <v>1</v>
      </c>
      <c r="L22" s="64">
        <f>VLOOKUP($B:$B,'[1]1店'!$B:$L,11,0)</f>
        <v>13.9</v>
      </c>
      <c r="M22" s="44">
        <f t="shared" si="10"/>
        <v>13.9</v>
      </c>
      <c r="N22" s="186">
        <f>IFERROR(VLOOKUP(B:B,'1店辅助表'!B:C,2,FALSE),0)</f>
        <v>0</v>
      </c>
      <c r="O22" s="186">
        <f>IFERROR(VLOOKUP(B:B,'1店辅助表'!E:F,2,FALSE),0)</f>
        <v>0</v>
      </c>
      <c r="P22" s="186">
        <f>IFERROR(VLOOKUP(B:B,'1店辅助表'!H:I,2,FALSE),0)</f>
        <v>0</v>
      </c>
      <c r="Q22" s="65">
        <f>IFERROR(VLOOKUP($B:$B,'[1]1店'!$B:$N,13,FALSE),0)</f>
        <v>0</v>
      </c>
      <c r="R22" s="79">
        <f t="shared" si="12"/>
        <v>0</v>
      </c>
      <c r="S22" s="80" t="str">
        <f t="shared" si="13"/>
        <v>-</v>
      </c>
      <c r="T22" s="44" t="str">
        <f t="shared" si="14"/>
        <v>-</v>
      </c>
      <c r="U22" s="188" t="str">
        <f>IFERROR(VLOOKUP($B:$B,'[1]1店'!$B:$T,19,FALSE),0)</f>
        <v>-</v>
      </c>
      <c r="V22" s="81" t="str">
        <f t="shared" si="15"/>
        <v>-</v>
      </c>
      <c r="W22" s="82" t="str">
        <f>_xlfn.IFS(AND(D22&lt;&gt;0,D22-$AM$2&gt;=0,B22&gt;0,D22&lt;&gt;0),"本月刚到货",AND(IFERROR((K22/(N22/7))/30,"-")="-",K22&gt;0),"有库存无销量",AND(IFERROR((K22/(N22/7))/30,"-")="-",K22=0),"无库存无销量",AND(IFERROR((K22/(N22/7))/30,"-")&lt;=0.5,K22=0),"无库存有销量",IFERROR((K22/(N22/7))/30,"-")&lt;=0.5,"库存过低",IFERROR((K22/(N22/7))/30,"-")&lt;=1.5,"正常",IFERROR((K22/(N22/7))/30,"-")&gt;1.5,"库存过高")</f>
        <v>有库存无销量</v>
      </c>
      <c r="X22" s="83" t="str">
        <f>_xlfn.IFS(AND(D22&lt;&gt;0,D22-$AM$2&gt;=0,K22&gt;0,D22&lt;&gt;0),"本月刚到货",AND(T22="-",K22&gt;0),"有库存无销量",AND(T22="-",K22=0),"无库存无销量",AND(T22&lt;=0.5,K22=0),"无库存有销量",T22&lt;=0.5,"库存过低",T22&lt;=1.5,"正常",T22&gt;1.5,"库存过高")</f>
        <v>有库存无销量</v>
      </c>
      <c r="Y22" s="44">
        <f>IFERROR(SUMIF('1店辅助表'!K:K,B:B,'1店辅助表'!N:N),0)</f>
        <v>0</v>
      </c>
      <c r="Z22" s="44">
        <f>IFERROR(SUMIF('1店辅助表'!T:T,B:B,'1店辅助表'!W:W),0)</f>
        <v>0</v>
      </c>
      <c r="AA22" s="44">
        <f>IFERROR(SUMIF('1店辅助表'!AC:AC,B:B,'1店辅助表'!AF:AF),0)</f>
        <v>0</v>
      </c>
      <c r="AB22" s="91" t="str">
        <f>IFERROR(SUMIF('1店辅助表'!K:K,B:B,'1店辅助表'!N:N)/SUMIF('1店辅助表'!K:K,B:B,'1店辅助表'!O:O),"-")</f>
        <v>-</v>
      </c>
      <c r="AC22" s="91" t="str">
        <f>IFERROR(VLOOKUP($B:$B,'[1]1店'!$B:$AB,27,FALSE),"-")</f>
        <v>-</v>
      </c>
      <c r="AD22" s="92" t="str">
        <f t="shared" si="16"/>
        <v>-</v>
      </c>
      <c r="AE22" s="91" t="str">
        <f>IFERROR(SUMIF('1店辅助表'!T:T,B:B,'1店辅助表'!W:W)/SUMIF('1店辅助表'!T:T,B:B,'1店辅助表'!X:X),"-")</f>
        <v>-</v>
      </c>
      <c r="AF22" s="91" t="str">
        <f>IFERROR(SUMIF('1店辅助表'!AC:AC,B:B,'1店辅助表'!AF:AF)/SUMIF('1店辅助表'!AC:AC,B:B,'1店辅助表'!AG:AG),"-")</f>
        <v>-</v>
      </c>
      <c r="AG22" s="99">
        <f>IFERROR(AK22/((SUMIF('1店辅助表'!AT:AT,B:B,'1店辅助表'!AU:AU)+M22)/2),"-")</f>
        <v>0</v>
      </c>
      <c r="AH22" s="99">
        <f>IFERROR(AL22/((SUMIF('1店辅助表'!AW:AW,B:B,'1店辅助表'!AX:AX)+M22)/2),"-")</f>
        <v>0</v>
      </c>
      <c r="AI22" s="100" t="str">
        <f>IFERROR((SUMIF('1店辅助表'!AP:AP,B:B,'1店辅助表'!AR:AR)-SUMIF('1店辅助表'!AP:AP,B:B,'1店辅助表'!AR:AR)*0.15-(L22+IFERROR(VLOOKUP(B:B,'1店辅助表'!AZ:BA,2,0),0))*O22-IF(AN:AN="US",6.85,4.9)*(Z22+3.99*O22))/SUMIF('1店辅助表'!AP:AP,B:B,'1店辅助表'!AR:AR),"-")</f>
        <v>-</v>
      </c>
      <c r="AJ22" s="100" t="str">
        <f t="shared" si="17"/>
        <v>-</v>
      </c>
      <c r="AK22" s="101">
        <f t="shared" si="18"/>
        <v>0</v>
      </c>
      <c r="AL22" s="101">
        <f t="shared" si="19"/>
        <v>0</v>
      </c>
      <c r="AM22" s="1" t="str">
        <f>VLOOKUP(B:B,'1店辅助表'!$AZ:$BB,1,FALSE)</f>
        <v>E03475-BU+E02615+Y03478</v>
      </c>
      <c r="AN22" s="1" t="str">
        <f>VLOOKUP(B:B,'1店辅助表'!AZ:BB,3,FALSE)</f>
        <v>US</v>
      </c>
    </row>
    <row r="23" customHeight="1" spans="1:40">
      <c r="A23" s="58" t="str">
        <f>INDEX('[1]1店'!$A:$A,MATCH(B:B,'[1]1店'!$B:$B,0))</f>
        <v>晓美</v>
      </c>
      <c r="B23" s="43" t="s">
        <v>106</v>
      </c>
      <c r="C23" s="43" t="s">
        <v>107</v>
      </c>
      <c r="D23" s="59"/>
      <c r="E23" s="43" t="s">
        <v>108</v>
      </c>
      <c r="F23" s="43">
        <v>0</v>
      </c>
      <c r="G23" s="43">
        <v>1</v>
      </c>
      <c r="H23" s="43">
        <v>0</v>
      </c>
      <c r="I23" s="43">
        <v>0</v>
      </c>
      <c r="J23" s="43">
        <v>0</v>
      </c>
      <c r="K23" s="63">
        <f t="shared" si="11"/>
        <v>1</v>
      </c>
      <c r="L23" s="64">
        <f>VLOOKUP($B:$B,'[1]1店'!$B:$L,11,0)</f>
        <v>13.9</v>
      </c>
      <c r="M23" s="44">
        <f t="shared" si="10"/>
        <v>13.9</v>
      </c>
      <c r="N23" s="186">
        <f>IFERROR(VLOOKUP(B:B,'1店辅助表'!B:C,2,FALSE),0)</f>
        <v>0</v>
      </c>
      <c r="O23" s="186">
        <f>IFERROR(VLOOKUP(B:B,'1店辅助表'!E:F,2,FALSE),0)</f>
        <v>0</v>
      </c>
      <c r="P23" s="186">
        <f>IFERROR(VLOOKUP(B:B,'1店辅助表'!H:I,2,FALSE),0)</f>
        <v>0</v>
      </c>
      <c r="Q23" s="65">
        <f>IFERROR(VLOOKUP($B:$B,'[1]1店'!$B:$N,13,FALSE),0)</f>
        <v>0</v>
      </c>
      <c r="R23" s="79">
        <f t="shared" si="12"/>
        <v>0</v>
      </c>
      <c r="S23" s="80" t="str">
        <f t="shared" si="13"/>
        <v>-</v>
      </c>
      <c r="T23" s="44" t="str">
        <f t="shared" si="14"/>
        <v>-</v>
      </c>
      <c r="U23" s="188" t="str">
        <f>IFERROR(VLOOKUP($B:$B,'[1]1店'!$B:$T,19,FALSE),0)</f>
        <v>-</v>
      </c>
      <c r="V23" s="81" t="str">
        <f t="shared" si="15"/>
        <v>-</v>
      </c>
      <c r="W23" s="82" t="str">
        <f>_xlfn.IFS(AND(D23&lt;&gt;0,D23-$AM$2&gt;=0,B23&gt;0,D23&lt;&gt;0),"本月刚到货",AND(IFERROR((K23/(N23/7))/30,"-")="-",K23&gt;0),"有库存无销量",AND(IFERROR((K23/(N23/7))/30,"-")="-",K23=0),"无库存无销量",AND(IFERROR((K23/(N23/7))/30,"-")&lt;=0.5,K23=0),"无库存有销量",IFERROR((K23/(N23/7))/30,"-")&lt;=0.5,"库存过低",IFERROR((K23/(N23/7))/30,"-")&lt;=1.5,"正常",IFERROR((K23/(N23/7))/30,"-")&gt;1.5,"库存过高")</f>
        <v>有库存无销量</v>
      </c>
      <c r="X23" s="83" t="str">
        <f>_xlfn.IFS(AND(D23&lt;&gt;0,D23-$AM$2&gt;=0,K23&gt;0,D23&lt;&gt;0),"本月刚到货",AND(T23="-",K23&gt;0),"有库存无销量",AND(T23="-",K23=0),"无库存无销量",AND(T23&lt;=0.5,K23=0),"无库存有销量",T23&lt;=0.5,"库存过低",T23&lt;=1.5,"正常",T23&gt;1.5,"库存过高")</f>
        <v>有库存无销量</v>
      </c>
      <c r="Y23" s="44">
        <f>IFERROR(SUMIF('1店辅助表'!K:K,B:B,'1店辅助表'!N:N),0)</f>
        <v>0</v>
      </c>
      <c r="Z23" s="44">
        <f>IFERROR(SUMIF('1店辅助表'!T:T,B:B,'1店辅助表'!W:W),0)</f>
        <v>0</v>
      </c>
      <c r="AA23" s="44">
        <f>IFERROR(SUMIF('1店辅助表'!AC:AC,B:B,'1店辅助表'!AF:AF),0)</f>
        <v>0</v>
      </c>
      <c r="AB23" s="91" t="str">
        <f>IFERROR(SUMIF('1店辅助表'!K:K,B:B,'1店辅助表'!N:N)/SUMIF('1店辅助表'!K:K,B:B,'1店辅助表'!O:O),"-")</f>
        <v>-</v>
      </c>
      <c r="AC23" s="91" t="str">
        <f>IFERROR(VLOOKUP($B:$B,'[1]1店'!$B:$AB,27,FALSE),"-")</f>
        <v>-</v>
      </c>
      <c r="AD23" s="92" t="str">
        <f t="shared" si="16"/>
        <v>-</v>
      </c>
      <c r="AE23" s="91" t="str">
        <f>IFERROR(SUMIF('1店辅助表'!T:T,B:B,'1店辅助表'!W:W)/SUMIF('1店辅助表'!T:T,B:B,'1店辅助表'!X:X),"-")</f>
        <v>-</v>
      </c>
      <c r="AF23" s="91" t="str">
        <f>IFERROR(SUMIF('1店辅助表'!AC:AC,B:B,'1店辅助表'!AF:AF)/SUMIF('1店辅助表'!AC:AC,B:B,'1店辅助表'!AG:AG),"-")</f>
        <v>-</v>
      </c>
      <c r="AG23" s="99">
        <f>IFERROR(AK23/((SUMIF('1店辅助表'!AT:AT,B:B,'1店辅助表'!AU:AU)+M23)/2),"-")</f>
        <v>0</v>
      </c>
      <c r="AH23" s="99">
        <f>IFERROR(AL23/((SUMIF('1店辅助表'!AW:AW,B:B,'1店辅助表'!AX:AX)+M23)/2),"-")</f>
        <v>0</v>
      </c>
      <c r="AI23" s="100" t="str">
        <f>IFERROR((SUMIF('1店辅助表'!AP:AP,B:B,'1店辅助表'!AR:AR)-SUMIF('1店辅助表'!AP:AP,B:B,'1店辅助表'!AR:AR)*0.15-(L23+IFERROR(VLOOKUP(B:B,'1店辅助表'!AZ:BA,2,0),0))*O23-IF(AN:AN="US",6.85,4.9)*(Z23+3.99*O23))/SUMIF('1店辅助表'!AP:AP,B:B,'1店辅助表'!AR:AR),"-")</f>
        <v>-</v>
      </c>
      <c r="AJ23" s="100" t="str">
        <f t="shared" si="17"/>
        <v>-</v>
      </c>
      <c r="AK23" s="101">
        <f t="shared" si="18"/>
        <v>0</v>
      </c>
      <c r="AL23" s="101">
        <f t="shared" si="19"/>
        <v>0</v>
      </c>
      <c r="AM23" s="1" t="str">
        <f>VLOOKUP(B:B,'1店辅助表'!$AZ:$BB,1,FALSE)</f>
        <v>E03554-BL+E03555+Y03566</v>
      </c>
      <c r="AN23" s="1" t="str">
        <f>VLOOKUP(B:B,'1店辅助表'!AZ:BB,3,FALSE)</f>
        <v>US</v>
      </c>
    </row>
    <row r="24" customHeight="1" spans="1:40">
      <c r="A24" s="58" t="str">
        <f>INDEX('[1]1店'!$A:$A,MATCH(B:B,'[1]1店'!$B:$B,0))</f>
        <v>晓美</v>
      </c>
      <c r="B24" s="43" t="s">
        <v>109</v>
      </c>
      <c r="C24" s="43" t="s">
        <v>110</v>
      </c>
      <c r="D24" s="59"/>
      <c r="E24" s="43" t="s">
        <v>111</v>
      </c>
      <c r="F24" s="43">
        <v>0</v>
      </c>
      <c r="G24" s="43">
        <v>1</v>
      </c>
      <c r="H24" s="43">
        <v>0</v>
      </c>
      <c r="I24" s="43">
        <v>0</v>
      </c>
      <c r="J24" s="43">
        <v>0</v>
      </c>
      <c r="K24" s="63">
        <f t="shared" si="11"/>
        <v>1</v>
      </c>
      <c r="L24" s="64">
        <f>VLOOKUP($B:$B,'[1]1店'!$B:$L,11,0)</f>
        <v>13.9</v>
      </c>
      <c r="M24" s="44">
        <f t="shared" si="10"/>
        <v>13.9</v>
      </c>
      <c r="N24" s="186">
        <f>IFERROR(VLOOKUP(B:B,'1店辅助表'!B:C,2,FALSE),0)</f>
        <v>0</v>
      </c>
      <c r="O24" s="186">
        <f>IFERROR(VLOOKUP(B:B,'1店辅助表'!E:F,2,FALSE),0)</f>
        <v>0</v>
      </c>
      <c r="P24" s="186">
        <f>IFERROR(VLOOKUP(B:B,'1店辅助表'!H:I,2,FALSE),0)</f>
        <v>0</v>
      </c>
      <c r="Q24" s="65">
        <f>IFERROR(VLOOKUP($B:$B,'[1]1店'!$B:$N,13,FALSE),0)</f>
        <v>0</v>
      </c>
      <c r="R24" s="79">
        <f t="shared" si="12"/>
        <v>0</v>
      </c>
      <c r="S24" s="80" t="str">
        <f t="shared" si="13"/>
        <v>-</v>
      </c>
      <c r="T24" s="44" t="str">
        <f t="shared" si="14"/>
        <v>-</v>
      </c>
      <c r="U24" s="188" t="str">
        <f>IFERROR(VLOOKUP($B:$B,'[1]1店'!$B:$T,19,FALSE),0)</f>
        <v>-</v>
      </c>
      <c r="V24" s="81" t="str">
        <f t="shared" si="15"/>
        <v>-</v>
      </c>
      <c r="W24" s="82" t="str">
        <f>_xlfn.IFS(AND(D24&lt;&gt;0,D24-$AM$2&gt;=0,B24&gt;0,D24&lt;&gt;0),"本月刚到货",AND(IFERROR((K24/(N24/7))/30,"-")="-",K24&gt;0),"有库存无销量",AND(IFERROR((K24/(N24/7))/30,"-")="-",K24=0),"无库存无销量",AND(IFERROR((K24/(N24/7))/30,"-")&lt;=0.5,K24=0),"无库存有销量",IFERROR((K24/(N24/7))/30,"-")&lt;=0.5,"库存过低",IFERROR((K24/(N24/7))/30,"-")&lt;=1.5,"正常",IFERROR((K24/(N24/7))/30,"-")&gt;1.5,"库存过高")</f>
        <v>有库存无销量</v>
      </c>
      <c r="X24" s="83" t="str">
        <f>_xlfn.IFS(AND(D24&lt;&gt;0,D24-$AM$2&gt;=0,K24&gt;0,D24&lt;&gt;0),"本月刚到货",AND(T24="-",K24&gt;0),"有库存无销量",AND(T24="-",K24=0),"无库存无销量",AND(T24&lt;=0.5,K24=0),"无库存有销量",T24&lt;=0.5,"库存过低",T24&lt;=1.5,"正常",T24&gt;1.5,"库存过高")</f>
        <v>有库存无销量</v>
      </c>
      <c r="Y24" s="44">
        <f>IFERROR(SUMIF('1店辅助表'!K:K,B:B,'1店辅助表'!N:N),0)</f>
        <v>0</v>
      </c>
      <c r="Z24" s="44">
        <f>IFERROR(SUMIF('1店辅助表'!T:T,B:B,'1店辅助表'!W:W),0)</f>
        <v>0</v>
      </c>
      <c r="AA24" s="44">
        <f>IFERROR(SUMIF('1店辅助表'!AC:AC,B:B,'1店辅助表'!AF:AF),0)</f>
        <v>0</v>
      </c>
      <c r="AB24" s="91" t="str">
        <f>IFERROR(SUMIF('1店辅助表'!K:K,B:B,'1店辅助表'!N:N)/SUMIF('1店辅助表'!K:K,B:B,'1店辅助表'!O:O),"-")</f>
        <v>-</v>
      </c>
      <c r="AC24" s="91" t="str">
        <f>IFERROR(VLOOKUP($B:$B,'[1]1店'!$B:$AB,27,FALSE),"-")</f>
        <v>-</v>
      </c>
      <c r="AD24" s="92" t="str">
        <f t="shared" si="16"/>
        <v>-</v>
      </c>
      <c r="AE24" s="91" t="str">
        <f>IFERROR(SUMIF('1店辅助表'!T:T,B:B,'1店辅助表'!W:W)/SUMIF('1店辅助表'!T:T,B:B,'1店辅助表'!X:X),"-")</f>
        <v>-</v>
      </c>
      <c r="AF24" s="91" t="str">
        <f>IFERROR(SUMIF('1店辅助表'!AC:AC,B:B,'1店辅助表'!AF:AF)/SUMIF('1店辅助表'!AC:AC,B:B,'1店辅助表'!AG:AG),"-")</f>
        <v>-</v>
      </c>
      <c r="AG24" s="99">
        <f>IFERROR(AK24/((SUMIF('1店辅助表'!AT:AT,B:B,'1店辅助表'!AU:AU)+M24)/2),"-")</f>
        <v>0</v>
      </c>
      <c r="AH24" s="99">
        <f>IFERROR(AL24/((SUMIF('1店辅助表'!AW:AW,B:B,'1店辅助表'!AX:AX)+M24)/2),"-")</f>
        <v>0</v>
      </c>
      <c r="AI24" s="100" t="str">
        <f>IFERROR((SUMIF('1店辅助表'!AP:AP,B:B,'1店辅助表'!AR:AR)-SUMIF('1店辅助表'!AP:AP,B:B,'1店辅助表'!AR:AR)*0.15-(L24+IFERROR(VLOOKUP(B:B,'1店辅助表'!AZ:BA,2,0),0))*O24-IF(AN:AN="US",6.85,4.9)*(Z24+3.99*O24))/SUMIF('1店辅助表'!AP:AP,B:B,'1店辅助表'!AR:AR),"-")</f>
        <v>-</v>
      </c>
      <c r="AJ24" s="100" t="str">
        <f t="shared" si="17"/>
        <v>-</v>
      </c>
      <c r="AK24" s="101">
        <f t="shared" si="18"/>
        <v>0</v>
      </c>
      <c r="AL24" s="101">
        <f t="shared" si="19"/>
        <v>0</v>
      </c>
      <c r="AM24" s="1" t="str">
        <f>VLOOKUP(B:B,'1店辅助表'!$AZ:$BB,1,FALSE)</f>
        <v>E03630-BL+E03635+Y03643</v>
      </c>
      <c r="AN24" s="1" t="str">
        <f>VLOOKUP(B:B,'1店辅助表'!AZ:BB,3,FALSE)</f>
        <v>US</v>
      </c>
    </row>
    <row r="25" customHeight="1" spans="1:40">
      <c r="A25" s="58" t="str">
        <f>INDEX('[1]1店'!$A:$A,MATCH(B:B,'[1]1店'!$B:$B,0))</f>
        <v>晓美</v>
      </c>
      <c r="B25" s="43" t="s">
        <v>112</v>
      </c>
      <c r="C25" s="43" t="s">
        <v>113</v>
      </c>
      <c r="D25" s="59"/>
      <c r="E25" s="43" t="s">
        <v>114</v>
      </c>
      <c r="F25" s="43">
        <v>0</v>
      </c>
      <c r="G25" s="43">
        <v>1</v>
      </c>
      <c r="H25" s="43">
        <v>0</v>
      </c>
      <c r="I25" s="43">
        <v>0</v>
      </c>
      <c r="J25" s="43">
        <v>0</v>
      </c>
      <c r="K25" s="63">
        <f t="shared" si="11"/>
        <v>1</v>
      </c>
      <c r="L25" s="64">
        <f>VLOOKUP($B:$B,'[1]1店'!$B:$L,11,0)</f>
        <v>13.9</v>
      </c>
      <c r="M25" s="44">
        <f t="shared" si="10"/>
        <v>13.9</v>
      </c>
      <c r="N25" s="186">
        <f>IFERROR(VLOOKUP(B:B,'1店辅助表'!B:C,2,FALSE),0)</f>
        <v>0</v>
      </c>
      <c r="O25" s="186">
        <f>IFERROR(VLOOKUP(B:B,'1店辅助表'!E:F,2,FALSE),0)</f>
        <v>0</v>
      </c>
      <c r="P25" s="186">
        <f>IFERROR(VLOOKUP(B:B,'1店辅助表'!H:I,2,FALSE),0)</f>
        <v>0</v>
      </c>
      <c r="Q25" s="65">
        <f>IFERROR(VLOOKUP($B:$B,'[1]1店'!$B:$N,13,FALSE),0)</f>
        <v>0</v>
      </c>
      <c r="R25" s="79">
        <f t="shared" si="12"/>
        <v>0</v>
      </c>
      <c r="S25" s="80" t="str">
        <f t="shared" si="13"/>
        <v>-</v>
      </c>
      <c r="T25" s="44" t="str">
        <f t="shared" si="14"/>
        <v>-</v>
      </c>
      <c r="U25" s="188" t="str">
        <f>IFERROR(VLOOKUP($B:$B,'[1]1店'!$B:$T,19,FALSE),0)</f>
        <v>-</v>
      </c>
      <c r="V25" s="81" t="str">
        <f t="shared" si="15"/>
        <v>-</v>
      </c>
      <c r="W25" s="82" t="str">
        <f>_xlfn.IFS(AND(D25&lt;&gt;0,D25-$AM$2&gt;=0,B25&gt;0,D25&lt;&gt;0),"本月刚到货",AND(IFERROR((K25/(N25/7))/30,"-")="-",K25&gt;0),"有库存无销量",AND(IFERROR((K25/(N25/7))/30,"-")="-",K25=0),"无库存无销量",AND(IFERROR((K25/(N25/7))/30,"-")&lt;=0.5,K25=0),"无库存有销量",IFERROR((K25/(N25/7))/30,"-")&lt;=0.5,"库存过低",IFERROR((K25/(N25/7))/30,"-")&lt;=1.5,"正常",IFERROR((K25/(N25/7))/30,"-")&gt;1.5,"库存过高")</f>
        <v>有库存无销量</v>
      </c>
      <c r="X25" s="83" t="str">
        <f>_xlfn.IFS(AND(D25&lt;&gt;0,D25-$AM$2&gt;=0,K25&gt;0,D25&lt;&gt;0),"本月刚到货",AND(T25="-",K25&gt;0),"有库存无销量",AND(T25="-",K25=0),"无库存无销量",AND(T25&lt;=0.5,K25=0),"无库存有销量",T25&lt;=0.5,"库存过低",T25&lt;=1.5,"正常",T25&gt;1.5,"库存过高")</f>
        <v>有库存无销量</v>
      </c>
      <c r="Y25" s="44">
        <f>IFERROR(SUMIF('1店辅助表'!K:K,B:B,'1店辅助表'!N:N),0)</f>
        <v>0</v>
      </c>
      <c r="Z25" s="44">
        <f>IFERROR(SUMIF('1店辅助表'!T:T,B:B,'1店辅助表'!W:W),0)</f>
        <v>0</v>
      </c>
      <c r="AA25" s="44">
        <f>IFERROR(SUMIF('1店辅助表'!AC:AC,B:B,'1店辅助表'!AF:AF),0)</f>
        <v>0</v>
      </c>
      <c r="AB25" s="91" t="str">
        <f>IFERROR(SUMIF('1店辅助表'!K:K,B:B,'1店辅助表'!N:N)/SUMIF('1店辅助表'!K:K,B:B,'1店辅助表'!O:O),"-")</f>
        <v>-</v>
      </c>
      <c r="AC25" s="91" t="str">
        <f>IFERROR(VLOOKUP($B:$B,'[1]1店'!$B:$AB,27,FALSE),"-")</f>
        <v>-</v>
      </c>
      <c r="AD25" s="92" t="str">
        <f t="shared" si="16"/>
        <v>-</v>
      </c>
      <c r="AE25" s="91" t="str">
        <f>IFERROR(SUMIF('1店辅助表'!T:T,B:B,'1店辅助表'!W:W)/SUMIF('1店辅助表'!T:T,B:B,'1店辅助表'!X:X),"-")</f>
        <v>-</v>
      </c>
      <c r="AF25" s="91" t="str">
        <f>IFERROR(SUMIF('1店辅助表'!AC:AC,B:B,'1店辅助表'!AF:AF)/SUMIF('1店辅助表'!AC:AC,B:B,'1店辅助表'!AG:AG),"-")</f>
        <v>-</v>
      </c>
      <c r="AG25" s="99">
        <f>IFERROR(AK25/((SUMIF('1店辅助表'!AT:AT,B:B,'1店辅助表'!AU:AU)+M25)/2),"-")</f>
        <v>0</v>
      </c>
      <c r="AH25" s="99">
        <f>IFERROR(AL25/((SUMIF('1店辅助表'!AW:AW,B:B,'1店辅助表'!AX:AX)+M25)/2),"-")</f>
        <v>0</v>
      </c>
      <c r="AI25" s="100" t="str">
        <f>IFERROR((SUMIF('1店辅助表'!AP:AP,B:B,'1店辅助表'!AR:AR)-SUMIF('1店辅助表'!AP:AP,B:B,'1店辅助表'!AR:AR)*0.15-(L25+IFERROR(VLOOKUP(B:B,'1店辅助表'!AZ:BA,2,0),0))*O25-IF(AN:AN="US",6.85,4.9)*(Z25+3.99*O25))/SUMIF('1店辅助表'!AP:AP,B:B,'1店辅助表'!AR:AR),"-")</f>
        <v>-</v>
      </c>
      <c r="AJ25" s="100" t="str">
        <f t="shared" si="17"/>
        <v>-</v>
      </c>
      <c r="AK25" s="101">
        <f t="shared" si="18"/>
        <v>0</v>
      </c>
      <c r="AL25" s="101">
        <f t="shared" si="19"/>
        <v>0</v>
      </c>
      <c r="AM25" s="1" t="str">
        <f>VLOOKUP(B:B,'1店辅助表'!$AZ:$BB,1,FALSE)</f>
        <v>E03630-BU+E03635+Y03643</v>
      </c>
      <c r="AN25" s="1" t="str">
        <f>VLOOKUP(B:B,'1店辅助表'!AZ:BB,3,FALSE)</f>
        <v>US</v>
      </c>
    </row>
    <row r="26" customHeight="1" spans="1:40">
      <c r="A26" s="58" t="str">
        <f>INDEX('[1]1店'!$A:$A,MATCH(B:B,'[1]1店'!$B:$B,0))</f>
        <v>晓美</v>
      </c>
      <c r="B26" s="43" t="s">
        <v>115</v>
      </c>
      <c r="C26" s="43" t="s">
        <v>116</v>
      </c>
      <c r="D26" s="59"/>
      <c r="E26" s="43" t="s">
        <v>117</v>
      </c>
      <c r="F26" s="43">
        <v>0</v>
      </c>
      <c r="G26" s="43">
        <v>1</v>
      </c>
      <c r="H26" s="43">
        <v>0</v>
      </c>
      <c r="I26" s="43">
        <v>0</v>
      </c>
      <c r="J26" s="43">
        <v>0</v>
      </c>
      <c r="K26" s="63">
        <f t="shared" si="11"/>
        <v>1</v>
      </c>
      <c r="L26" s="64">
        <f>VLOOKUP($B:$B,'[1]1店'!$B:$L,11,0)</f>
        <v>13.9</v>
      </c>
      <c r="M26" s="44">
        <f t="shared" si="10"/>
        <v>13.9</v>
      </c>
      <c r="N26" s="186">
        <f>IFERROR(VLOOKUP(B:B,'1店辅助表'!B:C,2,FALSE),0)</f>
        <v>0</v>
      </c>
      <c r="O26" s="186">
        <f>IFERROR(VLOOKUP(B:B,'1店辅助表'!E:F,2,FALSE),0)</f>
        <v>0</v>
      </c>
      <c r="P26" s="186">
        <f>IFERROR(VLOOKUP(B:B,'1店辅助表'!H:I,2,FALSE),0)</f>
        <v>0</v>
      </c>
      <c r="Q26" s="65">
        <f>IFERROR(VLOOKUP($B:$B,'[1]1店'!$B:$N,13,FALSE),0)</f>
        <v>0</v>
      </c>
      <c r="R26" s="79">
        <f t="shared" si="12"/>
        <v>0</v>
      </c>
      <c r="S26" s="80" t="str">
        <f t="shared" si="13"/>
        <v>-</v>
      </c>
      <c r="T26" s="44" t="str">
        <f t="shared" si="14"/>
        <v>-</v>
      </c>
      <c r="U26" s="188" t="str">
        <f>IFERROR(VLOOKUP($B:$B,'[1]1店'!$B:$T,19,FALSE),0)</f>
        <v>-</v>
      </c>
      <c r="V26" s="81" t="str">
        <f t="shared" si="15"/>
        <v>-</v>
      </c>
      <c r="W26" s="82" t="str">
        <f>_xlfn.IFS(AND(D26&lt;&gt;0,D26-$AM$2&gt;=0,B26&gt;0,D26&lt;&gt;0),"本月刚到货",AND(IFERROR((K26/(N26/7))/30,"-")="-",K26&gt;0),"有库存无销量",AND(IFERROR((K26/(N26/7))/30,"-")="-",K26=0),"无库存无销量",AND(IFERROR((K26/(N26/7))/30,"-")&lt;=0.5,K26=0),"无库存有销量",IFERROR((K26/(N26/7))/30,"-")&lt;=0.5,"库存过低",IFERROR((K26/(N26/7))/30,"-")&lt;=1.5,"正常",IFERROR((K26/(N26/7))/30,"-")&gt;1.5,"库存过高")</f>
        <v>有库存无销量</v>
      </c>
      <c r="X26" s="83" t="str">
        <f>_xlfn.IFS(AND(D26&lt;&gt;0,D26-$AM$2&gt;=0,K26&gt;0,D26&lt;&gt;0),"本月刚到货",AND(T26="-",K26&gt;0),"有库存无销量",AND(T26="-",K26=0),"无库存无销量",AND(T26&lt;=0.5,K26=0),"无库存有销量",T26&lt;=0.5,"库存过低",T26&lt;=1.5,"正常",T26&gt;1.5,"库存过高")</f>
        <v>有库存无销量</v>
      </c>
      <c r="Y26" s="44">
        <f>IFERROR(SUMIF('1店辅助表'!K:K,B:B,'1店辅助表'!N:N),0)</f>
        <v>0</v>
      </c>
      <c r="Z26" s="44">
        <f>IFERROR(SUMIF('1店辅助表'!T:T,B:B,'1店辅助表'!W:W),0)</f>
        <v>0</v>
      </c>
      <c r="AA26" s="44">
        <f>IFERROR(SUMIF('1店辅助表'!AC:AC,B:B,'1店辅助表'!AF:AF),0)</f>
        <v>0</v>
      </c>
      <c r="AB26" s="91" t="str">
        <f>IFERROR(SUMIF('1店辅助表'!K:K,B:B,'1店辅助表'!N:N)/SUMIF('1店辅助表'!K:K,B:B,'1店辅助表'!O:O),"-")</f>
        <v>-</v>
      </c>
      <c r="AC26" s="91" t="str">
        <f>IFERROR(VLOOKUP($B:$B,'[1]1店'!$B:$AB,27,FALSE),"-")</f>
        <v>-</v>
      </c>
      <c r="AD26" s="92" t="str">
        <f t="shared" si="16"/>
        <v>-</v>
      </c>
      <c r="AE26" s="91" t="str">
        <f>IFERROR(SUMIF('1店辅助表'!T:T,B:B,'1店辅助表'!W:W)/SUMIF('1店辅助表'!T:T,B:B,'1店辅助表'!X:X),"-")</f>
        <v>-</v>
      </c>
      <c r="AF26" s="91" t="str">
        <f>IFERROR(SUMIF('1店辅助表'!AC:AC,B:B,'1店辅助表'!AF:AF)/SUMIF('1店辅助表'!AC:AC,B:B,'1店辅助表'!AG:AG),"-")</f>
        <v>-</v>
      </c>
      <c r="AG26" s="99">
        <f>IFERROR(AK26/((SUMIF('1店辅助表'!AT:AT,B:B,'1店辅助表'!AU:AU)+M26)/2),"-")</f>
        <v>0</v>
      </c>
      <c r="AH26" s="99">
        <f>IFERROR(AL26/((SUMIF('1店辅助表'!AW:AW,B:B,'1店辅助表'!AX:AX)+M26)/2),"-")</f>
        <v>0</v>
      </c>
      <c r="AI26" s="100" t="str">
        <f>IFERROR((SUMIF('1店辅助表'!AP:AP,B:B,'1店辅助表'!AR:AR)-SUMIF('1店辅助表'!AP:AP,B:B,'1店辅助表'!AR:AR)*0.15-(L26+IFERROR(VLOOKUP(B:B,'1店辅助表'!AZ:BA,2,0),0))*O26-IF(AN:AN="US",6.85,4.9)*(Z26+3.99*O26))/SUMIF('1店辅助表'!AP:AP,B:B,'1店辅助表'!AR:AR),"-")</f>
        <v>-</v>
      </c>
      <c r="AJ26" s="100" t="str">
        <f t="shared" si="17"/>
        <v>-</v>
      </c>
      <c r="AK26" s="101">
        <f t="shared" si="18"/>
        <v>0</v>
      </c>
      <c r="AL26" s="101">
        <f t="shared" si="19"/>
        <v>0</v>
      </c>
      <c r="AM26" s="1" t="str">
        <f>VLOOKUP(B:B,'1店辅助表'!$AZ:$BB,1,FALSE)</f>
        <v>E03630-OR+E03635+Y03643</v>
      </c>
      <c r="AN26" s="1" t="str">
        <f>VLOOKUP(B:B,'1店辅助表'!AZ:BB,3,FALSE)</f>
        <v>US</v>
      </c>
    </row>
    <row r="27" customHeight="1" spans="1:40">
      <c r="A27" s="58" t="str">
        <f>INDEX('[1]1店'!$A:$A,MATCH(B:B,'[1]1店'!$B:$B,0))</f>
        <v>秀青</v>
      </c>
      <c r="B27" s="43" t="s">
        <v>118</v>
      </c>
      <c r="C27" s="43" t="s">
        <v>119</v>
      </c>
      <c r="D27" s="59">
        <f>VLOOKUP(B:B,'[1]1店'!$B:$L,3,0)</f>
        <v>44922</v>
      </c>
      <c r="E27" s="43" t="s">
        <v>120</v>
      </c>
      <c r="F27" s="43">
        <v>68</v>
      </c>
      <c r="G27" s="43">
        <v>0</v>
      </c>
      <c r="H27" s="43">
        <v>0</v>
      </c>
      <c r="I27" s="43">
        <v>0</v>
      </c>
      <c r="J27" s="43">
        <v>0</v>
      </c>
      <c r="K27" s="63">
        <f t="shared" si="11"/>
        <v>68</v>
      </c>
      <c r="L27" s="64">
        <f>VLOOKUP($B:$B,'[1]1店'!$B:$L,11,0)</f>
        <v>13.069</v>
      </c>
      <c r="M27" s="44">
        <f t="shared" si="10"/>
        <v>888.692</v>
      </c>
      <c r="N27" s="186">
        <f>IFERROR(VLOOKUP(B:B,'1店辅助表'!B:C,2,FALSE),0)</f>
        <v>1</v>
      </c>
      <c r="O27" s="186">
        <f>IFERROR(VLOOKUP(B:B,'1店辅助表'!E:F,2,FALSE),0)</f>
        <v>4</v>
      </c>
      <c r="P27" s="186">
        <f>IFERROR(VLOOKUP(B:B,'1店辅助表'!H:I,2,FALSE),0)</f>
        <v>10</v>
      </c>
      <c r="Q27" s="65">
        <f>IFERROR(VLOOKUP($B:$B,'[1]1店'!$B:$N,13,FALSE),0)</f>
        <v>3</v>
      </c>
      <c r="R27" s="79">
        <f t="shared" si="12"/>
        <v>-2</v>
      </c>
      <c r="S27" s="80">
        <f t="shared" si="13"/>
        <v>274.615384615385</v>
      </c>
      <c r="T27" s="44">
        <f t="shared" si="14"/>
        <v>9.15384615384615</v>
      </c>
      <c r="U27" s="188">
        <f>IFERROR(VLOOKUP($B:$B,'[1]1店'!$B:$T,19,FALSE),0)</f>
        <v>5.77906976744186</v>
      </c>
      <c r="V27" s="81">
        <f t="shared" si="15"/>
        <v>3.37477638640429</v>
      </c>
      <c r="W27" s="82" t="str">
        <f>_xlfn.IFS(AND(D27&lt;&gt;0,D27-$AM$2&gt;=0,B27&gt;0,D27&lt;&gt;0),"本月刚到货",AND(IFERROR((K27/(N27/7))/30,"-")="-",K27&gt;0),"有库存无销量",AND(IFERROR((K27/(N27/7))/30,"-")="-",K27=0),"无库存无销量",AND(IFERROR((K27/(N27/7))/30,"-")&lt;=0.5,K27=0),"无库存有销量",IFERROR((K27/(N27/7))/30,"-")&lt;=0.5,"库存过低",IFERROR((K27/(N27/7))/30,"-")&lt;=1.5,"正常",IFERROR((K27/(N27/7))/30,"-")&gt;1.5,"库存过高")</f>
        <v>库存过高</v>
      </c>
      <c r="X27" s="83" t="str">
        <f>_xlfn.IFS(AND(D27&lt;&gt;0,D27-$AM$2&gt;=0,K27&gt;0,D27&lt;&gt;0),"本月刚到货",AND(T27="-",K27&gt;0),"有库存无销量",AND(T27="-",K27=0),"无库存无销量",AND(T27&lt;=0.5,K27=0),"无库存有销量",T27&lt;=0.5,"库存过低",T27&lt;=1.5,"正常",T27&gt;1.5,"库存过高")</f>
        <v>库存过高</v>
      </c>
      <c r="Y27" s="44">
        <f>IFERROR(SUMIF('1店辅助表'!K:K,B:B,'1店辅助表'!N:N),0)</f>
        <v>7.28</v>
      </c>
      <c r="Z27" s="44">
        <f>IFERROR(SUMIF('1店辅助表'!T:T,B:B,'1店辅助表'!W:W),0)</f>
        <v>14.78</v>
      </c>
      <c r="AA27" s="44">
        <f>IFERROR(SUMIF('1店辅助表'!AC:AC,B:B,'1店辅助表'!AF:AF),0)</f>
        <v>35.5</v>
      </c>
      <c r="AB27" s="91">
        <f>IFERROR(SUMIF('1店辅助表'!K:K,B:B,'1店辅助表'!N:N)/SUMIF('1店辅助表'!K:K,B:B,'1店辅助表'!O:O),"-")</f>
        <v>0.560431100846805</v>
      </c>
      <c r="AC27" s="91">
        <f>IFERROR(VLOOKUP($B:$B,'[1]1店'!$B:$AB,27,FALSE),"-")</f>
        <v>0.194401244167963</v>
      </c>
      <c r="AD27" s="92">
        <f t="shared" si="16"/>
        <v>0.366029856678842</v>
      </c>
      <c r="AE27" s="91">
        <f>IFERROR(SUMIF('1店辅助表'!T:T,B:B,'1店辅助表'!W:W)/SUMIF('1店辅助表'!T:T,B:B,'1店辅助表'!X:X),"-")</f>
        <v>0.286600736862517</v>
      </c>
      <c r="AF27" s="91">
        <f>IFERROR(SUMIF('1店辅助表'!AC:AC,B:B,'1店辅助表'!AF:AF)/SUMIF('1店辅助表'!AC:AC,B:B,'1店辅助表'!AG:AG),"-")</f>
        <v>0.457769181173437</v>
      </c>
      <c r="AG27" s="99">
        <f>IFERROR(AK27/((SUMIF('1店辅助表'!AT:AT,B:B,'1店辅助表'!AU:AU)+M27)/2),"-")</f>
        <v>0.0143884892086331</v>
      </c>
      <c r="AH27" s="99">
        <f>IFERROR(AL27/((SUMIF('1店辅助表'!AW:AW,B:B,'1店辅助表'!AX:AX)+M27)/2),"-")</f>
        <v>0.0496894409937888</v>
      </c>
      <c r="AI27" s="100">
        <f>IFERROR((SUMIF('1店辅助表'!AP:AP,B:B,'1店辅助表'!AR:AR)-SUMIF('1店辅助表'!AP:AP,B:B,'1店辅助表'!AR:AR)*0.15-(L27+IFERROR(VLOOKUP(B:B,'1店辅助表'!AZ:BA,2,0),0))*O27-IF(AN:AN="US",6.85,4.9)*(Z27+3.99*O27))/SUMIF('1店辅助表'!AP:AP,B:B,'1店辅助表'!AR:AR),"-")</f>
        <v>0.0133538992426139</v>
      </c>
      <c r="AJ27" s="100">
        <f t="shared" si="17"/>
        <v>0.000663547788452866</v>
      </c>
      <c r="AK27" s="101">
        <f t="shared" si="18"/>
        <v>13.069</v>
      </c>
      <c r="AL27" s="101">
        <f t="shared" si="19"/>
        <v>52.276</v>
      </c>
      <c r="AM27" s="1" t="str">
        <f>VLOOKUP(B:B,'1店辅助表'!$AZ:$BB,1,FALSE)</f>
        <v>Y1037</v>
      </c>
      <c r="AN27" s="1" t="str">
        <f>VLOOKUP(B:B,'1店辅助表'!AZ:BB,3,FALSE)</f>
        <v>US</v>
      </c>
    </row>
    <row r="28" customHeight="1" spans="1:40">
      <c r="A28" s="58" t="str">
        <f>INDEX('[1]1店'!$A:$A,MATCH(B:B,'[1]1店'!$B:$B,0))</f>
        <v>秀青</v>
      </c>
      <c r="B28" s="43" t="s">
        <v>121</v>
      </c>
      <c r="C28" s="43" t="s">
        <v>122</v>
      </c>
      <c r="D28" s="59">
        <f>VLOOKUP(B:B,'[1]1店'!$B:$L,3,0)</f>
        <v>44919</v>
      </c>
      <c r="E28" s="43" t="s">
        <v>123</v>
      </c>
      <c r="F28" s="43">
        <v>25</v>
      </c>
      <c r="G28" s="43">
        <v>0</v>
      </c>
      <c r="H28" s="43">
        <v>0</v>
      </c>
      <c r="I28" s="43">
        <v>1</v>
      </c>
      <c r="J28" s="43">
        <v>0</v>
      </c>
      <c r="K28" s="63">
        <f t="shared" si="11"/>
        <v>26</v>
      </c>
      <c r="L28" s="64">
        <f>VLOOKUP($B:$B,'[1]1店'!$B:$L,11,0)</f>
        <v>22</v>
      </c>
      <c r="M28" s="44">
        <f t="shared" si="10"/>
        <v>572</v>
      </c>
      <c r="N28" s="186">
        <f>IFERROR(VLOOKUP(B:B,'1店辅助表'!B:C,2,FALSE),0)</f>
        <v>2</v>
      </c>
      <c r="O28" s="186">
        <f>IFERROR(VLOOKUP(B:B,'1店辅助表'!E:F,2,FALSE),0)</f>
        <v>9</v>
      </c>
      <c r="P28" s="186">
        <f>IFERROR(VLOOKUP(B:B,'1店辅助表'!H:I,2,FALSE),0)</f>
        <v>15</v>
      </c>
      <c r="Q28" s="65">
        <f>IFERROR(VLOOKUP($B:$B,'[1]1店'!$B:$N,13,FALSE),0)</f>
        <v>6</v>
      </c>
      <c r="R28" s="79">
        <f t="shared" si="12"/>
        <v>-4</v>
      </c>
      <c r="S28" s="80">
        <f t="shared" si="13"/>
        <v>56.2886597938144</v>
      </c>
      <c r="T28" s="44">
        <f t="shared" si="14"/>
        <v>1.87628865979381</v>
      </c>
      <c r="U28" s="188">
        <f>IFERROR(VLOOKUP($B:$B,'[1]1店'!$B:$T,19,FALSE),0)</f>
        <v>1.50717703349282</v>
      </c>
      <c r="V28" s="81">
        <f t="shared" si="15"/>
        <v>0.36911162630099</v>
      </c>
      <c r="W28" s="82" t="str">
        <f>_xlfn.IFS(AND(D28&lt;&gt;0,D28-$AM$2&gt;=0,B28&gt;0,D28&lt;&gt;0),"本月刚到货",AND(IFERROR((K28/(N28/7))/30,"-")="-",K28&gt;0),"有库存无销量",AND(IFERROR((K28/(N28/7))/30,"-")="-",K28=0),"无库存无销量",AND(IFERROR((K28/(N28/7))/30,"-")&lt;=0.5,K28=0),"无库存有销量",IFERROR((K28/(N28/7))/30,"-")&lt;=0.5,"库存过低",IFERROR((K28/(N28/7))/30,"-")&lt;=1.5,"正常",IFERROR((K28/(N28/7))/30,"-")&gt;1.5,"库存过高")</f>
        <v>库存过高</v>
      </c>
      <c r="X28" s="83" t="str">
        <f>_xlfn.IFS(AND(D28&lt;&gt;0,D28-$AM$2&gt;=0,K28&gt;0,D28&lt;&gt;0),"本月刚到货",AND(T28="-",K28&gt;0),"有库存无销量",AND(T28="-",K28=0),"无库存无销量",AND(T28&lt;=0.5,K28=0),"无库存有销量",T28&lt;=0.5,"库存过低",T28&lt;=1.5,"正常",T28&gt;1.5,"库存过高")</f>
        <v>库存过高</v>
      </c>
      <c r="Y28" s="44">
        <f>IFERROR(SUMIF('1店辅助表'!K:K,B:B,'1店辅助表'!N:N),0)</f>
        <v>5.38</v>
      </c>
      <c r="Z28" s="44">
        <f>IFERROR(SUMIF('1店辅助表'!T:T,B:B,'1店辅助表'!W:W),0)</f>
        <v>21.35</v>
      </c>
      <c r="AA28" s="44">
        <f>IFERROR(SUMIF('1店辅助表'!AC:AC,B:B,'1店辅助表'!AF:AF),0)</f>
        <v>96.66</v>
      </c>
      <c r="AB28" s="91">
        <f>IFERROR(SUMIF('1店辅助表'!K:K,B:B,'1店辅助表'!N:N)/SUMIF('1店辅助表'!K:K,B:B,'1店辅助表'!O:O),"-")</f>
        <v>0.29905503057254</v>
      </c>
      <c r="AC28" s="91">
        <f>IFERROR(VLOOKUP($B:$B,'[1]1店'!$B:$AB,27,FALSE),"-")</f>
        <v>0.202668236217383</v>
      </c>
      <c r="AD28" s="92">
        <f t="shared" si="16"/>
        <v>0.096386794355157</v>
      </c>
      <c r="AE28" s="91">
        <f>IFERROR(SUMIF('1店辅助表'!T:T,B:B,'1店辅助表'!W:W)/SUMIF('1店辅助表'!T:T,B:B,'1店辅助表'!X:X),"-")</f>
        <v>0.248400232693426</v>
      </c>
      <c r="AF28" s="91">
        <f>IFERROR(SUMIF('1店辅助表'!AC:AC,B:B,'1店辅助表'!AF:AF)/SUMIF('1店辅助表'!AC:AC,B:B,'1店辅助表'!AG:AG),"-")</f>
        <v>0.649116916258142</v>
      </c>
      <c r="AG28" s="99">
        <f>IFERROR(AK28/((SUMIF('1店辅助表'!AT:AT,B:B,'1店辅助表'!AU:AU)+M28)/2),"-")</f>
        <v>0.0714285714285714</v>
      </c>
      <c r="AH28" s="99">
        <f>IFERROR(AL28/((SUMIF('1店辅助表'!AW:AW,B:B,'1店辅助表'!AX:AX)+M28)/2),"-")</f>
        <v>0.206896551724138</v>
      </c>
      <c r="AI28" s="100">
        <f>IFERROR((SUMIF('1店辅助表'!AP:AP,B:B,'1店辅助表'!AR:AR)-SUMIF('1店辅助表'!AP:AP,B:B,'1店辅助表'!AR:AR)*0.15-(L28+IFERROR(VLOOKUP(B:B,'1店辅助表'!AZ:BA,2,0),0))*O28-IF(AN:AN="US",6.85,4.9)*(Z28+3.99*O28))/SUMIF('1店辅助表'!AP:AP,B:B,'1店辅助表'!AR:AR),"-")</f>
        <v>0.132866826426406</v>
      </c>
      <c r="AJ28" s="100">
        <f t="shared" si="17"/>
        <v>0.027489688226153</v>
      </c>
      <c r="AK28" s="101">
        <f t="shared" si="18"/>
        <v>44</v>
      </c>
      <c r="AL28" s="101">
        <f t="shared" si="19"/>
        <v>198</v>
      </c>
      <c r="AM28" s="1" t="str">
        <f>VLOOKUP(B:B,'1店辅助表'!$AZ:$BB,1,FALSE)</f>
        <v>Y1041-RE</v>
      </c>
      <c r="AN28" s="1" t="str">
        <f>VLOOKUP(B:B,'1店辅助表'!AZ:BB,3,FALSE)</f>
        <v>US</v>
      </c>
    </row>
    <row r="29" customHeight="1" spans="1:40">
      <c r="A29" s="58" t="str">
        <f>INDEX('[1]1店'!$A:$A,MATCH(B:B,'[1]1店'!$B:$B,0))</f>
        <v>秀青</v>
      </c>
      <c r="B29" s="43" t="s">
        <v>124</v>
      </c>
      <c r="C29" s="43" t="s">
        <v>125</v>
      </c>
      <c r="D29" s="59">
        <f>VLOOKUP(B:B,'[1]1店'!$B:$L,3,0)</f>
        <v>44919</v>
      </c>
      <c r="E29" s="43" t="s">
        <v>126</v>
      </c>
      <c r="F29" s="43">
        <v>29</v>
      </c>
      <c r="G29" s="43">
        <v>1</v>
      </c>
      <c r="H29" s="43">
        <v>0</v>
      </c>
      <c r="I29" s="43">
        <v>0</v>
      </c>
      <c r="J29" s="43">
        <v>0</v>
      </c>
      <c r="K29" s="63">
        <f t="shared" si="11"/>
        <v>30</v>
      </c>
      <c r="L29" s="64">
        <f>VLOOKUP($B:$B,'[1]1店'!$B:$L,11,0)</f>
        <v>22</v>
      </c>
      <c r="M29" s="44">
        <f t="shared" si="10"/>
        <v>660</v>
      </c>
      <c r="N29" s="186">
        <f>IFERROR(VLOOKUP(B:B,'1店辅助表'!B:C,2,FALSE),0)</f>
        <v>3</v>
      </c>
      <c r="O29" s="186">
        <f>IFERROR(VLOOKUP(B:B,'1店辅助表'!E:F,2,FALSE),0)</f>
        <v>4</v>
      </c>
      <c r="P29" s="186">
        <f>IFERROR(VLOOKUP(B:B,'1店辅助表'!H:I,2,FALSE),0)</f>
        <v>8</v>
      </c>
      <c r="Q29" s="65">
        <f>IFERROR(VLOOKUP($B:$B,'[1]1店'!$B:$N,13,FALSE),0)</f>
        <v>1</v>
      </c>
      <c r="R29" s="79">
        <f t="shared" si="12"/>
        <v>2</v>
      </c>
      <c r="S29" s="80">
        <f t="shared" si="13"/>
        <v>93.5643564356436</v>
      </c>
      <c r="T29" s="44">
        <f t="shared" si="14"/>
        <v>3.11881188118812</v>
      </c>
      <c r="U29" s="188">
        <f>IFERROR(VLOOKUP($B:$B,'[1]1店'!$B:$T,19,FALSE),0)</f>
        <v>7.81395348837209</v>
      </c>
      <c r="V29" s="81">
        <f t="shared" si="15"/>
        <v>-4.69514160718397</v>
      </c>
      <c r="W29" s="82" t="str">
        <f>_xlfn.IFS(AND(D29&lt;&gt;0,D29-$AM$2&gt;=0,B29&gt;0,D29&lt;&gt;0),"本月刚到货",AND(IFERROR((K29/(N29/7))/30,"-")="-",K29&gt;0),"有库存无销量",AND(IFERROR((K29/(N29/7))/30,"-")="-",K29=0),"无库存无销量",AND(IFERROR((K29/(N29/7))/30,"-")&lt;=0.5,K29=0),"无库存有销量",IFERROR((K29/(N29/7))/30,"-")&lt;=0.5,"库存过低",IFERROR((K29/(N29/7))/30,"-")&lt;=1.5,"正常",IFERROR((K29/(N29/7))/30,"-")&gt;1.5,"库存过高")</f>
        <v>库存过高</v>
      </c>
      <c r="X29" s="83" t="str">
        <f>_xlfn.IFS(AND(D29&lt;&gt;0,D29-$AM$2&gt;=0,K29&gt;0,D29&lt;&gt;0),"本月刚到货",AND(T29="-",K29&gt;0),"有库存无销量",AND(T29="-",K29=0),"无库存无销量",AND(T29&lt;=0.5,K29=0),"无库存有销量",T29&lt;=0.5,"库存过低",T29&lt;=1.5,"正常",T29&gt;1.5,"库存过高")</f>
        <v>库存过高</v>
      </c>
      <c r="Y29" s="44">
        <f>IFERROR(SUMIF('1店辅助表'!K:K,B:B,'1店辅助表'!N:N),0)</f>
        <v>2.86</v>
      </c>
      <c r="Z29" s="44">
        <f>IFERROR(SUMIF('1店辅助表'!T:T,B:B,'1店辅助表'!W:W),0)</f>
        <v>13.26</v>
      </c>
      <c r="AA29" s="44">
        <f>IFERROR(SUMIF('1店辅助表'!AC:AC,B:B,'1店辅助表'!AF:AF),0)</f>
        <v>52.11</v>
      </c>
      <c r="AB29" s="91">
        <f>IFERROR(SUMIF('1店辅助表'!K:K,B:B,'1店辅助表'!N:N)/SUMIF('1店辅助表'!K:K,B:B,'1店辅助表'!O:O),"-")</f>
        <v>0.0794886047804336</v>
      </c>
      <c r="AC29" s="91" t="str">
        <f>IFERROR(VLOOKUP($B:$B,'[1]1店'!$B:$AB,27,FALSE),"-")</f>
        <v>-</v>
      </c>
      <c r="AD29" s="92" t="str">
        <f t="shared" si="16"/>
        <v>-</v>
      </c>
      <c r="AE29" s="91">
        <f>IFERROR(SUMIF('1店辅助表'!T:T,B:B,'1店辅助表'!W:W)/SUMIF('1店辅助表'!T:T,B:B,'1店辅助表'!X:X),"-")</f>
        <v>0.368538076709283</v>
      </c>
      <c r="AF29" s="91">
        <f>IFERROR(SUMIF('1店辅助表'!AC:AC,B:B,'1店辅助表'!AF:AF)/SUMIF('1店辅助表'!AC:AC,B:B,'1店辅助表'!AG:AG),"-")</f>
        <v>0.744854202401372</v>
      </c>
      <c r="AG29" s="99">
        <f>IFERROR(AK29/((SUMIF('1店辅助表'!AT:AT,B:B,'1店辅助表'!AU:AU)+M29)/2),"-")</f>
        <v>0.0967741935483871</v>
      </c>
      <c r="AH29" s="99">
        <f>IFERROR(AL29/((SUMIF('1店辅助表'!AW:AW,B:B,'1店辅助表'!AX:AX)+M29)/2),"-")</f>
        <v>0.119402985074627</v>
      </c>
      <c r="AI29" s="100">
        <f>IFERROR((SUMIF('1店辅助表'!AP:AP,B:B,'1店辅助表'!AR:AR)-SUMIF('1店辅助表'!AP:AP,B:B,'1店辅助表'!AR:AR)*0.15-(L29+IFERROR(VLOOKUP(B:B,'1店辅助表'!AZ:BA,2,0),0))*O29-IF(AN:AN="US",6.85,4.9)*(Z29+3.99*O29))/SUMIF('1店辅助表'!AP:AP,B:B,'1店辅助表'!AR:AR),"-")</f>
        <v>0.177601033583226</v>
      </c>
      <c r="AJ29" s="100">
        <f t="shared" si="17"/>
        <v>0.0212060935621762</v>
      </c>
      <c r="AK29" s="101">
        <f t="shared" si="18"/>
        <v>66</v>
      </c>
      <c r="AL29" s="101">
        <f t="shared" si="19"/>
        <v>88</v>
      </c>
      <c r="AM29" s="1" t="str">
        <f>VLOOKUP(B:B,'1店辅助表'!$AZ:$BB,1,FALSE)</f>
        <v>Y1041-BU</v>
      </c>
      <c r="AN29" s="1" t="str">
        <f>VLOOKUP(B:B,'1店辅助表'!AZ:BB,3,FALSE)</f>
        <v>US</v>
      </c>
    </row>
    <row r="30" customHeight="1" spans="1:40">
      <c r="A30" s="58" t="str">
        <f>INDEX('[1]1店'!$A:$A,MATCH(B:B,'[1]1店'!$B:$B,0))</f>
        <v>秀青</v>
      </c>
      <c r="B30" s="43" t="s">
        <v>127</v>
      </c>
      <c r="C30" s="43" t="s">
        <v>128</v>
      </c>
      <c r="D30" s="59">
        <f>VLOOKUP(B:B,'[1]1店'!$B:$L,3,0)</f>
        <v>44900</v>
      </c>
      <c r="E30" s="43" t="s">
        <v>129</v>
      </c>
      <c r="F30" s="43">
        <v>60</v>
      </c>
      <c r="G30" s="43">
        <v>1</v>
      </c>
      <c r="H30" s="43">
        <v>0</v>
      </c>
      <c r="I30" s="43">
        <v>0</v>
      </c>
      <c r="J30" s="43">
        <v>0</v>
      </c>
      <c r="K30" s="63">
        <f t="shared" si="11"/>
        <v>61</v>
      </c>
      <c r="L30" s="64">
        <f>VLOOKUP($B:$B,'[1]1店'!$B:$L,11,0)</f>
        <v>26.56</v>
      </c>
      <c r="M30" s="44">
        <f t="shared" si="10"/>
        <v>1620.16</v>
      </c>
      <c r="N30" s="186">
        <f>IFERROR(VLOOKUP(B:B,'1店辅助表'!B:C,2,FALSE),0)</f>
        <v>1</v>
      </c>
      <c r="O30" s="186">
        <f>IFERROR(VLOOKUP(B:B,'1店辅助表'!E:F,2,FALSE),0)</f>
        <v>1</v>
      </c>
      <c r="P30" s="186">
        <f>IFERROR(VLOOKUP(B:B,'1店辅助表'!H:I,2,FALSE),0)</f>
        <v>1</v>
      </c>
      <c r="Q30" s="65">
        <f>IFERROR(VLOOKUP($B:$B,'[1]1店'!$B:$N,13,FALSE),0)</f>
        <v>0</v>
      </c>
      <c r="R30" s="79">
        <f t="shared" si="12"/>
        <v>1</v>
      </c>
      <c r="S30" s="80">
        <f t="shared" si="13"/>
        <v>753.529411764706</v>
      </c>
      <c r="T30" s="44">
        <f t="shared" si="14"/>
        <v>25.1176470588235</v>
      </c>
      <c r="U30" s="188">
        <f>IFERROR(VLOOKUP($B:$B,'[1]1店'!$B:$T,19,FALSE),0)</f>
        <v>5.38235294117647</v>
      </c>
      <c r="V30" s="81">
        <f t="shared" si="15"/>
        <v>19.735294117647</v>
      </c>
      <c r="W30" s="82" t="str">
        <f>_xlfn.IFS(AND(D30&lt;&gt;0,D30-$AM$2&gt;=0,B30&gt;0,D30&lt;&gt;0),"本月刚到货",AND(IFERROR((K30/(N30/7))/30,"-")="-",K30&gt;0),"有库存无销量",AND(IFERROR((K30/(N30/7))/30,"-")="-",K30=0),"无库存无销量",AND(IFERROR((K30/(N30/7))/30,"-")&lt;=0.5,K30=0),"无库存有销量",IFERROR((K30/(N30/7))/30,"-")&lt;=0.5,"库存过低",IFERROR((K30/(N30/7))/30,"-")&lt;=1.5,"正常",IFERROR((K30/(N30/7))/30,"-")&gt;1.5,"库存过高")</f>
        <v>库存过高</v>
      </c>
      <c r="X30" s="83" t="str">
        <f>_xlfn.IFS(AND(D30&lt;&gt;0,D30-$AM$2&gt;=0,K30&gt;0,D30&lt;&gt;0),"本月刚到货",AND(T30="-",K30&gt;0),"有库存无销量",AND(T30="-",K30=0),"无库存无销量",AND(T30&lt;=0.5,K30=0),"无库存有销量",T30&lt;=0.5,"库存过低",T30&lt;=1.5,"正常",T30&gt;1.5,"库存过高")</f>
        <v>库存过高</v>
      </c>
      <c r="Y30" s="44">
        <f>IFERROR(SUMIF('1店辅助表'!K:K,B:B,'1店辅助表'!N:N),0)</f>
        <v>0</v>
      </c>
      <c r="Z30" s="44">
        <f>IFERROR(SUMIF('1店辅助表'!T:T,B:B,'1店辅助表'!W:W),0)</f>
        <v>0</v>
      </c>
      <c r="AA30" s="44">
        <f>IFERROR(SUMIF('1店辅助表'!AC:AC,B:B,'1店辅助表'!AF:AF),0)</f>
        <v>0</v>
      </c>
      <c r="AB30" s="91" t="str">
        <f>IFERROR(SUMIF('1店辅助表'!K:K,B:B,'1店辅助表'!N:N)/SUMIF('1店辅助表'!K:K,B:B,'1店辅助表'!O:O),"-")</f>
        <v>-</v>
      </c>
      <c r="AC30" s="91" t="str">
        <f>IFERROR(VLOOKUP($B:$B,'[1]1店'!$B:$AB,27,FALSE),"-")</f>
        <v>-</v>
      </c>
      <c r="AD30" s="92" t="str">
        <f t="shared" si="16"/>
        <v>-</v>
      </c>
      <c r="AE30" s="91" t="str">
        <f>IFERROR(SUMIF('1店辅助表'!T:T,B:B,'1店辅助表'!W:W)/SUMIF('1店辅助表'!T:T,B:B,'1店辅助表'!X:X),"-")</f>
        <v>-</v>
      </c>
      <c r="AF30" s="91" t="str">
        <f>IFERROR(SUMIF('1店辅助表'!AC:AC,B:B,'1店辅助表'!AF:AF)/SUMIF('1店辅助表'!AC:AC,B:B,'1店辅助表'!AG:AG),"-")</f>
        <v>-</v>
      </c>
      <c r="AG30" s="99">
        <f>IFERROR(AK30/((SUMIF('1店辅助表'!AT:AT,B:B,'1店辅助表'!AU:AU)+M30)/2),"-")</f>
        <v>0.0163934426229508</v>
      </c>
      <c r="AH30" s="99">
        <f>IFERROR(AL30/((SUMIF('1店辅助表'!AW:AW,B:B,'1店辅助表'!AX:AX)+M30)/2),"-")</f>
        <v>0.016260162601626</v>
      </c>
      <c r="AI30" s="100">
        <f>IFERROR((SUMIF('1店辅助表'!AP:AP,B:B,'1店辅助表'!AR:AR)-SUMIF('1店辅助表'!AP:AP,B:B,'1店辅助表'!AR:AR)*0.15-(L30+IFERROR(VLOOKUP(B:B,'1店辅助表'!AZ:BA,2,0),0))*O30-IF(AN:AN="US",6.85,4.9)*(Z30+3.99*O30))/SUMIF('1店辅助表'!AP:AP,B:B,'1店辅助表'!AR:AR),"-")</f>
        <v>0.263183194112791</v>
      </c>
      <c r="AJ30" s="100">
        <f t="shared" si="17"/>
        <v>0.00427940153028928</v>
      </c>
      <c r="AK30" s="101">
        <f t="shared" si="18"/>
        <v>26.56</v>
      </c>
      <c r="AL30" s="101">
        <f t="shared" si="19"/>
        <v>26.56</v>
      </c>
      <c r="AM30" s="1" t="str">
        <f>VLOOKUP(B:B,'1店辅助表'!$AZ:$BB,1,FALSE)</f>
        <v>Y1039</v>
      </c>
      <c r="AN30" s="1" t="str">
        <f>VLOOKUP(B:B,'1店辅助表'!AZ:BB,3,FALSE)</f>
        <v>US</v>
      </c>
    </row>
    <row r="31" customHeight="1" spans="1:40">
      <c r="A31" s="58" t="str">
        <f>INDEX('[1]1店'!$A:$A,MATCH(B:B,'[1]1店'!$B:$B,0))</f>
        <v>秀青</v>
      </c>
      <c r="B31" s="43" t="s">
        <v>130</v>
      </c>
      <c r="C31" s="43" t="s">
        <v>131</v>
      </c>
      <c r="D31" s="59">
        <f>VLOOKUP(B:B,'[1]1店'!$B:$L,3,0)</f>
        <v>44900</v>
      </c>
      <c r="E31" s="43" t="s">
        <v>132</v>
      </c>
      <c r="F31" s="43">
        <v>7</v>
      </c>
      <c r="G31" s="43">
        <v>0</v>
      </c>
      <c r="H31" s="43">
        <v>0</v>
      </c>
      <c r="I31" s="43">
        <v>0</v>
      </c>
      <c r="J31" s="43">
        <v>0</v>
      </c>
      <c r="K31" s="63">
        <f t="shared" si="11"/>
        <v>7</v>
      </c>
      <c r="L31" s="64">
        <f>VLOOKUP($B:$B,'[1]1店'!$B:$L,11,0)</f>
        <v>31.683</v>
      </c>
      <c r="M31" s="44">
        <f t="shared" si="10"/>
        <v>221.781</v>
      </c>
      <c r="N31" s="186">
        <f>IFERROR(VLOOKUP(B:B,'1店辅助表'!B:C,2,FALSE),0)</f>
        <v>0</v>
      </c>
      <c r="O31" s="186">
        <f>IFERROR(VLOOKUP(B:B,'1店辅助表'!E:F,2,FALSE),0)</f>
        <v>0</v>
      </c>
      <c r="P31" s="186">
        <f>IFERROR(VLOOKUP(B:B,'1店辅助表'!H:I,2,FALSE),0)</f>
        <v>0</v>
      </c>
      <c r="Q31" s="65">
        <f>IFERROR(VLOOKUP($B:$B,'[1]1店'!$B:$N,13,FALSE),0)</f>
        <v>0</v>
      </c>
      <c r="R31" s="79">
        <f t="shared" si="12"/>
        <v>0</v>
      </c>
      <c r="S31" s="80" t="str">
        <f t="shared" si="13"/>
        <v>-</v>
      </c>
      <c r="T31" s="44" t="str">
        <f t="shared" si="14"/>
        <v>-</v>
      </c>
      <c r="U31" s="188">
        <f>IFERROR(VLOOKUP($B:$B,'[1]1店'!$B:$T,19,FALSE),0)</f>
        <v>10.5</v>
      </c>
      <c r="V31" s="81" t="str">
        <f t="shared" si="15"/>
        <v>-</v>
      </c>
      <c r="W31" s="82" t="str">
        <f>_xlfn.IFS(AND(D31&lt;&gt;0,D31-$AM$2&gt;=0,B31&gt;0,D31&lt;&gt;0),"本月刚到货",AND(IFERROR((K31/(N31/7))/30,"-")="-",K31&gt;0),"有库存无销量",AND(IFERROR((K31/(N31/7))/30,"-")="-",K31=0),"无库存无销量",AND(IFERROR((K31/(N31/7))/30,"-")&lt;=0.5,K31=0),"无库存有销量",IFERROR((K31/(N31/7))/30,"-")&lt;=0.5,"库存过低",IFERROR((K31/(N31/7))/30,"-")&lt;=1.5,"正常",IFERROR((K31/(N31/7))/30,"-")&gt;1.5,"库存过高")</f>
        <v>有库存无销量</v>
      </c>
      <c r="X31" s="83" t="str">
        <f>_xlfn.IFS(AND(D31&lt;&gt;0,D31-$AM$2&gt;=0,K31&gt;0,D31&lt;&gt;0),"本月刚到货",AND(T31="-",K31&gt;0),"有库存无销量",AND(T31="-",K31=0),"无库存无销量",AND(T31&lt;=0.5,K31=0),"无库存有销量",T31&lt;=0.5,"库存过低",T31&lt;=1.5,"正常",T31&gt;1.5,"库存过高")</f>
        <v>有库存无销量</v>
      </c>
      <c r="Y31" s="44">
        <f>IFERROR(SUMIF('1店辅助表'!K:K,B:B,'1店辅助表'!N:N),0)</f>
        <v>0</v>
      </c>
      <c r="Z31" s="44">
        <f>IFERROR(SUMIF('1店辅助表'!T:T,B:B,'1店辅助表'!W:W),0)</f>
        <v>0</v>
      </c>
      <c r="AA31" s="44">
        <f>IFERROR(SUMIF('1店辅助表'!AC:AC,B:B,'1店辅助表'!AF:AF),0)</f>
        <v>0</v>
      </c>
      <c r="AB31" s="91" t="str">
        <f>IFERROR(SUMIF('1店辅助表'!K:K,B:B,'1店辅助表'!N:N)/SUMIF('1店辅助表'!K:K,B:B,'1店辅助表'!O:O),"-")</f>
        <v>-</v>
      </c>
      <c r="AC31" s="91" t="str">
        <f>IFERROR(VLOOKUP($B:$B,'[1]1店'!$B:$AB,27,FALSE),"-")</f>
        <v>-</v>
      </c>
      <c r="AD31" s="92" t="str">
        <f t="shared" si="16"/>
        <v>-</v>
      </c>
      <c r="AE31" s="91" t="str">
        <f>IFERROR(SUMIF('1店辅助表'!T:T,B:B,'1店辅助表'!W:W)/SUMIF('1店辅助表'!T:T,B:B,'1店辅助表'!X:X),"-")</f>
        <v>-</v>
      </c>
      <c r="AF31" s="91" t="str">
        <f>IFERROR(SUMIF('1店辅助表'!AC:AC,B:B,'1店辅助表'!AF:AF)/SUMIF('1店辅助表'!AC:AC,B:B,'1店辅助表'!AG:AG),"-")</f>
        <v>-</v>
      </c>
      <c r="AG31" s="99">
        <f>IFERROR(AK31/((SUMIF('1店辅助表'!AT:AT,B:B,'1店辅助表'!AU:AU)+M31)/2),"-")</f>
        <v>0</v>
      </c>
      <c r="AH31" s="99">
        <f>IFERROR(AL31/((SUMIF('1店辅助表'!AW:AW,B:B,'1店辅助表'!AX:AX)+M31)/2),"-")</f>
        <v>0</v>
      </c>
      <c r="AI31" s="100" t="str">
        <f>IFERROR((SUMIF('1店辅助表'!AP:AP,B:B,'1店辅助表'!AR:AR)-SUMIF('1店辅助表'!AP:AP,B:B,'1店辅助表'!AR:AR)*0.15-(L31+IFERROR(VLOOKUP(B:B,'1店辅助表'!AZ:BA,2,0),0))*O31-IF(AN:AN="US",6.85,4.9)*(Z31+3.99*O31))/SUMIF('1店辅助表'!AP:AP,B:B,'1店辅助表'!AR:AR),"-")</f>
        <v>-</v>
      </c>
      <c r="AJ31" s="100" t="str">
        <f t="shared" si="17"/>
        <v>-</v>
      </c>
      <c r="AK31" s="101">
        <f t="shared" si="18"/>
        <v>0</v>
      </c>
      <c r="AL31" s="101">
        <f t="shared" si="19"/>
        <v>0</v>
      </c>
      <c r="AM31" s="1" t="str">
        <f>VLOOKUP(B:B,'1店辅助表'!$AZ:$BB,1,FALSE)</f>
        <v>Y1040-BL</v>
      </c>
      <c r="AN31" s="1" t="str">
        <f>VLOOKUP(B:B,'1店辅助表'!AZ:BB,3,FALSE)</f>
        <v>US</v>
      </c>
    </row>
    <row r="32" customHeight="1" spans="1:40">
      <c r="A32" s="58" t="str">
        <f>INDEX('[1]1店'!$A:$A,MATCH(B:B,'[1]1店'!$B:$B,0))</f>
        <v>秀青</v>
      </c>
      <c r="B32" s="43" t="s">
        <v>133</v>
      </c>
      <c r="C32" s="43" t="s">
        <v>134</v>
      </c>
      <c r="D32" s="59">
        <f>VLOOKUP(B:B,'[1]1店'!$B:$L,3,0)</f>
        <v>44900</v>
      </c>
      <c r="E32" s="43" t="s">
        <v>135</v>
      </c>
      <c r="F32" s="43">
        <v>6</v>
      </c>
      <c r="G32" s="43">
        <v>0</v>
      </c>
      <c r="H32" s="43">
        <v>0</v>
      </c>
      <c r="I32" s="43">
        <v>0</v>
      </c>
      <c r="J32" s="43">
        <v>0</v>
      </c>
      <c r="K32" s="63">
        <f t="shared" si="11"/>
        <v>6</v>
      </c>
      <c r="L32" s="64">
        <f>VLOOKUP($B:$B,'[1]1店'!$B:$L,11,0)</f>
        <v>31.683</v>
      </c>
      <c r="M32" s="44">
        <f t="shared" si="10"/>
        <v>190.098</v>
      </c>
      <c r="N32" s="186">
        <f>IFERROR(VLOOKUP(B:B,'1店辅助表'!B:C,2,FALSE),0)</f>
        <v>1</v>
      </c>
      <c r="O32" s="186">
        <f>IFERROR(VLOOKUP(B:B,'1店辅助表'!E:F,2,FALSE),0)</f>
        <v>2</v>
      </c>
      <c r="P32" s="186">
        <f>IFERROR(VLOOKUP(B:B,'1店辅助表'!H:I,2,FALSE),0)</f>
        <v>3</v>
      </c>
      <c r="Q32" s="65">
        <f>IFERROR(VLOOKUP($B:$B,'[1]1店'!$B:$N,13,FALSE),0)</f>
        <v>1</v>
      </c>
      <c r="R32" s="79">
        <f t="shared" si="12"/>
        <v>0</v>
      </c>
      <c r="S32" s="80">
        <f t="shared" si="13"/>
        <v>47.8481012658228</v>
      </c>
      <c r="T32" s="44">
        <f t="shared" si="14"/>
        <v>1.59493670886076</v>
      </c>
      <c r="U32" s="188">
        <f>IFERROR(VLOOKUP($B:$B,'[1]1店'!$B:$T,19,FALSE),0)</f>
        <v>2.26153846153846</v>
      </c>
      <c r="V32" s="81">
        <f t="shared" si="15"/>
        <v>-0.6666017526777</v>
      </c>
      <c r="W32" s="82" t="str">
        <f>_xlfn.IFS(AND(D32&lt;&gt;0,D32-$AM$2&gt;=0,B32&gt;0,D32&lt;&gt;0),"本月刚到货",AND(IFERROR((K32/(N32/7))/30,"-")="-",K32&gt;0),"有库存无销量",AND(IFERROR((K32/(N32/7))/30,"-")="-",K32=0),"无库存无销量",AND(IFERROR((K32/(N32/7))/30,"-")&lt;=0.5,K32=0),"无库存有销量",IFERROR((K32/(N32/7))/30,"-")&lt;=0.5,"库存过低",IFERROR((K32/(N32/7))/30,"-")&lt;=1.5,"正常",IFERROR((K32/(N32/7))/30,"-")&gt;1.5,"库存过高")</f>
        <v>正常</v>
      </c>
      <c r="X32" s="83" t="str">
        <f>_xlfn.IFS(AND(D32&lt;&gt;0,D32-$AM$2&gt;=0,K32&gt;0,D32&lt;&gt;0),"本月刚到货",AND(T32="-",K32&gt;0),"有库存无销量",AND(T32="-",K32=0),"无库存无销量",AND(T32&lt;=0.5,K32=0),"无库存有销量",T32&lt;=0.5,"库存过低",T32&lt;=1.5,"正常",T32&gt;1.5,"库存过高")</f>
        <v>库存过高</v>
      </c>
      <c r="Y32" s="44">
        <f>IFERROR(SUMIF('1店辅助表'!K:K,B:B,'1店辅助表'!N:N),0)</f>
        <v>0</v>
      </c>
      <c r="Z32" s="44">
        <f>IFERROR(SUMIF('1店辅助表'!T:T,B:B,'1店辅助表'!W:W),0)</f>
        <v>0</v>
      </c>
      <c r="AA32" s="44">
        <f>IFERROR(SUMIF('1店辅助表'!AC:AC,B:B,'1店辅助表'!AF:AF),0)</f>
        <v>0</v>
      </c>
      <c r="AB32" s="91" t="str">
        <f>IFERROR(SUMIF('1店辅助表'!K:K,B:B,'1店辅助表'!N:N)/SUMIF('1店辅助表'!K:K,B:B,'1店辅助表'!O:O),"-")</f>
        <v>-</v>
      </c>
      <c r="AC32" s="91" t="str">
        <f>IFERROR(VLOOKUP($B:$B,'[1]1店'!$B:$AB,27,FALSE),"-")</f>
        <v>-</v>
      </c>
      <c r="AD32" s="92" t="str">
        <f t="shared" si="16"/>
        <v>-</v>
      </c>
      <c r="AE32" s="91" t="str">
        <f>IFERROR(SUMIF('1店辅助表'!T:T,B:B,'1店辅助表'!W:W)/SUMIF('1店辅助表'!T:T,B:B,'1店辅助表'!X:X),"-")</f>
        <v>-</v>
      </c>
      <c r="AF32" s="91" t="str">
        <f>IFERROR(SUMIF('1店辅助表'!AC:AC,B:B,'1店辅助表'!AF:AF)/SUMIF('1店辅助表'!AC:AC,B:B,'1店辅助表'!AG:AG),"-")</f>
        <v>-</v>
      </c>
      <c r="AG32" s="99">
        <f>IFERROR(AK32/((SUMIF('1店辅助表'!AT:AT,B:B,'1店辅助表'!AU:AU)+M32)/2),"-")</f>
        <v>0.153846153846154</v>
      </c>
      <c r="AH32" s="99">
        <f>IFERROR(AL32/((SUMIF('1店辅助表'!AW:AW,B:B,'1店辅助表'!AX:AX)+M32)/2),"-")</f>
        <v>0.266666666666667</v>
      </c>
      <c r="AI32" s="100">
        <f>IFERROR((SUMIF('1店辅助表'!AP:AP,B:B,'1店辅助表'!AR:AR)-SUMIF('1店辅助表'!AP:AP,B:B,'1店辅助表'!AR:AR)*0.15-(L32+IFERROR(VLOOKUP(B:B,'1店辅助表'!AZ:BA,2,0),0))*O32-IF(AN:AN="US",6.85,4.9)*(Z32+3.99*O32))/SUMIF('1店辅助表'!AP:AP,B:B,'1店辅助表'!AR:AR),"-")</f>
        <v>0.0240678172259539</v>
      </c>
      <c r="AJ32" s="100">
        <f t="shared" si="17"/>
        <v>0.00641808459358769</v>
      </c>
      <c r="AK32" s="101">
        <f t="shared" si="18"/>
        <v>31.683</v>
      </c>
      <c r="AL32" s="101">
        <f t="shared" si="19"/>
        <v>63.366</v>
      </c>
      <c r="AM32" s="1" t="str">
        <f>VLOOKUP(B:B,'1店辅助表'!$AZ:$BB,1,FALSE)</f>
        <v>Y1040-BU</v>
      </c>
      <c r="AN32" s="1" t="str">
        <f>VLOOKUP(B:B,'1店辅助表'!AZ:BB,3,FALSE)</f>
        <v>US</v>
      </c>
    </row>
    <row r="33" customHeight="1" spans="1:40">
      <c r="A33" s="58" t="str">
        <f>INDEX('[1]1店'!$A:$A,MATCH(B:B,'[1]1店'!$B:$B,0))</f>
        <v>秀青</v>
      </c>
      <c r="B33" s="43" t="s">
        <v>136</v>
      </c>
      <c r="C33" s="43" t="s">
        <v>137</v>
      </c>
      <c r="D33" s="59">
        <f>VLOOKUP(B:B,'[1]1店'!$B:$L,3,0)</f>
        <v>44900</v>
      </c>
      <c r="E33" s="43" t="s">
        <v>138</v>
      </c>
      <c r="F33" s="43">
        <v>29</v>
      </c>
      <c r="G33" s="43">
        <v>0</v>
      </c>
      <c r="H33" s="43">
        <v>0</v>
      </c>
      <c r="I33" s="43">
        <v>1</v>
      </c>
      <c r="J33" s="43">
        <v>0</v>
      </c>
      <c r="K33" s="63">
        <f t="shared" si="11"/>
        <v>30</v>
      </c>
      <c r="L33" s="64">
        <f>VLOOKUP($B:$B,'[1]1店'!$B:$L,11,0)</f>
        <v>31.656</v>
      </c>
      <c r="M33" s="44">
        <f t="shared" si="10"/>
        <v>949.68</v>
      </c>
      <c r="N33" s="186">
        <f>IFERROR(VLOOKUP(B:B,'1店辅助表'!B:C,2,FALSE),0)</f>
        <v>2</v>
      </c>
      <c r="O33" s="186">
        <f>IFERROR(VLOOKUP(B:B,'1店辅助表'!E:F,2,FALSE),0)</f>
        <v>3</v>
      </c>
      <c r="P33" s="186">
        <f>IFERROR(VLOOKUP(B:B,'1店辅助表'!H:I,2,FALSE),0)</f>
        <v>3</v>
      </c>
      <c r="Q33" s="65">
        <f>IFERROR(VLOOKUP($B:$B,'[1]1店'!$B:$N,13,FALSE),0)</f>
        <v>1</v>
      </c>
      <c r="R33" s="79">
        <f t="shared" si="12"/>
        <v>1</v>
      </c>
      <c r="S33" s="80">
        <f t="shared" si="13"/>
        <v>153.658536585366</v>
      </c>
      <c r="T33" s="44">
        <f t="shared" si="14"/>
        <v>5.1219512195122</v>
      </c>
      <c r="U33" s="188">
        <f>IFERROR(VLOOKUP($B:$B,'[1]1店'!$B:$T,19,FALSE),0)</f>
        <v>12.7647058823529</v>
      </c>
      <c r="V33" s="81">
        <f t="shared" si="15"/>
        <v>-7.6427546628407</v>
      </c>
      <c r="W33" s="82" t="str">
        <f>_xlfn.IFS(AND(D33&lt;&gt;0,D33-$AM$2&gt;=0,B33&gt;0,D33&lt;&gt;0),"本月刚到货",AND(IFERROR((K33/(N33/7))/30,"-")="-",K33&gt;0),"有库存无销量",AND(IFERROR((K33/(N33/7))/30,"-")="-",K33=0),"无库存无销量",AND(IFERROR((K33/(N33/7))/30,"-")&lt;=0.5,K33=0),"无库存有销量",IFERROR((K33/(N33/7))/30,"-")&lt;=0.5,"库存过低",IFERROR((K33/(N33/7))/30,"-")&lt;=1.5,"正常",IFERROR((K33/(N33/7))/30,"-")&gt;1.5,"库存过高")</f>
        <v>库存过高</v>
      </c>
      <c r="X33" s="83" t="str">
        <f>_xlfn.IFS(AND(D33&lt;&gt;0,D33-$AM$2&gt;=0,K33&gt;0,D33&lt;&gt;0),"本月刚到货",AND(T33="-",K33&gt;0),"有库存无销量",AND(T33="-",K33=0),"无库存无销量",AND(T33&lt;=0.5,K33=0),"无库存有销量",T33&lt;=0.5,"库存过低",T33&lt;=1.5,"正常",T33&gt;1.5,"库存过高")</f>
        <v>库存过高</v>
      </c>
      <c r="Y33" s="44">
        <f>IFERROR(SUMIF('1店辅助表'!K:K,B:B,'1店辅助表'!N:N),0)</f>
        <v>0</v>
      </c>
      <c r="Z33" s="44">
        <f>IFERROR(SUMIF('1店辅助表'!T:T,B:B,'1店辅助表'!W:W),0)</f>
        <v>0</v>
      </c>
      <c r="AA33" s="44">
        <f>IFERROR(SUMIF('1店辅助表'!AC:AC,B:B,'1店辅助表'!AF:AF),0)</f>
        <v>0</v>
      </c>
      <c r="AB33" s="91" t="str">
        <f>IFERROR(SUMIF('1店辅助表'!K:K,B:B,'1店辅助表'!N:N)/SUMIF('1店辅助表'!K:K,B:B,'1店辅助表'!O:O),"-")</f>
        <v>-</v>
      </c>
      <c r="AC33" s="91" t="str">
        <f>IFERROR(VLOOKUP($B:$B,'[1]1店'!$B:$AB,27,FALSE),"-")</f>
        <v>-</v>
      </c>
      <c r="AD33" s="92" t="str">
        <f t="shared" si="16"/>
        <v>-</v>
      </c>
      <c r="AE33" s="91" t="str">
        <f>IFERROR(SUMIF('1店辅助表'!T:T,B:B,'1店辅助表'!W:W)/SUMIF('1店辅助表'!T:T,B:B,'1店辅助表'!X:X),"-")</f>
        <v>-</v>
      </c>
      <c r="AF33" s="91" t="str">
        <f>IFERROR(SUMIF('1店辅助表'!AC:AC,B:B,'1店辅助表'!AF:AF)/SUMIF('1店辅助表'!AC:AC,B:B,'1店辅助表'!AG:AG),"-")</f>
        <v>-</v>
      </c>
      <c r="AG33" s="99">
        <f>IFERROR(AK33/((SUMIF('1店辅助表'!AT:AT,B:B,'1店辅助表'!AU:AU)+M33)/2),"-")</f>
        <v>0.0655737704918033</v>
      </c>
      <c r="AH33" s="99">
        <f>IFERROR(AL33/((SUMIF('1店辅助表'!AW:AW,B:B,'1店辅助表'!AX:AX)+M33)/2),"-")</f>
        <v>0.0967741935483871</v>
      </c>
      <c r="AI33" s="100">
        <f>IFERROR((SUMIF('1店辅助表'!AP:AP,B:B,'1店辅助表'!AR:AR)-SUMIF('1店辅助表'!AP:AP,B:B,'1店辅助表'!AR:AR)*0.15-(L33+IFERROR(VLOOKUP(B:B,'1店辅助表'!AZ:BA,2,0),0))*O33-IF(AN:AN="US",6.85,4.9)*(Z33+3.99*O33))/SUMIF('1店辅助表'!AP:AP,B:B,'1店辅助表'!AR:AR),"-")</f>
        <v>-0.115092564972027</v>
      </c>
      <c r="AJ33" s="100">
        <f t="shared" si="17"/>
        <v>-0.0111379901585832</v>
      </c>
      <c r="AK33" s="101">
        <f t="shared" si="18"/>
        <v>63.312</v>
      </c>
      <c r="AL33" s="101">
        <f t="shared" si="19"/>
        <v>94.968</v>
      </c>
      <c r="AM33" s="1" t="str">
        <f>VLOOKUP(B:B,'1店辅助表'!$AZ:$BB,1,FALSE)</f>
        <v>Y1040-GR</v>
      </c>
      <c r="AN33" s="1" t="str">
        <f>VLOOKUP(B:B,'1店辅助表'!AZ:BB,3,FALSE)</f>
        <v>US</v>
      </c>
    </row>
    <row r="34" customHeight="1" spans="1:40">
      <c r="A34" s="58" t="str">
        <f>INDEX('[1]1店'!$A:$A,MATCH(B:B,'[1]1店'!$B:$B,0))</f>
        <v>秀青</v>
      </c>
      <c r="B34" s="43" t="s">
        <v>139</v>
      </c>
      <c r="C34" s="43" t="s">
        <v>140</v>
      </c>
      <c r="D34" s="59">
        <f>VLOOKUP(B:B,'[1]1店'!$B:$L,3,0)</f>
        <v>44917</v>
      </c>
      <c r="E34" s="43" t="s">
        <v>141</v>
      </c>
      <c r="F34" s="43">
        <v>7</v>
      </c>
      <c r="G34" s="43">
        <v>0</v>
      </c>
      <c r="H34" s="43">
        <v>0</v>
      </c>
      <c r="I34" s="43">
        <v>0</v>
      </c>
      <c r="J34" s="43">
        <v>0</v>
      </c>
      <c r="K34" s="63">
        <f t="shared" si="11"/>
        <v>7</v>
      </c>
      <c r="L34" s="64">
        <f>VLOOKUP($B:$B,'[1]1店'!$B:$L,11,0)</f>
        <v>25.36</v>
      </c>
      <c r="M34" s="44">
        <f t="shared" si="10"/>
        <v>177.52</v>
      </c>
      <c r="N34" s="186">
        <f>IFERROR(VLOOKUP(B:B,'1店辅助表'!B:C,2,FALSE),0)</f>
        <v>0</v>
      </c>
      <c r="O34" s="186">
        <f>IFERROR(VLOOKUP(B:B,'1店辅助表'!E:F,2,FALSE),0)</f>
        <v>0</v>
      </c>
      <c r="P34" s="186">
        <f>IFERROR(VLOOKUP(B:B,'1店辅助表'!H:I,2,FALSE),0)</f>
        <v>1</v>
      </c>
      <c r="Q34" s="65">
        <f>IFERROR(VLOOKUP($B:$B,'[1]1店'!$B:$N,13,FALSE),0)</f>
        <v>0</v>
      </c>
      <c r="R34" s="79">
        <f t="shared" si="12"/>
        <v>0</v>
      </c>
      <c r="S34" s="80">
        <f t="shared" si="13"/>
        <v>630</v>
      </c>
      <c r="T34" s="44">
        <f t="shared" si="14"/>
        <v>21</v>
      </c>
      <c r="U34" s="188">
        <f>IFERROR(VLOOKUP($B:$B,'[1]1店'!$B:$T,19,FALSE),0)</f>
        <v>21</v>
      </c>
      <c r="V34" s="81">
        <f t="shared" si="15"/>
        <v>0</v>
      </c>
      <c r="W34" s="82" t="str">
        <f>_xlfn.IFS(AND(D34&lt;&gt;0,D34-$AM$2&gt;=0,B34&gt;0,D34&lt;&gt;0),"本月刚到货",AND(IFERROR((K34/(N34/7))/30,"-")="-",K34&gt;0),"有库存无销量",AND(IFERROR((K34/(N34/7))/30,"-")="-",K34=0),"无库存无销量",AND(IFERROR((K34/(N34/7))/30,"-")&lt;=0.5,K34=0),"无库存有销量",IFERROR((K34/(N34/7))/30,"-")&lt;=0.5,"库存过低",IFERROR((K34/(N34/7))/30,"-")&lt;=1.5,"正常",IFERROR((K34/(N34/7))/30,"-")&gt;1.5,"库存过高")</f>
        <v>有库存无销量</v>
      </c>
      <c r="X34" s="83" t="str">
        <f>_xlfn.IFS(AND(D34&lt;&gt;0,D34-$AM$2&gt;=0,K34&gt;0,D34&lt;&gt;0),"本月刚到货",AND(T34="-",K34&gt;0),"有库存无销量",AND(T34="-",K34=0),"无库存无销量",AND(T34&lt;=0.5,K34=0),"无库存有销量",T34&lt;=0.5,"库存过低",T34&lt;=1.5,"正常",T34&gt;1.5,"库存过高")</f>
        <v>库存过高</v>
      </c>
      <c r="Y34" s="44">
        <f>IFERROR(SUMIF('1店辅助表'!K:K,B:B,'1店辅助表'!N:N),0)</f>
        <v>0</v>
      </c>
      <c r="Z34" s="44">
        <f>IFERROR(SUMIF('1店辅助表'!T:T,B:B,'1店辅助表'!W:W),0)</f>
        <v>0</v>
      </c>
      <c r="AA34" s="44">
        <f>IFERROR(SUMIF('1店辅助表'!AC:AC,B:B,'1店辅助表'!AF:AF),0)</f>
        <v>0.6</v>
      </c>
      <c r="AB34" s="91" t="str">
        <f>IFERROR(SUMIF('1店辅助表'!K:K,B:B,'1店辅助表'!N:N)/SUMIF('1店辅助表'!K:K,B:B,'1店辅助表'!O:O),"-")</f>
        <v>-</v>
      </c>
      <c r="AC34" s="91" t="str">
        <f>IFERROR(VLOOKUP($B:$B,'[1]1店'!$B:$AB,27,FALSE),"-")</f>
        <v>-</v>
      </c>
      <c r="AD34" s="92" t="str">
        <f t="shared" si="16"/>
        <v>-</v>
      </c>
      <c r="AE34" s="91" t="str">
        <f>IFERROR(SUMIF('1店辅助表'!T:T,B:B,'1店辅助表'!W:W)/SUMIF('1店辅助表'!T:T,B:B,'1店辅助表'!X:X),"-")</f>
        <v>-</v>
      </c>
      <c r="AF34" s="91" t="str">
        <f>IFERROR(SUMIF('1店辅助表'!AC:AC,B:B,'1店辅助表'!AF:AF)/SUMIF('1店辅助表'!AC:AC,B:B,'1店辅助表'!AG:AG),"-")</f>
        <v>-</v>
      </c>
      <c r="AG34" s="99">
        <f>IFERROR(AK34/((SUMIF('1店辅助表'!AT:AT,B:B,'1店辅助表'!AU:AU)+M34)/2),"-")</f>
        <v>0</v>
      </c>
      <c r="AH34" s="99">
        <f>IFERROR(AL34/((SUMIF('1店辅助表'!AW:AW,B:B,'1店辅助表'!AX:AX)+M34)/2),"-")</f>
        <v>0</v>
      </c>
      <c r="AI34" s="100" t="str">
        <f>IFERROR((SUMIF('1店辅助表'!AP:AP,B:B,'1店辅助表'!AR:AR)-SUMIF('1店辅助表'!AP:AP,B:B,'1店辅助表'!AR:AR)*0.15-(L34+IFERROR(VLOOKUP(B:B,'1店辅助表'!AZ:BA,2,0),0))*O34-IF(AN:AN="US",6.85,4.9)*(Z34+3.99*O34))/SUMIF('1店辅助表'!AP:AP,B:B,'1店辅助表'!AR:AR),"-")</f>
        <v>-</v>
      </c>
      <c r="AJ34" s="100" t="str">
        <f t="shared" si="17"/>
        <v>-</v>
      </c>
      <c r="AK34" s="101">
        <f t="shared" si="18"/>
        <v>0</v>
      </c>
      <c r="AL34" s="101">
        <f t="shared" si="19"/>
        <v>0</v>
      </c>
      <c r="AM34" s="1" t="str">
        <f>VLOOKUP(B:B,'1店辅助表'!$AZ:$BB,1,FALSE)</f>
        <v>Y1043-ZH</v>
      </c>
      <c r="AN34" s="1" t="str">
        <f>VLOOKUP(B:B,'1店辅助表'!AZ:BB,3,FALSE)</f>
        <v>US</v>
      </c>
    </row>
    <row r="35" customHeight="1" spans="1:40">
      <c r="A35" s="58" t="str">
        <f>INDEX('[1]1店'!$A:$A,MATCH(B:B,'[1]1店'!$B:$B,0))</f>
        <v>秀青</v>
      </c>
      <c r="B35" s="43" t="s">
        <v>142</v>
      </c>
      <c r="C35" s="43" t="s">
        <v>143</v>
      </c>
      <c r="D35" s="59">
        <f>VLOOKUP(B:B,'[1]1店'!$B:$L,3,0)</f>
        <v>44930</v>
      </c>
      <c r="E35" s="43" t="s">
        <v>144</v>
      </c>
      <c r="F35" s="43">
        <v>12</v>
      </c>
      <c r="G35" s="43">
        <v>0</v>
      </c>
      <c r="H35" s="43">
        <v>0</v>
      </c>
      <c r="I35" s="43">
        <v>0</v>
      </c>
      <c r="J35" s="43">
        <v>0</v>
      </c>
      <c r="K35" s="63">
        <f t="shared" si="11"/>
        <v>12</v>
      </c>
      <c r="L35" s="64">
        <f>VLOOKUP($B:$B,'[1]1店'!$B:$L,11,0)</f>
        <v>18.985</v>
      </c>
      <c r="M35" s="44">
        <f t="shared" si="10"/>
        <v>227.82</v>
      </c>
      <c r="N35" s="186">
        <f>IFERROR(VLOOKUP(B:B,'1店辅助表'!B:C,2,FALSE),0)</f>
        <v>0</v>
      </c>
      <c r="O35" s="186">
        <f>IFERROR(VLOOKUP(B:B,'1店辅助表'!E:F,2,FALSE),0)</f>
        <v>0</v>
      </c>
      <c r="P35" s="186">
        <f>IFERROR(VLOOKUP(B:B,'1店辅助表'!H:I,2,FALSE),0)</f>
        <v>5</v>
      </c>
      <c r="Q35" s="65">
        <f>IFERROR(VLOOKUP($B:$B,'[1]1店'!$B:$N,13,FALSE),0)</f>
        <v>0</v>
      </c>
      <c r="R35" s="79">
        <f t="shared" si="12"/>
        <v>0</v>
      </c>
      <c r="S35" s="80">
        <f t="shared" si="13"/>
        <v>216</v>
      </c>
      <c r="T35" s="44">
        <f t="shared" si="14"/>
        <v>7.2</v>
      </c>
      <c r="U35" s="188">
        <f>IFERROR(VLOOKUP($B:$B,'[1]1店'!$B:$T,19,FALSE),0)</f>
        <v>2.57142857142857</v>
      </c>
      <c r="V35" s="81">
        <f t="shared" si="15"/>
        <v>4.62857142857143</v>
      </c>
      <c r="W35" s="82" t="str">
        <f>_xlfn.IFS(AND(D35&lt;&gt;0,D35-$AM$2&gt;=0,B35&gt;0,D35&lt;&gt;0),"本月刚到货",AND(IFERROR((K35/(N35/7))/30,"-")="-",K35&gt;0),"有库存无销量",AND(IFERROR((K35/(N35/7))/30,"-")="-",K35=0),"无库存无销量",AND(IFERROR((K35/(N35/7))/30,"-")&lt;=0.5,K35=0),"无库存有销量",IFERROR((K35/(N35/7))/30,"-")&lt;=0.5,"库存过低",IFERROR((K35/(N35/7))/30,"-")&lt;=1.5,"正常",IFERROR((K35/(N35/7))/30,"-")&gt;1.5,"库存过高")</f>
        <v>有库存无销量</v>
      </c>
      <c r="X35" s="83" t="str">
        <f>_xlfn.IFS(AND(D35&lt;&gt;0,D35-$AM$2&gt;=0,K35&gt;0,D35&lt;&gt;0),"本月刚到货",AND(T35="-",K35&gt;0),"有库存无销量",AND(T35="-",K35=0),"无库存无销量",AND(T35&lt;=0.5,K35=0),"无库存有销量",T35&lt;=0.5,"库存过低",T35&lt;=1.5,"正常",T35&gt;1.5,"库存过高")</f>
        <v>库存过高</v>
      </c>
      <c r="Y35" s="44">
        <f>IFERROR(SUMIF('1店辅助表'!K:K,B:B,'1店辅助表'!N:N),0)</f>
        <v>0</v>
      </c>
      <c r="Z35" s="44">
        <f>IFERROR(SUMIF('1店辅助表'!T:T,B:B,'1店辅助表'!W:W),0)</f>
        <v>0</v>
      </c>
      <c r="AA35" s="44">
        <f>IFERROR(SUMIF('1店辅助表'!AC:AC,B:B,'1店辅助表'!AF:AF),0)</f>
        <v>0</v>
      </c>
      <c r="AB35" s="91" t="str">
        <f>IFERROR(SUMIF('1店辅助表'!K:K,B:B,'1店辅助表'!N:N)/SUMIF('1店辅助表'!K:K,B:B,'1店辅助表'!O:O),"-")</f>
        <v>-</v>
      </c>
      <c r="AC35" s="91" t="str">
        <f>IFERROR(VLOOKUP($B:$B,'[1]1店'!$B:$AB,27,FALSE),"-")</f>
        <v>-</v>
      </c>
      <c r="AD35" s="92" t="str">
        <f t="shared" si="16"/>
        <v>-</v>
      </c>
      <c r="AE35" s="91" t="str">
        <f>IFERROR(SUMIF('1店辅助表'!T:T,B:B,'1店辅助表'!W:W)/SUMIF('1店辅助表'!T:T,B:B,'1店辅助表'!X:X),"-")</f>
        <v>-</v>
      </c>
      <c r="AF35" s="91" t="str">
        <f>IFERROR(SUMIF('1店辅助表'!AC:AC,B:B,'1店辅助表'!AF:AF)/SUMIF('1店辅助表'!AC:AC,B:B,'1店辅助表'!AG:AG),"-")</f>
        <v>-</v>
      </c>
      <c r="AG35" s="99">
        <f>IFERROR(AK35/((SUMIF('1店辅助表'!AT:AT,B:B,'1店辅助表'!AU:AU)+M35)/2),"-")</f>
        <v>0</v>
      </c>
      <c r="AH35" s="99">
        <f>IFERROR(AL35/((SUMIF('1店辅助表'!AW:AW,B:B,'1店辅助表'!AX:AX)+M35)/2),"-")</f>
        <v>0</v>
      </c>
      <c r="AI35" s="100" t="str">
        <f>IFERROR((SUMIF('1店辅助表'!AP:AP,B:B,'1店辅助表'!AR:AR)-SUMIF('1店辅助表'!AP:AP,B:B,'1店辅助表'!AR:AR)*0.15-(L35+IFERROR(VLOOKUP(B:B,'1店辅助表'!AZ:BA,2,0),0))*O35-IF(AN:AN="US",6.85,4.9)*(Z35+3.99*O35))/SUMIF('1店辅助表'!AP:AP,B:B,'1店辅助表'!AR:AR),"-")</f>
        <v>-</v>
      </c>
      <c r="AJ35" s="100" t="str">
        <f t="shared" si="17"/>
        <v>-</v>
      </c>
      <c r="AK35" s="101">
        <f t="shared" si="18"/>
        <v>0</v>
      </c>
      <c r="AL35" s="101">
        <f t="shared" si="19"/>
        <v>0</v>
      </c>
      <c r="AM35" s="1" t="str">
        <f>VLOOKUP(B:B,'1店辅助表'!$AZ:$BB,1,FALSE)</f>
        <v>Y1045-ZH</v>
      </c>
      <c r="AN35" s="1" t="str">
        <f>VLOOKUP(B:B,'1店辅助表'!AZ:BB,3,FALSE)</f>
        <v>US</v>
      </c>
    </row>
    <row r="36" customHeight="1" spans="1:40">
      <c r="A36" s="58" t="str">
        <f>INDEX('[1]1店'!$A:$A,MATCH(B:B,'[1]1店'!$B:$B,0))</f>
        <v>秀青</v>
      </c>
      <c r="B36" s="43" t="s">
        <v>145</v>
      </c>
      <c r="C36" s="43" t="s">
        <v>146</v>
      </c>
      <c r="D36" s="59">
        <f>VLOOKUP(B:B,'[1]1店'!$B:$L,3,0)</f>
        <v>44930</v>
      </c>
      <c r="E36" s="43" t="s">
        <v>147</v>
      </c>
      <c r="F36" s="43">
        <v>43</v>
      </c>
      <c r="G36" s="43">
        <v>0</v>
      </c>
      <c r="H36" s="43">
        <v>0</v>
      </c>
      <c r="I36" s="43">
        <v>0</v>
      </c>
      <c r="J36" s="43">
        <v>0</v>
      </c>
      <c r="K36" s="63">
        <f t="shared" ref="K36:K67" si="20">F36+G36+H36+I36+J36</f>
        <v>43</v>
      </c>
      <c r="L36" s="64">
        <f>VLOOKUP($B:$B,'[1]1店'!$B:$L,11,0)</f>
        <v>19.564</v>
      </c>
      <c r="M36" s="44">
        <f t="shared" si="10"/>
        <v>841.252</v>
      </c>
      <c r="N36" s="186">
        <f>IFERROR(VLOOKUP(B:B,'1店辅助表'!B:C,2,FALSE),0)</f>
        <v>0</v>
      </c>
      <c r="O36" s="186">
        <f>IFERROR(VLOOKUP(B:B,'1店辅助表'!E:F,2,FALSE),0)</f>
        <v>0</v>
      </c>
      <c r="P36" s="186">
        <f>IFERROR(VLOOKUP(B:B,'1店辅助表'!H:I,2,FALSE),0)</f>
        <v>0</v>
      </c>
      <c r="Q36" s="65">
        <f>IFERROR(VLOOKUP($B:$B,'[1]1店'!$B:$N,13,FALSE),0)</f>
        <v>0</v>
      </c>
      <c r="R36" s="79">
        <f t="shared" si="12"/>
        <v>0</v>
      </c>
      <c r="S36" s="80" t="str">
        <f t="shared" si="13"/>
        <v>-</v>
      </c>
      <c r="T36" s="44" t="str">
        <f t="shared" si="14"/>
        <v>-</v>
      </c>
      <c r="U36" s="188" t="str">
        <f>IFERROR(VLOOKUP($B:$B,'[1]1店'!$B:$T,19,FALSE),0)</f>
        <v>-</v>
      </c>
      <c r="V36" s="81" t="str">
        <f t="shared" si="15"/>
        <v>-</v>
      </c>
      <c r="W36" s="82" t="str">
        <f>_xlfn.IFS(AND(D36&lt;&gt;0,D36-$AM$2&gt;=0,B36&gt;0,D36&lt;&gt;0),"本月刚到货",AND(IFERROR((K36/(N36/7))/30,"-")="-",K36&gt;0),"有库存无销量",AND(IFERROR((K36/(N36/7))/30,"-")="-",K36=0),"无库存无销量",AND(IFERROR((K36/(N36/7))/30,"-")&lt;=0.5,K36=0),"无库存有销量",IFERROR((K36/(N36/7))/30,"-")&lt;=0.5,"库存过低",IFERROR((K36/(N36/7))/30,"-")&lt;=1.5,"正常",IFERROR((K36/(N36/7))/30,"-")&gt;1.5,"库存过高")</f>
        <v>有库存无销量</v>
      </c>
      <c r="X36" s="83" t="str">
        <f>_xlfn.IFS(AND(D36&lt;&gt;0,D36-$AM$2&gt;=0,K36&gt;0,D36&lt;&gt;0),"本月刚到货",AND(T36="-",K36&gt;0),"有库存无销量",AND(T36="-",K36=0),"无库存无销量",AND(T36&lt;=0.5,K36=0),"无库存有销量",T36&lt;=0.5,"库存过低",T36&lt;=1.5,"正常",T36&gt;1.5,"库存过高")</f>
        <v>有库存无销量</v>
      </c>
      <c r="Y36" s="44">
        <f>IFERROR(SUMIF('1店辅助表'!K:K,B:B,'1店辅助表'!N:N),0)</f>
        <v>0</v>
      </c>
      <c r="Z36" s="44">
        <f>IFERROR(SUMIF('1店辅助表'!T:T,B:B,'1店辅助表'!W:W),0)</f>
        <v>0</v>
      </c>
      <c r="AA36" s="44">
        <f>IFERROR(SUMIF('1店辅助表'!AC:AC,B:B,'1店辅助表'!AF:AF),0)</f>
        <v>0</v>
      </c>
      <c r="AB36" s="91" t="str">
        <f>IFERROR(SUMIF('1店辅助表'!K:K,B:B,'1店辅助表'!N:N)/SUMIF('1店辅助表'!K:K,B:B,'1店辅助表'!O:O),"-")</f>
        <v>-</v>
      </c>
      <c r="AC36" s="91" t="str">
        <f>IFERROR(VLOOKUP($B:$B,'[1]1店'!$B:$AB,27,FALSE),"-")</f>
        <v>-</v>
      </c>
      <c r="AD36" s="92" t="str">
        <f t="shared" si="16"/>
        <v>-</v>
      </c>
      <c r="AE36" s="91" t="str">
        <f>IFERROR(SUMIF('1店辅助表'!T:T,B:B,'1店辅助表'!W:W)/SUMIF('1店辅助表'!T:T,B:B,'1店辅助表'!X:X),"-")</f>
        <v>-</v>
      </c>
      <c r="AF36" s="91" t="str">
        <f>IFERROR(SUMIF('1店辅助表'!AC:AC,B:B,'1店辅助表'!AF:AF)/SUMIF('1店辅助表'!AC:AC,B:B,'1店辅助表'!AG:AG),"-")</f>
        <v>-</v>
      </c>
      <c r="AG36" s="99">
        <f>IFERROR(AK36/((SUMIF('1店辅助表'!AT:AT,B:B,'1店辅助表'!AU:AU)+M36)/2),"-")</f>
        <v>0</v>
      </c>
      <c r="AH36" s="99">
        <f>IFERROR(AL36/((SUMIF('1店辅助表'!AW:AW,B:B,'1店辅助表'!AX:AX)+M36)/2),"-")</f>
        <v>0</v>
      </c>
      <c r="AI36" s="100" t="str">
        <f>IFERROR((SUMIF('1店辅助表'!AP:AP,B:B,'1店辅助表'!AR:AR)-SUMIF('1店辅助表'!AP:AP,B:B,'1店辅助表'!AR:AR)*0.15-(L36+IFERROR(VLOOKUP(B:B,'1店辅助表'!AZ:BA,2,0),0))*O36-IF(AN:AN="US",6.85,4.9)*(Z36+3.99*O36))/SUMIF('1店辅助表'!AP:AP,B:B,'1店辅助表'!AR:AR),"-")</f>
        <v>-</v>
      </c>
      <c r="AJ36" s="100" t="str">
        <f t="shared" si="17"/>
        <v>-</v>
      </c>
      <c r="AK36" s="101">
        <f t="shared" si="18"/>
        <v>0</v>
      </c>
      <c r="AL36" s="101">
        <f t="shared" si="19"/>
        <v>0</v>
      </c>
      <c r="AM36" s="1" t="str">
        <f>VLOOKUP(B:B,'1店辅助表'!$AZ:$BB,1,FALSE)</f>
        <v>Y1046-ZH</v>
      </c>
      <c r="AN36" s="1" t="str">
        <f>VLOOKUP(B:B,'1店辅助表'!AZ:BB,3,FALSE)</f>
        <v>US</v>
      </c>
    </row>
    <row r="37" customHeight="1" spans="1:40">
      <c r="A37" s="58" t="str">
        <f>INDEX('[1]1店'!$A:$A,MATCH(B:B,'[1]1店'!$B:$B,0))</f>
        <v>秀青</v>
      </c>
      <c r="B37" s="43" t="s">
        <v>148</v>
      </c>
      <c r="C37" s="43" t="s">
        <v>149</v>
      </c>
      <c r="D37" s="59">
        <f>VLOOKUP(B:B,'[1]1店'!$B:$L,3,0)</f>
        <v>44917</v>
      </c>
      <c r="E37" s="43" t="s">
        <v>150</v>
      </c>
      <c r="F37" s="43">
        <v>19</v>
      </c>
      <c r="G37" s="43">
        <v>0</v>
      </c>
      <c r="H37" s="43">
        <v>0</v>
      </c>
      <c r="I37" s="43">
        <v>0</v>
      </c>
      <c r="J37" s="43">
        <v>0</v>
      </c>
      <c r="K37" s="63">
        <f t="shared" si="20"/>
        <v>19</v>
      </c>
      <c r="L37" s="64">
        <f>VLOOKUP($B:$B,'[1]1店'!$B:$L,11,0)</f>
        <v>40.809</v>
      </c>
      <c r="M37" s="44">
        <f t="shared" ref="M37:M68" si="21">K37*L37</f>
        <v>775.371</v>
      </c>
      <c r="N37" s="186">
        <f>IFERROR(VLOOKUP(B:B,'1店辅助表'!B:C,2,FALSE),0)</f>
        <v>0</v>
      </c>
      <c r="O37" s="186">
        <f>IFERROR(VLOOKUP(B:B,'1店辅助表'!E:F,2,FALSE),0)</f>
        <v>3</v>
      </c>
      <c r="P37" s="186">
        <f>IFERROR(VLOOKUP(B:B,'1店辅助表'!H:I,2,FALSE),0)</f>
        <v>6</v>
      </c>
      <c r="Q37" s="65">
        <f>IFERROR(VLOOKUP($B:$B,'[1]1店'!$B:$N,13,FALSE),0)</f>
        <v>2</v>
      </c>
      <c r="R37" s="79">
        <f t="shared" si="12"/>
        <v>-2</v>
      </c>
      <c r="S37" s="80">
        <f t="shared" si="13"/>
        <v>142.5</v>
      </c>
      <c r="T37" s="44">
        <f t="shared" si="14"/>
        <v>4.75</v>
      </c>
      <c r="U37" s="188">
        <f>IFERROR(VLOOKUP($B:$B,'[1]1店'!$B:$T,19,FALSE),0)</f>
        <v>2.5253164556962</v>
      </c>
      <c r="V37" s="81">
        <f t="shared" si="15"/>
        <v>2.2246835443038</v>
      </c>
      <c r="W37" s="82" t="str">
        <f>_xlfn.IFS(AND(D37&lt;&gt;0,D37-$AM$2&gt;=0,B37&gt;0,D37&lt;&gt;0),"本月刚到货",AND(IFERROR((K37/(N37/7))/30,"-")="-",K37&gt;0),"有库存无销量",AND(IFERROR((K37/(N37/7))/30,"-")="-",K37=0),"无库存无销量",AND(IFERROR((K37/(N37/7))/30,"-")&lt;=0.5,K37=0),"无库存有销量",IFERROR((K37/(N37/7))/30,"-")&lt;=0.5,"库存过低",IFERROR((K37/(N37/7))/30,"-")&lt;=1.5,"正常",IFERROR((K37/(N37/7))/30,"-")&gt;1.5,"库存过高")</f>
        <v>有库存无销量</v>
      </c>
      <c r="X37" s="83" t="str">
        <f>_xlfn.IFS(AND(D37&lt;&gt;0,D37-$AM$2&gt;=0,K37&gt;0,D37&lt;&gt;0),"本月刚到货",AND(T37="-",K37&gt;0),"有库存无销量",AND(T37="-",K37=0),"无库存无销量",AND(T37&lt;=0.5,K37=0),"无库存有销量",T37&lt;=0.5,"库存过低",T37&lt;=1.5,"正常",T37&gt;1.5,"库存过高")</f>
        <v>库存过高</v>
      </c>
      <c r="Y37" s="44">
        <f>IFERROR(SUMIF('1店辅助表'!K:K,B:B,'1店辅助表'!N:N),0)</f>
        <v>0</v>
      </c>
      <c r="Z37" s="44">
        <f>IFERROR(SUMIF('1店辅助表'!T:T,B:B,'1店辅助表'!W:W),0)</f>
        <v>0</v>
      </c>
      <c r="AA37" s="44">
        <f>IFERROR(SUMIF('1店辅助表'!AC:AC,B:B,'1店辅助表'!AF:AF),0)</f>
        <v>0</v>
      </c>
      <c r="AB37" s="91" t="str">
        <f>IFERROR(SUMIF('1店辅助表'!K:K,B:B,'1店辅助表'!N:N)/SUMIF('1店辅助表'!K:K,B:B,'1店辅助表'!O:O),"-")</f>
        <v>-</v>
      </c>
      <c r="AC37" s="91" t="str">
        <f>IFERROR(VLOOKUP($B:$B,'[1]1店'!$B:$AB,27,FALSE),"-")</f>
        <v>-</v>
      </c>
      <c r="AD37" s="92" t="str">
        <f t="shared" si="16"/>
        <v>-</v>
      </c>
      <c r="AE37" s="91" t="str">
        <f>IFERROR(SUMIF('1店辅助表'!T:T,B:B,'1店辅助表'!W:W)/SUMIF('1店辅助表'!T:T,B:B,'1店辅助表'!X:X),"-")</f>
        <v>-</v>
      </c>
      <c r="AF37" s="91" t="str">
        <f>IFERROR(SUMIF('1店辅助表'!AC:AC,B:B,'1店辅助表'!AF:AF)/SUMIF('1店辅助表'!AC:AC,B:B,'1店辅助表'!AG:AG),"-")</f>
        <v>-</v>
      </c>
      <c r="AG37" s="99">
        <f>IFERROR(AK37/((SUMIF('1店辅助表'!AT:AT,B:B,'1店辅助表'!AU:AU)+M37)/2),"-")</f>
        <v>0</v>
      </c>
      <c r="AH37" s="99">
        <f>IFERROR(AL37/((SUMIF('1店辅助表'!AW:AW,B:B,'1店辅助表'!AX:AX)+M37)/2),"-")</f>
        <v>0.133333333333333</v>
      </c>
      <c r="AI37" s="100">
        <f>IFERROR((SUMIF('1店辅助表'!AP:AP,B:B,'1店辅助表'!AR:AR)-SUMIF('1店辅助表'!AP:AP,B:B,'1店辅助表'!AR:AR)*0.15-(L37+IFERROR(VLOOKUP(B:B,'1店辅助表'!AZ:BA,2,0),0))*O37-IF(AN:AN="US",6.85,4.9)*(Z37+3.99*O37))/SUMIF('1店辅助表'!AP:AP,B:B,'1店辅助表'!AR:AR),"-")</f>
        <v>0.258144512768398</v>
      </c>
      <c r="AJ37" s="100">
        <f t="shared" si="17"/>
        <v>0.0344192683691197</v>
      </c>
      <c r="AK37" s="101">
        <f t="shared" si="18"/>
        <v>0</v>
      </c>
      <c r="AL37" s="101">
        <f t="shared" si="19"/>
        <v>122.427</v>
      </c>
      <c r="AM37" s="1" t="str">
        <f>VLOOKUP(B:B,'1店辅助表'!$AZ:$BB,1,FALSE)</f>
        <v>Y1052-ZH</v>
      </c>
      <c r="AN37" s="1" t="str">
        <f>VLOOKUP(B:B,'1店辅助表'!AZ:BB,3,FALSE)</f>
        <v>US</v>
      </c>
    </row>
    <row r="38" customHeight="1" spans="1:40">
      <c r="A38" s="58" t="str">
        <f>INDEX('[1]1店'!$A:$A,MATCH(B:B,'[1]1店'!$B:$B,0))</f>
        <v>秀青</v>
      </c>
      <c r="B38" s="43" t="s">
        <v>151</v>
      </c>
      <c r="C38" s="43" t="s">
        <v>152</v>
      </c>
      <c r="D38" s="59">
        <f>VLOOKUP(B:B,'[1]1店'!$B:$L,3,0)</f>
        <v>44917</v>
      </c>
      <c r="E38" s="43" t="s">
        <v>153</v>
      </c>
      <c r="F38" s="43">
        <v>30</v>
      </c>
      <c r="G38" s="43">
        <v>0</v>
      </c>
      <c r="H38" s="43">
        <v>0</v>
      </c>
      <c r="I38" s="43">
        <v>0</v>
      </c>
      <c r="J38" s="43">
        <v>0</v>
      </c>
      <c r="K38" s="63">
        <f t="shared" si="20"/>
        <v>30</v>
      </c>
      <c r="L38" s="64">
        <f>VLOOKUP($B:$B,'[1]1店'!$B:$L,11,0)</f>
        <v>3.812</v>
      </c>
      <c r="M38" s="44">
        <f t="shared" si="21"/>
        <v>114.36</v>
      </c>
      <c r="N38" s="186">
        <f>IFERROR(VLOOKUP(B:B,'1店辅助表'!B:C,2,FALSE),0)</f>
        <v>0</v>
      </c>
      <c r="O38" s="186">
        <f>IFERROR(VLOOKUP(B:B,'1店辅助表'!E:F,2,FALSE),0)</f>
        <v>0</v>
      </c>
      <c r="P38" s="186">
        <f>IFERROR(VLOOKUP(B:B,'1店辅助表'!H:I,2,FALSE),0)</f>
        <v>1</v>
      </c>
      <c r="Q38" s="65">
        <f>IFERROR(VLOOKUP($B:$B,'[1]1店'!$B:$N,13,FALSE),0)</f>
        <v>0</v>
      </c>
      <c r="R38" s="79">
        <f t="shared" si="12"/>
        <v>0</v>
      </c>
      <c r="S38" s="80">
        <f t="shared" si="13"/>
        <v>2700</v>
      </c>
      <c r="T38" s="44">
        <f t="shared" si="14"/>
        <v>90</v>
      </c>
      <c r="U38" s="188">
        <f>IFERROR(VLOOKUP($B:$B,'[1]1店'!$B:$T,19,FALSE),0)</f>
        <v>90</v>
      </c>
      <c r="V38" s="81">
        <f t="shared" si="15"/>
        <v>0</v>
      </c>
      <c r="W38" s="82" t="str">
        <f>_xlfn.IFS(AND(D38&lt;&gt;0,D38-$AM$2&gt;=0,B38&gt;0,D38&lt;&gt;0),"本月刚到货",AND(IFERROR((K38/(N38/7))/30,"-")="-",K38&gt;0),"有库存无销量",AND(IFERROR((K38/(N38/7))/30,"-")="-",K38=0),"无库存无销量",AND(IFERROR((K38/(N38/7))/30,"-")&lt;=0.5,K38=0),"无库存有销量",IFERROR((K38/(N38/7))/30,"-")&lt;=0.5,"库存过低",IFERROR((K38/(N38/7))/30,"-")&lt;=1.5,"正常",IFERROR((K38/(N38/7))/30,"-")&gt;1.5,"库存过高")</f>
        <v>有库存无销量</v>
      </c>
      <c r="X38" s="83" t="str">
        <f>_xlfn.IFS(AND(D38&lt;&gt;0,D38-$AM$2&gt;=0,K38&gt;0,D38&lt;&gt;0),"本月刚到货",AND(T38="-",K38&gt;0),"有库存无销量",AND(T38="-",K38=0),"无库存无销量",AND(T38&lt;=0.5,K38=0),"无库存有销量",T38&lt;=0.5,"库存过低",T38&lt;=1.5,"正常",T38&gt;1.5,"库存过高")</f>
        <v>库存过高</v>
      </c>
      <c r="Y38" s="44">
        <f>IFERROR(SUMIF('1店辅助表'!K:K,B:B,'1店辅助表'!N:N),0)</f>
        <v>0</v>
      </c>
      <c r="Z38" s="44">
        <f>IFERROR(SUMIF('1店辅助表'!T:T,B:B,'1店辅助表'!W:W),0)</f>
        <v>0</v>
      </c>
      <c r="AA38" s="44">
        <f>IFERROR(SUMIF('1店辅助表'!AC:AC,B:B,'1店辅助表'!AF:AF),0)</f>
        <v>0</v>
      </c>
      <c r="AB38" s="91" t="str">
        <f>IFERROR(SUMIF('1店辅助表'!K:K,B:B,'1店辅助表'!N:N)/SUMIF('1店辅助表'!K:K,B:B,'1店辅助表'!O:O),"-")</f>
        <v>-</v>
      </c>
      <c r="AC38" s="91" t="str">
        <f>IFERROR(VLOOKUP($B:$B,'[1]1店'!$B:$AB,27,FALSE),"-")</f>
        <v>-</v>
      </c>
      <c r="AD38" s="92" t="str">
        <f t="shared" si="16"/>
        <v>-</v>
      </c>
      <c r="AE38" s="91" t="str">
        <f>IFERROR(SUMIF('1店辅助表'!T:T,B:B,'1店辅助表'!W:W)/SUMIF('1店辅助表'!T:T,B:B,'1店辅助表'!X:X),"-")</f>
        <v>-</v>
      </c>
      <c r="AF38" s="91" t="str">
        <f>IFERROR(SUMIF('1店辅助表'!AC:AC,B:B,'1店辅助表'!AF:AF)/SUMIF('1店辅助表'!AC:AC,B:B,'1店辅助表'!AG:AG),"-")</f>
        <v>-</v>
      </c>
      <c r="AG38" s="99">
        <f>IFERROR(AK38/((SUMIF('1店辅助表'!AT:AT,B:B,'1店辅助表'!AU:AU)+M38)/2),"-")</f>
        <v>0</v>
      </c>
      <c r="AH38" s="99">
        <f>IFERROR(AL38/((SUMIF('1店辅助表'!AW:AW,B:B,'1店辅助表'!AX:AX)+M38)/2),"-")</f>
        <v>0</v>
      </c>
      <c r="AI38" s="100" t="str">
        <f>IFERROR((SUMIF('1店辅助表'!AP:AP,B:B,'1店辅助表'!AR:AR)-SUMIF('1店辅助表'!AP:AP,B:B,'1店辅助表'!AR:AR)*0.15-(L38+IFERROR(VLOOKUP(B:B,'1店辅助表'!AZ:BA,2,0),0))*O38-IF(AN:AN="US",6.85,4.9)*(Z38+3.99*O38))/SUMIF('1店辅助表'!AP:AP,B:B,'1店辅助表'!AR:AR),"-")</f>
        <v>-</v>
      </c>
      <c r="AJ38" s="100" t="str">
        <f t="shared" si="17"/>
        <v>-</v>
      </c>
      <c r="AK38" s="101">
        <f t="shared" si="18"/>
        <v>0</v>
      </c>
      <c r="AL38" s="101">
        <f t="shared" si="19"/>
        <v>0</v>
      </c>
      <c r="AM38" s="1" t="str">
        <f>VLOOKUP(B:B,'1店辅助表'!$AZ:$BB,1,FALSE)</f>
        <v>Y1053-ZH</v>
      </c>
      <c r="AN38" s="1" t="str">
        <f>VLOOKUP(B:B,'1店辅助表'!AZ:BB,3,FALSE)</f>
        <v>US</v>
      </c>
    </row>
    <row r="39" customHeight="1" spans="1:40">
      <c r="A39" s="58" t="str">
        <f>INDEX('[1]1店'!$A:$A,MATCH(B:B,'[1]1店'!$B:$B,0))</f>
        <v>秀青</v>
      </c>
      <c r="B39" s="43" t="s">
        <v>154</v>
      </c>
      <c r="C39" s="43" t="s">
        <v>155</v>
      </c>
      <c r="D39" s="59">
        <f>VLOOKUP(B:B,'[1]1店'!$B:$L,3,0)</f>
        <v>44919</v>
      </c>
      <c r="E39" s="43" t="s">
        <v>156</v>
      </c>
      <c r="F39" s="43">
        <v>64</v>
      </c>
      <c r="G39" s="43">
        <v>1</v>
      </c>
      <c r="H39" s="43">
        <v>39</v>
      </c>
      <c r="I39" s="43">
        <v>7</v>
      </c>
      <c r="J39" s="43">
        <v>8</v>
      </c>
      <c r="K39" s="63">
        <f t="shared" si="20"/>
        <v>119</v>
      </c>
      <c r="L39" s="64">
        <f>VLOOKUP($B:$B,'[1]1店'!$B:$L,11,0)</f>
        <v>26.696</v>
      </c>
      <c r="M39" s="44">
        <f t="shared" si="21"/>
        <v>3176.824</v>
      </c>
      <c r="N39" s="186">
        <f>IFERROR(VLOOKUP(B:B,'1店辅助表'!B:C,2,FALSE),0)</f>
        <v>19</v>
      </c>
      <c r="O39" s="186">
        <f>IFERROR(VLOOKUP(B:B,'1店辅助表'!E:F,2,FALSE),0)</f>
        <v>34</v>
      </c>
      <c r="P39" s="186">
        <f>IFERROR(VLOOKUP(B:B,'1店辅助表'!H:I,2,FALSE),0)</f>
        <v>51</v>
      </c>
      <c r="Q39" s="65">
        <f>IFERROR(VLOOKUP($B:$B,'[1]1店'!$B:$N,13,FALSE),0)</f>
        <v>16</v>
      </c>
      <c r="R39" s="79">
        <f t="shared" si="12"/>
        <v>3</v>
      </c>
      <c r="S39" s="80">
        <f t="shared" si="13"/>
        <v>53.4354953670706</v>
      </c>
      <c r="T39" s="44">
        <f t="shared" si="14"/>
        <v>1.78118317890235</v>
      </c>
      <c r="U39" s="188">
        <f>IFERROR(VLOOKUP($B:$B,'[1]1店'!$B:$T,19,FALSE),0)</f>
        <v>2.46949602122016</v>
      </c>
      <c r="V39" s="81">
        <f t="shared" si="15"/>
        <v>-0.68831284231781</v>
      </c>
      <c r="W39" s="82" t="str">
        <f>_xlfn.IFS(AND(D39&lt;&gt;0,D39-$AM$2&gt;=0,B39&gt;0,D39&lt;&gt;0),"本月刚到货",AND(IFERROR((K39/(N39/7))/30,"-")="-",K39&gt;0),"有库存无销量",AND(IFERROR((K39/(N39/7))/30,"-")="-",K39=0),"无库存无销量",AND(IFERROR((K39/(N39/7))/30,"-")&lt;=0.5,K39=0),"无库存有销量",IFERROR((K39/(N39/7))/30,"-")&lt;=0.5,"库存过低",IFERROR((K39/(N39/7))/30,"-")&lt;=1.5,"正常",IFERROR((K39/(N39/7))/30,"-")&gt;1.5,"库存过高")</f>
        <v>正常</v>
      </c>
      <c r="X39" s="83" t="str">
        <f>_xlfn.IFS(AND(D39&lt;&gt;0,D39-$AM$2&gt;=0,K39&gt;0,D39&lt;&gt;0),"本月刚到货",AND(T39="-",K39&gt;0),"有库存无销量",AND(T39="-",K39=0),"无库存无销量",AND(T39&lt;=0.5,K39=0),"无库存有销量",T39&lt;=0.5,"库存过低",T39&lt;=1.5,"正常",T39&gt;1.5,"库存过高")</f>
        <v>库存过高</v>
      </c>
      <c r="Y39" s="44">
        <f>IFERROR(SUMIF('1店辅助表'!K:K,B:B,'1店辅助表'!N:N),0)</f>
        <v>33.64</v>
      </c>
      <c r="Z39" s="44">
        <f>IFERROR(SUMIF('1店辅助表'!T:T,B:B,'1店辅助表'!W:W),0)</f>
        <v>60.59</v>
      </c>
      <c r="AA39" s="44">
        <f>IFERROR(SUMIF('1店辅助表'!AC:AC,B:B,'1店辅助表'!AF:AF),0)</f>
        <v>91.79</v>
      </c>
      <c r="AB39" s="91">
        <f>IFERROR(SUMIF('1店辅助表'!K:K,B:B,'1店辅助表'!N:N)/SUMIF('1店辅助表'!K:K,B:B,'1店辅助表'!O:O),"-")</f>
        <v>0.209112948343383</v>
      </c>
      <c r="AC39" s="91">
        <f>IFERROR(VLOOKUP($B:$B,'[1]1店'!$B:$AB,27,FALSE),"-")</f>
        <v>0.143465531008784</v>
      </c>
      <c r="AD39" s="92">
        <f t="shared" si="16"/>
        <v>0.065647417334599</v>
      </c>
      <c r="AE39" s="91">
        <f>IFERROR(SUMIF('1店辅助表'!T:T,B:B,'1店辅助表'!W:W)/SUMIF('1店辅助表'!T:T,B:B,'1店辅助表'!X:X),"-")</f>
        <v>0.173749713236981</v>
      </c>
      <c r="AF39" s="91">
        <f>IFERROR(SUMIF('1店辅助表'!AC:AC,B:B,'1店辅助表'!AF:AF)/SUMIF('1店辅助表'!AC:AC,B:B,'1店辅助表'!AG:AG),"-")</f>
        <v>0.169176327478482</v>
      </c>
      <c r="AG39" s="99">
        <f>IFERROR(AK39/((SUMIF('1店辅助表'!AT:AT,B:B,'1店辅助表'!AU:AU)+M39)/2),"-")</f>
        <v>0.150793650793651</v>
      </c>
      <c r="AH39" s="99">
        <f>IFERROR(AL39/((SUMIF('1店辅助表'!AW:AW,B:B,'1店辅助表'!AX:AX)+M39)/2),"-")</f>
        <v>0.453333333333333</v>
      </c>
      <c r="AI39" s="100">
        <f>IFERROR((SUMIF('1店辅助表'!AP:AP,B:B,'1店辅助表'!AR:AR)-SUMIF('1店辅助表'!AP:AP,B:B,'1店辅助表'!AR:AR)*0.15-(L39+IFERROR(VLOOKUP(B:B,'1店辅助表'!AZ:BA,2,0),0))*O39-IF(AN:AN="US",6.85,4.9)*(Z39+3.99*O39))/SUMIF('1店辅助表'!AP:AP,B:B,'1店辅助表'!AR:AR),"-")</f>
        <v>-0.012328084112702</v>
      </c>
      <c r="AJ39" s="100">
        <f t="shared" si="17"/>
        <v>-0.0055887314644249</v>
      </c>
      <c r="AK39" s="101">
        <f t="shared" si="18"/>
        <v>507.224</v>
      </c>
      <c r="AL39" s="101">
        <f t="shared" si="19"/>
        <v>907.664</v>
      </c>
      <c r="AM39" s="1" t="str">
        <f>VLOOKUP(B:B,'1店辅助表'!$AZ:$BB,1,FALSE)</f>
        <v>Y1054</v>
      </c>
      <c r="AN39" s="1" t="str">
        <f>VLOOKUP(B:B,'1店辅助表'!AZ:BB,3,FALSE)</f>
        <v>US</v>
      </c>
    </row>
    <row r="40" customHeight="1" spans="1:40">
      <c r="A40" s="58" t="str">
        <f>INDEX('[1]1店'!$A:$A,MATCH(B:B,'[1]1店'!$B:$B,0))</f>
        <v>秀青</v>
      </c>
      <c r="B40" s="43" t="s">
        <v>157</v>
      </c>
      <c r="C40" s="43" t="s">
        <v>158</v>
      </c>
      <c r="D40" s="59">
        <f>VLOOKUP(B:B,'[1]1店'!$B:$L,3,0)</f>
        <v>44921</v>
      </c>
      <c r="E40" s="43" t="s">
        <v>159</v>
      </c>
      <c r="F40" s="43">
        <v>15</v>
      </c>
      <c r="G40" s="43">
        <v>0</v>
      </c>
      <c r="H40" s="43">
        <v>4</v>
      </c>
      <c r="I40" s="43">
        <v>3</v>
      </c>
      <c r="J40" s="43">
        <v>0</v>
      </c>
      <c r="K40" s="63">
        <f t="shared" si="20"/>
        <v>22</v>
      </c>
      <c r="L40" s="64">
        <f>VLOOKUP($B:$B,'[1]1店'!$B:$L,11,0)</f>
        <v>29</v>
      </c>
      <c r="M40" s="44">
        <f t="shared" si="21"/>
        <v>638</v>
      </c>
      <c r="N40" s="186">
        <f>IFERROR(VLOOKUP(B:B,'1店辅助表'!B:C,2,FALSE),0)</f>
        <v>16</v>
      </c>
      <c r="O40" s="186">
        <f>IFERROR(VLOOKUP(B:B,'1店辅助表'!E:F,2,FALSE),0)</f>
        <v>39</v>
      </c>
      <c r="P40" s="186">
        <f>IFERROR(VLOOKUP(B:B,'1店辅助表'!H:I,2,FALSE),0)</f>
        <v>81</v>
      </c>
      <c r="Q40" s="65">
        <f>IFERROR(VLOOKUP($B:$B,'[1]1店'!$B:$N,13,FALSE),0)</f>
        <v>20</v>
      </c>
      <c r="R40" s="79">
        <f t="shared" si="12"/>
        <v>-4</v>
      </c>
      <c r="S40" s="80">
        <f t="shared" si="13"/>
        <v>8.70056497175141</v>
      </c>
      <c r="T40" s="44">
        <f t="shared" si="14"/>
        <v>0.290018832391714</v>
      </c>
      <c r="U40" s="188">
        <f>IFERROR(VLOOKUP($B:$B,'[1]1店'!$B:$T,19,FALSE),0)</f>
        <v>0.525285481239804</v>
      </c>
      <c r="V40" s="81">
        <f t="shared" si="15"/>
        <v>-0.23526664884809</v>
      </c>
      <c r="W40" s="82" t="str">
        <f>_xlfn.IFS(AND(D40&lt;&gt;0,D40-$AM$2&gt;=0,B40&gt;0,D40&lt;&gt;0),"本月刚到货",AND(IFERROR((K40/(N40/7))/30,"-")="-",K40&gt;0),"有库存无销量",AND(IFERROR((K40/(N40/7))/30,"-")="-",K40=0),"无库存无销量",AND(IFERROR((K40/(N40/7))/30,"-")&lt;=0.5,K40=0),"无库存有销量",IFERROR((K40/(N40/7))/30,"-")&lt;=0.5,"库存过低",IFERROR((K40/(N40/7))/30,"-")&lt;=1.5,"正常",IFERROR((K40/(N40/7))/30,"-")&gt;1.5,"库存过高")</f>
        <v>库存过低</v>
      </c>
      <c r="X40" s="83" t="str">
        <f>_xlfn.IFS(AND(D40&lt;&gt;0,D40-$AM$2&gt;=0,K40&gt;0,D40&lt;&gt;0),"本月刚到货",AND(T40="-",K40&gt;0),"有库存无销量",AND(T40="-",K40=0),"无库存无销量",AND(T40&lt;=0.5,K40=0),"无库存有销量",T40&lt;=0.5,"库存过低",T40&lt;=1.5,"正常",T40&gt;1.5,"库存过高")</f>
        <v>库存过低</v>
      </c>
      <c r="Y40" s="44">
        <f>IFERROR(SUMIF('1店辅助表'!K:K,B:B,'1店辅助表'!N:N),0)</f>
        <v>26.96983</v>
      </c>
      <c r="Z40" s="44">
        <f>IFERROR(SUMIF('1店辅助表'!T:T,B:B,'1店辅助表'!W:W),0)</f>
        <v>66.2813633333333</v>
      </c>
      <c r="AA40" s="44">
        <f>IFERROR(SUMIF('1店辅助表'!AC:AC,B:B,'1店辅助表'!AF:AF),0)</f>
        <v>148.027333333333</v>
      </c>
      <c r="AB40" s="91">
        <f>IFERROR(SUMIF('1店辅助表'!K:K,B:B,'1店辅助表'!N:N)/SUMIF('1店辅助表'!K:K,B:B,'1店辅助表'!O:O),"-")</f>
        <v>0.317478869923484</v>
      </c>
      <c r="AC40" s="91">
        <f>IFERROR(VLOOKUP($B:$B,'[1]1店'!$B:$AB,27,FALSE),"-")</f>
        <v>0.307061941631924</v>
      </c>
      <c r="AD40" s="92">
        <f t="shared" si="16"/>
        <v>0.01041692829156</v>
      </c>
      <c r="AE40" s="91">
        <f>IFERROR(SUMIF('1店辅助表'!T:T,B:B,'1店辅助表'!W:W)/SUMIF('1店辅助表'!T:T,B:B,'1店辅助表'!X:X),"-")</f>
        <v>0.398078296730796</v>
      </c>
      <c r="AF40" s="91">
        <f>IFERROR(SUMIF('1店辅助表'!AC:AC,B:B,'1店辅助表'!AF:AF)/SUMIF('1店辅助表'!AC:AC,B:B,'1店辅助表'!AG:AG),"-")</f>
        <v>0.298679060007264</v>
      </c>
      <c r="AG40" s="99">
        <f>IFERROR(AK40/((SUMIF('1店辅助表'!AT:AT,B:B,'1店辅助表'!AU:AU)+M40)/2),"-")</f>
        <v>0.470588235294118</v>
      </c>
      <c r="AH40" s="99">
        <f>IFERROR(AL40/((SUMIF('1店辅助表'!AW:AW,B:B,'1店辅助表'!AX:AX)+M40)/2),"-")</f>
        <v>0.4875</v>
      </c>
      <c r="AI40" s="100">
        <f>IFERROR((SUMIF('1店辅助表'!AP:AP,B:B,'1店辅助表'!AR:AR)-SUMIF('1店辅助表'!AP:AP,B:B,'1店辅助表'!AR:AR)*0.15-(L40+IFERROR(VLOOKUP(B:B,'1店辅助表'!AZ:BA,2,0),0))*O40-IF(AN:AN="US",6.85,4.9)*(Z40+3.99*O40))/SUMIF('1店辅助表'!AP:AP,B:B,'1店辅助表'!AR:AR),"-")</f>
        <v>0.15995138718511</v>
      </c>
      <c r="AJ40" s="100">
        <f t="shared" si="17"/>
        <v>0.0779763012527411</v>
      </c>
      <c r="AK40" s="101">
        <f t="shared" si="18"/>
        <v>464</v>
      </c>
      <c r="AL40" s="101">
        <f t="shared" si="19"/>
        <v>1131</v>
      </c>
      <c r="AM40" s="1" t="str">
        <f>VLOOKUP(B:B,'1店辅助表'!$AZ:$BB,1,FALSE)</f>
        <v>Y1055</v>
      </c>
      <c r="AN40" s="1" t="str">
        <f>VLOOKUP(B:B,'1店辅助表'!AZ:BB,3,FALSE)</f>
        <v>US</v>
      </c>
    </row>
    <row r="41" customHeight="1" spans="1:40">
      <c r="A41" s="58" t="str">
        <f>INDEX('[1]1店'!$A:$A,MATCH(B:B,'[1]1店'!$B:$B,0))</f>
        <v>秀青</v>
      </c>
      <c r="B41" s="43" t="s">
        <v>160</v>
      </c>
      <c r="C41" s="43" t="s">
        <v>161</v>
      </c>
      <c r="D41" s="59">
        <f>VLOOKUP(B:B,'[1]1店'!$B:$L,3,0)</f>
        <v>44921</v>
      </c>
      <c r="E41" s="43" t="s">
        <v>162</v>
      </c>
      <c r="F41" s="43">
        <v>24</v>
      </c>
      <c r="G41" s="43">
        <v>1</v>
      </c>
      <c r="H41" s="43">
        <v>1</v>
      </c>
      <c r="I41" s="43">
        <v>1</v>
      </c>
      <c r="J41" s="43">
        <v>0</v>
      </c>
      <c r="K41" s="63">
        <f t="shared" si="20"/>
        <v>27</v>
      </c>
      <c r="L41" s="64">
        <f>VLOOKUP($B:$B,'[1]1店'!$B:$L,11,0)</f>
        <v>27</v>
      </c>
      <c r="M41" s="44">
        <f t="shared" si="21"/>
        <v>729</v>
      </c>
      <c r="N41" s="186">
        <f>IFERROR(VLOOKUP(B:B,'1店辅助表'!B:C,2,FALSE),0)</f>
        <v>3</v>
      </c>
      <c r="O41" s="186">
        <f>IFERROR(VLOOKUP(B:B,'1店辅助表'!E:F,2,FALSE),0)</f>
        <v>4</v>
      </c>
      <c r="P41" s="186">
        <f>IFERROR(VLOOKUP(B:B,'1店辅助表'!H:I,2,FALSE),0)</f>
        <v>9</v>
      </c>
      <c r="Q41" s="65">
        <f>IFERROR(VLOOKUP($B:$B,'[1]1店'!$B:$N,13,FALSE),0)</f>
        <v>1</v>
      </c>
      <c r="R41" s="79">
        <f t="shared" si="12"/>
        <v>2</v>
      </c>
      <c r="S41" s="80">
        <f t="shared" si="13"/>
        <v>81.3875598086124</v>
      </c>
      <c r="T41" s="44">
        <f t="shared" si="14"/>
        <v>2.71291866028708</v>
      </c>
      <c r="U41" s="188">
        <f>IFERROR(VLOOKUP($B:$B,'[1]1店'!$B:$T,19,FALSE),0)</f>
        <v>4.03846153846154</v>
      </c>
      <c r="V41" s="81">
        <f t="shared" si="15"/>
        <v>-1.32554287817446</v>
      </c>
      <c r="W41" s="82" t="str">
        <f>_xlfn.IFS(AND(D41&lt;&gt;0,D41-$AM$2&gt;=0,B41&gt;0,D41&lt;&gt;0),"本月刚到货",AND(IFERROR((K41/(N41/7))/30,"-")="-",K41&gt;0),"有库存无销量",AND(IFERROR((K41/(N41/7))/30,"-")="-",K41=0),"无库存无销量",AND(IFERROR((K41/(N41/7))/30,"-")&lt;=0.5,K41=0),"无库存有销量",IFERROR((K41/(N41/7))/30,"-")&lt;=0.5,"库存过低",IFERROR((K41/(N41/7))/30,"-")&lt;=1.5,"正常",IFERROR((K41/(N41/7))/30,"-")&gt;1.5,"库存过高")</f>
        <v>库存过高</v>
      </c>
      <c r="X41" s="83" t="str">
        <f>_xlfn.IFS(AND(D41&lt;&gt;0,D41-$AM$2&gt;=0,K41&gt;0,D41&lt;&gt;0),"本月刚到货",AND(T41="-",K41&gt;0),"有库存无销量",AND(T41="-",K41=0),"无库存无销量",AND(T41&lt;=0.5,K41=0),"无库存有销量",T41&lt;=0.5,"库存过低",T41&lt;=1.5,"正常",T41&gt;1.5,"库存过高")</f>
        <v>库存过高</v>
      </c>
      <c r="Y41" s="44">
        <f>IFERROR(SUMIF('1店辅助表'!K:K,B:B,'1店辅助表'!N:N),0)</f>
        <v>5.62348</v>
      </c>
      <c r="Z41" s="44">
        <f>IFERROR(SUMIF('1店辅助表'!T:T,B:B,'1店辅助表'!W:W),0)</f>
        <v>13.09464</v>
      </c>
      <c r="AA41" s="44">
        <f>IFERROR(SUMIF('1店辅助表'!AC:AC,B:B,'1店辅助表'!AF:AF),0)</f>
        <v>30.8605</v>
      </c>
      <c r="AB41" s="91">
        <f>IFERROR(SUMIF('1店辅助表'!K:K,B:B,'1店辅助表'!N:N)/SUMIF('1店辅助表'!K:K,B:B,'1店辅助表'!O:O),"-")</f>
        <v>0.11483520522769</v>
      </c>
      <c r="AC41" s="91">
        <f>IFERROR(VLOOKUP($B:$B,'[1]1店'!$B:$AB,27,FALSE),"-")</f>
        <v>0.122883770843652</v>
      </c>
      <c r="AD41" s="92">
        <f t="shared" si="16"/>
        <v>-0.008048565615962</v>
      </c>
      <c r="AE41" s="91">
        <f>IFERROR(SUMIF('1店辅助表'!T:T,B:B,'1店辅助表'!W:W)/SUMIF('1店辅助表'!T:T,B:B,'1店辅助表'!X:X),"-")</f>
        <v>0.0893710073710074</v>
      </c>
      <c r="AF41" s="91">
        <f>IFERROR(SUMIF('1店辅助表'!AC:AC,B:B,'1店辅助表'!AF:AF)/SUMIF('1店辅助表'!AC:AC,B:B,'1店辅助表'!AG:AG),"-")</f>
        <v>0.161997375328084</v>
      </c>
      <c r="AG41" s="99">
        <f>IFERROR(AK41/((SUMIF('1店辅助表'!AT:AT,B:B,'1店辅助表'!AU:AU)+M41)/2),"-")</f>
        <v>0.105263157894737</v>
      </c>
      <c r="AH41" s="99">
        <f>IFERROR(AL41/((SUMIF('1店辅助表'!AW:AW,B:B,'1店辅助表'!AX:AX)+M41)/2),"-")</f>
        <v>0.19047619047619</v>
      </c>
      <c r="AI41" s="100">
        <f>IFERROR((SUMIF('1店辅助表'!AP:AP,B:B,'1店辅助表'!AR:AR)-SUMIF('1店辅助表'!AP:AP,B:B,'1店辅助表'!AR:AR)*0.15-(L41+IFERROR(VLOOKUP(B:B,'1店辅助表'!AZ:BA,2,0),0))*O41-IF(AN:AN="US",6.85,4.9)*(Z41+3.99*O41))/SUMIF('1店辅助表'!AP:AP,B:B,'1店辅助表'!AR:AR),"-")</f>
        <v>0.0760624260455876</v>
      </c>
      <c r="AJ41" s="100">
        <f t="shared" si="17"/>
        <v>0.0144880811515405</v>
      </c>
      <c r="AK41" s="101">
        <f t="shared" si="18"/>
        <v>81</v>
      </c>
      <c r="AL41" s="101">
        <f t="shared" si="19"/>
        <v>108</v>
      </c>
      <c r="AM41" s="1" t="str">
        <f>VLOOKUP(B:B,'1店辅助表'!$AZ:$BB,1,FALSE)</f>
        <v>Y1056</v>
      </c>
      <c r="AN41" s="1" t="str">
        <f>VLOOKUP(B:B,'1店辅助表'!AZ:BB,3,FALSE)</f>
        <v>US</v>
      </c>
    </row>
    <row r="42" customHeight="1" spans="1:40">
      <c r="A42" s="58" t="str">
        <f>INDEX('[1]1店'!$A:$A,MATCH(B:B,'[1]1店'!$B:$B,0))</f>
        <v>秀青</v>
      </c>
      <c r="B42" s="43" t="s">
        <v>163</v>
      </c>
      <c r="C42" s="43" t="s">
        <v>164</v>
      </c>
      <c r="D42" s="59">
        <f>VLOOKUP(B:B,'[1]1店'!$B:$L,3,0)</f>
        <v>44921</v>
      </c>
      <c r="E42" s="43" t="s">
        <v>165</v>
      </c>
      <c r="F42" s="43">
        <v>6</v>
      </c>
      <c r="G42" s="43">
        <v>0</v>
      </c>
      <c r="H42" s="43">
        <v>0</v>
      </c>
      <c r="I42" s="43">
        <v>1</v>
      </c>
      <c r="J42" s="43">
        <v>0</v>
      </c>
      <c r="K42" s="63">
        <f t="shared" si="20"/>
        <v>7</v>
      </c>
      <c r="L42" s="64">
        <f>VLOOKUP($B:$B,'[1]1店'!$B:$L,11,0)</f>
        <v>27</v>
      </c>
      <c r="M42" s="44">
        <f t="shared" si="21"/>
        <v>189</v>
      </c>
      <c r="N42" s="186">
        <f>IFERROR(VLOOKUP(B:B,'1店辅助表'!B:C,2,FALSE),0)</f>
        <v>2</v>
      </c>
      <c r="O42" s="186">
        <f>IFERROR(VLOOKUP(B:B,'1店辅助表'!E:F,2,FALSE),0)</f>
        <v>3</v>
      </c>
      <c r="P42" s="186">
        <f>IFERROR(VLOOKUP(B:B,'1店辅助表'!H:I,2,FALSE),0)</f>
        <v>8</v>
      </c>
      <c r="Q42" s="65">
        <f>IFERROR(VLOOKUP($B:$B,'[1]1店'!$B:$N,13,FALSE),0)</f>
        <v>1</v>
      </c>
      <c r="R42" s="79">
        <f t="shared" si="12"/>
        <v>1</v>
      </c>
      <c r="S42" s="80">
        <f t="shared" si="13"/>
        <v>27.9113924050633</v>
      </c>
      <c r="T42" s="44">
        <f t="shared" si="14"/>
        <v>0.930379746835443</v>
      </c>
      <c r="U42" s="188">
        <f>IFERROR(VLOOKUP($B:$B,'[1]1店'!$B:$T,19,FALSE),0)</f>
        <v>1.12751677852349</v>
      </c>
      <c r="V42" s="81">
        <f t="shared" si="15"/>
        <v>-0.197137031688047</v>
      </c>
      <c r="W42" s="82" t="str">
        <f>_xlfn.IFS(AND(D42&lt;&gt;0,D42-$AM$2&gt;=0,B42&gt;0,D42&lt;&gt;0),"本月刚到货",AND(IFERROR((K42/(N42/7))/30,"-")="-",K42&gt;0),"有库存无销量",AND(IFERROR((K42/(N42/7))/30,"-")="-",K42=0),"无库存无销量",AND(IFERROR((K42/(N42/7))/30,"-")&lt;=0.5,K42=0),"无库存有销量",IFERROR((K42/(N42/7))/30,"-")&lt;=0.5,"库存过低",IFERROR((K42/(N42/7))/30,"-")&lt;=1.5,"正常",IFERROR((K42/(N42/7))/30,"-")&gt;1.5,"库存过高")</f>
        <v>正常</v>
      </c>
      <c r="X42" s="83" t="str">
        <f>_xlfn.IFS(AND(D42&lt;&gt;0,D42-$AM$2&gt;=0,K42&gt;0,D42&lt;&gt;0),"本月刚到货",AND(T42="-",K42&gt;0),"有库存无销量",AND(T42="-",K42=0),"无库存无销量",AND(T42&lt;=0.5,K42=0),"无库存有销量",T42&lt;=0.5,"库存过低",T42&lt;=1.5,"正常",T42&gt;1.5,"库存过高")</f>
        <v>正常</v>
      </c>
      <c r="Y42" s="44">
        <f>IFERROR(SUMIF('1店辅助表'!K:K,B:B,'1店辅助表'!N:N),0)</f>
        <v>8.33027</v>
      </c>
      <c r="Z42" s="44">
        <f>IFERROR(SUMIF('1店辅助表'!T:T,B:B,'1店辅助表'!W:W),0)</f>
        <v>19.56895</v>
      </c>
      <c r="AA42" s="44">
        <f>IFERROR(SUMIF('1店辅助表'!AC:AC,B:B,'1店辅助表'!AF:AF),0)</f>
        <v>33.13336</v>
      </c>
      <c r="AB42" s="91">
        <f>IFERROR(SUMIF('1店辅助表'!K:K,B:B,'1店辅助表'!N:N)/SUMIF('1店辅助表'!K:K,B:B,'1店辅助表'!O:O),"-")</f>
        <v>0.100413090646095</v>
      </c>
      <c r="AC42" s="91">
        <f>IFERROR(VLOOKUP($B:$B,'[1]1店'!$B:$AB,27,FALSE),"-")</f>
        <v>0.124694687212512</v>
      </c>
      <c r="AD42" s="92">
        <f t="shared" si="16"/>
        <v>-0.024281596566417</v>
      </c>
      <c r="AE42" s="91">
        <f>IFERROR(SUMIF('1店辅助表'!T:T,B:B,'1店辅助表'!W:W)/SUMIF('1店辅助表'!T:T,B:B,'1店辅助表'!X:X),"-")</f>
        <v>0.0795874003578982</v>
      </c>
      <c r="AF42" s="91">
        <f>IFERROR(SUMIF('1店辅助表'!AC:AC,B:B,'1店辅助表'!AF:AF)/SUMIF('1店辅助表'!AC:AC,B:B,'1店辅助表'!AG:AG),"-")</f>
        <v>0.0879335456475584</v>
      </c>
      <c r="AG42" s="99">
        <f>IFERROR(AK42/((SUMIF('1店辅助表'!AT:AT,B:B,'1店辅助表'!AU:AU)+M42)/2),"-")</f>
        <v>0.266666666666667</v>
      </c>
      <c r="AH42" s="99">
        <f>IFERROR(AL42/((SUMIF('1店辅助表'!AW:AW,B:B,'1店辅助表'!AX:AX)+M42)/2),"-")</f>
        <v>0.3</v>
      </c>
      <c r="AI42" s="100">
        <f>IFERROR((SUMIF('1店辅助表'!AP:AP,B:B,'1店辅助表'!AR:AR)-SUMIF('1店辅助表'!AP:AP,B:B,'1店辅助表'!AR:AR)*0.15-(L42+IFERROR(VLOOKUP(B:B,'1店辅助表'!AZ:BA,2,0),0))*O42-IF(AN:AN="US",6.85,4.9)*(Z42+3.99*O42))/SUMIF('1店辅助表'!AP:AP,B:B,'1店辅助表'!AR:AR),"-")</f>
        <v>-0.155837817263415</v>
      </c>
      <c r="AJ42" s="100">
        <f t="shared" si="17"/>
        <v>-0.0467513451790244</v>
      </c>
      <c r="AK42" s="101">
        <f t="shared" si="18"/>
        <v>54</v>
      </c>
      <c r="AL42" s="101">
        <f t="shared" si="19"/>
        <v>81</v>
      </c>
      <c r="AM42" s="1" t="str">
        <f>VLOOKUP(B:B,'1店辅助表'!$AZ:$BB,1,FALSE)</f>
        <v>Y1057</v>
      </c>
      <c r="AN42" s="1" t="str">
        <f>VLOOKUP(B:B,'1店辅助表'!AZ:BB,3,FALSE)</f>
        <v>US</v>
      </c>
    </row>
    <row r="43" customHeight="1" spans="1:40">
      <c r="A43" s="58" t="str">
        <f>INDEX('[1]1店'!$A:$A,MATCH(B:B,'[1]1店'!$B:$B,0))</f>
        <v>秀青</v>
      </c>
      <c r="B43" s="43" t="s">
        <v>166</v>
      </c>
      <c r="C43" s="43" t="s">
        <v>167</v>
      </c>
      <c r="D43" s="59">
        <f>VLOOKUP(B:B,'[1]1店'!$B:$L,3,0)</f>
        <v>44921</v>
      </c>
      <c r="E43" s="43" t="s">
        <v>168</v>
      </c>
      <c r="F43" s="43">
        <v>19</v>
      </c>
      <c r="G43" s="43">
        <v>0</v>
      </c>
      <c r="H43" s="43">
        <v>1</v>
      </c>
      <c r="I43" s="43">
        <v>1</v>
      </c>
      <c r="J43" s="43">
        <v>0</v>
      </c>
      <c r="K43" s="63">
        <f t="shared" si="20"/>
        <v>21</v>
      </c>
      <c r="L43" s="64">
        <f>VLOOKUP($B:$B,'[1]1店'!$B:$L,11,0)</f>
        <v>31</v>
      </c>
      <c r="M43" s="44">
        <f t="shared" si="21"/>
        <v>651</v>
      </c>
      <c r="N43" s="186">
        <f>IFERROR(VLOOKUP(B:B,'1店辅助表'!B:C,2,FALSE),0)</f>
        <v>1</v>
      </c>
      <c r="O43" s="186">
        <f>IFERROR(VLOOKUP(B:B,'1店辅助表'!E:F,2,FALSE),0)</f>
        <v>6</v>
      </c>
      <c r="P43" s="186">
        <f>IFERROR(VLOOKUP(B:B,'1店辅助表'!H:I,2,FALSE),0)</f>
        <v>13</v>
      </c>
      <c r="Q43" s="65">
        <f>IFERROR(VLOOKUP($B:$B,'[1]1店'!$B:$N,13,FALSE),0)</f>
        <v>5</v>
      </c>
      <c r="R43" s="79">
        <f t="shared" si="12"/>
        <v>-4</v>
      </c>
      <c r="S43" s="80">
        <f t="shared" si="13"/>
        <v>64.5365853658537</v>
      </c>
      <c r="T43" s="44">
        <f t="shared" si="14"/>
        <v>2.15121951219512</v>
      </c>
      <c r="U43" s="188">
        <f>IFERROR(VLOOKUP($B:$B,'[1]1店'!$B:$T,19,FALSE),0)</f>
        <v>1.2016348773842</v>
      </c>
      <c r="V43" s="81">
        <f t="shared" si="15"/>
        <v>0.94958463481092</v>
      </c>
      <c r="W43" s="82" t="str">
        <f>_xlfn.IFS(AND(D43&lt;&gt;0,D43-$AM$2&gt;=0,B43&gt;0,D43&lt;&gt;0),"本月刚到货",AND(IFERROR((K43/(N43/7))/30,"-")="-",K43&gt;0),"有库存无销量",AND(IFERROR((K43/(N43/7))/30,"-")="-",K43=0),"无库存无销量",AND(IFERROR((K43/(N43/7))/30,"-")&lt;=0.5,K43=0),"无库存有销量",IFERROR((K43/(N43/7))/30,"-")&lt;=0.5,"库存过低",IFERROR((K43/(N43/7))/30,"-")&lt;=1.5,"正常",IFERROR((K43/(N43/7))/30,"-")&gt;1.5,"库存过高")</f>
        <v>库存过高</v>
      </c>
      <c r="X43" s="83" t="str">
        <f>_xlfn.IFS(AND(D43&lt;&gt;0,D43-$AM$2&gt;=0,K43&gt;0,D43&lt;&gt;0),"本月刚到货",AND(T43="-",K43&gt;0),"有库存无销量",AND(T43="-",K43=0),"无库存无销量",AND(T43&lt;=0.5,K43=0),"无库存有销量",T43&lt;=0.5,"库存过低",T43&lt;=1.5,"正常",T43&gt;1.5,"库存过高")</f>
        <v>库存过高</v>
      </c>
      <c r="Y43" s="44">
        <f>IFERROR(SUMIF('1店辅助表'!K:K,B:B,'1店辅助表'!N:N),0)</f>
        <v>0.17777</v>
      </c>
      <c r="Z43" s="44">
        <f>IFERROR(SUMIF('1店辅助表'!T:T,B:B,'1店辅助表'!W:W),0)</f>
        <v>0.40764</v>
      </c>
      <c r="AA43" s="44">
        <f>IFERROR(SUMIF('1店辅助表'!AC:AC,B:B,'1店辅助表'!AF:AF),0)</f>
        <v>0.96815</v>
      </c>
      <c r="AB43" s="91">
        <f>IFERROR(SUMIF('1店辅助表'!K:K,B:B,'1店辅助表'!N:N)/SUMIF('1店辅助表'!K:K,B:B,'1店辅助表'!O:O),"-")</f>
        <v>0.00257749746266493</v>
      </c>
      <c r="AC43" s="91">
        <f>IFERROR(VLOOKUP($B:$B,'[1]1店'!$B:$AB,27,FALSE),"-")</f>
        <v>0.00702633311389072</v>
      </c>
      <c r="AD43" s="92">
        <f t="shared" si="16"/>
        <v>-0.00444883565122579</v>
      </c>
      <c r="AE43" s="91">
        <f>IFERROR(SUMIF('1店辅助表'!T:T,B:B,'1店辅助表'!W:W)/SUMIF('1店辅助表'!T:T,B:B,'1店辅助表'!X:X),"-")</f>
        <v>0.00410306995470559</v>
      </c>
      <c r="AF43" s="91">
        <f>IFERROR(SUMIF('1店辅助表'!AC:AC,B:B,'1店辅助表'!AF:AF)/SUMIF('1店辅助表'!AC:AC,B:B,'1店辅助表'!AG:AG),"-")</f>
        <v>0.00704980703415131</v>
      </c>
      <c r="AG43" s="99">
        <f>IFERROR(AK43/((SUMIF('1店辅助表'!AT:AT,B:B,'1店辅助表'!AU:AU)+M43)/2),"-")</f>
        <v>0.0476190476190476</v>
      </c>
      <c r="AH43" s="99">
        <f>IFERROR(AL43/((SUMIF('1店辅助表'!AW:AW,B:B,'1店辅助表'!AX:AX)+M43)/2),"-")</f>
        <v>0.222222222222222</v>
      </c>
      <c r="AI43" s="100">
        <f>IFERROR((SUMIF('1店辅助表'!AP:AP,B:B,'1店辅助表'!AR:AR)-SUMIF('1店辅助表'!AP:AP,B:B,'1店辅助表'!AR:AR)*0.15-(L43+IFERROR(VLOOKUP(B:B,'1店辅助表'!AZ:BA,2,0),0))*O43-IF(AN:AN="US",6.85,4.9)*(Z43+3.99*O43))/SUMIF('1店辅助表'!AP:AP,B:B,'1店辅助表'!AR:AR),"-")</f>
        <v>0.244224967496579</v>
      </c>
      <c r="AJ43" s="100">
        <f t="shared" si="17"/>
        <v>0.0542722149992398</v>
      </c>
      <c r="AK43" s="101">
        <f t="shared" si="18"/>
        <v>31</v>
      </c>
      <c r="AL43" s="101">
        <f t="shared" si="19"/>
        <v>186</v>
      </c>
      <c r="AM43" s="1" t="str">
        <f>VLOOKUP(B:B,'1店辅助表'!$AZ:$BB,1,FALSE)</f>
        <v>Y1058</v>
      </c>
      <c r="AN43" s="1" t="str">
        <f>VLOOKUP(B:B,'1店辅助表'!AZ:BB,3,FALSE)</f>
        <v>US</v>
      </c>
    </row>
    <row r="44" customHeight="1" spans="1:40">
      <c r="A44" s="58" t="str">
        <f>INDEX('[1]1店'!$A:$A,MATCH(B:B,'[1]1店'!$B:$B,0))</f>
        <v>秀青</v>
      </c>
      <c r="B44" s="43" t="s">
        <v>169</v>
      </c>
      <c r="C44" s="43" t="s">
        <v>170</v>
      </c>
      <c r="D44" s="59">
        <f>VLOOKUP(B:B,'[1]1店'!$B:$L,3,0)</f>
        <v>44921</v>
      </c>
      <c r="E44" s="43" t="s">
        <v>171</v>
      </c>
      <c r="F44" s="43">
        <v>36</v>
      </c>
      <c r="G44" s="43">
        <v>0</v>
      </c>
      <c r="H44" s="43">
        <v>0</v>
      </c>
      <c r="I44" s="43">
        <v>0</v>
      </c>
      <c r="J44" s="43">
        <v>0</v>
      </c>
      <c r="K44" s="63">
        <f t="shared" si="20"/>
        <v>36</v>
      </c>
      <c r="L44" s="64">
        <f>VLOOKUP($B:$B,'[1]1店'!$B:$L,11,0)</f>
        <v>34</v>
      </c>
      <c r="M44" s="44">
        <f t="shared" si="21"/>
        <v>1224</v>
      </c>
      <c r="N44" s="186">
        <f>IFERROR(VLOOKUP(B:B,'1店辅助表'!B:C,2,FALSE),0)</f>
        <v>1</v>
      </c>
      <c r="O44" s="186">
        <f>IFERROR(VLOOKUP(B:B,'1店辅助表'!E:F,2,FALSE),0)</f>
        <v>1</v>
      </c>
      <c r="P44" s="186">
        <f>IFERROR(VLOOKUP(B:B,'1店辅助表'!H:I,2,FALSE),0)</f>
        <v>2</v>
      </c>
      <c r="Q44" s="65">
        <f>IFERROR(VLOOKUP($B:$B,'[1]1店'!$B:$N,13,FALSE),0)</f>
        <v>0</v>
      </c>
      <c r="R44" s="79">
        <f t="shared" ref="R44:R90" si="22">N44-Q44</f>
        <v>1</v>
      </c>
      <c r="S44" s="80">
        <f t="shared" ref="S44:S90" si="23">IFERROR(K44/((N44/7+O44/15+P44/30)/3),"-")</f>
        <v>391.034482758621</v>
      </c>
      <c r="T44" s="44">
        <f t="shared" ref="T44:T90" si="24">IFERROR(S44/30,"-")</f>
        <v>13.0344827586207</v>
      </c>
      <c r="U44" s="188">
        <f>IFERROR(VLOOKUP($B:$B,'[1]1店'!$B:$T,19,FALSE),0)</f>
        <v>108</v>
      </c>
      <c r="V44" s="81">
        <f t="shared" ref="V44:V90" si="25">IFERROR(T44-U44,"-")</f>
        <v>-94.9655172413793</v>
      </c>
      <c r="W44" s="82" t="str">
        <f t="shared" ref="W44:W90" si="26">_xlfn.IFS(AND(D44&lt;&gt;0,D44-$AM$2&gt;=0,B44&gt;0,D44&lt;&gt;0),"本月刚到货",AND(IFERROR((K44/(N44/7))/30,"-")="-",K44&gt;0),"有库存无销量",AND(IFERROR((K44/(N44/7))/30,"-")="-",K44=0),"无库存无销量",AND(IFERROR((K44/(N44/7))/30,"-")&lt;=0.5,K44=0),"无库存有销量",IFERROR((K44/(N44/7))/30,"-")&lt;=0.5,"库存过低",IFERROR((K44/(N44/7))/30,"-")&lt;=1.5,"正常",IFERROR((K44/(N44/7))/30,"-")&gt;1.5,"库存过高")</f>
        <v>库存过高</v>
      </c>
      <c r="X44" s="83" t="str">
        <f t="shared" ref="X44:X90" si="27">_xlfn.IFS(AND(D44&lt;&gt;0,D44-$AM$2&gt;=0,K44&gt;0,D44&lt;&gt;0),"本月刚到货",AND(T44="-",K44&gt;0),"有库存无销量",AND(T44="-",K44=0),"无库存无销量",AND(T44&lt;=0.5,K44=0),"无库存有销量",T44&lt;=0.5,"库存过低",T44&lt;=1.5,"正常",T44&gt;1.5,"库存过高")</f>
        <v>库存过高</v>
      </c>
      <c r="Y44" s="44">
        <f>IFERROR(SUMIF('1店辅助表'!K:K,B:B,'1店辅助表'!N:N),0)</f>
        <v>1.09415</v>
      </c>
      <c r="Z44" s="44">
        <f>IFERROR(SUMIF('1店辅助表'!T:T,B:B,'1店辅助表'!W:W),0)</f>
        <v>2.59548</v>
      </c>
      <c r="AA44" s="44">
        <f>IFERROR(SUMIF('1店辅助表'!AC:AC,B:B,'1店辅助表'!AF:AF),0)</f>
        <v>5.07054</v>
      </c>
      <c r="AB44" s="91" t="str">
        <f>IFERROR(SUMIF('1店辅助表'!K:K,B:B,'1店辅助表'!N:N)/SUMIF('1店辅助表'!K:K,B:B,'1店辅助表'!O:O),"-")</f>
        <v>-</v>
      </c>
      <c r="AC44" s="91">
        <f>IFERROR(VLOOKUP($B:$B,'[1]1店'!$B:$AB,27,FALSE),"-")</f>
        <v>0.102396108408617</v>
      </c>
      <c r="AD44" s="92" t="str">
        <f t="shared" ref="AD44:AD90" si="28">IFERROR(AB44-AC44,"-")</f>
        <v>-</v>
      </c>
      <c r="AE44" s="91">
        <f>IFERROR(SUMIF('1店辅助表'!T:T,B:B,'1店辅助表'!W:W)/SUMIF('1店辅助表'!T:T,B:B,'1店辅助表'!X:X),"-")</f>
        <v>0.180366921473245</v>
      </c>
      <c r="AF44" s="91">
        <f>IFERROR(SUMIF('1店辅助表'!AC:AC,B:B,'1店辅助表'!AF:AF)/SUMIF('1店辅助表'!AC:AC,B:B,'1店辅助表'!AG:AG),"-")</f>
        <v>0.0987062487833366</v>
      </c>
      <c r="AG44" s="99">
        <f>IFERROR(AK44/((SUMIF('1店辅助表'!AT:AT,B:B,'1店辅助表'!AU:AU)+M44)/2),"-")</f>
        <v>0.0277777777777778</v>
      </c>
      <c r="AH44" s="99">
        <f>IFERROR(AL44/((SUMIF('1店辅助表'!AW:AW,B:B,'1店辅助表'!AX:AX)+M44)/2),"-")</f>
        <v>0.0273972602739726</v>
      </c>
      <c r="AI44" s="100">
        <f>IFERROR((SUMIF('1店辅助表'!AP:AP,B:B,'1店辅助表'!AR:AR)-SUMIF('1店辅助表'!AP:AP,B:B,'1店辅助表'!AR:AR)*0.15-(L44+IFERROR(VLOOKUP(B:B,'1店辅助表'!AZ:BA,2,0),0))*O44-IF(AN:AN="US",6.85,4.9)*(Z44+3.99*O44))/SUMIF('1店辅助表'!AP:AP,B:B,'1店辅助表'!AR:AR),"-")</f>
        <v>0.0956641422787053</v>
      </c>
      <c r="AJ44" s="100">
        <f t="shared" ref="AJ44:AJ90" si="29">IFERROR(AH44*AI44,"-")</f>
        <v>0.00262093540489604</v>
      </c>
      <c r="AK44" s="101">
        <f t="shared" ref="AK44:AK90" si="30">$N44*$L44</f>
        <v>34</v>
      </c>
      <c r="AL44" s="101">
        <f t="shared" ref="AL44:AL90" si="31">$O44*$L44</f>
        <v>34</v>
      </c>
      <c r="AM44" s="1" t="str">
        <f>VLOOKUP(B:B,'1店辅助表'!$AZ:$BB,1,FALSE)</f>
        <v>Y1059-SI</v>
      </c>
      <c r="AN44" s="1" t="str">
        <f>VLOOKUP(B:B,'1店辅助表'!AZ:BB,3,FALSE)</f>
        <v>US</v>
      </c>
    </row>
    <row r="45" customHeight="1" spans="1:40">
      <c r="A45" s="58" t="str">
        <f>INDEX('[1]1店'!$A:$A,MATCH(B:B,'[1]1店'!$B:$B,0))</f>
        <v>秀青</v>
      </c>
      <c r="B45" s="43" t="s">
        <v>172</v>
      </c>
      <c r="C45" s="43" t="s">
        <v>173</v>
      </c>
      <c r="D45" s="59">
        <f>VLOOKUP(B:B,'[1]1店'!$B:$L,3,0)</f>
        <v>44921</v>
      </c>
      <c r="E45" s="43" t="s">
        <v>174</v>
      </c>
      <c r="F45" s="43">
        <v>28</v>
      </c>
      <c r="G45" s="43">
        <v>0</v>
      </c>
      <c r="H45" s="43">
        <v>0</v>
      </c>
      <c r="I45" s="43">
        <v>0</v>
      </c>
      <c r="J45" s="43">
        <v>0</v>
      </c>
      <c r="K45" s="63">
        <f t="shared" si="20"/>
        <v>28</v>
      </c>
      <c r="L45" s="64">
        <f>VLOOKUP($B:$B,'[1]1店'!$B:$L,11,0)</f>
        <v>27.248</v>
      </c>
      <c r="M45" s="44">
        <f t="shared" si="21"/>
        <v>762.944</v>
      </c>
      <c r="N45" s="186">
        <f>IFERROR(VLOOKUP(B:B,'1店辅助表'!B:C,2,FALSE),0)</f>
        <v>3</v>
      </c>
      <c r="O45" s="186">
        <f>IFERROR(VLOOKUP(B:B,'1店辅助表'!E:F,2,FALSE),0)</f>
        <v>6</v>
      </c>
      <c r="P45" s="186">
        <f>IFERROR(VLOOKUP(B:B,'1店辅助表'!H:I,2,FALSE),0)</f>
        <v>9</v>
      </c>
      <c r="Q45" s="65">
        <f>IFERROR(VLOOKUP($B:$B,'[1]1店'!$B:$N,13,FALSE),0)</f>
        <v>2</v>
      </c>
      <c r="R45" s="79">
        <f t="shared" si="22"/>
        <v>1</v>
      </c>
      <c r="S45" s="80">
        <f t="shared" si="23"/>
        <v>74.4303797468354</v>
      </c>
      <c r="T45" s="44">
        <f t="shared" si="24"/>
        <v>2.48101265822785</v>
      </c>
      <c r="U45" s="188">
        <f>IFERROR(VLOOKUP($B:$B,'[1]1店'!$B:$T,19,FALSE),0)</f>
        <v>3.90697674418603</v>
      </c>
      <c r="V45" s="81">
        <f t="shared" si="25"/>
        <v>-1.42596408595818</v>
      </c>
      <c r="W45" s="82" t="str">
        <f t="shared" si="26"/>
        <v>库存过高</v>
      </c>
      <c r="X45" s="83" t="str">
        <f t="shared" si="27"/>
        <v>库存过高</v>
      </c>
      <c r="Y45" s="44">
        <f>IFERROR(SUMIF('1店辅助表'!K:K,B:B,'1店辅助表'!N:N),0)</f>
        <v>0.16012</v>
      </c>
      <c r="Z45" s="44">
        <f>IFERROR(SUMIF('1店辅助表'!T:T,B:B,'1店辅助表'!W:W),0)</f>
        <v>0.35656</v>
      </c>
      <c r="AA45" s="44">
        <f>IFERROR(SUMIF('1店辅助表'!AC:AC,B:B,'1店辅助表'!AF:AF),0)</f>
        <v>0.8174</v>
      </c>
      <c r="AB45" s="91">
        <f>IFERROR(SUMIF('1店辅助表'!K:K,B:B,'1店辅助表'!N:N)/SUMIF('1店辅助表'!K:K,B:B,'1店辅助表'!O:O),"-")</f>
        <v>0.00667444768653606</v>
      </c>
      <c r="AC45" s="91">
        <f>IFERROR(VLOOKUP($B:$B,'[1]1店'!$B:$AB,27,FALSE),"-")</f>
        <v>0.0046118522319138</v>
      </c>
      <c r="AD45" s="92">
        <f t="shared" si="28"/>
        <v>0.00206259545462226</v>
      </c>
      <c r="AE45" s="91">
        <f>IFERROR(SUMIF('1店辅助表'!T:T,B:B,'1店辅助表'!W:W)/SUMIF('1店辅助表'!T:T,B:B,'1店辅助表'!X:X),"-")</f>
        <v>0.00566237891059235</v>
      </c>
      <c r="AF45" s="91">
        <f>IFERROR(SUMIF('1店辅助表'!AC:AC,B:B,'1店辅助表'!AF:AF)/SUMIF('1店辅助表'!AC:AC,B:B,'1店辅助表'!AG:AG),"-")</f>
        <v>0.00997315763787213</v>
      </c>
      <c r="AG45" s="99">
        <f>IFERROR(AK45/((SUMIF('1店辅助表'!AT:AT,B:B,'1店辅助表'!AU:AU)+M45)/2),"-")</f>
        <v>0.1</v>
      </c>
      <c r="AH45" s="99">
        <f>IFERROR(AL45/((SUMIF('1店辅助表'!AW:AW,B:B,'1店辅助表'!AX:AX)+M45)/2),"-")</f>
        <v>0.184615384615385</v>
      </c>
      <c r="AI45" s="100">
        <f>IFERROR((SUMIF('1店辅助表'!AP:AP,B:B,'1店辅助表'!AR:AR)-SUMIF('1店辅助表'!AP:AP,B:B,'1店辅助表'!AR:AR)*0.15-(L45+IFERROR(VLOOKUP(B:B,'1店辅助表'!AZ:BA,2,0),0))*O45-IF(AN:AN="US",6.85,4.9)*(Z45+3.99*O45))/SUMIF('1店辅助表'!AP:AP,B:B,'1店辅助表'!AR:AR),"-")</f>
        <v>0.316440497330296</v>
      </c>
      <c r="AJ45" s="100">
        <f t="shared" si="29"/>
        <v>0.0584197841225162</v>
      </c>
      <c r="AK45" s="101">
        <f t="shared" si="30"/>
        <v>81.744</v>
      </c>
      <c r="AL45" s="101">
        <f t="shared" si="31"/>
        <v>163.488</v>
      </c>
      <c r="AM45" s="1" t="str">
        <f>VLOOKUP(B:B,'1店辅助表'!$AZ:$BB,1,FALSE)</f>
        <v>Y1060-BL</v>
      </c>
      <c r="AN45" s="1" t="str">
        <f>VLOOKUP(B:B,'1店辅助表'!AZ:BB,3,FALSE)</f>
        <v>US</v>
      </c>
    </row>
    <row r="46" customHeight="1" spans="1:40">
      <c r="A46" s="58" t="str">
        <f>INDEX('[1]1店'!$A:$A,MATCH(B:B,'[1]1店'!$B:$B,0))</f>
        <v>秀青</v>
      </c>
      <c r="B46" s="43" t="s">
        <v>175</v>
      </c>
      <c r="C46" s="43" t="s">
        <v>176</v>
      </c>
      <c r="D46" s="59">
        <f>VLOOKUP(B:B,'[1]1店'!$B:$L,3,0)</f>
        <v>44921</v>
      </c>
      <c r="E46" s="43" t="s">
        <v>177</v>
      </c>
      <c r="F46" s="43">
        <v>14</v>
      </c>
      <c r="G46" s="43">
        <v>0</v>
      </c>
      <c r="H46" s="43">
        <v>8</v>
      </c>
      <c r="I46" s="43">
        <v>0</v>
      </c>
      <c r="J46" s="43">
        <v>0</v>
      </c>
      <c r="K46" s="63">
        <f t="shared" si="20"/>
        <v>22</v>
      </c>
      <c r="L46" s="64">
        <f>VLOOKUP($B:$B,'[1]1店'!$B:$L,11,0)</f>
        <v>27.27</v>
      </c>
      <c r="M46" s="44">
        <f t="shared" si="21"/>
        <v>599.94</v>
      </c>
      <c r="N46" s="186">
        <f>IFERROR(VLOOKUP(B:B,'1店辅助表'!B:C,2,FALSE),0)</f>
        <v>4</v>
      </c>
      <c r="O46" s="186">
        <f>IFERROR(VLOOKUP(B:B,'1店辅助表'!E:F,2,FALSE),0)</f>
        <v>5</v>
      </c>
      <c r="P46" s="186">
        <f>IFERROR(VLOOKUP(B:B,'1店辅助表'!H:I,2,FALSE),0)</f>
        <v>19</v>
      </c>
      <c r="Q46" s="65">
        <f>IFERROR(VLOOKUP($B:$B,'[1]1店'!$B:$N,13,FALSE),0)</f>
        <v>0</v>
      </c>
      <c r="R46" s="79">
        <f t="shared" si="22"/>
        <v>4</v>
      </c>
      <c r="S46" s="80">
        <f t="shared" si="23"/>
        <v>42.9102167182663</v>
      </c>
      <c r="T46" s="44">
        <f t="shared" si="24"/>
        <v>1.43034055727554</v>
      </c>
      <c r="U46" s="188">
        <f>IFERROR(VLOOKUP($B:$B,'[1]1店'!$B:$T,19,FALSE),0)</f>
        <v>2.4375</v>
      </c>
      <c r="V46" s="81">
        <f t="shared" si="25"/>
        <v>-1.00715944272446</v>
      </c>
      <c r="W46" s="82" t="str">
        <f t="shared" si="26"/>
        <v>正常</v>
      </c>
      <c r="X46" s="83" t="str">
        <f t="shared" si="27"/>
        <v>正常</v>
      </c>
      <c r="Y46" s="44">
        <f>IFERROR(SUMIF('1店辅助表'!K:K,B:B,'1店辅助表'!N:N),0)</f>
        <v>0.16888</v>
      </c>
      <c r="Z46" s="44">
        <f>IFERROR(SUMIF('1店辅助表'!T:T,B:B,'1店辅助表'!W:W),0)</f>
        <v>0.3623</v>
      </c>
      <c r="AA46" s="44">
        <f>IFERROR(SUMIF('1店辅助表'!AC:AC,B:B,'1店辅助表'!AF:AF),0)</f>
        <v>0.80741</v>
      </c>
      <c r="AB46" s="91" t="str">
        <f>IFERROR(SUMIF('1店辅助表'!K:K,B:B,'1店辅助表'!N:N)/SUMIF('1店辅助表'!K:K,B:B,'1店辅助表'!O:O),"-")</f>
        <v>-</v>
      </c>
      <c r="AC46" s="91" t="str">
        <f>IFERROR(VLOOKUP($B:$B,'[1]1店'!$B:$AB,27,FALSE),"-")</f>
        <v>-</v>
      </c>
      <c r="AD46" s="92" t="str">
        <f t="shared" si="28"/>
        <v>-</v>
      </c>
      <c r="AE46" s="91" t="str">
        <f>IFERROR(SUMIF('1店辅助表'!T:T,B:B,'1店辅助表'!W:W)/SUMIF('1店辅助表'!T:T,B:B,'1店辅助表'!X:X),"-")</f>
        <v>-</v>
      </c>
      <c r="AF46" s="91">
        <f>IFERROR(SUMIF('1店辅助表'!AC:AC,B:B,'1店辅助表'!AF:AF)/SUMIF('1店辅助表'!AC:AC,B:B,'1店辅助表'!AG:AG),"-")</f>
        <v>0.0126216976707832</v>
      </c>
      <c r="AG46" s="99">
        <f>IFERROR(AK46/((SUMIF('1店辅助表'!AT:AT,B:B,'1店辅助表'!AU:AU)+M46)/2),"-")</f>
        <v>0.166666666666667</v>
      </c>
      <c r="AH46" s="99">
        <f>IFERROR(AL46/((SUMIF('1店辅助表'!AW:AW,B:B,'1店辅助表'!AX:AX)+M46)/2),"-")</f>
        <v>0.232558139534884</v>
      </c>
      <c r="AI46" s="100">
        <f>IFERROR((SUMIF('1店辅助表'!AP:AP,B:B,'1店辅助表'!AR:AR)-SUMIF('1店辅助表'!AP:AP,B:B,'1店辅助表'!AR:AR)*0.15-(L46+IFERROR(VLOOKUP(B:B,'1店辅助表'!AZ:BA,2,0),0))*O46-IF(AN:AN="US",6.85,4.9)*(Z46+3.99*O46))/SUMIF('1店辅助表'!AP:AP,B:B,'1店辅助表'!AR:AR),"-")</f>
        <v>0.319469047716867</v>
      </c>
      <c r="AJ46" s="100">
        <f t="shared" si="29"/>
        <v>0.0742951273760155</v>
      </c>
      <c r="AK46" s="101">
        <f t="shared" si="30"/>
        <v>109.08</v>
      </c>
      <c r="AL46" s="101">
        <f t="shared" si="31"/>
        <v>136.35</v>
      </c>
      <c r="AM46" s="1" t="str">
        <f>VLOOKUP(B:B,'1店辅助表'!$AZ:$BB,1,FALSE)</f>
        <v>Y1060-GR</v>
      </c>
      <c r="AN46" s="1" t="str">
        <f>VLOOKUP(B:B,'1店辅助表'!AZ:BB,3,FALSE)</f>
        <v>US</v>
      </c>
    </row>
    <row r="47" customHeight="1" spans="1:40">
      <c r="A47" s="58" t="str">
        <f>INDEX('[1]1店'!$A:$A,MATCH(B:B,'[1]1店'!$B:$B,0))</f>
        <v>秀青</v>
      </c>
      <c r="B47" s="43" t="s">
        <v>178</v>
      </c>
      <c r="C47" s="43" t="s">
        <v>179</v>
      </c>
      <c r="D47" s="59">
        <f>VLOOKUP(B:B,'[1]1店'!$B:$L,3,0)</f>
        <v>44921</v>
      </c>
      <c r="E47" s="43" t="s">
        <v>180</v>
      </c>
      <c r="F47" s="43">
        <v>5</v>
      </c>
      <c r="G47" s="43">
        <v>0</v>
      </c>
      <c r="H47" s="43">
        <v>0</v>
      </c>
      <c r="I47" s="43">
        <v>1</v>
      </c>
      <c r="J47" s="43">
        <v>0</v>
      </c>
      <c r="K47" s="63">
        <f t="shared" si="20"/>
        <v>6</v>
      </c>
      <c r="L47" s="64">
        <f>VLOOKUP($B:$B,'[1]1店'!$B:$L,11,0)</f>
        <v>28.263</v>
      </c>
      <c r="M47" s="44">
        <f t="shared" si="21"/>
        <v>169.578</v>
      </c>
      <c r="N47" s="186">
        <f>IFERROR(VLOOKUP(B:B,'1店辅助表'!B:C,2,FALSE),0)</f>
        <v>2</v>
      </c>
      <c r="O47" s="186">
        <f>IFERROR(VLOOKUP(B:B,'1店辅助表'!E:F,2,FALSE),0)</f>
        <v>4</v>
      </c>
      <c r="P47" s="186">
        <f>IFERROR(VLOOKUP(B:B,'1店辅助表'!H:I,2,FALSE),0)</f>
        <v>11</v>
      </c>
      <c r="Q47" s="65">
        <f>IFERROR(VLOOKUP($B:$B,'[1]1店'!$B:$N,13,FALSE),0)</f>
        <v>0</v>
      </c>
      <c r="R47" s="79">
        <f t="shared" si="22"/>
        <v>2</v>
      </c>
      <c r="S47" s="80">
        <f t="shared" si="23"/>
        <v>19.5854922279793</v>
      </c>
      <c r="T47" s="44">
        <f t="shared" si="24"/>
        <v>0.652849740932642</v>
      </c>
      <c r="U47" s="188">
        <f>IFERROR(VLOOKUP($B:$B,'[1]1店'!$B:$T,19,FALSE),0)</f>
        <v>0.692307692307693</v>
      </c>
      <c r="V47" s="81">
        <f t="shared" si="25"/>
        <v>-0.0394579513750509</v>
      </c>
      <c r="W47" s="82" t="str">
        <f t="shared" si="26"/>
        <v>正常</v>
      </c>
      <c r="X47" s="83" t="str">
        <f t="shared" si="27"/>
        <v>正常</v>
      </c>
      <c r="Y47" s="44">
        <f>IFERROR(SUMIF('1店辅助表'!K:K,B:B,'1店辅助表'!N:N),0)</f>
        <v>0.14685</v>
      </c>
      <c r="Z47" s="44">
        <f>IFERROR(SUMIF('1店辅助表'!T:T,B:B,'1店辅助表'!W:W),0)</f>
        <v>0.37886</v>
      </c>
      <c r="AA47" s="44">
        <f>IFERROR(SUMIF('1店辅助表'!AC:AC,B:B,'1店辅助表'!AF:AF),0)</f>
        <v>0.8095</v>
      </c>
      <c r="AB47" s="91">
        <f>IFERROR(SUMIF('1店辅助表'!K:K,B:B,'1店辅助表'!N:N)/SUMIF('1店辅助表'!K:K,B:B,'1店辅助表'!O:O),"-")</f>
        <v>0.00565025009619084</v>
      </c>
      <c r="AC47" s="91">
        <f>IFERROR(VLOOKUP($B:$B,'[1]1店'!$B:$AB,27,FALSE),"-")</f>
        <v>0.00370631635774699</v>
      </c>
      <c r="AD47" s="92">
        <f t="shared" si="28"/>
        <v>0.00194393373844385</v>
      </c>
      <c r="AE47" s="91">
        <f>IFERROR(SUMIF('1店辅助表'!T:T,B:B,'1店辅助表'!W:W)/SUMIF('1店辅助表'!T:T,B:B,'1店辅助表'!X:X),"-")</f>
        <v>0.00464516920058852</v>
      </c>
      <c r="AF47" s="91">
        <f>IFERROR(SUMIF('1店辅助表'!AC:AC,B:B,'1店辅助表'!AF:AF)/SUMIF('1店辅助表'!AC:AC,B:B,'1店辅助表'!AG:AG),"-")</f>
        <v>0.00752673175267318</v>
      </c>
      <c r="AG47" s="99">
        <f>IFERROR(AK47/((SUMIF('1店辅助表'!AT:AT,B:B,'1店辅助表'!AU:AU)+M47)/2),"-")</f>
        <v>0.333333333333333</v>
      </c>
      <c r="AH47" s="99">
        <f>IFERROR(AL47/((SUMIF('1店辅助表'!AW:AW,B:B,'1店辅助表'!AX:AX)+M47)/2),"-")</f>
        <v>0.380952380952381</v>
      </c>
      <c r="AI47" s="100">
        <f>IFERROR((SUMIF('1店辅助表'!AP:AP,B:B,'1店辅助表'!AR:AR)-SUMIF('1店辅助表'!AP:AP,B:B,'1店辅助表'!AR:AR)*0.15-(L47+IFERROR(VLOOKUP(B:B,'1店辅助表'!AZ:BA,2,0),0))*O47-IF(AN:AN="US",6.85,4.9)*(Z47+3.99*O47))/SUMIF('1店辅助表'!AP:AP,B:B,'1店辅助表'!AR:AR),"-")</f>
        <v>0.26900636677493</v>
      </c>
      <c r="AJ47" s="100">
        <f t="shared" si="29"/>
        <v>0.102478615914259</v>
      </c>
      <c r="AK47" s="101">
        <f t="shared" si="30"/>
        <v>56.526</v>
      </c>
      <c r="AL47" s="101">
        <f t="shared" si="31"/>
        <v>113.052</v>
      </c>
      <c r="AM47" s="1" t="str">
        <f>VLOOKUP(B:B,'1店辅助表'!$AZ:$BB,1,FALSE)</f>
        <v>Y1061</v>
      </c>
      <c r="AN47" s="1" t="str">
        <f>VLOOKUP(B:B,'1店辅助表'!AZ:BB,3,FALSE)</f>
        <v>US</v>
      </c>
    </row>
    <row r="48" customHeight="1" spans="1:40">
      <c r="A48" s="58" t="str">
        <f>INDEX('[1]1店'!$A:$A,MATCH(B:B,'[1]1店'!$B:$B,0))</f>
        <v>秀青</v>
      </c>
      <c r="B48" s="43" t="s">
        <v>181</v>
      </c>
      <c r="C48" s="43" t="s">
        <v>182</v>
      </c>
      <c r="D48" s="59">
        <f>VLOOKUP(B:B,'[1]1店'!$B:$L,3,0)</f>
        <v>44932</v>
      </c>
      <c r="E48" s="43" t="s">
        <v>183</v>
      </c>
      <c r="F48" s="43">
        <v>9</v>
      </c>
      <c r="G48" s="43">
        <v>0</v>
      </c>
      <c r="H48" s="43">
        <v>0</v>
      </c>
      <c r="I48" s="43">
        <v>0</v>
      </c>
      <c r="J48" s="43">
        <v>0</v>
      </c>
      <c r="K48" s="63">
        <f t="shared" si="20"/>
        <v>9</v>
      </c>
      <c r="L48" s="64">
        <f>VLOOKUP($B:$B,'[1]1店'!$B:$L,11,0)</f>
        <v>4.375</v>
      </c>
      <c r="M48" s="44">
        <f t="shared" si="21"/>
        <v>39.375</v>
      </c>
      <c r="N48" s="186">
        <f>IFERROR(VLOOKUP(B:B,'1店辅助表'!B:C,2,FALSE),0)</f>
        <v>0</v>
      </c>
      <c r="O48" s="186">
        <f>IFERROR(VLOOKUP(B:B,'1店辅助表'!E:F,2,FALSE),0)</f>
        <v>0</v>
      </c>
      <c r="P48" s="186">
        <f>IFERROR(VLOOKUP(B:B,'1店辅助表'!H:I,2,FALSE),0)</f>
        <v>0</v>
      </c>
      <c r="Q48" s="65">
        <f>IFERROR(VLOOKUP($B:$B,'[1]1店'!$B:$N,13,FALSE),0)</f>
        <v>0</v>
      </c>
      <c r="R48" s="79">
        <f t="shared" si="22"/>
        <v>0</v>
      </c>
      <c r="S48" s="80" t="str">
        <f t="shared" si="23"/>
        <v>-</v>
      </c>
      <c r="T48" s="44" t="str">
        <f t="shared" si="24"/>
        <v>-</v>
      </c>
      <c r="U48" s="188">
        <f>IFERROR(VLOOKUP($B:$B,'[1]1店'!$B:$T,19,FALSE),0)</f>
        <v>13.5</v>
      </c>
      <c r="V48" s="81" t="str">
        <f t="shared" si="25"/>
        <v>-</v>
      </c>
      <c r="W48" s="82" t="str">
        <f t="shared" si="26"/>
        <v>有库存无销量</v>
      </c>
      <c r="X48" s="83" t="str">
        <f t="shared" si="27"/>
        <v>有库存无销量</v>
      </c>
      <c r="Y48" s="44">
        <f>IFERROR(SUMIF('1店辅助表'!K:K,B:B,'1店辅助表'!N:N),0)</f>
        <v>0</v>
      </c>
      <c r="Z48" s="44">
        <f>IFERROR(SUMIF('1店辅助表'!T:T,B:B,'1店辅助表'!W:W),0)</f>
        <v>0</v>
      </c>
      <c r="AA48" s="44">
        <f>IFERROR(SUMIF('1店辅助表'!AC:AC,B:B,'1店辅助表'!AF:AF),0)</f>
        <v>0</v>
      </c>
      <c r="AB48" s="91" t="str">
        <f>IFERROR(SUMIF('1店辅助表'!K:K,B:B,'1店辅助表'!N:N)/SUMIF('1店辅助表'!K:K,B:B,'1店辅助表'!O:O),"-")</f>
        <v>-</v>
      </c>
      <c r="AC48" s="91" t="str">
        <f>IFERROR(VLOOKUP($B:$B,'[1]1店'!$B:$AB,27,FALSE),"-")</f>
        <v>-</v>
      </c>
      <c r="AD48" s="92" t="str">
        <f t="shared" si="28"/>
        <v>-</v>
      </c>
      <c r="AE48" s="91" t="str">
        <f>IFERROR(SUMIF('1店辅助表'!T:T,B:B,'1店辅助表'!W:W)/SUMIF('1店辅助表'!T:T,B:B,'1店辅助表'!X:X),"-")</f>
        <v>-</v>
      </c>
      <c r="AF48" s="91" t="str">
        <f>IFERROR(SUMIF('1店辅助表'!AC:AC,B:B,'1店辅助表'!AF:AF)/SUMIF('1店辅助表'!AC:AC,B:B,'1店辅助表'!AG:AG),"-")</f>
        <v>-</v>
      </c>
      <c r="AG48" s="99">
        <f>IFERROR(AK48/((SUMIF('1店辅助表'!AT:AT,B:B,'1店辅助表'!AU:AU)+M48)/2),"-")</f>
        <v>0</v>
      </c>
      <c r="AH48" s="99">
        <f>IFERROR(AL48/((SUMIF('1店辅助表'!AW:AW,B:B,'1店辅助表'!AX:AX)+M48)/2),"-")</f>
        <v>0</v>
      </c>
      <c r="AI48" s="100" t="str">
        <f>IFERROR((SUMIF('1店辅助表'!AP:AP,B:B,'1店辅助表'!AR:AR)-SUMIF('1店辅助表'!AP:AP,B:B,'1店辅助表'!AR:AR)*0.15-(L48+IFERROR(VLOOKUP(B:B,'1店辅助表'!AZ:BA,2,0),0))*O48-IF(AN:AN="US",6.85,4.9)*(Z48+3.99*O48))/SUMIF('1店辅助表'!AP:AP,B:B,'1店辅助表'!AR:AR),"-")</f>
        <v>-</v>
      </c>
      <c r="AJ48" s="100" t="str">
        <f t="shared" si="29"/>
        <v>-</v>
      </c>
      <c r="AK48" s="101">
        <f t="shared" si="30"/>
        <v>0</v>
      </c>
      <c r="AL48" s="101">
        <f t="shared" si="31"/>
        <v>0</v>
      </c>
      <c r="AM48" s="1" t="str">
        <f>VLOOKUP(B:B,'1店辅助表'!$AZ:$BB,1,FALSE)</f>
        <v>Y1062</v>
      </c>
      <c r="AN48" s="1" t="str">
        <f>VLOOKUP(B:B,'1店辅助表'!AZ:BB,3,FALSE)</f>
        <v>US</v>
      </c>
    </row>
    <row r="49" customHeight="1" spans="1:40">
      <c r="A49" s="58" t="str">
        <f>INDEX('[1]1店'!$A:$A,MATCH(B:B,'[1]1店'!$B:$B,0))</f>
        <v>秀青</v>
      </c>
      <c r="B49" s="43" t="s">
        <v>184</v>
      </c>
      <c r="C49" s="43" t="s">
        <v>185</v>
      </c>
      <c r="D49" s="59">
        <f>VLOOKUP(B:B,'[1]1店'!$B:$L,3,0)</f>
        <v>44932</v>
      </c>
      <c r="E49" s="43" t="s">
        <v>186</v>
      </c>
      <c r="F49" s="43">
        <v>26</v>
      </c>
      <c r="G49" s="43">
        <v>0</v>
      </c>
      <c r="H49" s="43">
        <v>7</v>
      </c>
      <c r="I49" s="43">
        <v>0</v>
      </c>
      <c r="J49" s="43">
        <v>0</v>
      </c>
      <c r="K49" s="63">
        <f t="shared" si="20"/>
        <v>33</v>
      </c>
      <c r="L49" s="64">
        <f>VLOOKUP($B:$B,'[1]1店'!$B:$L,11,0)</f>
        <v>4.625</v>
      </c>
      <c r="M49" s="44">
        <f t="shared" si="21"/>
        <v>152.625</v>
      </c>
      <c r="N49" s="186">
        <f>IFERROR(VLOOKUP(B:B,'1店辅助表'!B:C,2,FALSE),0)</f>
        <v>2</v>
      </c>
      <c r="O49" s="186">
        <f>IFERROR(VLOOKUP(B:B,'1店辅助表'!E:F,2,FALSE),0)</f>
        <v>6</v>
      </c>
      <c r="P49" s="186">
        <f>IFERROR(VLOOKUP(B:B,'1店辅助表'!H:I,2,FALSE),0)</f>
        <v>9</v>
      </c>
      <c r="Q49" s="65">
        <f>IFERROR(VLOOKUP($B:$B,'[1]1店'!$B:$N,13,FALSE),0)</f>
        <v>4</v>
      </c>
      <c r="R49" s="79">
        <f t="shared" si="22"/>
        <v>-2</v>
      </c>
      <c r="S49" s="80">
        <f t="shared" si="23"/>
        <v>100.434782608696</v>
      </c>
      <c r="T49" s="44">
        <f t="shared" si="24"/>
        <v>3.34782608695652</v>
      </c>
      <c r="U49" s="188">
        <f>IFERROR(VLOOKUP($B:$B,'[1]1店'!$B:$T,19,FALSE),0)</f>
        <v>2.91011235955056</v>
      </c>
      <c r="V49" s="81">
        <f t="shared" si="25"/>
        <v>0.43771372740596</v>
      </c>
      <c r="W49" s="82" t="str">
        <f t="shared" si="26"/>
        <v>库存过高</v>
      </c>
      <c r="X49" s="83" t="str">
        <f t="shared" si="27"/>
        <v>库存过高</v>
      </c>
      <c r="Y49" s="44">
        <f>IFERROR(SUMIF('1店辅助表'!K:K,B:B,'1店辅助表'!N:N),0)</f>
        <v>0</v>
      </c>
      <c r="Z49" s="44">
        <f>IFERROR(SUMIF('1店辅助表'!T:T,B:B,'1店辅助表'!W:W),0)</f>
        <v>0</v>
      </c>
      <c r="AA49" s="44">
        <f>IFERROR(SUMIF('1店辅助表'!AC:AC,B:B,'1店辅助表'!AF:AF),0)</f>
        <v>0</v>
      </c>
      <c r="AB49" s="91" t="str">
        <f>IFERROR(SUMIF('1店辅助表'!K:K,B:B,'1店辅助表'!N:N)/SUMIF('1店辅助表'!K:K,B:B,'1店辅助表'!O:O),"-")</f>
        <v>-</v>
      </c>
      <c r="AC49" s="91" t="str">
        <f>IFERROR(VLOOKUP($B:$B,'[1]1店'!$B:$AB,27,FALSE),"-")</f>
        <v>-</v>
      </c>
      <c r="AD49" s="92" t="str">
        <f t="shared" si="28"/>
        <v>-</v>
      </c>
      <c r="AE49" s="91" t="str">
        <f>IFERROR(SUMIF('1店辅助表'!T:T,B:B,'1店辅助表'!W:W)/SUMIF('1店辅助表'!T:T,B:B,'1店辅助表'!X:X),"-")</f>
        <v>-</v>
      </c>
      <c r="AF49" s="91" t="str">
        <f>IFERROR(SUMIF('1店辅助表'!AC:AC,B:B,'1店辅助表'!AF:AF)/SUMIF('1店辅助表'!AC:AC,B:B,'1店辅助表'!AG:AG),"-")</f>
        <v>-</v>
      </c>
      <c r="AG49" s="99">
        <f>IFERROR(AK49/((SUMIF('1店辅助表'!AT:AT,B:B,'1店辅助表'!AU:AU)+M49)/2),"-")</f>
        <v>0.0571428571428571</v>
      </c>
      <c r="AH49" s="99">
        <f>IFERROR(AL49/((SUMIF('1店辅助表'!AW:AW,B:B,'1店辅助表'!AX:AX)+M49)/2),"-")</f>
        <v>0.218181818181818</v>
      </c>
      <c r="AI49" s="100">
        <f>IFERROR((SUMIF('1店辅助表'!AP:AP,B:B,'1店辅助表'!AR:AR)-SUMIF('1店辅助表'!AP:AP,B:B,'1店辅助表'!AR:AR)*0.15-(L49+IFERROR(VLOOKUP(B:B,'1店辅助表'!AZ:BA,2,0),0))*O49-IF(AN:AN="US",6.85,4.9)*(Z49+3.99*O49))/SUMIF('1店辅助表'!AP:AP,B:B,'1店辅助表'!AR:AR),"-")</f>
        <v>0.371835704317456</v>
      </c>
      <c r="AJ49" s="100">
        <f t="shared" si="29"/>
        <v>0.0811277900328995</v>
      </c>
      <c r="AK49" s="101">
        <f t="shared" si="30"/>
        <v>9.25</v>
      </c>
      <c r="AL49" s="101">
        <f t="shared" si="31"/>
        <v>27.75</v>
      </c>
      <c r="AM49" s="1" t="str">
        <f>VLOOKUP(B:B,'1店辅助表'!$AZ:$BB,1,FALSE)</f>
        <v>Y1063</v>
      </c>
      <c r="AN49" s="1" t="str">
        <f>VLOOKUP(B:B,'1店辅助表'!AZ:BB,3,FALSE)</f>
        <v>US</v>
      </c>
    </row>
    <row r="50" customHeight="1" spans="1:40">
      <c r="A50" s="58" t="str">
        <f>INDEX('[1]1店'!$A:$A,MATCH(B:B,'[1]1店'!$B:$B,0))</f>
        <v>秀青</v>
      </c>
      <c r="B50" s="43" t="s">
        <v>187</v>
      </c>
      <c r="C50" s="43" t="s">
        <v>188</v>
      </c>
      <c r="D50" s="59">
        <f>VLOOKUP(B:B,'[1]1店'!$B:$L,3,0)</f>
        <v>44932</v>
      </c>
      <c r="E50" s="43" t="s">
        <v>189</v>
      </c>
      <c r="F50" s="43">
        <v>40</v>
      </c>
      <c r="G50" s="43">
        <v>0</v>
      </c>
      <c r="H50" s="43">
        <v>0</v>
      </c>
      <c r="I50" s="43">
        <v>0</v>
      </c>
      <c r="J50" s="43">
        <v>1</v>
      </c>
      <c r="K50" s="63">
        <f t="shared" si="20"/>
        <v>41</v>
      </c>
      <c r="L50" s="64">
        <f>VLOOKUP($B:$B,'[1]1店'!$B:$L,11,0)</f>
        <v>4.556</v>
      </c>
      <c r="M50" s="44">
        <f t="shared" si="21"/>
        <v>186.796</v>
      </c>
      <c r="N50" s="186">
        <f>IFERROR(VLOOKUP(B:B,'1店辅助表'!B:C,2,FALSE),0)</f>
        <v>3</v>
      </c>
      <c r="O50" s="186">
        <f>IFERROR(VLOOKUP(B:B,'1店辅助表'!E:F,2,FALSE),0)</f>
        <v>5</v>
      </c>
      <c r="P50" s="186">
        <f>IFERROR(VLOOKUP(B:B,'1店辅助表'!H:I,2,FALSE),0)</f>
        <v>9</v>
      </c>
      <c r="Q50" s="65">
        <f>IFERROR(VLOOKUP($B:$B,'[1]1店'!$B:$N,13,FALSE),0)</f>
        <v>2</v>
      </c>
      <c r="R50" s="79">
        <f t="shared" si="22"/>
        <v>1</v>
      </c>
      <c r="S50" s="80">
        <f t="shared" si="23"/>
        <v>115.829596412556</v>
      </c>
      <c r="T50" s="44">
        <f t="shared" si="24"/>
        <v>3.8609865470852</v>
      </c>
      <c r="U50" s="188">
        <f>IFERROR(VLOOKUP($B:$B,'[1]1店'!$B:$T,19,FALSE),0)</f>
        <v>5.8481012658228</v>
      </c>
      <c r="V50" s="81">
        <f t="shared" si="25"/>
        <v>-1.9871147187376</v>
      </c>
      <c r="W50" s="82" t="str">
        <f t="shared" si="26"/>
        <v>库存过高</v>
      </c>
      <c r="X50" s="83" t="str">
        <f t="shared" si="27"/>
        <v>库存过高</v>
      </c>
      <c r="Y50" s="44">
        <f>IFERROR(SUMIF('1店辅助表'!K:K,B:B,'1店辅助表'!N:N),0)</f>
        <v>0</v>
      </c>
      <c r="Z50" s="44">
        <f>IFERROR(SUMIF('1店辅助表'!T:T,B:B,'1店辅助表'!W:W),0)</f>
        <v>0</v>
      </c>
      <c r="AA50" s="44">
        <f>IFERROR(SUMIF('1店辅助表'!AC:AC,B:B,'1店辅助表'!AF:AF),0)</f>
        <v>0</v>
      </c>
      <c r="AB50" s="91" t="str">
        <f>IFERROR(SUMIF('1店辅助表'!K:K,B:B,'1店辅助表'!N:N)/SUMIF('1店辅助表'!K:K,B:B,'1店辅助表'!O:O),"-")</f>
        <v>-</v>
      </c>
      <c r="AC50" s="91" t="str">
        <f>IFERROR(VLOOKUP($B:$B,'[1]1店'!$B:$AB,27,FALSE),"-")</f>
        <v>-</v>
      </c>
      <c r="AD50" s="92" t="str">
        <f t="shared" si="28"/>
        <v>-</v>
      </c>
      <c r="AE50" s="91" t="str">
        <f>IFERROR(SUMIF('1店辅助表'!T:T,B:B,'1店辅助表'!W:W)/SUMIF('1店辅助表'!T:T,B:B,'1店辅助表'!X:X),"-")</f>
        <v>-</v>
      </c>
      <c r="AF50" s="91" t="str">
        <f>IFERROR(SUMIF('1店辅助表'!AC:AC,B:B,'1店辅助表'!AF:AF)/SUMIF('1店辅助表'!AC:AC,B:B,'1店辅助表'!AG:AG),"-")</f>
        <v>-</v>
      </c>
      <c r="AG50" s="99">
        <f>IFERROR(AK50/((SUMIF('1店辅助表'!AT:AT,B:B,'1店辅助表'!AU:AU)+M50)/2),"-")</f>
        <v>0.0705882352941176</v>
      </c>
      <c r="AH50" s="99">
        <f>IFERROR(AL50/((SUMIF('1店辅助表'!AW:AW,B:B,'1店辅助表'!AX:AX)+M50)/2),"-")</f>
        <v>0.10989010989011</v>
      </c>
      <c r="AI50" s="100">
        <f>IFERROR((SUMIF('1店辅助表'!AP:AP,B:B,'1店辅助表'!AR:AR)-SUMIF('1店辅助表'!AP:AP,B:B,'1店辅助表'!AR:AR)*0.15-(L50+IFERROR(VLOOKUP(B:B,'1店辅助表'!AZ:BA,2,0),0))*O50-IF(AN:AN="US",6.85,4.9)*(Z50+3.99*O50))/SUMIF('1店辅助表'!AP:AP,B:B,'1店辅助表'!AR:AR),"-")</f>
        <v>0.371280404492083</v>
      </c>
      <c r="AJ50" s="100">
        <f t="shared" si="29"/>
        <v>0.0408000444496795</v>
      </c>
      <c r="AK50" s="101">
        <f t="shared" si="30"/>
        <v>13.668</v>
      </c>
      <c r="AL50" s="101">
        <f t="shared" si="31"/>
        <v>22.78</v>
      </c>
      <c r="AM50" s="1" t="str">
        <f>VLOOKUP(B:B,'1店辅助表'!$AZ:$BB,1,FALSE)</f>
        <v>Y1064</v>
      </c>
      <c r="AN50" s="1" t="str">
        <f>VLOOKUP(B:B,'1店辅助表'!AZ:BB,3,FALSE)</f>
        <v>US</v>
      </c>
    </row>
    <row r="51" customHeight="1" spans="1:40">
      <c r="A51" s="58" t="str">
        <f>INDEX('[1]1店'!$A:$A,MATCH(B:B,'[1]1店'!$B:$B,0))</f>
        <v>秀青</v>
      </c>
      <c r="B51" s="43" t="s">
        <v>190</v>
      </c>
      <c r="C51" s="43" t="s">
        <v>191</v>
      </c>
      <c r="D51" s="59">
        <f>VLOOKUP(B:B,'[1]1店'!$B:$L,3,0)</f>
        <v>44936</v>
      </c>
      <c r="E51" s="43" t="s">
        <v>192</v>
      </c>
      <c r="F51" s="43">
        <v>30</v>
      </c>
      <c r="G51" s="43">
        <v>0</v>
      </c>
      <c r="H51" s="43">
        <v>3</v>
      </c>
      <c r="I51" s="43">
        <v>1</v>
      </c>
      <c r="J51" s="43">
        <v>0</v>
      </c>
      <c r="K51" s="63">
        <f t="shared" si="20"/>
        <v>34</v>
      </c>
      <c r="L51" s="64">
        <f>VLOOKUP($B:$B,'[1]1店'!$B:$L,11,0)</f>
        <v>12.854</v>
      </c>
      <c r="M51" s="44">
        <f t="shared" si="21"/>
        <v>437.036</v>
      </c>
      <c r="N51" s="186">
        <f>IFERROR(VLOOKUP(B:B,'1店辅助表'!B:C,2,FALSE),0)</f>
        <v>6</v>
      </c>
      <c r="O51" s="186">
        <f>IFERROR(VLOOKUP(B:B,'1店辅助表'!E:F,2,FALSE),0)</f>
        <v>13</v>
      </c>
      <c r="P51" s="186">
        <f>IFERROR(VLOOKUP(B:B,'1店辅助表'!H:I,2,FALSE),0)</f>
        <v>27</v>
      </c>
      <c r="Q51" s="65">
        <f>IFERROR(VLOOKUP($B:$B,'[1]1店'!$B:$N,13,FALSE),0)</f>
        <v>6</v>
      </c>
      <c r="R51" s="79">
        <f t="shared" si="22"/>
        <v>0</v>
      </c>
      <c r="S51" s="80">
        <f t="shared" si="23"/>
        <v>38.8747731397459</v>
      </c>
      <c r="T51" s="44">
        <f t="shared" si="24"/>
        <v>1.29582577132486</v>
      </c>
      <c r="U51" s="188">
        <f>IFERROR(VLOOKUP($B:$B,'[1]1店'!$B:$T,19,FALSE),0)</f>
        <v>1.56777996070727</v>
      </c>
      <c r="V51" s="81">
        <f t="shared" si="25"/>
        <v>-0.27195418938241</v>
      </c>
      <c r="W51" s="82" t="str">
        <f t="shared" si="26"/>
        <v>正常</v>
      </c>
      <c r="X51" s="83" t="str">
        <f t="shared" si="27"/>
        <v>正常</v>
      </c>
      <c r="Y51" s="44">
        <f>IFERROR(SUMIF('1店辅助表'!K:K,B:B,'1店辅助表'!N:N),0)</f>
        <v>14.71</v>
      </c>
      <c r="Z51" s="44">
        <f>IFERROR(SUMIF('1店辅助表'!T:T,B:B,'1店辅助表'!W:W),0)</f>
        <v>24.47</v>
      </c>
      <c r="AA51" s="44">
        <f>IFERROR(SUMIF('1店辅助表'!AC:AC,B:B,'1店辅助表'!AF:AF),0)</f>
        <v>53.01</v>
      </c>
      <c r="AB51" s="91">
        <f>IFERROR(SUMIF('1店辅助表'!K:K,B:B,'1店辅助表'!N:N)/SUMIF('1店辅助表'!K:K,B:B,'1店辅助表'!O:O),"-")</f>
        <v>0.368118118118118</v>
      </c>
      <c r="AC51" s="91" t="str">
        <f>IFERROR(VLOOKUP($B:$B,'[1]1店'!$B:$AB,27,FALSE),"-")</f>
        <v>-</v>
      </c>
      <c r="AD51" s="92" t="str">
        <f t="shared" si="28"/>
        <v>-</v>
      </c>
      <c r="AE51" s="91">
        <f>IFERROR(SUMIF('1店辅助表'!T:T,B:B,'1店辅助表'!W:W)/SUMIF('1店辅助表'!T:T,B:B,'1店辅助表'!X:X),"-")</f>
        <v>0.612362362362362</v>
      </c>
      <c r="AF51" s="91">
        <f>IFERROR(SUMIF('1店辅助表'!AC:AC,B:B,'1店辅助表'!AF:AF)/SUMIF('1店辅助表'!AC:AC,B:B,'1店辅助表'!AG:AG),"-")</f>
        <v>0.379021879021879</v>
      </c>
      <c r="AG51" s="99">
        <f>IFERROR(AK51/((SUMIF('1店辅助表'!AT:AT,B:B,'1店辅助表'!AU:AU)+M51)/2),"-")</f>
        <v>0.166666666666667</v>
      </c>
      <c r="AH51" s="99">
        <f>IFERROR(AL51/((SUMIF('1店辅助表'!AW:AW,B:B,'1店辅助表'!AX:AX)+M51)/2),"-")</f>
        <v>0.282608695652174</v>
      </c>
      <c r="AI51" s="100">
        <f>IFERROR((SUMIF('1店辅助表'!AP:AP,B:B,'1店辅助表'!AR:AR)-SUMIF('1店辅助表'!AP:AP,B:B,'1店辅助表'!AR:AR)*0.15-(L51+IFERROR(VLOOKUP(B:B,'1店辅助表'!AZ:BA,2,0),0))*O51-IF(AN:AN="US",6.85,4.9)*(Z51+3.99*O51))/SUMIF('1店辅助表'!AP:AP,B:B,'1店辅助表'!AR:AR),"-")</f>
        <v>0.0163004947676481</v>
      </c>
      <c r="AJ51" s="100">
        <f t="shared" si="29"/>
        <v>0.00460666156477011</v>
      </c>
      <c r="AK51" s="101">
        <f t="shared" si="30"/>
        <v>77.124</v>
      </c>
      <c r="AL51" s="101">
        <f t="shared" si="31"/>
        <v>167.102</v>
      </c>
      <c r="AM51" s="1" t="str">
        <f>VLOOKUP(B:B,'1店辅助表'!$AZ:$BB,1,FALSE)</f>
        <v>Y1038-SI</v>
      </c>
      <c r="AN51" s="1" t="str">
        <f>VLOOKUP(B:B,'1店辅助表'!AZ:BB,3,FALSE)</f>
        <v>US</v>
      </c>
    </row>
    <row r="52" customHeight="1" spans="1:40">
      <c r="A52" s="58" t="str">
        <f>INDEX('[1]1店'!$A:$A,MATCH(B:B,'[1]1店'!$B:$B,0))</f>
        <v>秀青</v>
      </c>
      <c r="B52" s="43" t="s">
        <v>193</v>
      </c>
      <c r="C52" s="43" t="s">
        <v>194</v>
      </c>
      <c r="D52" s="59">
        <f>VLOOKUP(B:B,'[1]1店'!$B:$L,3,0)</f>
        <v>44936</v>
      </c>
      <c r="E52" s="43" t="s">
        <v>195</v>
      </c>
      <c r="F52" s="43">
        <v>35</v>
      </c>
      <c r="G52" s="43">
        <v>0</v>
      </c>
      <c r="H52" s="43">
        <v>0</v>
      </c>
      <c r="I52" s="43">
        <v>0</v>
      </c>
      <c r="J52" s="43">
        <v>0</v>
      </c>
      <c r="K52" s="63">
        <f t="shared" si="20"/>
        <v>35</v>
      </c>
      <c r="L52" s="64">
        <f>VLOOKUP($B:$B,'[1]1店'!$B:$L,11,0)</f>
        <v>12.422</v>
      </c>
      <c r="M52" s="44">
        <f t="shared" si="21"/>
        <v>434.77</v>
      </c>
      <c r="N52" s="186">
        <f>IFERROR(VLOOKUP(B:B,'1店辅助表'!B:C,2,FALSE),0)</f>
        <v>0</v>
      </c>
      <c r="O52" s="186">
        <f>IFERROR(VLOOKUP(B:B,'1店辅助表'!E:F,2,FALSE),0)</f>
        <v>1</v>
      </c>
      <c r="P52" s="186">
        <f>IFERROR(VLOOKUP(B:B,'1店辅助表'!H:I,2,FALSE),0)</f>
        <v>1</v>
      </c>
      <c r="Q52" s="65">
        <f>IFERROR(VLOOKUP($B:$B,'[1]1店'!$B:$N,13,FALSE),0)</f>
        <v>1</v>
      </c>
      <c r="R52" s="79">
        <f t="shared" si="22"/>
        <v>-1</v>
      </c>
      <c r="S52" s="80">
        <f t="shared" si="23"/>
        <v>1050</v>
      </c>
      <c r="T52" s="44">
        <f t="shared" si="24"/>
        <v>35</v>
      </c>
      <c r="U52" s="188">
        <f>IFERROR(VLOOKUP($B:$B,'[1]1店'!$B:$T,19,FALSE),0)</f>
        <v>14.4117647058824</v>
      </c>
      <c r="V52" s="81">
        <f t="shared" si="25"/>
        <v>20.5882352941176</v>
      </c>
      <c r="W52" s="82" t="str">
        <f t="shared" si="26"/>
        <v>有库存无销量</v>
      </c>
      <c r="X52" s="83" t="str">
        <f t="shared" si="27"/>
        <v>库存过高</v>
      </c>
      <c r="Y52" s="44">
        <f>IFERROR(SUMIF('1店辅助表'!K:K,B:B,'1店辅助表'!N:N),0)</f>
        <v>0.73</v>
      </c>
      <c r="Z52" s="44">
        <f>IFERROR(SUMIF('1店辅助表'!T:T,B:B,'1店辅助表'!W:W),0)</f>
        <v>0.73</v>
      </c>
      <c r="AA52" s="44">
        <f>IFERROR(SUMIF('1店辅助表'!AC:AC,B:B,'1店辅助表'!AF:AF),0)</f>
        <v>0.73</v>
      </c>
      <c r="AB52" s="91" t="str">
        <f>IFERROR(SUMIF('1店辅助表'!K:K,B:B,'1店辅助表'!N:N)/SUMIF('1店辅助表'!K:K,B:B,'1店辅助表'!O:O),"-")</f>
        <v>-</v>
      </c>
      <c r="AC52" s="91" t="str">
        <f>IFERROR(VLOOKUP($B:$B,'[1]1店'!$B:$AB,27,FALSE),"-")</f>
        <v>-</v>
      </c>
      <c r="AD52" s="92" t="str">
        <f t="shared" si="28"/>
        <v>-</v>
      </c>
      <c r="AE52" s="91" t="str">
        <f>IFERROR(SUMIF('1店辅助表'!T:T,B:B,'1店辅助表'!W:W)/SUMIF('1店辅助表'!T:T,B:B,'1店辅助表'!X:X),"-")</f>
        <v>-</v>
      </c>
      <c r="AF52" s="91" t="str">
        <f>IFERROR(SUMIF('1店辅助表'!AC:AC,B:B,'1店辅助表'!AF:AF)/SUMIF('1店辅助表'!AC:AC,B:B,'1店辅助表'!AG:AG),"-")</f>
        <v>-</v>
      </c>
      <c r="AG52" s="99">
        <f>IFERROR(AK52/((SUMIF('1店辅助表'!AT:AT,B:B,'1店辅助表'!AU:AU)+M52)/2),"-")</f>
        <v>0</v>
      </c>
      <c r="AH52" s="99">
        <f>IFERROR(AL52/((SUMIF('1店辅助表'!AW:AW,B:B,'1店辅助表'!AX:AX)+M52)/2),"-")</f>
        <v>0.028169014084507</v>
      </c>
      <c r="AI52" s="100">
        <f>IFERROR((SUMIF('1店辅助表'!AP:AP,B:B,'1店辅助表'!AR:AR)-SUMIF('1店辅助表'!AP:AP,B:B,'1店辅助表'!AR:AR)*0.15-(L52+IFERROR(VLOOKUP(B:B,'1店辅助表'!AZ:BA,2,0),0))*O52-IF(AN:AN="US",6.85,4.9)*(Z52+3.99*O52))/SUMIF('1店辅助表'!AP:AP,B:B,'1店辅助表'!AR:AR),"-")</f>
        <v>0.0854197283275008</v>
      </c>
      <c r="AJ52" s="100">
        <f t="shared" si="29"/>
        <v>0.00240618953035214</v>
      </c>
      <c r="AK52" s="101">
        <f t="shared" si="30"/>
        <v>0</v>
      </c>
      <c r="AL52" s="101">
        <f t="shared" si="31"/>
        <v>12.422</v>
      </c>
      <c r="AM52" s="1" t="str">
        <f>VLOOKUP(B:B,'1店辅助表'!$AZ:$BB,1,FALSE)</f>
        <v>Y1065-BL</v>
      </c>
      <c r="AN52" s="1" t="str">
        <f>VLOOKUP(B:B,'1店辅助表'!AZ:BB,3,FALSE)</f>
        <v>US</v>
      </c>
    </row>
    <row r="53" customHeight="1" spans="1:40">
      <c r="A53" s="58" t="str">
        <f>INDEX('[1]1店'!$A:$A,MATCH(B:B,'[1]1店'!$B:$B,0))</f>
        <v>秀青</v>
      </c>
      <c r="B53" s="43" t="s">
        <v>196</v>
      </c>
      <c r="C53" s="43" t="s">
        <v>197</v>
      </c>
      <c r="D53" s="59">
        <f>VLOOKUP(B:B,'[1]1店'!$B:$L,3,0)</f>
        <v>44936</v>
      </c>
      <c r="E53" s="43" t="s">
        <v>198</v>
      </c>
      <c r="F53" s="43">
        <v>37</v>
      </c>
      <c r="G53" s="43">
        <v>0</v>
      </c>
      <c r="H53" s="43">
        <v>0</v>
      </c>
      <c r="I53" s="43">
        <v>0</v>
      </c>
      <c r="J53" s="43">
        <v>0</v>
      </c>
      <c r="K53" s="63">
        <f t="shared" si="20"/>
        <v>37</v>
      </c>
      <c r="L53" s="64">
        <f>VLOOKUP($B:$B,'[1]1店'!$B:$L,11,0)</f>
        <v>24.826</v>
      </c>
      <c r="M53" s="44">
        <f t="shared" si="21"/>
        <v>918.562</v>
      </c>
      <c r="N53" s="186">
        <f>IFERROR(VLOOKUP(B:B,'1店辅助表'!B:C,2,FALSE),0)</f>
        <v>0</v>
      </c>
      <c r="O53" s="186">
        <f>IFERROR(VLOOKUP(B:B,'1店辅助表'!E:F,2,FALSE),0)</f>
        <v>0</v>
      </c>
      <c r="P53" s="186">
        <f>IFERROR(VLOOKUP(B:B,'1店辅助表'!H:I,2,FALSE),0)</f>
        <v>1</v>
      </c>
      <c r="Q53" s="65">
        <f>IFERROR(VLOOKUP($B:$B,'[1]1店'!$B:$N,13,FALSE),0)</f>
        <v>0</v>
      </c>
      <c r="R53" s="79">
        <f t="shared" si="22"/>
        <v>0</v>
      </c>
      <c r="S53" s="80">
        <f t="shared" si="23"/>
        <v>3330</v>
      </c>
      <c r="T53" s="44">
        <f t="shared" si="24"/>
        <v>111</v>
      </c>
      <c r="U53" s="188">
        <f>IFERROR(VLOOKUP($B:$B,'[1]1店'!$B:$T,19,FALSE),0)</f>
        <v>27.75</v>
      </c>
      <c r="V53" s="81">
        <f t="shared" si="25"/>
        <v>83.25</v>
      </c>
      <c r="W53" s="82" t="str">
        <f t="shared" si="26"/>
        <v>有库存无销量</v>
      </c>
      <c r="X53" s="83" t="str">
        <f t="shared" si="27"/>
        <v>库存过高</v>
      </c>
      <c r="Y53" s="44">
        <f>IFERROR(SUMIF('1店辅助表'!K:K,B:B,'1店辅助表'!N:N),0)</f>
        <v>0.73</v>
      </c>
      <c r="Z53" s="44">
        <f>IFERROR(SUMIF('1店辅助表'!T:T,B:B,'1店辅助表'!W:W),0)</f>
        <v>0.73</v>
      </c>
      <c r="AA53" s="44">
        <f>IFERROR(SUMIF('1店辅助表'!AC:AC,B:B,'1店辅助表'!AF:AF),0)</f>
        <v>14.12</v>
      </c>
      <c r="AB53" s="91" t="str">
        <f>IFERROR(SUMIF('1店辅助表'!K:K,B:B,'1店辅助表'!N:N)/SUMIF('1店辅助表'!K:K,B:B,'1店辅助表'!O:O),"-")</f>
        <v>-</v>
      </c>
      <c r="AC53" s="91" t="str">
        <f>IFERROR(VLOOKUP($B:$B,'[1]1店'!$B:$AB,27,FALSE),"-")</f>
        <v>-</v>
      </c>
      <c r="AD53" s="92" t="str">
        <f t="shared" si="28"/>
        <v>-</v>
      </c>
      <c r="AE53" s="91" t="str">
        <f>IFERROR(SUMIF('1店辅助表'!T:T,B:B,'1店辅助表'!W:W)/SUMIF('1店辅助表'!T:T,B:B,'1店辅助表'!X:X),"-")</f>
        <v>-</v>
      </c>
      <c r="AF53" s="91">
        <f>IFERROR(SUMIF('1店辅助表'!AC:AC,B:B,'1店辅助表'!AF:AF)/SUMIF('1店辅助表'!AC:AC,B:B,'1店辅助表'!AG:AG),"-")</f>
        <v>1.88518024032043</v>
      </c>
      <c r="AG53" s="99">
        <f>IFERROR(AK53/((SUMIF('1店辅助表'!AT:AT,B:B,'1店辅助表'!AU:AU)+M53)/2),"-")</f>
        <v>0</v>
      </c>
      <c r="AH53" s="99">
        <f>IFERROR(AL53/((SUMIF('1店辅助表'!AW:AW,B:B,'1店辅助表'!AX:AX)+M53)/2),"-")</f>
        <v>0</v>
      </c>
      <c r="AI53" s="100" t="str">
        <f>IFERROR((SUMIF('1店辅助表'!AP:AP,B:B,'1店辅助表'!AR:AR)-SUMIF('1店辅助表'!AP:AP,B:B,'1店辅助表'!AR:AR)*0.15-(L53+IFERROR(VLOOKUP(B:B,'1店辅助表'!AZ:BA,2,0),0))*O53-IF(AN:AN="US",6.85,4.9)*(Z53+3.99*O53))/SUMIF('1店辅助表'!AP:AP,B:B,'1店辅助表'!AR:AR),"-")</f>
        <v>-</v>
      </c>
      <c r="AJ53" s="100" t="str">
        <f t="shared" si="29"/>
        <v>-</v>
      </c>
      <c r="AK53" s="101">
        <f t="shared" si="30"/>
        <v>0</v>
      </c>
      <c r="AL53" s="101">
        <f t="shared" si="31"/>
        <v>0</v>
      </c>
      <c r="AM53" s="1" t="str">
        <f>VLOOKUP(B:B,'1店辅助表'!$AZ:$BB,1,FALSE)</f>
        <v>Y1066-BE</v>
      </c>
      <c r="AN53" s="1" t="str">
        <f>VLOOKUP(B:B,'1店辅助表'!AZ:BB,3,FALSE)</f>
        <v>US</v>
      </c>
    </row>
    <row r="54" customHeight="1" spans="1:40">
      <c r="A54" s="58" t="str">
        <f>INDEX('[1]1店'!$A:$A,MATCH(B:B,'[1]1店'!$B:$B,0))</f>
        <v>秀青</v>
      </c>
      <c r="B54" s="43" t="s">
        <v>199</v>
      </c>
      <c r="C54" s="43" t="s">
        <v>200</v>
      </c>
      <c r="D54" s="59">
        <f>VLOOKUP(B:B,'[1]1店'!$B:$L,3,0)</f>
        <v>44936</v>
      </c>
      <c r="E54" s="43" t="s">
        <v>201</v>
      </c>
      <c r="F54" s="43">
        <v>34</v>
      </c>
      <c r="G54" s="43">
        <v>0</v>
      </c>
      <c r="H54" s="43">
        <v>0</v>
      </c>
      <c r="I54" s="43">
        <v>1</v>
      </c>
      <c r="J54" s="43">
        <v>0</v>
      </c>
      <c r="K54" s="63">
        <f t="shared" si="20"/>
        <v>35</v>
      </c>
      <c r="L54" s="64">
        <f>VLOOKUP($B:$B,'[1]1店'!$B:$L,11,0)</f>
        <v>24.829</v>
      </c>
      <c r="M54" s="44">
        <f t="shared" si="21"/>
        <v>869.015</v>
      </c>
      <c r="N54" s="186">
        <f>IFERROR(VLOOKUP(B:B,'1店辅助表'!B:C,2,FALSE),0)</f>
        <v>0</v>
      </c>
      <c r="O54" s="186">
        <f>IFERROR(VLOOKUP(B:B,'1店辅助表'!E:F,2,FALSE),0)</f>
        <v>0</v>
      </c>
      <c r="P54" s="186">
        <f>IFERROR(VLOOKUP(B:B,'1店辅助表'!H:I,2,FALSE),0)</f>
        <v>0</v>
      </c>
      <c r="Q54" s="65">
        <f>IFERROR(VLOOKUP($B:$B,'[1]1店'!$B:$N,13,FALSE),0)</f>
        <v>0</v>
      </c>
      <c r="R54" s="79">
        <f t="shared" si="22"/>
        <v>0</v>
      </c>
      <c r="S54" s="80" t="str">
        <f t="shared" si="23"/>
        <v>-</v>
      </c>
      <c r="T54" s="44" t="str">
        <f t="shared" si="24"/>
        <v>-</v>
      </c>
      <c r="U54" s="188">
        <f>IFERROR(VLOOKUP($B:$B,'[1]1店'!$B:$T,19,FALSE),0)</f>
        <v>102</v>
      </c>
      <c r="V54" s="81" t="str">
        <f t="shared" si="25"/>
        <v>-</v>
      </c>
      <c r="W54" s="82" t="str">
        <f t="shared" si="26"/>
        <v>有库存无销量</v>
      </c>
      <c r="X54" s="83" t="str">
        <f t="shared" si="27"/>
        <v>有库存无销量</v>
      </c>
      <c r="Y54" s="44">
        <f>IFERROR(SUMIF('1店辅助表'!K:K,B:B,'1店辅助表'!N:N),0)</f>
        <v>0</v>
      </c>
      <c r="Z54" s="44">
        <f>IFERROR(SUMIF('1店辅助表'!T:T,B:B,'1店辅助表'!W:W),0)</f>
        <v>0</v>
      </c>
      <c r="AA54" s="44">
        <f>IFERROR(SUMIF('1店辅助表'!AC:AC,B:B,'1店辅助表'!AF:AF),0)</f>
        <v>0</v>
      </c>
      <c r="AB54" s="91" t="str">
        <f>IFERROR(SUMIF('1店辅助表'!K:K,B:B,'1店辅助表'!N:N)/SUMIF('1店辅助表'!K:K,B:B,'1店辅助表'!O:O),"-")</f>
        <v>-</v>
      </c>
      <c r="AC54" s="91" t="str">
        <f>IFERROR(VLOOKUP($B:$B,'[1]1店'!$B:$AB,27,FALSE),"-")</f>
        <v>-</v>
      </c>
      <c r="AD54" s="92" t="str">
        <f t="shared" si="28"/>
        <v>-</v>
      </c>
      <c r="AE54" s="91" t="str">
        <f>IFERROR(SUMIF('1店辅助表'!T:T,B:B,'1店辅助表'!W:W)/SUMIF('1店辅助表'!T:T,B:B,'1店辅助表'!X:X),"-")</f>
        <v>-</v>
      </c>
      <c r="AF54" s="91" t="str">
        <f>IFERROR(SUMIF('1店辅助表'!AC:AC,B:B,'1店辅助表'!AF:AF)/SUMIF('1店辅助表'!AC:AC,B:B,'1店辅助表'!AG:AG),"-")</f>
        <v>-</v>
      </c>
      <c r="AG54" s="99">
        <f>IFERROR(AK54/((SUMIF('1店辅助表'!AT:AT,B:B,'1店辅助表'!AU:AU)+M54)/2),"-")</f>
        <v>0</v>
      </c>
      <c r="AH54" s="99">
        <f>IFERROR(AL54/((SUMIF('1店辅助表'!AW:AW,B:B,'1店辅助表'!AX:AX)+M54)/2),"-")</f>
        <v>0</v>
      </c>
      <c r="AI54" s="100" t="str">
        <f>IFERROR((SUMIF('1店辅助表'!AP:AP,B:B,'1店辅助表'!AR:AR)-SUMIF('1店辅助表'!AP:AP,B:B,'1店辅助表'!AR:AR)*0.15-(L54+IFERROR(VLOOKUP(B:B,'1店辅助表'!AZ:BA,2,0),0))*O54-IF(AN:AN="US",6.85,4.9)*(Z54+3.99*O54))/SUMIF('1店辅助表'!AP:AP,B:B,'1店辅助表'!AR:AR),"-")</f>
        <v>-</v>
      </c>
      <c r="AJ54" s="100" t="str">
        <f t="shared" si="29"/>
        <v>-</v>
      </c>
      <c r="AK54" s="101">
        <f t="shared" si="30"/>
        <v>0</v>
      </c>
      <c r="AL54" s="101">
        <f t="shared" si="31"/>
        <v>0</v>
      </c>
      <c r="AM54" s="1" t="str">
        <f>VLOOKUP(B:B,'1店辅助表'!$AZ:$BB,1,FALSE)</f>
        <v>Y1066-BL</v>
      </c>
      <c r="AN54" s="1" t="str">
        <f>VLOOKUP(B:B,'1店辅助表'!AZ:BB,3,FALSE)</f>
        <v>US</v>
      </c>
    </row>
    <row r="55" customHeight="1" spans="1:40">
      <c r="A55" s="58" t="str">
        <f>INDEX('[1]1店'!$A:$A,MATCH(B:B,'[1]1店'!$B:$B,0))</f>
        <v>秀青</v>
      </c>
      <c r="B55" s="43" t="s">
        <v>202</v>
      </c>
      <c r="C55" s="43" t="s">
        <v>203</v>
      </c>
      <c r="D55" s="59">
        <f>VLOOKUP(B:B,'[1]1店'!$B:$L,3,0)</f>
        <v>44936</v>
      </c>
      <c r="E55" s="43" t="s">
        <v>204</v>
      </c>
      <c r="F55" s="43">
        <v>4</v>
      </c>
      <c r="G55" s="43">
        <v>0</v>
      </c>
      <c r="H55" s="43">
        <v>0</v>
      </c>
      <c r="I55" s="43">
        <v>0</v>
      </c>
      <c r="J55" s="43">
        <v>0</v>
      </c>
      <c r="K55" s="63">
        <f t="shared" si="20"/>
        <v>4</v>
      </c>
      <c r="L55" s="64">
        <f>VLOOKUP($B:$B,'[1]1店'!$B:$L,11,0)</f>
        <v>24.82</v>
      </c>
      <c r="M55" s="44">
        <f t="shared" si="21"/>
        <v>99.28</v>
      </c>
      <c r="N55" s="186">
        <f>IFERROR(VLOOKUP(B:B,'1店辅助表'!B:C,2,FALSE),0)</f>
        <v>0</v>
      </c>
      <c r="O55" s="186">
        <f>IFERROR(VLOOKUP(B:B,'1店辅助表'!E:F,2,FALSE),0)</f>
        <v>0</v>
      </c>
      <c r="P55" s="186">
        <f>IFERROR(VLOOKUP(B:B,'1店辅助表'!H:I,2,FALSE),0)</f>
        <v>3</v>
      </c>
      <c r="Q55" s="65">
        <f>IFERROR(VLOOKUP($B:$B,'[1]1店'!$B:$N,13,FALSE),0)</f>
        <v>0</v>
      </c>
      <c r="R55" s="79">
        <f t="shared" si="22"/>
        <v>0</v>
      </c>
      <c r="S55" s="80">
        <f t="shared" si="23"/>
        <v>120</v>
      </c>
      <c r="T55" s="44">
        <f t="shared" si="24"/>
        <v>4</v>
      </c>
      <c r="U55" s="188">
        <f>IFERROR(VLOOKUP($B:$B,'[1]1店'!$B:$T,19,FALSE),0)</f>
        <v>2.4</v>
      </c>
      <c r="V55" s="81">
        <f t="shared" si="25"/>
        <v>1.6</v>
      </c>
      <c r="W55" s="82" t="str">
        <f t="shared" si="26"/>
        <v>有库存无销量</v>
      </c>
      <c r="X55" s="83" t="str">
        <f t="shared" si="27"/>
        <v>库存过高</v>
      </c>
      <c r="Y55" s="44">
        <f>IFERROR(SUMIF('1店辅助表'!K:K,B:B,'1店辅助表'!N:N),0)</f>
        <v>0</v>
      </c>
      <c r="Z55" s="44">
        <f>IFERROR(SUMIF('1店辅助表'!T:T,B:B,'1店辅助表'!W:W),0)</f>
        <v>0.73</v>
      </c>
      <c r="AA55" s="44">
        <f>IFERROR(SUMIF('1店辅助表'!AC:AC,B:B,'1店辅助表'!AF:AF),0)</f>
        <v>2.9</v>
      </c>
      <c r="AB55" s="91" t="str">
        <f>IFERROR(SUMIF('1店辅助表'!K:K,B:B,'1店辅助表'!N:N)/SUMIF('1店辅助表'!K:K,B:B,'1店辅助表'!O:O),"-")</f>
        <v>-</v>
      </c>
      <c r="AC55" s="91" t="str">
        <f>IFERROR(VLOOKUP($B:$B,'[1]1店'!$B:$AB,27,FALSE),"-")</f>
        <v>-</v>
      </c>
      <c r="AD55" s="92" t="str">
        <f t="shared" si="28"/>
        <v>-</v>
      </c>
      <c r="AE55" s="91" t="str">
        <f>IFERROR(SUMIF('1店辅助表'!T:T,B:B,'1店辅助表'!W:W)/SUMIF('1店辅助表'!T:T,B:B,'1店辅助表'!X:X),"-")</f>
        <v>-</v>
      </c>
      <c r="AF55" s="91">
        <f>IFERROR(SUMIF('1店辅助表'!AC:AC,B:B,'1店辅助表'!AF:AF)/SUMIF('1店辅助表'!AC:AC,B:B,'1店辅助表'!AG:AG),"-")</f>
        <v>0.223248652809854</v>
      </c>
      <c r="AG55" s="99">
        <f>IFERROR(AK55/((SUMIF('1店辅助表'!AT:AT,B:B,'1店辅助表'!AU:AU)+M55)/2),"-")</f>
        <v>0</v>
      </c>
      <c r="AH55" s="99">
        <f>IFERROR(AL55/((SUMIF('1店辅助表'!AW:AW,B:B,'1店辅助表'!AX:AX)+M55)/2),"-")</f>
        <v>0</v>
      </c>
      <c r="AI55" s="100" t="str">
        <f>IFERROR((SUMIF('1店辅助表'!AP:AP,B:B,'1店辅助表'!AR:AR)-SUMIF('1店辅助表'!AP:AP,B:B,'1店辅助表'!AR:AR)*0.15-(L55+IFERROR(VLOOKUP(B:B,'1店辅助表'!AZ:BA,2,0),0))*O55-IF(AN:AN="US",6.85,4.9)*(Z55+3.99*O55))/SUMIF('1店辅助表'!AP:AP,B:B,'1店辅助表'!AR:AR),"-")</f>
        <v>-</v>
      </c>
      <c r="AJ55" s="100" t="str">
        <f t="shared" si="29"/>
        <v>-</v>
      </c>
      <c r="AK55" s="101">
        <f t="shared" si="30"/>
        <v>0</v>
      </c>
      <c r="AL55" s="101">
        <f t="shared" si="31"/>
        <v>0</v>
      </c>
      <c r="AM55" s="1" t="str">
        <f>VLOOKUP(B:B,'1店辅助表'!$AZ:$BB,1,FALSE)</f>
        <v>Y1066-GA</v>
      </c>
      <c r="AN55" s="1" t="str">
        <f>VLOOKUP(B:B,'1店辅助表'!AZ:BB,3,FALSE)</f>
        <v>US</v>
      </c>
    </row>
    <row r="56" customHeight="1" spans="1:40">
      <c r="A56" s="58" t="str">
        <f>INDEX('[1]1店'!$A:$A,MATCH(B:B,'[1]1店'!$B:$B,0))</f>
        <v>秀青</v>
      </c>
      <c r="B56" s="43" t="s">
        <v>205</v>
      </c>
      <c r="C56" s="43" t="s">
        <v>206</v>
      </c>
      <c r="D56" s="59">
        <f>VLOOKUP(B:B,'[1]1店'!$B:$L,3,0)</f>
        <v>44970</v>
      </c>
      <c r="E56" s="43" t="s">
        <v>207</v>
      </c>
      <c r="F56" s="43">
        <v>2</v>
      </c>
      <c r="G56" s="43">
        <v>0</v>
      </c>
      <c r="H56" s="43">
        <v>0</v>
      </c>
      <c r="I56" s="43">
        <v>0</v>
      </c>
      <c r="J56" s="43">
        <v>0</v>
      </c>
      <c r="K56" s="63">
        <f t="shared" si="20"/>
        <v>2</v>
      </c>
      <c r="L56" s="64">
        <f>VLOOKUP($B:$B,'[1]1店'!$B:$L,11,0)</f>
        <v>16.667</v>
      </c>
      <c r="M56" s="44">
        <f t="shared" si="21"/>
        <v>33.334</v>
      </c>
      <c r="N56" s="186">
        <f>IFERROR(VLOOKUP(B:B,'1店辅助表'!B:C,2,FALSE),0)</f>
        <v>0</v>
      </c>
      <c r="O56" s="186">
        <f>IFERROR(VLOOKUP(B:B,'1店辅助表'!E:F,2,FALSE),0)</f>
        <v>0</v>
      </c>
      <c r="P56" s="186">
        <f>IFERROR(VLOOKUP(B:B,'1店辅助表'!H:I,2,FALSE),0)</f>
        <v>2</v>
      </c>
      <c r="Q56" s="65">
        <f>IFERROR(VLOOKUP($B:$B,'[1]1店'!$B:$N,13,FALSE),0)</f>
        <v>0</v>
      </c>
      <c r="R56" s="79">
        <f t="shared" si="22"/>
        <v>0</v>
      </c>
      <c r="S56" s="80">
        <f t="shared" si="23"/>
        <v>90</v>
      </c>
      <c r="T56" s="44">
        <f t="shared" si="24"/>
        <v>3</v>
      </c>
      <c r="U56" s="188">
        <f>IFERROR(VLOOKUP($B:$B,'[1]1店'!$B:$T,19,FALSE),0)</f>
        <v>1.2</v>
      </c>
      <c r="V56" s="81">
        <f t="shared" si="25"/>
        <v>1.8</v>
      </c>
      <c r="W56" s="82" t="str">
        <f t="shared" si="26"/>
        <v>有库存无销量</v>
      </c>
      <c r="X56" s="83" t="str">
        <f t="shared" si="27"/>
        <v>库存过高</v>
      </c>
      <c r="Y56" s="44">
        <f>IFERROR(SUMIF('1店辅助表'!K:K,B:B,'1店辅助表'!N:N),0)</f>
        <v>0</v>
      </c>
      <c r="Z56" s="44">
        <f>IFERROR(SUMIF('1店辅助表'!T:T,B:B,'1店辅助表'!W:W),0)</f>
        <v>0</v>
      </c>
      <c r="AA56" s="44">
        <f>IFERROR(SUMIF('1店辅助表'!AC:AC,B:B,'1店辅助表'!AF:AF),0)</f>
        <v>0</v>
      </c>
      <c r="AB56" s="91" t="str">
        <f>IFERROR(SUMIF('1店辅助表'!K:K,B:B,'1店辅助表'!N:N)/SUMIF('1店辅助表'!K:K,B:B,'1店辅助表'!O:O),"-")</f>
        <v>-</v>
      </c>
      <c r="AC56" s="91" t="str">
        <f>IFERROR(VLOOKUP($B:$B,'[1]1店'!$B:$AB,27,FALSE),"-")</f>
        <v>-</v>
      </c>
      <c r="AD56" s="92" t="str">
        <f t="shared" si="28"/>
        <v>-</v>
      </c>
      <c r="AE56" s="91" t="str">
        <f>IFERROR(SUMIF('1店辅助表'!T:T,B:B,'1店辅助表'!W:W)/SUMIF('1店辅助表'!T:T,B:B,'1店辅助表'!X:X),"-")</f>
        <v>-</v>
      </c>
      <c r="AF56" s="91" t="str">
        <f>IFERROR(SUMIF('1店辅助表'!AC:AC,B:B,'1店辅助表'!AF:AF)/SUMIF('1店辅助表'!AC:AC,B:B,'1店辅助表'!AG:AG),"-")</f>
        <v>-</v>
      </c>
      <c r="AG56" s="99">
        <f>IFERROR(AK56/((SUMIF('1店辅助表'!AT:AT,B:B,'1店辅助表'!AU:AU)+M56)/2),"-")</f>
        <v>0</v>
      </c>
      <c r="AH56" s="99">
        <f>IFERROR(AL56/((SUMIF('1店辅助表'!AW:AW,B:B,'1店辅助表'!AX:AX)+M56)/2),"-")</f>
        <v>0</v>
      </c>
      <c r="AI56" s="100" t="str">
        <f>IFERROR((SUMIF('1店辅助表'!AP:AP,B:B,'1店辅助表'!AR:AR)-SUMIF('1店辅助表'!AP:AP,B:B,'1店辅助表'!AR:AR)*0.15-(L56+IFERROR(VLOOKUP(B:B,'1店辅助表'!AZ:BA,2,0),0))*O56-IF(AN:AN="US",6.85,4.9)*(Z56+3.99*O56))/SUMIF('1店辅助表'!AP:AP,B:B,'1店辅助表'!AR:AR),"-")</f>
        <v>-</v>
      </c>
      <c r="AJ56" s="100" t="str">
        <f t="shared" si="29"/>
        <v>-</v>
      </c>
      <c r="AK56" s="101">
        <f t="shared" si="30"/>
        <v>0</v>
      </c>
      <c r="AL56" s="101">
        <f t="shared" si="31"/>
        <v>0</v>
      </c>
      <c r="AM56" s="1" t="str">
        <f>VLOOKUP(B:B,'1店辅助表'!$AZ:$BB,1,FALSE)</f>
        <v>Y1069</v>
      </c>
      <c r="AN56" s="1" t="str">
        <f>VLOOKUP(B:B,'1店辅助表'!AZ:BB,3,FALSE)</f>
        <v>US</v>
      </c>
    </row>
    <row r="57" customHeight="1" spans="1:40">
      <c r="A57" s="58" t="str">
        <f>INDEX('[1]1店'!$A:$A,MATCH(B:B,'[1]1店'!$B:$B,0))</f>
        <v>秀青</v>
      </c>
      <c r="B57" s="43" t="s">
        <v>208</v>
      </c>
      <c r="C57" s="43" t="s">
        <v>209</v>
      </c>
      <c r="D57" s="59">
        <f>VLOOKUP(B:B,'[1]1店'!$B:$L,3,0)</f>
        <v>44981</v>
      </c>
      <c r="E57" s="43" t="s">
        <v>210</v>
      </c>
      <c r="F57" s="43">
        <v>18</v>
      </c>
      <c r="G57" s="43">
        <v>0</v>
      </c>
      <c r="H57" s="43">
        <v>0</v>
      </c>
      <c r="I57" s="43">
        <v>0</v>
      </c>
      <c r="J57" s="43">
        <v>0</v>
      </c>
      <c r="K57" s="63">
        <f t="shared" si="20"/>
        <v>18</v>
      </c>
      <c r="L57" s="64">
        <f>VLOOKUP($B:$B,'[1]1店'!$B:$L,11,0)</f>
        <v>8.598</v>
      </c>
      <c r="M57" s="44">
        <f t="shared" si="21"/>
        <v>154.764</v>
      </c>
      <c r="N57" s="186">
        <f>IFERROR(VLOOKUP(B:B,'1店辅助表'!B:C,2,FALSE),0)</f>
        <v>0</v>
      </c>
      <c r="O57" s="186">
        <f>IFERROR(VLOOKUP(B:B,'1店辅助表'!E:F,2,FALSE),0)</f>
        <v>0</v>
      </c>
      <c r="P57" s="186">
        <f>IFERROR(VLOOKUP(B:B,'1店辅助表'!H:I,2,FALSE),0)</f>
        <v>0</v>
      </c>
      <c r="Q57" s="65">
        <f>IFERROR(VLOOKUP($B:$B,'[1]1店'!$B:$N,13,FALSE),0)</f>
        <v>0</v>
      </c>
      <c r="R57" s="79">
        <f t="shared" si="22"/>
        <v>0</v>
      </c>
      <c r="S57" s="80" t="str">
        <f t="shared" si="23"/>
        <v>-</v>
      </c>
      <c r="T57" s="44" t="str">
        <f t="shared" si="24"/>
        <v>-</v>
      </c>
      <c r="U57" s="188" t="str">
        <f>IFERROR(VLOOKUP($B:$B,'[1]1店'!$B:$T,19,FALSE),0)</f>
        <v>-</v>
      </c>
      <c r="V57" s="81" t="str">
        <f t="shared" si="25"/>
        <v>-</v>
      </c>
      <c r="W57" s="82" t="str">
        <f t="shared" si="26"/>
        <v>有库存无销量</v>
      </c>
      <c r="X57" s="83" t="str">
        <f t="shared" si="27"/>
        <v>有库存无销量</v>
      </c>
      <c r="Y57" s="44">
        <f>IFERROR(SUMIF('1店辅助表'!K:K,B:B,'1店辅助表'!N:N),0)</f>
        <v>0.00286</v>
      </c>
      <c r="Z57" s="44">
        <f>IFERROR(SUMIF('1店辅助表'!T:T,B:B,'1店辅助表'!W:W),0)</f>
        <v>0.00944</v>
      </c>
      <c r="AA57" s="44">
        <f>IFERROR(SUMIF('1店辅助表'!AC:AC,B:B,'1店辅助表'!AF:AF),0)</f>
        <v>0.02885</v>
      </c>
      <c r="AB57" s="91" t="str">
        <f>IFERROR(SUMIF('1店辅助表'!K:K,B:B,'1店辅助表'!N:N)/SUMIF('1店辅助表'!K:K,B:B,'1店辅助表'!O:O),"-")</f>
        <v>-</v>
      </c>
      <c r="AC57" s="91" t="str">
        <f>IFERROR(VLOOKUP($B:$B,'[1]1店'!$B:$AB,27,FALSE),"-")</f>
        <v>-</v>
      </c>
      <c r="AD57" s="92" t="str">
        <f t="shared" si="28"/>
        <v>-</v>
      </c>
      <c r="AE57" s="91" t="str">
        <f>IFERROR(SUMIF('1店辅助表'!T:T,B:B,'1店辅助表'!W:W)/SUMIF('1店辅助表'!T:T,B:B,'1店辅助表'!X:X),"-")</f>
        <v>-</v>
      </c>
      <c r="AF57" s="91" t="str">
        <f>IFERROR(SUMIF('1店辅助表'!AC:AC,B:B,'1店辅助表'!AF:AF)/SUMIF('1店辅助表'!AC:AC,B:B,'1店辅助表'!AG:AG),"-")</f>
        <v>-</v>
      </c>
      <c r="AG57" s="99">
        <f>IFERROR(AK57/((SUMIF('1店辅助表'!AT:AT,B:B,'1店辅助表'!AU:AU)+M57)/2),"-")</f>
        <v>0</v>
      </c>
      <c r="AH57" s="99">
        <f>IFERROR(AL57/((SUMIF('1店辅助表'!AW:AW,B:B,'1店辅助表'!AX:AX)+M57)/2),"-")</f>
        <v>0</v>
      </c>
      <c r="AI57" s="100" t="str">
        <f>IFERROR((SUMIF('1店辅助表'!AP:AP,B:B,'1店辅助表'!AR:AR)-SUMIF('1店辅助表'!AP:AP,B:B,'1店辅助表'!AR:AR)*0.15-(L57+IFERROR(VLOOKUP(B:B,'1店辅助表'!AZ:BA,2,0),0))*O57-IF(AN:AN="US",6.85,4.9)*(Z57+3.99*O57))/SUMIF('1店辅助表'!AP:AP,B:B,'1店辅助表'!AR:AR),"-")</f>
        <v>-</v>
      </c>
      <c r="AJ57" s="100" t="str">
        <f t="shared" si="29"/>
        <v>-</v>
      </c>
      <c r="AK57" s="101">
        <f t="shared" si="30"/>
        <v>0</v>
      </c>
      <c r="AL57" s="101">
        <f t="shared" si="31"/>
        <v>0</v>
      </c>
      <c r="AM57" s="1" t="str">
        <f>VLOOKUP(B:B,'1店辅助表'!$AZ:$BB,1,FALSE)</f>
        <v>Y1071-BG</v>
      </c>
      <c r="AN57" s="1" t="str">
        <f>VLOOKUP(B:B,'1店辅助表'!AZ:BB,3,FALSE)</f>
        <v>US</v>
      </c>
    </row>
    <row r="58" customHeight="1" spans="1:40">
      <c r="A58" s="58" t="str">
        <f>INDEX('[1]1店'!$A:$A,MATCH(B:B,'[1]1店'!$B:$B,0))</f>
        <v>秀青</v>
      </c>
      <c r="B58" s="43" t="s">
        <v>211</v>
      </c>
      <c r="C58" s="43" t="s">
        <v>212</v>
      </c>
      <c r="D58" s="59">
        <f>VLOOKUP(B:B,'[1]1店'!$B:$L,3,0)</f>
        <v>44970</v>
      </c>
      <c r="E58" s="43" t="s">
        <v>213</v>
      </c>
      <c r="F58" s="43">
        <v>18</v>
      </c>
      <c r="G58" s="43">
        <v>0</v>
      </c>
      <c r="H58" s="43">
        <v>0</v>
      </c>
      <c r="I58" s="43">
        <v>18</v>
      </c>
      <c r="J58" s="43">
        <v>0</v>
      </c>
      <c r="K58" s="63">
        <f t="shared" si="20"/>
        <v>36</v>
      </c>
      <c r="L58" s="64">
        <f>VLOOKUP($B:$B,'[1]1店'!$B:$L,11,0)</f>
        <v>8.597</v>
      </c>
      <c r="M58" s="44">
        <f t="shared" si="21"/>
        <v>309.492</v>
      </c>
      <c r="N58" s="186">
        <f>IFERROR(VLOOKUP(B:B,'1店辅助表'!B:C,2,FALSE),0)</f>
        <v>0</v>
      </c>
      <c r="O58" s="186">
        <f>IFERROR(VLOOKUP(B:B,'1店辅助表'!E:F,2,FALSE),0)</f>
        <v>0</v>
      </c>
      <c r="P58" s="186">
        <f>IFERROR(VLOOKUP(B:B,'1店辅助表'!H:I,2,FALSE),0)</f>
        <v>0</v>
      </c>
      <c r="Q58" s="65">
        <f>IFERROR(VLOOKUP($B:$B,'[1]1店'!$B:$N,13,FALSE),0)</f>
        <v>0</v>
      </c>
      <c r="R58" s="79">
        <f t="shared" si="22"/>
        <v>0</v>
      </c>
      <c r="S58" s="80" t="str">
        <f t="shared" si="23"/>
        <v>-</v>
      </c>
      <c r="T58" s="44" t="str">
        <f t="shared" si="24"/>
        <v>-</v>
      </c>
      <c r="U58" s="188" t="str">
        <f>IFERROR(VLOOKUP($B:$B,'[1]1店'!$B:$T,19,FALSE),0)</f>
        <v>-</v>
      </c>
      <c r="V58" s="81" t="str">
        <f t="shared" si="25"/>
        <v>-</v>
      </c>
      <c r="W58" s="82" t="str">
        <f t="shared" si="26"/>
        <v>有库存无销量</v>
      </c>
      <c r="X58" s="83" t="str">
        <f t="shared" si="27"/>
        <v>有库存无销量</v>
      </c>
      <c r="Y58" s="44">
        <f>IFERROR(SUMIF('1店辅助表'!K:K,B:B,'1店辅助表'!N:N),0)</f>
        <v>0.00582</v>
      </c>
      <c r="Z58" s="44">
        <f>IFERROR(SUMIF('1店辅助表'!T:T,B:B,'1店辅助表'!W:W),0)</f>
        <v>0.00826</v>
      </c>
      <c r="AA58" s="44">
        <f>IFERROR(SUMIF('1店辅助表'!AC:AC,B:B,'1店辅助表'!AF:AF),0)</f>
        <v>0.03251</v>
      </c>
      <c r="AB58" s="91" t="str">
        <f>IFERROR(SUMIF('1店辅助表'!K:K,B:B,'1店辅助表'!N:N)/SUMIF('1店辅助表'!K:K,B:B,'1店辅助表'!O:O),"-")</f>
        <v>-</v>
      </c>
      <c r="AC58" s="91" t="str">
        <f>IFERROR(VLOOKUP($B:$B,'[1]1店'!$B:$AB,27,FALSE),"-")</f>
        <v>-</v>
      </c>
      <c r="AD58" s="92" t="str">
        <f t="shared" si="28"/>
        <v>-</v>
      </c>
      <c r="AE58" s="91" t="str">
        <f>IFERROR(SUMIF('1店辅助表'!T:T,B:B,'1店辅助表'!W:W)/SUMIF('1店辅助表'!T:T,B:B,'1店辅助表'!X:X),"-")</f>
        <v>-</v>
      </c>
      <c r="AF58" s="91" t="str">
        <f>IFERROR(SUMIF('1店辅助表'!AC:AC,B:B,'1店辅助表'!AF:AF)/SUMIF('1店辅助表'!AC:AC,B:B,'1店辅助表'!AG:AG),"-")</f>
        <v>-</v>
      </c>
      <c r="AG58" s="99">
        <f>IFERROR(AK58/((SUMIF('1店辅助表'!AT:AT,B:B,'1店辅助表'!AU:AU)+M58)/2),"-")</f>
        <v>0</v>
      </c>
      <c r="AH58" s="99">
        <f>IFERROR(AL58/((SUMIF('1店辅助表'!AW:AW,B:B,'1店辅助表'!AX:AX)+M58)/2),"-")</f>
        <v>0</v>
      </c>
      <c r="AI58" s="100" t="str">
        <f>IFERROR((SUMIF('1店辅助表'!AP:AP,B:B,'1店辅助表'!AR:AR)-SUMIF('1店辅助表'!AP:AP,B:B,'1店辅助表'!AR:AR)*0.15-(L58+IFERROR(VLOOKUP(B:B,'1店辅助表'!AZ:BA,2,0),0))*O58-IF(AN:AN="US",6.85,4.9)*(Z58+3.99*O58))/SUMIF('1店辅助表'!AP:AP,B:B,'1店辅助表'!AR:AR),"-")</f>
        <v>-</v>
      </c>
      <c r="AJ58" s="100" t="str">
        <f t="shared" si="29"/>
        <v>-</v>
      </c>
      <c r="AK58" s="101">
        <f t="shared" si="30"/>
        <v>0</v>
      </c>
      <c r="AL58" s="101">
        <f t="shared" si="31"/>
        <v>0</v>
      </c>
      <c r="AM58" s="1" t="str">
        <f>VLOOKUP(B:B,'1店辅助表'!$AZ:$BB,1,FALSE)</f>
        <v>Y1071-RE</v>
      </c>
      <c r="AN58" s="1" t="str">
        <f>VLOOKUP(B:B,'1店辅助表'!AZ:BB,3,FALSE)</f>
        <v>US</v>
      </c>
    </row>
    <row r="59" customHeight="1" spans="1:40">
      <c r="A59" s="58" t="str">
        <f>INDEX('[1]1店'!$A:$A,MATCH(B:B,'[1]1店'!$B:$B,0))</f>
        <v>秀青</v>
      </c>
      <c r="B59" s="43" t="s">
        <v>214</v>
      </c>
      <c r="C59" s="43" t="s">
        <v>215</v>
      </c>
      <c r="D59" s="59">
        <f>VLOOKUP(B:B,'[1]1店'!$B:$L,3,0)</f>
        <v>44981</v>
      </c>
      <c r="E59" s="43" t="s">
        <v>216</v>
      </c>
      <c r="F59" s="43">
        <v>37</v>
      </c>
      <c r="G59" s="43">
        <v>0</v>
      </c>
      <c r="H59" s="43">
        <v>0</v>
      </c>
      <c r="I59" s="43">
        <v>0</v>
      </c>
      <c r="J59" s="43">
        <v>0</v>
      </c>
      <c r="K59" s="63">
        <f t="shared" si="20"/>
        <v>37</v>
      </c>
      <c r="L59" s="64">
        <f>VLOOKUP($B:$B,'[1]1店'!$B:$L,11,0)</f>
        <v>8.598</v>
      </c>
      <c r="M59" s="44">
        <f t="shared" si="21"/>
        <v>318.126</v>
      </c>
      <c r="N59" s="186">
        <f>IFERROR(VLOOKUP(B:B,'1店辅助表'!B:C,2,FALSE),0)</f>
        <v>0</v>
      </c>
      <c r="O59" s="186">
        <f>IFERROR(VLOOKUP(B:B,'1店辅助表'!E:F,2,FALSE),0)</f>
        <v>0</v>
      </c>
      <c r="P59" s="186">
        <f>IFERROR(VLOOKUP(B:B,'1店辅助表'!H:I,2,FALSE),0)</f>
        <v>0</v>
      </c>
      <c r="Q59" s="65">
        <f>IFERROR(VLOOKUP($B:$B,'[1]1店'!$B:$N,13,FALSE),0)</f>
        <v>0</v>
      </c>
      <c r="R59" s="79">
        <f t="shared" si="22"/>
        <v>0</v>
      </c>
      <c r="S59" s="80" t="str">
        <f t="shared" si="23"/>
        <v>-</v>
      </c>
      <c r="T59" s="44" t="str">
        <f t="shared" si="24"/>
        <v>-</v>
      </c>
      <c r="U59" s="188" t="str">
        <f>IFERROR(VLOOKUP($B:$B,'[1]1店'!$B:$T,19,FALSE),0)</f>
        <v>-</v>
      </c>
      <c r="V59" s="81" t="str">
        <f t="shared" si="25"/>
        <v>-</v>
      </c>
      <c r="W59" s="82" t="str">
        <f t="shared" si="26"/>
        <v>有库存无销量</v>
      </c>
      <c r="X59" s="83" t="str">
        <f t="shared" si="27"/>
        <v>有库存无销量</v>
      </c>
      <c r="Y59" s="44">
        <f>IFERROR(SUMIF('1店辅助表'!K:K,B:B,'1店辅助表'!N:N),0)</f>
        <v>0.00419</v>
      </c>
      <c r="Z59" s="44">
        <f>IFERROR(SUMIF('1店辅助表'!T:T,B:B,'1店辅助表'!W:W),0)</f>
        <v>0.017</v>
      </c>
      <c r="AA59" s="44">
        <f>IFERROR(SUMIF('1店辅助表'!AC:AC,B:B,'1店辅助表'!AF:AF),0)</f>
        <v>1.79335</v>
      </c>
      <c r="AB59" s="91" t="str">
        <f>IFERROR(SUMIF('1店辅助表'!K:K,B:B,'1店辅助表'!N:N)/SUMIF('1店辅助表'!K:K,B:B,'1店辅助表'!O:O),"-")</f>
        <v>-</v>
      </c>
      <c r="AC59" s="91" t="str">
        <f>IFERROR(VLOOKUP($B:$B,'[1]1店'!$B:$AB,27,FALSE),"-")</f>
        <v>-</v>
      </c>
      <c r="AD59" s="92" t="str">
        <f t="shared" si="28"/>
        <v>-</v>
      </c>
      <c r="AE59" s="91" t="str">
        <f>IFERROR(SUMIF('1店辅助表'!T:T,B:B,'1店辅助表'!W:W)/SUMIF('1店辅助表'!T:T,B:B,'1店辅助表'!X:X),"-")</f>
        <v>-</v>
      </c>
      <c r="AF59" s="91" t="str">
        <f>IFERROR(SUMIF('1店辅助表'!AC:AC,B:B,'1店辅助表'!AF:AF)/SUMIF('1店辅助表'!AC:AC,B:B,'1店辅助表'!AG:AG),"-")</f>
        <v>-</v>
      </c>
      <c r="AG59" s="99">
        <f>IFERROR(AK59/((SUMIF('1店辅助表'!AT:AT,B:B,'1店辅助表'!AU:AU)+M59)/2),"-")</f>
        <v>0</v>
      </c>
      <c r="AH59" s="99">
        <f>IFERROR(AL59/((SUMIF('1店辅助表'!AW:AW,B:B,'1店辅助表'!AX:AX)+M59)/2),"-")</f>
        <v>0</v>
      </c>
      <c r="AI59" s="100" t="str">
        <f>IFERROR((SUMIF('1店辅助表'!AP:AP,B:B,'1店辅助表'!AR:AR)-SUMIF('1店辅助表'!AP:AP,B:B,'1店辅助表'!AR:AR)*0.15-(L59+IFERROR(VLOOKUP(B:B,'1店辅助表'!AZ:BA,2,0),0))*O59-IF(AN:AN="US",6.85,4.9)*(Z59+3.99*O59))/SUMIF('1店辅助表'!AP:AP,B:B,'1店辅助表'!AR:AR),"-")</f>
        <v>-</v>
      </c>
      <c r="AJ59" s="100" t="str">
        <f t="shared" si="29"/>
        <v>-</v>
      </c>
      <c r="AK59" s="101">
        <f t="shared" si="30"/>
        <v>0</v>
      </c>
      <c r="AL59" s="101">
        <f t="shared" si="31"/>
        <v>0</v>
      </c>
      <c r="AM59" s="1" t="str">
        <f>VLOOKUP(B:B,'1店辅助表'!$AZ:$BB,1,FALSE)</f>
        <v>Y1071-WH</v>
      </c>
      <c r="AN59" s="1" t="str">
        <f>VLOOKUP(B:B,'1店辅助表'!AZ:BB,3,FALSE)</f>
        <v>US</v>
      </c>
    </row>
    <row r="60" customHeight="1" spans="1:40">
      <c r="A60" s="58" t="str">
        <f>INDEX('[1]1店'!$A:$A,MATCH(B:B,'[1]1店'!$B:$B,0))</f>
        <v>秀青</v>
      </c>
      <c r="B60" s="43" t="s">
        <v>217</v>
      </c>
      <c r="C60" s="43" t="s">
        <v>218</v>
      </c>
      <c r="D60" s="59">
        <f>VLOOKUP(B:B,'[1]1店'!$B:$L,3,0)</f>
        <v>44972</v>
      </c>
      <c r="E60" s="43" t="s">
        <v>219</v>
      </c>
      <c r="F60" s="43">
        <v>21</v>
      </c>
      <c r="G60" s="43">
        <v>0</v>
      </c>
      <c r="H60" s="43">
        <v>0</v>
      </c>
      <c r="I60" s="43">
        <v>0</v>
      </c>
      <c r="J60" s="43">
        <v>0</v>
      </c>
      <c r="K60" s="63">
        <f t="shared" si="20"/>
        <v>21</v>
      </c>
      <c r="L60" s="64">
        <f>VLOOKUP($B:$B,'[1]1店'!$B:$L,11,0)</f>
        <v>9</v>
      </c>
      <c r="M60" s="44">
        <f t="shared" si="21"/>
        <v>189</v>
      </c>
      <c r="N60" s="186">
        <f>IFERROR(VLOOKUP(B:B,'1店辅助表'!B:C,2,FALSE),0)</f>
        <v>0</v>
      </c>
      <c r="O60" s="186">
        <f>IFERROR(VLOOKUP(B:B,'1店辅助表'!E:F,2,FALSE),0)</f>
        <v>0</v>
      </c>
      <c r="P60" s="186">
        <f>IFERROR(VLOOKUP(B:B,'1店辅助表'!H:I,2,FALSE),0)</f>
        <v>0</v>
      </c>
      <c r="Q60" s="65">
        <f>IFERROR(VLOOKUP($B:$B,'[1]1店'!$B:$N,13,FALSE),0)</f>
        <v>0</v>
      </c>
      <c r="R60" s="79">
        <f t="shared" si="22"/>
        <v>0</v>
      </c>
      <c r="S60" s="80" t="str">
        <f t="shared" si="23"/>
        <v>-</v>
      </c>
      <c r="T60" s="44" t="str">
        <f t="shared" si="24"/>
        <v>-</v>
      </c>
      <c r="U60" s="188" t="str">
        <f>IFERROR(VLOOKUP($B:$B,'[1]1店'!$B:$T,19,FALSE),0)</f>
        <v>-</v>
      </c>
      <c r="V60" s="81" t="str">
        <f t="shared" si="25"/>
        <v>-</v>
      </c>
      <c r="W60" s="82" t="str">
        <f t="shared" si="26"/>
        <v>有库存无销量</v>
      </c>
      <c r="X60" s="83" t="str">
        <f t="shared" si="27"/>
        <v>有库存无销量</v>
      </c>
      <c r="Y60" s="44">
        <f>IFERROR(SUMIF('1店辅助表'!K:K,B:B,'1店辅助表'!N:N),0)</f>
        <v>0</v>
      </c>
      <c r="Z60" s="44">
        <f>IFERROR(SUMIF('1店辅助表'!T:T,B:B,'1店辅助表'!W:W),0)</f>
        <v>0</v>
      </c>
      <c r="AA60" s="44">
        <f>IFERROR(SUMIF('1店辅助表'!AC:AC,B:B,'1店辅助表'!AF:AF),0)</f>
        <v>0.01285</v>
      </c>
      <c r="AB60" s="91" t="str">
        <f>IFERROR(SUMIF('1店辅助表'!K:K,B:B,'1店辅助表'!N:N)/SUMIF('1店辅助表'!K:K,B:B,'1店辅助表'!O:O),"-")</f>
        <v>-</v>
      </c>
      <c r="AC60" s="91" t="str">
        <f>IFERROR(VLOOKUP($B:$B,'[1]1店'!$B:$AB,27,FALSE),"-")</f>
        <v>-</v>
      </c>
      <c r="AD60" s="92" t="str">
        <f t="shared" si="28"/>
        <v>-</v>
      </c>
      <c r="AE60" s="91" t="str">
        <f>IFERROR(SUMIF('1店辅助表'!T:T,B:B,'1店辅助表'!W:W)/SUMIF('1店辅助表'!T:T,B:B,'1店辅助表'!X:X),"-")</f>
        <v>-</v>
      </c>
      <c r="AF60" s="91" t="str">
        <f>IFERROR(SUMIF('1店辅助表'!AC:AC,B:B,'1店辅助表'!AF:AF)/SUMIF('1店辅助表'!AC:AC,B:B,'1店辅助表'!AG:AG),"-")</f>
        <v>-</v>
      </c>
      <c r="AG60" s="99">
        <f>IFERROR(AK60/((SUMIF('1店辅助表'!AT:AT,B:B,'1店辅助表'!AU:AU)+M60)/2),"-")</f>
        <v>0</v>
      </c>
      <c r="AH60" s="99">
        <f>IFERROR(AL60/((SUMIF('1店辅助表'!AW:AW,B:B,'1店辅助表'!AX:AX)+M60)/2),"-")</f>
        <v>0</v>
      </c>
      <c r="AI60" s="100" t="str">
        <f>IFERROR((SUMIF('1店辅助表'!AP:AP,B:B,'1店辅助表'!AR:AR)-SUMIF('1店辅助表'!AP:AP,B:B,'1店辅助表'!AR:AR)*0.15-(L60+IFERROR(VLOOKUP(B:B,'1店辅助表'!AZ:BA,2,0),0))*O60-IF(AN:AN="US",6.85,4.9)*(Z60+3.99*O60))/SUMIF('1店辅助表'!AP:AP,B:B,'1店辅助表'!AR:AR),"-")</f>
        <v>-</v>
      </c>
      <c r="AJ60" s="100" t="str">
        <f t="shared" si="29"/>
        <v>-</v>
      </c>
      <c r="AK60" s="101">
        <f t="shared" si="30"/>
        <v>0</v>
      </c>
      <c r="AL60" s="101">
        <f t="shared" si="31"/>
        <v>0</v>
      </c>
      <c r="AM60" s="1" t="str">
        <f>VLOOKUP(B:B,'1店辅助表'!$AZ:$BB,1,FALSE)</f>
        <v>Y1073-BG</v>
      </c>
      <c r="AN60" s="1" t="str">
        <f>VLOOKUP(B:B,'1店辅助表'!AZ:BB,3,FALSE)</f>
        <v>US</v>
      </c>
    </row>
    <row r="61" customHeight="1" spans="1:40">
      <c r="A61" s="58" t="str">
        <f>INDEX('[1]1店'!$A:$A,MATCH(B:B,'[1]1店'!$B:$B,0))</f>
        <v>秀青</v>
      </c>
      <c r="B61" s="43" t="s">
        <v>220</v>
      </c>
      <c r="C61" s="43" t="s">
        <v>221</v>
      </c>
      <c r="D61" s="59">
        <f>VLOOKUP(B:B,'[1]1店'!$B:$L,3,0)</f>
        <v>44972</v>
      </c>
      <c r="E61" s="43" t="s">
        <v>222</v>
      </c>
      <c r="F61" s="43">
        <v>8</v>
      </c>
      <c r="G61" s="43">
        <v>0</v>
      </c>
      <c r="H61" s="43">
        <v>0</v>
      </c>
      <c r="I61" s="43">
        <v>0</v>
      </c>
      <c r="J61" s="43">
        <v>0</v>
      </c>
      <c r="K61" s="63">
        <f t="shared" si="20"/>
        <v>8</v>
      </c>
      <c r="L61" s="64">
        <f>VLOOKUP($B:$B,'[1]1店'!$B:$L,11,0)</f>
        <v>9</v>
      </c>
      <c r="M61" s="44">
        <f t="shared" si="21"/>
        <v>72</v>
      </c>
      <c r="N61" s="186">
        <f>IFERROR(VLOOKUP(B:B,'1店辅助表'!B:C,2,FALSE),0)</f>
        <v>1</v>
      </c>
      <c r="O61" s="186">
        <f>IFERROR(VLOOKUP(B:B,'1店辅助表'!E:F,2,FALSE),0)</f>
        <v>1</v>
      </c>
      <c r="P61" s="186">
        <f>IFERROR(VLOOKUP(B:B,'1店辅助表'!H:I,2,FALSE),0)</f>
        <v>3</v>
      </c>
      <c r="Q61" s="65">
        <f>IFERROR(VLOOKUP($B:$B,'[1]1店'!$B:$N,13,FALSE),0)</f>
        <v>0</v>
      </c>
      <c r="R61" s="79">
        <f t="shared" si="22"/>
        <v>1</v>
      </c>
      <c r="S61" s="80">
        <f t="shared" si="23"/>
        <v>77.5384615384615</v>
      </c>
      <c r="T61" s="44">
        <f t="shared" si="24"/>
        <v>2.58461538461538</v>
      </c>
      <c r="U61" s="188">
        <f>IFERROR(VLOOKUP($B:$B,'[1]1店'!$B:$T,19,FALSE),0)</f>
        <v>6.75</v>
      </c>
      <c r="V61" s="81">
        <f t="shared" si="25"/>
        <v>-4.16538461538462</v>
      </c>
      <c r="W61" s="82" t="str">
        <f t="shared" si="26"/>
        <v>库存过高</v>
      </c>
      <c r="X61" s="83" t="str">
        <f t="shared" si="27"/>
        <v>库存过高</v>
      </c>
      <c r="Y61" s="44">
        <f>IFERROR(SUMIF('1店辅助表'!K:K,B:B,'1店辅助表'!N:N),0)</f>
        <v>0</v>
      </c>
      <c r="Z61" s="44">
        <f>IFERROR(SUMIF('1店辅助表'!T:T,B:B,'1店辅助表'!W:W),0)</f>
        <v>0.2</v>
      </c>
      <c r="AA61" s="44">
        <f>IFERROR(SUMIF('1店辅助表'!AC:AC,B:B,'1店辅助表'!AF:AF),0)</f>
        <v>0.37</v>
      </c>
      <c r="AB61" s="91" t="str">
        <f>IFERROR(SUMIF('1店辅助表'!K:K,B:B,'1店辅助表'!N:N)/SUMIF('1店辅助表'!K:K,B:B,'1店辅助表'!O:O),"-")</f>
        <v>-</v>
      </c>
      <c r="AC61" s="91" t="str">
        <f>IFERROR(VLOOKUP($B:$B,'[1]1店'!$B:$AB,27,FALSE),"-")</f>
        <v>-</v>
      </c>
      <c r="AD61" s="92" t="str">
        <f t="shared" si="28"/>
        <v>-</v>
      </c>
      <c r="AE61" s="91" t="str">
        <f>IFERROR(SUMIF('1店辅助表'!T:T,B:B,'1店辅助表'!W:W)/SUMIF('1店辅助表'!T:T,B:B,'1店辅助表'!X:X),"-")</f>
        <v>-</v>
      </c>
      <c r="AF61" s="91" t="str">
        <f>IFERROR(SUMIF('1店辅助表'!AC:AC,B:B,'1店辅助表'!AF:AF)/SUMIF('1店辅助表'!AC:AC,B:B,'1店辅助表'!AG:AG),"-")</f>
        <v>-</v>
      </c>
      <c r="AG61" s="99">
        <f>IFERROR(AK61/((SUMIF('1店辅助表'!AT:AT,B:B,'1店辅助表'!AU:AU)+M61)/2),"-")</f>
        <v>0.117647058823529</v>
      </c>
      <c r="AH61" s="99">
        <f>IFERROR(AL61/((SUMIF('1店辅助表'!AW:AW,B:B,'1店辅助表'!AX:AX)+M61)/2),"-")</f>
        <v>0.105263157894737</v>
      </c>
      <c r="AI61" s="100">
        <f>IFERROR((SUMIF('1店辅助表'!AP:AP,B:B,'1店辅助表'!AR:AR)-SUMIF('1店辅助表'!AP:AP,B:B,'1店辅助表'!AR:AR)*0.15-(L61+IFERROR(VLOOKUP(B:B,'1店辅助表'!AZ:BA,2,0),0))*O61-IF(AN:AN="US",6.85,4.9)*(Z61+3.99*O61))/SUMIF('1店辅助表'!AP:AP,B:B,'1店辅助表'!AR:AR),"-")</f>
        <v>0.228344145563197</v>
      </c>
      <c r="AJ61" s="100">
        <f t="shared" si="29"/>
        <v>0.0240362258487575</v>
      </c>
      <c r="AK61" s="101">
        <f t="shared" si="30"/>
        <v>9</v>
      </c>
      <c r="AL61" s="101">
        <f t="shared" si="31"/>
        <v>9</v>
      </c>
      <c r="AM61" s="1" t="str">
        <f>VLOOKUP(B:B,'1店辅助表'!$AZ:$BB,1,FALSE)</f>
        <v>Y1073-BL</v>
      </c>
      <c r="AN61" s="1" t="str">
        <f>VLOOKUP(B:B,'1店辅助表'!AZ:BB,3,FALSE)</f>
        <v>US</v>
      </c>
    </row>
    <row r="62" customHeight="1" spans="1:40">
      <c r="A62" s="58" t="str">
        <f>INDEX('[1]1店'!$A:$A,MATCH(B:B,'[1]1店'!$B:$B,0))</f>
        <v>秀青</v>
      </c>
      <c r="B62" s="43" t="s">
        <v>223</v>
      </c>
      <c r="C62" s="43" t="s">
        <v>224</v>
      </c>
      <c r="D62" s="59">
        <f>VLOOKUP(B:B,'[1]1店'!$B:$L,3,0)</f>
        <v>44973</v>
      </c>
      <c r="E62" s="43" t="s">
        <v>225</v>
      </c>
      <c r="F62" s="43">
        <v>15</v>
      </c>
      <c r="G62" s="43">
        <v>0</v>
      </c>
      <c r="H62" s="43">
        <v>1</v>
      </c>
      <c r="I62" s="43">
        <v>0</v>
      </c>
      <c r="J62" s="43">
        <v>0</v>
      </c>
      <c r="K62" s="63">
        <f t="shared" si="20"/>
        <v>16</v>
      </c>
      <c r="L62" s="64">
        <f>VLOOKUP($B:$B,'[1]1店'!$B:$L,11,0)</f>
        <v>9</v>
      </c>
      <c r="M62" s="44">
        <f t="shared" si="21"/>
        <v>144</v>
      </c>
      <c r="N62" s="186">
        <f>IFERROR(VLOOKUP(B:B,'1店辅助表'!B:C,2,FALSE),0)</f>
        <v>0</v>
      </c>
      <c r="O62" s="186">
        <f>IFERROR(VLOOKUP(B:B,'1店辅助表'!E:F,2,FALSE),0)</f>
        <v>0</v>
      </c>
      <c r="P62" s="186">
        <f>IFERROR(VLOOKUP(B:B,'1店辅助表'!H:I,2,FALSE),0)</f>
        <v>0</v>
      </c>
      <c r="Q62" s="65">
        <f>IFERROR(VLOOKUP($B:$B,'[1]1店'!$B:$N,13,FALSE),0)</f>
        <v>0</v>
      </c>
      <c r="R62" s="79">
        <f t="shared" si="22"/>
        <v>0</v>
      </c>
      <c r="S62" s="80" t="str">
        <f t="shared" si="23"/>
        <v>-</v>
      </c>
      <c r="T62" s="44" t="str">
        <f t="shared" si="24"/>
        <v>-</v>
      </c>
      <c r="U62" s="188" t="str">
        <f>IFERROR(VLOOKUP($B:$B,'[1]1店'!$B:$T,19,FALSE),0)</f>
        <v>-</v>
      </c>
      <c r="V62" s="81" t="str">
        <f t="shared" si="25"/>
        <v>-</v>
      </c>
      <c r="W62" s="82" t="str">
        <f t="shared" si="26"/>
        <v>有库存无销量</v>
      </c>
      <c r="X62" s="83" t="str">
        <f t="shared" si="27"/>
        <v>有库存无销量</v>
      </c>
      <c r="Y62" s="44">
        <f>IFERROR(SUMIF('1店辅助表'!K:K,B:B,'1店辅助表'!N:N),0)</f>
        <v>0</v>
      </c>
      <c r="Z62" s="44">
        <f>IFERROR(SUMIF('1店辅助表'!T:T,B:B,'1店辅助表'!W:W),0)</f>
        <v>0.01392</v>
      </c>
      <c r="AA62" s="44">
        <f>IFERROR(SUMIF('1店辅助表'!AC:AC,B:B,'1店辅助表'!AF:AF),0)</f>
        <v>0.02366</v>
      </c>
      <c r="AB62" s="91" t="str">
        <f>IFERROR(SUMIF('1店辅助表'!K:K,B:B,'1店辅助表'!N:N)/SUMIF('1店辅助表'!K:K,B:B,'1店辅助表'!O:O),"-")</f>
        <v>-</v>
      </c>
      <c r="AC62" s="91" t="str">
        <f>IFERROR(VLOOKUP($B:$B,'[1]1店'!$B:$AB,27,FALSE),"-")</f>
        <v>-</v>
      </c>
      <c r="AD62" s="92" t="str">
        <f t="shared" si="28"/>
        <v>-</v>
      </c>
      <c r="AE62" s="91" t="str">
        <f>IFERROR(SUMIF('1店辅助表'!T:T,B:B,'1店辅助表'!W:W)/SUMIF('1店辅助表'!T:T,B:B,'1店辅助表'!X:X),"-")</f>
        <v>-</v>
      </c>
      <c r="AF62" s="91" t="str">
        <f>IFERROR(SUMIF('1店辅助表'!AC:AC,B:B,'1店辅助表'!AF:AF)/SUMIF('1店辅助表'!AC:AC,B:B,'1店辅助表'!AG:AG),"-")</f>
        <v>-</v>
      </c>
      <c r="AG62" s="99">
        <f>IFERROR(AK62/((SUMIF('1店辅助表'!AT:AT,B:B,'1店辅助表'!AU:AU)+M62)/2),"-")</f>
        <v>0</v>
      </c>
      <c r="AH62" s="99">
        <f>IFERROR(AL62/((SUMIF('1店辅助表'!AW:AW,B:B,'1店辅助表'!AX:AX)+M62)/2),"-")</f>
        <v>0</v>
      </c>
      <c r="AI62" s="100" t="str">
        <f>IFERROR((SUMIF('1店辅助表'!AP:AP,B:B,'1店辅助表'!AR:AR)-SUMIF('1店辅助表'!AP:AP,B:B,'1店辅助表'!AR:AR)*0.15-(L62+IFERROR(VLOOKUP(B:B,'1店辅助表'!AZ:BA,2,0),0))*O62-IF(AN:AN="US",6.85,4.9)*(Z62+3.99*O62))/SUMIF('1店辅助表'!AP:AP,B:B,'1店辅助表'!AR:AR),"-")</f>
        <v>-</v>
      </c>
      <c r="AJ62" s="100" t="str">
        <f t="shared" si="29"/>
        <v>-</v>
      </c>
      <c r="AK62" s="101">
        <f t="shared" si="30"/>
        <v>0</v>
      </c>
      <c r="AL62" s="101">
        <f t="shared" si="31"/>
        <v>0</v>
      </c>
      <c r="AM62" s="1" t="str">
        <f>VLOOKUP(B:B,'1店辅助表'!$AZ:$BB,1,FALSE)</f>
        <v>Y1074-BG</v>
      </c>
      <c r="AN62" s="1" t="str">
        <f>VLOOKUP(B:B,'1店辅助表'!AZ:BB,3,FALSE)</f>
        <v>US</v>
      </c>
    </row>
    <row r="63" customHeight="1" spans="1:40">
      <c r="A63" s="58" t="str">
        <f>INDEX('[1]1店'!$A:$A,MATCH(B:B,'[1]1店'!$B:$B,0))</f>
        <v>秀青</v>
      </c>
      <c r="B63" s="43" t="s">
        <v>226</v>
      </c>
      <c r="C63" s="43" t="s">
        <v>227</v>
      </c>
      <c r="D63" s="59">
        <f>VLOOKUP(B:B,'[1]1店'!$B:$L,3,0)</f>
        <v>44973</v>
      </c>
      <c r="E63" s="43" t="s">
        <v>228</v>
      </c>
      <c r="F63" s="43">
        <v>9</v>
      </c>
      <c r="G63" s="43">
        <v>0</v>
      </c>
      <c r="H63" s="43">
        <v>0</v>
      </c>
      <c r="I63" s="43">
        <v>0</v>
      </c>
      <c r="J63" s="43">
        <v>0</v>
      </c>
      <c r="K63" s="63">
        <f t="shared" si="20"/>
        <v>9</v>
      </c>
      <c r="L63" s="64">
        <f>VLOOKUP($B:$B,'[1]1店'!$B:$L,11,0)</f>
        <v>9.237</v>
      </c>
      <c r="M63" s="44">
        <f t="shared" si="21"/>
        <v>83.133</v>
      </c>
      <c r="N63" s="186">
        <f>IFERROR(VLOOKUP(B:B,'1店辅助表'!B:C,2,FALSE),0)</f>
        <v>0</v>
      </c>
      <c r="O63" s="186">
        <f>IFERROR(VLOOKUP(B:B,'1店辅助表'!E:F,2,FALSE),0)</f>
        <v>0</v>
      </c>
      <c r="P63" s="186">
        <f>IFERROR(VLOOKUP(B:B,'1店辅助表'!H:I,2,FALSE),0)</f>
        <v>0</v>
      </c>
      <c r="Q63" s="65">
        <f>IFERROR(VLOOKUP($B:$B,'[1]1店'!$B:$N,13,FALSE),0)</f>
        <v>0</v>
      </c>
      <c r="R63" s="79">
        <f t="shared" si="22"/>
        <v>0</v>
      </c>
      <c r="S63" s="80" t="str">
        <f t="shared" si="23"/>
        <v>-</v>
      </c>
      <c r="T63" s="44" t="str">
        <f t="shared" si="24"/>
        <v>-</v>
      </c>
      <c r="U63" s="188">
        <f>IFERROR(VLOOKUP($B:$B,'[1]1店'!$B:$T,19,FALSE),0)</f>
        <v>13.5</v>
      </c>
      <c r="V63" s="81" t="str">
        <f t="shared" si="25"/>
        <v>-</v>
      </c>
      <c r="W63" s="82" t="str">
        <f t="shared" si="26"/>
        <v>有库存无销量</v>
      </c>
      <c r="X63" s="83" t="str">
        <f t="shared" si="27"/>
        <v>有库存无销量</v>
      </c>
      <c r="Y63" s="44">
        <f>IFERROR(SUMIF('1店辅助表'!K:K,B:B,'1店辅助表'!N:N),0)</f>
        <v>0.00209</v>
      </c>
      <c r="Z63" s="44">
        <f>IFERROR(SUMIF('1店辅助表'!T:T,B:B,'1店辅助表'!W:W),0)</f>
        <v>0.01166</v>
      </c>
      <c r="AA63" s="44">
        <f>IFERROR(SUMIF('1店辅助表'!AC:AC,B:B,'1店辅助表'!AF:AF),0)</f>
        <v>0.01356</v>
      </c>
      <c r="AB63" s="91" t="str">
        <f>IFERROR(SUMIF('1店辅助表'!K:K,B:B,'1店辅助表'!N:N)/SUMIF('1店辅助表'!K:K,B:B,'1店辅助表'!O:O),"-")</f>
        <v>-</v>
      </c>
      <c r="AC63" s="91" t="str">
        <f>IFERROR(VLOOKUP($B:$B,'[1]1店'!$B:$AB,27,FALSE),"-")</f>
        <v>-</v>
      </c>
      <c r="AD63" s="92" t="str">
        <f t="shared" si="28"/>
        <v>-</v>
      </c>
      <c r="AE63" s="91" t="str">
        <f>IFERROR(SUMIF('1店辅助表'!T:T,B:B,'1店辅助表'!W:W)/SUMIF('1店辅助表'!T:T,B:B,'1店辅助表'!X:X),"-")</f>
        <v>-</v>
      </c>
      <c r="AF63" s="91" t="str">
        <f>IFERROR(SUMIF('1店辅助表'!AC:AC,B:B,'1店辅助表'!AF:AF)/SUMIF('1店辅助表'!AC:AC,B:B,'1店辅助表'!AG:AG),"-")</f>
        <v>-</v>
      </c>
      <c r="AG63" s="99">
        <f>IFERROR(AK63/((SUMIF('1店辅助表'!AT:AT,B:B,'1店辅助表'!AU:AU)+M63)/2),"-")</f>
        <v>0</v>
      </c>
      <c r="AH63" s="99">
        <f>IFERROR(AL63/((SUMIF('1店辅助表'!AW:AW,B:B,'1店辅助表'!AX:AX)+M63)/2),"-")</f>
        <v>0</v>
      </c>
      <c r="AI63" s="100" t="str">
        <f>IFERROR((SUMIF('1店辅助表'!AP:AP,B:B,'1店辅助表'!AR:AR)-SUMIF('1店辅助表'!AP:AP,B:B,'1店辅助表'!AR:AR)*0.15-(L63+IFERROR(VLOOKUP(B:B,'1店辅助表'!AZ:BA,2,0),0))*O63-IF(AN:AN="US",6.85,4.9)*(Z63+3.99*O63))/SUMIF('1店辅助表'!AP:AP,B:B,'1店辅助表'!AR:AR),"-")</f>
        <v>-</v>
      </c>
      <c r="AJ63" s="100" t="str">
        <f t="shared" si="29"/>
        <v>-</v>
      </c>
      <c r="AK63" s="101">
        <f t="shared" si="30"/>
        <v>0</v>
      </c>
      <c r="AL63" s="101">
        <f t="shared" si="31"/>
        <v>0</v>
      </c>
      <c r="AM63" s="1" t="str">
        <f>VLOOKUP(B:B,'1店辅助表'!$AZ:$BB,1,FALSE)</f>
        <v>Y1074-BL</v>
      </c>
      <c r="AN63" s="1" t="str">
        <f>VLOOKUP(B:B,'1店辅助表'!AZ:BB,3,FALSE)</f>
        <v>US</v>
      </c>
    </row>
    <row r="64" customHeight="1" spans="1:40">
      <c r="A64" s="58" t="str">
        <f>INDEX('[1]1店'!$A:$A,MATCH(B:B,'[1]1店'!$B:$B,0))</f>
        <v>秀青</v>
      </c>
      <c r="B64" s="43" t="s">
        <v>229</v>
      </c>
      <c r="C64" s="43" t="s">
        <v>230</v>
      </c>
      <c r="D64" s="59">
        <f>VLOOKUP(B:B,'[1]1店'!$B:$L,3,0)</f>
        <v>44973</v>
      </c>
      <c r="E64" s="43" t="s">
        <v>231</v>
      </c>
      <c r="F64" s="43">
        <v>7</v>
      </c>
      <c r="G64" s="43">
        <v>0</v>
      </c>
      <c r="H64" s="43">
        <v>0</v>
      </c>
      <c r="I64" s="43">
        <v>0</v>
      </c>
      <c r="J64" s="43">
        <v>0</v>
      </c>
      <c r="K64" s="63">
        <f t="shared" si="20"/>
        <v>7</v>
      </c>
      <c r="L64" s="64">
        <f>VLOOKUP($B:$B,'[1]1店'!$B:$L,11,0)</f>
        <v>9.37</v>
      </c>
      <c r="M64" s="44">
        <f t="shared" si="21"/>
        <v>65.59</v>
      </c>
      <c r="N64" s="186">
        <f>IFERROR(VLOOKUP(B:B,'1店辅助表'!B:C,2,FALSE),0)</f>
        <v>1</v>
      </c>
      <c r="O64" s="186">
        <f>IFERROR(VLOOKUP(B:B,'1店辅助表'!E:F,2,FALSE),0)</f>
        <v>2</v>
      </c>
      <c r="P64" s="186">
        <f>IFERROR(VLOOKUP(B:B,'1店辅助表'!H:I,2,FALSE),0)</f>
        <v>3</v>
      </c>
      <c r="Q64" s="65">
        <f>IFERROR(VLOOKUP($B:$B,'[1]1店'!$B:$N,13,FALSE),0)</f>
        <v>2</v>
      </c>
      <c r="R64" s="79">
        <f t="shared" si="22"/>
        <v>-1</v>
      </c>
      <c r="S64" s="80">
        <f t="shared" si="23"/>
        <v>55.8227848101266</v>
      </c>
      <c r="T64" s="44">
        <f t="shared" si="24"/>
        <v>1.86075949367089</v>
      </c>
      <c r="U64" s="188">
        <f>IFERROR(VLOOKUP($B:$B,'[1]1店'!$B:$T,19,FALSE),0)</f>
        <v>1.73394495412844</v>
      </c>
      <c r="V64" s="81">
        <f t="shared" si="25"/>
        <v>0.12681453954245</v>
      </c>
      <c r="W64" s="82" t="str">
        <f t="shared" si="26"/>
        <v>库存过高</v>
      </c>
      <c r="X64" s="83" t="str">
        <f t="shared" si="27"/>
        <v>库存过高</v>
      </c>
      <c r="Y64" s="44">
        <f>IFERROR(SUMIF('1店辅助表'!K:K,B:B,'1店辅助表'!N:N),0)</f>
        <v>0</v>
      </c>
      <c r="Z64" s="44">
        <f>IFERROR(SUMIF('1店辅助表'!T:T,B:B,'1店辅助表'!W:W),0)</f>
        <v>0.00808</v>
      </c>
      <c r="AA64" s="44">
        <f>IFERROR(SUMIF('1店辅助表'!AC:AC,B:B,'1店辅助表'!AF:AF),0)</f>
        <v>0.01512</v>
      </c>
      <c r="AB64" s="91" t="str">
        <f>IFERROR(SUMIF('1店辅助表'!K:K,B:B,'1店辅助表'!N:N)/SUMIF('1店辅助表'!K:K,B:B,'1店辅助表'!O:O),"-")</f>
        <v>-</v>
      </c>
      <c r="AC64" s="91" t="str">
        <f>IFERROR(VLOOKUP($B:$B,'[1]1店'!$B:$AB,27,FALSE),"-")</f>
        <v>-</v>
      </c>
      <c r="AD64" s="92" t="str">
        <f t="shared" si="28"/>
        <v>-</v>
      </c>
      <c r="AE64" s="91" t="str">
        <f>IFERROR(SUMIF('1店辅助表'!T:T,B:B,'1店辅助表'!W:W)/SUMIF('1店辅助表'!T:T,B:B,'1店辅助表'!X:X),"-")</f>
        <v>-</v>
      </c>
      <c r="AF64" s="91" t="str">
        <f>IFERROR(SUMIF('1店辅助表'!AC:AC,B:B,'1店辅助表'!AF:AF)/SUMIF('1店辅助表'!AC:AC,B:B,'1店辅助表'!AG:AG),"-")</f>
        <v>-</v>
      </c>
      <c r="AG64" s="99">
        <f>IFERROR(AK64/((SUMIF('1店辅助表'!AT:AT,B:B,'1店辅助表'!AU:AU)+M64)/2),"-")</f>
        <v>0.125</v>
      </c>
      <c r="AH64" s="99">
        <f>IFERROR(AL64/((SUMIF('1店辅助表'!AW:AW,B:B,'1店辅助表'!AX:AX)+M64)/2),"-")</f>
        <v>0.235294117647059</v>
      </c>
      <c r="AI64" s="100">
        <f>IFERROR((SUMIF('1店辅助表'!AP:AP,B:B,'1店辅助表'!AR:AR)-SUMIF('1店辅助表'!AP:AP,B:B,'1店辅助表'!AR:AR)*0.15-(L64+IFERROR(VLOOKUP(B:B,'1店辅助表'!AZ:BA,2,0),0))*O64-IF(AN:AN="US",6.85,4.9)*(Z64+3.99*O64))/SUMIF('1店辅助表'!AP:AP,B:B,'1店辅助表'!AR:AR),"-")</f>
        <v>0.244133400453058</v>
      </c>
      <c r="AJ64" s="100">
        <f t="shared" si="29"/>
        <v>0.0574431530477784</v>
      </c>
      <c r="AK64" s="101">
        <f t="shared" si="30"/>
        <v>9.37</v>
      </c>
      <c r="AL64" s="101">
        <f t="shared" si="31"/>
        <v>18.74</v>
      </c>
      <c r="AM64" s="1" t="str">
        <f>VLOOKUP(B:B,'1店辅助表'!$AZ:$BB,1,FALSE)</f>
        <v>Y1074-MG</v>
      </c>
      <c r="AN64" s="1" t="str">
        <f>VLOOKUP(B:B,'1店辅助表'!AZ:BB,3,FALSE)</f>
        <v>US</v>
      </c>
    </row>
    <row r="65" customHeight="1" spans="1:40">
      <c r="A65" s="58" t="str">
        <f>INDEX('[1]1店'!$A:$A,MATCH(B:B,'[1]1店'!$B:$B,0))</f>
        <v>秀青</v>
      </c>
      <c r="B65" s="43" t="s">
        <v>232</v>
      </c>
      <c r="C65" s="43" t="s">
        <v>233</v>
      </c>
      <c r="D65" s="59">
        <f>VLOOKUP(B:B,'[1]1店'!$B:$L,3,0)</f>
        <v>44973</v>
      </c>
      <c r="E65" s="43" t="s">
        <v>234</v>
      </c>
      <c r="F65" s="43">
        <v>16</v>
      </c>
      <c r="G65" s="43">
        <v>0</v>
      </c>
      <c r="H65" s="43">
        <v>1</v>
      </c>
      <c r="I65" s="43">
        <v>0</v>
      </c>
      <c r="J65" s="43">
        <v>0</v>
      </c>
      <c r="K65" s="63">
        <f t="shared" si="20"/>
        <v>17</v>
      </c>
      <c r="L65" s="64">
        <f>VLOOKUP($B:$B,'[1]1店'!$B:$L,11,0)</f>
        <v>9.289</v>
      </c>
      <c r="M65" s="44">
        <f t="shared" si="21"/>
        <v>157.913</v>
      </c>
      <c r="N65" s="186">
        <f>IFERROR(VLOOKUP(B:B,'1店辅助表'!B:C,2,FALSE),0)</f>
        <v>1</v>
      </c>
      <c r="O65" s="186">
        <f>IFERROR(VLOOKUP(B:B,'1店辅助表'!E:F,2,FALSE),0)</f>
        <v>3</v>
      </c>
      <c r="P65" s="186">
        <f>IFERROR(VLOOKUP(B:B,'1店辅助表'!H:I,2,FALSE),0)</f>
        <v>3</v>
      </c>
      <c r="Q65" s="65">
        <f>IFERROR(VLOOKUP($B:$B,'[1]1店'!$B:$N,13,FALSE),0)</f>
        <v>2</v>
      </c>
      <c r="R65" s="79">
        <f t="shared" si="22"/>
        <v>-1</v>
      </c>
      <c r="S65" s="80">
        <f t="shared" si="23"/>
        <v>115.161290322581</v>
      </c>
      <c r="T65" s="44">
        <f t="shared" si="24"/>
        <v>3.83870967741935</v>
      </c>
      <c r="U65" s="188">
        <f>IFERROR(VLOOKUP($B:$B,'[1]1店'!$B:$T,19,FALSE),0)</f>
        <v>3.6605504587156</v>
      </c>
      <c r="V65" s="81">
        <f t="shared" si="25"/>
        <v>0.17815921870375</v>
      </c>
      <c r="W65" s="82" t="str">
        <f t="shared" si="26"/>
        <v>库存过高</v>
      </c>
      <c r="X65" s="83" t="str">
        <f t="shared" si="27"/>
        <v>库存过高</v>
      </c>
      <c r="Y65" s="44">
        <f>IFERROR(SUMIF('1店辅助表'!K:K,B:B,'1店辅助表'!N:N),0)</f>
        <v>0.2</v>
      </c>
      <c r="Z65" s="44">
        <f>IFERROR(SUMIF('1店辅助表'!T:T,B:B,'1店辅助表'!W:W),0)</f>
        <v>0.6</v>
      </c>
      <c r="AA65" s="44">
        <f>IFERROR(SUMIF('1店辅助表'!AC:AC,B:B,'1店辅助表'!AF:AF),0)</f>
        <v>1</v>
      </c>
      <c r="AB65" s="91" t="str">
        <f>IFERROR(SUMIF('1店辅助表'!K:K,B:B,'1店辅助表'!N:N)/SUMIF('1店辅助表'!K:K,B:B,'1店辅助表'!O:O),"-")</f>
        <v>-</v>
      </c>
      <c r="AC65" s="91">
        <f>IFERROR(VLOOKUP($B:$B,'[1]1店'!$B:$AB,27,FALSE),"-")</f>
        <v>0.0444938820912125</v>
      </c>
      <c r="AD65" s="92" t="str">
        <f t="shared" si="28"/>
        <v>-</v>
      </c>
      <c r="AE65" s="91">
        <f>IFERROR(SUMIF('1店辅助表'!T:T,B:B,'1店辅助表'!W:W)/SUMIF('1店辅助表'!T:T,B:B,'1店辅助表'!X:X),"-")</f>
        <v>0.0667408231368187</v>
      </c>
      <c r="AF65" s="91">
        <f>IFERROR(SUMIF('1店辅助表'!AC:AC,B:B,'1店辅助表'!AF:AF)/SUMIF('1店辅助表'!AC:AC,B:B,'1店辅助表'!AG:AG),"-")</f>
        <v>0.111234705228031</v>
      </c>
      <c r="AG65" s="99">
        <f>IFERROR(AK65/((SUMIF('1店辅助表'!AT:AT,B:B,'1店辅助表'!AU:AU)+M65)/2),"-")</f>
        <v>0.0555555555555556</v>
      </c>
      <c r="AH65" s="99">
        <f>IFERROR(AL65/((SUMIF('1店辅助表'!AW:AW,B:B,'1店辅助表'!AX:AX)+M65)/2),"-")</f>
        <v>0.162162162162162</v>
      </c>
      <c r="AI65" s="100">
        <f>IFERROR((SUMIF('1店辅助表'!AP:AP,B:B,'1店辅助表'!AR:AR)-SUMIF('1店辅助表'!AP:AP,B:B,'1店辅助表'!AR:AR)*0.15-(L65+IFERROR(VLOOKUP(B:B,'1店辅助表'!AZ:BA,2,0),0))*O65-IF(AN:AN="US",6.85,4.9)*(Z65+3.99*O65))/SUMIF('1店辅助表'!AP:AP,B:B,'1店辅助表'!AR:AR),"-")</f>
        <v>0.223651177707591</v>
      </c>
      <c r="AJ65" s="100">
        <f t="shared" si="29"/>
        <v>0.0362677585471769</v>
      </c>
      <c r="AK65" s="101">
        <f t="shared" si="30"/>
        <v>9.289</v>
      </c>
      <c r="AL65" s="101">
        <f t="shared" si="31"/>
        <v>27.867</v>
      </c>
      <c r="AM65" s="1" t="str">
        <f>VLOOKUP(B:B,'1店辅助表'!$AZ:$BB,1,FALSE)</f>
        <v>Y1074-WH</v>
      </c>
      <c r="AN65" s="1" t="str">
        <f>VLOOKUP(B:B,'1店辅助表'!AZ:BB,3,FALSE)</f>
        <v>US</v>
      </c>
    </row>
    <row r="66" customHeight="1" spans="1:40">
      <c r="A66" s="58" t="str">
        <f>INDEX('[1]1店'!$A:$A,MATCH(B:B,'[1]1店'!$B:$B,0))</f>
        <v>秀青</v>
      </c>
      <c r="B66" s="43" t="s">
        <v>235</v>
      </c>
      <c r="C66" s="43" t="s">
        <v>236</v>
      </c>
      <c r="D66" s="59">
        <f>VLOOKUP(B:B,'[1]1店'!$B:$L,3,0)</f>
        <v>44973</v>
      </c>
      <c r="E66" s="43" t="s">
        <v>237</v>
      </c>
      <c r="F66" s="43">
        <v>27</v>
      </c>
      <c r="G66" s="43">
        <v>0</v>
      </c>
      <c r="H66" s="43">
        <v>0</v>
      </c>
      <c r="I66" s="43">
        <v>0</v>
      </c>
      <c r="J66" s="43">
        <v>0</v>
      </c>
      <c r="K66" s="63">
        <f t="shared" si="20"/>
        <v>27</v>
      </c>
      <c r="L66" s="64">
        <f>VLOOKUP($B:$B,'[1]1店'!$B:$L,11,0)</f>
        <v>8.8</v>
      </c>
      <c r="M66" s="44">
        <f t="shared" si="21"/>
        <v>237.6</v>
      </c>
      <c r="N66" s="186">
        <f>IFERROR(VLOOKUP(B:B,'1店辅助表'!B:C,2,FALSE),0)</f>
        <v>0</v>
      </c>
      <c r="O66" s="186">
        <f>IFERROR(VLOOKUP(B:B,'1店辅助表'!E:F,2,FALSE),0)</f>
        <v>0</v>
      </c>
      <c r="P66" s="186">
        <f>IFERROR(VLOOKUP(B:B,'1店辅助表'!H:I,2,FALSE),0)</f>
        <v>0</v>
      </c>
      <c r="Q66" s="65">
        <f>IFERROR(VLOOKUP($B:$B,'[1]1店'!$B:$N,13,FALSE),0)</f>
        <v>0</v>
      </c>
      <c r="R66" s="79">
        <f t="shared" si="22"/>
        <v>0</v>
      </c>
      <c r="S66" s="80" t="str">
        <f t="shared" si="23"/>
        <v>-</v>
      </c>
      <c r="T66" s="44" t="str">
        <f t="shared" si="24"/>
        <v>-</v>
      </c>
      <c r="U66" s="188" t="str">
        <f>IFERROR(VLOOKUP($B:$B,'[1]1店'!$B:$T,19,FALSE),0)</f>
        <v>-</v>
      </c>
      <c r="V66" s="81" t="str">
        <f t="shared" si="25"/>
        <v>-</v>
      </c>
      <c r="W66" s="82" t="str">
        <f t="shared" si="26"/>
        <v>有库存无销量</v>
      </c>
      <c r="X66" s="83" t="str">
        <f t="shared" si="27"/>
        <v>有库存无销量</v>
      </c>
      <c r="Y66" s="44">
        <f>IFERROR(SUMIF('1店辅助表'!K:K,B:B,'1店辅助表'!N:N),0)</f>
        <v>0</v>
      </c>
      <c r="Z66" s="44">
        <f>IFERROR(SUMIF('1店辅助表'!T:T,B:B,'1店辅助表'!W:W),0)</f>
        <v>0.02056</v>
      </c>
      <c r="AA66" s="44">
        <f>IFERROR(SUMIF('1店辅助表'!AC:AC,B:B,'1店辅助表'!AF:AF),0)</f>
        <v>0.03766</v>
      </c>
      <c r="AB66" s="91" t="str">
        <f>IFERROR(SUMIF('1店辅助表'!K:K,B:B,'1店辅助表'!N:N)/SUMIF('1店辅助表'!K:K,B:B,'1店辅助表'!O:O),"-")</f>
        <v>-</v>
      </c>
      <c r="AC66" s="91" t="str">
        <f>IFERROR(VLOOKUP($B:$B,'[1]1店'!$B:$AB,27,FALSE),"-")</f>
        <v>-</v>
      </c>
      <c r="AD66" s="92" t="str">
        <f t="shared" si="28"/>
        <v>-</v>
      </c>
      <c r="AE66" s="91" t="str">
        <f>IFERROR(SUMIF('1店辅助表'!T:T,B:B,'1店辅助表'!W:W)/SUMIF('1店辅助表'!T:T,B:B,'1店辅助表'!X:X),"-")</f>
        <v>-</v>
      </c>
      <c r="AF66" s="91" t="str">
        <f>IFERROR(SUMIF('1店辅助表'!AC:AC,B:B,'1店辅助表'!AF:AF)/SUMIF('1店辅助表'!AC:AC,B:B,'1店辅助表'!AG:AG),"-")</f>
        <v>-</v>
      </c>
      <c r="AG66" s="99">
        <f>IFERROR(AK66/((SUMIF('1店辅助表'!AT:AT,B:B,'1店辅助表'!AU:AU)+M66)/2),"-")</f>
        <v>0</v>
      </c>
      <c r="AH66" s="99">
        <f>IFERROR(AL66/((SUMIF('1店辅助表'!AW:AW,B:B,'1店辅助表'!AX:AX)+M66)/2),"-")</f>
        <v>0</v>
      </c>
      <c r="AI66" s="100" t="str">
        <f>IFERROR((SUMIF('1店辅助表'!AP:AP,B:B,'1店辅助表'!AR:AR)-SUMIF('1店辅助表'!AP:AP,B:B,'1店辅助表'!AR:AR)*0.15-(L66+IFERROR(VLOOKUP(B:B,'1店辅助表'!AZ:BA,2,0),0))*O66-IF(AN:AN="US",6.85,4.9)*(Z66+3.99*O66))/SUMIF('1店辅助表'!AP:AP,B:B,'1店辅助表'!AR:AR),"-")</f>
        <v>-</v>
      </c>
      <c r="AJ66" s="100" t="str">
        <f t="shared" si="29"/>
        <v>-</v>
      </c>
      <c r="AK66" s="101">
        <f t="shared" si="30"/>
        <v>0</v>
      </c>
      <c r="AL66" s="101">
        <f t="shared" si="31"/>
        <v>0</v>
      </c>
      <c r="AM66" s="1" t="str">
        <f>VLOOKUP(B:B,'1店辅助表'!$AZ:$BB,1,FALSE)</f>
        <v>Y1075-MG</v>
      </c>
      <c r="AN66" s="1" t="str">
        <f>VLOOKUP(B:B,'1店辅助表'!AZ:BB,3,FALSE)</f>
        <v>US</v>
      </c>
    </row>
    <row r="67" customHeight="1" spans="1:40">
      <c r="A67" s="58" t="str">
        <f>INDEX('[1]1店'!$A:$A,MATCH(B:B,'[1]1店'!$B:$B,0))</f>
        <v>秀青</v>
      </c>
      <c r="B67" s="43" t="s">
        <v>238</v>
      </c>
      <c r="C67" s="43" t="s">
        <v>239</v>
      </c>
      <c r="D67" s="59">
        <f>VLOOKUP(B:B,'[1]1店'!$B:$L,3,0)</f>
        <v>44973</v>
      </c>
      <c r="E67" s="43" t="s">
        <v>240</v>
      </c>
      <c r="F67" s="43">
        <v>25</v>
      </c>
      <c r="G67" s="43">
        <v>0</v>
      </c>
      <c r="H67" s="43">
        <v>0</v>
      </c>
      <c r="I67" s="43">
        <v>0</v>
      </c>
      <c r="J67" s="43">
        <v>0</v>
      </c>
      <c r="K67" s="63">
        <f t="shared" si="20"/>
        <v>25</v>
      </c>
      <c r="L67" s="64">
        <f>VLOOKUP($B:$B,'[1]1店'!$B:$L,11,0)</f>
        <v>8.8</v>
      </c>
      <c r="M67" s="44">
        <f t="shared" si="21"/>
        <v>220</v>
      </c>
      <c r="N67" s="186">
        <f>IFERROR(VLOOKUP(B:B,'1店辅助表'!B:C,2,FALSE),0)</f>
        <v>0</v>
      </c>
      <c r="O67" s="186">
        <f>IFERROR(VLOOKUP(B:B,'1店辅助表'!E:F,2,FALSE),0)</f>
        <v>0</v>
      </c>
      <c r="P67" s="186">
        <f>IFERROR(VLOOKUP(B:B,'1店辅助表'!H:I,2,FALSE),0)</f>
        <v>1</v>
      </c>
      <c r="Q67" s="65">
        <f>IFERROR(VLOOKUP($B:$B,'[1]1店'!$B:$N,13,FALSE),0)</f>
        <v>0</v>
      </c>
      <c r="R67" s="79">
        <f t="shared" si="22"/>
        <v>0</v>
      </c>
      <c r="S67" s="80">
        <f t="shared" si="23"/>
        <v>2250</v>
      </c>
      <c r="T67" s="44">
        <f t="shared" si="24"/>
        <v>75</v>
      </c>
      <c r="U67" s="188">
        <f>IFERROR(VLOOKUP($B:$B,'[1]1店'!$B:$T,19,FALSE),0)</f>
        <v>75</v>
      </c>
      <c r="V67" s="81">
        <f t="shared" si="25"/>
        <v>0</v>
      </c>
      <c r="W67" s="82" t="str">
        <f t="shared" si="26"/>
        <v>有库存无销量</v>
      </c>
      <c r="X67" s="83" t="str">
        <f t="shared" si="27"/>
        <v>库存过高</v>
      </c>
      <c r="Y67" s="44">
        <f>IFERROR(SUMIF('1店辅助表'!K:K,B:B,'1店辅助表'!N:N),0)</f>
        <v>0</v>
      </c>
      <c r="Z67" s="44">
        <f>IFERROR(SUMIF('1店辅助表'!T:T,B:B,'1店辅助表'!W:W),0)</f>
        <v>0.00745</v>
      </c>
      <c r="AA67" s="44">
        <f>IFERROR(SUMIF('1店辅助表'!AC:AC,B:B,'1店辅助表'!AF:AF),0)</f>
        <v>0.92997</v>
      </c>
      <c r="AB67" s="91" t="str">
        <f>IFERROR(SUMIF('1店辅助表'!K:K,B:B,'1店辅助表'!N:N)/SUMIF('1店辅助表'!K:K,B:B,'1店辅助表'!O:O),"-")</f>
        <v>-</v>
      </c>
      <c r="AC67" s="91" t="str">
        <f>IFERROR(VLOOKUP($B:$B,'[1]1店'!$B:$AB,27,FALSE),"-")</f>
        <v>-</v>
      </c>
      <c r="AD67" s="92" t="str">
        <f t="shared" si="28"/>
        <v>-</v>
      </c>
      <c r="AE67" s="91" t="str">
        <f>IFERROR(SUMIF('1店辅助表'!T:T,B:B,'1店辅助表'!W:W)/SUMIF('1店辅助表'!T:T,B:B,'1店辅助表'!X:X),"-")</f>
        <v>-</v>
      </c>
      <c r="AF67" s="91" t="str">
        <f>IFERROR(SUMIF('1店辅助表'!AC:AC,B:B,'1店辅助表'!AF:AF)/SUMIF('1店辅助表'!AC:AC,B:B,'1店辅助表'!AG:AG),"-")</f>
        <v>-</v>
      </c>
      <c r="AG67" s="99">
        <f>IFERROR(AK67/((SUMIF('1店辅助表'!AT:AT,B:B,'1店辅助表'!AU:AU)+M67)/2),"-")</f>
        <v>0</v>
      </c>
      <c r="AH67" s="99">
        <f>IFERROR(AL67/((SUMIF('1店辅助表'!AW:AW,B:B,'1店辅助表'!AX:AX)+M67)/2),"-")</f>
        <v>0</v>
      </c>
      <c r="AI67" s="100" t="str">
        <f>IFERROR((SUMIF('1店辅助表'!AP:AP,B:B,'1店辅助表'!AR:AR)-SUMIF('1店辅助表'!AP:AP,B:B,'1店辅助表'!AR:AR)*0.15-(L67+IFERROR(VLOOKUP(B:B,'1店辅助表'!AZ:BA,2,0),0))*O67-IF(AN:AN="US",6.85,4.9)*(Z67+3.99*O67))/SUMIF('1店辅助表'!AP:AP,B:B,'1店辅助表'!AR:AR),"-")</f>
        <v>-</v>
      </c>
      <c r="AJ67" s="100" t="str">
        <f t="shared" si="29"/>
        <v>-</v>
      </c>
      <c r="AK67" s="101">
        <f t="shared" si="30"/>
        <v>0</v>
      </c>
      <c r="AL67" s="101">
        <f t="shared" si="31"/>
        <v>0</v>
      </c>
      <c r="AM67" s="1" t="str">
        <f>VLOOKUP(B:B,'1店辅助表'!$AZ:$BB,1,FALSE)</f>
        <v>Y1075-RE</v>
      </c>
      <c r="AN67" s="1" t="str">
        <f>VLOOKUP(B:B,'1店辅助表'!AZ:BB,3,FALSE)</f>
        <v>US</v>
      </c>
    </row>
    <row r="68" customHeight="1" spans="1:40">
      <c r="A68" s="58" t="str">
        <f>INDEX('[1]1店'!$A:$A,MATCH(B:B,'[1]1店'!$B:$B,0))</f>
        <v>秀青</v>
      </c>
      <c r="B68" s="43" t="s">
        <v>241</v>
      </c>
      <c r="C68" s="43" t="s">
        <v>242</v>
      </c>
      <c r="D68" s="59">
        <f>VLOOKUP(B:B,'[1]1店'!$B:$L,3,0)</f>
        <v>44973</v>
      </c>
      <c r="E68" s="43" t="s">
        <v>243</v>
      </c>
      <c r="F68" s="43">
        <v>47</v>
      </c>
      <c r="G68" s="43">
        <v>0</v>
      </c>
      <c r="H68" s="43">
        <v>0</v>
      </c>
      <c r="I68" s="43">
        <v>0</v>
      </c>
      <c r="J68" s="43">
        <v>0</v>
      </c>
      <c r="K68" s="63">
        <f t="shared" ref="K68:K99" si="32">F68+G68+H68+I68+J68</f>
        <v>47</v>
      </c>
      <c r="L68" s="64">
        <f>VLOOKUP($B:$B,'[1]1店'!$B:$L,11,0)</f>
        <v>4.8</v>
      </c>
      <c r="M68" s="44">
        <f t="shared" si="21"/>
        <v>225.6</v>
      </c>
      <c r="N68" s="186">
        <f>IFERROR(VLOOKUP(B:B,'1店辅助表'!B:C,2,FALSE),0)</f>
        <v>0</v>
      </c>
      <c r="O68" s="186">
        <f>IFERROR(VLOOKUP(B:B,'1店辅助表'!E:F,2,FALSE),0)</f>
        <v>0</v>
      </c>
      <c r="P68" s="186">
        <f>IFERROR(VLOOKUP(B:B,'1店辅助表'!H:I,2,FALSE),0)</f>
        <v>1</v>
      </c>
      <c r="Q68" s="65">
        <f>IFERROR(VLOOKUP($B:$B,'[1]1店'!$B:$N,13,FALSE),0)</f>
        <v>0</v>
      </c>
      <c r="R68" s="79">
        <f t="shared" si="22"/>
        <v>0</v>
      </c>
      <c r="S68" s="80">
        <f t="shared" si="23"/>
        <v>4230</v>
      </c>
      <c r="T68" s="44">
        <f t="shared" si="24"/>
        <v>141</v>
      </c>
      <c r="U68" s="188">
        <f>IFERROR(VLOOKUP($B:$B,'[1]1店'!$B:$T,19,FALSE),0)</f>
        <v>70.5</v>
      </c>
      <c r="V68" s="81">
        <f t="shared" si="25"/>
        <v>70.5</v>
      </c>
      <c r="W68" s="82" t="str">
        <f t="shared" si="26"/>
        <v>有库存无销量</v>
      </c>
      <c r="X68" s="83" t="str">
        <f t="shared" si="27"/>
        <v>库存过高</v>
      </c>
      <c r="Y68" s="44">
        <f>IFERROR(SUMIF('1店辅助表'!K:K,B:B,'1店辅助表'!N:N),0)</f>
        <v>0</v>
      </c>
      <c r="Z68" s="44">
        <f>IFERROR(SUMIF('1店辅助表'!T:T,B:B,'1店辅助表'!W:W),0)</f>
        <v>0.28</v>
      </c>
      <c r="AA68" s="44">
        <f>IFERROR(SUMIF('1店辅助表'!AC:AC,B:B,'1店辅助表'!AF:AF),0)</f>
        <v>1.81</v>
      </c>
      <c r="AB68" s="91" t="str">
        <f>IFERROR(SUMIF('1店辅助表'!K:K,B:B,'1店辅助表'!N:N)/SUMIF('1店辅助表'!K:K,B:B,'1店辅助表'!O:O),"-")</f>
        <v>-</v>
      </c>
      <c r="AC68" s="91" t="str">
        <f>IFERROR(VLOOKUP($B:$B,'[1]1店'!$B:$AB,27,FALSE),"-")</f>
        <v>-</v>
      </c>
      <c r="AD68" s="92" t="str">
        <f t="shared" si="28"/>
        <v>-</v>
      </c>
      <c r="AE68" s="91" t="str">
        <f>IFERROR(SUMIF('1店辅助表'!T:T,B:B,'1店辅助表'!W:W)/SUMIF('1店辅助表'!T:T,B:B,'1店辅助表'!X:X),"-")</f>
        <v>-</v>
      </c>
      <c r="AF68" s="91" t="str">
        <f>IFERROR(SUMIF('1店辅助表'!AC:AC,B:B,'1店辅助表'!AF:AF)/SUMIF('1店辅助表'!AC:AC,B:B,'1店辅助表'!AG:AG),"-")</f>
        <v>-</v>
      </c>
      <c r="AG68" s="99">
        <f>IFERROR(AK68/((SUMIF('1店辅助表'!AT:AT,B:B,'1店辅助表'!AU:AU)+M68)/2),"-")</f>
        <v>0</v>
      </c>
      <c r="AH68" s="99">
        <f>IFERROR(AL68/((SUMIF('1店辅助表'!AW:AW,B:B,'1店辅助表'!AX:AX)+M68)/2),"-")</f>
        <v>0</v>
      </c>
      <c r="AI68" s="100" t="str">
        <f>IFERROR((SUMIF('1店辅助表'!AP:AP,B:B,'1店辅助表'!AR:AR)-SUMIF('1店辅助表'!AP:AP,B:B,'1店辅助表'!AR:AR)*0.15-(L68+IFERROR(VLOOKUP(B:B,'1店辅助表'!AZ:BA,2,0),0))*O68-IF(AN:AN="US",6.85,4.9)*(Z68+3.99*O68))/SUMIF('1店辅助表'!AP:AP,B:B,'1店辅助表'!AR:AR),"-")</f>
        <v>-</v>
      </c>
      <c r="AJ68" s="100" t="str">
        <f t="shared" si="29"/>
        <v>-</v>
      </c>
      <c r="AK68" s="101">
        <f t="shared" si="30"/>
        <v>0</v>
      </c>
      <c r="AL68" s="101">
        <f t="shared" si="31"/>
        <v>0</v>
      </c>
      <c r="AM68" s="1" t="str">
        <f>VLOOKUP(B:B,'1店辅助表'!$AZ:$BB,1,FALSE)</f>
        <v>Y1075-WH</v>
      </c>
      <c r="AN68" s="1" t="str">
        <f>VLOOKUP(B:B,'1店辅助表'!AZ:BB,3,FALSE)</f>
        <v>US</v>
      </c>
    </row>
    <row r="69" customHeight="1" spans="1:40">
      <c r="A69" s="58" t="str">
        <f>INDEX('[1]1店'!$A:$A,MATCH(B:B,'[1]1店'!$B:$B,0))</f>
        <v>秀青</v>
      </c>
      <c r="B69" s="43" t="s">
        <v>244</v>
      </c>
      <c r="C69" s="43" t="s">
        <v>245</v>
      </c>
      <c r="D69" s="59">
        <f>VLOOKUP(B:B,'[1]1店'!$B:$L,3,0)</f>
        <v>44973</v>
      </c>
      <c r="E69" s="43" t="s">
        <v>246</v>
      </c>
      <c r="F69" s="43">
        <v>34</v>
      </c>
      <c r="G69" s="43">
        <v>0</v>
      </c>
      <c r="H69" s="43">
        <v>0</v>
      </c>
      <c r="I69" s="43">
        <v>0</v>
      </c>
      <c r="J69" s="43">
        <v>0</v>
      </c>
      <c r="K69" s="63">
        <f t="shared" si="32"/>
        <v>34</v>
      </c>
      <c r="L69" s="64">
        <f>VLOOKUP($B:$B,'[1]1店'!$B:$L,11,0)</f>
        <v>8.758</v>
      </c>
      <c r="M69" s="44">
        <f t="shared" ref="M69:M100" si="33">K69*L69</f>
        <v>297.772</v>
      </c>
      <c r="N69" s="186">
        <f>IFERROR(VLOOKUP(B:B,'1店辅助表'!B:C,2,FALSE),0)</f>
        <v>1</v>
      </c>
      <c r="O69" s="186">
        <f>IFERROR(VLOOKUP(B:B,'1店辅助表'!E:F,2,FALSE),0)</f>
        <v>1</v>
      </c>
      <c r="P69" s="186">
        <f>IFERROR(VLOOKUP(B:B,'1店辅助表'!H:I,2,FALSE),0)</f>
        <v>1</v>
      </c>
      <c r="Q69" s="65">
        <f>IFERROR(VLOOKUP($B:$B,'[1]1店'!$B:$N,13,FALSE),0)</f>
        <v>0</v>
      </c>
      <c r="R69" s="79">
        <f t="shared" si="22"/>
        <v>1</v>
      </c>
      <c r="S69" s="80">
        <f t="shared" si="23"/>
        <v>420</v>
      </c>
      <c r="T69" s="44">
        <f t="shared" si="24"/>
        <v>14</v>
      </c>
      <c r="U69" s="188">
        <f>IFERROR(VLOOKUP($B:$B,'[1]1店'!$B:$T,19,FALSE),0)</f>
        <v>105</v>
      </c>
      <c r="V69" s="81">
        <f t="shared" si="25"/>
        <v>-91</v>
      </c>
      <c r="W69" s="82" t="str">
        <f t="shared" si="26"/>
        <v>库存过高</v>
      </c>
      <c r="X69" s="83" t="str">
        <f t="shared" si="27"/>
        <v>库存过高</v>
      </c>
      <c r="Y69" s="44">
        <f>IFERROR(SUMIF('1店辅助表'!K:K,B:B,'1店辅助表'!N:N),0)</f>
        <v>0.01678</v>
      </c>
      <c r="Z69" s="44">
        <f>IFERROR(SUMIF('1店辅助表'!T:T,B:B,'1店辅助表'!W:W),0)</f>
        <v>0.02847</v>
      </c>
      <c r="AA69" s="44">
        <f>IFERROR(SUMIF('1店辅助表'!AC:AC,B:B,'1店辅助表'!AF:AF),0)</f>
        <v>0.04165</v>
      </c>
      <c r="AB69" s="91" t="str">
        <f>IFERROR(SUMIF('1店辅助表'!K:K,B:B,'1店辅助表'!N:N)/SUMIF('1店辅助表'!K:K,B:B,'1店辅助表'!O:O),"-")</f>
        <v>-</v>
      </c>
      <c r="AC69" s="91" t="str">
        <f>IFERROR(VLOOKUP($B:$B,'[1]1店'!$B:$AB,27,FALSE),"-")</f>
        <v>-</v>
      </c>
      <c r="AD69" s="92" t="str">
        <f t="shared" si="28"/>
        <v>-</v>
      </c>
      <c r="AE69" s="91" t="str">
        <f>IFERROR(SUMIF('1店辅助表'!T:T,B:B,'1店辅助表'!W:W)/SUMIF('1店辅助表'!T:T,B:B,'1店辅助表'!X:X),"-")</f>
        <v>-</v>
      </c>
      <c r="AF69" s="91" t="str">
        <f>IFERROR(SUMIF('1店辅助表'!AC:AC,B:B,'1店辅助表'!AF:AF)/SUMIF('1店辅助表'!AC:AC,B:B,'1店辅助表'!AG:AG),"-")</f>
        <v>-</v>
      </c>
      <c r="AG69" s="99">
        <f>IFERROR(AK69/((SUMIF('1店辅助表'!AT:AT,B:B,'1店辅助表'!AU:AU)+M69)/2),"-")</f>
        <v>0.0289855072463768</v>
      </c>
      <c r="AH69" s="99">
        <f>IFERROR(AL69/((SUMIF('1店辅助表'!AW:AW,B:B,'1店辅助表'!AX:AX)+M69)/2),"-")</f>
        <v>0.0294117647058824</v>
      </c>
      <c r="AI69" s="100" t="str">
        <f>IFERROR((SUMIF('1店辅助表'!AP:AP,B:B,'1店辅助表'!AR:AR)-SUMIF('1店辅助表'!AP:AP,B:B,'1店辅助表'!AR:AR)*0.15-(L69+IFERROR(VLOOKUP(B:B,'1店辅助表'!AZ:BA,2,0),0))*O69-IF(AN:AN="US",6.85,4.9)*(Z69+3.99*O69))/SUMIF('1店辅助表'!AP:AP,B:B,'1店辅助表'!AR:AR),"-")</f>
        <v>-</v>
      </c>
      <c r="AJ69" s="100" t="str">
        <f t="shared" si="29"/>
        <v>-</v>
      </c>
      <c r="AK69" s="101">
        <f t="shared" si="30"/>
        <v>8.758</v>
      </c>
      <c r="AL69" s="101">
        <f t="shared" si="31"/>
        <v>8.758</v>
      </c>
      <c r="AM69" s="1" t="str">
        <f>VLOOKUP(B:B,'1店辅助表'!$AZ:$BB,1,FALSE)</f>
        <v>Y1076-BG</v>
      </c>
      <c r="AN69" s="1" t="str">
        <f>VLOOKUP(B:B,'1店辅助表'!AZ:BB,3,FALSE)</f>
        <v>US</v>
      </c>
    </row>
    <row r="70" customHeight="1" spans="1:40">
      <c r="A70" s="58" t="str">
        <f>INDEX('[1]1店'!$A:$A,MATCH(B:B,'[1]1店'!$B:$B,0))</f>
        <v>秀青</v>
      </c>
      <c r="B70" s="43" t="s">
        <v>247</v>
      </c>
      <c r="C70" s="43" t="s">
        <v>248</v>
      </c>
      <c r="D70" s="59">
        <f>VLOOKUP(B:B,'[1]1店'!$B:$L,3,0)</f>
        <v>44973</v>
      </c>
      <c r="E70" s="43" t="s">
        <v>249</v>
      </c>
      <c r="F70" s="43">
        <v>35</v>
      </c>
      <c r="G70" s="43">
        <v>0</v>
      </c>
      <c r="H70" s="43">
        <v>0</v>
      </c>
      <c r="I70" s="43">
        <v>0</v>
      </c>
      <c r="J70" s="43">
        <v>0</v>
      </c>
      <c r="K70" s="63">
        <f t="shared" si="32"/>
        <v>35</v>
      </c>
      <c r="L70" s="64">
        <f>VLOOKUP($B:$B,'[1]1店'!$B:$L,11,0)</f>
        <v>8.758</v>
      </c>
      <c r="M70" s="44">
        <f t="shared" si="33"/>
        <v>306.53</v>
      </c>
      <c r="N70" s="186">
        <f>IFERROR(VLOOKUP(B:B,'1店辅助表'!B:C,2,FALSE),0)</f>
        <v>0</v>
      </c>
      <c r="O70" s="186">
        <f>IFERROR(VLOOKUP(B:B,'1店辅助表'!E:F,2,FALSE),0)</f>
        <v>0</v>
      </c>
      <c r="P70" s="186">
        <f>IFERROR(VLOOKUP(B:B,'1店辅助表'!H:I,2,FALSE),0)</f>
        <v>1</v>
      </c>
      <c r="Q70" s="65">
        <f>IFERROR(VLOOKUP($B:$B,'[1]1店'!$B:$N,13,FALSE),0)</f>
        <v>0</v>
      </c>
      <c r="R70" s="79">
        <f t="shared" si="22"/>
        <v>0</v>
      </c>
      <c r="S70" s="80">
        <f t="shared" si="23"/>
        <v>3150</v>
      </c>
      <c r="T70" s="44">
        <f t="shared" si="24"/>
        <v>105</v>
      </c>
      <c r="U70" s="188">
        <f>IFERROR(VLOOKUP($B:$B,'[1]1店'!$B:$T,19,FALSE),0)</f>
        <v>35</v>
      </c>
      <c r="V70" s="81">
        <f t="shared" si="25"/>
        <v>70</v>
      </c>
      <c r="W70" s="82" t="str">
        <f t="shared" si="26"/>
        <v>有库存无销量</v>
      </c>
      <c r="X70" s="83" t="str">
        <f t="shared" si="27"/>
        <v>库存过高</v>
      </c>
      <c r="Y70" s="44">
        <f>IFERROR(SUMIF('1店辅助表'!K:K,B:B,'1店辅助表'!N:N),0)</f>
        <v>0.79558</v>
      </c>
      <c r="Z70" s="44">
        <f>IFERROR(SUMIF('1店辅助表'!T:T,B:B,'1店辅助表'!W:W),0)</f>
        <v>1.36429</v>
      </c>
      <c r="AA70" s="44">
        <f>IFERROR(SUMIF('1店辅助表'!AC:AC,B:B,'1店辅助表'!AF:AF),0)</f>
        <v>3.62039</v>
      </c>
      <c r="AB70" s="91" t="str">
        <f>IFERROR(SUMIF('1店辅助表'!K:K,B:B,'1店辅助表'!N:N)/SUMIF('1店辅助表'!K:K,B:B,'1店辅助表'!O:O),"-")</f>
        <v>-</v>
      </c>
      <c r="AC70" s="91" t="str">
        <f>IFERROR(VLOOKUP($B:$B,'[1]1店'!$B:$AB,27,FALSE),"-")</f>
        <v>-</v>
      </c>
      <c r="AD70" s="92" t="str">
        <f t="shared" si="28"/>
        <v>-</v>
      </c>
      <c r="AE70" s="91" t="str">
        <f>IFERROR(SUMIF('1店辅助表'!T:T,B:B,'1店辅助表'!W:W)/SUMIF('1店辅助表'!T:T,B:B,'1店辅助表'!X:X),"-")</f>
        <v>-</v>
      </c>
      <c r="AF70" s="91">
        <f>IFERROR(SUMIF('1店辅助表'!AC:AC,B:B,'1店辅助表'!AF:AF)/SUMIF('1店辅助表'!AC:AC,B:B,'1店辅助表'!AG:AG),"-")</f>
        <v>0.362401401401401</v>
      </c>
      <c r="AG70" s="99">
        <f>IFERROR(AK70/((SUMIF('1店辅助表'!AT:AT,B:B,'1店辅助表'!AU:AU)+M70)/2),"-")</f>
        <v>0</v>
      </c>
      <c r="AH70" s="99">
        <f>IFERROR(AL70/((SUMIF('1店辅助表'!AW:AW,B:B,'1店辅助表'!AX:AX)+M70)/2),"-")</f>
        <v>0</v>
      </c>
      <c r="AI70" s="100" t="str">
        <f>IFERROR((SUMIF('1店辅助表'!AP:AP,B:B,'1店辅助表'!AR:AR)-SUMIF('1店辅助表'!AP:AP,B:B,'1店辅助表'!AR:AR)*0.15-(L70+IFERROR(VLOOKUP(B:B,'1店辅助表'!AZ:BA,2,0),0))*O70-IF(AN:AN="US",6.85,4.9)*(Z70+3.99*O70))/SUMIF('1店辅助表'!AP:AP,B:B,'1店辅助表'!AR:AR),"-")</f>
        <v>-</v>
      </c>
      <c r="AJ70" s="100" t="str">
        <f t="shared" si="29"/>
        <v>-</v>
      </c>
      <c r="AK70" s="101">
        <f t="shared" si="30"/>
        <v>0</v>
      </c>
      <c r="AL70" s="101">
        <f t="shared" si="31"/>
        <v>0</v>
      </c>
      <c r="AM70" s="1" t="str">
        <f>VLOOKUP(B:B,'1店辅助表'!$AZ:$BB,1,FALSE)</f>
        <v>Y1076-BL</v>
      </c>
      <c r="AN70" s="1" t="str">
        <f>VLOOKUP(B:B,'1店辅助表'!AZ:BB,3,FALSE)</f>
        <v>US</v>
      </c>
    </row>
    <row r="71" customHeight="1" spans="1:40">
      <c r="A71" s="58" t="str">
        <f>INDEX('[1]1店'!$A:$A,MATCH(B:B,'[1]1店'!$B:$B,0))</f>
        <v>秀青</v>
      </c>
      <c r="B71" s="43" t="s">
        <v>250</v>
      </c>
      <c r="C71" s="43" t="s">
        <v>251</v>
      </c>
      <c r="D71" s="59">
        <f>VLOOKUP(B:B,'[1]1店'!$B:$L,3,0)</f>
        <v>44973</v>
      </c>
      <c r="E71" s="43" t="s">
        <v>252</v>
      </c>
      <c r="F71" s="43">
        <v>14</v>
      </c>
      <c r="G71" s="43">
        <v>0</v>
      </c>
      <c r="H71" s="43">
        <v>0</v>
      </c>
      <c r="I71" s="43">
        <v>0</v>
      </c>
      <c r="J71" s="43">
        <v>0</v>
      </c>
      <c r="K71" s="63">
        <f t="shared" si="32"/>
        <v>14</v>
      </c>
      <c r="L71" s="64">
        <f>VLOOKUP($B:$B,'[1]1店'!$B:$L,11,0)</f>
        <v>8.758</v>
      </c>
      <c r="M71" s="44">
        <f t="shared" si="33"/>
        <v>122.612</v>
      </c>
      <c r="N71" s="186">
        <f>IFERROR(VLOOKUP(B:B,'1店辅助表'!B:C,2,FALSE),0)</f>
        <v>1</v>
      </c>
      <c r="O71" s="186">
        <f>IFERROR(VLOOKUP(B:B,'1店辅助表'!E:F,2,FALSE),0)</f>
        <v>2</v>
      </c>
      <c r="P71" s="186">
        <f>IFERROR(VLOOKUP(B:B,'1店辅助表'!H:I,2,FALSE),0)</f>
        <v>4</v>
      </c>
      <c r="Q71" s="65">
        <f>IFERROR(VLOOKUP($B:$B,'[1]1店'!$B:$N,13,FALSE),0)</f>
        <v>0</v>
      </c>
      <c r="R71" s="79">
        <f t="shared" si="22"/>
        <v>1</v>
      </c>
      <c r="S71" s="80">
        <f t="shared" si="23"/>
        <v>102.558139534884</v>
      </c>
      <c r="T71" s="44">
        <f t="shared" si="24"/>
        <v>3.41860465116279</v>
      </c>
      <c r="U71" s="188">
        <f>IFERROR(VLOOKUP($B:$B,'[1]1店'!$B:$T,19,FALSE),0)</f>
        <v>5</v>
      </c>
      <c r="V71" s="81">
        <f t="shared" si="25"/>
        <v>-1.58139534883721</v>
      </c>
      <c r="W71" s="82" t="str">
        <f t="shared" si="26"/>
        <v>库存过高</v>
      </c>
      <c r="X71" s="83" t="str">
        <f t="shared" si="27"/>
        <v>库存过高</v>
      </c>
      <c r="Y71" s="44">
        <f>IFERROR(SUMIF('1店辅助表'!K:K,B:B,'1店辅助表'!N:N),0)</f>
        <v>0.01604</v>
      </c>
      <c r="Z71" s="44">
        <f>IFERROR(SUMIF('1店辅助表'!T:T,B:B,'1店辅助表'!W:W),0)</f>
        <v>0.02318</v>
      </c>
      <c r="AA71" s="44">
        <f>IFERROR(SUMIF('1店辅助表'!AC:AC,B:B,'1店辅助表'!AF:AF),0)</f>
        <v>0.03639</v>
      </c>
      <c r="AB71" s="91" t="str">
        <f>IFERROR(SUMIF('1店辅助表'!K:K,B:B,'1店辅助表'!N:N)/SUMIF('1店辅助表'!K:K,B:B,'1店辅助表'!O:O),"-")</f>
        <v>-</v>
      </c>
      <c r="AC71" s="91" t="str">
        <f>IFERROR(VLOOKUP($B:$B,'[1]1店'!$B:$AB,27,FALSE),"-")</f>
        <v>-</v>
      </c>
      <c r="AD71" s="92" t="str">
        <f t="shared" si="28"/>
        <v>-</v>
      </c>
      <c r="AE71" s="91" t="str">
        <f>IFERROR(SUMIF('1店辅助表'!T:T,B:B,'1店辅助表'!W:W)/SUMIF('1店辅助表'!T:T,B:B,'1店辅助表'!X:X),"-")</f>
        <v>-</v>
      </c>
      <c r="AF71" s="91" t="str">
        <f>IFERROR(SUMIF('1店辅助表'!AC:AC,B:B,'1店辅助表'!AF:AF)/SUMIF('1店辅助表'!AC:AC,B:B,'1店辅助表'!AG:AG),"-")</f>
        <v>-</v>
      </c>
      <c r="AG71" s="99">
        <f>IFERROR(AK71/((SUMIF('1店辅助表'!AT:AT,B:B,'1店辅助表'!AU:AU)+M71)/2),"-")</f>
        <v>0.0689655172413793</v>
      </c>
      <c r="AH71" s="99">
        <f>IFERROR(AL71/((SUMIF('1店辅助表'!AW:AW,B:B,'1店辅助表'!AX:AX)+M71)/2),"-")</f>
        <v>0.125</v>
      </c>
      <c r="AI71" s="100">
        <f>IFERROR((SUMIF('1店辅助表'!AP:AP,B:B,'1店辅助表'!AR:AR)-SUMIF('1店辅助表'!AP:AP,B:B,'1店辅助表'!AR:AR)*0.15-(L71+IFERROR(VLOOKUP(B:B,'1店辅助表'!AZ:BA,2,0),0))*O71-IF(AN:AN="US",6.85,4.9)*(Z71+3.99*O71))/SUMIF('1店辅助表'!AP:AP,B:B,'1店辅助表'!AR:AR),"-")</f>
        <v>0.281378096000681</v>
      </c>
      <c r="AJ71" s="100">
        <f t="shared" si="29"/>
        <v>0.0351722620000851</v>
      </c>
      <c r="AK71" s="101">
        <f t="shared" si="30"/>
        <v>8.758</v>
      </c>
      <c r="AL71" s="101">
        <f t="shared" si="31"/>
        <v>17.516</v>
      </c>
      <c r="AM71" s="1" t="str">
        <f>VLOOKUP(B:B,'1店辅助表'!$AZ:$BB,1,FALSE)</f>
        <v>Y1076-RE</v>
      </c>
      <c r="AN71" s="1" t="str">
        <f>VLOOKUP(B:B,'1店辅助表'!AZ:BB,3,FALSE)</f>
        <v>US</v>
      </c>
    </row>
    <row r="72" customHeight="1" spans="1:40">
      <c r="A72" s="58" t="str">
        <f>INDEX('[1]1店'!$A:$A,MATCH(B:B,'[1]1店'!$B:$B,0))</f>
        <v>秀青</v>
      </c>
      <c r="B72" s="43" t="s">
        <v>253</v>
      </c>
      <c r="C72" s="43" t="s">
        <v>254</v>
      </c>
      <c r="D72" s="59">
        <f>VLOOKUP(B:B,'[1]1店'!$B:$L,3,0)</f>
        <v>44981</v>
      </c>
      <c r="E72" s="43" t="s">
        <v>255</v>
      </c>
      <c r="F72" s="43">
        <v>37</v>
      </c>
      <c r="G72" s="43">
        <v>0</v>
      </c>
      <c r="H72" s="43">
        <v>0</v>
      </c>
      <c r="I72" s="43">
        <v>0</v>
      </c>
      <c r="J72" s="43">
        <v>0</v>
      </c>
      <c r="K72" s="63">
        <f t="shared" si="32"/>
        <v>37</v>
      </c>
      <c r="L72" s="64">
        <f>VLOOKUP($B:$B,'[1]1店'!$B:$L,11,0)</f>
        <v>8.8</v>
      </c>
      <c r="M72" s="44">
        <f t="shared" si="33"/>
        <v>325.6</v>
      </c>
      <c r="N72" s="186">
        <f>IFERROR(VLOOKUP(B:B,'1店辅助表'!B:C,2,FALSE),0)</f>
        <v>0</v>
      </c>
      <c r="O72" s="186">
        <f>IFERROR(VLOOKUP(B:B,'1店辅助表'!E:F,2,FALSE),0)</f>
        <v>2</v>
      </c>
      <c r="P72" s="186">
        <f>IFERROR(VLOOKUP(B:B,'1店辅助表'!H:I,2,FALSE),0)</f>
        <v>2</v>
      </c>
      <c r="Q72" s="65">
        <f>IFERROR(VLOOKUP($B:$B,'[1]1店'!$B:$N,13,FALSE),0)</f>
        <v>2</v>
      </c>
      <c r="R72" s="79">
        <f t="shared" si="22"/>
        <v>-2</v>
      </c>
      <c r="S72" s="80">
        <f t="shared" si="23"/>
        <v>555</v>
      </c>
      <c r="T72" s="44">
        <f t="shared" si="24"/>
        <v>18.5</v>
      </c>
      <c r="U72" s="188">
        <f>IFERROR(VLOOKUP($B:$B,'[1]1店'!$B:$T,19,FALSE),0)</f>
        <v>7.61764705882353</v>
      </c>
      <c r="V72" s="81">
        <f t="shared" si="25"/>
        <v>10.8823529411765</v>
      </c>
      <c r="W72" s="82" t="str">
        <f t="shared" si="26"/>
        <v>有库存无销量</v>
      </c>
      <c r="X72" s="83" t="str">
        <f t="shared" si="27"/>
        <v>库存过高</v>
      </c>
      <c r="Y72" s="44">
        <f>IFERROR(SUMIF('1店辅助表'!K:K,B:B,'1店辅助表'!N:N),0)</f>
        <v>0</v>
      </c>
      <c r="Z72" s="44">
        <f>IFERROR(SUMIF('1店辅助表'!T:T,B:B,'1店辅助表'!W:W),0)</f>
        <v>0.00898</v>
      </c>
      <c r="AA72" s="44">
        <f>IFERROR(SUMIF('1店辅助表'!AC:AC,B:B,'1店辅助表'!AF:AF),0)</f>
        <v>0.0244</v>
      </c>
      <c r="AB72" s="91" t="str">
        <f>IFERROR(SUMIF('1店辅助表'!K:K,B:B,'1店辅助表'!N:N)/SUMIF('1店辅助表'!K:K,B:B,'1店辅助表'!O:O),"-")</f>
        <v>-</v>
      </c>
      <c r="AC72" s="91" t="str">
        <f>IFERROR(VLOOKUP($B:$B,'[1]1店'!$B:$AB,27,FALSE),"-")</f>
        <v>-</v>
      </c>
      <c r="AD72" s="92" t="str">
        <f t="shared" si="28"/>
        <v>-</v>
      </c>
      <c r="AE72" s="91" t="str">
        <f>IFERROR(SUMIF('1店辅助表'!T:T,B:B,'1店辅助表'!W:W)/SUMIF('1店辅助表'!T:T,B:B,'1店辅助表'!X:X),"-")</f>
        <v>-</v>
      </c>
      <c r="AF72" s="91" t="str">
        <f>IFERROR(SUMIF('1店辅助表'!AC:AC,B:B,'1店辅助表'!AF:AF)/SUMIF('1店辅助表'!AC:AC,B:B,'1店辅助表'!AG:AG),"-")</f>
        <v>-</v>
      </c>
      <c r="AG72" s="99">
        <f>IFERROR(AK72/((SUMIF('1店辅助表'!AT:AT,B:B,'1店辅助表'!AU:AU)+M72)/2),"-")</f>
        <v>0</v>
      </c>
      <c r="AH72" s="99">
        <f>IFERROR(AL72/((SUMIF('1店辅助表'!AW:AW,B:B,'1店辅助表'!AX:AX)+M72)/2),"-")</f>
        <v>0.0540540540540541</v>
      </c>
      <c r="AI72" s="100">
        <f>IFERROR((SUMIF('1店辅助表'!AP:AP,B:B,'1店辅助表'!AR:AR)-SUMIF('1店辅助表'!AP:AP,B:B,'1店辅助表'!AR:AR)*0.15-(L72+IFERROR(VLOOKUP(B:B,'1店辅助表'!AZ:BA,2,0),0))*O72-IF(AN:AN="US",6.85,4.9)*(Z72+3.99*O72))/SUMIF('1店辅助表'!AP:AP,B:B,'1店辅助表'!AR:AR),"-")</f>
        <v>0.266977433025928</v>
      </c>
      <c r="AJ72" s="100">
        <f t="shared" si="29"/>
        <v>0.0144312125959961</v>
      </c>
      <c r="AK72" s="101">
        <f t="shared" si="30"/>
        <v>0</v>
      </c>
      <c r="AL72" s="101">
        <f t="shared" si="31"/>
        <v>17.6</v>
      </c>
      <c r="AM72" s="1" t="str">
        <f>VLOOKUP(B:B,'1店辅助表'!$AZ:$BB,1,FALSE)</f>
        <v>Y1078-BL</v>
      </c>
      <c r="AN72" s="1" t="str">
        <f>VLOOKUP(B:B,'1店辅助表'!AZ:BB,3,FALSE)</f>
        <v>US</v>
      </c>
    </row>
    <row r="73" customHeight="1" spans="1:40">
      <c r="A73" s="58" t="str">
        <f>INDEX('[1]1店'!$A:$A,MATCH(B:B,'[1]1店'!$B:$B,0))</f>
        <v>秀青</v>
      </c>
      <c r="B73" s="43" t="s">
        <v>256</v>
      </c>
      <c r="C73" s="43" t="s">
        <v>257</v>
      </c>
      <c r="D73" s="59">
        <f>VLOOKUP(B:B,'[1]1店'!$B:$L,3,0)</f>
        <v>44981</v>
      </c>
      <c r="E73" s="43" t="s">
        <v>258</v>
      </c>
      <c r="F73" s="43">
        <v>27</v>
      </c>
      <c r="G73" s="43">
        <v>0</v>
      </c>
      <c r="H73" s="43">
        <v>0</v>
      </c>
      <c r="I73" s="43">
        <v>0</v>
      </c>
      <c r="J73" s="43">
        <v>0</v>
      </c>
      <c r="K73" s="63">
        <f t="shared" si="32"/>
        <v>27</v>
      </c>
      <c r="L73" s="64">
        <f>VLOOKUP($B:$B,'[1]1店'!$B:$L,11,0)</f>
        <v>8.8</v>
      </c>
      <c r="M73" s="44">
        <f t="shared" si="33"/>
        <v>237.6</v>
      </c>
      <c r="N73" s="186">
        <f>IFERROR(VLOOKUP(B:B,'1店辅助表'!B:C,2,FALSE),0)</f>
        <v>0</v>
      </c>
      <c r="O73" s="186">
        <f>IFERROR(VLOOKUP(B:B,'1店辅助表'!E:F,2,FALSE),0)</f>
        <v>0</v>
      </c>
      <c r="P73" s="186">
        <f>IFERROR(VLOOKUP(B:B,'1店辅助表'!H:I,2,FALSE),0)</f>
        <v>0</v>
      </c>
      <c r="Q73" s="65">
        <f>IFERROR(VLOOKUP($B:$B,'[1]1店'!$B:$N,13,FALSE),0)</f>
        <v>0</v>
      </c>
      <c r="R73" s="79">
        <f t="shared" si="22"/>
        <v>0</v>
      </c>
      <c r="S73" s="80" t="str">
        <f t="shared" si="23"/>
        <v>-</v>
      </c>
      <c r="T73" s="44" t="str">
        <f t="shared" si="24"/>
        <v>-</v>
      </c>
      <c r="U73" s="188">
        <f>IFERROR(VLOOKUP($B:$B,'[1]1店'!$B:$T,19,FALSE),0)</f>
        <v>81</v>
      </c>
      <c r="V73" s="81" t="str">
        <f t="shared" si="25"/>
        <v>-</v>
      </c>
      <c r="W73" s="82" t="str">
        <f t="shared" si="26"/>
        <v>有库存无销量</v>
      </c>
      <c r="X73" s="83" t="str">
        <f t="shared" si="27"/>
        <v>有库存无销量</v>
      </c>
      <c r="Y73" s="44">
        <f>IFERROR(SUMIF('1店辅助表'!K:K,B:B,'1店辅助表'!N:N),0)</f>
        <v>0</v>
      </c>
      <c r="Z73" s="44">
        <f>IFERROR(SUMIF('1店辅助表'!T:T,B:B,'1店辅助表'!W:W),0)</f>
        <v>0.00614</v>
      </c>
      <c r="AA73" s="44">
        <f>IFERROR(SUMIF('1店辅助表'!AC:AC,B:B,'1店辅助表'!AF:AF),0)</f>
        <v>0.0135</v>
      </c>
      <c r="AB73" s="91" t="str">
        <f>IFERROR(SUMIF('1店辅助表'!K:K,B:B,'1店辅助表'!N:N)/SUMIF('1店辅助表'!K:K,B:B,'1店辅助表'!O:O),"-")</f>
        <v>-</v>
      </c>
      <c r="AC73" s="91" t="str">
        <f>IFERROR(VLOOKUP($B:$B,'[1]1店'!$B:$AB,27,FALSE),"-")</f>
        <v>-</v>
      </c>
      <c r="AD73" s="92" t="str">
        <f t="shared" si="28"/>
        <v>-</v>
      </c>
      <c r="AE73" s="91" t="str">
        <f>IFERROR(SUMIF('1店辅助表'!T:T,B:B,'1店辅助表'!W:W)/SUMIF('1店辅助表'!T:T,B:B,'1店辅助表'!X:X),"-")</f>
        <v>-</v>
      </c>
      <c r="AF73" s="91" t="str">
        <f>IFERROR(SUMIF('1店辅助表'!AC:AC,B:B,'1店辅助表'!AF:AF)/SUMIF('1店辅助表'!AC:AC,B:B,'1店辅助表'!AG:AG),"-")</f>
        <v>-</v>
      </c>
      <c r="AG73" s="99">
        <f>IFERROR(AK73/((SUMIF('1店辅助表'!AT:AT,B:B,'1店辅助表'!AU:AU)+M73)/2),"-")</f>
        <v>0</v>
      </c>
      <c r="AH73" s="99">
        <f>IFERROR(AL73/((SUMIF('1店辅助表'!AW:AW,B:B,'1店辅助表'!AX:AX)+M73)/2),"-")</f>
        <v>0</v>
      </c>
      <c r="AI73" s="100" t="str">
        <f>IFERROR((SUMIF('1店辅助表'!AP:AP,B:B,'1店辅助表'!AR:AR)-SUMIF('1店辅助表'!AP:AP,B:B,'1店辅助表'!AR:AR)*0.15-(L73+IFERROR(VLOOKUP(B:B,'1店辅助表'!AZ:BA,2,0),0))*O73-IF(AN:AN="US",6.85,4.9)*(Z73+3.99*O73))/SUMIF('1店辅助表'!AP:AP,B:B,'1店辅助表'!AR:AR),"-")</f>
        <v>-</v>
      </c>
      <c r="AJ73" s="100" t="str">
        <f t="shared" si="29"/>
        <v>-</v>
      </c>
      <c r="AK73" s="101">
        <f t="shared" si="30"/>
        <v>0</v>
      </c>
      <c r="AL73" s="101">
        <f t="shared" si="31"/>
        <v>0</v>
      </c>
      <c r="AM73" s="1" t="str">
        <f>VLOOKUP(B:B,'1店辅助表'!$AZ:$BB,1,FALSE)</f>
        <v>Y1078-GRA</v>
      </c>
      <c r="AN73" s="1" t="str">
        <f>VLOOKUP(B:B,'1店辅助表'!AZ:BB,3,FALSE)</f>
        <v>US</v>
      </c>
    </row>
    <row r="74" customHeight="1" spans="1:40">
      <c r="A74" s="58" t="str">
        <f>INDEX('[1]1店'!$A:$A,MATCH(B:B,'[1]1店'!$B:$B,0))</f>
        <v>秀青</v>
      </c>
      <c r="B74" s="43" t="s">
        <v>259</v>
      </c>
      <c r="C74" s="43" t="s">
        <v>260</v>
      </c>
      <c r="D74" s="59">
        <f>VLOOKUP(B:B,'[1]1店'!$B:$L,3,0)</f>
        <v>44981</v>
      </c>
      <c r="E74" s="43" t="s">
        <v>261</v>
      </c>
      <c r="F74" s="43">
        <v>21</v>
      </c>
      <c r="G74" s="43">
        <v>0</v>
      </c>
      <c r="H74" s="43">
        <v>2</v>
      </c>
      <c r="I74" s="43">
        <v>1</v>
      </c>
      <c r="J74" s="43">
        <v>0</v>
      </c>
      <c r="K74" s="63">
        <f t="shared" si="32"/>
        <v>24</v>
      </c>
      <c r="L74" s="64">
        <f>VLOOKUP($B:$B,'[1]1店'!$B:$L,11,0)</f>
        <v>8.8</v>
      </c>
      <c r="M74" s="44">
        <f t="shared" si="33"/>
        <v>211.2</v>
      </c>
      <c r="N74" s="186">
        <f>IFERROR(VLOOKUP(B:B,'1店辅助表'!B:C,2,FALSE),0)</f>
        <v>1</v>
      </c>
      <c r="O74" s="186">
        <f>IFERROR(VLOOKUP(B:B,'1店辅助表'!E:F,2,FALSE),0)</f>
        <v>2</v>
      </c>
      <c r="P74" s="186">
        <f>IFERROR(VLOOKUP(B:B,'1店辅助表'!H:I,2,FALSE),0)</f>
        <v>2</v>
      </c>
      <c r="Q74" s="65">
        <f>IFERROR(VLOOKUP($B:$B,'[1]1店'!$B:$N,13,FALSE),0)</f>
        <v>1</v>
      </c>
      <c r="R74" s="79">
        <f t="shared" si="22"/>
        <v>0</v>
      </c>
      <c r="S74" s="80">
        <f t="shared" si="23"/>
        <v>210</v>
      </c>
      <c r="T74" s="44">
        <f t="shared" si="24"/>
        <v>7</v>
      </c>
      <c r="U74" s="188">
        <f>IFERROR(VLOOKUP($B:$B,'[1]1店'!$B:$T,19,FALSE),0)</f>
        <v>7.75384615384617</v>
      </c>
      <c r="V74" s="81">
        <f t="shared" si="25"/>
        <v>-0.75384615384617</v>
      </c>
      <c r="W74" s="82" t="str">
        <f t="shared" si="26"/>
        <v>库存过高</v>
      </c>
      <c r="X74" s="83" t="str">
        <f t="shared" si="27"/>
        <v>库存过高</v>
      </c>
      <c r="Y74" s="44">
        <f>IFERROR(SUMIF('1店辅助表'!K:K,B:B,'1店辅助表'!N:N),0)</f>
        <v>0</v>
      </c>
      <c r="Z74" s="44">
        <f>IFERROR(SUMIF('1店辅助表'!T:T,B:B,'1店辅助表'!W:W),0)</f>
        <v>0.37</v>
      </c>
      <c r="AA74" s="44">
        <f>IFERROR(SUMIF('1店辅助表'!AC:AC,B:B,'1店辅助表'!AF:AF),0)</f>
        <v>2.42</v>
      </c>
      <c r="AB74" s="91" t="str">
        <f>IFERROR(SUMIF('1店辅助表'!K:K,B:B,'1店辅助表'!N:N)/SUMIF('1店辅助表'!K:K,B:B,'1店辅助表'!O:O),"-")</f>
        <v>-</v>
      </c>
      <c r="AC74" s="91" t="str">
        <f>IFERROR(VLOOKUP($B:$B,'[1]1店'!$B:$AB,27,FALSE),"-")</f>
        <v>-</v>
      </c>
      <c r="AD74" s="92" t="str">
        <f t="shared" si="28"/>
        <v>-</v>
      </c>
      <c r="AE74" s="91" t="str">
        <f>IFERROR(SUMIF('1店辅助表'!T:T,B:B,'1店辅助表'!W:W)/SUMIF('1店辅助表'!T:T,B:B,'1店辅助表'!X:X),"-")</f>
        <v>-</v>
      </c>
      <c r="AF74" s="91" t="str">
        <f>IFERROR(SUMIF('1店辅助表'!AC:AC,B:B,'1店辅助表'!AF:AF)/SUMIF('1店辅助表'!AC:AC,B:B,'1店辅助表'!AG:AG),"-")</f>
        <v>-</v>
      </c>
      <c r="AG74" s="99">
        <f>IFERROR(AK74/((SUMIF('1店辅助表'!AT:AT,B:B,'1店辅助表'!AU:AU)+M74)/2),"-")</f>
        <v>0.0416666666666667</v>
      </c>
      <c r="AH74" s="99">
        <f>IFERROR(AL74/((SUMIF('1店辅助表'!AW:AW,B:B,'1店辅助表'!AX:AX)+M74)/2),"-")</f>
        <v>0.0816326530612245</v>
      </c>
      <c r="AI74" s="100">
        <f>IFERROR((SUMIF('1店辅助表'!AP:AP,B:B,'1店辅助表'!AR:AR)-SUMIF('1店辅助表'!AP:AP,B:B,'1店辅助表'!AR:AR)*0.15-(L74+IFERROR(VLOOKUP(B:B,'1店辅助表'!AZ:BA,2,0),0))*O74-IF(AN:AN="US",6.85,4.9)*(Z74+3.99*O74))/SUMIF('1店辅助表'!AP:AP,B:B,'1店辅助表'!AR:AR),"-")</f>
        <v>0.236803627329575</v>
      </c>
      <c r="AJ74" s="100">
        <f t="shared" si="29"/>
        <v>0.0193309083534347</v>
      </c>
      <c r="AK74" s="101">
        <f t="shared" si="30"/>
        <v>8.8</v>
      </c>
      <c r="AL74" s="101">
        <f t="shared" si="31"/>
        <v>17.6</v>
      </c>
      <c r="AM74" s="1" t="str">
        <f>VLOOKUP(B:B,'1店辅助表'!$AZ:$BB,1,FALSE)</f>
        <v>Y1078-WH</v>
      </c>
      <c r="AN74" s="1" t="str">
        <f>VLOOKUP(B:B,'1店辅助表'!AZ:BB,3,FALSE)</f>
        <v>US</v>
      </c>
    </row>
    <row r="75" customHeight="1" spans="1:40">
      <c r="A75" s="58" t="str">
        <f>INDEX('[1]1店'!$A:$A,MATCH(B:B,'[1]1店'!$B:$B,0))</f>
        <v>秀青</v>
      </c>
      <c r="B75" s="43" t="s">
        <v>262</v>
      </c>
      <c r="C75" s="43" t="s">
        <v>263</v>
      </c>
      <c r="D75" s="59">
        <f>VLOOKUP(B:B,'[1]1店'!$B:$L,3,0)</f>
        <v>44981</v>
      </c>
      <c r="E75" s="43" t="s">
        <v>264</v>
      </c>
      <c r="F75" s="43">
        <v>38</v>
      </c>
      <c r="G75" s="43">
        <v>0</v>
      </c>
      <c r="H75" s="43">
        <v>1</v>
      </c>
      <c r="I75" s="43">
        <v>0</v>
      </c>
      <c r="J75" s="43">
        <v>0</v>
      </c>
      <c r="K75" s="63">
        <f t="shared" si="32"/>
        <v>39</v>
      </c>
      <c r="L75" s="64">
        <f>VLOOKUP($B:$B,'[1]1店'!$B:$L,11,0)</f>
        <v>8.799</v>
      </c>
      <c r="M75" s="44">
        <f t="shared" si="33"/>
        <v>343.161</v>
      </c>
      <c r="N75" s="186">
        <f>IFERROR(VLOOKUP(B:B,'1店辅助表'!B:C,2,FALSE),0)</f>
        <v>0</v>
      </c>
      <c r="O75" s="186">
        <f>IFERROR(VLOOKUP(B:B,'1店辅助表'!E:F,2,FALSE),0)</f>
        <v>0</v>
      </c>
      <c r="P75" s="186">
        <f>IFERROR(VLOOKUP(B:B,'1店辅助表'!H:I,2,FALSE),0)</f>
        <v>2</v>
      </c>
      <c r="Q75" s="65">
        <f>IFERROR(VLOOKUP($B:$B,'[1]1店'!$B:$N,13,FALSE),0)</f>
        <v>0</v>
      </c>
      <c r="R75" s="79">
        <f t="shared" si="22"/>
        <v>0</v>
      </c>
      <c r="S75" s="80">
        <f t="shared" si="23"/>
        <v>1755</v>
      </c>
      <c r="T75" s="44">
        <f t="shared" si="24"/>
        <v>58.5</v>
      </c>
      <c r="U75" s="188">
        <f>IFERROR(VLOOKUP($B:$B,'[1]1店'!$B:$T,19,FALSE),0)</f>
        <v>39</v>
      </c>
      <c r="V75" s="81">
        <f t="shared" si="25"/>
        <v>19.5</v>
      </c>
      <c r="W75" s="82" t="str">
        <f t="shared" si="26"/>
        <v>有库存无销量</v>
      </c>
      <c r="X75" s="83" t="str">
        <f t="shared" si="27"/>
        <v>库存过高</v>
      </c>
      <c r="Y75" s="44">
        <f>IFERROR(SUMIF('1店辅助表'!K:K,B:B,'1店辅助表'!N:N),0)</f>
        <v>0</v>
      </c>
      <c r="Z75" s="44">
        <f>IFERROR(SUMIF('1店辅助表'!T:T,B:B,'1店辅助表'!W:W),0)</f>
        <v>0.00486</v>
      </c>
      <c r="AA75" s="44">
        <f>IFERROR(SUMIF('1店辅助表'!AC:AC,B:B,'1店辅助表'!AF:AF),0)</f>
        <v>0.01265</v>
      </c>
      <c r="AB75" s="91" t="str">
        <f>IFERROR(SUMIF('1店辅助表'!K:K,B:B,'1店辅助表'!N:N)/SUMIF('1店辅助表'!K:K,B:B,'1店辅助表'!O:O),"-")</f>
        <v>-</v>
      </c>
      <c r="AC75" s="91" t="str">
        <f>IFERROR(VLOOKUP($B:$B,'[1]1店'!$B:$AB,27,FALSE),"-")</f>
        <v>-</v>
      </c>
      <c r="AD75" s="92" t="str">
        <f t="shared" si="28"/>
        <v>-</v>
      </c>
      <c r="AE75" s="91" t="str">
        <f>IFERROR(SUMIF('1店辅助表'!T:T,B:B,'1店辅助表'!W:W)/SUMIF('1店辅助表'!T:T,B:B,'1店辅助表'!X:X),"-")</f>
        <v>-</v>
      </c>
      <c r="AF75" s="91" t="str">
        <f>IFERROR(SUMIF('1店辅助表'!AC:AC,B:B,'1店辅助表'!AF:AF)/SUMIF('1店辅助表'!AC:AC,B:B,'1店辅助表'!AG:AG),"-")</f>
        <v>-</v>
      </c>
      <c r="AG75" s="99">
        <f>IFERROR(AK75/((SUMIF('1店辅助表'!AT:AT,B:B,'1店辅助表'!AU:AU)+M75)/2),"-")</f>
        <v>0</v>
      </c>
      <c r="AH75" s="99">
        <f>IFERROR(AL75/((SUMIF('1店辅助表'!AW:AW,B:B,'1店辅助表'!AX:AX)+M75)/2),"-")</f>
        <v>0</v>
      </c>
      <c r="AI75" s="100" t="str">
        <f>IFERROR((SUMIF('1店辅助表'!AP:AP,B:B,'1店辅助表'!AR:AR)-SUMIF('1店辅助表'!AP:AP,B:B,'1店辅助表'!AR:AR)*0.15-(L75+IFERROR(VLOOKUP(B:B,'1店辅助表'!AZ:BA,2,0),0))*O75-IF(AN:AN="US",6.85,4.9)*(Z75+3.99*O75))/SUMIF('1店辅助表'!AP:AP,B:B,'1店辅助表'!AR:AR),"-")</f>
        <v>-</v>
      </c>
      <c r="AJ75" s="100" t="str">
        <f t="shared" si="29"/>
        <v>-</v>
      </c>
      <c r="AK75" s="101">
        <f t="shared" si="30"/>
        <v>0</v>
      </c>
      <c r="AL75" s="101">
        <f t="shared" si="31"/>
        <v>0</v>
      </c>
      <c r="AM75" s="1" t="str">
        <f>VLOOKUP(B:B,'1店辅助表'!$AZ:$BB,1,FALSE)</f>
        <v>Y1079-BL</v>
      </c>
      <c r="AN75" s="1" t="str">
        <f>VLOOKUP(B:B,'1店辅助表'!AZ:BB,3,FALSE)</f>
        <v>US</v>
      </c>
    </row>
    <row r="76" customHeight="1" spans="1:40">
      <c r="A76" s="58" t="str">
        <f>INDEX('[1]1店'!$A:$A,MATCH(B:B,'[1]1店'!$B:$B,0))</f>
        <v>秀青</v>
      </c>
      <c r="B76" s="43" t="s">
        <v>265</v>
      </c>
      <c r="C76" s="43" t="s">
        <v>266</v>
      </c>
      <c r="D76" s="59">
        <f>VLOOKUP(B:B,'[1]1店'!$B:$L,3,0)</f>
        <v>44981</v>
      </c>
      <c r="E76" s="43" t="s">
        <v>267</v>
      </c>
      <c r="F76" s="43">
        <v>9</v>
      </c>
      <c r="G76" s="43">
        <v>0</v>
      </c>
      <c r="H76" s="43">
        <v>0</v>
      </c>
      <c r="I76" s="43">
        <v>0</v>
      </c>
      <c r="J76" s="43">
        <v>0</v>
      </c>
      <c r="K76" s="63">
        <f t="shared" si="32"/>
        <v>9</v>
      </c>
      <c r="L76" s="64">
        <f>VLOOKUP($B:$B,'[1]1店'!$B:$L,11,0)</f>
        <v>11.533</v>
      </c>
      <c r="M76" s="44">
        <f t="shared" si="33"/>
        <v>103.797</v>
      </c>
      <c r="N76" s="186">
        <f>IFERROR(VLOOKUP(B:B,'1店辅助表'!B:C,2,FALSE),0)</f>
        <v>0</v>
      </c>
      <c r="O76" s="186">
        <f>IFERROR(VLOOKUP(B:B,'1店辅助表'!E:F,2,FALSE),0)</f>
        <v>0</v>
      </c>
      <c r="P76" s="186">
        <f>IFERROR(VLOOKUP(B:B,'1店辅助表'!H:I,2,FALSE),0)</f>
        <v>1</v>
      </c>
      <c r="Q76" s="65">
        <f>IFERROR(VLOOKUP($B:$B,'[1]1店'!$B:$N,13,FALSE),0)</f>
        <v>0</v>
      </c>
      <c r="R76" s="79">
        <f t="shared" si="22"/>
        <v>0</v>
      </c>
      <c r="S76" s="80">
        <f t="shared" si="23"/>
        <v>810</v>
      </c>
      <c r="T76" s="44">
        <f t="shared" si="24"/>
        <v>27</v>
      </c>
      <c r="U76" s="188">
        <f>IFERROR(VLOOKUP($B:$B,'[1]1店'!$B:$T,19,FALSE),0)</f>
        <v>5</v>
      </c>
      <c r="V76" s="81">
        <f t="shared" si="25"/>
        <v>22</v>
      </c>
      <c r="W76" s="82" t="str">
        <f t="shared" si="26"/>
        <v>有库存无销量</v>
      </c>
      <c r="X76" s="83" t="str">
        <f t="shared" si="27"/>
        <v>库存过高</v>
      </c>
      <c r="Y76" s="44">
        <f>IFERROR(SUMIF('1店辅助表'!K:K,B:B,'1店辅助表'!N:N),0)</f>
        <v>0</v>
      </c>
      <c r="Z76" s="44">
        <f>IFERROR(SUMIF('1店辅助表'!T:T,B:B,'1店辅助表'!W:W),0)</f>
        <v>0</v>
      </c>
      <c r="AA76" s="44">
        <f>IFERROR(SUMIF('1店辅助表'!AC:AC,B:B,'1店辅助表'!AF:AF),0)</f>
        <v>2.03169</v>
      </c>
      <c r="AB76" s="91" t="str">
        <f>IFERROR(SUMIF('1店辅助表'!K:K,B:B,'1店辅助表'!N:N)/SUMIF('1店辅助表'!K:K,B:B,'1店辅助表'!O:O),"-")</f>
        <v>-</v>
      </c>
      <c r="AC76" s="91" t="str">
        <f>IFERROR(VLOOKUP($B:$B,'[1]1店'!$B:$AB,27,FALSE),"-")</f>
        <v>-</v>
      </c>
      <c r="AD76" s="92" t="str">
        <f t="shared" si="28"/>
        <v>-</v>
      </c>
      <c r="AE76" s="91" t="str">
        <f>IFERROR(SUMIF('1店辅助表'!T:T,B:B,'1店辅助表'!W:W)/SUMIF('1店辅助表'!T:T,B:B,'1店辅助表'!X:X),"-")</f>
        <v>-</v>
      </c>
      <c r="AF76" s="91">
        <f>IFERROR(SUMIF('1店辅助表'!AC:AC,B:B,'1店辅助表'!AF:AF)/SUMIF('1店辅助表'!AC:AC,B:B,'1店辅助表'!AG:AG),"-")</f>
        <v>0.184867151956324</v>
      </c>
      <c r="AG76" s="99">
        <f>IFERROR(AK76/((SUMIF('1店辅助表'!AT:AT,B:B,'1店辅助表'!AU:AU)+M76)/2),"-")</f>
        <v>0</v>
      </c>
      <c r="AH76" s="99">
        <f>IFERROR(AL76/((SUMIF('1店辅助表'!AW:AW,B:B,'1店辅助表'!AX:AX)+M76)/2),"-")</f>
        <v>0</v>
      </c>
      <c r="AI76" s="100" t="str">
        <f>IFERROR((SUMIF('1店辅助表'!AP:AP,B:B,'1店辅助表'!AR:AR)-SUMIF('1店辅助表'!AP:AP,B:B,'1店辅助表'!AR:AR)*0.15-(L76+IFERROR(VLOOKUP(B:B,'1店辅助表'!AZ:BA,2,0),0))*O76-IF(AN:AN="US",6.85,4.9)*(Z76+3.99*O76))/SUMIF('1店辅助表'!AP:AP,B:B,'1店辅助表'!AR:AR),"-")</f>
        <v>-</v>
      </c>
      <c r="AJ76" s="100" t="str">
        <f t="shared" si="29"/>
        <v>-</v>
      </c>
      <c r="AK76" s="101">
        <f t="shared" si="30"/>
        <v>0</v>
      </c>
      <c r="AL76" s="101">
        <f t="shared" si="31"/>
        <v>0</v>
      </c>
      <c r="AM76" s="1" t="str">
        <f>VLOOKUP(B:B,'1店辅助表'!$AZ:$BB,1,FALSE)</f>
        <v>Y1080-BU</v>
      </c>
      <c r="AN76" s="1" t="str">
        <f>VLOOKUP(B:B,'1店辅助表'!AZ:BB,3,FALSE)</f>
        <v>US</v>
      </c>
    </row>
    <row r="77" customHeight="1" spans="1:40">
      <c r="A77" s="58" t="str">
        <f>INDEX('[1]1店'!$A:$A,MATCH(B:B,'[1]1店'!$B:$B,0))</f>
        <v>秀青</v>
      </c>
      <c r="B77" s="43" t="s">
        <v>268</v>
      </c>
      <c r="C77" s="43" t="s">
        <v>269</v>
      </c>
      <c r="D77" s="59">
        <f>VLOOKUP(B:B,'[1]1店'!$B:$L,3,0)</f>
        <v>44981</v>
      </c>
      <c r="E77" s="43" t="s">
        <v>270</v>
      </c>
      <c r="F77" s="43">
        <v>9</v>
      </c>
      <c r="G77" s="43">
        <v>0</v>
      </c>
      <c r="H77" s="43">
        <v>0</v>
      </c>
      <c r="I77" s="43">
        <v>0</v>
      </c>
      <c r="J77" s="43">
        <v>0</v>
      </c>
      <c r="K77" s="63">
        <f t="shared" si="32"/>
        <v>9</v>
      </c>
      <c r="L77" s="64">
        <f>VLOOKUP($B:$B,'[1]1店'!$B:$L,11,0)</f>
        <v>11.395</v>
      </c>
      <c r="M77" s="44">
        <f t="shared" si="33"/>
        <v>102.555</v>
      </c>
      <c r="N77" s="186">
        <f>IFERROR(VLOOKUP(B:B,'1店辅助表'!B:C,2,FALSE),0)</f>
        <v>0</v>
      </c>
      <c r="O77" s="186">
        <f>IFERROR(VLOOKUP(B:B,'1店辅助表'!E:F,2,FALSE),0)</f>
        <v>0</v>
      </c>
      <c r="P77" s="186">
        <f>IFERROR(VLOOKUP(B:B,'1店辅助表'!H:I,2,FALSE),0)</f>
        <v>0</v>
      </c>
      <c r="Q77" s="65">
        <f>IFERROR(VLOOKUP($B:$B,'[1]1店'!$B:$N,13,FALSE),0)</f>
        <v>0</v>
      </c>
      <c r="R77" s="79">
        <f t="shared" si="22"/>
        <v>0</v>
      </c>
      <c r="S77" s="80" t="str">
        <f t="shared" si="23"/>
        <v>-</v>
      </c>
      <c r="T77" s="44" t="str">
        <f t="shared" si="24"/>
        <v>-</v>
      </c>
      <c r="U77" s="188">
        <f>IFERROR(VLOOKUP($B:$B,'[1]1店'!$B:$T,19,FALSE),0)</f>
        <v>7.5</v>
      </c>
      <c r="V77" s="81" t="str">
        <f t="shared" si="25"/>
        <v>-</v>
      </c>
      <c r="W77" s="82" t="str">
        <f t="shared" si="26"/>
        <v>有库存无销量</v>
      </c>
      <c r="X77" s="83" t="str">
        <f t="shared" si="27"/>
        <v>有库存无销量</v>
      </c>
      <c r="Y77" s="44">
        <f>IFERROR(SUMIF('1店辅助表'!K:K,B:B,'1店辅助表'!N:N),0)</f>
        <v>0</v>
      </c>
      <c r="Z77" s="44">
        <f>IFERROR(SUMIF('1店辅助表'!T:T,B:B,'1店辅助表'!W:W),0)</f>
        <v>0</v>
      </c>
      <c r="AA77" s="44">
        <f>IFERROR(SUMIF('1店辅助表'!AC:AC,B:B,'1店辅助表'!AF:AF),0)</f>
        <v>0</v>
      </c>
      <c r="AB77" s="91" t="str">
        <f>IFERROR(SUMIF('1店辅助表'!K:K,B:B,'1店辅助表'!N:N)/SUMIF('1店辅助表'!K:K,B:B,'1店辅助表'!O:O),"-")</f>
        <v>-</v>
      </c>
      <c r="AC77" s="91" t="str">
        <f>IFERROR(VLOOKUP($B:$B,'[1]1店'!$B:$AB,27,FALSE),"-")</f>
        <v>-</v>
      </c>
      <c r="AD77" s="92" t="str">
        <f t="shared" si="28"/>
        <v>-</v>
      </c>
      <c r="AE77" s="91" t="str">
        <f>IFERROR(SUMIF('1店辅助表'!T:T,B:B,'1店辅助表'!W:W)/SUMIF('1店辅助表'!T:T,B:B,'1店辅助表'!X:X),"-")</f>
        <v>-</v>
      </c>
      <c r="AF77" s="91" t="str">
        <f>IFERROR(SUMIF('1店辅助表'!AC:AC,B:B,'1店辅助表'!AF:AF)/SUMIF('1店辅助表'!AC:AC,B:B,'1店辅助表'!AG:AG),"-")</f>
        <v>-</v>
      </c>
      <c r="AG77" s="99">
        <f>IFERROR(AK77/((SUMIF('1店辅助表'!AT:AT,B:B,'1店辅助表'!AU:AU)+M77)/2),"-")</f>
        <v>0</v>
      </c>
      <c r="AH77" s="99">
        <f>IFERROR(AL77/((SUMIF('1店辅助表'!AW:AW,B:B,'1店辅助表'!AX:AX)+M77)/2),"-")</f>
        <v>0</v>
      </c>
      <c r="AI77" s="100" t="str">
        <f>IFERROR((SUMIF('1店辅助表'!AP:AP,B:B,'1店辅助表'!AR:AR)-SUMIF('1店辅助表'!AP:AP,B:B,'1店辅助表'!AR:AR)*0.15-(L77+IFERROR(VLOOKUP(B:B,'1店辅助表'!AZ:BA,2,0),0))*O77-IF(AN:AN="US",6.85,4.9)*(Z77+3.99*O77))/SUMIF('1店辅助表'!AP:AP,B:B,'1店辅助表'!AR:AR),"-")</f>
        <v>-</v>
      </c>
      <c r="AJ77" s="100" t="str">
        <f t="shared" si="29"/>
        <v>-</v>
      </c>
      <c r="AK77" s="101">
        <f t="shared" si="30"/>
        <v>0</v>
      </c>
      <c r="AL77" s="101">
        <f t="shared" si="31"/>
        <v>0</v>
      </c>
      <c r="AM77" s="1" t="str">
        <f>VLOOKUP(B:B,'1店辅助表'!$AZ:$BB,1,FALSE)</f>
        <v>Y1080-GR</v>
      </c>
      <c r="AN77" s="1" t="str">
        <f>VLOOKUP(B:B,'1店辅助表'!AZ:BB,3,FALSE)</f>
        <v>US</v>
      </c>
    </row>
    <row r="78" customHeight="1" spans="1:40">
      <c r="A78" s="58" t="str">
        <f>INDEX('[1]1店'!$A:$A,MATCH(B:B,'[1]1店'!$B:$B,0))</f>
        <v>秀青</v>
      </c>
      <c r="B78" s="43" t="s">
        <v>271</v>
      </c>
      <c r="C78" s="43" t="s">
        <v>272</v>
      </c>
      <c r="D78" s="59">
        <f>VLOOKUP(B:B,'[1]1店'!$B:$L,3,0)</f>
        <v>44994</v>
      </c>
      <c r="E78" s="43" t="s">
        <v>273</v>
      </c>
      <c r="F78" s="43">
        <v>23</v>
      </c>
      <c r="G78" s="43">
        <v>0</v>
      </c>
      <c r="H78" s="43">
        <v>0</v>
      </c>
      <c r="I78" s="43">
        <v>0</v>
      </c>
      <c r="J78" s="43">
        <v>0</v>
      </c>
      <c r="K78" s="63">
        <f t="shared" si="32"/>
        <v>23</v>
      </c>
      <c r="L78" s="64">
        <f>VLOOKUP($B:$B,'[1]1店'!$B:$L,11,0)</f>
        <v>8.757</v>
      </c>
      <c r="M78" s="44">
        <f t="shared" si="33"/>
        <v>201.411</v>
      </c>
      <c r="N78" s="186">
        <f>IFERROR(VLOOKUP(B:B,'1店辅助表'!B:C,2,FALSE),0)</f>
        <v>3</v>
      </c>
      <c r="O78" s="186">
        <f>IFERROR(VLOOKUP(B:B,'1店辅助表'!E:F,2,FALSE),0)</f>
        <v>4</v>
      </c>
      <c r="P78" s="186">
        <f>IFERROR(VLOOKUP(B:B,'1店辅助表'!H:I,2,FALSE),0)</f>
        <v>4</v>
      </c>
      <c r="Q78" s="65">
        <f>IFERROR(VLOOKUP($B:$B,'[1]1店'!$B:$N,13,FALSE),0)</f>
        <v>1</v>
      </c>
      <c r="R78" s="79">
        <f t="shared" si="22"/>
        <v>2</v>
      </c>
      <c r="S78" s="80">
        <f t="shared" si="23"/>
        <v>83.2758620689655</v>
      </c>
      <c r="T78" s="44">
        <f t="shared" si="24"/>
        <v>2.77586206896552</v>
      </c>
      <c r="U78" s="188">
        <f>IFERROR(VLOOKUP($B:$B,'[1]1店'!$B:$T,19,FALSE),0)</f>
        <v>1.64705882352941</v>
      </c>
      <c r="V78" s="81">
        <f t="shared" si="25"/>
        <v>1.12880324543611</v>
      </c>
      <c r="W78" s="82" t="str">
        <f t="shared" si="26"/>
        <v>库存过高</v>
      </c>
      <c r="X78" s="83" t="str">
        <f t="shared" si="27"/>
        <v>库存过高</v>
      </c>
      <c r="Y78" s="44">
        <f>IFERROR(SUMIF('1店辅助表'!K:K,B:B,'1店辅助表'!N:N),0)</f>
        <v>0.76</v>
      </c>
      <c r="Z78" s="44">
        <f>IFERROR(SUMIF('1店辅助表'!T:T,B:B,'1店辅助表'!W:W),0)</f>
        <v>2.4971</v>
      </c>
      <c r="AA78" s="44">
        <f>IFERROR(SUMIF('1店辅助表'!AC:AC,B:B,'1店辅助表'!AF:AF),0)</f>
        <v>4.60363</v>
      </c>
      <c r="AB78" s="91">
        <f>IFERROR(SUMIF('1店辅助表'!K:K,B:B,'1店辅助表'!N:N)/SUMIF('1店辅助表'!K:K,B:B,'1店辅助表'!O:O),"-")</f>
        <v>0.0422691879866518</v>
      </c>
      <c r="AC78" s="91">
        <f>IFERROR(VLOOKUP($B:$B,'[1]1店'!$B:$AB,27,FALSE),"-")</f>
        <v>0.164304783092325</v>
      </c>
      <c r="AD78" s="92">
        <f t="shared" si="28"/>
        <v>-0.122035595105673</v>
      </c>
      <c r="AE78" s="91">
        <f>IFERROR(SUMIF('1店辅助表'!T:T,B:B,'1店辅助表'!W:W)/SUMIF('1店辅助表'!T:T,B:B,'1店辅助表'!X:X),"-")</f>
        <v>0.0925880608083055</v>
      </c>
      <c r="AF78" s="91">
        <f>IFERROR(SUMIF('1店辅助表'!AC:AC,B:B,'1店辅助表'!AF:AF)/SUMIF('1店辅助表'!AC:AC,B:B,'1店辅助表'!AG:AG),"-")</f>
        <v>0.124557088744589</v>
      </c>
      <c r="AG78" s="99">
        <f>IFERROR(AK78/((SUMIF('1店辅助表'!AT:AT,B:B,'1店辅助表'!AU:AU)+M78)/2),"-")</f>
        <v>0.222222222222222</v>
      </c>
      <c r="AH78" s="99">
        <f>IFERROR(AL78/((SUMIF('1店辅助表'!AW:AW,B:B,'1店辅助表'!AX:AX)+M78)/2),"-")</f>
        <v>0.296296296296296</v>
      </c>
      <c r="AI78" s="100">
        <f>IFERROR((SUMIF('1店辅助表'!AP:AP,B:B,'1店辅助表'!AR:AR)-SUMIF('1店辅助表'!AP:AP,B:B,'1店辅助表'!AR:AR)*0.15-(L78+IFERROR(VLOOKUP(B:B,'1店辅助表'!AZ:BA,2,0),0))*O78-IF(AN:AN="US",6.85,4.9)*(Z78+3.99*O78))/SUMIF('1店辅助表'!AP:AP,B:B,'1店辅助表'!AR:AR),"-")</f>
        <v>0.185339610922111</v>
      </c>
      <c r="AJ78" s="100">
        <f t="shared" si="29"/>
        <v>0.0549154402732182</v>
      </c>
      <c r="AK78" s="101">
        <f t="shared" si="30"/>
        <v>26.271</v>
      </c>
      <c r="AL78" s="101">
        <f t="shared" si="31"/>
        <v>35.028</v>
      </c>
      <c r="AM78" s="1" t="str">
        <f>VLOOKUP(B:B,'1店辅助表'!$AZ:$BB,1,FALSE)</f>
        <v>Y1081-BL</v>
      </c>
      <c r="AN78" s="1" t="str">
        <f>VLOOKUP(B:B,'1店辅助表'!AZ:BB,3,FALSE)</f>
        <v>US</v>
      </c>
    </row>
    <row r="79" customHeight="1" spans="1:40">
      <c r="A79" s="58" t="str">
        <f>INDEX('[1]1店'!$A:$A,MATCH(B:B,'[1]1店'!$B:$B,0))</f>
        <v>秀青</v>
      </c>
      <c r="B79" s="43" t="s">
        <v>274</v>
      </c>
      <c r="C79" s="43" t="s">
        <v>275</v>
      </c>
      <c r="D79" s="59">
        <f>VLOOKUP(B:B,'[1]1店'!$B:$L,3,0)</f>
        <v>44994</v>
      </c>
      <c r="E79" s="43" t="s">
        <v>276</v>
      </c>
      <c r="F79" s="43">
        <v>18</v>
      </c>
      <c r="G79" s="43">
        <v>0</v>
      </c>
      <c r="H79" s="43">
        <v>0</v>
      </c>
      <c r="I79" s="43">
        <v>0</v>
      </c>
      <c r="J79" s="43">
        <v>0</v>
      </c>
      <c r="K79" s="63">
        <f t="shared" si="32"/>
        <v>18</v>
      </c>
      <c r="L79" s="64">
        <f>VLOOKUP($B:$B,'[1]1店'!$B:$L,11,0)</f>
        <v>8.757</v>
      </c>
      <c r="M79" s="44">
        <f t="shared" si="33"/>
        <v>157.626</v>
      </c>
      <c r="N79" s="186">
        <f>IFERROR(VLOOKUP(B:B,'1店辅助表'!B:C,2,FALSE),0)</f>
        <v>0</v>
      </c>
      <c r="O79" s="186">
        <f>IFERROR(VLOOKUP(B:B,'1店辅助表'!E:F,2,FALSE),0)</f>
        <v>0</v>
      </c>
      <c r="P79" s="186">
        <f>IFERROR(VLOOKUP(B:B,'1店辅助表'!H:I,2,FALSE),0)</f>
        <v>1</v>
      </c>
      <c r="Q79" s="65">
        <f>IFERROR(VLOOKUP($B:$B,'[1]1店'!$B:$N,13,FALSE),0)</f>
        <v>0</v>
      </c>
      <c r="R79" s="79">
        <f t="shared" si="22"/>
        <v>0</v>
      </c>
      <c r="S79" s="80">
        <f t="shared" si="23"/>
        <v>1620</v>
      </c>
      <c r="T79" s="44">
        <f t="shared" si="24"/>
        <v>54</v>
      </c>
      <c r="U79" s="188">
        <f>IFERROR(VLOOKUP($B:$B,'[1]1店'!$B:$T,19,FALSE),0)</f>
        <v>18</v>
      </c>
      <c r="V79" s="81">
        <f t="shared" si="25"/>
        <v>36</v>
      </c>
      <c r="W79" s="82" t="str">
        <f t="shared" si="26"/>
        <v>有库存无销量</v>
      </c>
      <c r="X79" s="83" t="str">
        <f t="shared" si="27"/>
        <v>库存过高</v>
      </c>
      <c r="Y79" s="44">
        <f>IFERROR(SUMIF('1店辅助表'!K:K,B:B,'1店辅助表'!N:N),0)</f>
        <v>0</v>
      </c>
      <c r="Z79" s="44">
        <f>IFERROR(SUMIF('1店辅助表'!T:T,B:B,'1店辅助表'!W:W),0)</f>
        <v>0.00283</v>
      </c>
      <c r="AA79" s="44">
        <f>IFERROR(SUMIF('1店辅助表'!AC:AC,B:B,'1店辅助表'!AF:AF),0)</f>
        <v>0.0138</v>
      </c>
      <c r="AB79" s="91" t="str">
        <f>IFERROR(SUMIF('1店辅助表'!K:K,B:B,'1店辅助表'!N:N)/SUMIF('1店辅助表'!K:K,B:B,'1店辅助表'!O:O),"-")</f>
        <v>-</v>
      </c>
      <c r="AC79" s="91" t="str">
        <f>IFERROR(VLOOKUP($B:$B,'[1]1店'!$B:$AB,27,FALSE),"-")</f>
        <v>-</v>
      </c>
      <c r="AD79" s="92" t="str">
        <f t="shared" si="28"/>
        <v>-</v>
      </c>
      <c r="AE79" s="91" t="str">
        <f>IFERROR(SUMIF('1店辅助表'!T:T,B:B,'1店辅助表'!W:W)/SUMIF('1店辅助表'!T:T,B:B,'1店辅助表'!X:X),"-")</f>
        <v>-</v>
      </c>
      <c r="AF79" s="91">
        <f>IFERROR(SUMIF('1店辅助表'!AC:AC,B:B,'1店辅助表'!AF:AF)/SUMIF('1店辅助表'!AC:AC,B:B,'1店辅助表'!AG:AG),"-")</f>
        <v>0.00151815181518152</v>
      </c>
      <c r="AG79" s="99">
        <f>IFERROR(AK79/((SUMIF('1店辅助表'!AT:AT,B:B,'1店辅助表'!AU:AU)+M79)/2),"-")</f>
        <v>0</v>
      </c>
      <c r="AH79" s="99">
        <f>IFERROR(AL79/((SUMIF('1店辅助表'!AW:AW,B:B,'1店辅助表'!AX:AX)+M79)/2),"-")</f>
        <v>0</v>
      </c>
      <c r="AI79" s="100" t="str">
        <f>IFERROR((SUMIF('1店辅助表'!AP:AP,B:B,'1店辅助表'!AR:AR)-SUMIF('1店辅助表'!AP:AP,B:B,'1店辅助表'!AR:AR)*0.15-(L79+IFERROR(VLOOKUP(B:B,'1店辅助表'!AZ:BA,2,0),0))*O79-IF(AN:AN="US",6.85,4.9)*(Z79+3.99*O79))/SUMIF('1店辅助表'!AP:AP,B:B,'1店辅助表'!AR:AR),"-")</f>
        <v>-</v>
      </c>
      <c r="AJ79" s="100" t="str">
        <f t="shared" si="29"/>
        <v>-</v>
      </c>
      <c r="AK79" s="101">
        <f t="shared" si="30"/>
        <v>0</v>
      </c>
      <c r="AL79" s="101">
        <f t="shared" si="31"/>
        <v>0</v>
      </c>
      <c r="AM79" s="1" t="str">
        <f>VLOOKUP(B:B,'1店辅助表'!$AZ:$BB,1,FALSE)</f>
        <v>Y1081-WH</v>
      </c>
      <c r="AN79" s="1" t="str">
        <f>VLOOKUP(B:B,'1店辅助表'!AZ:BB,3,FALSE)</f>
        <v>US</v>
      </c>
    </row>
    <row r="80" customHeight="1" spans="1:40">
      <c r="A80" s="58" t="str">
        <f>INDEX('[1]1店'!$A:$A,MATCH(B:B,'[1]1店'!$B:$B,0))</f>
        <v>秀青</v>
      </c>
      <c r="B80" s="43" t="s">
        <v>277</v>
      </c>
      <c r="C80" s="43" t="s">
        <v>278</v>
      </c>
      <c r="D80" s="59">
        <f>VLOOKUP(B:B,'[1]1店'!$B:$L,3,0)</f>
        <v>44964</v>
      </c>
      <c r="E80" s="43" t="s">
        <v>279</v>
      </c>
      <c r="F80" s="43">
        <v>34</v>
      </c>
      <c r="G80" s="43">
        <v>0</v>
      </c>
      <c r="H80" s="43">
        <v>0</v>
      </c>
      <c r="I80" s="43">
        <v>1</v>
      </c>
      <c r="J80" s="43">
        <v>0</v>
      </c>
      <c r="K80" s="63">
        <f t="shared" si="32"/>
        <v>35</v>
      </c>
      <c r="L80" s="64">
        <f>VLOOKUP($B:$B,'[1]1店'!$B:$L,11,0)</f>
        <v>35.468</v>
      </c>
      <c r="M80" s="44">
        <f t="shared" si="33"/>
        <v>1241.38</v>
      </c>
      <c r="N80" s="186">
        <f>IFERROR(VLOOKUP(B:B,'1店辅助表'!B:C,2,FALSE),0)</f>
        <v>22</v>
      </c>
      <c r="O80" s="186">
        <f>IFERROR(VLOOKUP(B:B,'1店辅助表'!E:F,2,FALSE),0)</f>
        <v>42</v>
      </c>
      <c r="P80" s="186">
        <f>IFERROR(VLOOKUP(B:B,'1店辅助表'!H:I,2,FALSE),0)</f>
        <v>61</v>
      </c>
      <c r="Q80" s="65">
        <f>IFERROR(VLOOKUP($B:$B,'[1]1店'!$B:$N,13,FALSE),0)</f>
        <v>17</v>
      </c>
      <c r="R80" s="79">
        <f t="shared" si="22"/>
        <v>5</v>
      </c>
      <c r="S80" s="80">
        <f t="shared" si="23"/>
        <v>13.1641791044776</v>
      </c>
      <c r="T80" s="44">
        <f t="shared" si="24"/>
        <v>0.438805970149254</v>
      </c>
      <c r="U80" s="188">
        <f>IFERROR(VLOOKUP($B:$B,'[1]1店'!$B:$T,19,FALSE),0)</f>
        <v>0.979683972911963</v>
      </c>
      <c r="V80" s="81">
        <f t="shared" si="25"/>
        <v>-0.540878002762709</v>
      </c>
      <c r="W80" s="82" t="str">
        <f t="shared" si="26"/>
        <v>库存过低</v>
      </c>
      <c r="X80" s="83" t="str">
        <f t="shared" si="27"/>
        <v>库存过低</v>
      </c>
      <c r="Y80" s="44">
        <f>IFERROR(SUMIF('1店辅助表'!K:K,B:B,'1店辅助表'!N:N),0)</f>
        <v>25.29962</v>
      </c>
      <c r="Z80" s="44">
        <f>IFERROR(SUMIF('1店辅助表'!T:T,B:B,'1店辅助表'!W:W),0)</f>
        <v>53.04627</v>
      </c>
      <c r="AA80" s="44">
        <f>IFERROR(SUMIF('1店辅助表'!AC:AC,B:B,'1店辅助表'!AF:AF),0)</f>
        <v>93.90476</v>
      </c>
      <c r="AB80" s="91">
        <f>IFERROR(SUMIF('1店辅助表'!K:K,B:B,'1店辅助表'!N:N)/SUMIF('1店辅助表'!K:K,B:B,'1店辅助表'!O:O),"-")</f>
        <v>0.126567712241733</v>
      </c>
      <c r="AC80" s="91">
        <f>IFERROR(VLOOKUP($B:$B,'[1]1店'!$B:$AB,27,FALSE),"-")</f>
        <v>0.154466752592419</v>
      </c>
      <c r="AD80" s="92">
        <f t="shared" si="28"/>
        <v>-0.027899040350686</v>
      </c>
      <c r="AE80" s="91">
        <f>IFERROR(SUMIF('1店辅助表'!T:T,B:B,'1店辅助表'!W:W)/SUMIF('1店辅助表'!T:T,B:B,'1店辅助表'!X:X),"-")</f>
        <v>0.113460676320236</v>
      </c>
      <c r="AF80" s="91">
        <f>IFERROR(SUMIF('1店辅助表'!AC:AC,B:B,'1店辅助表'!AF:AF)/SUMIF('1店辅助表'!AC:AC,B:B,'1店辅助表'!AG:AG),"-")</f>
        <v>0.157173300304623</v>
      </c>
      <c r="AG80" s="99">
        <f>IFERROR(AK80/((SUMIF('1店辅助表'!AT:AT,B:B,'1店辅助表'!AU:AU)+M80)/2),"-")</f>
        <v>0.45360824742268</v>
      </c>
      <c r="AH80" s="99">
        <f>IFERROR(AL80/((SUMIF('1店辅助表'!AW:AW,B:B,'1店辅助表'!AX:AX)+M80)/2),"-")</f>
        <v>0.923076923076923</v>
      </c>
      <c r="AI80" s="100">
        <f>IFERROR((SUMIF('1店辅助表'!AP:AP,B:B,'1店辅助表'!AR:AR)-SUMIF('1店辅助表'!AP:AP,B:B,'1店辅助表'!AR:AR)*0.15-(L80+IFERROR(VLOOKUP(B:B,'1店辅助表'!AZ:BA,2,0),0))*O80-IF(AN:AN="US",6.85,4.9)*(Z80+3.99*O80))/SUMIF('1店辅助表'!AP:AP,B:B,'1店辅助表'!AR:AR),"-")</f>
        <v>0.229056875914819</v>
      </c>
      <c r="AJ80" s="100">
        <f t="shared" si="29"/>
        <v>0.211437116229064</v>
      </c>
      <c r="AK80" s="101">
        <f t="shared" si="30"/>
        <v>780.296</v>
      </c>
      <c r="AL80" s="101">
        <f t="shared" si="31"/>
        <v>1489.656</v>
      </c>
      <c r="AM80" s="1" t="str">
        <f>VLOOKUP(B:B,'1店辅助表'!$AZ:$BB,1,FALSE)</f>
        <v>Y1083</v>
      </c>
      <c r="AN80" s="1" t="str">
        <f>VLOOKUP(B:B,'1店辅助表'!AZ:BB,3,FALSE)</f>
        <v>US</v>
      </c>
    </row>
    <row r="81" customHeight="1" spans="1:40">
      <c r="A81" s="58" t="str">
        <f>INDEX('[1]1店'!$A:$A,MATCH(B:B,'[1]1店'!$B:$B,0))</f>
        <v>秀青</v>
      </c>
      <c r="B81" s="43" t="s">
        <v>280</v>
      </c>
      <c r="C81" s="43" t="s">
        <v>281</v>
      </c>
      <c r="D81" s="59">
        <f>VLOOKUP(B:B,'[1]1店'!$B:$L,3,0)</f>
        <v>44965</v>
      </c>
      <c r="E81" s="43" t="s">
        <v>282</v>
      </c>
      <c r="F81" s="43">
        <v>49</v>
      </c>
      <c r="G81" s="43">
        <v>0</v>
      </c>
      <c r="H81" s="43">
        <v>1</v>
      </c>
      <c r="I81" s="43">
        <v>3</v>
      </c>
      <c r="J81" s="43">
        <v>0</v>
      </c>
      <c r="K81" s="63">
        <f t="shared" si="32"/>
        <v>53</v>
      </c>
      <c r="L81" s="64">
        <f>VLOOKUP($B:$B,'[1]1店'!$B:$L,11,0)</f>
        <v>35.506</v>
      </c>
      <c r="M81" s="44">
        <f t="shared" si="33"/>
        <v>1881.818</v>
      </c>
      <c r="N81" s="186">
        <f>IFERROR(VLOOKUP(B:B,'1店辅助表'!B:C,2,FALSE),0)</f>
        <v>12</v>
      </c>
      <c r="O81" s="186">
        <f>IFERROR(VLOOKUP(B:B,'1店辅助表'!E:F,2,FALSE),0)</f>
        <v>29</v>
      </c>
      <c r="P81" s="186">
        <f>IFERROR(VLOOKUP(B:B,'1店辅助表'!H:I,2,FALSE),0)</f>
        <v>36</v>
      </c>
      <c r="Q81" s="65">
        <f>IFERROR(VLOOKUP($B:$B,'[1]1店'!$B:$N,13,FALSE),0)</f>
        <v>15</v>
      </c>
      <c r="R81" s="79">
        <f t="shared" si="22"/>
        <v>-3</v>
      </c>
      <c r="S81" s="80">
        <f t="shared" si="23"/>
        <v>32.7996070726916</v>
      </c>
      <c r="T81" s="44">
        <f t="shared" si="24"/>
        <v>1.09332023575639</v>
      </c>
      <c r="U81" s="188">
        <f>IFERROR(VLOOKUP($B:$B,'[1]1店'!$B:$T,19,FALSE),0)</f>
        <v>1.40744680851064</v>
      </c>
      <c r="V81" s="81">
        <f t="shared" si="25"/>
        <v>-0.31412657275425</v>
      </c>
      <c r="W81" s="82" t="str">
        <f t="shared" si="26"/>
        <v>正常</v>
      </c>
      <c r="X81" s="83" t="str">
        <f t="shared" si="27"/>
        <v>正常</v>
      </c>
      <c r="Y81" s="44">
        <f>IFERROR(SUMIF('1店辅助表'!K:K,B:B,'1店辅助表'!N:N),0)</f>
        <v>7.52352</v>
      </c>
      <c r="Z81" s="44">
        <f>IFERROR(SUMIF('1店辅助表'!T:T,B:B,'1店辅助表'!W:W),0)</f>
        <v>23.30723</v>
      </c>
      <c r="AA81" s="44">
        <f>IFERROR(SUMIF('1店辅助表'!AC:AC,B:B,'1店辅助表'!AF:AF),0)</f>
        <v>45.38991</v>
      </c>
      <c r="AB81" s="91">
        <f>IFERROR(SUMIF('1店辅助表'!K:K,B:B,'1店辅助表'!N:N)/SUMIF('1店辅助表'!K:K,B:B,'1店辅助表'!O:O),"-")</f>
        <v>0.198091627172196</v>
      </c>
      <c r="AC81" s="91">
        <f>IFERROR(VLOOKUP($B:$B,'[1]1店'!$B:$AB,27,FALSE),"-")</f>
        <v>0.205081518540318</v>
      </c>
      <c r="AD81" s="92">
        <f t="shared" si="28"/>
        <v>-0.006989891368122</v>
      </c>
      <c r="AE81" s="91">
        <f>IFERROR(SUMIF('1店辅助表'!T:T,B:B,'1店辅助表'!W:W)/SUMIF('1店辅助表'!T:T,B:B,'1店辅助表'!X:X),"-")</f>
        <v>0.186562314896342</v>
      </c>
      <c r="AF81" s="91">
        <f>IFERROR(SUMIF('1店辅助表'!AC:AC,B:B,'1店辅助表'!AF:AF)/SUMIF('1店辅助表'!AC:AC,B:B,'1店辅助表'!AG:AG),"-")</f>
        <v>0.181654100132069</v>
      </c>
      <c r="AG81" s="99">
        <f>IFERROR(AK81/((SUMIF('1店辅助表'!AT:AT,B:B,'1店辅助表'!AU:AU)+M81)/2),"-")</f>
        <v>0.206896551724138</v>
      </c>
      <c r="AH81" s="99">
        <f>IFERROR(AL81/((SUMIF('1店辅助表'!AW:AW,B:B,'1店辅助表'!AX:AX)+M81)/2),"-")</f>
        <v>0.491525423728814</v>
      </c>
      <c r="AI81" s="100">
        <f>IFERROR((SUMIF('1店辅助表'!AP:AP,B:B,'1店辅助表'!AR:AR)-SUMIF('1店辅助表'!AP:AP,B:B,'1店辅助表'!AR:AR)*0.15-(L81+IFERROR(VLOOKUP(B:B,'1店辅助表'!AZ:BA,2,0),0))*O81-IF(AN:AN="US",6.85,4.9)*(Z81+3.99*O81))/SUMIF('1店辅助表'!AP:AP,B:B,'1店辅助表'!AR:AR),"-")</f>
        <v>0.289005609769362</v>
      </c>
      <c r="AJ81" s="100">
        <f t="shared" si="29"/>
        <v>0.14205360480189</v>
      </c>
      <c r="AK81" s="101">
        <f t="shared" si="30"/>
        <v>426.072</v>
      </c>
      <c r="AL81" s="101">
        <f t="shared" si="31"/>
        <v>1029.674</v>
      </c>
      <c r="AM81" s="1" t="str">
        <f>VLOOKUP(B:B,'1店辅助表'!$AZ:$BB,1,FALSE)</f>
        <v>Y1084</v>
      </c>
      <c r="AN81" s="1" t="str">
        <f>VLOOKUP(B:B,'1店辅助表'!AZ:BB,3,FALSE)</f>
        <v>US</v>
      </c>
    </row>
    <row r="82" customHeight="1" spans="1:40">
      <c r="A82" s="58" t="str">
        <f>INDEX('[1]1店'!$A:$A,MATCH(B:B,'[1]1店'!$B:$B,0))</f>
        <v>秀青</v>
      </c>
      <c r="B82" s="43" t="s">
        <v>283</v>
      </c>
      <c r="C82" s="43" t="s">
        <v>284</v>
      </c>
      <c r="D82" s="59">
        <f>VLOOKUP(B:B,'[1]1店'!$B:$L,3,0)</f>
        <v>44965</v>
      </c>
      <c r="E82" s="43" t="s">
        <v>285</v>
      </c>
      <c r="F82" s="43">
        <v>76</v>
      </c>
      <c r="G82" s="43">
        <v>0</v>
      </c>
      <c r="H82" s="43">
        <v>3</v>
      </c>
      <c r="I82" s="43">
        <v>1</v>
      </c>
      <c r="J82" s="43">
        <v>0</v>
      </c>
      <c r="K82" s="63">
        <f t="shared" si="32"/>
        <v>80</v>
      </c>
      <c r="L82" s="64">
        <f>VLOOKUP($B:$B,'[1]1店'!$B:$L,11,0)</f>
        <v>35.873</v>
      </c>
      <c r="M82" s="44">
        <f t="shared" si="33"/>
        <v>2869.84</v>
      </c>
      <c r="N82" s="186">
        <f>IFERROR(VLOOKUP(B:B,'1店辅助表'!B:C,2,FALSE),0)</f>
        <v>6</v>
      </c>
      <c r="O82" s="186">
        <f>IFERROR(VLOOKUP(B:B,'1店辅助表'!E:F,2,FALSE),0)</f>
        <v>20</v>
      </c>
      <c r="P82" s="186">
        <f>IFERROR(VLOOKUP(B:B,'1店辅助表'!H:I,2,FALSE),0)</f>
        <v>28</v>
      </c>
      <c r="Q82" s="65">
        <f>IFERROR(VLOOKUP($B:$B,'[1]1店'!$B:$N,13,FALSE),0)</f>
        <v>13</v>
      </c>
      <c r="R82" s="79">
        <f t="shared" si="22"/>
        <v>-7</v>
      </c>
      <c r="S82" s="80">
        <f t="shared" si="23"/>
        <v>76.8292682926829</v>
      </c>
      <c r="T82" s="44">
        <f t="shared" si="24"/>
        <v>2.5609756097561</v>
      </c>
      <c r="U82" s="188">
        <f>IFERROR(VLOOKUP($B:$B,'[1]1店'!$B:$T,19,FALSE),0)</f>
        <v>2.29368932038835</v>
      </c>
      <c r="V82" s="81">
        <f t="shared" si="25"/>
        <v>0.26728628936775</v>
      </c>
      <c r="W82" s="82" t="str">
        <f t="shared" si="26"/>
        <v>库存过高</v>
      </c>
      <c r="X82" s="83" t="str">
        <f t="shared" si="27"/>
        <v>库存过高</v>
      </c>
      <c r="Y82" s="44">
        <f>IFERROR(SUMIF('1店辅助表'!K:K,B:B,'1店辅助表'!N:N),0)</f>
        <v>8.61738</v>
      </c>
      <c r="Z82" s="44">
        <f>IFERROR(SUMIF('1店辅助表'!T:T,B:B,'1店辅助表'!W:W),0)</f>
        <v>21.4121</v>
      </c>
      <c r="AA82" s="44">
        <f>IFERROR(SUMIF('1店辅助表'!AC:AC,B:B,'1店辅助表'!AF:AF),0)</f>
        <v>37.23587</v>
      </c>
      <c r="AB82" s="91">
        <f>IFERROR(SUMIF('1店辅助表'!K:K,B:B,'1店辅助表'!N:N)/SUMIF('1店辅助表'!K:K,B:B,'1店辅助表'!O:O),"-")</f>
        <v>0.0917230441724321</v>
      </c>
      <c r="AC82" s="91">
        <f>IFERROR(VLOOKUP($B:$B,'[1]1店'!$B:$AB,27,FALSE),"-")</f>
        <v>0.043170539489261</v>
      </c>
      <c r="AD82" s="92">
        <f t="shared" si="28"/>
        <v>0.0485525046831711</v>
      </c>
      <c r="AE82" s="91">
        <f>IFERROR(SUMIF('1店辅助表'!T:T,B:B,'1店辅助表'!W:W)/SUMIF('1店辅助表'!T:T,B:B,'1店辅助表'!X:X),"-")</f>
        <v>0.052792475159644</v>
      </c>
      <c r="AF82" s="91">
        <f>IFERROR(SUMIF('1店辅助表'!AC:AC,B:B,'1店辅助表'!AF:AF)/SUMIF('1店辅助表'!AC:AC,B:B,'1店辅助表'!AG:AG),"-")</f>
        <v>0.0813792070985226</v>
      </c>
      <c r="AG82" s="99">
        <f>IFERROR(AK82/((SUMIF('1店辅助表'!AT:AT,B:B,'1店辅助表'!AU:AU)+M82)/2),"-")</f>
        <v>0.0705882352941176</v>
      </c>
      <c r="AH82" s="99">
        <f>IFERROR(AL82/((SUMIF('1店辅助表'!AW:AW,B:B,'1店辅助表'!AX:AX)+M82)/2),"-")</f>
        <v>0.298507462686567</v>
      </c>
      <c r="AI82" s="100">
        <f>IFERROR((SUMIF('1店辅助表'!AP:AP,B:B,'1店辅助表'!AR:AR)-SUMIF('1店辅助表'!AP:AP,B:B,'1店辅助表'!AR:AR)*0.15-(L82+IFERROR(VLOOKUP(B:B,'1店辅助表'!AZ:BA,2,0),0))*O82-IF(AN:AN="US",6.85,4.9)*(Z82+3.99*O82))/SUMIF('1店辅助表'!AP:AP,B:B,'1店辅助表'!AR:AR),"-")</f>
        <v>0.23745340918112</v>
      </c>
      <c r="AJ82" s="100">
        <f t="shared" si="29"/>
        <v>0.0708816146809312</v>
      </c>
      <c r="AK82" s="101">
        <f t="shared" si="30"/>
        <v>215.238</v>
      </c>
      <c r="AL82" s="101">
        <f t="shared" si="31"/>
        <v>717.46</v>
      </c>
      <c r="AM82" s="1" t="str">
        <f>VLOOKUP(B:B,'1店辅助表'!$AZ:$BB,1,FALSE)</f>
        <v>Y1085</v>
      </c>
      <c r="AN82" s="1" t="str">
        <f>VLOOKUP(B:B,'1店辅助表'!AZ:BB,3,FALSE)</f>
        <v>US</v>
      </c>
    </row>
    <row r="83" customHeight="1" spans="1:40">
      <c r="A83" s="58" t="str">
        <f>INDEX('[1]1店'!$A:$A,MATCH(B:B,'[1]1店'!$B:$B,0))</f>
        <v>秀青</v>
      </c>
      <c r="B83" s="43" t="s">
        <v>286</v>
      </c>
      <c r="C83" s="43" t="s">
        <v>287</v>
      </c>
      <c r="D83" s="59">
        <f>VLOOKUP(B:B,'[1]1店'!$B:$L,3,0)</f>
        <v>44965</v>
      </c>
      <c r="E83" s="43" t="s">
        <v>288</v>
      </c>
      <c r="F83" s="43">
        <v>6</v>
      </c>
      <c r="G83" s="43">
        <v>0</v>
      </c>
      <c r="H83" s="43">
        <v>21</v>
      </c>
      <c r="I83" s="43">
        <v>3</v>
      </c>
      <c r="J83" s="43">
        <v>0</v>
      </c>
      <c r="K83" s="63">
        <f t="shared" si="32"/>
        <v>30</v>
      </c>
      <c r="L83" s="64">
        <f>VLOOKUP($B:$B,'[1]1店'!$B:$L,11,0)</f>
        <v>29</v>
      </c>
      <c r="M83" s="44">
        <f t="shared" si="33"/>
        <v>870</v>
      </c>
      <c r="N83" s="186">
        <f>IFERROR(VLOOKUP(B:B,'1店辅助表'!B:C,2,FALSE),0)</f>
        <v>22</v>
      </c>
      <c r="O83" s="186">
        <f>IFERROR(VLOOKUP(B:B,'1店辅助表'!E:F,2,FALSE),0)</f>
        <v>60</v>
      </c>
      <c r="P83" s="186">
        <f>IFERROR(VLOOKUP(B:B,'1店辅助表'!H:I,2,FALSE),0)</f>
        <v>103</v>
      </c>
      <c r="Q83" s="65">
        <f>IFERROR(VLOOKUP($B:$B,'[1]1店'!$B:$N,13,FALSE),0)</f>
        <v>34</v>
      </c>
      <c r="R83" s="79">
        <f t="shared" si="22"/>
        <v>-12</v>
      </c>
      <c r="S83" s="80">
        <f t="shared" si="23"/>
        <v>8.5096803241783</v>
      </c>
      <c r="T83" s="44">
        <f t="shared" si="24"/>
        <v>0.283656010805943</v>
      </c>
      <c r="U83" s="188">
        <f>IFERROR(VLOOKUP($B:$B,'[1]1店'!$B:$T,19,FALSE),0)</f>
        <v>0.569433032046015</v>
      </c>
      <c r="V83" s="81">
        <f t="shared" si="25"/>
        <v>-0.285777021240072</v>
      </c>
      <c r="W83" s="82" t="str">
        <f t="shared" si="26"/>
        <v>库存过低</v>
      </c>
      <c r="X83" s="83" t="str">
        <f t="shared" si="27"/>
        <v>库存过低</v>
      </c>
      <c r="Y83" s="44">
        <f>IFERROR(SUMIF('1店辅助表'!K:K,B:B,'1店辅助表'!N:N),0)</f>
        <v>43.81362</v>
      </c>
      <c r="Z83" s="44">
        <f>IFERROR(SUMIF('1店辅助表'!T:T,B:B,'1店辅助表'!W:W),0)</f>
        <v>93.47221</v>
      </c>
      <c r="AA83" s="44">
        <f>IFERROR(SUMIF('1店辅助表'!AC:AC,B:B,'1店辅助表'!AF:AF),0)</f>
        <v>157.05721</v>
      </c>
      <c r="AB83" s="91">
        <f>IFERROR(SUMIF('1店辅助表'!K:K,B:B,'1店辅助表'!N:N)/SUMIF('1店辅助表'!K:K,B:B,'1店辅助表'!O:O),"-")</f>
        <v>0.211772536130311</v>
      </c>
      <c r="AC83" s="91">
        <f>IFERROR(VLOOKUP($B:$B,'[1]1店'!$B:$AB,27,FALSE),"-")</f>
        <v>0.17613111921674</v>
      </c>
      <c r="AD83" s="92">
        <f t="shared" si="28"/>
        <v>0.035641416913571</v>
      </c>
      <c r="AE83" s="91">
        <f>IFERROR(SUMIF('1店辅助表'!T:T,B:B,'1店辅助表'!W:W)/SUMIF('1店辅助表'!T:T,B:B,'1店辅助表'!X:X),"-")</f>
        <v>0.167425907682387</v>
      </c>
      <c r="AF83" s="91">
        <f>IFERROR(SUMIF('1店辅助表'!AC:AC,B:B,'1店辅助表'!AF:AF)/SUMIF('1店辅助表'!AC:AC,B:B,'1店辅助表'!AG:AG),"-")</f>
        <v>0.158794420965361</v>
      </c>
      <c r="AG83" s="99">
        <f>IFERROR(AK83/((SUMIF('1店辅助表'!AT:AT,B:B,'1店辅助表'!AU:AU)+M83)/2),"-")</f>
        <v>0.458333333333333</v>
      </c>
      <c r="AH83" s="99">
        <f>IFERROR(AL83/((SUMIF('1店辅助表'!AW:AW,B:B,'1店辅助表'!AX:AX)+M83)/2),"-")</f>
        <v>1.41176470588235</v>
      </c>
      <c r="AI83" s="100">
        <f>IFERROR((SUMIF('1店辅助表'!AP:AP,B:B,'1店辅助表'!AR:AR)-SUMIF('1店辅助表'!AP:AP,B:B,'1店辅助表'!AR:AR)*0.15-(L83+IFERROR(VLOOKUP(B:B,'1店辅助表'!AZ:BA,2,0),0))*O83-IF(AN:AN="US",6.85,4.9)*(Z83+3.99*O83))/SUMIF('1店辅助表'!AP:AP,B:B,'1店辅助表'!AR:AR),"-")</f>
        <v>0.269392378993089</v>
      </c>
      <c r="AJ83" s="100">
        <f t="shared" si="29"/>
        <v>0.380318652696126</v>
      </c>
      <c r="AK83" s="101">
        <f t="shared" si="30"/>
        <v>638</v>
      </c>
      <c r="AL83" s="101">
        <f t="shared" si="31"/>
        <v>1740</v>
      </c>
      <c r="AM83" s="1" t="str">
        <f>VLOOKUP(B:B,'1店辅助表'!$AZ:$BB,1,FALSE)</f>
        <v>Y1087</v>
      </c>
      <c r="AN83" s="1" t="str">
        <f>VLOOKUP(B:B,'1店辅助表'!AZ:BB,3,FALSE)</f>
        <v>US</v>
      </c>
    </row>
    <row r="84" customHeight="1" spans="1:40">
      <c r="A84" s="58" t="str">
        <f>INDEX('[1]1店'!$A:$A,MATCH(B:B,'[1]1店'!$B:$B,0))</f>
        <v>秀青</v>
      </c>
      <c r="B84" s="43" t="s">
        <v>289</v>
      </c>
      <c r="C84" s="43" t="s">
        <v>290</v>
      </c>
      <c r="D84" s="59">
        <f>VLOOKUP(B:B,'[1]1店'!$B:$L,3,0)</f>
        <v>44965</v>
      </c>
      <c r="E84" s="43" t="s">
        <v>291</v>
      </c>
      <c r="F84" s="43">
        <v>0</v>
      </c>
      <c r="G84" s="43">
        <v>0</v>
      </c>
      <c r="H84" s="43">
        <v>0</v>
      </c>
      <c r="I84" s="43">
        <v>0</v>
      </c>
      <c r="J84" s="43">
        <v>0</v>
      </c>
      <c r="K84" s="63">
        <f t="shared" si="32"/>
        <v>0</v>
      </c>
      <c r="L84" s="64">
        <f>VLOOKUP($B:$B,'[1]1店'!$B:$L,11,0)</f>
        <v>28</v>
      </c>
      <c r="M84" s="44">
        <f t="shared" si="33"/>
        <v>0</v>
      </c>
      <c r="N84" s="186">
        <f>IFERROR(VLOOKUP(B:B,'1店辅助表'!B:C,2,FALSE),0)</f>
        <v>2</v>
      </c>
      <c r="O84" s="186">
        <f>IFERROR(VLOOKUP(B:B,'1店辅助表'!E:F,2,FALSE),0)</f>
        <v>5</v>
      </c>
      <c r="P84" s="186">
        <f>IFERROR(VLOOKUP(B:B,'1店辅助表'!H:I,2,FALSE),0)</f>
        <v>10</v>
      </c>
      <c r="Q84" s="65">
        <f>IFERROR(VLOOKUP($B:$B,'[1]1店'!$B:$N,13,FALSE),0)</f>
        <v>1</v>
      </c>
      <c r="R84" s="79">
        <f t="shared" si="22"/>
        <v>1</v>
      </c>
      <c r="S84" s="80">
        <f t="shared" si="23"/>
        <v>0</v>
      </c>
      <c r="T84" s="44">
        <f t="shared" si="24"/>
        <v>0</v>
      </c>
      <c r="U84" s="188">
        <f>IFERROR(VLOOKUP($B:$B,'[1]1店'!$B:$T,19,FALSE),0)</f>
        <v>0.257668711656442</v>
      </c>
      <c r="V84" s="81">
        <f t="shared" si="25"/>
        <v>-0.257668711656442</v>
      </c>
      <c r="W84" s="82" t="str">
        <f t="shared" si="26"/>
        <v>无库存有销量</v>
      </c>
      <c r="X84" s="83" t="str">
        <f t="shared" si="27"/>
        <v>无库存有销量</v>
      </c>
      <c r="Y84" s="44">
        <f>IFERROR(SUMIF('1店辅助表'!K:K,B:B,'1店辅助表'!N:N),0)</f>
        <v>0.03665</v>
      </c>
      <c r="Z84" s="44">
        <f>IFERROR(SUMIF('1店辅助表'!T:T,B:B,'1店辅助表'!W:W),0)</f>
        <v>2.39173</v>
      </c>
      <c r="AA84" s="44">
        <f>IFERROR(SUMIF('1店辅助表'!AC:AC,B:B,'1店辅助表'!AF:AF),0)</f>
        <v>6.0754</v>
      </c>
      <c r="AB84" s="91" t="str">
        <f>IFERROR(SUMIF('1店辅助表'!K:K,B:B,'1店辅助表'!N:N)/SUMIF('1店辅助表'!K:K,B:B,'1店辅助表'!O:O),"-")</f>
        <v>-</v>
      </c>
      <c r="AC84" s="91" t="str">
        <f>IFERROR(VLOOKUP($B:$B,'[1]1店'!$B:$AB,27,FALSE),"-")</f>
        <v>-</v>
      </c>
      <c r="AD84" s="92" t="str">
        <f t="shared" si="28"/>
        <v>-</v>
      </c>
      <c r="AE84" s="91" t="str">
        <f>IFERROR(SUMIF('1店辅助表'!T:T,B:B,'1店辅助表'!W:W)/SUMIF('1店辅助表'!T:T,B:B,'1店辅助表'!X:X),"-")</f>
        <v>-</v>
      </c>
      <c r="AF84" s="91">
        <f>IFERROR(SUMIF('1店辅助表'!AC:AC,B:B,'1店辅助表'!AF:AF)/SUMIF('1店辅助表'!AC:AC,B:B,'1店辅助表'!AG:AG),"-")</f>
        <v>0.108547436126496</v>
      </c>
      <c r="AG84" s="99">
        <f>IFERROR(AK84/((SUMIF('1店辅助表'!AT:AT,B:B,'1店辅助表'!AU:AU)+M84)/2),"-")</f>
        <v>2</v>
      </c>
      <c r="AH84" s="99">
        <f>IFERROR(AL84/((SUMIF('1店辅助表'!AW:AW,B:B,'1店辅助表'!AX:AX)+M84)/2),"-")</f>
        <v>1</v>
      </c>
      <c r="AI84" s="100">
        <f>IFERROR((SUMIF('1店辅助表'!AP:AP,B:B,'1店辅助表'!AR:AR)-SUMIF('1店辅助表'!AP:AP,B:B,'1店辅助表'!AR:AR)*0.15-(L84+IFERROR(VLOOKUP(B:B,'1店辅助表'!AZ:BA,2,0),0))*O84-IF(AN:AN="US",6.85,4.9)*(Z84+3.99*O84))/SUMIF('1店辅助表'!AP:AP,B:B,'1店辅助表'!AR:AR),"-")</f>
        <v>0.243676854155812</v>
      </c>
      <c r="AJ84" s="100">
        <f t="shared" si="29"/>
        <v>0.243676854155812</v>
      </c>
      <c r="AK84" s="101">
        <f t="shared" si="30"/>
        <v>56</v>
      </c>
      <c r="AL84" s="101">
        <f t="shared" si="31"/>
        <v>140</v>
      </c>
      <c r="AM84" s="1" t="str">
        <f>VLOOKUP(B:B,'1店辅助表'!$AZ:$BB,1,FALSE)</f>
        <v>Y1088</v>
      </c>
      <c r="AN84" s="1" t="str">
        <f>VLOOKUP(B:B,'1店辅助表'!AZ:BB,3,FALSE)</f>
        <v>US</v>
      </c>
    </row>
    <row r="85" customHeight="1" spans="1:40">
      <c r="A85" s="58" t="str">
        <f>INDEX('[1]1店'!$A:$A,MATCH(B:B,'[1]1店'!$B:$B,0))</f>
        <v>秀青</v>
      </c>
      <c r="B85" s="43" t="s">
        <v>292</v>
      </c>
      <c r="C85" s="43" t="s">
        <v>293</v>
      </c>
      <c r="D85" s="59">
        <f>VLOOKUP(B:B,'[1]1店'!$B:$L,3,0)</f>
        <v>44965</v>
      </c>
      <c r="E85" s="43" t="s">
        <v>294</v>
      </c>
      <c r="F85" s="43">
        <v>21</v>
      </c>
      <c r="G85" s="43">
        <v>0</v>
      </c>
      <c r="H85" s="43">
        <v>1</v>
      </c>
      <c r="I85" s="43">
        <v>0</v>
      </c>
      <c r="J85" s="43">
        <v>0</v>
      </c>
      <c r="K85" s="63">
        <f t="shared" si="32"/>
        <v>22</v>
      </c>
      <c r="L85" s="64">
        <f>VLOOKUP($B:$B,'[1]1店'!$B:$L,11,0)</f>
        <v>27</v>
      </c>
      <c r="M85" s="44">
        <f t="shared" si="33"/>
        <v>594</v>
      </c>
      <c r="N85" s="186">
        <f>IFERROR(VLOOKUP(B:B,'1店辅助表'!B:C,2,FALSE),0)</f>
        <v>1</v>
      </c>
      <c r="O85" s="186">
        <f>IFERROR(VLOOKUP(B:B,'1店辅助表'!E:F,2,FALSE),0)</f>
        <v>3</v>
      </c>
      <c r="P85" s="186">
        <f>IFERROR(VLOOKUP(B:B,'1店辅助表'!H:I,2,FALSE),0)</f>
        <v>4</v>
      </c>
      <c r="Q85" s="65">
        <f>IFERROR(VLOOKUP($B:$B,'[1]1店'!$B:$N,13,FALSE),0)</f>
        <v>2</v>
      </c>
      <c r="R85" s="79">
        <f t="shared" si="22"/>
        <v>-1</v>
      </c>
      <c r="S85" s="80">
        <f t="shared" si="23"/>
        <v>138.6</v>
      </c>
      <c r="T85" s="44">
        <f t="shared" si="24"/>
        <v>4.62</v>
      </c>
      <c r="U85" s="188">
        <f>IFERROR(VLOOKUP($B:$B,'[1]1店'!$B:$T,19,FALSE),0)</f>
        <v>3.9268292682927</v>
      </c>
      <c r="V85" s="81">
        <f t="shared" si="25"/>
        <v>0.6931707317073</v>
      </c>
      <c r="W85" s="82" t="str">
        <f t="shared" si="26"/>
        <v>库存过高</v>
      </c>
      <c r="X85" s="83" t="str">
        <f t="shared" si="27"/>
        <v>库存过高</v>
      </c>
      <c r="Y85" s="44">
        <f>IFERROR(SUMIF('1店辅助表'!K:K,B:B,'1店辅助表'!N:N),0)</f>
        <v>7.89139</v>
      </c>
      <c r="Z85" s="44">
        <f>IFERROR(SUMIF('1店辅助表'!T:T,B:B,'1店辅助表'!W:W),0)</f>
        <v>12.78209</v>
      </c>
      <c r="AA85" s="44">
        <f>IFERROR(SUMIF('1店辅助表'!AC:AC,B:B,'1店辅助表'!AF:AF),0)</f>
        <v>17.75854</v>
      </c>
      <c r="AB85" s="91">
        <f>IFERROR(SUMIF('1店辅助表'!K:K,B:B,'1店辅助表'!N:N)/SUMIF('1店辅助表'!K:K,B:B,'1店辅助表'!O:O),"-")</f>
        <v>0.232236315479694</v>
      </c>
      <c r="AC85" s="91">
        <f>IFERROR(VLOOKUP($B:$B,'[1]1店'!$B:$AB,27,FALSE),"-")</f>
        <v>0.0579227554918816</v>
      </c>
      <c r="AD85" s="92">
        <f t="shared" si="28"/>
        <v>0.174313559987812</v>
      </c>
      <c r="AE85" s="91">
        <f>IFERROR(SUMIF('1店辅助表'!T:T,B:B,'1店辅助表'!W:W)/SUMIF('1店辅助表'!T:T,B:B,'1店辅助表'!X:X),"-")</f>
        <v>0.108562001019195</v>
      </c>
      <c r="AF85" s="91">
        <f>IFERROR(SUMIF('1店辅助表'!AC:AC,B:B,'1店辅助表'!AF:AF)/SUMIF('1店辅助表'!AC:AC,B:B,'1店辅助表'!AG:AG),"-")</f>
        <v>0.0993707123272341</v>
      </c>
      <c r="AG85" s="99">
        <f>IFERROR(AK85/((SUMIF('1店辅助表'!AT:AT,B:B,'1店辅助表'!AU:AU)+M85)/2),"-")</f>
        <v>0.0444444444444444</v>
      </c>
      <c r="AH85" s="99">
        <f>IFERROR(AL85/((SUMIF('1店辅助表'!AW:AW,B:B,'1店辅助表'!AX:AX)+M85)/2),"-")</f>
        <v>0.125</v>
      </c>
      <c r="AI85" s="100">
        <f>IFERROR((SUMIF('1店辅助表'!AP:AP,B:B,'1店辅助表'!AR:AR)-SUMIF('1店辅助表'!AP:AP,B:B,'1店辅助表'!AR:AR)*0.15-(L85+IFERROR(VLOOKUP(B:B,'1店辅助表'!AZ:BA,2,0),0))*O85-IF(AN:AN="US",6.85,4.9)*(Z85+3.99*O85))/SUMIF('1店辅助表'!AP:AP,B:B,'1店辅助表'!AR:AR),"-")</f>
        <v>-0.00170427162309341</v>
      </c>
      <c r="AJ85" s="100">
        <f t="shared" si="29"/>
        <v>-0.000213033952886677</v>
      </c>
      <c r="AK85" s="101">
        <f t="shared" si="30"/>
        <v>27</v>
      </c>
      <c r="AL85" s="101">
        <f t="shared" si="31"/>
        <v>81</v>
      </c>
      <c r="AM85" s="1" t="str">
        <f>VLOOKUP(B:B,'1店辅助表'!$AZ:$BB,1,FALSE)</f>
        <v>Y1089</v>
      </c>
      <c r="AN85" s="1" t="str">
        <f>VLOOKUP(B:B,'1店辅助表'!AZ:BB,3,FALSE)</f>
        <v>US</v>
      </c>
    </row>
    <row r="86" customHeight="1" spans="1:40">
      <c r="A86" s="58" t="str">
        <f>INDEX('[1]1店'!$A:$A,MATCH(B:B,'[1]1店'!$B:$B,0))</f>
        <v>秀青</v>
      </c>
      <c r="B86" s="43" t="s">
        <v>295</v>
      </c>
      <c r="C86" s="43" t="s">
        <v>296</v>
      </c>
      <c r="D86" s="59">
        <f>VLOOKUP(B:B,'[1]1店'!$B:$L,3,0)</f>
        <v>44998</v>
      </c>
      <c r="E86" s="43" t="s">
        <v>297</v>
      </c>
      <c r="F86" s="43">
        <v>6</v>
      </c>
      <c r="G86" s="43">
        <v>0</v>
      </c>
      <c r="H86" s="43">
        <v>0</v>
      </c>
      <c r="I86" s="43">
        <v>0</v>
      </c>
      <c r="J86" s="43">
        <v>0</v>
      </c>
      <c r="K86" s="63">
        <f t="shared" si="32"/>
        <v>6</v>
      </c>
      <c r="L86" s="64">
        <f>VLOOKUP($B:$B,'[1]1店'!$B:$L,11,0)</f>
        <v>13.165</v>
      </c>
      <c r="M86" s="44">
        <f t="shared" si="33"/>
        <v>78.99</v>
      </c>
      <c r="N86" s="186">
        <f>IFERROR(VLOOKUP(B:B,'1店辅助表'!B:C,2,FALSE),0)</f>
        <v>0</v>
      </c>
      <c r="O86" s="186">
        <f>IFERROR(VLOOKUP(B:B,'1店辅助表'!E:F,2,FALSE),0)</f>
        <v>1</v>
      </c>
      <c r="P86" s="186">
        <f>IFERROR(VLOOKUP(B:B,'1店辅助表'!H:I,2,FALSE),0)</f>
        <v>1</v>
      </c>
      <c r="Q86" s="65">
        <f>IFERROR(VLOOKUP($B:$B,'[1]1店'!$B:$N,13,FALSE),0)</f>
        <v>1</v>
      </c>
      <c r="R86" s="79">
        <f t="shared" si="22"/>
        <v>-1</v>
      </c>
      <c r="S86" s="80">
        <f t="shared" si="23"/>
        <v>180</v>
      </c>
      <c r="T86" s="44">
        <f t="shared" si="24"/>
        <v>6</v>
      </c>
      <c r="U86" s="188">
        <f>IFERROR(VLOOKUP($B:$B,'[1]1店'!$B:$T,19,FALSE),0)</f>
        <v>2.47058823529412</v>
      </c>
      <c r="V86" s="81">
        <f t="shared" si="25"/>
        <v>3.52941176470588</v>
      </c>
      <c r="W86" s="82" t="str">
        <f t="shared" si="26"/>
        <v>有库存无销量</v>
      </c>
      <c r="X86" s="83" t="str">
        <f t="shared" si="27"/>
        <v>库存过高</v>
      </c>
      <c r="Y86" s="44">
        <f>IFERROR(SUMIF('1店辅助表'!K:K,B:B,'1店辅助表'!N:N),0)</f>
        <v>0.00315</v>
      </c>
      <c r="Z86" s="44">
        <f>IFERROR(SUMIF('1店辅助表'!T:T,B:B,'1店辅助表'!W:W),0)</f>
        <v>0.01389</v>
      </c>
      <c r="AA86" s="44">
        <f>IFERROR(SUMIF('1店辅助表'!AC:AC,B:B,'1店辅助表'!AF:AF),0)</f>
        <v>0.01389</v>
      </c>
      <c r="AB86" s="91" t="str">
        <f>IFERROR(SUMIF('1店辅助表'!K:K,B:B,'1店辅助表'!N:N)/SUMIF('1店辅助表'!K:K,B:B,'1店辅助表'!O:O),"-")</f>
        <v>-</v>
      </c>
      <c r="AC86" s="91">
        <f>IFERROR(VLOOKUP($B:$B,'[1]1店'!$B:$AB,27,FALSE),"-")</f>
        <v>0.00107507507507508</v>
      </c>
      <c r="AD86" s="92" t="str">
        <f t="shared" si="28"/>
        <v>-</v>
      </c>
      <c r="AE86" s="91">
        <f>IFERROR(SUMIF('1店辅助表'!T:T,B:B,'1店辅助表'!W:W)/SUMIF('1店辅助表'!T:T,B:B,'1店辅助表'!X:X),"-")</f>
        <v>0.00139039039039039</v>
      </c>
      <c r="AF86" s="91">
        <f>IFERROR(SUMIF('1店辅助表'!AC:AC,B:B,'1店辅助表'!AF:AF)/SUMIF('1店辅助表'!AC:AC,B:B,'1店辅助表'!AG:AG),"-")</f>
        <v>0.00139039039039039</v>
      </c>
      <c r="AG86" s="99">
        <f>IFERROR(AK86/((SUMIF('1店辅助表'!AT:AT,B:B,'1店辅助表'!AU:AU)+M86)/2),"-")</f>
        <v>0</v>
      </c>
      <c r="AH86" s="99">
        <f>IFERROR(AL86/((SUMIF('1店辅助表'!AW:AW,B:B,'1店辅助表'!AX:AX)+M86)/2),"-")</f>
        <v>0.153846153846154</v>
      </c>
      <c r="AI86" s="100">
        <f>IFERROR((SUMIF('1店辅助表'!AP:AP,B:B,'1店辅助表'!AR:AR)-SUMIF('1店辅助表'!AP:AP,B:B,'1店辅助表'!AR:AR)*0.15-(L86+IFERROR(VLOOKUP(B:B,'1店辅助表'!AZ:BA,2,0),0))*O86-IF(AN:AN="US",6.85,4.9)*(Z86+3.99*O86))/SUMIF('1店辅助表'!AP:AP,B:B,'1店辅助表'!AR:AR),"-")</f>
        <v>0.202043335306109</v>
      </c>
      <c r="AJ86" s="100">
        <f t="shared" si="29"/>
        <v>0.0310835900470937</v>
      </c>
      <c r="AK86" s="101">
        <f t="shared" si="30"/>
        <v>0</v>
      </c>
      <c r="AL86" s="101">
        <f t="shared" si="31"/>
        <v>13.165</v>
      </c>
      <c r="AM86" s="1" t="str">
        <f>VLOOKUP(B:B,'1店辅助表'!$AZ:$BB,1,FALSE)</f>
        <v>Y1038-BU</v>
      </c>
      <c r="AN86" s="1" t="str">
        <f>VLOOKUP(B:B,'1店辅助表'!AZ:BB,3,FALSE)</f>
        <v>US</v>
      </c>
    </row>
    <row r="87" customHeight="1" spans="1:40">
      <c r="A87" s="58" t="str">
        <f>INDEX('[1]1店'!$A:$A,MATCH(B:B,'[1]1店'!$B:$B,0))</f>
        <v>秀青</v>
      </c>
      <c r="B87" s="43" t="s">
        <v>298</v>
      </c>
      <c r="C87" s="43" t="s">
        <v>299</v>
      </c>
      <c r="D87" s="59">
        <f>VLOOKUP(B:B,'[1]1店'!$B:$L,3,0)</f>
        <v>44998</v>
      </c>
      <c r="E87" s="43" t="s">
        <v>300</v>
      </c>
      <c r="F87" s="43">
        <v>22</v>
      </c>
      <c r="G87" s="43">
        <v>0</v>
      </c>
      <c r="H87" s="43">
        <v>0</v>
      </c>
      <c r="I87" s="43">
        <v>0</v>
      </c>
      <c r="J87" s="43">
        <v>0</v>
      </c>
      <c r="K87" s="63">
        <f t="shared" si="32"/>
        <v>22</v>
      </c>
      <c r="L87" s="64">
        <f>VLOOKUP($B:$B,'[1]1店'!$B:$L,11,0)</f>
        <v>13.165</v>
      </c>
      <c r="M87" s="44">
        <f t="shared" si="33"/>
        <v>289.63</v>
      </c>
      <c r="N87" s="186">
        <f>IFERROR(VLOOKUP(B:B,'1店辅助表'!B:C,2,FALSE),0)</f>
        <v>0</v>
      </c>
      <c r="O87" s="186">
        <f>IFERROR(VLOOKUP(B:B,'1店辅助表'!E:F,2,FALSE),0)</f>
        <v>0</v>
      </c>
      <c r="P87" s="186">
        <f>IFERROR(VLOOKUP(B:B,'1店辅助表'!H:I,2,FALSE),0)</f>
        <v>2</v>
      </c>
      <c r="Q87" s="65">
        <f>IFERROR(VLOOKUP($B:$B,'[1]1店'!$B:$N,13,FALSE),0)</f>
        <v>0</v>
      </c>
      <c r="R87" s="79">
        <f t="shared" si="22"/>
        <v>0</v>
      </c>
      <c r="S87" s="80">
        <f t="shared" si="23"/>
        <v>990</v>
      </c>
      <c r="T87" s="44">
        <f t="shared" si="24"/>
        <v>33</v>
      </c>
      <c r="U87" s="188">
        <f>IFERROR(VLOOKUP($B:$B,'[1]1店'!$B:$T,19,FALSE),0)</f>
        <v>11</v>
      </c>
      <c r="V87" s="81">
        <f t="shared" si="25"/>
        <v>22</v>
      </c>
      <c r="W87" s="82" t="str">
        <f t="shared" si="26"/>
        <v>有库存无销量</v>
      </c>
      <c r="X87" s="83" t="str">
        <f t="shared" si="27"/>
        <v>库存过高</v>
      </c>
      <c r="Y87" s="44">
        <f>IFERROR(SUMIF('1店辅助表'!K:K,B:B,'1店辅助表'!N:N),0)</f>
        <v>0</v>
      </c>
      <c r="Z87" s="44">
        <f>IFERROR(SUMIF('1店辅助表'!T:T,B:B,'1店辅助表'!W:W),0)</f>
        <v>0.00659</v>
      </c>
      <c r="AA87" s="44">
        <f>IFERROR(SUMIF('1店辅助表'!AC:AC,B:B,'1店辅助表'!AF:AF),0)</f>
        <v>0.00659</v>
      </c>
      <c r="AB87" s="91" t="str">
        <f>IFERROR(SUMIF('1店辅助表'!K:K,B:B,'1店辅助表'!N:N)/SUMIF('1店辅助表'!K:K,B:B,'1店辅助表'!O:O),"-")</f>
        <v>-</v>
      </c>
      <c r="AC87" s="91" t="str">
        <f>IFERROR(VLOOKUP($B:$B,'[1]1店'!$B:$AB,27,FALSE),"-")</f>
        <v>-</v>
      </c>
      <c r="AD87" s="92" t="str">
        <f t="shared" si="28"/>
        <v>-</v>
      </c>
      <c r="AE87" s="91" t="str">
        <f>IFERROR(SUMIF('1店辅助表'!T:T,B:B,'1店辅助表'!W:W)/SUMIF('1店辅助表'!T:T,B:B,'1店辅助表'!X:X),"-")</f>
        <v>-</v>
      </c>
      <c r="AF87" s="91" t="str">
        <f>IFERROR(SUMIF('1店辅助表'!AC:AC,B:B,'1店辅助表'!AF:AF)/SUMIF('1店辅助表'!AC:AC,B:B,'1店辅助表'!AG:AG),"-")</f>
        <v>-</v>
      </c>
      <c r="AG87" s="99">
        <f>IFERROR(AK87/((SUMIF('1店辅助表'!AT:AT,B:B,'1店辅助表'!AU:AU)+M87)/2),"-")</f>
        <v>0</v>
      </c>
      <c r="AH87" s="99">
        <f>IFERROR(AL87/((SUMIF('1店辅助表'!AW:AW,B:B,'1店辅助表'!AX:AX)+M87)/2),"-")</f>
        <v>0</v>
      </c>
      <c r="AI87" s="100" t="str">
        <f>IFERROR((SUMIF('1店辅助表'!AP:AP,B:B,'1店辅助表'!AR:AR)-SUMIF('1店辅助表'!AP:AP,B:B,'1店辅助表'!AR:AR)*0.15-(L87+IFERROR(VLOOKUP(B:B,'1店辅助表'!AZ:BA,2,0),0))*O87-IF(AN:AN="US",6.85,4.9)*(Z87+3.99*O87))/SUMIF('1店辅助表'!AP:AP,B:B,'1店辅助表'!AR:AR),"-")</f>
        <v>-</v>
      </c>
      <c r="AJ87" s="100" t="str">
        <f t="shared" si="29"/>
        <v>-</v>
      </c>
      <c r="AK87" s="101">
        <f t="shared" si="30"/>
        <v>0</v>
      </c>
      <c r="AL87" s="101">
        <f t="shared" si="31"/>
        <v>0</v>
      </c>
      <c r="AM87" s="1" t="str">
        <f>VLOOKUP(B:B,'1店辅助表'!$AZ:$BB,1,FALSE)</f>
        <v>Y1038-GL</v>
      </c>
      <c r="AN87" s="1" t="str">
        <f>VLOOKUP(B:B,'1店辅助表'!AZ:BB,3,FALSE)</f>
        <v>US</v>
      </c>
    </row>
    <row r="88" customHeight="1" spans="1:40">
      <c r="A88" s="58" t="str">
        <f>INDEX('[1]1店'!$A:$A,MATCH(B:B,'[1]1店'!$B:$B,0))</f>
        <v>秀青</v>
      </c>
      <c r="B88" s="43" t="s">
        <v>301</v>
      </c>
      <c r="C88" s="43" t="s">
        <v>302</v>
      </c>
      <c r="D88" s="59">
        <f>VLOOKUP(B:B,'[1]1店'!$B:$L,3,0)</f>
        <v>44998</v>
      </c>
      <c r="E88" s="43" t="s">
        <v>303</v>
      </c>
      <c r="F88" s="43">
        <v>19</v>
      </c>
      <c r="G88" s="43">
        <v>0</v>
      </c>
      <c r="H88" s="43">
        <v>0</v>
      </c>
      <c r="I88" s="43">
        <v>0</v>
      </c>
      <c r="J88" s="43">
        <v>0</v>
      </c>
      <c r="K88" s="63">
        <f t="shared" si="32"/>
        <v>19</v>
      </c>
      <c r="L88" s="64">
        <f>VLOOKUP($B:$B,'[1]1店'!$B:$L,11,0)</f>
        <v>13.165</v>
      </c>
      <c r="M88" s="44">
        <f t="shared" si="33"/>
        <v>250.135</v>
      </c>
      <c r="N88" s="186">
        <f>IFERROR(VLOOKUP(B:B,'1店辅助表'!B:C,2,FALSE),0)</f>
        <v>0</v>
      </c>
      <c r="O88" s="186">
        <f>IFERROR(VLOOKUP(B:B,'1店辅助表'!E:F,2,FALSE),0)</f>
        <v>0</v>
      </c>
      <c r="P88" s="186">
        <f>IFERROR(VLOOKUP(B:B,'1店辅助表'!H:I,2,FALSE),0)</f>
        <v>1</v>
      </c>
      <c r="Q88" s="65">
        <f>IFERROR(VLOOKUP($B:$B,'[1]1店'!$B:$N,13,FALSE),0)</f>
        <v>0</v>
      </c>
      <c r="R88" s="79">
        <f t="shared" si="22"/>
        <v>0</v>
      </c>
      <c r="S88" s="80">
        <f t="shared" si="23"/>
        <v>1710</v>
      </c>
      <c r="T88" s="44">
        <f t="shared" si="24"/>
        <v>57</v>
      </c>
      <c r="U88" s="188">
        <f>IFERROR(VLOOKUP($B:$B,'[1]1店'!$B:$T,19,FALSE),0)</f>
        <v>19</v>
      </c>
      <c r="V88" s="81">
        <f t="shared" si="25"/>
        <v>38</v>
      </c>
      <c r="W88" s="82" t="str">
        <f t="shared" si="26"/>
        <v>有库存无销量</v>
      </c>
      <c r="X88" s="83" t="str">
        <f t="shared" si="27"/>
        <v>库存过高</v>
      </c>
      <c r="Y88" s="44">
        <f>IFERROR(SUMIF('1店辅助表'!K:K,B:B,'1店辅助表'!N:N),0)</f>
        <v>0.55528</v>
      </c>
      <c r="Z88" s="44">
        <f>IFERROR(SUMIF('1店辅助表'!T:T,B:B,'1店辅助表'!W:W),0)</f>
        <v>1.43684</v>
      </c>
      <c r="AA88" s="44">
        <f>IFERROR(SUMIF('1店辅助表'!AC:AC,B:B,'1店辅助表'!AF:AF),0)</f>
        <v>4.54684</v>
      </c>
      <c r="AB88" s="91" t="str">
        <f>IFERROR(SUMIF('1店辅助表'!K:K,B:B,'1店辅助表'!N:N)/SUMIF('1店辅助表'!K:K,B:B,'1店辅助表'!O:O),"-")</f>
        <v>-</v>
      </c>
      <c r="AC88" s="91">
        <f>IFERROR(VLOOKUP($B:$B,'[1]1店'!$B:$AB,27,FALSE),"-")</f>
        <v>0.0391171171171171</v>
      </c>
      <c r="AD88" s="92" t="str">
        <f t="shared" si="28"/>
        <v>-</v>
      </c>
      <c r="AE88" s="91">
        <f>IFERROR(SUMIF('1店辅助表'!T:T,B:B,'1店辅助表'!W:W)/SUMIF('1店辅助表'!T:T,B:B,'1店辅助表'!X:X),"-")</f>
        <v>0.0719139139139139</v>
      </c>
      <c r="AF88" s="91">
        <f>IFERROR(SUMIF('1店辅助表'!AC:AC,B:B,'1店辅助表'!AF:AF)/SUMIF('1店辅助表'!AC:AC,B:B,'1店辅助表'!AG:AG),"-")</f>
        <v>0.22756956956957</v>
      </c>
      <c r="AG88" s="99">
        <f>IFERROR(AK88/((SUMIF('1店辅助表'!AT:AT,B:B,'1店辅助表'!AU:AU)+M88)/2),"-")</f>
        <v>0</v>
      </c>
      <c r="AH88" s="99">
        <f>IFERROR(AL88/((SUMIF('1店辅助表'!AW:AW,B:B,'1店辅助表'!AX:AX)+M88)/2),"-")</f>
        <v>0</v>
      </c>
      <c r="AI88" s="100" t="str">
        <f>IFERROR((SUMIF('1店辅助表'!AP:AP,B:B,'1店辅助表'!AR:AR)-SUMIF('1店辅助表'!AP:AP,B:B,'1店辅助表'!AR:AR)*0.15-(L88+IFERROR(VLOOKUP(B:B,'1店辅助表'!AZ:BA,2,0),0))*O88-IF(AN:AN="US",6.85,4.9)*(Z88+3.99*O88))/SUMIF('1店辅助表'!AP:AP,B:B,'1店辅助表'!AR:AR),"-")</f>
        <v>-</v>
      </c>
      <c r="AJ88" s="100" t="str">
        <f t="shared" si="29"/>
        <v>-</v>
      </c>
      <c r="AK88" s="101">
        <f t="shared" si="30"/>
        <v>0</v>
      </c>
      <c r="AL88" s="101">
        <f t="shared" si="31"/>
        <v>0</v>
      </c>
      <c r="AM88" s="1" t="str">
        <f>VLOOKUP(B:B,'1店辅助表'!$AZ:$BB,1,FALSE)</f>
        <v>Y1038-PU</v>
      </c>
      <c r="AN88" s="1" t="str">
        <f>VLOOKUP(B:B,'1店辅助表'!AZ:BB,3,FALSE)</f>
        <v>US</v>
      </c>
    </row>
    <row r="89" customHeight="1" spans="1:40">
      <c r="A89" s="58" t="str">
        <f>INDEX('[1]1店'!$A:$A,MATCH(B:B,'[1]1店'!$B:$B,0))</f>
        <v>秀青</v>
      </c>
      <c r="B89" s="43" t="s">
        <v>304</v>
      </c>
      <c r="C89" s="43" t="s">
        <v>305</v>
      </c>
      <c r="D89" s="59">
        <f>VLOOKUP(B:B,'[1]1店'!$B:$L,3,0)</f>
        <v>44998</v>
      </c>
      <c r="E89" s="43" t="s">
        <v>306</v>
      </c>
      <c r="F89" s="43">
        <v>8</v>
      </c>
      <c r="G89" s="43">
        <v>0</v>
      </c>
      <c r="H89" s="43">
        <v>0</v>
      </c>
      <c r="I89" s="43">
        <v>0</v>
      </c>
      <c r="J89" s="43">
        <v>0</v>
      </c>
      <c r="K89" s="63">
        <f t="shared" si="32"/>
        <v>8</v>
      </c>
      <c r="L89" s="64">
        <f>VLOOKUP($B:$B,'[1]1店'!$B:$L,11,0)</f>
        <v>13.182</v>
      </c>
      <c r="M89" s="44">
        <f t="shared" si="33"/>
        <v>105.456</v>
      </c>
      <c r="N89" s="186">
        <f>IFERROR(VLOOKUP(B:B,'1店辅助表'!B:C,2,FALSE),0)</f>
        <v>0</v>
      </c>
      <c r="O89" s="186">
        <f>IFERROR(VLOOKUP(B:B,'1店辅助表'!E:F,2,FALSE),0)</f>
        <v>0</v>
      </c>
      <c r="P89" s="186">
        <f>IFERROR(VLOOKUP(B:B,'1店辅助表'!H:I,2,FALSE),0)</f>
        <v>4</v>
      </c>
      <c r="Q89" s="65">
        <f>IFERROR(VLOOKUP($B:$B,'[1]1店'!$B:$N,13,FALSE),0)</f>
        <v>0</v>
      </c>
      <c r="R89" s="79">
        <f t="shared" si="22"/>
        <v>0</v>
      </c>
      <c r="S89" s="80">
        <f t="shared" si="23"/>
        <v>180</v>
      </c>
      <c r="T89" s="44">
        <f t="shared" si="24"/>
        <v>6</v>
      </c>
      <c r="U89" s="188">
        <f>IFERROR(VLOOKUP($B:$B,'[1]1店'!$B:$T,19,FALSE),0)</f>
        <v>2.66666666666667</v>
      </c>
      <c r="V89" s="81">
        <f t="shared" si="25"/>
        <v>3.33333333333333</v>
      </c>
      <c r="W89" s="82" t="str">
        <f t="shared" si="26"/>
        <v>有库存无销量</v>
      </c>
      <c r="X89" s="83" t="str">
        <f t="shared" si="27"/>
        <v>库存过高</v>
      </c>
      <c r="Y89" s="44">
        <f>IFERROR(SUMIF('1店辅助表'!K:K,B:B,'1店辅助表'!N:N),0)</f>
        <v>0</v>
      </c>
      <c r="Z89" s="44">
        <f>IFERROR(SUMIF('1店辅助表'!T:T,B:B,'1店辅助表'!W:W),0)</f>
        <v>0</v>
      </c>
      <c r="AA89" s="44">
        <f>IFERROR(SUMIF('1店辅助表'!AC:AC,B:B,'1店辅助表'!AF:AF),0)</f>
        <v>0</v>
      </c>
      <c r="AB89" s="91" t="str">
        <f>IFERROR(SUMIF('1店辅助表'!K:K,B:B,'1店辅助表'!N:N)/SUMIF('1店辅助表'!K:K,B:B,'1店辅助表'!O:O),"-")</f>
        <v>-</v>
      </c>
      <c r="AC89" s="91" t="str">
        <f>IFERROR(VLOOKUP($B:$B,'[1]1店'!$B:$AB,27,FALSE),"-")</f>
        <v>-</v>
      </c>
      <c r="AD89" s="92" t="str">
        <f t="shared" si="28"/>
        <v>-</v>
      </c>
      <c r="AE89" s="91" t="str">
        <f>IFERROR(SUMIF('1店辅助表'!T:T,B:B,'1店辅助表'!W:W)/SUMIF('1店辅助表'!T:T,B:B,'1店辅助表'!X:X),"-")</f>
        <v>-</v>
      </c>
      <c r="AF89" s="91" t="str">
        <f>IFERROR(SUMIF('1店辅助表'!AC:AC,B:B,'1店辅助表'!AF:AF)/SUMIF('1店辅助表'!AC:AC,B:B,'1店辅助表'!AG:AG),"-")</f>
        <v>-</v>
      </c>
      <c r="AG89" s="99">
        <f>IFERROR(AK89/((SUMIF('1店辅助表'!AT:AT,B:B,'1店辅助表'!AU:AU)+M89)/2),"-")</f>
        <v>0</v>
      </c>
      <c r="AH89" s="99">
        <f>IFERROR(AL89/((SUMIF('1店辅助表'!AW:AW,B:B,'1店辅助表'!AX:AX)+M89)/2),"-")</f>
        <v>0</v>
      </c>
      <c r="AI89" s="100" t="str">
        <f>IFERROR((SUMIF('1店辅助表'!AP:AP,B:B,'1店辅助表'!AR:AR)-SUMIF('1店辅助表'!AP:AP,B:B,'1店辅助表'!AR:AR)*0.15-(L89+IFERROR(VLOOKUP(B:B,'1店辅助表'!AZ:BA,2,0),0))*O89-IF(AN:AN="US",6.85,4.9)*(Z89+3.99*O89))/SUMIF('1店辅助表'!AP:AP,B:B,'1店辅助表'!AR:AR),"-")</f>
        <v>-</v>
      </c>
      <c r="AJ89" s="100" t="str">
        <f t="shared" si="29"/>
        <v>-</v>
      </c>
      <c r="AK89" s="101">
        <f t="shared" si="30"/>
        <v>0</v>
      </c>
      <c r="AL89" s="101">
        <f t="shared" si="31"/>
        <v>0</v>
      </c>
      <c r="AM89" s="1" t="str">
        <f>VLOOKUP(B:B,'1店辅助表'!$AZ:$BB,1,FALSE)</f>
        <v>Y1038-RE</v>
      </c>
      <c r="AN89" s="1" t="str">
        <f>VLOOKUP(B:B,'1店辅助表'!AZ:BB,3,FALSE)</f>
        <v>US</v>
      </c>
    </row>
    <row r="90" customHeight="1" spans="1:40">
      <c r="A90" s="58" t="str">
        <f>INDEX('[1]1店'!$A:$A,MATCH(B:B,'[1]1店'!$B:$B,0))</f>
        <v>秀青</v>
      </c>
      <c r="B90" s="43" t="s">
        <v>307</v>
      </c>
      <c r="C90" s="43" t="s">
        <v>308</v>
      </c>
      <c r="D90" s="59">
        <f>VLOOKUP(B:B,'[1]1店'!$B:$L,3,0)</f>
        <v>44972</v>
      </c>
      <c r="E90" s="43" t="s">
        <v>309</v>
      </c>
      <c r="F90" s="43">
        <v>58</v>
      </c>
      <c r="G90" s="43">
        <v>0</v>
      </c>
      <c r="H90" s="43">
        <v>3</v>
      </c>
      <c r="I90" s="43">
        <v>4</v>
      </c>
      <c r="J90" s="43">
        <v>0</v>
      </c>
      <c r="K90" s="63">
        <f t="shared" si="32"/>
        <v>65</v>
      </c>
      <c r="L90" s="64">
        <f>VLOOKUP($B:$B,'[1]1店'!$B:$L,11,0)</f>
        <v>61.237</v>
      </c>
      <c r="M90" s="44">
        <f t="shared" si="33"/>
        <v>3980.405</v>
      </c>
      <c r="N90" s="186">
        <f>IFERROR(VLOOKUP(B:B,'1店辅助表'!B:C,2,FALSE),0)</f>
        <v>15</v>
      </c>
      <c r="O90" s="186">
        <f>IFERROR(VLOOKUP(B:B,'1店辅助表'!E:F,2,FALSE),0)</f>
        <v>36</v>
      </c>
      <c r="P90" s="186">
        <f>IFERROR(VLOOKUP(B:B,'1店辅助表'!H:I,2,FALSE),0)</f>
        <v>55</v>
      </c>
      <c r="Q90" s="65">
        <f>IFERROR(VLOOKUP($B:$B,'[1]1店'!$B:$N,13,FALSE),0)</f>
        <v>19</v>
      </c>
      <c r="R90" s="79">
        <f t="shared" si="22"/>
        <v>-4</v>
      </c>
      <c r="S90" s="80">
        <f t="shared" si="23"/>
        <v>30.5825242718447</v>
      </c>
      <c r="T90" s="44">
        <f t="shared" si="24"/>
        <v>1.01941747572816</v>
      </c>
      <c r="U90" s="188">
        <f>IFERROR(VLOOKUP($B:$B,'[1]1店'!$B:$T,19,FALSE),0)</f>
        <v>1.20042342978123</v>
      </c>
      <c r="V90" s="81">
        <f t="shared" si="25"/>
        <v>-0.18100595405307</v>
      </c>
      <c r="W90" s="82" t="str">
        <f t="shared" si="26"/>
        <v>正常</v>
      </c>
      <c r="X90" s="83" t="str">
        <f t="shared" si="27"/>
        <v>正常</v>
      </c>
      <c r="Y90" s="44">
        <f>IFERROR(SUMIF('1店辅助表'!K:K,B:B,'1店辅助表'!N:N),0)</f>
        <v>59.05695</v>
      </c>
      <c r="Z90" s="44">
        <f>IFERROR(SUMIF('1店辅助表'!T:T,B:B,'1店辅助表'!W:W),0)</f>
        <v>128.43305</v>
      </c>
      <c r="AA90" s="44">
        <f>IFERROR(SUMIF('1店辅助表'!AC:AC,B:B,'1店辅助表'!AF:AF),0)</f>
        <v>204.36434</v>
      </c>
      <c r="AB90" s="91">
        <f>IFERROR(SUMIF('1店辅助表'!K:K,B:B,'1店辅助表'!N:N)/SUMIF('1店辅助表'!K:K,B:B,'1店辅助表'!O:O),"-")</f>
        <v>0.216420954265611</v>
      </c>
      <c r="AC90" s="91">
        <f>IFERROR(VLOOKUP($B:$B,'[1]1店'!$B:$AB,27,FALSE),"-")</f>
        <v>0.157673486368753</v>
      </c>
      <c r="AD90" s="92">
        <f t="shared" si="28"/>
        <v>0.058747467896858</v>
      </c>
      <c r="AE90" s="91">
        <f>IFERROR(SUMIF('1店辅助表'!T:T,B:B,'1店辅助表'!W:W)/SUMIF('1店辅助表'!T:T,B:B,'1店辅助表'!X:X),"-")</f>
        <v>0.184400422116613</v>
      </c>
      <c r="AF90" s="91">
        <f>IFERROR(SUMIF('1店辅助表'!AC:AC,B:B,'1店辅助表'!AF:AF)/SUMIF('1店辅助表'!AC:AC,B:B,'1店辅助表'!AG:AG),"-")</f>
        <v>0.167062602184291</v>
      </c>
      <c r="AG90" s="99">
        <f>IFERROR(AK90/((SUMIF('1店辅助表'!AT:AT,B:B,'1店辅助表'!AU:AU)+M90)/2),"-")</f>
        <v>0.205479452054795</v>
      </c>
      <c r="AH90" s="99">
        <f>IFERROR(AL90/((SUMIF('1店辅助表'!AW:AW,B:B,'1店辅助表'!AX:AX)+M90)/2),"-")</f>
        <v>0.444444444444444</v>
      </c>
      <c r="AI90" s="100">
        <f>IFERROR((SUMIF('1店辅助表'!AP:AP,B:B,'1店辅助表'!AR:AR)-SUMIF('1店辅助表'!AP:AP,B:B,'1店辅助表'!AR:AR)*0.15-(L90+IFERROR(VLOOKUP(B:B,'1店辅助表'!AZ:BA,2,0),0))*O90-IF(AN:AN="US",6.85,4.9)*(Z90+3.99*O90))/SUMIF('1店辅助表'!AP:AP,B:B,'1店辅助表'!AR:AR),"-")</f>
        <v>0.149703233310962</v>
      </c>
      <c r="AJ90" s="100">
        <f t="shared" si="29"/>
        <v>0.0665347703604275</v>
      </c>
      <c r="AK90" s="101">
        <f t="shared" si="30"/>
        <v>918.555</v>
      </c>
      <c r="AL90" s="101">
        <f t="shared" si="31"/>
        <v>2204.532</v>
      </c>
      <c r="AM90" s="1" t="str">
        <f>VLOOKUP(B:B,'1店辅助表'!$AZ:$BB,1,FALSE)</f>
        <v>Y1054-ZH</v>
      </c>
      <c r="AN90" s="1" t="str">
        <f>VLOOKUP(B:B,'1店辅助表'!AZ:BB,3,FALSE)</f>
        <v>US</v>
      </c>
    </row>
    <row r="91" customHeight="1" spans="1:40">
      <c r="A91" s="58" t="str">
        <f>INDEX('[1]1店'!$A:$A,MATCH(B:B,'[1]1店'!$B:$B,0))</f>
        <v>秀青</v>
      </c>
      <c r="B91" s="43" t="s">
        <v>310</v>
      </c>
      <c r="C91" s="43" t="s">
        <v>311</v>
      </c>
      <c r="D91" s="59">
        <f>VLOOKUP(B:B,'[1]1店'!$B:$L,3,0)</f>
        <v>44972</v>
      </c>
      <c r="E91" s="43" t="s">
        <v>312</v>
      </c>
      <c r="F91" s="43">
        <v>15</v>
      </c>
      <c r="G91" s="43">
        <v>0</v>
      </c>
      <c r="H91" s="43">
        <v>0</v>
      </c>
      <c r="I91" s="43">
        <v>0</v>
      </c>
      <c r="J91" s="43">
        <v>0</v>
      </c>
      <c r="K91" s="63">
        <f t="shared" si="32"/>
        <v>15</v>
      </c>
      <c r="L91" s="64">
        <f>VLOOKUP($B:$B,'[1]1店'!$B:$L,11,0)</f>
        <v>56</v>
      </c>
      <c r="M91" s="44">
        <f t="shared" si="33"/>
        <v>840</v>
      </c>
      <c r="N91" s="186">
        <f>IFERROR(VLOOKUP(B:B,'1店辅助表'!B:C,2,FALSE),0)</f>
        <v>8</v>
      </c>
      <c r="O91" s="186">
        <f>IFERROR(VLOOKUP(B:B,'1店辅助表'!E:F,2,FALSE),0)</f>
        <v>23</v>
      </c>
      <c r="P91" s="186">
        <f>IFERROR(VLOOKUP(B:B,'1店辅助表'!H:I,2,FALSE),0)</f>
        <v>33</v>
      </c>
      <c r="Q91" s="65">
        <f>IFERROR(VLOOKUP($B:$B,'[1]1店'!$B:$N,13,FALSE),0)</f>
        <v>14</v>
      </c>
      <c r="R91" s="79">
        <f t="shared" ref="R91:R116" si="34">N91-Q91</f>
        <v>-6</v>
      </c>
      <c r="S91" s="80">
        <f t="shared" ref="S91:S116" si="35">IFERROR(K91/((N91/7+O91/15+P91/30)/3),"-")</f>
        <v>11.9167717528373</v>
      </c>
      <c r="T91" s="44">
        <f t="shared" ref="T91:T116" si="36">IFERROR(S91/30,"-")</f>
        <v>0.397225725094578</v>
      </c>
      <c r="U91" s="188">
        <f>IFERROR(VLOOKUP($B:$B,'[1]1店'!$B:$T,19,FALSE),0)</f>
        <v>0.681818181818182</v>
      </c>
      <c r="V91" s="81">
        <f t="shared" ref="V91:V116" si="37">IFERROR(T91-U91,"-")</f>
        <v>-0.284592456723604</v>
      </c>
      <c r="W91" s="82" t="str">
        <f t="shared" ref="W91:W124" si="38">_xlfn.IFS(AND(D91&lt;&gt;0,D91-$AM$2&gt;=0,B91&gt;0,D91&lt;&gt;0),"本月刚到货",AND(IFERROR((K91/(N91/7))/30,"-")="-",K91&gt;0),"有库存无销量",AND(IFERROR((K91/(N91/7))/30,"-")="-",K91=0),"无库存无销量",AND(IFERROR((K91/(N91/7))/30,"-")&lt;=0.5,K91=0),"无库存有销量",IFERROR((K91/(N91/7))/30,"-")&lt;=0.5,"库存过低",IFERROR((K91/(N91/7))/30,"-")&lt;=1.5,"正常",IFERROR((K91/(N91/7))/30,"-")&gt;1.5,"库存过高")</f>
        <v>库存过低</v>
      </c>
      <c r="X91" s="83" t="str">
        <f t="shared" ref="X91:X124" si="39">_xlfn.IFS(AND(D91&lt;&gt;0,D91-$AM$2&gt;=0,K91&gt;0,D91&lt;&gt;0),"本月刚到货",AND(T91="-",K91&gt;0),"有库存无销量",AND(T91="-",K91=0),"无库存无销量",AND(T91&lt;=0.5,K91=0),"无库存有销量",T91&lt;=0.5,"库存过低",T91&lt;=1.5,"正常",T91&gt;1.5,"库存过高")</f>
        <v>库存过低</v>
      </c>
      <c r="Y91" s="44">
        <f>IFERROR(SUMIF('1店辅助表'!K:K,B:B,'1店辅助表'!N:N),0)</f>
        <v>29.05809</v>
      </c>
      <c r="Z91" s="44">
        <f>IFERROR(SUMIF('1店辅助表'!T:T,B:B,'1店辅助表'!W:W),0)</f>
        <v>62.4508833333333</v>
      </c>
      <c r="AA91" s="44">
        <f>IFERROR(SUMIF('1店辅助表'!AC:AC,B:B,'1店辅助表'!AF:AF),0)</f>
        <v>103.795333333333</v>
      </c>
      <c r="AB91" s="91">
        <f>IFERROR(SUMIF('1店辅助表'!K:K,B:B,'1店辅助表'!N:N)/SUMIF('1店辅助表'!K:K,B:B,'1店辅助表'!O:O),"-")</f>
        <v>0.161496637581282</v>
      </c>
      <c r="AC91" s="91">
        <f>IFERROR(VLOOKUP($B:$B,'[1]1店'!$B:$AB,27,FALSE),"-")</f>
        <v>0.142230517965469</v>
      </c>
      <c r="AD91" s="92">
        <f t="shared" ref="AD91:AD116" si="40">IFERROR(AB91-AC91,"-")</f>
        <v>0.019266119615813</v>
      </c>
      <c r="AE91" s="91">
        <f>IFERROR(SUMIF('1店辅助表'!T:T,B:B,'1店辅助表'!W:W)/SUMIF('1店辅助表'!T:T,B:B,'1店辅助表'!X:X),"-")</f>
        <v>0.160445876509377</v>
      </c>
      <c r="AF91" s="91">
        <f>IFERROR(SUMIF('1店辅助表'!AC:AC,B:B,'1店辅助表'!AF:AF)/SUMIF('1店辅助表'!AC:AC,B:B,'1店辅助表'!AG:AG),"-")</f>
        <v>0.176077491150493</v>
      </c>
      <c r="AG91" s="99">
        <f>IFERROR(AK91/((SUMIF('1店辅助表'!AT:AT,B:B,'1店辅助表'!AU:AU)+M91)/2),"-")</f>
        <v>0.355555555555556</v>
      </c>
      <c r="AH91" s="99">
        <f>IFERROR(AL91/((SUMIF('1店辅助表'!AW:AW,B:B,'1店辅助表'!AX:AX)+M91)/2),"-")</f>
        <v>0.71875</v>
      </c>
      <c r="AI91" s="100">
        <f>IFERROR((SUMIF('1店辅助表'!AP:AP,B:B,'1店辅助表'!AR:AR)-SUMIF('1店辅助表'!AP:AP,B:B,'1店辅助表'!AR:AR)*0.15-(L91+IFERROR(VLOOKUP(B:B,'1店辅助表'!AZ:BA,2,0),0))*O91-IF(AN:AN="US",6.85,4.9)*(Z91+3.99*O91))/SUMIF('1店辅助表'!AP:AP,B:B,'1店辅助表'!AR:AR),"-")</f>
        <v>0.153964512029565</v>
      </c>
      <c r="AJ91" s="100">
        <f t="shared" ref="AJ91:AJ116" si="41">IFERROR(AH91*AI91,"-")</f>
        <v>0.11066199302125</v>
      </c>
      <c r="AK91" s="101">
        <f t="shared" ref="AK91:AK116" si="42">$N91*$L91</f>
        <v>448</v>
      </c>
      <c r="AL91" s="101">
        <f t="shared" ref="AL91:AL116" si="43">$O91*$L91</f>
        <v>1288</v>
      </c>
      <c r="AM91" s="1" t="str">
        <f>VLOOKUP(B:B,'1店辅助表'!$AZ:$BB,1,FALSE)</f>
        <v>Y1057-ZH</v>
      </c>
      <c r="AN91" s="1" t="str">
        <f>VLOOKUP(B:B,'1店辅助表'!AZ:BB,3,FALSE)</f>
        <v>US</v>
      </c>
    </row>
    <row r="92" customHeight="1" spans="1:40">
      <c r="A92" s="58" t="str">
        <f>INDEX('[1]1店'!$A:$A,MATCH(B:B,'[1]1店'!$B:$B,0))</f>
        <v>秀青</v>
      </c>
      <c r="B92" s="43" t="s">
        <v>313</v>
      </c>
      <c r="C92" s="43" t="s">
        <v>314</v>
      </c>
      <c r="D92" s="59">
        <f>VLOOKUP(B:B,'[1]1店'!$B:$L,3,0)</f>
        <v>44972</v>
      </c>
      <c r="E92" s="43" t="s">
        <v>315</v>
      </c>
      <c r="F92" s="43">
        <v>28</v>
      </c>
      <c r="G92" s="43">
        <v>0</v>
      </c>
      <c r="H92" s="43">
        <v>1</v>
      </c>
      <c r="I92" s="43">
        <v>1</v>
      </c>
      <c r="J92" s="43">
        <v>0</v>
      </c>
      <c r="K92" s="63">
        <f t="shared" si="32"/>
        <v>30</v>
      </c>
      <c r="L92" s="64">
        <f>VLOOKUP($B:$B,'[1]1店'!$B:$L,11,0)</f>
        <v>57.45</v>
      </c>
      <c r="M92" s="44">
        <f t="shared" si="33"/>
        <v>1723.5</v>
      </c>
      <c r="N92" s="186">
        <f>IFERROR(VLOOKUP(B:B,'1店辅助表'!B:C,2,FALSE),0)</f>
        <v>5</v>
      </c>
      <c r="O92" s="186">
        <f>IFERROR(VLOOKUP(B:B,'1店辅助表'!E:F,2,FALSE),0)</f>
        <v>13</v>
      </c>
      <c r="P92" s="186">
        <f>IFERROR(VLOOKUP(B:B,'1店辅助表'!H:I,2,FALSE),0)</f>
        <v>24</v>
      </c>
      <c r="Q92" s="65">
        <f>IFERROR(VLOOKUP($B:$B,'[1]1店'!$B:$N,13,FALSE),0)</f>
        <v>7</v>
      </c>
      <c r="R92" s="79">
        <f t="shared" si="34"/>
        <v>-2</v>
      </c>
      <c r="S92" s="80">
        <f t="shared" si="35"/>
        <v>37.8</v>
      </c>
      <c r="T92" s="44">
        <f t="shared" si="36"/>
        <v>1.26</v>
      </c>
      <c r="U92" s="188">
        <f>IFERROR(VLOOKUP($B:$B,'[1]1店'!$B:$T,19,FALSE),0)</f>
        <v>1.46153846153846</v>
      </c>
      <c r="V92" s="81">
        <f t="shared" si="37"/>
        <v>-0.20153846153846</v>
      </c>
      <c r="W92" s="82" t="str">
        <f t="shared" si="38"/>
        <v>正常</v>
      </c>
      <c r="X92" s="83" t="str">
        <f t="shared" si="39"/>
        <v>正常</v>
      </c>
      <c r="Y92" s="44">
        <f>IFERROR(SUMIF('1店辅助表'!K:K,B:B,'1店辅助表'!N:N),0)</f>
        <v>13.31692</v>
      </c>
      <c r="Z92" s="44">
        <f>IFERROR(SUMIF('1店辅助表'!T:T,B:B,'1店辅助表'!W:W),0)</f>
        <v>28.8047733333333</v>
      </c>
      <c r="AA92" s="44">
        <f>IFERROR(SUMIF('1店辅助表'!AC:AC,B:B,'1店辅助表'!AF:AF),0)</f>
        <v>50.3392533333333</v>
      </c>
      <c r="AB92" s="91">
        <f>IFERROR(SUMIF('1店辅助表'!K:K,B:B,'1店辅助表'!N:N)/SUMIF('1店辅助表'!K:K,B:B,'1店辅助表'!O:O),"-")</f>
        <v>0.0859710781149128</v>
      </c>
      <c r="AC92" s="91">
        <f>IFERROR(VLOOKUP($B:$B,'[1]1店'!$B:$AB,27,FALSE),"-")</f>
        <v>0.211690213971051</v>
      </c>
      <c r="AD92" s="92">
        <f t="shared" si="40"/>
        <v>-0.125719135856138</v>
      </c>
      <c r="AE92" s="91">
        <f>IFERROR(SUMIF('1店辅助表'!T:T,B:B,'1店辅助表'!W:W)/SUMIF('1店辅助表'!T:T,B:B,'1店辅助表'!X:X),"-")</f>
        <v>0.134940145848623</v>
      </c>
      <c r="AF92" s="91">
        <f>IFERROR(SUMIF('1店辅助表'!AC:AC,B:B,'1店辅助表'!AF:AF)/SUMIF('1店辅助表'!AC:AC,B:B,'1店辅助表'!AG:AG),"-")</f>
        <v>0.135789021265117</v>
      </c>
      <c r="AG92" s="99">
        <f>IFERROR(AK92/((SUMIF('1店辅助表'!AT:AT,B:B,'1店辅助表'!AU:AU)+M92)/2),"-")</f>
        <v>0.147058823529412</v>
      </c>
      <c r="AH92" s="99">
        <f>IFERROR(AL92/((SUMIF('1店辅助表'!AW:AW,B:B,'1店辅助表'!AX:AX)+M92)/2),"-")</f>
        <v>0.317073170731707</v>
      </c>
      <c r="AI92" s="100">
        <f>IFERROR((SUMIF('1店辅助表'!AP:AP,B:B,'1店辅助表'!AR:AR)-SUMIF('1店辅助表'!AP:AP,B:B,'1店辅助表'!AR:AR)*0.15-(L92+IFERROR(VLOOKUP(B:B,'1店辅助表'!AZ:BA,2,0),0))*O92-IF(AN:AN="US",6.85,4.9)*(Z92+3.99*O92))/SUMIF('1店辅助表'!AP:AP,B:B,'1店辅助表'!AR:AR),"-")</f>
        <v>0.192345199825525</v>
      </c>
      <c r="AJ92" s="100">
        <f t="shared" si="41"/>
        <v>0.0609875023837029</v>
      </c>
      <c r="AK92" s="101">
        <f t="shared" si="42"/>
        <v>287.25</v>
      </c>
      <c r="AL92" s="101">
        <f t="shared" si="43"/>
        <v>746.85</v>
      </c>
      <c r="AM92" s="1" t="str">
        <f>VLOOKUP(B:B,'1店辅助表'!$AZ:$BB,1,FALSE)</f>
        <v>Y1058-ZH</v>
      </c>
      <c r="AN92" s="1" t="str">
        <f>VLOOKUP(B:B,'1店辅助表'!AZ:BB,3,FALSE)</f>
        <v>US</v>
      </c>
    </row>
    <row r="93" customHeight="1" spans="1:40">
      <c r="A93" s="58" t="str">
        <f>INDEX('[1]1店'!$A:$A,MATCH(B:B,'[1]1店'!$B:$B,0))</f>
        <v>秀青</v>
      </c>
      <c r="B93" s="43" t="s">
        <v>316</v>
      </c>
      <c r="C93" s="43" t="s">
        <v>317</v>
      </c>
      <c r="D93" s="59">
        <f>VLOOKUP(B:B,'[1]1店'!$B:$L,3,0)</f>
        <v>44972</v>
      </c>
      <c r="E93" s="43" t="s">
        <v>318</v>
      </c>
      <c r="F93" s="43">
        <v>33</v>
      </c>
      <c r="G93" s="43">
        <v>0</v>
      </c>
      <c r="H93" s="43">
        <v>0</v>
      </c>
      <c r="I93" s="43">
        <v>0</v>
      </c>
      <c r="J93" s="43">
        <v>0</v>
      </c>
      <c r="K93" s="63">
        <f t="shared" si="32"/>
        <v>33</v>
      </c>
      <c r="L93" s="64">
        <f>VLOOKUP($B:$B,'[1]1店'!$B:$L,11,0)</f>
        <v>55.565</v>
      </c>
      <c r="M93" s="44">
        <f t="shared" si="33"/>
        <v>1833.645</v>
      </c>
      <c r="N93" s="186">
        <f>IFERROR(VLOOKUP(B:B,'1店辅助表'!B:C,2,FALSE),0)</f>
        <v>2</v>
      </c>
      <c r="O93" s="186">
        <f>IFERROR(VLOOKUP(B:B,'1店辅助表'!E:F,2,FALSE),0)</f>
        <v>8</v>
      </c>
      <c r="P93" s="186">
        <f>IFERROR(VLOOKUP(B:B,'1店辅助表'!H:I,2,FALSE),0)</f>
        <v>8</v>
      </c>
      <c r="Q93" s="65">
        <f>IFERROR(VLOOKUP($B:$B,'[1]1店'!$B:$N,13,FALSE),0)</f>
        <v>6</v>
      </c>
      <c r="R93" s="79">
        <f t="shared" si="34"/>
        <v>-4</v>
      </c>
      <c r="S93" s="80">
        <f t="shared" si="35"/>
        <v>91.1842105263158</v>
      </c>
      <c r="T93" s="44">
        <f t="shared" si="36"/>
        <v>3.03947368421053</v>
      </c>
      <c r="U93" s="188">
        <f>IFERROR(VLOOKUP($B:$B,'[1]1店'!$B:$T,19,FALSE),0)</f>
        <v>2.6078431372549</v>
      </c>
      <c r="V93" s="81">
        <f t="shared" si="37"/>
        <v>0.43163054695563</v>
      </c>
      <c r="W93" s="82" t="str">
        <f t="shared" si="38"/>
        <v>库存过高</v>
      </c>
      <c r="X93" s="83" t="str">
        <f t="shared" si="39"/>
        <v>库存过高</v>
      </c>
      <c r="Y93" s="44">
        <f>IFERROR(SUMIF('1店辅助表'!K:K,B:B,'1店辅助表'!N:N),0)</f>
        <v>12.78885</v>
      </c>
      <c r="Z93" s="44">
        <f>IFERROR(SUMIF('1店辅助表'!T:T,B:B,'1店辅助表'!W:W),0)</f>
        <v>19.19301</v>
      </c>
      <c r="AA93" s="44">
        <f>IFERROR(SUMIF('1店辅助表'!AC:AC,B:B,'1店辅助表'!AF:AF),0)</f>
        <v>19.19301</v>
      </c>
      <c r="AB93" s="91">
        <f>IFERROR(SUMIF('1店辅助表'!K:K,B:B,'1店辅助表'!N:N)/SUMIF('1店辅助表'!K:K,B:B,'1店辅助表'!O:O),"-")</f>
        <v>0.129245578575038</v>
      </c>
      <c r="AC93" s="91">
        <f>IFERROR(VLOOKUP($B:$B,'[1]1店'!$B:$AB,27,FALSE),"-")</f>
        <v>0.0690475471698113</v>
      </c>
      <c r="AD93" s="92">
        <f t="shared" si="40"/>
        <v>0.0601980314052267</v>
      </c>
      <c r="AE93" s="91">
        <f>IFERROR(SUMIF('1店辅助表'!T:T,B:B,'1店辅助表'!W:W)/SUMIF('1店辅助表'!T:T,B:B,'1店辅助表'!X:X),"-")</f>
        <v>0.100120031298905</v>
      </c>
      <c r="AF93" s="91">
        <f>IFERROR(SUMIF('1店辅助表'!AC:AC,B:B,'1店辅助表'!AF:AF)/SUMIF('1店辅助表'!AC:AC,B:B,'1店辅助表'!AG:AG),"-")</f>
        <v>0.100120031298905</v>
      </c>
      <c r="AG93" s="99">
        <f>IFERROR(AK93/((SUMIF('1店辅助表'!AT:AT,B:B,'1店辅助表'!AU:AU)+M93)/2),"-")</f>
        <v>0.0563380281690141</v>
      </c>
      <c r="AH93" s="99">
        <f>IFERROR(AL93/((SUMIF('1店辅助表'!AW:AW,B:B,'1店辅助表'!AX:AX)+M93)/2),"-")</f>
        <v>0.219178082191781</v>
      </c>
      <c r="AI93" s="100">
        <f>IFERROR((SUMIF('1店辅助表'!AP:AP,B:B,'1店辅助表'!AR:AR)-SUMIF('1店辅助表'!AP:AP,B:B,'1店辅助表'!AR:AR)*0.15-(L93+IFERROR(VLOOKUP(B:B,'1店辅助表'!AZ:BA,2,0),0))*O93-IF(AN:AN="US",6.85,4.9)*(Z93+3.99*O93))/SUMIF('1店辅助表'!AP:AP,B:B,'1店辅助表'!AR:AR),"-")</f>
        <v>0.124436098003509</v>
      </c>
      <c r="AJ93" s="100">
        <f t="shared" si="41"/>
        <v>0.0272736653158375</v>
      </c>
      <c r="AK93" s="101">
        <f t="shared" si="42"/>
        <v>111.13</v>
      </c>
      <c r="AL93" s="101">
        <f t="shared" si="43"/>
        <v>444.52</v>
      </c>
      <c r="AM93" s="1" t="str">
        <f>VLOOKUP(B:B,'1店辅助表'!$AZ:$BB,1,FALSE)</f>
        <v>Y1060-GR-ZH</v>
      </c>
      <c r="AN93" s="1" t="str">
        <f>VLOOKUP(B:B,'1店辅助表'!AZ:BB,3,FALSE)</f>
        <v>US</v>
      </c>
    </row>
    <row r="94" customHeight="1" spans="1:40">
      <c r="A94" s="58" t="str">
        <f>INDEX('[1]1店'!$A:$A,MATCH(B:B,'[1]1店'!$B:$B,0))</f>
        <v>秀青</v>
      </c>
      <c r="B94" s="43" t="s">
        <v>319</v>
      </c>
      <c r="C94" s="43" t="s">
        <v>320</v>
      </c>
      <c r="D94" s="59">
        <f>VLOOKUP(B:B,'[1]1店'!$B:$L,3,0)</f>
        <v>44972</v>
      </c>
      <c r="E94" s="43" t="s">
        <v>321</v>
      </c>
      <c r="F94" s="43">
        <v>4</v>
      </c>
      <c r="G94" s="43">
        <v>0</v>
      </c>
      <c r="H94" s="43">
        <v>0</v>
      </c>
      <c r="I94" s="43">
        <v>0</v>
      </c>
      <c r="J94" s="43">
        <v>0</v>
      </c>
      <c r="K94" s="63">
        <f t="shared" si="32"/>
        <v>4</v>
      </c>
      <c r="L94" s="64">
        <f>VLOOKUP($B:$B,'[1]1店'!$B:$L,11,0)</f>
        <v>57</v>
      </c>
      <c r="M94" s="44">
        <f t="shared" si="33"/>
        <v>228</v>
      </c>
      <c r="N94" s="186">
        <f>IFERROR(VLOOKUP(B:B,'1店辅助表'!B:C,2,FALSE),0)</f>
        <v>3</v>
      </c>
      <c r="O94" s="186">
        <f>IFERROR(VLOOKUP(B:B,'1店辅助表'!E:F,2,FALSE),0)</f>
        <v>3</v>
      </c>
      <c r="P94" s="186">
        <f>IFERROR(VLOOKUP(B:B,'1店辅助表'!H:I,2,FALSE),0)</f>
        <v>4</v>
      </c>
      <c r="Q94" s="65">
        <f>IFERROR(VLOOKUP($B:$B,'[1]1店'!$B:$N,13,FALSE),0)</f>
        <v>0</v>
      </c>
      <c r="R94" s="79">
        <f t="shared" si="34"/>
        <v>3</v>
      </c>
      <c r="S94" s="80">
        <f t="shared" si="35"/>
        <v>15.75</v>
      </c>
      <c r="T94" s="44">
        <f t="shared" si="36"/>
        <v>0.525</v>
      </c>
      <c r="U94" s="188">
        <f>IFERROR(VLOOKUP($B:$B,'[1]1店'!$B:$T,19,FALSE),0)</f>
        <v>3</v>
      </c>
      <c r="V94" s="81">
        <f t="shared" si="37"/>
        <v>-2.475</v>
      </c>
      <c r="W94" s="82" t="str">
        <f t="shared" si="38"/>
        <v>库存过低</v>
      </c>
      <c r="X94" s="83" t="str">
        <f t="shared" si="39"/>
        <v>正常</v>
      </c>
      <c r="Y94" s="44">
        <f>IFERROR(SUMIF('1店辅助表'!K:K,B:B,'1店辅助表'!N:N),0)</f>
        <v>0.38224</v>
      </c>
      <c r="Z94" s="44">
        <f>IFERROR(SUMIF('1店辅助表'!T:T,B:B,'1店辅助表'!W:W),0)</f>
        <v>0.95806</v>
      </c>
      <c r="AA94" s="44">
        <f>IFERROR(SUMIF('1店辅助表'!AC:AC,B:B,'1店辅助表'!AF:AF),0)</f>
        <v>1.21043</v>
      </c>
      <c r="AB94" s="91">
        <f>IFERROR(SUMIF('1店辅助表'!K:K,B:B,'1店辅助表'!N:N)/SUMIF('1店辅助表'!K:K,B:B,'1店辅助表'!O:O),"-")</f>
        <v>0.0127498332221481</v>
      </c>
      <c r="AC94" s="91" t="str">
        <f>IFERROR(VLOOKUP($B:$B,'[1]1店'!$B:$AB,27,FALSE),"-")</f>
        <v>-</v>
      </c>
      <c r="AD94" s="92" t="str">
        <f t="shared" si="40"/>
        <v>-</v>
      </c>
      <c r="AE94" s="91">
        <f>IFERROR(SUMIF('1店辅助表'!T:T,B:B,'1店辅助表'!W:W)/SUMIF('1店辅助表'!T:T,B:B,'1店辅助表'!X:X),"-")</f>
        <v>0.0319566377585057</v>
      </c>
      <c r="AF94" s="91">
        <f>IFERROR(SUMIF('1店辅助表'!AC:AC,B:B,'1店辅助表'!AF:AF)/SUMIF('1店辅助表'!AC:AC,B:B,'1店辅助表'!AG:AG),"-")</f>
        <v>0.00897146457159799</v>
      </c>
      <c r="AG94" s="99">
        <f>IFERROR(AK94/((SUMIF('1店辅助表'!AT:AT,B:B,'1店辅助表'!AU:AU)+M94)/2),"-")</f>
        <v>0.6</v>
      </c>
      <c r="AH94" s="99">
        <f>IFERROR(AL94/((SUMIF('1店辅助表'!AW:AW,B:B,'1店辅助表'!AX:AX)+M94)/2),"-")</f>
        <v>0.545454545454545</v>
      </c>
      <c r="AI94" s="100">
        <f>IFERROR((SUMIF('1店辅助表'!AP:AP,B:B,'1店辅助表'!AR:AR)-SUMIF('1店辅助表'!AP:AP,B:B,'1店辅助表'!AR:AR)*0.15-(L94+IFERROR(VLOOKUP(B:B,'1店辅助表'!AZ:BA,2,0),0))*O94-IF(AN:AN="US",6.85,4.9)*(Z94+3.99*O94))/SUMIF('1店辅助表'!AP:AP,B:B,'1店辅助表'!AR:AR),"-")</f>
        <v>0.269504617418744</v>
      </c>
      <c r="AJ94" s="100">
        <f t="shared" si="41"/>
        <v>0.147002518592042</v>
      </c>
      <c r="AK94" s="101">
        <f t="shared" si="42"/>
        <v>171</v>
      </c>
      <c r="AL94" s="101">
        <f t="shared" si="43"/>
        <v>171</v>
      </c>
      <c r="AM94" s="1" t="str">
        <f>VLOOKUP(B:B,'1店辅助表'!$AZ:$BB,1,FALSE)</f>
        <v>Y1088-ZH</v>
      </c>
      <c r="AN94" s="1" t="str">
        <f>VLOOKUP(B:B,'1店辅助表'!AZ:BB,3,FALSE)</f>
        <v>US</v>
      </c>
    </row>
    <row r="95" customHeight="1" spans="1:40">
      <c r="A95" s="58" t="str">
        <f>INDEX('[1]1店'!$A:$A,MATCH(B:B,'[1]1店'!$B:$B,0))</f>
        <v>秀青</v>
      </c>
      <c r="B95" s="43" t="s">
        <v>322</v>
      </c>
      <c r="C95" s="43" t="s">
        <v>323</v>
      </c>
      <c r="D95" s="59">
        <f>VLOOKUP(B:B,'[1]1店'!$B:$L,3,0)</f>
        <v>44972</v>
      </c>
      <c r="E95" s="43" t="s">
        <v>324</v>
      </c>
      <c r="F95" s="43">
        <v>1</v>
      </c>
      <c r="G95" s="43">
        <v>0</v>
      </c>
      <c r="H95" s="43">
        <v>0</v>
      </c>
      <c r="I95" s="43">
        <v>0</v>
      </c>
      <c r="J95" s="43">
        <v>0</v>
      </c>
      <c r="K95" s="63">
        <f t="shared" si="32"/>
        <v>1</v>
      </c>
      <c r="L95" s="64">
        <f>VLOOKUP($B:$B,'[1]1店'!$B:$L,11,0)</f>
        <v>16</v>
      </c>
      <c r="M95" s="44">
        <f t="shared" si="33"/>
        <v>16</v>
      </c>
      <c r="N95" s="186">
        <f>IFERROR(VLOOKUP(B:B,'1店辅助表'!B:C,2,FALSE),0)</f>
        <v>1</v>
      </c>
      <c r="O95" s="186">
        <f>IFERROR(VLOOKUP(B:B,'1店辅助表'!E:F,2,FALSE),0)</f>
        <v>1</v>
      </c>
      <c r="P95" s="186">
        <f>IFERROR(VLOOKUP(B:B,'1店辅助表'!H:I,2,FALSE),0)</f>
        <v>2</v>
      </c>
      <c r="Q95" s="65">
        <f>IFERROR(VLOOKUP($B:$B,'[1]1店'!$B:$N,13,FALSE),0)</f>
        <v>0</v>
      </c>
      <c r="R95" s="79">
        <f t="shared" si="34"/>
        <v>1</v>
      </c>
      <c r="S95" s="80">
        <f t="shared" si="35"/>
        <v>10.8620689655172</v>
      </c>
      <c r="T95" s="44">
        <f t="shared" si="36"/>
        <v>0.362068965517241</v>
      </c>
      <c r="U95" s="188">
        <f>IFERROR(VLOOKUP($B:$B,'[1]1店'!$B:$T,19,FALSE),0)</f>
        <v>0.6</v>
      </c>
      <c r="V95" s="81">
        <f t="shared" si="37"/>
        <v>-0.237931034482759</v>
      </c>
      <c r="W95" s="82" t="str">
        <f t="shared" si="38"/>
        <v>库存过低</v>
      </c>
      <c r="X95" s="83" t="str">
        <f t="shared" si="39"/>
        <v>库存过低</v>
      </c>
      <c r="Y95" s="44">
        <f>IFERROR(SUMIF('1店辅助表'!K:K,B:B,'1店辅助表'!N:N),0)</f>
        <v>0</v>
      </c>
      <c r="Z95" s="44">
        <f>IFERROR(SUMIF('1店辅助表'!T:T,B:B,'1店辅助表'!W:W),0)</f>
        <v>0</v>
      </c>
      <c r="AA95" s="44">
        <f>IFERROR(SUMIF('1店辅助表'!AC:AC,B:B,'1店辅助表'!AF:AF),0)</f>
        <v>0</v>
      </c>
      <c r="AB95" s="91" t="str">
        <f>IFERROR(SUMIF('1店辅助表'!K:K,B:B,'1店辅助表'!N:N)/SUMIF('1店辅助表'!K:K,B:B,'1店辅助表'!O:O),"-")</f>
        <v>-</v>
      </c>
      <c r="AC95" s="91" t="str">
        <f>IFERROR(VLOOKUP($B:$B,'[1]1店'!$B:$AB,27,FALSE),"-")</f>
        <v>-</v>
      </c>
      <c r="AD95" s="92" t="str">
        <f t="shared" si="40"/>
        <v>-</v>
      </c>
      <c r="AE95" s="91" t="str">
        <f>IFERROR(SUMIF('1店辅助表'!T:T,B:B,'1店辅助表'!W:W)/SUMIF('1店辅助表'!T:T,B:B,'1店辅助表'!X:X),"-")</f>
        <v>-</v>
      </c>
      <c r="AF95" s="91" t="str">
        <f>IFERROR(SUMIF('1店辅助表'!AC:AC,B:B,'1店辅助表'!AF:AF)/SUMIF('1店辅助表'!AC:AC,B:B,'1店辅助表'!AG:AG),"-")</f>
        <v>-</v>
      </c>
      <c r="AG95" s="99">
        <f>IFERROR(AK95/((SUMIF('1店辅助表'!AT:AT,B:B,'1店辅助表'!AU:AU)+M95)/2),"-")</f>
        <v>1</v>
      </c>
      <c r="AH95" s="99">
        <f>IFERROR(AL95/((SUMIF('1店辅助表'!AW:AW,B:B,'1店辅助表'!AX:AX)+M95)/2),"-")</f>
        <v>0.666666666666667</v>
      </c>
      <c r="AI95" s="100">
        <f>IFERROR((SUMIF('1店辅助表'!AP:AP,B:B,'1店辅助表'!AR:AR)-SUMIF('1店辅助表'!AP:AP,B:B,'1店辅助表'!AR:AR)*0.15-(L95+IFERROR(VLOOKUP(B:B,'1店辅助表'!AZ:BA,2,0),0))*O95-IF(AN:AN="US",6.85,4.9)*(Z95+3.99*O95))/SUMIF('1店辅助表'!AP:AP,B:B,'1店辅助表'!AR:AR),"-")</f>
        <v>0.109638822287016</v>
      </c>
      <c r="AJ95" s="100">
        <f t="shared" si="41"/>
        <v>0.073092548191344</v>
      </c>
      <c r="AK95" s="101">
        <f t="shared" si="42"/>
        <v>16</v>
      </c>
      <c r="AL95" s="101">
        <f t="shared" si="43"/>
        <v>16</v>
      </c>
      <c r="AM95" s="1" t="str">
        <f>VLOOKUP(B:B,'1店辅助表'!$AZ:$BB,1,FALSE)</f>
        <v>Y1093-BU</v>
      </c>
      <c r="AN95" s="1" t="str">
        <f>VLOOKUP(B:B,'1店辅助表'!AZ:BB,3,FALSE)</f>
        <v>US</v>
      </c>
    </row>
    <row r="96" customHeight="1" spans="1:40">
      <c r="A96" s="58" t="str">
        <f>INDEX('[1]1店'!$A:$A,MATCH(B:B,'[1]1店'!$B:$B,0))</f>
        <v>秀青</v>
      </c>
      <c r="B96" s="43" t="s">
        <v>325</v>
      </c>
      <c r="C96" s="43" t="s">
        <v>326</v>
      </c>
      <c r="D96" s="59">
        <f>VLOOKUP(B:B,'[1]1店'!$B:$L,3,0)</f>
        <v>44972</v>
      </c>
      <c r="E96" s="43" t="s">
        <v>327</v>
      </c>
      <c r="F96" s="43">
        <v>5</v>
      </c>
      <c r="G96" s="43">
        <v>0</v>
      </c>
      <c r="H96" s="43">
        <v>0</v>
      </c>
      <c r="I96" s="43">
        <v>0</v>
      </c>
      <c r="J96" s="43">
        <v>0</v>
      </c>
      <c r="K96" s="63">
        <f t="shared" si="32"/>
        <v>5</v>
      </c>
      <c r="L96" s="64">
        <f>VLOOKUP($B:$B,'[1]1店'!$B:$L,11,0)</f>
        <v>16</v>
      </c>
      <c r="M96" s="44">
        <f t="shared" si="33"/>
        <v>80</v>
      </c>
      <c r="N96" s="186">
        <f>IFERROR(VLOOKUP(B:B,'1店辅助表'!B:C,2,FALSE),0)</f>
        <v>2</v>
      </c>
      <c r="O96" s="186">
        <f>IFERROR(VLOOKUP(B:B,'1店辅助表'!E:F,2,FALSE),0)</f>
        <v>3</v>
      </c>
      <c r="P96" s="186">
        <f>IFERROR(VLOOKUP(B:B,'1店辅助表'!H:I,2,FALSE),0)</f>
        <v>5</v>
      </c>
      <c r="Q96" s="65">
        <f>IFERROR(VLOOKUP($B:$B,'[1]1店'!$B:$N,13,FALSE),0)</f>
        <v>1</v>
      </c>
      <c r="R96" s="79">
        <f t="shared" si="34"/>
        <v>1</v>
      </c>
      <c r="S96" s="80">
        <f t="shared" si="35"/>
        <v>22.992700729927</v>
      </c>
      <c r="T96" s="44">
        <f t="shared" si="36"/>
        <v>0.766423357664234</v>
      </c>
      <c r="U96" s="188">
        <f>IFERROR(VLOOKUP($B:$B,'[1]1店'!$B:$T,19,FALSE),0)</f>
        <v>1.93846153846154</v>
      </c>
      <c r="V96" s="81">
        <f t="shared" si="37"/>
        <v>-1.17203818079731</v>
      </c>
      <c r="W96" s="82" t="str">
        <f t="shared" si="38"/>
        <v>正常</v>
      </c>
      <c r="X96" s="83" t="str">
        <f t="shared" si="39"/>
        <v>正常</v>
      </c>
      <c r="Y96" s="44">
        <f>IFERROR(SUMIF('1店辅助表'!K:K,B:B,'1店辅助表'!N:N),0)</f>
        <v>0</v>
      </c>
      <c r="Z96" s="44">
        <f>IFERROR(SUMIF('1店辅助表'!T:T,B:B,'1店辅助表'!W:W),0)</f>
        <v>0</v>
      </c>
      <c r="AA96" s="44">
        <f>IFERROR(SUMIF('1店辅助表'!AC:AC,B:B,'1店辅助表'!AF:AF),0)</f>
        <v>0</v>
      </c>
      <c r="AB96" s="91" t="str">
        <f>IFERROR(SUMIF('1店辅助表'!K:K,B:B,'1店辅助表'!N:N)/SUMIF('1店辅助表'!K:K,B:B,'1店辅助表'!O:O),"-")</f>
        <v>-</v>
      </c>
      <c r="AC96" s="91" t="str">
        <f>IFERROR(VLOOKUP($B:$B,'[1]1店'!$B:$AB,27,FALSE),"-")</f>
        <v>-</v>
      </c>
      <c r="AD96" s="92" t="str">
        <f t="shared" si="40"/>
        <v>-</v>
      </c>
      <c r="AE96" s="91" t="str">
        <f>IFERROR(SUMIF('1店辅助表'!T:T,B:B,'1店辅助表'!W:W)/SUMIF('1店辅助表'!T:T,B:B,'1店辅助表'!X:X),"-")</f>
        <v>-</v>
      </c>
      <c r="AF96" s="91" t="str">
        <f>IFERROR(SUMIF('1店辅助表'!AC:AC,B:B,'1店辅助表'!AF:AF)/SUMIF('1店辅助表'!AC:AC,B:B,'1店辅助表'!AG:AG),"-")</f>
        <v>-</v>
      </c>
      <c r="AG96" s="99">
        <f>IFERROR(AK96/((SUMIF('1店辅助表'!AT:AT,B:B,'1店辅助表'!AU:AU)+M96)/2),"-")</f>
        <v>0.363636363636364</v>
      </c>
      <c r="AH96" s="99">
        <f>IFERROR(AL96/((SUMIF('1店辅助表'!AW:AW,B:B,'1店辅助表'!AX:AX)+M96)/2),"-")</f>
        <v>0.428571428571429</v>
      </c>
      <c r="AI96" s="100">
        <f>IFERROR((SUMIF('1店辅助表'!AP:AP,B:B,'1店辅助表'!AR:AR)-SUMIF('1店辅助表'!AP:AP,B:B,'1店辅助表'!AR:AR)*0.15-(L96+IFERROR(VLOOKUP(B:B,'1店辅助表'!AZ:BA,2,0),0))*O96-IF(AN:AN="US",6.85,4.9)*(Z96+3.99*O96))/SUMIF('1店辅助表'!AP:AP,B:B,'1店辅助表'!AR:AR),"-")</f>
        <v>0.14147659269987</v>
      </c>
      <c r="AJ96" s="100">
        <f t="shared" si="41"/>
        <v>0.0606328254428016</v>
      </c>
      <c r="AK96" s="101">
        <f t="shared" si="42"/>
        <v>32</v>
      </c>
      <c r="AL96" s="101">
        <f t="shared" si="43"/>
        <v>48</v>
      </c>
      <c r="AM96" s="1" t="str">
        <f>VLOOKUP(B:B,'1店辅助表'!$AZ:$BB,1,FALSE)</f>
        <v>Y1093-RE</v>
      </c>
      <c r="AN96" s="1" t="str">
        <f>VLOOKUP(B:B,'1店辅助表'!AZ:BB,3,FALSE)</f>
        <v>US</v>
      </c>
    </row>
    <row r="97" customHeight="1" spans="1:40">
      <c r="A97" s="58" t="str">
        <f>INDEX('[1]1店'!$A:$A,MATCH(B:B,'[1]1店'!$B:$B,0))</f>
        <v>秀青</v>
      </c>
      <c r="B97" s="43" t="s">
        <v>328</v>
      </c>
      <c r="C97" s="43" t="s">
        <v>329</v>
      </c>
      <c r="D97" s="59">
        <f>VLOOKUP(B:B,'[1]1店'!$B:$L,3,0)</f>
        <v>45033</v>
      </c>
      <c r="E97" s="43" t="s">
        <v>330</v>
      </c>
      <c r="F97" s="43">
        <v>26</v>
      </c>
      <c r="G97" s="43">
        <v>0</v>
      </c>
      <c r="H97" s="43">
        <v>0</v>
      </c>
      <c r="I97" s="43">
        <v>0</v>
      </c>
      <c r="J97" s="43">
        <v>0</v>
      </c>
      <c r="K97" s="63">
        <f t="shared" si="32"/>
        <v>26</v>
      </c>
      <c r="L97" s="64">
        <f>VLOOKUP($B:$B,'[1]1店'!$B:$L,11,0)</f>
        <v>33</v>
      </c>
      <c r="M97" s="44">
        <f t="shared" si="33"/>
        <v>858</v>
      </c>
      <c r="N97" s="186">
        <f>IFERROR(VLOOKUP(B:B,'1店辅助表'!B:C,2,FALSE),0)</f>
        <v>0</v>
      </c>
      <c r="O97" s="186">
        <f>IFERROR(VLOOKUP(B:B,'1店辅助表'!E:F,2,FALSE),0)</f>
        <v>0</v>
      </c>
      <c r="P97" s="186">
        <f>IFERROR(VLOOKUP(B:B,'1店辅助表'!H:I,2,FALSE),0)</f>
        <v>0</v>
      </c>
      <c r="Q97" s="65">
        <f>IFERROR(VLOOKUP($B:$B,'[1]1店'!$B:$N,13,FALSE),0)</f>
        <v>0</v>
      </c>
      <c r="R97" s="79">
        <f t="shared" si="34"/>
        <v>0</v>
      </c>
      <c r="S97" s="80" t="str">
        <f t="shared" si="35"/>
        <v>-</v>
      </c>
      <c r="T97" s="44" t="str">
        <f t="shared" si="36"/>
        <v>-</v>
      </c>
      <c r="U97" s="188" t="str">
        <f>IFERROR(VLOOKUP($B:$B,'[1]1店'!$B:$T,19,FALSE),0)</f>
        <v>-</v>
      </c>
      <c r="V97" s="81" t="str">
        <f t="shared" si="37"/>
        <v>-</v>
      </c>
      <c r="W97" s="82" t="str">
        <f t="shared" si="38"/>
        <v>有库存无销量</v>
      </c>
      <c r="X97" s="83" t="str">
        <f t="shared" si="39"/>
        <v>有库存无销量</v>
      </c>
      <c r="Y97" s="44">
        <f>IFERROR(SUMIF('1店辅助表'!K:K,B:B,'1店辅助表'!N:N),0)</f>
        <v>0</v>
      </c>
      <c r="Z97" s="44">
        <f>IFERROR(SUMIF('1店辅助表'!T:T,B:B,'1店辅助表'!W:W),0)</f>
        <v>0</v>
      </c>
      <c r="AA97" s="44">
        <f>IFERROR(SUMIF('1店辅助表'!AC:AC,B:B,'1店辅助表'!AF:AF),0)</f>
        <v>0</v>
      </c>
      <c r="AB97" s="91" t="str">
        <f>IFERROR(SUMIF('1店辅助表'!K:K,B:B,'1店辅助表'!N:N)/SUMIF('1店辅助表'!K:K,B:B,'1店辅助表'!O:O),"-")</f>
        <v>-</v>
      </c>
      <c r="AC97" s="91" t="str">
        <f>IFERROR(VLOOKUP($B:$B,'[1]1店'!$B:$AB,27,FALSE),"-")</f>
        <v>-</v>
      </c>
      <c r="AD97" s="92" t="str">
        <f t="shared" si="40"/>
        <v>-</v>
      </c>
      <c r="AE97" s="91" t="str">
        <f>IFERROR(SUMIF('1店辅助表'!T:T,B:B,'1店辅助表'!W:W)/SUMIF('1店辅助表'!T:T,B:B,'1店辅助表'!X:X),"-")</f>
        <v>-</v>
      </c>
      <c r="AF97" s="91" t="str">
        <f>IFERROR(SUMIF('1店辅助表'!AC:AC,B:B,'1店辅助表'!AF:AF)/SUMIF('1店辅助表'!AC:AC,B:B,'1店辅助表'!AG:AG),"-")</f>
        <v>-</v>
      </c>
      <c r="AG97" s="99">
        <f>IFERROR(AK97/((SUMIF('1店辅助表'!AT:AT,B:B,'1店辅助表'!AU:AU)+M97)/2),"-")</f>
        <v>0</v>
      </c>
      <c r="AH97" s="99">
        <f>IFERROR(AL97/((SUMIF('1店辅助表'!AW:AW,B:B,'1店辅助表'!AX:AX)+M97)/2),"-")</f>
        <v>0</v>
      </c>
      <c r="AI97" s="100" t="str">
        <f>IFERROR((SUMIF('1店辅助表'!AP:AP,B:B,'1店辅助表'!AR:AR)-SUMIF('1店辅助表'!AP:AP,B:B,'1店辅助表'!AR:AR)*0.15-(L97+IFERROR(VLOOKUP(B:B,'1店辅助表'!AZ:BA,2,0),0))*O97-IF(AN:AN="US",6.85,4.9)*(Z97+3.99*O97))/SUMIF('1店辅助表'!AP:AP,B:B,'1店辅助表'!AR:AR),"-")</f>
        <v>-</v>
      </c>
      <c r="AJ97" s="100" t="str">
        <f t="shared" si="41"/>
        <v>-</v>
      </c>
      <c r="AK97" s="101">
        <f t="shared" si="42"/>
        <v>0</v>
      </c>
      <c r="AL97" s="101">
        <f t="shared" si="43"/>
        <v>0</v>
      </c>
      <c r="AM97" s="1" t="str">
        <f>VLOOKUP(B:B,'1店辅助表'!$AZ:$BB,1,FALSE)</f>
        <v>Y1094-BL</v>
      </c>
      <c r="AN97" s="1" t="str">
        <f>VLOOKUP(B:B,'1店辅助表'!AZ:BB,3,FALSE)</f>
        <v>US</v>
      </c>
    </row>
    <row r="98" customHeight="1" spans="1:40">
      <c r="A98" s="58" t="str">
        <f>INDEX('[1]1店'!$A:$A,MATCH(B:B,'[1]1店'!$B:$B,0))</f>
        <v>秀青</v>
      </c>
      <c r="B98" s="43" t="s">
        <v>331</v>
      </c>
      <c r="C98" s="43" t="s">
        <v>332</v>
      </c>
      <c r="D98" s="59">
        <f>VLOOKUP(B:B,'[1]1店'!$B:$L,3,0)</f>
        <v>45033</v>
      </c>
      <c r="E98" s="43" t="s">
        <v>333</v>
      </c>
      <c r="F98" s="43">
        <v>0</v>
      </c>
      <c r="G98" s="43">
        <v>0</v>
      </c>
      <c r="H98" s="43">
        <v>0</v>
      </c>
      <c r="I98" s="43">
        <v>29</v>
      </c>
      <c r="J98" s="43">
        <v>0</v>
      </c>
      <c r="K98" s="63">
        <f t="shared" si="32"/>
        <v>29</v>
      </c>
      <c r="L98" s="64">
        <f>VLOOKUP($B:$B,'[1]1店'!$B:$L,11,0)</f>
        <v>33</v>
      </c>
      <c r="M98" s="44">
        <f t="shared" si="33"/>
        <v>957</v>
      </c>
      <c r="N98" s="186">
        <f>IFERROR(VLOOKUP(B:B,'1店辅助表'!B:C,2,FALSE),0)</f>
        <v>0</v>
      </c>
      <c r="O98" s="186">
        <f>IFERROR(VLOOKUP(B:B,'1店辅助表'!E:F,2,FALSE),0)</f>
        <v>0</v>
      </c>
      <c r="P98" s="186">
        <f>IFERROR(VLOOKUP(B:B,'1店辅助表'!H:I,2,FALSE),0)</f>
        <v>0</v>
      </c>
      <c r="Q98" s="65">
        <f>IFERROR(VLOOKUP($B:$B,'[1]1店'!$B:$N,13,FALSE),0)</f>
        <v>0</v>
      </c>
      <c r="R98" s="79">
        <f t="shared" si="34"/>
        <v>0</v>
      </c>
      <c r="S98" s="80" t="str">
        <f t="shared" si="35"/>
        <v>-</v>
      </c>
      <c r="T98" s="44" t="str">
        <f t="shared" si="36"/>
        <v>-</v>
      </c>
      <c r="U98" s="188" t="str">
        <f>IFERROR(VLOOKUP($B:$B,'[1]1店'!$B:$T,19,FALSE),0)</f>
        <v>-</v>
      </c>
      <c r="V98" s="81" t="str">
        <f t="shared" si="37"/>
        <v>-</v>
      </c>
      <c r="W98" s="82" t="str">
        <f t="shared" si="38"/>
        <v>有库存无销量</v>
      </c>
      <c r="X98" s="83" t="str">
        <f t="shared" si="39"/>
        <v>有库存无销量</v>
      </c>
      <c r="Y98" s="44">
        <f>IFERROR(SUMIF('1店辅助表'!K:K,B:B,'1店辅助表'!N:N),0)</f>
        <v>1.26836</v>
      </c>
      <c r="Z98" s="44">
        <f>IFERROR(SUMIF('1店辅助表'!T:T,B:B,'1店辅助表'!W:W),0)</f>
        <v>1.80774</v>
      </c>
      <c r="AA98" s="44">
        <f>IFERROR(SUMIF('1店辅助表'!AC:AC,B:B,'1店辅助表'!AF:AF),0)</f>
        <v>1.80774</v>
      </c>
      <c r="AB98" s="91" t="str">
        <f>IFERROR(SUMIF('1店辅助表'!K:K,B:B,'1店辅助表'!N:N)/SUMIF('1店辅助表'!K:K,B:B,'1店辅助表'!O:O),"-")</f>
        <v>-</v>
      </c>
      <c r="AC98" s="91" t="str">
        <f>IFERROR(VLOOKUP($B:$B,'[1]1店'!$B:$AB,27,FALSE),"-")</f>
        <v>-</v>
      </c>
      <c r="AD98" s="92" t="str">
        <f t="shared" si="40"/>
        <v>-</v>
      </c>
      <c r="AE98" s="91" t="str">
        <f>IFERROR(SUMIF('1店辅助表'!T:T,B:B,'1店辅助表'!W:W)/SUMIF('1店辅助表'!T:T,B:B,'1店辅助表'!X:X),"-")</f>
        <v>-</v>
      </c>
      <c r="AF98" s="91" t="str">
        <f>IFERROR(SUMIF('1店辅助表'!AC:AC,B:B,'1店辅助表'!AF:AF)/SUMIF('1店辅助表'!AC:AC,B:B,'1店辅助表'!AG:AG),"-")</f>
        <v>-</v>
      </c>
      <c r="AG98" s="99">
        <f>IFERROR(AK98/((SUMIF('1店辅助表'!AT:AT,B:B,'1店辅助表'!AU:AU)+M98)/2),"-")</f>
        <v>0</v>
      </c>
      <c r="AH98" s="99">
        <f>IFERROR(AL98/((SUMIF('1店辅助表'!AW:AW,B:B,'1店辅助表'!AX:AX)+M98)/2),"-")</f>
        <v>0</v>
      </c>
      <c r="AI98" s="100" t="str">
        <f>IFERROR((SUMIF('1店辅助表'!AP:AP,B:B,'1店辅助表'!AR:AR)-SUMIF('1店辅助表'!AP:AP,B:B,'1店辅助表'!AR:AR)*0.15-(L98+IFERROR(VLOOKUP(B:B,'1店辅助表'!AZ:BA,2,0),0))*O98-IF(AN:AN="US",6.85,4.9)*(Z98+3.99*O98))/SUMIF('1店辅助表'!AP:AP,B:B,'1店辅助表'!AR:AR),"-")</f>
        <v>-</v>
      </c>
      <c r="AJ98" s="100" t="str">
        <f t="shared" si="41"/>
        <v>-</v>
      </c>
      <c r="AK98" s="101">
        <f t="shared" si="42"/>
        <v>0</v>
      </c>
      <c r="AL98" s="101">
        <f t="shared" si="43"/>
        <v>0</v>
      </c>
      <c r="AM98" s="1" t="str">
        <f>VLOOKUP(B:B,'1店辅助表'!$AZ:$BB,1,FALSE)</f>
        <v>Y1094-RE</v>
      </c>
      <c r="AN98" s="1" t="str">
        <f>VLOOKUP(B:B,'1店辅助表'!AZ:BB,3,FALSE)</f>
        <v>US</v>
      </c>
    </row>
    <row r="99" customHeight="1" spans="1:40">
      <c r="A99" s="58" t="str">
        <f>INDEX('[1]1店'!$A:$A,MATCH(B:B,'[1]1店'!$B:$B,0))</f>
        <v>秀青</v>
      </c>
      <c r="B99" s="43" t="s">
        <v>334</v>
      </c>
      <c r="C99" s="43" t="s">
        <v>335</v>
      </c>
      <c r="D99" s="59">
        <f>VLOOKUP(B:B,'[1]1店'!$B:$L,3,0)</f>
        <v>45027</v>
      </c>
      <c r="E99" s="43" t="s">
        <v>336</v>
      </c>
      <c r="F99" s="43">
        <v>27</v>
      </c>
      <c r="G99" s="43">
        <v>0</v>
      </c>
      <c r="H99" s="43">
        <v>1</v>
      </c>
      <c r="I99" s="43">
        <v>0</v>
      </c>
      <c r="J99" s="43">
        <v>0</v>
      </c>
      <c r="K99" s="63">
        <f t="shared" si="32"/>
        <v>28</v>
      </c>
      <c r="L99" s="64">
        <f>VLOOKUP($B:$B,'[1]1店'!$B:$L,11,0)</f>
        <v>33</v>
      </c>
      <c r="M99" s="44">
        <f t="shared" si="33"/>
        <v>924</v>
      </c>
      <c r="N99" s="186">
        <f>IFERROR(VLOOKUP(B:B,'1店辅助表'!B:C,2,FALSE),0)</f>
        <v>0</v>
      </c>
      <c r="O99" s="186">
        <f>IFERROR(VLOOKUP(B:B,'1店辅助表'!E:F,2,FALSE),0)</f>
        <v>1</v>
      </c>
      <c r="P99" s="186">
        <f>IFERROR(VLOOKUP(B:B,'1店辅助表'!H:I,2,FALSE),0)</f>
        <v>1</v>
      </c>
      <c r="Q99" s="65">
        <f>IFERROR(VLOOKUP($B:$B,'[1]1店'!$B:$N,13,FALSE),0)</f>
        <v>1</v>
      </c>
      <c r="R99" s="79">
        <f t="shared" si="34"/>
        <v>-1</v>
      </c>
      <c r="S99" s="80">
        <f t="shared" si="35"/>
        <v>840</v>
      </c>
      <c r="T99" s="44">
        <f t="shared" si="36"/>
        <v>28</v>
      </c>
      <c r="U99" s="188">
        <f>IFERROR(VLOOKUP($B:$B,'[1]1店'!$B:$T,19,FALSE),0)</f>
        <v>11.5294117647059</v>
      </c>
      <c r="V99" s="81">
        <f t="shared" si="37"/>
        <v>16.4705882352941</v>
      </c>
      <c r="W99" s="82" t="str">
        <f t="shared" si="38"/>
        <v>有库存无销量</v>
      </c>
      <c r="X99" s="83" t="str">
        <f t="shared" si="39"/>
        <v>库存过高</v>
      </c>
      <c r="Y99" s="44">
        <f>IFERROR(SUMIF('1店辅助表'!K:K,B:B,'1店辅助表'!N:N),0)</f>
        <v>6.02147</v>
      </c>
      <c r="Z99" s="44">
        <f>IFERROR(SUMIF('1店辅助表'!T:T,B:B,'1店辅助表'!W:W),0)</f>
        <v>9.49935</v>
      </c>
      <c r="AA99" s="44">
        <f>IFERROR(SUMIF('1店辅助表'!AC:AC,B:B,'1店辅助表'!AF:AF),0)</f>
        <v>11.30935</v>
      </c>
      <c r="AB99" s="91" t="str">
        <f>IFERROR(SUMIF('1店辅助表'!K:K,B:B,'1店辅助表'!N:N)/SUMIF('1店辅助表'!K:K,B:B,'1店辅助表'!O:O),"-")</f>
        <v>-</v>
      </c>
      <c r="AC99" s="91">
        <f>IFERROR(VLOOKUP($B:$B,'[1]1店'!$B:$AB,27,FALSE),"-")</f>
        <v>0.173980990495248</v>
      </c>
      <c r="AD99" s="92" t="str">
        <f t="shared" si="40"/>
        <v>-</v>
      </c>
      <c r="AE99" s="91">
        <f>IFERROR(SUMIF('1店辅助表'!T:T,B:B,'1店辅助表'!W:W)/SUMIF('1店辅助表'!T:T,B:B,'1店辅助表'!X:X),"-")</f>
        <v>0.475205102551276</v>
      </c>
      <c r="AF99" s="91">
        <f>IFERROR(SUMIF('1店辅助表'!AC:AC,B:B,'1店辅助表'!AF:AF)/SUMIF('1店辅助表'!AC:AC,B:B,'1店辅助表'!AG:AG),"-")</f>
        <v>0.565750375187594</v>
      </c>
      <c r="AG99" s="99">
        <f>IFERROR(AK99/((SUMIF('1店辅助表'!AT:AT,B:B,'1店辅助表'!AU:AU)+M99)/2),"-")</f>
        <v>0</v>
      </c>
      <c r="AH99" s="99">
        <f>IFERROR(AL99/((SUMIF('1店辅助表'!AW:AW,B:B,'1店辅助表'!AX:AX)+M99)/2),"-")</f>
        <v>0.0350877192982456</v>
      </c>
      <c r="AI99" s="100">
        <f>IFERROR((SUMIF('1店辅助表'!AP:AP,B:B,'1店辅助表'!AR:AR)-SUMIF('1店辅助表'!AP:AP,B:B,'1店辅助表'!AR:AR)*0.15-(L99+IFERROR(VLOOKUP(B:B,'1店辅助表'!AZ:BA,2,0),0))*O99-IF(AN:AN="US",6.85,4.9)*(Z99+3.99*O99))/SUMIF('1店辅助表'!AP:AP,B:B,'1店辅助表'!AR:AR),"-")</f>
        <v>-0.137654758035952</v>
      </c>
      <c r="AJ99" s="100">
        <f t="shared" si="41"/>
        <v>-0.00482999151003341</v>
      </c>
      <c r="AK99" s="101">
        <f t="shared" si="42"/>
        <v>0</v>
      </c>
      <c r="AL99" s="101">
        <f t="shared" si="43"/>
        <v>33</v>
      </c>
      <c r="AM99" s="1" t="str">
        <f>VLOOKUP(B:B,'1店辅助表'!$AZ:$BB,1,FALSE)</f>
        <v>Y1094-YW</v>
      </c>
      <c r="AN99" s="1" t="str">
        <f>VLOOKUP(B:B,'1店辅助表'!AZ:BB,3,FALSE)</f>
        <v>US</v>
      </c>
    </row>
    <row r="100" customHeight="1" spans="1:40">
      <c r="A100" s="58" t="str">
        <f>INDEX('[1]1店'!$A:$A,MATCH(B:B,'[1]1店'!$B:$B,0))</f>
        <v>秀青</v>
      </c>
      <c r="B100" s="43" t="s">
        <v>337</v>
      </c>
      <c r="C100" s="43" t="s">
        <v>338</v>
      </c>
      <c r="D100" s="59">
        <f>VLOOKUP(B:B,'[1]1店'!$B:$L,3,0)</f>
        <v>44999</v>
      </c>
      <c r="E100" s="43" t="s">
        <v>339</v>
      </c>
      <c r="F100" s="43">
        <v>71</v>
      </c>
      <c r="G100" s="43">
        <v>1</v>
      </c>
      <c r="H100" s="43">
        <v>0</v>
      </c>
      <c r="I100" s="43">
        <v>0</v>
      </c>
      <c r="J100" s="43">
        <v>0</v>
      </c>
      <c r="K100" s="63">
        <f t="shared" ref="K100:K124" si="44">F100+G100+H100+I100+J100</f>
        <v>72</v>
      </c>
      <c r="L100" s="64">
        <f>VLOOKUP($B:$B,'[1]1店'!$B:$L,11,0)</f>
        <v>13</v>
      </c>
      <c r="M100" s="44">
        <f t="shared" si="33"/>
        <v>936</v>
      </c>
      <c r="N100" s="186">
        <f>IFERROR(VLOOKUP(B:B,'1店辅助表'!B:C,2,FALSE),0)</f>
        <v>0</v>
      </c>
      <c r="O100" s="186">
        <f>IFERROR(VLOOKUP(B:B,'1店辅助表'!E:F,2,FALSE),0)</f>
        <v>2</v>
      </c>
      <c r="P100" s="186">
        <f>IFERROR(VLOOKUP(B:B,'1店辅助表'!H:I,2,FALSE),0)</f>
        <v>5</v>
      </c>
      <c r="Q100" s="65">
        <f>IFERROR(VLOOKUP($B:$B,'[1]1店'!$B:$N,13,FALSE),0)</f>
        <v>2</v>
      </c>
      <c r="R100" s="79">
        <f t="shared" si="34"/>
        <v>-2</v>
      </c>
      <c r="S100" s="80">
        <f t="shared" si="35"/>
        <v>720</v>
      </c>
      <c r="T100" s="44">
        <f t="shared" si="36"/>
        <v>24</v>
      </c>
      <c r="U100" s="188">
        <f>IFERROR(VLOOKUP($B:$B,'[1]1店'!$B:$T,19,FALSE),0)</f>
        <v>9.43670886075949</v>
      </c>
      <c r="V100" s="81">
        <f t="shared" si="37"/>
        <v>14.5632911392405</v>
      </c>
      <c r="W100" s="82" t="str">
        <f t="shared" si="38"/>
        <v>有库存无销量</v>
      </c>
      <c r="X100" s="83" t="str">
        <f t="shared" si="39"/>
        <v>库存过高</v>
      </c>
      <c r="Y100" s="44">
        <f>IFERROR(SUMIF('1店辅助表'!K:K,B:B,'1店辅助表'!N:N),0)</f>
        <v>0</v>
      </c>
      <c r="Z100" s="44">
        <f>IFERROR(SUMIF('1店辅助表'!T:T,B:B,'1店辅助表'!W:W),0)</f>
        <v>0</v>
      </c>
      <c r="AA100" s="44">
        <f>IFERROR(SUMIF('1店辅助表'!AC:AC,B:B,'1店辅助表'!AF:AF),0)</f>
        <v>0</v>
      </c>
      <c r="AB100" s="91" t="str">
        <f>IFERROR(SUMIF('1店辅助表'!K:K,B:B,'1店辅助表'!N:N)/SUMIF('1店辅助表'!K:K,B:B,'1店辅助表'!O:O),"-")</f>
        <v>-</v>
      </c>
      <c r="AC100" s="91" t="str">
        <f>IFERROR(VLOOKUP($B:$B,'[1]1店'!$B:$AB,27,FALSE),"-")</f>
        <v>-</v>
      </c>
      <c r="AD100" s="92" t="str">
        <f t="shared" si="40"/>
        <v>-</v>
      </c>
      <c r="AE100" s="91" t="str">
        <f>IFERROR(SUMIF('1店辅助表'!T:T,B:B,'1店辅助表'!W:W)/SUMIF('1店辅助表'!T:T,B:B,'1店辅助表'!X:X),"-")</f>
        <v>-</v>
      </c>
      <c r="AF100" s="91" t="str">
        <f>IFERROR(SUMIF('1店辅助表'!AC:AC,B:B,'1店辅助表'!AF:AF)/SUMIF('1店辅助表'!AC:AC,B:B,'1店辅助表'!AG:AG),"-")</f>
        <v>-</v>
      </c>
      <c r="AG100" s="99">
        <f>IFERROR(AK100/((SUMIF('1店辅助表'!AT:AT,B:B,'1店辅助表'!AU:AU)+M100)/2),"-")</f>
        <v>0</v>
      </c>
      <c r="AH100" s="99">
        <f>IFERROR(AL100/((SUMIF('1店辅助表'!AW:AW,B:B,'1店辅助表'!AX:AX)+M100)/2),"-")</f>
        <v>0.0264900662251656</v>
      </c>
      <c r="AI100" s="100">
        <f>IFERROR((SUMIF('1店辅助表'!AP:AP,B:B,'1店辅助表'!AR:AR)-SUMIF('1店辅助表'!AP:AP,B:B,'1店辅助表'!AR:AR)*0.15-(L100+IFERROR(VLOOKUP(B:B,'1店辅助表'!AZ:BA,2,0),0))*O100-IF(AN:AN="US",6.85,4.9)*(Z100+3.99*O100))/SUMIF('1店辅助表'!AP:AP,B:B,'1店辅助表'!AR:AR),"-")</f>
        <v>0.204222835974661</v>
      </c>
      <c r="AJ100" s="100">
        <f t="shared" si="41"/>
        <v>0.00540987644965989</v>
      </c>
      <c r="AK100" s="101">
        <f t="shared" si="42"/>
        <v>0</v>
      </c>
      <c r="AL100" s="101">
        <f t="shared" si="43"/>
        <v>26</v>
      </c>
      <c r="AM100" s="1" t="str">
        <f>VLOOKUP(B:B,'1店辅助表'!$AZ:$BB,1,FALSE)</f>
        <v>Y1038-BL</v>
      </c>
      <c r="AN100" s="1" t="str">
        <f>VLOOKUP(B:B,'1店辅助表'!AZ:BB,3,FALSE)</f>
        <v>US</v>
      </c>
    </row>
    <row r="101" customHeight="1" spans="1:40">
      <c r="A101" s="58" t="str">
        <f>INDEX('[1]1店'!$A:$A,MATCH(B:B,'[1]1店'!$B:$B,0))</f>
        <v>秀青</v>
      </c>
      <c r="B101" s="43" t="s">
        <v>340</v>
      </c>
      <c r="C101" s="43" t="s">
        <v>341</v>
      </c>
      <c r="D101" s="59">
        <f>VLOOKUP(B:B,'[1]1店'!$B:$L,3,0)</f>
        <v>45016</v>
      </c>
      <c r="E101" s="43" t="s">
        <v>342</v>
      </c>
      <c r="F101" s="43">
        <v>13</v>
      </c>
      <c r="G101" s="43">
        <v>0</v>
      </c>
      <c r="H101" s="43">
        <v>9</v>
      </c>
      <c r="I101" s="43">
        <v>1</v>
      </c>
      <c r="J101" s="43">
        <v>0</v>
      </c>
      <c r="K101" s="63">
        <f t="shared" si="44"/>
        <v>23</v>
      </c>
      <c r="L101" s="64">
        <f>VLOOKUP($B:$B,'[1]1店'!$B:$L,11,0)</f>
        <v>53.331</v>
      </c>
      <c r="M101" s="44">
        <f t="shared" ref="M101:M124" si="45">K101*L101</f>
        <v>1226.613</v>
      </c>
      <c r="N101" s="186">
        <f>IFERROR(VLOOKUP(B:B,'1店辅助表'!B:C,2,FALSE),0)</f>
        <v>4</v>
      </c>
      <c r="O101" s="186">
        <f>IFERROR(VLOOKUP(B:B,'1店辅助表'!E:F,2,FALSE),0)</f>
        <v>12</v>
      </c>
      <c r="P101" s="186">
        <f>IFERROR(VLOOKUP(B:B,'1店辅助表'!H:I,2,FALSE),0)</f>
        <v>13</v>
      </c>
      <c r="Q101" s="65">
        <f>IFERROR(VLOOKUP($B:$B,'[1]1店'!$B:$N,13,FALSE),0)</f>
        <v>8</v>
      </c>
      <c r="R101" s="79">
        <f t="shared" si="34"/>
        <v>-4</v>
      </c>
      <c r="S101" s="80">
        <f t="shared" si="35"/>
        <v>38.2321899736148</v>
      </c>
      <c r="T101" s="44">
        <f t="shared" si="36"/>
        <v>1.27440633245383</v>
      </c>
      <c r="U101" s="188">
        <f>IFERROR(VLOOKUP($B:$B,'[1]1店'!$B:$T,19,FALSE),0)</f>
        <v>1.42212189616253</v>
      </c>
      <c r="V101" s="81">
        <f t="shared" si="37"/>
        <v>-0.1477155637087</v>
      </c>
      <c r="W101" s="82" t="str">
        <f t="shared" si="38"/>
        <v>正常</v>
      </c>
      <c r="X101" s="83" t="str">
        <f t="shared" si="39"/>
        <v>正常</v>
      </c>
      <c r="Y101" s="44">
        <f>IFERROR(SUMIF('1店辅助表'!K:K,B:B,'1店辅助表'!N:N),0)</f>
        <v>0.86793</v>
      </c>
      <c r="Z101" s="44">
        <f>IFERROR(SUMIF('1店辅助表'!T:T,B:B,'1店辅助表'!W:W),0)</f>
        <v>1.10291</v>
      </c>
      <c r="AA101" s="44">
        <f>IFERROR(SUMIF('1店辅助表'!AC:AC,B:B,'1店辅助表'!AF:AF),0)</f>
        <v>1.26169</v>
      </c>
      <c r="AB101" s="91">
        <f>IFERROR(SUMIF('1店辅助表'!K:K,B:B,'1店辅助表'!N:N)/SUMIF('1店辅助表'!K:K,B:B,'1店辅助表'!O:O),"-")</f>
        <v>0.0206797712651894</v>
      </c>
      <c r="AC101" s="91">
        <f>IFERROR(VLOOKUP($B:$B,'[1]1店'!$B:$AB,27,FALSE),"-")</f>
        <v>0.00412535397394752</v>
      </c>
      <c r="AD101" s="92">
        <f t="shared" si="40"/>
        <v>0.0165544172912419</v>
      </c>
      <c r="AE101" s="91">
        <f>IFERROR(SUMIF('1店辅助表'!T:T,B:B,'1店辅助表'!W:W)/SUMIF('1店辅助表'!T:T,B:B,'1店辅助表'!X:X),"-")</f>
        <v>0.00875881512071156</v>
      </c>
      <c r="AF101" s="91">
        <f>IFERROR(SUMIF('1店辅助表'!AC:AC,B:B,'1店辅助表'!AF:AF)/SUMIF('1店辅助表'!AC:AC,B:B,'1店辅助表'!AG:AG),"-")</f>
        <v>0.00895387126534668</v>
      </c>
      <c r="AG101" s="99">
        <f>IFERROR(AK101/((SUMIF('1店辅助表'!AT:AT,B:B,'1店辅助表'!AU:AU)+M101)/2),"-")</f>
        <v>0.150943396226415</v>
      </c>
      <c r="AH101" s="99">
        <f>IFERROR(AL101/((SUMIF('1店辅助表'!AW:AW,B:B,'1店辅助表'!AX:AX)+M101)/2),"-")</f>
        <v>1.04347826086957</v>
      </c>
      <c r="AI101" s="100">
        <f>IFERROR((SUMIF('1店辅助表'!AP:AP,B:B,'1店辅助表'!AR:AR)-SUMIF('1店辅助表'!AP:AP,B:B,'1店辅助表'!AR:AR)*0.15-(L101+IFERROR(VLOOKUP(B:B,'1店辅助表'!AZ:BA,2,0),0))*O101-IF(AN:AN="US",6.85,4.9)*(Z101+3.99*O101))/SUMIF('1店辅助表'!AP:AP,B:B,'1店辅助表'!AR:AR),"-")</f>
        <v>0.264889505334245</v>
      </c>
      <c r="AJ101" s="100">
        <f t="shared" si="41"/>
        <v>0.276406440348778</v>
      </c>
      <c r="AK101" s="101">
        <f t="shared" si="42"/>
        <v>213.324</v>
      </c>
      <c r="AL101" s="101">
        <f t="shared" si="43"/>
        <v>639.972</v>
      </c>
      <c r="AM101" s="1" t="str">
        <f>VLOOKUP(B:B,'1店辅助表'!$AZ:$BB,1,FALSE)</f>
        <v>Y1060-ZH-</v>
      </c>
      <c r="AN101" s="1" t="str">
        <f>VLOOKUP(B:B,'1店辅助表'!AZ:BB,3,FALSE)</f>
        <v>US</v>
      </c>
    </row>
    <row r="102" customHeight="1" spans="1:40">
      <c r="A102" s="58" t="str">
        <f>INDEX('[1]1店'!$A:$A,MATCH(B:B,'[1]1店'!$B:$B,0))</f>
        <v>秀青</v>
      </c>
      <c r="B102" s="43" t="s">
        <v>343</v>
      </c>
      <c r="C102" s="43" t="s">
        <v>344</v>
      </c>
      <c r="D102" s="59">
        <f>VLOOKUP(B:B,'[1]1店'!$B:$L,3,0)</f>
        <v>45053</v>
      </c>
      <c r="E102" s="43" t="s">
        <v>345</v>
      </c>
      <c r="F102" s="43">
        <v>15</v>
      </c>
      <c r="G102" s="43">
        <v>0</v>
      </c>
      <c r="H102" s="43">
        <v>0</v>
      </c>
      <c r="I102" s="43">
        <v>0</v>
      </c>
      <c r="J102" s="43">
        <v>0</v>
      </c>
      <c r="K102" s="63">
        <f t="shared" si="44"/>
        <v>15</v>
      </c>
      <c r="L102" s="64">
        <f>VLOOKUP($B:$B,'[1]1店'!$B:$L,11,0)</f>
        <v>13.73</v>
      </c>
      <c r="M102" s="44">
        <f t="shared" si="45"/>
        <v>205.95</v>
      </c>
      <c r="N102" s="186">
        <f>IFERROR(VLOOKUP(B:B,'1店辅助表'!B:C,2,FALSE),0)</f>
        <v>0</v>
      </c>
      <c r="O102" s="186">
        <f>IFERROR(VLOOKUP(B:B,'1店辅助表'!E:F,2,FALSE),0)</f>
        <v>2</v>
      </c>
      <c r="P102" s="186">
        <f>IFERROR(VLOOKUP(B:B,'1店辅助表'!H:I,2,FALSE),0)</f>
        <v>4</v>
      </c>
      <c r="Q102" s="65">
        <f>IFERROR(VLOOKUP($B:$B,'[1]1店'!$B:$N,13,FALSE),0)</f>
        <v>2</v>
      </c>
      <c r="R102" s="79">
        <f t="shared" si="34"/>
        <v>-2</v>
      </c>
      <c r="S102" s="80">
        <f t="shared" si="35"/>
        <v>168.75</v>
      </c>
      <c r="T102" s="44">
        <f t="shared" si="36"/>
        <v>5.625</v>
      </c>
      <c r="U102" s="188">
        <f>IFERROR(VLOOKUP($B:$B,'[1]1店'!$B:$T,19,FALSE),0)</f>
        <v>2.73170731707317</v>
      </c>
      <c r="V102" s="81">
        <f t="shared" si="37"/>
        <v>2.89329268292683</v>
      </c>
      <c r="W102" s="82" t="str">
        <f t="shared" si="38"/>
        <v>有库存无销量</v>
      </c>
      <c r="X102" s="83" t="str">
        <f t="shared" si="39"/>
        <v>库存过高</v>
      </c>
      <c r="Y102" s="44">
        <f>IFERROR(SUMIF('1店辅助表'!K:K,B:B,'1店辅助表'!N:N),0)</f>
        <v>0.039</v>
      </c>
      <c r="Z102" s="44">
        <f>IFERROR(SUMIF('1店辅助表'!T:T,B:B,'1店辅助表'!W:W),0)</f>
        <v>0.0578</v>
      </c>
      <c r="AA102" s="44">
        <f>IFERROR(SUMIF('1店辅助表'!AC:AC,B:B,'1店辅助表'!AF:AF),0)</f>
        <v>0.0578</v>
      </c>
      <c r="AB102" s="91" t="str">
        <f>IFERROR(SUMIF('1店辅助表'!K:K,B:B,'1店辅助表'!N:N)/SUMIF('1店辅助表'!K:K,B:B,'1店辅助表'!O:O),"-")</f>
        <v>-</v>
      </c>
      <c r="AC102" s="91" t="str">
        <f>IFERROR(VLOOKUP($B:$B,'[1]1店'!$B:$AB,27,FALSE),"-")</f>
        <v>-</v>
      </c>
      <c r="AD102" s="92" t="str">
        <f t="shared" si="40"/>
        <v>-</v>
      </c>
      <c r="AE102" s="91" t="str">
        <f>IFERROR(SUMIF('1店辅助表'!T:T,B:B,'1店辅助表'!W:W)/SUMIF('1店辅助表'!T:T,B:B,'1店辅助表'!X:X),"-")</f>
        <v>-</v>
      </c>
      <c r="AF102" s="91" t="str">
        <f>IFERROR(SUMIF('1店辅助表'!AC:AC,B:B,'1店辅助表'!AF:AF)/SUMIF('1店辅助表'!AC:AC,B:B,'1店辅助表'!AG:AG),"-")</f>
        <v>-</v>
      </c>
      <c r="AG102" s="99">
        <f>IFERROR(AK102/((SUMIF('1店辅助表'!AT:AT,B:B,'1店辅助表'!AU:AU)+M102)/2),"-")</f>
        <v>0</v>
      </c>
      <c r="AH102" s="99">
        <f>IFERROR(AL102/((SUMIF('1店辅助表'!AW:AW,B:B,'1店辅助表'!AX:AX)+M102)/2),"-")</f>
        <v>0.114285714285714</v>
      </c>
      <c r="AI102" s="100">
        <f>IFERROR((SUMIF('1店辅助表'!AP:AP,B:B,'1店辅助表'!AR:AR)-SUMIF('1店辅助表'!AP:AP,B:B,'1店辅助表'!AR:AR)*0.15-(L102+IFERROR(VLOOKUP(B:B,'1店辅助表'!AZ:BA,2,0),0))*O102-IF(AN:AN="US",6.85,4.9)*(Z102+3.99*O102))/SUMIF('1店辅助表'!AP:AP,B:B,'1店辅助表'!AR:AR),"-")</f>
        <v>0.217713648107437</v>
      </c>
      <c r="AJ102" s="100">
        <f t="shared" si="41"/>
        <v>0.024881559783707</v>
      </c>
      <c r="AK102" s="101">
        <f t="shared" si="42"/>
        <v>0</v>
      </c>
      <c r="AL102" s="101">
        <f t="shared" si="43"/>
        <v>27.46</v>
      </c>
      <c r="AM102" s="1" t="str">
        <f>VLOOKUP(B:B,'1店辅助表'!$AZ:$BB,1,FALSE)</f>
        <v>Y1095</v>
      </c>
      <c r="AN102" s="1" t="str">
        <f>VLOOKUP(B:B,'1店辅助表'!AZ:BB,3,FALSE)</f>
        <v>US</v>
      </c>
    </row>
    <row r="103" customHeight="1" spans="1:40">
      <c r="A103" s="58" t="str">
        <f>INDEX('[1]1店'!$A:$A,MATCH(B:B,'[1]1店'!$B:$B,0))</f>
        <v>秀青</v>
      </c>
      <c r="B103" s="43" t="s">
        <v>346</v>
      </c>
      <c r="C103" s="43" t="s">
        <v>344</v>
      </c>
      <c r="D103" s="59">
        <f>VLOOKUP(B:B,'[1]1店'!$B:$L,3,0)</f>
        <v>45053</v>
      </c>
      <c r="E103" s="43" t="s">
        <v>347</v>
      </c>
      <c r="F103" s="43">
        <v>0</v>
      </c>
      <c r="G103" s="43">
        <v>1</v>
      </c>
      <c r="H103" s="43">
        <v>0</v>
      </c>
      <c r="I103" s="43">
        <v>0</v>
      </c>
      <c r="J103" s="43">
        <v>0</v>
      </c>
      <c r="K103" s="63">
        <f t="shared" si="44"/>
        <v>1</v>
      </c>
      <c r="L103" s="64">
        <f>VLOOKUP($B:$B,'[1]1店'!$B:$L,11,0)</f>
        <v>27.23</v>
      </c>
      <c r="M103" s="44">
        <f t="shared" si="45"/>
        <v>27.23</v>
      </c>
      <c r="N103" s="186">
        <f>IFERROR(VLOOKUP(B:B,'1店辅助表'!B:C,2,FALSE),0)</f>
        <v>0</v>
      </c>
      <c r="O103" s="186">
        <f>IFERROR(VLOOKUP(B:B,'1店辅助表'!E:F,2,FALSE),0)</f>
        <v>0</v>
      </c>
      <c r="P103" s="186">
        <f>IFERROR(VLOOKUP(B:B,'1店辅助表'!H:I,2,FALSE),0)</f>
        <v>2</v>
      </c>
      <c r="Q103" s="65">
        <f>IFERROR(VLOOKUP($B:$B,'[1]1店'!$B:$N,13,FALSE),0)</f>
        <v>0</v>
      </c>
      <c r="R103" s="79">
        <f t="shared" si="34"/>
        <v>0</v>
      </c>
      <c r="S103" s="80">
        <f t="shared" si="35"/>
        <v>45</v>
      </c>
      <c r="T103" s="44">
        <f t="shared" si="36"/>
        <v>1.5</v>
      </c>
      <c r="U103" s="188">
        <f>IFERROR(VLOOKUP($B:$B,'[1]1店'!$B:$T,19,FALSE),0)</f>
        <v>0.6</v>
      </c>
      <c r="V103" s="81">
        <f t="shared" si="37"/>
        <v>0.9</v>
      </c>
      <c r="W103" s="82" t="str">
        <f t="shared" si="38"/>
        <v>有库存无销量</v>
      </c>
      <c r="X103" s="83" t="str">
        <f t="shared" si="39"/>
        <v>正常</v>
      </c>
      <c r="Y103" s="44">
        <f>IFERROR(SUMIF('1店辅助表'!K:K,B:B,'1店辅助表'!N:N),0)</f>
        <v>0</v>
      </c>
      <c r="Z103" s="44">
        <f>IFERROR(SUMIF('1店辅助表'!T:T,B:B,'1店辅助表'!W:W),0)</f>
        <v>0</v>
      </c>
      <c r="AA103" s="44">
        <f>IFERROR(SUMIF('1店辅助表'!AC:AC,B:B,'1店辅助表'!AF:AF),0)</f>
        <v>0</v>
      </c>
      <c r="AB103" s="91" t="str">
        <f>IFERROR(SUMIF('1店辅助表'!K:K,B:B,'1店辅助表'!N:N)/SUMIF('1店辅助表'!K:K,B:B,'1店辅助表'!O:O),"-")</f>
        <v>-</v>
      </c>
      <c r="AC103" s="91" t="str">
        <f>IFERROR(VLOOKUP($B:$B,'[1]1店'!$B:$AB,27,FALSE),"-")</f>
        <v>-</v>
      </c>
      <c r="AD103" s="92" t="str">
        <f t="shared" si="40"/>
        <v>-</v>
      </c>
      <c r="AE103" s="91" t="str">
        <f>IFERROR(SUMIF('1店辅助表'!T:T,B:B,'1店辅助表'!W:W)/SUMIF('1店辅助表'!T:T,B:B,'1店辅助表'!X:X),"-")</f>
        <v>-</v>
      </c>
      <c r="AF103" s="91" t="str">
        <f>IFERROR(SUMIF('1店辅助表'!AC:AC,B:B,'1店辅助表'!AF:AF)/SUMIF('1店辅助表'!AC:AC,B:B,'1店辅助表'!AG:AG),"-")</f>
        <v>-</v>
      </c>
      <c r="AG103" s="99">
        <f>IFERROR(AK103/((SUMIF('1店辅助表'!AT:AT,B:B,'1店辅助表'!AU:AU)+M103)/2),"-")</f>
        <v>0</v>
      </c>
      <c r="AH103" s="99">
        <f>IFERROR(AL103/((SUMIF('1店辅助表'!AW:AW,B:B,'1店辅助表'!AX:AX)+M103)/2),"-")</f>
        <v>0</v>
      </c>
      <c r="AI103" s="100" t="str">
        <f>IFERROR((SUMIF('1店辅助表'!AP:AP,B:B,'1店辅助表'!AR:AR)-SUMIF('1店辅助表'!AP:AP,B:B,'1店辅助表'!AR:AR)*0.15-(L103+IFERROR(VLOOKUP(B:B,'1店辅助表'!AZ:BA,2,0),0))*O103-IF(AN:AN="US",6.85,4.9)*(Z103+3.99*O103))/SUMIF('1店辅助表'!AP:AP,B:B,'1店辅助表'!AR:AR),"-")</f>
        <v>-</v>
      </c>
      <c r="AJ103" s="100" t="str">
        <f t="shared" si="41"/>
        <v>-</v>
      </c>
      <c r="AK103" s="101">
        <f t="shared" si="42"/>
        <v>0</v>
      </c>
      <c r="AL103" s="101">
        <f t="shared" si="43"/>
        <v>0</v>
      </c>
      <c r="AM103" s="1" t="str">
        <f>VLOOKUP(B:B,'1店辅助表'!$AZ:$BB,1,FALSE)</f>
        <v>Y1096</v>
      </c>
      <c r="AN103" s="1" t="str">
        <f>VLOOKUP(B:B,'1店辅助表'!AZ:BB,3,FALSE)</f>
        <v>US</v>
      </c>
    </row>
    <row r="104" customHeight="1" spans="1:40">
      <c r="A104" s="58" t="str">
        <f>INDEX('[1]1店'!$A:$A,MATCH(B:B,'[1]1店'!$B:$B,0))</f>
        <v>秀青</v>
      </c>
      <c r="B104" s="43" t="s">
        <v>348</v>
      </c>
      <c r="C104" s="43" t="s">
        <v>349</v>
      </c>
      <c r="D104" s="59">
        <f>VLOOKUP(B:B,'[1]1店'!$B:$L,3,0)</f>
        <v>45054</v>
      </c>
      <c r="E104" s="43" t="s">
        <v>350</v>
      </c>
      <c r="F104" s="43">
        <v>28</v>
      </c>
      <c r="G104" s="43">
        <v>0</v>
      </c>
      <c r="H104" s="43">
        <v>0</v>
      </c>
      <c r="I104" s="43">
        <v>0</v>
      </c>
      <c r="J104" s="43">
        <v>0</v>
      </c>
      <c r="K104" s="63">
        <f t="shared" si="44"/>
        <v>28</v>
      </c>
      <c r="L104" s="64">
        <f>VLOOKUP($B:$B,'[1]1店'!$B:$L,11,0)</f>
        <v>26</v>
      </c>
      <c r="M104" s="44">
        <f t="shared" si="45"/>
        <v>728</v>
      </c>
      <c r="N104" s="186">
        <f>IFERROR(VLOOKUP(B:B,'1店辅助表'!B:C,2,FALSE),0)</f>
        <v>0</v>
      </c>
      <c r="O104" s="186">
        <f>IFERROR(VLOOKUP(B:B,'1店辅助表'!E:F,2,FALSE),0)</f>
        <v>0</v>
      </c>
      <c r="P104" s="186">
        <f>IFERROR(VLOOKUP(B:B,'1店辅助表'!H:I,2,FALSE),0)</f>
        <v>0</v>
      </c>
      <c r="Q104" s="65">
        <f>IFERROR(VLOOKUP($B:$B,'[1]1店'!$B:$N,13,FALSE),0)</f>
        <v>0</v>
      </c>
      <c r="R104" s="79">
        <f t="shared" si="34"/>
        <v>0</v>
      </c>
      <c r="S104" s="80" t="str">
        <f t="shared" si="35"/>
        <v>-</v>
      </c>
      <c r="T104" s="44" t="str">
        <f t="shared" si="36"/>
        <v>-</v>
      </c>
      <c r="U104" s="188" t="str">
        <f>IFERROR(VLOOKUP($B:$B,'[1]1店'!$B:$T,19,FALSE),0)</f>
        <v>-</v>
      </c>
      <c r="V104" s="81" t="str">
        <f t="shared" si="37"/>
        <v>-</v>
      </c>
      <c r="W104" s="82" t="str">
        <f t="shared" si="38"/>
        <v>有库存无销量</v>
      </c>
      <c r="X104" s="83" t="str">
        <f t="shared" si="39"/>
        <v>有库存无销量</v>
      </c>
      <c r="Y104" s="44">
        <f>IFERROR(SUMIF('1店辅助表'!K:K,B:B,'1店辅助表'!N:N),0)</f>
        <v>0.13139</v>
      </c>
      <c r="Z104" s="44">
        <f>IFERROR(SUMIF('1店辅助表'!T:T,B:B,'1店辅助表'!W:W),0)</f>
        <v>0.26982</v>
      </c>
      <c r="AA104" s="44">
        <f>IFERROR(SUMIF('1店辅助表'!AC:AC,B:B,'1店辅助表'!AF:AF),0)</f>
        <v>0.64663</v>
      </c>
      <c r="AB104" s="91" t="str">
        <f>IFERROR(SUMIF('1店辅助表'!K:K,B:B,'1店辅助表'!N:N)/SUMIF('1店辅助表'!K:K,B:B,'1店辅助表'!O:O),"-")</f>
        <v>-</v>
      </c>
      <c r="AC104" s="91" t="str">
        <f>IFERROR(VLOOKUP($B:$B,'[1]1店'!$B:$AB,27,FALSE),"-")</f>
        <v>-</v>
      </c>
      <c r="AD104" s="92" t="str">
        <f t="shared" si="40"/>
        <v>-</v>
      </c>
      <c r="AE104" s="91" t="str">
        <f>IFERROR(SUMIF('1店辅助表'!T:T,B:B,'1店辅助表'!W:W)/SUMIF('1店辅助表'!T:T,B:B,'1店辅助表'!X:X),"-")</f>
        <v>-</v>
      </c>
      <c r="AF104" s="91">
        <f>IFERROR(SUMIF('1店辅助表'!AC:AC,B:B,'1店辅助表'!AF:AF)/SUMIF('1店辅助表'!AC:AC,B:B,'1店辅助表'!AG:AG),"-")</f>
        <v>0.0161738369184592</v>
      </c>
      <c r="AG104" s="99">
        <f>IFERROR(AK104/((SUMIF('1店辅助表'!AT:AT,B:B,'1店辅助表'!AU:AU)+M104)/2),"-")</f>
        <v>0</v>
      </c>
      <c r="AH104" s="99">
        <f>IFERROR(AL104/((SUMIF('1店辅助表'!AW:AW,B:B,'1店辅助表'!AX:AX)+M104)/2),"-")</f>
        <v>0</v>
      </c>
      <c r="AI104" s="100" t="str">
        <f>IFERROR((SUMIF('1店辅助表'!AP:AP,B:B,'1店辅助表'!AR:AR)-SUMIF('1店辅助表'!AP:AP,B:B,'1店辅助表'!AR:AR)*0.15-(L104+IFERROR(VLOOKUP(B:B,'1店辅助表'!AZ:BA,2,0),0))*O104-IF(AN:AN="US",6.85,4.9)*(Z104+3.99*O104))/SUMIF('1店辅助表'!AP:AP,B:B,'1店辅助表'!AR:AR),"-")</f>
        <v>-</v>
      </c>
      <c r="AJ104" s="100" t="str">
        <f t="shared" si="41"/>
        <v>-</v>
      </c>
      <c r="AK104" s="101">
        <f t="shared" si="42"/>
        <v>0</v>
      </c>
      <c r="AL104" s="101">
        <f t="shared" si="43"/>
        <v>0</v>
      </c>
      <c r="AM104" s="1" t="str">
        <f>VLOOKUP(B:B,'1店辅助表'!$AZ:$BB,1,FALSE)</f>
        <v>Y1099</v>
      </c>
      <c r="AN104" s="1" t="str">
        <f>VLOOKUP(B:B,'1店辅助表'!AZ:BB,3,FALSE)</f>
        <v>US</v>
      </c>
    </row>
    <row r="105" customHeight="1" spans="1:40">
      <c r="A105" s="58" t="str">
        <f>INDEX('[1]1店'!$A:$A,MATCH(B:B,'[1]1店'!$B:$B,0))</f>
        <v>秀青</v>
      </c>
      <c r="B105" s="43" t="s">
        <v>351</v>
      </c>
      <c r="C105" s="43" t="s">
        <v>352</v>
      </c>
      <c r="D105" s="59">
        <f>VLOOKUP(B:B,'[1]1店'!$B:$L,3,0)</f>
        <v>45054</v>
      </c>
      <c r="E105" s="43" t="s">
        <v>353</v>
      </c>
      <c r="F105" s="43">
        <v>28</v>
      </c>
      <c r="G105" s="43">
        <v>0</v>
      </c>
      <c r="H105" s="43">
        <v>0</v>
      </c>
      <c r="I105" s="43">
        <v>0</v>
      </c>
      <c r="J105" s="43">
        <v>0</v>
      </c>
      <c r="K105" s="63">
        <f t="shared" si="44"/>
        <v>28</v>
      </c>
      <c r="L105" s="64">
        <f>VLOOKUP($B:$B,'[1]1店'!$B:$L,11,0)</f>
        <v>26</v>
      </c>
      <c r="M105" s="44">
        <f t="shared" si="45"/>
        <v>728</v>
      </c>
      <c r="N105" s="186">
        <f>IFERROR(VLOOKUP(B:B,'1店辅助表'!B:C,2,FALSE),0)</f>
        <v>0</v>
      </c>
      <c r="O105" s="186">
        <f>IFERROR(VLOOKUP(B:B,'1店辅助表'!E:F,2,FALSE),0)</f>
        <v>0</v>
      </c>
      <c r="P105" s="186">
        <f>IFERROR(VLOOKUP(B:B,'1店辅助表'!H:I,2,FALSE),0)</f>
        <v>0</v>
      </c>
      <c r="Q105" s="65">
        <f>IFERROR(VLOOKUP($B:$B,'[1]1店'!$B:$N,13,FALSE),0)</f>
        <v>0</v>
      </c>
      <c r="R105" s="79">
        <f t="shared" si="34"/>
        <v>0</v>
      </c>
      <c r="S105" s="80" t="str">
        <f t="shared" si="35"/>
        <v>-</v>
      </c>
      <c r="T105" s="44" t="str">
        <f t="shared" si="36"/>
        <v>-</v>
      </c>
      <c r="U105" s="188">
        <f>IFERROR(VLOOKUP($B:$B,'[1]1店'!$B:$T,19,FALSE),0)</f>
        <v>84</v>
      </c>
      <c r="V105" s="81" t="str">
        <f t="shared" si="37"/>
        <v>-</v>
      </c>
      <c r="W105" s="82" t="str">
        <f t="shared" si="38"/>
        <v>有库存无销量</v>
      </c>
      <c r="X105" s="83" t="str">
        <f t="shared" si="39"/>
        <v>有库存无销量</v>
      </c>
      <c r="Y105" s="44">
        <f>IFERROR(SUMIF('1店辅助表'!K:K,B:B,'1店辅助表'!N:N),0)</f>
        <v>3.71233</v>
      </c>
      <c r="Z105" s="44">
        <f>IFERROR(SUMIF('1店辅助表'!T:T,B:B,'1店辅助表'!W:W),0)</f>
        <v>6.86037</v>
      </c>
      <c r="AA105" s="44">
        <f>IFERROR(SUMIF('1店辅助表'!AC:AC,B:B,'1店辅助表'!AF:AF),0)</f>
        <v>9.74492</v>
      </c>
      <c r="AB105" s="91">
        <f>IFERROR(SUMIF('1店辅助表'!K:K,B:B,'1店辅助表'!N:N)/SUMIF('1店辅助表'!K:K,B:B,'1店辅助表'!O:O),"-")</f>
        <v>0.142836860330897</v>
      </c>
      <c r="AC105" s="91">
        <f>IFERROR(VLOOKUP($B:$B,'[1]1店'!$B:$AB,27,FALSE),"-")</f>
        <v>0.051131452900479</v>
      </c>
      <c r="AD105" s="92">
        <f t="shared" si="40"/>
        <v>0.091705407430418</v>
      </c>
      <c r="AE105" s="91">
        <f>IFERROR(SUMIF('1店辅助表'!T:T,B:B,'1店辅助表'!W:W)/SUMIF('1店辅助表'!T:T,B:B,'1店辅助表'!X:X),"-")</f>
        <v>0.0832973530840214</v>
      </c>
      <c r="AF105" s="91">
        <f>IFERROR(SUMIF('1店辅助表'!AC:AC,B:B,'1店辅助表'!AF:AF)/SUMIF('1店辅助表'!AC:AC,B:B,'1店辅助表'!AG:AG),"-")</f>
        <v>0.084488642275013</v>
      </c>
      <c r="AG105" s="99">
        <f>IFERROR(AK105/((SUMIF('1店辅助表'!AT:AT,B:B,'1店辅助表'!AU:AU)+M105)/2),"-")</f>
        <v>0</v>
      </c>
      <c r="AH105" s="99">
        <f>IFERROR(AL105/((SUMIF('1店辅助表'!AW:AW,B:B,'1店辅助表'!AX:AX)+M105)/2),"-")</f>
        <v>0</v>
      </c>
      <c r="AI105" s="100" t="str">
        <f>IFERROR((SUMIF('1店辅助表'!AP:AP,B:B,'1店辅助表'!AR:AR)-SUMIF('1店辅助表'!AP:AP,B:B,'1店辅助表'!AR:AR)*0.15-(L105+IFERROR(VLOOKUP(B:B,'1店辅助表'!AZ:BA,2,0),0))*O105-IF(AN:AN="US",6.85,4.9)*(Z105+3.99*O105))/SUMIF('1店辅助表'!AP:AP,B:B,'1店辅助表'!AR:AR),"-")</f>
        <v>-</v>
      </c>
      <c r="AJ105" s="100" t="str">
        <f t="shared" si="41"/>
        <v>-</v>
      </c>
      <c r="AK105" s="101">
        <f t="shared" si="42"/>
        <v>0</v>
      </c>
      <c r="AL105" s="101">
        <f t="shared" si="43"/>
        <v>0</v>
      </c>
      <c r="AM105" s="1" t="str">
        <f>VLOOKUP(B:B,'1店辅助表'!$AZ:$BB,1,FALSE)</f>
        <v>Y1099-RE</v>
      </c>
      <c r="AN105" s="1" t="str">
        <f>VLOOKUP(B:B,'1店辅助表'!AZ:BB,3,FALSE)</f>
        <v>US</v>
      </c>
    </row>
    <row r="106" customHeight="1" spans="1:40">
      <c r="A106" s="58" t="str">
        <f>INDEX('[1]1店'!$A:$A,MATCH(B:B,'[1]1店'!$B:$B,0))</f>
        <v>秀青</v>
      </c>
      <c r="B106" s="43" t="s">
        <v>354</v>
      </c>
      <c r="C106" s="43" t="s">
        <v>355</v>
      </c>
      <c r="D106" s="59">
        <f>VLOOKUP(B:B,'[1]1店'!$B:$L,3,0)</f>
        <v>45058</v>
      </c>
      <c r="E106" s="43" t="s">
        <v>356</v>
      </c>
      <c r="F106" s="43">
        <v>24</v>
      </c>
      <c r="G106" s="43">
        <v>0</v>
      </c>
      <c r="H106" s="43">
        <v>0</v>
      </c>
      <c r="I106" s="43">
        <v>0</v>
      </c>
      <c r="J106" s="43">
        <v>0</v>
      </c>
      <c r="K106" s="63">
        <f t="shared" si="44"/>
        <v>24</v>
      </c>
      <c r="L106" s="64">
        <f>VLOOKUP($B:$B,'[1]1店'!$B:$L,11,0)</f>
        <v>25</v>
      </c>
      <c r="M106" s="44">
        <f t="shared" si="45"/>
        <v>600</v>
      </c>
      <c r="N106" s="186">
        <f>IFERROR(VLOOKUP(B:B,'1店辅助表'!B:C,2,FALSE),0)</f>
        <v>0</v>
      </c>
      <c r="O106" s="186">
        <f>IFERROR(VLOOKUP(B:B,'1店辅助表'!E:F,2,FALSE),0)</f>
        <v>0</v>
      </c>
      <c r="P106" s="186">
        <f>IFERROR(VLOOKUP(B:B,'1店辅助表'!H:I,2,FALSE),0)</f>
        <v>0</v>
      </c>
      <c r="Q106" s="65">
        <f>IFERROR(VLOOKUP($B:$B,'[1]1店'!$B:$N,13,FALSE),0)</f>
        <v>0</v>
      </c>
      <c r="R106" s="79">
        <f t="shared" si="34"/>
        <v>0</v>
      </c>
      <c r="S106" s="80" t="str">
        <f t="shared" si="35"/>
        <v>-</v>
      </c>
      <c r="T106" s="44" t="str">
        <f t="shared" si="36"/>
        <v>-</v>
      </c>
      <c r="U106" s="188" t="str">
        <f>IFERROR(VLOOKUP($B:$B,'[1]1店'!$B:$T,19,FALSE),0)</f>
        <v>-</v>
      </c>
      <c r="V106" s="81" t="str">
        <f t="shared" si="37"/>
        <v>-</v>
      </c>
      <c r="W106" s="82" t="str">
        <f t="shared" si="38"/>
        <v>有库存无销量</v>
      </c>
      <c r="X106" s="83" t="str">
        <f t="shared" si="39"/>
        <v>有库存无销量</v>
      </c>
      <c r="Y106" s="44">
        <f>IFERROR(SUMIF('1店辅助表'!K:K,B:B,'1店辅助表'!N:N),0)</f>
        <v>0.29781</v>
      </c>
      <c r="Z106" s="44">
        <f>IFERROR(SUMIF('1店辅助表'!T:T,B:B,'1店辅助表'!W:W),0)</f>
        <v>0.64704</v>
      </c>
      <c r="AA106" s="44">
        <f>IFERROR(SUMIF('1店辅助表'!AC:AC,B:B,'1店辅助表'!AF:AF),0)</f>
        <v>1.46897</v>
      </c>
      <c r="AB106" s="91">
        <f>IFERROR(SUMIF('1店辅助表'!K:K,B:B,'1店辅助表'!N:N)/SUMIF('1店辅助表'!K:K,B:B,'1店辅助表'!O:O),"-")</f>
        <v>0.0165541967759867</v>
      </c>
      <c r="AC106" s="91">
        <f>IFERROR(VLOOKUP($B:$B,'[1]1店'!$B:$AB,27,FALSE),"-")</f>
        <v>0.00389613784907903</v>
      </c>
      <c r="AD106" s="92">
        <f t="shared" si="40"/>
        <v>0.0126580589269077</v>
      </c>
      <c r="AE106" s="91">
        <f>IFERROR(SUMIF('1店辅助表'!T:T,B:B,'1店辅助表'!W:W)/SUMIF('1店辅助表'!T:T,B:B,'1店辅助表'!X:X),"-")</f>
        <v>0.00633483454082632</v>
      </c>
      <c r="AF106" s="91">
        <f>IFERROR(SUMIF('1店辅助表'!AC:AC,B:B,'1店辅助表'!AF:AF)/SUMIF('1店辅助表'!AC:AC,B:B,'1店辅助表'!AG:AG),"-")</f>
        <v>0.00638488286173773</v>
      </c>
      <c r="AG106" s="99">
        <f>IFERROR(AK106/((SUMIF('1店辅助表'!AT:AT,B:B,'1店辅助表'!AU:AU)+M106)/2),"-")</f>
        <v>0</v>
      </c>
      <c r="AH106" s="99">
        <f>IFERROR(AL106/((SUMIF('1店辅助表'!AW:AW,B:B,'1店辅助表'!AX:AX)+M106)/2),"-")</f>
        <v>0</v>
      </c>
      <c r="AI106" s="100" t="str">
        <f>IFERROR((SUMIF('1店辅助表'!AP:AP,B:B,'1店辅助表'!AR:AR)-SUMIF('1店辅助表'!AP:AP,B:B,'1店辅助表'!AR:AR)*0.15-(L106+IFERROR(VLOOKUP(B:B,'1店辅助表'!AZ:BA,2,0),0))*O106-IF(AN:AN="US",6.85,4.9)*(Z106+3.99*O106))/SUMIF('1店辅助表'!AP:AP,B:B,'1店辅助表'!AR:AR),"-")</f>
        <v>-</v>
      </c>
      <c r="AJ106" s="100" t="str">
        <f t="shared" si="41"/>
        <v>-</v>
      </c>
      <c r="AK106" s="101">
        <f t="shared" si="42"/>
        <v>0</v>
      </c>
      <c r="AL106" s="101">
        <f t="shared" si="43"/>
        <v>0</v>
      </c>
      <c r="AM106" s="1" t="str">
        <f>VLOOKUP(B:B,'1店辅助表'!$AZ:$BB,1,FALSE)</f>
        <v>Y1100-GA</v>
      </c>
      <c r="AN106" s="1" t="str">
        <f>VLOOKUP(B:B,'1店辅助表'!AZ:BB,3,FALSE)</f>
        <v>US</v>
      </c>
    </row>
    <row r="107" customHeight="1" spans="1:40">
      <c r="A107" s="58" t="str">
        <f>INDEX('[1]1店'!$A:$A,MATCH(B:B,'[1]1店'!$B:$B,0))</f>
        <v>秀青</v>
      </c>
      <c r="B107" s="43" t="s">
        <v>357</v>
      </c>
      <c r="C107" s="43" t="s">
        <v>358</v>
      </c>
      <c r="D107" s="59">
        <f>VLOOKUP(B:B,'[1]1店'!$B:$L,3,0)</f>
        <v>45084</v>
      </c>
      <c r="E107" s="43" t="s">
        <v>359</v>
      </c>
      <c r="F107" s="43">
        <v>26</v>
      </c>
      <c r="G107" s="43">
        <v>0</v>
      </c>
      <c r="H107" s="43">
        <v>1</v>
      </c>
      <c r="I107" s="43">
        <v>0</v>
      </c>
      <c r="J107" s="43">
        <v>0</v>
      </c>
      <c r="K107" s="63">
        <f t="shared" si="44"/>
        <v>27</v>
      </c>
      <c r="L107" s="64">
        <f>VLOOKUP($B:$B,'[1]1店'!$B:$L,11,0)</f>
        <v>25</v>
      </c>
      <c r="M107" s="44">
        <f t="shared" si="45"/>
        <v>675</v>
      </c>
      <c r="N107" s="186">
        <f>IFERROR(VLOOKUP(B:B,'1店辅助表'!B:C,2,FALSE),0)</f>
        <v>1</v>
      </c>
      <c r="O107" s="186">
        <f>IFERROR(VLOOKUP(B:B,'1店辅助表'!E:F,2,FALSE),0)</f>
        <v>2</v>
      </c>
      <c r="P107" s="186">
        <f>IFERROR(VLOOKUP(B:B,'1店辅助表'!H:I,2,FALSE),0)</f>
        <v>2</v>
      </c>
      <c r="Q107" s="65">
        <f>IFERROR(VLOOKUP($B:$B,'[1]1店'!$B:$N,13,FALSE),0)</f>
        <v>1</v>
      </c>
      <c r="R107" s="79">
        <f t="shared" si="34"/>
        <v>0</v>
      </c>
      <c r="S107" s="80">
        <f t="shared" si="35"/>
        <v>236.25</v>
      </c>
      <c r="T107" s="44">
        <f t="shared" si="36"/>
        <v>7.875</v>
      </c>
      <c r="U107" s="188">
        <f>IFERROR(VLOOKUP($B:$B,'[1]1店'!$B:$T,19,FALSE),0)</f>
        <v>11.5294117647059</v>
      </c>
      <c r="V107" s="81">
        <f t="shared" si="37"/>
        <v>-3.6544117647059</v>
      </c>
      <c r="W107" s="82" t="str">
        <f t="shared" si="38"/>
        <v>库存过高</v>
      </c>
      <c r="X107" s="83" t="str">
        <f t="shared" si="39"/>
        <v>库存过高</v>
      </c>
      <c r="Y107" s="44">
        <f>IFERROR(SUMIF('1店辅助表'!K:K,B:B,'1店辅助表'!N:N),0)</f>
        <v>0.34244</v>
      </c>
      <c r="Z107" s="44">
        <f>IFERROR(SUMIF('1店辅助表'!T:T,B:B,'1店辅助表'!W:W),0)</f>
        <v>0.82119</v>
      </c>
      <c r="AA107" s="44">
        <f>IFERROR(SUMIF('1店辅助表'!AC:AC,B:B,'1店辅助表'!AF:AF),0)</f>
        <v>1.72516</v>
      </c>
      <c r="AB107" s="91">
        <f>IFERROR(SUMIF('1店辅助表'!K:K,B:B,'1店辅助表'!N:N)/SUMIF('1店辅助表'!K:K,B:B,'1店辅助表'!O:O),"-")</f>
        <v>0.00385023611423432</v>
      </c>
      <c r="AC107" s="91">
        <f>IFERROR(VLOOKUP($B:$B,'[1]1店'!$B:$AB,27,FALSE),"-")</f>
        <v>0.0138178767541184</v>
      </c>
      <c r="AD107" s="92">
        <f t="shared" si="40"/>
        <v>-0.00996764063988408</v>
      </c>
      <c r="AE107" s="91">
        <f>IFERROR(SUMIF('1店辅助表'!T:T,B:B,'1店辅助表'!W:W)/SUMIF('1店辅助表'!T:T,B:B,'1店辅助表'!X:X),"-")</f>
        <v>0.00596318350156125</v>
      </c>
      <c r="AF107" s="91">
        <f>IFERROR(SUMIF('1店辅助表'!AC:AC,B:B,'1店辅助表'!AF:AF)/SUMIF('1店辅助表'!AC:AC,B:B,'1店辅助表'!AG:AG),"-")</f>
        <v>0.00628130347715274</v>
      </c>
      <c r="AG107" s="99">
        <f>IFERROR(AK107/((SUMIF('1店辅助表'!AT:AT,B:B,'1店辅助表'!AU:AU)+M107)/2),"-")</f>
        <v>0.0363636363636364</v>
      </c>
      <c r="AH107" s="99">
        <f>IFERROR(AL107/((SUMIF('1店辅助表'!AW:AW,B:B,'1店辅助表'!AX:AX)+M107)/2),"-")</f>
        <v>0.0714285714285714</v>
      </c>
      <c r="AI107" s="100">
        <f>IFERROR((SUMIF('1店辅助表'!AP:AP,B:B,'1店辅助表'!AR:AR)-SUMIF('1店辅助表'!AP:AP,B:B,'1店辅助表'!AR:AR)*0.15-(L107+IFERROR(VLOOKUP(B:B,'1店辅助表'!AZ:BA,2,0),0))*O107-IF(AN:AN="US",6.85,4.9)*(Z107+3.99*O107))/SUMIF('1店辅助表'!AP:AP,B:B,'1店辅助表'!AR:AR),"-")</f>
        <v>0.254224950453587</v>
      </c>
      <c r="AJ107" s="100">
        <f t="shared" si="41"/>
        <v>0.0181589250323991</v>
      </c>
      <c r="AK107" s="101">
        <f t="shared" si="42"/>
        <v>25</v>
      </c>
      <c r="AL107" s="101">
        <f t="shared" si="43"/>
        <v>50</v>
      </c>
      <c r="AM107" s="1" t="str">
        <f>VLOOKUP(B:B,'1店辅助表'!$AZ:$BB,1,FALSE)</f>
        <v>Y1100-RE</v>
      </c>
      <c r="AN107" s="1" t="str">
        <f>VLOOKUP(B:B,'1店辅助表'!AZ:BB,3,FALSE)</f>
        <v>US</v>
      </c>
    </row>
    <row r="108" customHeight="1" spans="1:40">
      <c r="A108" s="58" t="str">
        <f>INDEX('[1]1店'!$A:$A,MATCH(B:B,'[1]1店'!$B:$B,0))</f>
        <v>秀青</v>
      </c>
      <c r="B108" s="43" t="s">
        <v>360</v>
      </c>
      <c r="C108" s="43" t="s">
        <v>361</v>
      </c>
      <c r="D108" s="59">
        <f>VLOOKUP(B:B,'[1]1店'!$B:$L,3,0)</f>
        <v>45058</v>
      </c>
      <c r="E108" s="43" t="s">
        <v>362</v>
      </c>
      <c r="F108" s="43">
        <v>12</v>
      </c>
      <c r="G108" s="43">
        <v>1</v>
      </c>
      <c r="H108" s="43">
        <v>0</v>
      </c>
      <c r="I108" s="43">
        <v>0</v>
      </c>
      <c r="J108" s="43">
        <v>0</v>
      </c>
      <c r="K108" s="63">
        <f t="shared" si="44"/>
        <v>13</v>
      </c>
      <c r="L108" s="64">
        <f>VLOOKUP($B:$B,'[1]1店'!$B:$L,11,0)</f>
        <v>5</v>
      </c>
      <c r="M108" s="44">
        <f t="shared" si="45"/>
        <v>65</v>
      </c>
      <c r="N108" s="186">
        <f>IFERROR(VLOOKUP(B:B,'1店辅助表'!B:C,2,FALSE),0)</f>
        <v>0</v>
      </c>
      <c r="O108" s="186">
        <f>IFERROR(VLOOKUP(B:B,'1店辅助表'!E:F,2,FALSE),0)</f>
        <v>1</v>
      </c>
      <c r="P108" s="186">
        <f>IFERROR(VLOOKUP(B:B,'1店辅助表'!H:I,2,FALSE),0)</f>
        <v>2</v>
      </c>
      <c r="Q108" s="65">
        <f>IFERROR(VLOOKUP($B:$B,'[1]1店'!$B:$N,13,FALSE),0)</f>
        <v>0</v>
      </c>
      <c r="R108" s="79">
        <f t="shared" si="34"/>
        <v>0</v>
      </c>
      <c r="S108" s="80">
        <f t="shared" si="35"/>
        <v>292.5</v>
      </c>
      <c r="T108" s="44">
        <f t="shared" si="36"/>
        <v>9.75</v>
      </c>
      <c r="U108" s="188">
        <f>IFERROR(VLOOKUP($B:$B,'[1]1店'!$B:$T,19,FALSE),0)</f>
        <v>7.8</v>
      </c>
      <c r="V108" s="81">
        <f t="shared" si="37"/>
        <v>1.95</v>
      </c>
      <c r="W108" s="82" t="str">
        <f t="shared" si="38"/>
        <v>有库存无销量</v>
      </c>
      <c r="X108" s="83" t="str">
        <f t="shared" si="39"/>
        <v>库存过高</v>
      </c>
      <c r="Y108" s="44">
        <f>IFERROR(SUMIF('1店辅助表'!K:K,B:B,'1店辅助表'!N:N),0)</f>
        <v>0</v>
      </c>
      <c r="Z108" s="44">
        <f>IFERROR(SUMIF('1店辅助表'!T:T,B:B,'1店辅助表'!W:W),0)</f>
        <v>0</v>
      </c>
      <c r="AA108" s="44">
        <f>IFERROR(SUMIF('1店辅助表'!AC:AC,B:B,'1店辅助表'!AF:AF),0)</f>
        <v>0</v>
      </c>
      <c r="AB108" s="91" t="str">
        <f>IFERROR(SUMIF('1店辅助表'!K:K,B:B,'1店辅助表'!N:N)/SUMIF('1店辅助表'!K:K,B:B,'1店辅助表'!O:O),"-")</f>
        <v>-</v>
      </c>
      <c r="AC108" s="91" t="str">
        <f>IFERROR(VLOOKUP($B:$B,'[1]1店'!$B:$AB,27,FALSE),"-")</f>
        <v>-</v>
      </c>
      <c r="AD108" s="92" t="str">
        <f t="shared" si="40"/>
        <v>-</v>
      </c>
      <c r="AE108" s="91" t="str">
        <f>IFERROR(SUMIF('1店辅助表'!T:T,B:B,'1店辅助表'!W:W)/SUMIF('1店辅助表'!T:T,B:B,'1店辅助表'!X:X),"-")</f>
        <v>-</v>
      </c>
      <c r="AF108" s="91" t="str">
        <f>IFERROR(SUMIF('1店辅助表'!AC:AC,B:B,'1店辅助表'!AF:AF)/SUMIF('1店辅助表'!AC:AC,B:B,'1店辅助表'!AG:AG),"-")</f>
        <v>-</v>
      </c>
      <c r="AG108" s="99">
        <f>IFERROR(AK108/((SUMIF('1店辅助表'!AT:AT,B:B,'1店辅助表'!AU:AU)+M108)/2),"-")</f>
        <v>0</v>
      </c>
      <c r="AH108" s="99">
        <f>IFERROR(AL108/((SUMIF('1店辅助表'!AW:AW,B:B,'1店辅助表'!AX:AX)+M108)/2),"-")</f>
        <v>0.0740740740740741</v>
      </c>
      <c r="AI108" s="100">
        <f>IFERROR((SUMIF('1店辅助表'!AP:AP,B:B,'1店辅助表'!AR:AR)-SUMIF('1店辅助表'!AP:AP,B:B,'1店辅助表'!AR:AR)*0.15-(L108+IFERROR(VLOOKUP(B:B,'1店辅助表'!AZ:BA,2,0),0))*O108-IF(AN:AN="US",6.85,4.9)*(Z108+3.99*O108))/SUMIF('1店辅助表'!AP:AP,B:B,'1店辅助表'!AR:AR),"-")</f>
        <v>0.253314361930515</v>
      </c>
      <c r="AJ108" s="100">
        <f t="shared" si="41"/>
        <v>0.0187640268096678</v>
      </c>
      <c r="AK108" s="101">
        <f t="shared" si="42"/>
        <v>0</v>
      </c>
      <c r="AL108" s="101">
        <f t="shared" si="43"/>
        <v>5</v>
      </c>
      <c r="AM108" s="1" t="str">
        <f>VLOOKUP(B:B,'1店辅助表'!$AZ:$BB,1,FALSE)</f>
        <v>Y1101-CA</v>
      </c>
      <c r="AN108" s="1" t="str">
        <f>VLOOKUP(B:B,'1店辅助表'!AZ:BB,3,FALSE)</f>
        <v>US</v>
      </c>
    </row>
    <row r="109" customHeight="1" spans="1:40">
      <c r="A109" s="58" t="str">
        <f>INDEX('[1]1店'!$A:$A,MATCH(B:B,'[1]1店'!$B:$B,0))</f>
        <v>秀青</v>
      </c>
      <c r="B109" s="43" t="s">
        <v>363</v>
      </c>
      <c r="C109" s="43" t="s">
        <v>364</v>
      </c>
      <c r="D109" s="59">
        <f>VLOOKUP(B:B,'[1]1店'!$B:$L,3,0)</f>
        <v>45058</v>
      </c>
      <c r="E109" s="43" t="s">
        <v>365</v>
      </c>
      <c r="F109" s="43">
        <v>7</v>
      </c>
      <c r="G109" s="43">
        <v>0</v>
      </c>
      <c r="H109" s="43">
        <v>0</v>
      </c>
      <c r="I109" s="43">
        <v>0</v>
      </c>
      <c r="J109" s="43">
        <v>0</v>
      </c>
      <c r="K109" s="63">
        <f t="shared" si="44"/>
        <v>7</v>
      </c>
      <c r="L109" s="64">
        <f>VLOOKUP($B:$B,'[1]1店'!$B:$L,11,0)</f>
        <v>5</v>
      </c>
      <c r="M109" s="44">
        <f t="shared" si="45"/>
        <v>35</v>
      </c>
      <c r="N109" s="186">
        <f>IFERROR(VLOOKUP(B:B,'1店辅助表'!B:C,2,FALSE),0)</f>
        <v>0</v>
      </c>
      <c r="O109" s="186">
        <f>IFERROR(VLOOKUP(B:B,'1店辅助表'!E:F,2,FALSE),0)</f>
        <v>0</v>
      </c>
      <c r="P109" s="186">
        <f>IFERROR(VLOOKUP(B:B,'1店辅助表'!H:I,2,FALSE),0)</f>
        <v>2</v>
      </c>
      <c r="Q109" s="65">
        <f>IFERROR(VLOOKUP($B:$B,'[1]1店'!$B:$N,13,FALSE),0)</f>
        <v>0</v>
      </c>
      <c r="R109" s="79">
        <f t="shared" si="34"/>
        <v>0</v>
      </c>
      <c r="S109" s="80">
        <f t="shared" si="35"/>
        <v>315</v>
      </c>
      <c r="T109" s="44">
        <f t="shared" si="36"/>
        <v>10.5</v>
      </c>
      <c r="U109" s="188">
        <f>IFERROR(VLOOKUP($B:$B,'[1]1店'!$B:$T,19,FALSE),0)</f>
        <v>7</v>
      </c>
      <c r="V109" s="81">
        <f t="shared" si="37"/>
        <v>3.5</v>
      </c>
      <c r="W109" s="82" t="str">
        <f t="shared" si="38"/>
        <v>有库存无销量</v>
      </c>
      <c r="X109" s="83" t="str">
        <f t="shared" si="39"/>
        <v>库存过高</v>
      </c>
      <c r="Y109" s="44">
        <f>IFERROR(SUMIF('1店辅助表'!K:K,B:B,'1店辅助表'!N:N),0)</f>
        <v>0</v>
      </c>
      <c r="Z109" s="44">
        <f>IFERROR(SUMIF('1店辅助表'!T:T,B:B,'1店辅助表'!W:W),0)</f>
        <v>0</v>
      </c>
      <c r="AA109" s="44">
        <f>IFERROR(SUMIF('1店辅助表'!AC:AC,B:B,'1店辅助表'!AF:AF),0)</f>
        <v>0</v>
      </c>
      <c r="AB109" s="91" t="str">
        <f>IFERROR(SUMIF('1店辅助表'!K:K,B:B,'1店辅助表'!N:N)/SUMIF('1店辅助表'!K:K,B:B,'1店辅助表'!O:O),"-")</f>
        <v>-</v>
      </c>
      <c r="AC109" s="91" t="str">
        <f>IFERROR(VLOOKUP($B:$B,'[1]1店'!$B:$AB,27,FALSE),"-")</f>
        <v>-</v>
      </c>
      <c r="AD109" s="92" t="str">
        <f t="shared" si="40"/>
        <v>-</v>
      </c>
      <c r="AE109" s="91" t="str">
        <f>IFERROR(SUMIF('1店辅助表'!T:T,B:B,'1店辅助表'!W:W)/SUMIF('1店辅助表'!T:T,B:B,'1店辅助表'!X:X),"-")</f>
        <v>-</v>
      </c>
      <c r="AF109" s="91" t="str">
        <f>IFERROR(SUMIF('1店辅助表'!AC:AC,B:B,'1店辅助表'!AF:AF)/SUMIF('1店辅助表'!AC:AC,B:B,'1店辅助表'!AG:AG),"-")</f>
        <v>-</v>
      </c>
      <c r="AG109" s="99">
        <f>IFERROR(AK109/((SUMIF('1店辅助表'!AT:AT,B:B,'1店辅助表'!AU:AU)+M109)/2),"-")</f>
        <v>0</v>
      </c>
      <c r="AH109" s="99">
        <f>IFERROR(AL109/((SUMIF('1店辅助表'!AW:AW,B:B,'1店辅助表'!AX:AX)+M109)/2),"-")</f>
        <v>0</v>
      </c>
      <c r="AI109" s="100" t="str">
        <f>IFERROR((SUMIF('1店辅助表'!AP:AP,B:B,'1店辅助表'!AR:AR)-SUMIF('1店辅助表'!AP:AP,B:B,'1店辅助表'!AR:AR)*0.15-(L109+IFERROR(VLOOKUP(B:B,'1店辅助表'!AZ:BA,2,0),0))*O109-IF(AN:AN="US",6.85,4.9)*(Z109+3.99*O109))/SUMIF('1店辅助表'!AP:AP,B:B,'1店辅助表'!AR:AR),"-")</f>
        <v>-</v>
      </c>
      <c r="AJ109" s="100" t="str">
        <f t="shared" si="41"/>
        <v>-</v>
      </c>
      <c r="AK109" s="101">
        <f t="shared" si="42"/>
        <v>0</v>
      </c>
      <c r="AL109" s="101">
        <f t="shared" si="43"/>
        <v>0</v>
      </c>
      <c r="AM109" s="1" t="str">
        <f>VLOOKUP(B:B,'1店辅助表'!$AZ:$BB,1,FALSE)</f>
        <v>Y1101-RO</v>
      </c>
      <c r="AN109" s="1" t="str">
        <f>VLOOKUP(B:B,'1店辅助表'!AZ:BB,3,FALSE)</f>
        <v>US</v>
      </c>
    </row>
    <row r="110" customHeight="1" spans="1:40">
      <c r="A110" s="58" t="str">
        <f>INDEX('[1]1店'!$A:$A,MATCH(B:B,'[1]1店'!$B:$B,0))</f>
        <v>秀青</v>
      </c>
      <c r="B110" s="43" t="s">
        <v>366</v>
      </c>
      <c r="C110" s="43" t="s">
        <v>367</v>
      </c>
      <c r="D110" s="59">
        <f>VLOOKUP(B:B,'[1]1店'!$B:$L,3,0)</f>
        <v>45058</v>
      </c>
      <c r="E110" s="43" t="s">
        <v>368</v>
      </c>
      <c r="F110" s="43">
        <v>16</v>
      </c>
      <c r="G110" s="43">
        <v>0</v>
      </c>
      <c r="H110" s="43">
        <v>1</v>
      </c>
      <c r="I110" s="43">
        <v>0</v>
      </c>
      <c r="J110" s="43">
        <v>0</v>
      </c>
      <c r="K110" s="63">
        <f t="shared" si="44"/>
        <v>17</v>
      </c>
      <c r="L110" s="64">
        <f>VLOOKUP($B:$B,'[1]1店'!$B:$L,11,0)</f>
        <v>24</v>
      </c>
      <c r="M110" s="44">
        <f t="shared" si="45"/>
        <v>408</v>
      </c>
      <c r="N110" s="186">
        <f>IFERROR(VLOOKUP(B:B,'1店辅助表'!B:C,2,FALSE),0)</f>
        <v>0</v>
      </c>
      <c r="O110" s="186">
        <f>IFERROR(VLOOKUP(B:B,'1店辅助表'!E:F,2,FALSE),0)</f>
        <v>0</v>
      </c>
      <c r="P110" s="186">
        <f>IFERROR(VLOOKUP(B:B,'1店辅助表'!H:I,2,FALSE),0)</f>
        <v>1</v>
      </c>
      <c r="Q110" s="65">
        <f>IFERROR(VLOOKUP($B:$B,'[1]1店'!$B:$N,13,FALSE),0)</f>
        <v>0</v>
      </c>
      <c r="R110" s="79">
        <f t="shared" si="34"/>
        <v>0</v>
      </c>
      <c r="S110" s="80">
        <f t="shared" si="35"/>
        <v>1530</v>
      </c>
      <c r="T110" s="44">
        <f t="shared" si="36"/>
        <v>51</v>
      </c>
      <c r="U110" s="188">
        <f>IFERROR(VLOOKUP($B:$B,'[1]1店'!$B:$T,19,FALSE),0)</f>
        <v>51</v>
      </c>
      <c r="V110" s="81">
        <f t="shared" si="37"/>
        <v>0</v>
      </c>
      <c r="W110" s="82" t="str">
        <f t="shared" si="38"/>
        <v>有库存无销量</v>
      </c>
      <c r="X110" s="83" t="str">
        <f t="shared" si="39"/>
        <v>库存过高</v>
      </c>
      <c r="Y110" s="44">
        <f>IFERROR(SUMIF('1店辅助表'!K:K,B:B,'1店辅助表'!N:N),0)</f>
        <v>0.64203</v>
      </c>
      <c r="Z110" s="44">
        <f>IFERROR(SUMIF('1店辅助表'!T:T,B:B,'1店辅助表'!W:W),0)</f>
        <v>1.38139</v>
      </c>
      <c r="AA110" s="44">
        <f>IFERROR(SUMIF('1店辅助表'!AC:AC,B:B,'1店辅助表'!AF:AF),0)</f>
        <v>2.50931</v>
      </c>
      <c r="AB110" s="91" t="str">
        <f>IFERROR(SUMIF('1店辅助表'!K:K,B:B,'1店辅助表'!N:N)/SUMIF('1店辅助表'!K:K,B:B,'1店辅助表'!O:O),"-")</f>
        <v>-</v>
      </c>
      <c r="AC110" s="91">
        <f>IFERROR(VLOOKUP($B:$B,'[1]1店'!$B:$AB,27,FALSE),"-")</f>
        <v>0.0470217248189598</v>
      </c>
      <c r="AD110" s="92" t="str">
        <f t="shared" si="40"/>
        <v>-</v>
      </c>
      <c r="AE110" s="91">
        <f>IFERROR(SUMIF('1店辅助表'!T:T,B:B,'1店辅助表'!W:W)/SUMIF('1店辅助表'!T:T,B:B,'1店辅助表'!X:X),"-")</f>
        <v>0.0909407504937459</v>
      </c>
      <c r="AF110" s="91">
        <f>IFERROR(SUMIF('1店辅助表'!AC:AC,B:B,'1店辅助表'!AF:AF)/SUMIF('1店辅助表'!AC:AC,B:B,'1店辅助表'!AG:AG),"-")</f>
        <v>0.0325208657335407</v>
      </c>
      <c r="AG110" s="99">
        <f>IFERROR(AK110/((SUMIF('1店辅助表'!AT:AT,B:B,'1店辅助表'!AU:AU)+M110)/2),"-")</f>
        <v>0</v>
      </c>
      <c r="AH110" s="99">
        <f>IFERROR(AL110/((SUMIF('1店辅助表'!AW:AW,B:B,'1店辅助表'!AX:AX)+M110)/2),"-")</f>
        <v>0</v>
      </c>
      <c r="AI110" s="100" t="str">
        <f>IFERROR((SUMIF('1店辅助表'!AP:AP,B:B,'1店辅助表'!AR:AR)-SUMIF('1店辅助表'!AP:AP,B:B,'1店辅助表'!AR:AR)*0.15-(L110+IFERROR(VLOOKUP(B:B,'1店辅助表'!AZ:BA,2,0),0))*O110-IF(AN:AN="US",6.85,4.9)*(Z110+3.99*O110))/SUMIF('1店辅助表'!AP:AP,B:B,'1店辅助表'!AR:AR),"-")</f>
        <v>-</v>
      </c>
      <c r="AJ110" s="100" t="str">
        <f t="shared" si="41"/>
        <v>-</v>
      </c>
      <c r="AK110" s="101">
        <f t="shared" si="42"/>
        <v>0</v>
      </c>
      <c r="AL110" s="101">
        <f t="shared" si="43"/>
        <v>0</v>
      </c>
      <c r="AM110" s="1" t="str">
        <f>VLOOKUP(B:B,'1店辅助表'!$AZ:$BB,1,FALSE)</f>
        <v>Y1097-BU</v>
      </c>
      <c r="AN110" s="1" t="str">
        <f>VLOOKUP(B:B,'1店辅助表'!AZ:BB,3,FALSE)</f>
        <v>US</v>
      </c>
    </row>
    <row r="111" customHeight="1" spans="1:40">
      <c r="A111" s="58" t="str">
        <f>INDEX('[1]1店'!$A:$A,MATCH(B:B,'[1]1店'!$B:$B,0))</f>
        <v>秀青</v>
      </c>
      <c r="B111" s="43" t="s">
        <v>369</v>
      </c>
      <c r="C111" s="43" t="s">
        <v>370</v>
      </c>
      <c r="D111" s="59">
        <f>VLOOKUP(B:B,'[1]1店'!$B:$L,3,0)</f>
        <v>45082</v>
      </c>
      <c r="E111" s="43" t="s">
        <v>371</v>
      </c>
      <c r="F111" s="43">
        <v>22</v>
      </c>
      <c r="G111" s="43">
        <v>0</v>
      </c>
      <c r="H111" s="43">
        <v>0</v>
      </c>
      <c r="I111" s="43">
        <v>0</v>
      </c>
      <c r="J111" s="43">
        <v>0</v>
      </c>
      <c r="K111" s="63">
        <f t="shared" si="44"/>
        <v>22</v>
      </c>
      <c r="L111" s="64">
        <f>VLOOKUP($B:$B,'[1]1店'!$B:$L,11,0)</f>
        <v>24</v>
      </c>
      <c r="M111" s="44">
        <f t="shared" si="45"/>
        <v>528</v>
      </c>
      <c r="N111" s="186">
        <f>IFERROR(VLOOKUP(B:B,'1店辅助表'!B:C,2,FALSE),0)</f>
        <v>1</v>
      </c>
      <c r="O111" s="186">
        <f>IFERROR(VLOOKUP(B:B,'1店辅助表'!E:F,2,FALSE),0)</f>
        <v>1</v>
      </c>
      <c r="P111" s="186">
        <f>IFERROR(VLOOKUP(B:B,'1店辅助表'!H:I,2,FALSE),0)</f>
        <v>2</v>
      </c>
      <c r="Q111" s="65">
        <f>IFERROR(VLOOKUP($B:$B,'[1]1店'!$B:$N,13,FALSE),0)</f>
        <v>0</v>
      </c>
      <c r="R111" s="79">
        <f t="shared" si="34"/>
        <v>1</v>
      </c>
      <c r="S111" s="80">
        <f t="shared" si="35"/>
        <v>238.965517241379</v>
      </c>
      <c r="T111" s="44">
        <f t="shared" si="36"/>
        <v>7.96551724137931</v>
      </c>
      <c r="U111" s="188">
        <f>IFERROR(VLOOKUP($B:$B,'[1]1店'!$B:$T,19,FALSE),0)</f>
        <v>69</v>
      </c>
      <c r="V111" s="81">
        <f t="shared" si="37"/>
        <v>-61.0344827586207</v>
      </c>
      <c r="W111" s="82" t="str">
        <f t="shared" si="38"/>
        <v>库存过高</v>
      </c>
      <c r="X111" s="83" t="str">
        <f t="shared" si="39"/>
        <v>库存过高</v>
      </c>
      <c r="Y111" s="44">
        <f>IFERROR(SUMIF('1店辅助表'!K:K,B:B,'1店辅助表'!N:N),0)</f>
        <v>0.14606</v>
      </c>
      <c r="Z111" s="44">
        <f>IFERROR(SUMIF('1店辅助表'!T:T,B:B,'1店辅助表'!W:W),0)</f>
        <v>0.33335</v>
      </c>
      <c r="AA111" s="44">
        <f>IFERROR(SUMIF('1店辅助表'!AC:AC,B:B,'1店辅助表'!AF:AF),0)</f>
        <v>1.19039</v>
      </c>
      <c r="AB111" s="91">
        <f>IFERROR(SUMIF('1店辅助表'!K:K,B:B,'1店辅助表'!N:N)/SUMIF('1店辅助表'!K:K,B:B,'1店辅助表'!O:O),"-")</f>
        <v>0.00228361475922452</v>
      </c>
      <c r="AC111" s="91">
        <f>IFERROR(VLOOKUP($B:$B,'[1]1店'!$B:$AB,27,FALSE),"-")</f>
        <v>0.00593745774171738</v>
      </c>
      <c r="AD111" s="92">
        <f t="shared" si="40"/>
        <v>-0.00365384298249286</v>
      </c>
      <c r="AE111" s="91">
        <f>IFERROR(SUMIF('1店辅助表'!T:T,B:B,'1店辅助表'!W:W)/SUMIF('1店辅助表'!T:T,B:B,'1店辅助表'!X:X),"-")</f>
        <v>0.00356371605730169</v>
      </c>
      <c r="AF111" s="91">
        <f>IFERROR(SUMIF('1店辅助表'!AC:AC,B:B,'1店辅助表'!AF:AF)/SUMIF('1店辅助表'!AC:AC,B:B,'1店辅助表'!AG:AG),"-")</f>
        <v>0.0127259995723755</v>
      </c>
      <c r="AG111" s="99">
        <f>IFERROR(AK111/((SUMIF('1店辅助表'!AT:AT,B:B,'1店辅助表'!AU:AU)+M111)/2),"-")</f>
        <v>0.0444444444444444</v>
      </c>
      <c r="AH111" s="99">
        <f>IFERROR(AL111/((SUMIF('1店辅助表'!AW:AW,B:B,'1店辅助表'!AX:AX)+M111)/2),"-")</f>
        <v>0.0434782608695652</v>
      </c>
      <c r="AI111" s="100">
        <f>IFERROR((SUMIF('1店辅助表'!AP:AP,B:B,'1店辅助表'!AR:AR)-SUMIF('1店辅助表'!AP:AP,B:B,'1店辅助表'!AR:AR)*0.15-(L111+IFERROR(VLOOKUP(B:B,'1店辅助表'!AZ:BA,2,0),0))*O111-IF(AN:AN="US",6.85,4.9)*(Z111+3.99*O111))/SUMIF('1店辅助表'!AP:AP,B:B,'1店辅助表'!AR:AR),"-")</f>
        <v>0.378400226403152</v>
      </c>
      <c r="AJ111" s="100">
        <f t="shared" si="41"/>
        <v>0.0164521837566588</v>
      </c>
      <c r="AK111" s="101">
        <f t="shared" si="42"/>
        <v>24</v>
      </c>
      <c r="AL111" s="101">
        <f t="shared" si="43"/>
        <v>24</v>
      </c>
      <c r="AM111" s="1" t="str">
        <f>VLOOKUP(B:B,'1店辅助表'!$AZ:$BB,1,FALSE)</f>
        <v>Y1097-RE</v>
      </c>
      <c r="AN111" s="1" t="str">
        <f>VLOOKUP(B:B,'1店辅助表'!AZ:BB,3,FALSE)</f>
        <v>US</v>
      </c>
    </row>
    <row r="112" customHeight="1" spans="1:40">
      <c r="A112" s="58" t="str">
        <f>INDEX('[1]1店'!$A:$A,MATCH(B:B,'[1]1店'!$B:$B,0))</f>
        <v>秀青</v>
      </c>
      <c r="B112" s="43" t="s">
        <v>372</v>
      </c>
      <c r="C112" s="43" t="s">
        <v>373</v>
      </c>
      <c r="D112" s="59">
        <f>VLOOKUP(B:B,'[1]1店'!$B:$L,3,0)</f>
        <v>45058</v>
      </c>
      <c r="E112" s="43" t="s">
        <v>374</v>
      </c>
      <c r="F112" s="43">
        <v>16</v>
      </c>
      <c r="G112" s="43">
        <v>0</v>
      </c>
      <c r="H112" s="43">
        <v>0</v>
      </c>
      <c r="I112" s="43">
        <v>1</v>
      </c>
      <c r="J112" s="43">
        <v>0</v>
      </c>
      <c r="K112" s="63">
        <f t="shared" si="44"/>
        <v>17</v>
      </c>
      <c r="L112" s="64">
        <f>VLOOKUP($B:$B,'[1]1店'!$B:$L,11,0)</f>
        <v>5</v>
      </c>
      <c r="M112" s="44">
        <f t="shared" si="45"/>
        <v>85</v>
      </c>
      <c r="N112" s="186">
        <f>IFERROR(VLOOKUP(B:B,'1店辅助表'!B:C,2,FALSE),0)</f>
        <v>2</v>
      </c>
      <c r="O112" s="186">
        <f>IFERROR(VLOOKUP(B:B,'1店辅助表'!E:F,2,FALSE),0)</f>
        <v>2</v>
      </c>
      <c r="P112" s="186">
        <f>IFERROR(VLOOKUP(B:B,'1店辅助表'!H:I,2,FALSE),0)</f>
        <v>2</v>
      </c>
      <c r="Q112" s="65">
        <f>IFERROR(VLOOKUP($B:$B,'[1]1店'!$B:$N,13,FALSE),0)</f>
        <v>0</v>
      </c>
      <c r="R112" s="79">
        <f t="shared" si="34"/>
        <v>2</v>
      </c>
      <c r="S112" s="80">
        <f t="shared" si="35"/>
        <v>105</v>
      </c>
      <c r="T112" s="44">
        <f t="shared" si="36"/>
        <v>3.5</v>
      </c>
      <c r="U112" s="188" t="str">
        <f>IFERROR(VLOOKUP($B:$B,'[1]1店'!$B:$T,19,FALSE),0)</f>
        <v>-</v>
      </c>
      <c r="V112" s="81" t="str">
        <f t="shared" si="37"/>
        <v>-</v>
      </c>
      <c r="W112" s="82" t="str">
        <f t="shared" si="38"/>
        <v>库存过高</v>
      </c>
      <c r="X112" s="83" t="str">
        <f t="shared" si="39"/>
        <v>库存过高</v>
      </c>
      <c r="Y112" s="44">
        <f>IFERROR(SUMIF('1店辅助表'!K:K,B:B,'1店辅助表'!N:N),0)</f>
        <v>0</v>
      </c>
      <c r="Z112" s="44">
        <f>IFERROR(SUMIF('1店辅助表'!T:T,B:B,'1店辅助表'!W:W),0)</f>
        <v>0</v>
      </c>
      <c r="AA112" s="44">
        <f>IFERROR(SUMIF('1店辅助表'!AC:AC,B:B,'1店辅助表'!AF:AF),0)</f>
        <v>0</v>
      </c>
      <c r="AB112" s="91" t="str">
        <f>IFERROR(SUMIF('1店辅助表'!K:K,B:B,'1店辅助表'!N:N)/SUMIF('1店辅助表'!K:K,B:B,'1店辅助表'!O:O),"-")</f>
        <v>-</v>
      </c>
      <c r="AC112" s="91" t="str">
        <f>IFERROR(VLOOKUP($B:$B,'[1]1店'!$B:$AB,27,FALSE),"-")</f>
        <v>-</v>
      </c>
      <c r="AD112" s="92" t="str">
        <f t="shared" si="40"/>
        <v>-</v>
      </c>
      <c r="AE112" s="91" t="str">
        <f>IFERROR(SUMIF('1店辅助表'!T:T,B:B,'1店辅助表'!W:W)/SUMIF('1店辅助表'!T:T,B:B,'1店辅助表'!X:X),"-")</f>
        <v>-</v>
      </c>
      <c r="AF112" s="91" t="str">
        <f>IFERROR(SUMIF('1店辅助表'!AC:AC,B:B,'1店辅助表'!AF:AF)/SUMIF('1店辅助表'!AC:AC,B:B,'1店辅助表'!AG:AG),"-")</f>
        <v>-</v>
      </c>
      <c r="AG112" s="99">
        <f>IFERROR(AK112/((SUMIF('1店辅助表'!AT:AT,B:B,'1店辅助表'!AU:AU)+M112)/2),"-")</f>
        <v>0.114285714285714</v>
      </c>
      <c r="AH112" s="99">
        <f>IFERROR(AL112/((SUMIF('1店辅助表'!AW:AW,B:B,'1店辅助表'!AX:AX)+M112)/2),"-")</f>
        <v>0.114285714285714</v>
      </c>
      <c r="AI112" s="100">
        <f>IFERROR((SUMIF('1店辅助表'!AP:AP,B:B,'1店辅助表'!AR:AR)-SUMIF('1店辅助表'!AP:AP,B:B,'1店辅助表'!AR:AR)*0.15-(L112+IFERROR(VLOOKUP(B:B,'1店辅助表'!AZ:BA,2,0),0))*O112-IF(AN:AN="US",6.85,4.9)*(Z112+3.99*O112))/SUMIF('1店辅助表'!AP:AP,B:B,'1店辅助表'!AR:AR),"-")</f>
        <v>0.222673871536501</v>
      </c>
      <c r="AJ112" s="100">
        <f t="shared" si="41"/>
        <v>0.0254484424613144</v>
      </c>
      <c r="AK112" s="101">
        <f t="shared" si="42"/>
        <v>10</v>
      </c>
      <c r="AL112" s="101">
        <f t="shared" si="43"/>
        <v>10</v>
      </c>
      <c r="AM112" s="1" t="str">
        <f>VLOOKUP(B:B,'1店辅助表'!$AZ:$BB,1,FALSE)</f>
        <v>Y1098</v>
      </c>
      <c r="AN112" s="1" t="str">
        <f>VLOOKUP(B:B,'1店辅助表'!AZ:BB,3,FALSE)</f>
        <v>US</v>
      </c>
    </row>
    <row r="113" customHeight="1" spans="1:40">
      <c r="A113" s="58" t="str">
        <f>INDEX('[1]1店'!$A:$A,MATCH(B:B,'[1]1店'!$B:$B,0))</f>
        <v>秀青</v>
      </c>
      <c r="B113" s="43" t="s">
        <v>375</v>
      </c>
      <c r="C113" s="43" t="s">
        <v>376</v>
      </c>
      <c r="D113" s="59">
        <f>VLOOKUP(B:B,'[1]1店'!$B:$L,3,0)</f>
        <v>45061</v>
      </c>
      <c r="E113" s="43" t="s">
        <v>377</v>
      </c>
      <c r="F113" s="43">
        <v>21</v>
      </c>
      <c r="G113" s="43">
        <v>5</v>
      </c>
      <c r="H113" s="43">
        <v>4</v>
      </c>
      <c r="I113" s="43">
        <v>0</v>
      </c>
      <c r="J113" s="43">
        <v>0</v>
      </c>
      <c r="K113" s="63">
        <f t="shared" si="44"/>
        <v>30</v>
      </c>
      <c r="L113" s="64">
        <f>VLOOKUP($B:$B,'[1]1店'!$B:$L,11,0)</f>
        <v>13</v>
      </c>
      <c r="M113" s="44">
        <f t="shared" si="45"/>
        <v>390</v>
      </c>
      <c r="N113" s="186">
        <f>IFERROR(VLOOKUP(B:B,'1店辅助表'!B:C,2,FALSE),0)</f>
        <v>5</v>
      </c>
      <c r="O113" s="186">
        <f>IFERROR(VLOOKUP(B:B,'1店辅助表'!E:F,2,FALSE),0)</f>
        <v>7</v>
      </c>
      <c r="P113" s="186">
        <f>IFERROR(VLOOKUP(B:B,'1店辅助表'!H:I,2,FALSE),0)</f>
        <v>12</v>
      </c>
      <c r="Q113" s="65">
        <f>IFERROR(VLOOKUP($B:$B,'[1]1店'!$B:$N,13,FALSE),0)</f>
        <v>2</v>
      </c>
      <c r="R113" s="79">
        <f t="shared" si="34"/>
        <v>3</v>
      </c>
      <c r="S113" s="80">
        <f t="shared" si="35"/>
        <v>56.9277108433735</v>
      </c>
      <c r="T113" s="44">
        <f t="shared" si="36"/>
        <v>1.89759036144578</v>
      </c>
      <c r="U113" s="188">
        <f>IFERROR(VLOOKUP($B:$B,'[1]1店'!$B:$T,19,FALSE),0)</f>
        <v>3.80829015544041</v>
      </c>
      <c r="V113" s="81">
        <f t="shared" si="37"/>
        <v>-1.91069979399463</v>
      </c>
      <c r="W113" s="82" t="str">
        <f t="shared" si="38"/>
        <v>正常</v>
      </c>
      <c r="X113" s="83" t="str">
        <f t="shared" si="39"/>
        <v>库存过高</v>
      </c>
      <c r="Y113" s="44">
        <f>IFERROR(SUMIF('1店辅助表'!K:K,B:B,'1店辅助表'!N:N),0)</f>
        <v>3.73</v>
      </c>
      <c r="Z113" s="44">
        <f>IFERROR(SUMIF('1店辅助表'!T:T,B:B,'1店辅助表'!W:W),0)</f>
        <v>9.56</v>
      </c>
      <c r="AA113" s="44">
        <f>IFERROR(SUMIF('1店辅助表'!AC:AC,B:B,'1店辅助表'!AF:AF),0)</f>
        <v>14.72</v>
      </c>
      <c r="AB113" s="91">
        <f>IFERROR(SUMIF('1店辅助表'!K:K,B:B,'1店辅助表'!N:N)/SUMIF('1店辅助表'!K:K,B:B,'1店辅助表'!O:O),"-")</f>
        <v>0.058317698561601</v>
      </c>
      <c r="AC113" s="91">
        <f>IFERROR(VLOOKUP($B:$B,'[1]1店'!$B:$AB,27,FALSE),"-")</f>
        <v>0.307066916823014</v>
      </c>
      <c r="AD113" s="92">
        <f t="shared" si="40"/>
        <v>-0.248749218261413</v>
      </c>
      <c r="AE113" s="91">
        <f>IFERROR(SUMIF('1店辅助表'!T:T,B:B,'1店辅助表'!W:W)/SUMIF('1店辅助表'!T:T,B:B,'1店辅助表'!X:X),"-")</f>
        <v>0.119574734208881</v>
      </c>
      <c r="AF113" s="91">
        <f>IFERROR(SUMIF('1店辅助表'!AC:AC,B:B,'1店辅助表'!AF:AF)/SUMIF('1店辅助表'!AC:AC,B:B,'1店辅助表'!AG:AG),"-")</f>
        <v>0.153429226599958</v>
      </c>
      <c r="AG113" s="99">
        <f>IFERROR(AK113/((SUMIF('1店辅助表'!AT:AT,B:B,'1店辅助表'!AU:AU)+M113)/2),"-")</f>
        <v>0.153846153846154</v>
      </c>
      <c r="AH113" s="99">
        <f>IFERROR(AL113/((SUMIF('1店辅助表'!AW:AW,B:B,'1店辅助表'!AX:AX)+M113)/2),"-")</f>
        <v>0.194444444444444</v>
      </c>
      <c r="AI113" s="100">
        <f>IFERROR((SUMIF('1店辅助表'!AP:AP,B:B,'1店辅助表'!AR:AR)-SUMIF('1店辅助表'!AP:AP,B:B,'1店辅助表'!AR:AR)*0.15-(L113+IFERROR(VLOOKUP(B:B,'1店辅助表'!AZ:BA,2,0),0))*O113-IF(AN:AN="US",6.85,4.9)*(Z113+3.99*O113))/SUMIF('1店辅助表'!AP:AP,B:B,'1店辅助表'!AR:AR),"-")</f>
        <v>0.247825171344335</v>
      </c>
      <c r="AJ113" s="100">
        <f t="shared" si="41"/>
        <v>0.0481882277613985</v>
      </c>
      <c r="AK113" s="101">
        <f t="shared" si="42"/>
        <v>65</v>
      </c>
      <c r="AL113" s="101">
        <f t="shared" si="43"/>
        <v>91</v>
      </c>
      <c r="AM113" s="1" t="str">
        <f>VLOOKUP(B:B,'1店辅助表'!$AZ:$BB,1,FALSE)</f>
        <v>Y1038-BLACK</v>
      </c>
      <c r="AN113" s="1" t="str">
        <f>VLOOKUP(B:B,'1店辅助表'!AZ:BB,3,FALSE)</f>
        <v>CA</v>
      </c>
    </row>
    <row r="114" customHeight="1" spans="1:40">
      <c r="A114" s="58" t="str">
        <f>INDEX('[1]1店'!$A:$A,MATCH(B:B,'[1]1店'!$B:$B,0))</f>
        <v>秀青</v>
      </c>
      <c r="B114" s="43" t="s">
        <v>378</v>
      </c>
      <c r="C114" s="43" t="s">
        <v>379</v>
      </c>
      <c r="D114" s="59">
        <f>VLOOKUP(B:B,'[1]1店'!$B:$L,3,0)</f>
        <v>45061</v>
      </c>
      <c r="E114" s="43" t="s">
        <v>380</v>
      </c>
      <c r="F114" s="43">
        <v>39</v>
      </c>
      <c r="G114" s="43">
        <v>2</v>
      </c>
      <c r="H114" s="43">
        <v>0</v>
      </c>
      <c r="I114" s="43">
        <v>0</v>
      </c>
      <c r="J114" s="43">
        <v>0</v>
      </c>
      <c r="K114" s="63">
        <f t="shared" si="44"/>
        <v>41</v>
      </c>
      <c r="L114" s="64">
        <f>VLOOKUP($B:$B,'[1]1店'!$B:$L,11,0)</f>
        <v>13</v>
      </c>
      <c r="M114" s="44">
        <f t="shared" si="45"/>
        <v>533</v>
      </c>
      <c r="N114" s="186">
        <f>IFERROR(VLOOKUP(B:B,'1店辅助表'!B:C,2,FALSE),0)</f>
        <v>0</v>
      </c>
      <c r="O114" s="186">
        <f>IFERROR(VLOOKUP(B:B,'1店辅助表'!E:F,2,FALSE),0)</f>
        <v>0</v>
      </c>
      <c r="P114" s="186">
        <f>IFERROR(VLOOKUP(B:B,'1店辅助表'!H:I,2,FALSE),0)</f>
        <v>1</v>
      </c>
      <c r="Q114" s="65">
        <f>IFERROR(VLOOKUP($B:$B,'[1]1店'!$B:$N,13,FALSE),0)</f>
        <v>0</v>
      </c>
      <c r="R114" s="79">
        <f t="shared" si="34"/>
        <v>0</v>
      </c>
      <c r="S114" s="80">
        <f t="shared" si="35"/>
        <v>3690</v>
      </c>
      <c r="T114" s="44">
        <f t="shared" si="36"/>
        <v>123</v>
      </c>
      <c r="U114" s="188">
        <f>IFERROR(VLOOKUP($B:$B,'[1]1店'!$B:$T,19,FALSE),0)</f>
        <v>30.75</v>
      </c>
      <c r="V114" s="81">
        <f t="shared" si="37"/>
        <v>92.25</v>
      </c>
      <c r="W114" s="82" t="str">
        <f t="shared" si="38"/>
        <v>有库存无销量</v>
      </c>
      <c r="X114" s="83" t="str">
        <f t="shared" si="39"/>
        <v>库存过高</v>
      </c>
      <c r="Y114" s="44">
        <f>IFERROR(SUMIF('1店辅助表'!K:K,B:B,'1店辅助表'!N:N),0)</f>
        <v>0</v>
      </c>
      <c r="Z114" s="44">
        <f>IFERROR(SUMIF('1店辅助表'!T:T,B:B,'1店辅助表'!W:W),0)</f>
        <v>0</v>
      </c>
      <c r="AA114" s="44">
        <f>IFERROR(SUMIF('1店辅助表'!AC:AC,B:B,'1店辅助表'!AF:AF),0)</f>
        <v>0</v>
      </c>
      <c r="AB114" s="91" t="str">
        <f>IFERROR(SUMIF('1店辅助表'!K:K,B:B,'1店辅助表'!N:N)/SUMIF('1店辅助表'!K:K,B:B,'1店辅助表'!O:O),"-")</f>
        <v>-</v>
      </c>
      <c r="AC114" s="91" t="str">
        <f>IFERROR(VLOOKUP($B:$B,'[1]1店'!$B:$AB,27,FALSE),"-")</f>
        <v>-</v>
      </c>
      <c r="AD114" s="92" t="str">
        <f t="shared" si="40"/>
        <v>-</v>
      </c>
      <c r="AE114" s="91" t="str">
        <f>IFERROR(SUMIF('1店辅助表'!T:T,B:B,'1店辅助表'!W:W)/SUMIF('1店辅助表'!T:T,B:B,'1店辅助表'!X:X),"-")</f>
        <v>-</v>
      </c>
      <c r="AF114" s="91" t="str">
        <f>IFERROR(SUMIF('1店辅助表'!AC:AC,B:B,'1店辅助表'!AF:AF)/SUMIF('1店辅助表'!AC:AC,B:B,'1店辅助表'!AG:AG),"-")</f>
        <v>-</v>
      </c>
      <c r="AG114" s="99">
        <f>IFERROR(AK114/((SUMIF('1店辅助表'!AT:AT,B:B,'1店辅助表'!AU:AU)+M114)/2),"-")</f>
        <v>0</v>
      </c>
      <c r="AH114" s="99">
        <f>IFERROR(AL114/((SUMIF('1店辅助表'!AW:AW,B:B,'1店辅助表'!AX:AX)+M114)/2),"-")</f>
        <v>0</v>
      </c>
      <c r="AI114" s="100" t="str">
        <f>IFERROR((SUMIF('1店辅助表'!AP:AP,B:B,'1店辅助表'!AR:AR)-SUMIF('1店辅助表'!AP:AP,B:B,'1店辅助表'!AR:AR)*0.15-(L114+IFERROR(VLOOKUP(B:B,'1店辅助表'!AZ:BA,2,0),0))*O114-IF(AN:AN="US",6.85,4.9)*(Z114+3.99*O114))/SUMIF('1店辅助表'!AP:AP,B:B,'1店辅助表'!AR:AR),"-")</f>
        <v>-</v>
      </c>
      <c r="AJ114" s="100" t="str">
        <f t="shared" si="41"/>
        <v>-</v>
      </c>
      <c r="AK114" s="101">
        <f t="shared" si="42"/>
        <v>0</v>
      </c>
      <c r="AL114" s="101">
        <f t="shared" si="43"/>
        <v>0</v>
      </c>
      <c r="AM114" s="1" t="str">
        <f>VLOOKUP(B:B,'1店辅助表'!$AZ:$BB,1,FALSE)</f>
        <v>Y1038-BLUE</v>
      </c>
      <c r="AN114" s="1" t="str">
        <f>VLOOKUP(B:B,'1店辅助表'!AZ:BB,3,FALSE)</f>
        <v>CA</v>
      </c>
    </row>
    <row r="115" customHeight="1" spans="1:40">
      <c r="A115" s="58" t="str">
        <f>INDEX('[1]1店'!$A:$A,MATCH(B:B,'[1]1店'!$B:$B,0))</f>
        <v>秀青</v>
      </c>
      <c r="B115" s="43" t="s">
        <v>381</v>
      </c>
      <c r="C115" s="43" t="s">
        <v>382</v>
      </c>
      <c r="D115" s="59">
        <f>VLOOKUP(B:B,'[1]1店'!$B:$L,3,0)</f>
        <v>45061</v>
      </c>
      <c r="E115" s="43" t="s">
        <v>383</v>
      </c>
      <c r="F115" s="43">
        <v>14</v>
      </c>
      <c r="G115" s="43">
        <v>1</v>
      </c>
      <c r="H115" s="43">
        <v>4</v>
      </c>
      <c r="I115" s="43">
        <v>1</v>
      </c>
      <c r="J115" s="43">
        <v>0</v>
      </c>
      <c r="K115" s="63">
        <f t="shared" si="44"/>
        <v>20</v>
      </c>
      <c r="L115" s="64">
        <f>VLOOKUP($B:$B,'[1]1店'!$B:$L,11,0)</f>
        <v>13</v>
      </c>
      <c r="M115" s="44">
        <f t="shared" si="45"/>
        <v>260</v>
      </c>
      <c r="N115" s="186">
        <f>IFERROR(VLOOKUP(B:B,'1店辅助表'!B:C,2,FALSE),0)</f>
        <v>2</v>
      </c>
      <c r="O115" s="186">
        <f>IFERROR(VLOOKUP(B:B,'1店辅助表'!E:F,2,FALSE),0)</f>
        <v>9</v>
      </c>
      <c r="P115" s="186">
        <f>IFERROR(VLOOKUP(B:B,'1店辅助表'!H:I,2,FALSE),0)</f>
        <v>16</v>
      </c>
      <c r="Q115" s="65">
        <f>IFERROR(VLOOKUP($B:$B,'[1]1店'!$B:$N,13,FALSE),0)</f>
        <v>7</v>
      </c>
      <c r="R115" s="79">
        <f t="shared" si="34"/>
        <v>-5</v>
      </c>
      <c r="S115" s="80">
        <f t="shared" si="35"/>
        <v>42.2818791946309</v>
      </c>
      <c r="T115" s="44">
        <f t="shared" si="36"/>
        <v>1.40939597315436</v>
      </c>
      <c r="U115" s="188">
        <f>IFERROR(VLOOKUP($B:$B,'[1]1店'!$B:$T,19,FALSE),0)</f>
        <v>0.77027027027027</v>
      </c>
      <c r="V115" s="81">
        <f t="shared" si="37"/>
        <v>0.63912570288409</v>
      </c>
      <c r="W115" s="82" t="str">
        <f t="shared" si="38"/>
        <v>库存过高</v>
      </c>
      <c r="X115" s="83" t="str">
        <f t="shared" si="39"/>
        <v>正常</v>
      </c>
      <c r="Y115" s="44">
        <f>IFERROR(SUMIF('1店辅助表'!K:K,B:B,'1店辅助表'!N:N),0)</f>
        <v>3.59</v>
      </c>
      <c r="Z115" s="44">
        <f>IFERROR(SUMIF('1店辅助表'!T:T,B:B,'1店辅助表'!W:W),0)</f>
        <v>8.78</v>
      </c>
      <c r="AA115" s="44">
        <f>IFERROR(SUMIF('1店辅助表'!AC:AC,B:B,'1店辅助表'!AF:AF),0)</f>
        <v>14.67</v>
      </c>
      <c r="AB115" s="91">
        <f>IFERROR(SUMIF('1店辅助表'!K:K,B:B,'1店辅助表'!N:N)/SUMIF('1店辅助表'!K:K,B:B,'1店辅助表'!O:O),"-")</f>
        <v>0.105650382577987</v>
      </c>
      <c r="AC115" s="91">
        <f>IFERROR(VLOOKUP($B:$B,'[1]1店'!$B:$AB,27,FALSE),"-")</f>
        <v>0.264861683343143</v>
      </c>
      <c r="AD115" s="92">
        <f t="shared" si="40"/>
        <v>-0.159211300765156</v>
      </c>
      <c r="AE115" s="91">
        <f>IFERROR(SUMIF('1店辅助表'!T:T,B:B,'1店辅助表'!W:W)/SUMIF('1店辅助表'!T:T,B:B,'1店辅助表'!X:X),"-")</f>
        <v>0.1722581910928</v>
      </c>
      <c r="AF115" s="91">
        <f>IFERROR(SUMIF('1店辅助表'!AC:AC,B:B,'1店辅助表'!AF:AF)/SUMIF('1店辅助表'!AC:AC,B:B,'1店辅助表'!AG:AG),"-")</f>
        <v>0.123349869671235</v>
      </c>
      <c r="AG115" s="99">
        <f>IFERROR(AK115/((SUMIF('1店辅助表'!AT:AT,B:B,'1店辅助表'!AU:AU)+M115)/2),"-")</f>
        <v>0.102564102564103</v>
      </c>
      <c r="AH115" s="99">
        <f>IFERROR(AL115/((SUMIF('1店辅助表'!AW:AW,B:B,'1店辅助表'!AX:AX)+M115)/2),"-")</f>
        <v>0.36</v>
      </c>
      <c r="AI115" s="100">
        <f>IFERROR((SUMIF('1店辅助表'!AP:AP,B:B,'1店辅助表'!AR:AR)-SUMIF('1店辅助表'!AP:AP,B:B,'1店辅助表'!AR:AR)*0.15-(L115+IFERROR(VLOOKUP(B:B,'1店辅助表'!AZ:BA,2,0),0))*O115-IF(AN:AN="US",6.85,4.9)*(Z115+3.99*O115))/SUMIF('1店辅助表'!AP:AP,B:B,'1店辅助表'!AR:AR),"-")</f>
        <v>0.301691604638716</v>
      </c>
      <c r="AJ115" s="100">
        <f t="shared" si="41"/>
        <v>0.108608977669938</v>
      </c>
      <c r="AK115" s="101">
        <f t="shared" si="42"/>
        <v>26</v>
      </c>
      <c r="AL115" s="101">
        <f t="shared" si="43"/>
        <v>117</v>
      </c>
      <c r="AM115" s="1" t="str">
        <f>VLOOKUP(B:B,'1店辅助表'!$AZ:$BB,1,FALSE)</f>
        <v>Y1038-SILVER</v>
      </c>
      <c r="AN115" s="1" t="str">
        <f>VLOOKUP(B:B,'1店辅助表'!AZ:BB,3,FALSE)</f>
        <v>CA</v>
      </c>
    </row>
    <row r="116" customHeight="1" spans="1:40">
      <c r="A116" s="58" t="str">
        <f>INDEX('[1]1店'!$A:$A,MATCH(B:B,'[1]1店'!$B:$B,0))</f>
        <v>秀青</v>
      </c>
      <c r="B116" s="43" t="s">
        <v>384</v>
      </c>
      <c r="C116" s="43" t="s">
        <v>385</v>
      </c>
      <c r="D116" s="59">
        <f>VLOOKUP(B:B,'[1]1店'!$B:$L,3,0)</f>
        <v>45119</v>
      </c>
      <c r="E116" s="43" t="s">
        <v>386</v>
      </c>
      <c r="F116" s="43">
        <v>27</v>
      </c>
      <c r="G116" s="43">
        <v>0</v>
      </c>
      <c r="H116" s="43">
        <v>0</v>
      </c>
      <c r="I116" s="43">
        <v>0</v>
      </c>
      <c r="J116" s="43">
        <v>0</v>
      </c>
      <c r="K116" s="63">
        <f t="shared" si="44"/>
        <v>27</v>
      </c>
      <c r="L116" s="64">
        <f>VLOOKUP($B:$B,'[1]1店'!$B:$L,11,0)</f>
        <v>13.188</v>
      </c>
      <c r="M116" s="44">
        <f t="shared" si="45"/>
        <v>356.076</v>
      </c>
      <c r="N116" s="186">
        <f>IFERROR(VLOOKUP(B:B,'1店辅助表'!B:C,2,FALSE),0)</f>
        <v>1</v>
      </c>
      <c r="O116" s="186">
        <f>IFERROR(VLOOKUP(B:B,'1店辅助表'!E:F,2,FALSE),0)</f>
        <v>1</v>
      </c>
      <c r="P116" s="186">
        <f>IFERROR(VLOOKUP(B:B,'1店辅助表'!H:I,2,FALSE),0)</f>
        <v>1</v>
      </c>
      <c r="Q116" s="65">
        <f>IFERROR(VLOOKUP($B:$B,'[1]1店'!$B:$N,13,FALSE),0)</f>
        <v>0</v>
      </c>
      <c r="R116" s="79">
        <f t="shared" si="34"/>
        <v>1</v>
      </c>
      <c r="S116" s="80">
        <f t="shared" si="35"/>
        <v>333.529411764706</v>
      </c>
      <c r="T116" s="44">
        <f t="shared" si="36"/>
        <v>11.1176470588235</v>
      </c>
      <c r="U116" s="188">
        <f>IFERROR(VLOOKUP($B:$B,'[1]1店'!$B:$T,19,FALSE),0)</f>
        <v>84</v>
      </c>
      <c r="V116" s="81">
        <f t="shared" si="37"/>
        <v>-72.8823529411765</v>
      </c>
      <c r="W116" s="82" t="str">
        <f t="shared" si="38"/>
        <v>库存过高</v>
      </c>
      <c r="X116" s="83" t="str">
        <f t="shared" si="39"/>
        <v>库存过高</v>
      </c>
      <c r="Y116" s="44">
        <f>IFERROR(SUMIF('1店辅助表'!K:K,B:B,'1店辅助表'!N:N),0)</f>
        <v>0</v>
      </c>
      <c r="Z116" s="44">
        <f>IFERROR(SUMIF('1店辅助表'!T:T,B:B,'1店辅助表'!W:W),0)</f>
        <v>0</v>
      </c>
      <c r="AA116" s="44">
        <f>IFERROR(SUMIF('1店辅助表'!AC:AC,B:B,'1店辅助表'!AF:AF),0)</f>
        <v>0</v>
      </c>
      <c r="AB116" s="91" t="str">
        <f>IFERROR(SUMIF('1店辅助表'!K:K,B:B,'1店辅助表'!N:N)/SUMIF('1店辅助表'!K:K,B:B,'1店辅助表'!O:O),"-")</f>
        <v>-</v>
      </c>
      <c r="AC116" s="91" t="str">
        <f>IFERROR(VLOOKUP($B:$B,'[1]1店'!$B:$AB,27,FALSE),"-")</f>
        <v>-</v>
      </c>
      <c r="AD116" s="92" t="str">
        <f t="shared" si="40"/>
        <v>-</v>
      </c>
      <c r="AE116" s="91" t="str">
        <f>IFERROR(SUMIF('1店辅助表'!T:T,B:B,'1店辅助表'!W:W)/SUMIF('1店辅助表'!T:T,B:B,'1店辅助表'!X:X),"-")</f>
        <v>-</v>
      </c>
      <c r="AF116" s="91" t="str">
        <f>IFERROR(SUMIF('1店辅助表'!AC:AC,B:B,'1店辅助表'!AF:AF)/SUMIF('1店辅助表'!AC:AC,B:B,'1店辅助表'!AG:AG),"-")</f>
        <v>-</v>
      </c>
      <c r="AG116" s="99">
        <f>IFERROR(AK116/((SUMIF('1店辅助表'!AT:AT,B:B,'1店辅助表'!AU:AU)+M116)/2),"-")</f>
        <v>0.0363636363636364</v>
      </c>
      <c r="AH116" s="99">
        <f>IFERROR(AL116/((SUMIF('1店辅助表'!AW:AW,B:B,'1店辅助表'!AX:AX)+M116)/2),"-")</f>
        <v>0.0363636363636364</v>
      </c>
      <c r="AI116" s="100">
        <f>IFERROR((SUMIF('1店辅助表'!AP:AP,B:B,'1店辅助表'!AR:AR)-SUMIF('1店辅助表'!AP:AP,B:B,'1店辅助表'!AR:AR)*0.15-(L116+IFERROR(VLOOKUP(B:B,'1店辅助表'!AZ:BA,2,0),0))*O116-IF(AN:AN="US",6.85,4.9)*(Z116+3.99*O116))/SUMIF('1店辅助表'!AP:AP,B:B,'1店辅助表'!AR:AR),"-")</f>
        <v>0.350654646791029</v>
      </c>
      <c r="AJ116" s="100">
        <f t="shared" si="41"/>
        <v>0.0127510780651283</v>
      </c>
      <c r="AK116" s="101">
        <f t="shared" si="42"/>
        <v>13.188</v>
      </c>
      <c r="AL116" s="101">
        <f t="shared" si="43"/>
        <v>13.188</v>
      </c>
      <c r="AM116" s="1" t="str">
        <f>VLOOKUP(B:B,'1店辅助表'!$AZ:$BB,1,FALSE)</f>
        <v>Y1102-PU</v>
      </c>
      <c r="AN116" s="1" t="str">
        <f>VLOOKUP(B:B,'1店辅助表'!AZ:BB,3,FALSE)</f>
        <v>CA</v>
      </c>
    </row>
    <row r="117" customHeight="1" spans="1:40">
      <c r="A117" s="58" t="str">
        <f>INDEX('[1]1店'!$A:$A,MATCH(B:B,'[1]1店'!$B:$B,0))</f>
        <v>秀青</v>
      </c>
      <c r="B117" s="43" t="s">
        <v>387</v>
      </c>
      <c r="C117" s="43" t="s">
        <v>388</v>
      </c>
      <c r="D117" s="59">
        <f>VLOOKUP(B:B,'[1]1店'!$B:$L,3,0)</f>
        <v>45119</v>
      </c>
      <c r="E117" s="43" t="s">
        <v>389</v>
      </c>
      <c r="F117" s="43">
        <v>22</v>
      </c>
      <c r="G117" s="43">
        <v>0</v>
      </c>
      <c r="H117" s="43">
        <v>0</v>
      </c>
      <c r="I117" s="43">
        <v>0</v>
      </c>
      <c r="J117" s="43">
        <v>0</v>
      </c>
      <c r="K117" s="63">
        <f t="shared" si="44"/>
        <v>22</v>
      </c>
      <c r="L117" s="64">
        <f>VLOOKUP($B:$B,'[1]1店'!$B:$L,11,0)</f>
        <v>13.188</v>
      </c>
      <c r="M117" s="44">
        <f t="shared" si="45"/>
        <v>290.136</v>
      </c>
      <c r="N117" s="186">
        <f>IFERROR(VLOOKUP(B:B,'1店辅助表'!B:C,2,FALSE),0)</f>
        <v>1</v>
      </c>
      <c r="O117" s="186">
        <f>IFERROR(VLOOKUP(B:B,'1店辅助表'!E:F,2,FALSE),0)</f>
        <v>2</v>
      </c>
      <c r="P117" s="186">
        <f>IFERROR(VLOOKUP(B:B,'1店辅助表'!H:I,2,FALSE),0)</f>
        <v>3</v>
      </c>
      <c r="Q117" s="65">
        <f>IFERROR(VLOOKUP($B:$B,'[1]1店'!$B:$N,13,FALSE),0)</f>
        <v>0</v>
      </c>
      <c r="R117" s="79">
        <f t="shared" ref="R117:R124" si="46">N117-Q117</f>
        <v>1</v>
      </c>
      <c r="S117" s="80">
        <f t="shared" ref="S117:S124" si="47">IFERROR(K117/((N117/7+O117/15+P117/30)/3),"-")</f>
        <v>175.443037974684</v>
      </c>
      <c r="T117" s="44">
        <f t="shared" ref="T117:T124" si="48">IFERROR(S117/30,"-")</f>
        <v>5.84810126582278</v>
      </c>
      <c r="U117" s="188">
        <f>IFERROR(VLOOKUP($B:$B,'[1]1店'!$B:$T,19,FALSE),0)</f>
        <v>9.85714285714286</v>
      </c>
      <c r="V117" s="81">
        <f t="shared" ref="V117:V124" si="49">IFERROR(T117-U117,"-")</f>
        <v>-4.00904159132008</v>
      </c>
      <c r="W117" s="82" t="str">
        <f t="shared" si="38"/>
        <v>库存过高</v>
      </c>
      <c r="X117" s="83" t="str">
        <f t="shared" si="39"/>
        <v>库存过高</v>
      </c>
      <c r="Y117" s="44">
        <f>IFERROR(SUMIF('1店辅助表'!K:K,B:B,'1店辅助表'!N:N),0)</f>
        <v>0</v>
      </c>
      <c r="Z117" s="44">
        <f>IFERROR(SUMIF('1店辅助表'!T:T,B:B,'1店辅助表'!W:W),0)</f>
        <v>0</v>
      </c>
      <c r="AA117" s="44">
        <f>IFERROR(SUMIF('1店辅助表'!AC:AC,B:B,'1店辅助表'!AF:AF),0)</f>
        <v>0</v>
      </c>
      <c r="AB117" s="91" t="str">
        <f>IFERROR(SUMIF('1店辅助表'!K:K,B:B,'1店辅助表'!N:N)/SUMIF('1店辅助表'!K:K,B:B,'1店辅助表'!O:O),"-")</f>
        <v>-</v>
      </c>
      <c r="AC117" s="91" t="str">
        <f>IFERROR(VLOOKUP($B:$B,'[1]1店'!$B:$AB,27,FALSE),"-")</f>
        <v>-</v>
      </c>
      <c r="AD117" s="92" t="str">
        <f t="shared" ref="AD117:AD124" si="50">IFERROR(AB117-AC117,"-")</f>
        <v>-</v>
      </c>
      <c r="AE117" s="91" t="str">
        <f>IFERROR(SUMIF('1店辅助表'!T:T,B:B,'1店辅助表'!W:W)/SUMIF('1店辅助表'!T:T,B:B,'1店辅助表'!X:X),"-")</f>
        <v>-</v>
      </c>
      <c r="AF117" s="91" t="str">
        <f>IFERROR(SUMIF('1店辅助表'!AC:AC,B:B,'1店辅助表'!AF:AF)/SUMIF('1店辅助表'!AC:AC,B:B,'1店辅助表'!AG:AG),"-")</f>
        <v>-</v>
      </c>
      <c r="AG117" s="99">
        <f>IFERROR(AK117/((SUMIF('1店辅助表'!AT:AT,B:B,'1店辅助表'!AU:AU)+M117)/2),"-")</f>
        <v>0.0444444444444444</v>
      </c>
      <c r="AH117" s="99">
        <f>IFERROR(AL117/((SUMIF('1店辅助表'!AW:AW,B:B,'1店辅助表'!AX:AX)+M117)/2),"-")</f>
        <v>0.0851063829787234</v>
      </c>
      <c r="AI117" s="100">
        <f>IFERROR((SUMIF('1店辅助表'!AP:AP,B:B,'1店辅助表'!AR:AR)-SUMIF('1店辅助表'!AP:AP,B:B,'1店辅助表'!AR:AR)*0.15-(L117+IFERROR(VLOOKUP(B:B,'1店辅助表'!AZ:BA,2,0),0))*O117-IF(AN:AN="US",6.85,4.9)*(Z117+3.99*O117))/SUMIF('1店辅助表'!AP:AP,B:B,'1店辅助表'!AR:AR),"-")</f>
        <v>0.350654646791029</v>
      </c>
      <c r="AJ117" s="100">
        <f t="shared" ref="AJ117:AJ124" si="51">IFERROR(AH117*AI117,"-")</f>
        <v>0.0298429486630663</v>
      </c>
      <c r="AK117" s="101">
        <f t="shared" ref="AK117:AK124" si="52">$N117*$L117</f>
        <v>13.188</v>
      </c>
      <c r="AL117" s="101">
        <f t="shared" ref="AL117:AL124" si="53">$O117*$L117</f>
        <v>26.376</v>
      </c>
      <c r="AM117" s="1" t="str">
        <f>VLOOKUP(B:B,'1店辅助表'!$AZ:$BB,1,FALSE)</f>
        <v>Y1102-RE</v>
      </c>
      <c r="AN117" s="1" t="str">
        <f>VLOOKUP(B:B,'1店辅助表'!AZ:BB,3,FALSE)</f>
        <v>CA</v>
      </c>
    </row>
    <row r="118" customHeight="1" spans="1:40">
      <c r="A118" s="58" t="str">
        <f>INDEX('[1]1店'!$A:$A,MATCH(B:B,'[1]1店'!$B:$B,0))</f>
        <v>秀青</v>
      </c>
      <c r="B118" s="43" t="s">
        <v>390</v>
      </c>
      <c r="C118" s="43" t="s">
        <v>391</v>
      </c>
      <c r="D118" s="59">
        <f>VLOOKUP(B:B,'[1]1店'!$B:$L,3,0)</f>
        <v>45140</v>
      </c>
      <c r="E118" s="43" t="s">
        <v>392</v>
      </c>
      <c r="F118" s="43">
        <v>13</v>
      </c>
      <c r="G118" s="43">
        <v>0</v>
      </c>
      <c r="H118" s="43">
        <v>0</v>
      </c>
      <c r="I118" s="43">
        <v>0</v>
      </c>
      <c r="J118" s="43">
        <v>0</v>
      </c>
      <c r="K118" s="63">
        <f t="shared" si="44"/>
        <v>13</v>
      </c>
      <c r="L118" s="64">
        <f>VLOOKUP($B:$B,'[1]1店'!$B:$L,11,0)</f>
        <v>70</v>
      </c>
      <c r="M118" s="44">
        <f t="shared" si="45"/>
        <v>910</v>
      </c>
      <c r="N118" s="186">
        <f>IFERROR(VLOOKUP(B:B,'1店辅助表'!B:C,2,FALSE),0)</f>
        <v>1</v>
      </c>
      <c r="O118" s="186">
        <f>IFERROR(VLOOKUP(B:B,'1店辅助表'!E:F,2,FALSE),0)</f>
        <v>14</v>
      </c>
      <c r="P118" s="186">
        <f>IFERROR(VLOOKUP(B:B,'1店辅助表'!H:I,2,FALSE),0)</f>
        <v>22</v>
      </c>
      <c r="Q118" s="65">
        <f>IFERROR(VLOOKUP($B:$B,'[1]1店'!$B:$N,13,FALSE),0)</f>
        <v>13</v>
      </c>
      <c r="R118" s="79">
        <f t="shared" si="46"/>
        <v>-12</v>
      </c>
      <c r="S118" s="80">
        <f t="shared" si="47"/>
        <v>21.5526315789474</v>
      </c>
      <c r="T118" s="44">
        <f t="shared" si="48"/>
        <v>0.718421052631579</v>
      </c>
      <c r="U118" s="188">
        <f>IFERROR(VLOOKUP($B:$B,'[1]1店'!$B:$T,19,FALSE),0)</f>
        <v>0.532319391634981</v>
      </c>
      <c r="V118" s="81">
        <f t="shared" si="49"/>
        <v>0.186101660996598</v>
      </c>
      <c r="W118" s="82" t="str">
        <f t="shared" si="38"/>
        <v>库存过高</v>
      </c>
      <c r="X118" s="83" t="str">
        <f t="shared" si="39"/>
        <v>正常</v>
      </c>
      <c r="Y118" s="44">
        <f>IFERROR(SUMIF('1店辅助表'!K:K,B:B,'1店辅助表'!N:N),0)</f>
        <v>5.74611</v>
      </c>
      <c r="Z118" s="44">
        <f>IFERROR(SUMIF('1店辅助表'!T:T,B:B,'1店辅助表'!W:W),0)</f>
        <v>13.02544</v>
      </c>
      <c r="AA118" s="44">
        <f>IFERROR(SUMIF('1店辅助表'!AC:AC,B:B,'1店辅助表'!AF:AF),0)</f>
        <v>26.59451</v>
      </c>
      <c r="AB118" s="91">
        <f>IFERROR(SUMIF('1店辅助表'!K:K,B:B,'1店辅助表'!N:N)/SUMIF('1店辅助表'!K:K,B:B,'1店辅助表'!O:O),"-")</f>
        <v>0.261424476797088</v>
      </c>
      <c r="AC118" s="91">
        <f>IFERROR(VLOOKUP($B:$B,'[1]1店'!$B:$AB,27,FALSE),"-")</f>
        <v>0.0383839986449099</v>
      </c>
      <c r="AD118" s="92">
        <f t="shared" si="50"/>
        <v>0.223040478152178</v>
      </c>
      <c r="AE118" s="91">
        <f>IFERROR(SUMIF('1店辅助表'!T:T,B:B,'1店辅助表'!W:W)/SUMIF('1店辅助表'!T:T,B:B,'1店辅助表'!X:X),"-")</f>
        <v>0.0558839883301871</v>
      </c>
      <c r="AF118" s="91">
        <f>IFERROR(SUMIF('1店辅助表'!AC:AC,B:B,'1店辅助表'!AF:AF)/SUMIF('1店辅助表'!AC:AC,B:B,'1店辅助表'!AG:AG),"-")</f>
        <v>0.0883362452667242</v>
      </c>
      <c r="AG118" s="99">
        <f>IFERROR(AK118/((SUMIF('1店辅助表'!AT:AT,B:B,'1店辅助表'!AU:AU)+M118)/2),"-")</f>
        <v>0.0606060606060606</v>
      </c>
      <c r="AH118" s="99">
        <f>IFERROR(AL118/((SUMIF('1店辅助表'!AW:AW,B:B,'1店辅助表'!AX:AX)+M118)/2),"-")</f>
        <v>0.608695652173913</v>
      </c>
      <c r="AI118" s="100">
        <f>IFERROR((SUMIF('1店辅助表'!AP:AP,B:B,'1店辅助表'!AR:AR)-SUMIF('1店辅助表'!AP:AP,B:B,'1店辅助表'!AR:AR)*0.15-(L118+IFERROR(VLOOKUP(B:B,'1店辅助表'!AZ:BA,2,0),0))*O118-IF(AN:AN="US",6.85,4.9)*(Z118+3.99*O118))/SUMIF('1店辅助表'!AP:AP,B:B,'1店辅助表'!AR:AR),"-")</f>
        <v>0.310480524946129</v>
      </c>
      <c r="AJ118" s="100">
        <f t="shared" si="51"/>
        <v>0.188988145619383</v>
      </c>
      <c r="AK118" s="101">
        <f t="shared" si="52"/>
        <v>70</v>
      </c>
      <c r="AL118" s="101">
        <f t="shared" si="53"/>
        <v>980</v>
      </c>
      <c r="AM118" s="1" t="str">
        <f>VLOOKUP(B:B,'1店辅助表'!$AZ:$BB,1,FALSE)</f>
        <v>Y1084-ZH</v>
      </c>
      <c r="AN118" s="1" t="str">
        <f>VLOOKUP(B:B,'1店辅助表'!AZ:BB,3,FALSE)</f>
        <v>US</v>
      </c>
    </row>
    <row r="119" customHeight="1" spans="1:40">
      <c r="A119" s="58" t="str">
        <f>INDEX('[1]1店'!$A:$A,MATCH(B:B,'[1]1店'!$B:$B,0))</f>
        <v>秀青</v>
      </c>
      <c r="B119" s="43" t="s">
        <v>393</v>
      </c>
      <c r="C119" s="43" t="s">
        <v>182</v>
      </c>
      <c r="D119" s="59">
        <f>VLOOKUP(B:B,'[1]1店'!$B:$L,3,0)</f>
        <v>45156</v>
      </c>
      <c r="E119" s="43" t="s">
        <v>394</v>
      </c>
      <c r="F119" s="43">
        <v>14</v>
      </c>
      <c r="G119" s="43">
        <v>0</v>
      </c>
      <c r="H119" s="43">
        <v>5</v>
      </c>
      <c r="I119" s="43">
        <v>0</v>
      </c>
      <c r="J119" s="43">
        <v>0</v>
      </c>
      <c r="K119" s="63">
        <f t="shared" si="44"/>
        <v>19</v>
      </c>
      <c r="L119" s="64">
        <f>VLOOKUP($B:$B,'[1]1店'!$B:$L,11,0)</f>
        <v>4.3</v>
      </c>
      <c r="M119" s="44">
        <f t="shared" si="45"/>
        <v>81.7</v>
      </c>
      <c r="N119" s="186">
        <f>IFERROR(VLOOKUP(B:B,'1店辅助表'!B:C,2,FALSE),0)</f>
        <v>0</v>
      </c>
      <c r="O119" s="186">
        <f>IFERROR(VLOOKUP(B:B,'1店辅助表'!E:F,2,FALSE),0)</f>
        <v>1</v>
      </c>
      <c r="P119" s="186">
        <f>IFERROR(VLOOKUP(B:B,'1店辅助表'!H:I,2,FALSE),0)</f>
        <v>4</v>
      </c>
      <c r="Q119" s="65">
        <f>IFERROR(VLOOKUP($B:$B,'[1]1店'!$B:$N,13,FALSE),0)</f>
        <v>1</v>
      </c>
      <c r="R119" s="79">
        <f t="shared" si="46"/>
        <v>-1</v>
      </c>
      <c r="S119" s="80">
        <f t="shared" si="47"/>
        <v>285</v>
      </c>
      <c r="T119" s="44">
        <f t="shared" si="48"/>
        <v>9.5</v>
      </c>
      <c r="U119" s="188">
        <f>IFERROR(VLOOKUP($B:$B,'[1]1店'!$B:$T,19,FALSE),0)</f>
        <v>4.29032258064516</v>
      </c>
      <c r="V119" s="81">
        <f t="shared" si="49"/>
        <v>5.20967741935484</v>
      </c>
      <c r="W119" s="82" t="str">
        <f t="shared" si="38"/>
        <v>有库存无销量</v>
      </c>
      <c r="X119" s="83" t="str">
        <f t="shared" si="39"/>
        <v>库存过高</v>
      </c>
      <c r="Y119" s="44">
        <f>IFERROR(SUMIF('1店辅助表'!K:K,B:B,'1店辅助表'!N:N),0)</f>
        <v>0</v>
      </c>
      <c r="Z119" s="44">
        <f>IFERROR(SUMIF('1店辅助表'!T:T,B:B,'1店辅助表'!W:W),0)</f>
        <v>0</v>
      </c>
      <c r="AA119" s="44">
        <f>IFERROR(SUMIF('1店辅助表'!AC:AC,B:B,'1店辅助表'!AF:AF),0)</f>
        <v>0</v>
      </c>
      <c r="AB119" s="91" t="str">
        <f>IFERROR(SUMIF('1店辅助表'!K:K,B:B,'1店辅助表'!N:N)/SUMIF('1店辅助表'!K:K,B:B,'1店辅助表'!O:O),"-")</f>
        <v>-</v>
      </c>
      <c r="AC119" s="91" t="str">
        <f>IFERROR(VLOOKUP($B:$B,'[1]1店'!$B:$AB,27,FALSE),"-")</f>
        <v>-</v>
      </c>
      <c r="AD119" s="92" t="str">
        <f t="shared" si="50"/>
        <v>-</v>
      </c>
      <c r="AE119" s="91" t="str">
        <f>IFERROR(SUMIF('1店辅助表'!T:T,B:B,'1店辅助表'!W:W)/SUMIF('1店辅助表'!T:T,B:B,'1店辅助表'!X:X),"-")</f>
        <v>-</v>
      </c>
      <c r="AF119" s="91" t="str">
        <f>IFERROR(SUMIF('1店辅助表'!AC:AC,B:B,'1店辅助表'!AF:AF)/SUMIF('1店辅助表'!AC:AC,B:B,'1店辅助表'!AG:AG),"-")</f>
        <v>-</v>
      </c>
      <c r="AG119" s="99">
        <f>IFERROR(AK119/((SUMIF('1店辅助表'!AT:AT,B:B,'1店辅助表'!AU:AU)+M119)/2),"-")</f>
        <v>0</v>
      </c>
      <c r="AH119" s="99">
        <f>IFERROR(AL119/((SUMIF('1店辅助表'!AW:AW,B:B,'1店辅助表'!AX:AX)+M119)/2),"-")</f>
        <v>0.0625</v>
      </c>
      <c r="AI119" s="100">
        <f>IFERROR((SUMIF('1店辅助表'!AP:AP,B:B,'1店辅助表'!AR:AR)-SUMIF('1店辅助表'!AP:AP,B:B,'1店辅助表'!AR:AR)*0.15-(L119+IFERROR(VLOOKUP(B:B,'1店辅助表'!AZ:BA,2,0),0))*O119-IF(AN:AN="US",6.85,4.9)*(Z119+3.99*O119))/SUMIF('1店辅助表'!AP:AP,B:B,'1店辅助表'!AR:AR),"-")</f>
        <v>0.366078121917538</v>
      </c>
      <c r="AJ119" s="100">
        <f t="shared" si="51"/>
        <v>0.0228798826198461</v>
      </c>
      <c r="AK119" s="101">
        <f t="shared" si="52"/>
        <v>0</v>
      </c>
      <c r="AL119" s="101">
        <f t="shared" si="53"/>
        <v>4.3</v>
      </c>
      <c r="AM119" s="1" t="str">
        <f>VLOOKUP(B:B,'1店辅助表'!$AZ:$BB,1,FALSE)</f>
        <v>Y1062-1</v>
      </c>
      <c r="AN119" s="1" t="str">
        <f>VLOOKUP(B:B,'1店辅助表'!AZ:BB,3,FALSE)</f>
        <v>US</v>
      </c>
    </row>
    <row r="120" customHeight="1" spans="1:40">
      <c r="A120" s="58" t="str">
        <f>INDEX('[1]1店'!$A:$A,MATCH(B:B,'[1]1店'!$B:$B,0))</f>
        <v>秀青</v>
      </c>
      <c r="B120" s="43" t="s">
        <v>395</v>
      </c>
      <c r="C120" s="43" t="s">
        <v>338</v>
      </c>
      <c r="D120" s="59">
        <f>VLOOKUP(B:B,'[1]1店'!$B:$L,3,0)</f>
        <v>45156</v>
      </c>
      <c r="E120" s="43" t="s">
        <v>396</v>
      </c>
      <c r="F120" s="43">
        <v>39</v>
      </c>
      <c r="G120" s="43">
        <v>0</v>
      </c>
      <c r="H120" s="43">
        <v>0</v>
      </c>
      <c r="I120" s="43">
        <v>0</v>
      </c>
      <c r="J120" s="43">
        <v>0</v>
      </c>
      <c r="K120" s="63">
        <f t="shared" si="44"/>
        <v>39</v>
      </c>
      <c r="L120" s="64">
        <f>VLOOKUP($B:$B,'[1]1店'!$B:$L,11,0)</f>
        <v>13.22</v>
      </c>
      <c r="M120" s="44">
        <f t="shared" si="45"/>
        <v>515.58</v>
      </c>
      <c r="N120" s="186">
        <f>IFERROR(VLOOKUP(B:B,'1店辅助表'!B:C,2,FALSE),0)</f>
        <v>0</v>
      </c>
      <c r="O120" s="186">
        <f>IFERROR(VLOOKUP(B:B,'1店辅助表'!E:F,2,FALSE),0)</f>
        <v>2</v>
      </c>
      <c r="P120" s="186">
        <f>IFERROR(VLOOKUP(B:B,'1店辅助表'!H:I,2,FALSE),0)</f>
        <v>3</v>
      </c>
      <c r="Q120" s="65">
        <f>IFERROR(VLOOKUP($B:$B,'[1]1店'!$B:$N,13,FALSE),0)</f>
        <v>2</v>
      </c>
      <c r="R120" s="79">
        <f t="shared" si="46"/>
        <v>-2</v>
      </c>
      <c r="S120" s="80">
        <f t="shared" si="47"/>
        <v>501.428571428571</v>
      </c>
      <c r="T120" s="44">
        <f t="shared" si="48"/>
        <v>16.7142857142857</v>
      </c>
      <c r="U120" s="188">
        <f>IFERROR(VLOOKUP($B:$B,'[1]1店'!$B:$T,19,FALSE),0)</f>
        <v>7.51376146788991</v>
      </c>
      <c r="V120" s="81">
        <f t="shared" si="49"/>
        <v>9.20052424639579</v>
      </c>
      <c r="W120" s="82" t="str">
        <f t="shared" si="38"/>
        <v>有库存无销量</v>
      </c>
      <c r="X120" s="83" t="str">
        <f t="shared" si="39"/>
        <v>库存过高</v>
      </c>
      <c r="Y120" s="44">
        <f>IFERROR(SUMIF('1店辅助表'!K:K,B:B,'1店辅助表'!N:N),0)</f>
        <v>8.36</v>
      </c>
      <c r="Z120" s="44">
        <f>IFERROR(SUMIF('1店辅助表'!T:T,B:B,'1店辅助表'!W:W),0)</f>
        <v>18.12</v>
      </c>
      <c r="AA120" s="44">
        <f>IFERROR(SUMIF('1店辅助表'!AC:AC,B:B,'1店辅助表'!AF:AF),0)</f>
        <v>30.03</v>
      </c>
      <c r="AB120" s="91" t="str">
        <f>IFERROR(SUMIF('1店辅助表'!K:K,B:B,'1店辅助表'!N:N)/SUMIF('1店辅助表'!K:K,B:B,'1店辅助表'!O:O),"-")</f>
        <v>-</v>
      </c>
      <c r="AC120" s="91">
        <f>IFERROR(VLOOKUP($B:$B,'[1]1店'!$B:$AB,27,FALSE),"-")</f>
        <v>0.287312334412717</v>
      </c>
      <c r="AD120" s="92" t="str">
        <f t="shared" si="50"/>
        <v>-</v>
      </c>
      <c r="AE120" s="91">
        <f>IFERROR(SUMIF('1店辅助表'!T:T,B:B,'1店辅助表'!W:W)/SUMIF('1店辅助表'!T:T,B:B,'1店辅助表'!X:X),"-")</f>
        <v>0.533411833971151</v>
      </c>
      <c r="AF120" s="91">
        <f>IFERROR(SUMIF('1店辅助表'!AC:AC,B:B,'1店辅助表'!AF:AF)/SUMIF('1店辅助表'!AC:AC,B:B,'1店辅助表'!AG:AG),"-")</f>
        <v>0.455414012738854</v>
      </c>
      <c r="AG120" s="99">
        <f>IFERROR(AK120/((SUMIF('1店辅助表'!AT:AT,B:B,'1店辅助表'!AU:AU)+M120)/2),"-")</f>
        <v>0</v>
      </c>
      <c r="AH120" s="99">
        <f>IFERROR(AL120/((SUMIF('1店辅助表'!AW:AW,B:B,'1店辅助表'!AX:AX)+M120)/2),"-")</f>
        <v>0.0689655172413793</v>
      </c>
      <c r="AI120" s="100">
        <f>IFERROR((SUMIF('1店辅助表'!AP:AP,B:B,'1店辅助表'!AR:AR)-SUMIF('1店辅助表'!AP:AP,B:B,'1店辅助表'!AR:AR)*0.15-(L120+IFERROR(VLOOKUP(B:B,'1店辅助表'!AZ:BA,2,0),0))*O120-IF(AN:AN="US",6.85,4.9)*(Z120+3.99*O120))/SUMIF('1店辅助表'!AP:AP,B:B,'1店辅助表'!AR:AR),"-")</f>
        <v>-0.705898964658089</v>
      </c>
      <c r="AJ120" s="100">
        <f t="shared" si="51"/>
        <v>-0.0486826872177992</v>
      </c>
      <c r="AK120" s="101">
        <f t="shared" si="52"/>
        <v>0</v>
      </c>
      <c r="AL120" s="101">
        <f t="shared" si="53"/>
        <v>26.44</v>
      </c>
      <c r="AM120" s="1" t="str">
        <f>VLOOKUP(B:B,'1店辅助表'!$AZ:$BB,1,FALSE)</f>
        <v>Y1038-BL-1</v>
      </c>
      <c r="AN120" s="1" t="str">
        <f>VLOOKUP(B:B,'1店辅助表'!AZ:BB,3,FALSE)</f>
        <v>US</v>
      </c>
    </row>
    <row r="121" customHeight="1" spans="1:40">
      <c r="A121" s="58" t="str">
        <f>INDEX('[1]1店'!$A:$A,MATCH(B:B,'[1]1店'!$B:$B,0))</f>
        <v>秀青</v>
      </c>
      <c r="B121" s="43" t="s">
        <v>397</v>
      </c>
      <c r="C121" s="43" t="s">
        <v>344</v>
      </c>
      <c r="D121" s="59">
        <f>VLOOKUP(B:B,'[1]1店'!$B:$L,3,0)</f>
        <v>45156</v>
      </c>
      <c r="E121" s="43" t="s">
        <v>398</v>
      </c>
      <c r="F121" s="43">
        <v>48</v>
      </c>
      <c r="G121" s="43">
        <v>0</v>
      </c>
      <c r="H121" s="43">
        <v>0</v>
      </c>
      <c r="I121" s="43">
        <v>0</v>
      </c>
      <c r="J121" s="43">
        <v>0</v>
      </c>
      <c r="K121" s="63">
        <f t="shared" si="44"/>
        <v>48</v>
      </c>
      <c r="L121" s="64">
        <f>VLOOKUP($B:$B,'[1]1店'!$B:$L,11,0)</f>
        <v>27.279</v>
      </c>
      <c r="M121" s="44">
        <f t="shared" si="45"/>
        <v>1309.392</v>
      </c>
      <c r="N121" s="186">
        <f>IFERROR(VLOOKUP(B:B,'1店辅助表'!B:C,2,FALSE),0)</f>
        <v>0</v>
      </c>
      <c r="O121" s="186">
        <f>IFERROR(VLOOKUP(B:B,'1店辅助表'!E:F,2,FALSE),0)</f>
        <v>0</v>
      </c>
      <c r="P121" s="186">
        <f>IFERROR(VLOOKUP(B:B,'1店辅助表'!H:I,2,FALSE),0)</f>
        <v>1</v>
      </c>
      <c r="Q121" s="65">
        <f>IFERROR(VLOOKUP($B:$B,'[1]1店'!$B:$N,13,FALSE),0)</f>
        <v>0</v>
      </c>
      <c r="R121" s="79">
        <f t="shared" si="46"/>
        <v>0</v>
      </c>
      <c r="S121" s="80">
        <f t="shared" si="47"/>
        <v>4320</v>
      </c>
      <c r="T121" s="44">
        <f t="shared" si="48"/>
        <v>144</v>
      </c>
      <c r="U121" s="188">
        <f>IFERROR(VLOOKUP($B:$B,'[1]1店'!$B:$T,19,FALSE),0)</f>
        <v>72</v>
      </c>
      <c r="V121" s="81">
        <f t="shared" si="49"/>
        <v>72</v>
      </c>
      <c r="W121" s="82" t="str">
        <f t="shared" si="38"/>
        <v>有库存无销量</v>
      </c>
      <c r="X121" s="83" t="str">
        <f t="shared" si="39"/>
        <v>库存过高</v>
      </c>
      <c r="Y121" s="44">
        <f>IFERROR(SUMIF('1店辅助表'!K:K,B:B,'1店辅助表'!N:N),0)</f>
        <v>0.3</v>
      </c>
      <c r="Z121" s="44">
        <f>IFERROR(SUMIF('1店辅助表'!T:T,B:B,'1店辅助表'!W:W),0)</f>
        <v>0.46</v>
      </c>
      <c r="AA121" s="44">
        <f>IFERROR(SUMIF('1店辅助表'!AC:AC,B:B,'1店辅助表'!AF:AF),0)</f>
        <v>0.54</v>
      </c>
      <c r="AB121" s="91" t="str">
        <f>IFERROR(SUMIF('1店辅助表'!K:K,B:B,'1店辅助表'!N:N)/SUMIF('1店辅助表'!K:K,B:B,'1店辅助表'!O:O),"-")</f>
        <v>-</v>
      </c>
      <c r="AC121" s="91" t="str">
        <f>IFERROR(VLOOKUP($B:$B,'[1]1店'!$B:$AB,27,FALSE),"-")</f>
        <v>-</v>
      </c>
      <c r="AD121" s="92" t="str">
        <f t="shared" si="50"/>
        <v>-</v>
      </c>
      <c r="AE121" s="91" t="str">
        <f>IFERROR(SUMIF('1店辅助表'!T:T,B:B,'1店辅助表'!W:W)/SUMIF('1店辅助表'!T:T,B:B,'1店辅助表'!X:X),"-")</f>
        <v>-</v>
      </c>
      <c r="AF121" s="91" t="str">
        <f>IFERROR(SUMIF('1店辅助表'!AC:AC,B:B,'1店辅助表'!AF:AF)/SUMIF('1店辅助表'!AC:AC,B:B,'1店辅助表'!AG:AG),"-")</f>
        <v>-</v>
      </c>
      <c r="AG121" s="99">
        <f>IFERROR(AK121/((SUMIF('1店辅助表'!AT:AT,B:B,'1店辅助表'!AU:AU)+M121)/2),"-")</f>
        <v>0</v>
      </c>
      <c r="AH121" s="99">
        <f>IFERROR(AL121/((SUMIF('1店辅助表'!AW:AW,B:B,'1店辅助表'!AX:AX)+M121)/2),"-")</f>
        <v>0</v>
      </c>
      <c r="AI121" s="100" t="str">
        <f>IFERROR((SUMIF('1店辅助表'!AP:AP,B:B,'1店辅助表'!AR:AR)-SUMIF('1店辅助表'!AP:AP,B:B,'1店辅助表'!AR:AR)*0.15-(L121+IFERROR(VLOOKUP(B:B,'1店辅助表'!AZ:BA,2,0),0))*O121-IF(AN:AN="US",6.85,4.9)*(Z121+3.99*O121))/SUMIF('1店辅助表'!AP:AP,B:B,'1店辅助表'!AR:AR),"-")</f>
        <v>-</v>
      </c>
      <c r="AJ121" s="100" t="str">
        <f t="shared" si="51"/>
        <v>-</v>
      </c>
      <c r="AK121" s="101">
        <f t="shared" si="52"/>
        <v>0</v>
      </c>
      <c r="AL121" s="101">
        <f t="shared" si="53"/>
        <v>0</v>
      </c>
      <c r="AM121" s="1" t="str">
        <f>VLOOKUP(B:B,'1店辅助表'!$AZ:$BB,1,FALSE)</f>
        <v>Y1096-2</v>
      </c>
      <c r="AN121" s="1" t="str">
        <f>VLOOKUP(B:B,'1店辅助表'!AZ:BB,3,FALSE)</f>
        <v>US</v>
      </c>
    </row>
    <row r="122" customHeight="1" spans="1:40">
      <c r="A122" s="58" t="str">
        <f>INDEX('[1]1店'!$A:$A,MATCH(B:B,'[1]1店'!$B:$B,0))</f>
        <v>秀青</v>
      </c>
      <c r="B122" s="43" t="s">
        <v>399</v>
      </c>
      <c r="C122" s="43" t="s">
        <v>400</v>
      </c>
      <c r="D122" s="59">
        <f>VLOOKUP(B:B,'[1]1店'!$B:$L,3,0)</f>
        <v>45191</v>
      </c>
      <c r="E122" s="43" t="s">
        <v>401</v>
      </c>
      <c r="F122" s="43">
        <v>16</v>
      </c>
      <c r="G122" s="43">
        <v>0</v>
      </c>
      <c r="H122" s="43">
        <v>0</v>
      </c>
      <c r="I122" s="43">
        <v>0</v>
      </c>
      <c r="J122" s="43">
        <v>0</v>
      </c>
      <c r="K122" s="63">
        <f t="shared" si="44"/>
        <v>16</v>
      </c>
      <c r="L122" s="64">
        <f>VLOOKUP($B:$B,'[1]1店'!$B:$L,11,0)</f>
        <v>16.767</v>
      </c>
      <c r="M122" s="44">
        <f t="shared" si="45"/>
        <v>268.272</v>
      </c>
      <c r="N122" s="186">
        <f>IFERROR(VLOOKUP(B:B,'1店辅助表'!B:C,2,FALSE),0)</f>
        <v>1</v>
      </c>
      <c r="O122" s="186">
        <f>IFERROR(VLOOKUP(B:B,'1店辅助表'!E:F,2,FALSE),0)</f>
        <v>10</v>
      </c>
      <c r="P122" s="186">
        <f>IFERROR(VLOOKUP(B:B,'1店辅助表'!H:I,2,FALSE),0)</f>
        <v>14</v>
      </c>
      <c r="Q122" s="65">
        <f>IFERROR(VLOOKUP($B:$B,'[1]1店'!$B:$N,13,FALSE),0)</f>
        <v>8</v>
      </c>
      <c r="R122" s="79">
        <f t="shared" si="46"/>
        <v>-7</v>
      </c>
      <c r="S122" s="80">
        <f t="shared" si="47"/>
        <v>37.6119402985075</v>
      </c>
      <c r="T122" s="44">
        <f t="shared" si="48"/>
        <v>1.25373134328358</v>
      </c>
      <c r="U122" s="188">
        <f>IFERROR(VLOOKUP($B:$B,'[1]1店'!$B:$T,19,FALSE),0)</f>
        <v>0.859649122807017</v>
      </c>
      <c r="V122" s="81">
        <f t="shared" si="49"/>
        <v>0.394082220476563</v>
      </c>
      <c r="W122" s="82" t="str">
        <f t="shared" si="38"/>
        <v>库存过高</v>
      </c>
      <c r="X122" s="83" t="str">
        <f t="shared" si="39"/>
        <v>正常</v>
      </c>
      <c r="Y122" s="44">
        <f>IFERROR(SUMIF('1店辅助表'!K:K,B:B,'1店辅助表'!N:N),0)</f>
        <v>11.31634</v>
      </c>
      <c r="Z122" s="44">
        <f>IFERROR(SUMIF('1店辅助表'!T:T,B:B,'1店辅助表'!W:W),0)</f>
        <v>58.44011</v>
      </c>
      <c r="AA122" s="44">
        <f>IFERROR(SUMIF('1店辅助表'!AC:AC,B:B,'1店辅助表'!AF:AF),0)</f>
        <v>80.30011</v>
      </c>
      <c r="AB122" s="91" t="str">
        <f>IFERROR(SUMIF('1店辅助表'!K:K,B:B,'1店辅助表'!N:N)/SUMIF('1店辅助表'!K:K,B:B,'1店辅助表'!O:O),"-")</f>
        <v>-</v>
      </c>
      <c r="AC122" s="91">
        <f>IFERROR(VLOOKUP($B:$B,'[1]1店'!$B:$AB,27,FALSE),"-")</f>
        <v>0.70587649536647</v>
      </c>
      <c r="AD122" s="92" t="str">
        <f t="shared" si="50"/>
        <v>-</v>
      </c>
      <c r="AE122" s="91">
        <f>IFERROR(SUMIF('1店辅助表'!T:T,B:B,'1店辅助表'!W:W)/SUMIF('1店辅助表'!T:T,B:B,'1店辅助表'!X:X),"-")</f>
        <v>0.68487179186687</v>
      </c>
      <c r="AF122" s="91">
        <f>IFERROR(SUMIF('1店辅助表'!AC:AC,B:B,'1店辅助表'!AF:AF)/SUMIF('1店辅助表'!AC:AC,B:B,'1店辅助表'!AG:AG),"-")</f>
        <v>0.646018584070796</v>
      </c>
      <c r="AG122" s="99">
        <f>IFERROR(AK122/((SUMIF('1店辅助表'!AT:AT,B:B,'1店辅助表'!AU:AU)+M122)/2),"-")</f>
        <v>0.0540540540540541</v>
      </c>
      <c r="AH122" s="99">
        <f>IFERROR(AL122/((SUMIF('1店辅助表'!AW:AW,B:B,'1店辅助表'!AX:AX)+M122)/2),"-")</f>
        <v>0.408163265306122</v>
      </c>
      <c r="AI122" s="100">
        <f>IFERROR((SUMIF('1店辅助表'!AP:AP,B:B,'1店辅助表'!AR:AR)-SUMIF('1店辅助表'!AP:AP,B:B,'1店辅助表'!AR:AR)*0.15-(L122+IFERROR(VLOOKUP(B:B,'1店辅助表'!AZ:BA,2,0),0))*O122-IF(AN:AN="US",6.85,4.9)*(Z122+3.99*O122))/SUMIF('1店辅助表'!AP:AP,B:B,'1店辅助表'!AR:AR),"-")</f>
        <v>-0.163772913093614</v>
      </c>
      <c r="AJ122" s="100">
        <f t="shared" si="51"/>
        <v>-0.0668460869769855</v>
      </c>
      <c r="AK122" s="101">
        <f t="shared" si="52"/>
        <v>16.767</v>
      </c>
      <c r="AL122" s="101">
        <f t="shared" si="53"/>
        <v>167.67</v>
      </c>
      <c r="AM122" s="1" t="str">
        <f>VLOOKUP(B:B,'1店辅助表'!$AZ:$BB,1,FALSE)</f>
        <v>Y1103-BL</v>
      </c>
      <c r="AN122" s="1" t="str">
        <f>VLOOKUP(B:B,'1店辅助表'!AZ:BB,3,FALSE)</f>
        <v>US</v>
      </c>
    </row>
    <row r="123" customHeight="1" spans="1:40">
      <c r="A123" s="58" t="str">
        <f>INDEX('[1]1店'!$A:$A,MATCH(B:B,'[1]1店'!$B:$B,0))</f>
        <v>秀青</v>
      </c>
      <c r="B123" s="43" t="s">
        <v>402</v>
      </c>
      <c r="C123" s="43" t="s">
        <v>403</v>
      </c>
      <c r="D123" s="59">
        <f>VLOOKUP(B:B,'[1]1店'!$B:$L,3,0)</f>
        <v>45191</v>
      </c>
      <c r="E123" s="43" t="s">
        <v>404</v>
      </c>
      <c r="F123" s="43">
        <v>24</v>
      </c>
      <c r="G123" s="43">
        <v>0</v>
      </c>
      <c r="H123" s="43">
        <v>0</v>
      </c>
      <c r="I123" s="43">
        <v>4</v>
      </c>
      <c r="J123" s="43">
        <v>0</v>
      </c>
      <c r="K123" s="63">
        <f t="shared" si="44"/>
        <v>28</v>
      </c>
      <c r="L123" s="64">
        <f>VLOOKUP($B:$B,'[1]1店'!$B:$L,11,0)</f>
        <v>16.767</v>
      </c>
      <c r="M123" s="44">
        <f t="shared" si="45"/>
        <v>469.476</v>
      </c>
      <c r="N123" s="186">
        <f>IFERROR(VLOOKUP(B:B,'1店辅助表'!B:C,2,FALSE),0)</f>
        <v>1</v>
      </c>
      <c r="O123" s="186">
        <f>IFERROR(VLOOKUP(B:B,'1店辅助表'!E:F,2,FALSE),0)</f>
        <v>4</v>
      </c>
      <c r="P123" s="186">
        <f>IFERROR(VLOOKUP(B:B,'1店辅助表'!H:I,2,FALSE),0)</f>
        <v>6</v>
      </c>
      <c r="Q123" s="65">
        <f>IFERROR(VLOOKUP($B:$B,'[1]1店'!$B:$N,13,FALSE),0)</f>
        <v>3</v>
      </c>
      <c r="R123" s="79">
        <f t="shared" si="46"/>
        <v>-2</v>
      </c>
      <c r="S123" s="80">
        <f t="shared" si="47"/>
        <v>137.8125</v>
      </c>
      <c r="T123" s="44">
        <f t="shared" si="48"/>
        <v>4.59375</v>
      </c>
      <c r="U123" s="188">
        <f>IFERROR(VLOOKUP($B:$B,'[1]1店'!$B:$T,19,FALSE),0)</f>
        <v>3.23076923076923</v>
      </c>
      <c r="V123" s="81">
        <f t="shared" si="49"/>
        <v>1.36298076923077</v>
      </c>
      <c r="W123" s="82" t="str">
        <f t="shared" si="38"/>
        <v>库存过高</v>
      </c>
      <c r="X123" s="83" t="str">
        <f t="shared" si="39"/>
        <v>库存过高</v>
      </c>
      <c r="Y123" s="44">
        <f>IFERROR(SUMIF('1店辅助表'!K:K,B:B,'1店辅助表'!N:N),0)</f>
        <v>0.03589</v>
      </c>
      <c r="Z123" s="44">
        <f>IFERROR(SUMIF('1店辅助表'!T:T,B:B,'1店辅助表'!W:W),0)</f>
        <v>4.12398</v>
      </c>
      <c r="AA123" s="44">
        <f>IFERROR(SUMIF('1店辅助表'!AC:AC,B:B,'1店辅助表'!AF:AF),0)</f>
        <v>33.75398</v>
      </c>
      <c r="AB123" s="91" t="str">
        <f>IFERROR(SUMIF('1店辅助表'!K:K,B:B,'1店辅助表'!N:N)/SUMIF('1店辅助表'!K:K,B:B,'1店辅助表'!O:O),"-")</f>
        <v>-</v>
      </c>
      <c r="AC123" s="91">
        <f>IFERROR(VLOOKUP($B:$B,'[1]1店'!$B:$AB,27,FALSE),"-")</f>
        <v>0.13303233256351</v>
      </c>
      <c r="AD123" s="92" t="str">
        <f t="shared" si="50"/>
        <v>-</v>
      </c>
      <c r="AE123" s="91">
        <f>IFERROR(SUMIF('1店辅助表'!T:T,B:B,'1店辅助表'!W:W)/SUMIF('1店辅助表'!T:T,B:B,'1店辅助表'!X:X),"-")</f>
        <v>0.317473441108545</v>
      </c>
      <c r="AF123" s="91">
        <f>IFERROR(SUMIF('1店辅助表'!AC:AC,B:B,'1店辅助表'!AF:AF)/SUMIF('1店辅助表'!AC:AC,B:B,'1店辅助表'!AG:AG),"-")</f>
        <v>0.519691762894534</v>
      </c>
      <c r="AG123" s="99">
        <f>IFERROR(AK123/((SUMIF('1店辅助表'!AT:AT,B:B,'1店辅助表'!AU:AU)+M123)/2),"-")</f>
        <v>0.0344827586206897</v>
      </c>
      <c r="AH123" s="99">
        <f>IFERROR(AL123/((SUMIF('1店辅助表'!AW:AW,B:B,'1店辅助表'!AX:AX)+M123)/2),"-")</f>
        <v>0.131147540983607</v>
      </c>
      <c r="AI123" s="100">
        <f>IFERROR((SUMIF('1店辅助表'!AP:AP,B:B,'1店辅助表'!AR:AR)-SUMIF('1店辅助表'!AP:AP,B:B,'1店辅助表'!AR:AR)*0.15-(L123+IFERROR(VLOOKUP(B:B,'1店辅助表'!AZ:BA,2,0),0))*O123-IF(AN:AN="US",6.85,4.9)*(Z123+3.99*O123))/SUMIF('1店辅助表'!AP:AP,B:B,'1店辅助表'!AR:AR),"-")</f>
        <v>0.204408120638828</v>
      </c>
      <c r="AJ123" s="100">
        <f t="shared" si="51"/>
        <v>0.0268076223788627</v>
      </c>
      <c r="AK123" s="101">
        <f t="shared" si="52"/>
        <v>16.767</v>
      </c>
      <c r="AL123" s="101">
        <f t="shared" si="53"/>
        <v>67.068</v>
      </c>
      <c r="AM123" s="1" t="str">
        <f>VLOOKUP(B:B,'1店辅助表'!$AZ:$BB,1,FALSE)</f>
        <v>Y1103-SI</v>
      </c>
      <c r="AN123" s="1" t="str">
        <f>VLOOKUP(B:B,'1店辅助表'!AZ:BB,3,FALSE)</f>
        <v>US</v>
      </c>
    </row>
    <row r="124" customHeight="1" spans="1:40">
      <c r="A124" s="58" t="str">
        <f>INDEX('[1]1店'!$A:$A,MATCH(B:B,'[1]1店'!$B:$B,0))</f>
        <v>秀青</v>
      </c>
      <c r="B124" s="43" t="s">
        <v>405</v>
      </c>
      <c r="C124" s="43" t="s">
        <v>406</v>
      </c>
      <c r="D124" s="59">
        <v>45209</v>
      </c>
      <c r="E124" s="43" t="s">
        <v>407</v>
      </c>
      <c r="F124" s="43">
        <v>26</v>
      </c>
      <c r="G124" s="43">
        <v>0</v>
      </c>
      <c r="H124" s="43">
        <v>0</v>
      </c>
      <c r="I124" s="43">
        <v>1</v>
      </c>
      <c r="J124" s="43">
        <v>0</v>
      </c>
      <c r="K124" s="63">
        <f t="shared" si="44"/>
        <v>27</v>
      </c>
      <c r="L124" s="64">
        <f>VLOOKUP($B:$B,'[1]1店'!$B:$L,11,0)</f>
        <v>32</v>
      </c>
      <c r="M124" s="44">
        <f t="shared" si="45"/>
        <v>864</v>
      </c>
      <c r="N124" s="186">
        <f>IFERROR(VLOOKUP(B:B,'1店辅助表'!B:C,2,FALSE),0)</f>
        <v>4</v>
      </c>
      <c r="O124" s="186">
        <f>IFERROR(VLOOKUP(B:B,'1店辅助表'!E:F,2,FALSE),0)</f>
        <v>4</v>
      </c>
      <c r="P124" s="186">
        <f>IFERROR(VLOOKUP(B:B,'1店辅助表'!H:I,2,FALSE),0)</f>
        <v>4</v>
      </c>
      <c r="Q124" s="65">
        <f>IFERROR(VLOOKUP($B:$B,'[1]1店'!$B:$N,13,FALSE),0)</f>
        <v>1</v>
      </c>
      <c r="R124" s="79">
        <f t="shared" si="46"/>
        <v>3</v>
      </c>
      <c r="S124" s="80">
        <f t="shared" si="47"/>
        <v>83.3823529411765</v>
      </c>
      <c r="T124" s="44">
        <f t="shared" si="48"/>
        <v>2.77941176470588</v>
      </c>
      <c r="U124" s="188">
        <f>IFERROR(VLOOKUP($B:$B,'[1]1店'!$B:$T,19,FALSE),0)</f>
        <v>11.5294117647059</v>
      </c>
      <c r="V124" s="81">
        <f t="shared" si="49"/>
        <v>-8.75000000000002</v>
      </c>
      <c r="W124" s="82" t="str">
        <f t="shared" si="38"/>
        <v>本月刚到货</v>
      </c>
      <c r="X124" s="83" t="str">
        <f t="shared" si="39"/>
        <v>本月刚到货</v>
      </c>
      <c r="Y124" s="44">
        <f>IFERROR(SUMIF('1店辅助表'!K:K,B:B,'1店辅助表'!N:N),0)</f>
        <v>0</v>
      </c>
      <c r="Z124" s="44">
        <f>IFERROR(SUMIF('1店辅助表'!T:T,B:B,'1店辅助表'!W:W),0)</f>
        <v>0</v>
      </c>
      <c r="AA124" s="44">
        <f>IFERROR(SUMIF('1店辅助表'!AC:AC,B:B,'1店辅助表'!AF:AF),0)</f>
        <v>0</v>
      </c>
      <c r="AB124" s="91" t="str">
        <f>IFERROR(SUMIF('1店辅助表'!K:K,B:B,'1店辅助表'!N:N)/SUMIF('1店辅助表'!K:K,B:B,'1店辅助表'!O:O),"-")</f>
        <v>-</v>
      </c>
      <c r="AC124" s="91" t="str">
        <f>IFERROR(VLOOKUP($B:$B,'[1]1店'!$B:$AB,27,FALSE),"-")</f>
        <v>-</v>
      </c>
      <c r="AD124" s="92" t="str">
        <f t="shared" si="50"/>
        <v>-</v>
      </c>
      <c r="AE124" s="91" t="str">
        <f>IFERROR(SUMIF('1店辅助表'!T:T,B:B,'1店辅助表'!W:W)/SUMIF('1店辅助表'!T:T,B:B,'1店辅助表'!X:X),"-")</f>
        <v>-</v>
      </c>
      <c r="AF124" s="91" t="str">
        <f>IFERROR(SUMIF('1店辅助表'!AC:AC,B:B,'1店辅助表'!AF:AF)/SUMIF('1店辅助表'!AC:AC,B:B,'1店辅助表'!AG:AG),"-")</f>
        <v>-</v>
      </c>
      <c r="AG124" s="99">
        <f>IFERROR(AK124/((SUMIF('1店辅助表'!AT:AT,B:B,'1店辅助表'!AU:AU)+M124)/2),"-")</f>
        <v>0.145454545454545</v>
      </c>
      <c r="AH124" s="99">
        <f>IFERROR(AL124/((SUMIF('1店辅助表'!AW:AW,B:B,'1店辅助表'!AX:AX)+M124)/2),"-")</f>
        <v>0.296296296296296</v>
      </c>
      <c r="AI124" s="100">
        <f>IFERROR((SUMIF('1店辅助表'!AP:AP,B:B,'1店辅助表'!AR:AR)-SUMIF('1店辅助表'!AP:AP,B:B,'1店辅助表'!AR:AR)*0.15-(L124+IFERROR(VLOOKUP(B:B,'1店辅助表'!AZ:BA,2,0),0))*O124-IF(AN:AN="US",6.85,4.9)*(Z124+3.99*O124))/SUMIF('1店辅助表'!AP:AP,B:B,'1店辅助表'!AR:AR),"-")</f>
        <v>0.254340303930833</v>
      </c>
      <c r="AJ124" s="100">
        <f t="shared" si="51"/>
        <v>0.0753600900535801</v>
      </c>
      <c r="AK124" s="101">
        <f t="shared" si="52"/>
        <v>128</v>
      </c>
      <c r="AL124" s="101">
        <f t="shared" si="53"/>
        <v>128</v>
      </c>
      <c r="AM124" s="1" t="str">
        <f>VLOOKUP(B:B,'1店辅助表'!$AZ:$BB,1,FALSE)</f>
        <v>Y1104</v>
      </c>
      <c r="AN124" s="1" t="str">
        <f>VLOOKUP(B:B,'1店辅助表'!AZ:BB,3,FALSE)</f>
        <v>US</v>
      </c>
    </row>
  </sheetData>
  <autoFilter ref="A2:AS124">
    <extLst/>
  </autoFilter>
  <mergeCells count="3">
    <mergeCell ref="Y1:AF1"/>
    <mergeCell ref="AG1:AH1"/>
    <mergeCell ref="B3:E3"/>
  </mergeCells>
  <conditionalFormatting sqref="E2">
    <cfRule type="duplicateValues" dxfId="984" priority="25"/>
  </conditionalFormatting>
  <conditionalFormatting sqref="V3:W3">
    <cfRule type="iconSet" priority="31">
      <iconSet iconSet="3Arrows">
        <cfvo type="percent" val="0"/>
        <cfvo type="num" val="0"/>
        <cfvo type="num" val="0" gte="0"/>
      </iconSet>
    </cfRule>
  </conditionalFormatting>
  <conditionalFormatting sqref="AD3">
    <cfRule type="iconSet" priority="30">
      <iconSet iconSet="3Arrows">
        <cfvo type="percent" val="0"/>
        <cfvo type="num" val="0"/>
        <cfvo type="num" val="0" gte="0"/>
      </iconSet>
    </cfRule>
  </conditionalFormatting>
  <conditionalFormatting sqref="E$1:E$1048576">
    <cfRule type="duplicateValues" dxfId="984" priority="6"/>
  </conditionalFormatting>
  <conditionalFormatting sqref="R4:R124">
    <cfRule type="iconSet" priority="37">
      <iconSet iconSet="3Arrows">
        <cfvo type="percent" val="0"/>
        <cfvo type="num" val="0"/>
        <cfvo type="num" val="0" gte="0"/>
      </iconSet>
    </cfRule>
  </conditionalFormatting>
  <conditionalFormatting sqref="V4:V124">
    <cfRule type="iconSet" priority="36">
      <iconSet iconSet="3Arrows">
        <cfvo type="percent" val="0"/>
        <cfvo type="num" val="0"/>
        <cfvo type="num" val="0" gte="0"/>
      </iconSet>
    </cfRule>
  </conditionalFormatting>
  <conditionalFormatting sqref="X4:X1048576">
    <cfRule type="expression" dxfId="985" priority="2">
      <formula>AND($X4="库存过高",$K4&gt;2,OR($V4&gt;=0,$V4="-"))</formula>
    </cfRule>
    <cfRule type="expression" dxfId="985" priority="3">
      <formula>AND($X4="有库存无销量",$K4&gt;2,OR($V4&gt;=0,$V4="-"))</formula>
    </cfRule>
  </conditionalFormatting>
  <conditionalFormatting sqref="Y4:Y124">
    <cfRule type="expression" dxfId="985" priority="4">
      <formula>AND($Y4&gt;3,$AB4=0)</formula>
    </cfRule>
  </conditionalFormatting>
  <conditionalFormatting sqref="Z4:Z124">
    <cfRule type="expression" dxfId="985" priority="1">
      <formula>AND($Y4&gt;3,$AB4=0)</formula>
    </cfRule>
  </conditionalFormatting>
  <conditionalFormatting sqref="AB4:AB124">
    <cfRule type="expression" dxfId="985" priority="5">
      <formula>AND($AB4&gt;30%,$AD4&gt;0,$AB4&lt;&gt;"-")</formula>
    </cfRule>
  </conditionalFormatting>
  <conditionalFormatting sqref="AD4:AD124">
    <cfRule type="iconSet" priority="35">
      <iconSet iconSet="3Arrows">
        <cfvo type="percent" val="0"/>
        <cfvo type="num" val="0"/>
        <cfvo type="num" val="0" gte="0"/>
      </iconSet>
    </cfRule>
  </conditionalFormatting>
  <conditionalFormatting sqref="AI4:AI124">
    <cfRule type="cellIs" dxfId="986" priority="34" operator="lessThan">
      <formula>25%</formula>
    </cfRule>
  </conditionalFormatting>
  <pageMargins left="0.7" right="0.7" top="0.75" bottom="0.75" header="0.3" footer="0.3"/>
  <pageSetup paperSize="9" orientation="portrait"/>
  <headerFooter/>
  <extLst>
    <ext xmlns:x14="http://schemas.microsoft.com/office/spreadsheetml/2009/9/main" uri="{78C0D931-6437-407d-A8EE-F0AAD7539E65}">
      <x14:conditionalFormattings>
        <x14:conditionalFormatting xmlns:xm="http://schemas.microsoft.com/office/excel/2006/main">
          <x14:cfRule type="iconSet" priority="11" id="{88abbd80-a5ab-4cd2-85f5-f488140708b8}">
            <x14:iconSet iconSet="3Arrows" custom="1">
              <x14:cfvo type="percent">
                <xm:f>0</xm:f>
              </x14:cfvo>
              <x14:cfvo type="num">
                <xm:f>0</xm:f>
              </x14:cfvo>
              <x14:cfvo type="num" gte="0">
                <xm:f>0</xm:f>
              </x14:cfvo>
              <x14:cfIcon iconSet="3Arrows" iconId="0"/>
              <x14:cfIcon iconSet="3Arrows" iconId="1"/>
              <x14:cfIcon iconSet="3Arrows" iconId="2"/>
            </x14:iconSet>
          </x14:cfRule>
          <xm:sqref>W4:W124</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BB312"/>
  <sheetViews>
    <sheetView topLeftCell="AJ1" workbookViewId="0">
      <pane ySplit="1" topLeftCell="A2" activePane="bottomLeft" state="frozen"/>
      <selection/>
      <selection pane="bottomLeft" activeCell="BA36" sqref="BA36"/>
    </sheetView>
  </sheetViews>
  <sheetFormatPr defaultColWidth="9" defaultRowHeight="12.9"/>
  <cols>
    <col min="1" max="1" width="9.09174311926606" style="1" customWidth="1"/>
    <col min="2" max="2" width="13.8623853211009" style="1"/>
    <col min="3" max="3" width="19.0642201834862" style="1" customWidth="1"/>
    <col min="4" max="4" width="9" style="1"/>
    <col min="5" max="5" width="13.8623853211009" style="1"/>
    <col min="6" max="6" width="19.0642201834862" style="1" customWidth="1"/>
    <col min="7" max="7" width="8.22018348623853" style="1" customWidth="1"/>
    <col min="8" max="8" width="13.8623853211009" style="1"/>
    <col min="9" max="9" width="19.0642201834862" style="1" customWidth="1"/>
    <col min="10" max="10" width="9" style="1"/>
    <col min="11" max="11" width="12.743119266055" style="1"/>
    <col min="12" max="14" width="14.3211009174312" style="1" customWidth="1"/>
    <col min="15" max="15" width="19.4311926605505" style="1" customWidth="1"/>
    <col min="16" max="16" width="19.9266055045872" style="1" customWidth="1"/>
    <col min="17" max="17" width="17.8165137614679" style="1" customWidth="1"/>
    <col min="18" max="18" width="17.8165137614679" style="2" customWidth="1"/>
    <col min="19" max="19" width="12.8348623853211" style="2" customWidth="1"/>
    <col min="20" max="20" width="12.743119266055" style="1"/>
    <col min="21" max="23" width="14.5779816513761" style="1" customWidth="1"/>
    <col min="24" max="24" width="18.0642201834862" style="1" customWidth="1"/>
    <col min="25" max="25" width="20.9266055045872" style="1" customWidth="1"/>
    <col min="26" max="27" width="17.9357798165138" style="1" customWidth="1"/>
    <col min="28" max="28" width="13.3394495412844" style="2" customWidth="1"/>
    <col min="29" max="29" width="12.743119266055" style="2"/>
    <col min="30" max="32" width="14.4495412844037" style="1" customWidth="1"/>
    <col min="33" max="33" width="19.3119266055046" style="1" customWidth="1"/>
    <col min="34" max="34" width="19.8073394495413" style="1" customWidth="1"/>
    <col min="35" max="36" width="17.8165137614679" style="1" customWidth="1"/>
    <col min="37" max="37" width="12.4587155963303" style="1" customWidth="1"/>
    <col min="39" max="39" width="10.4954128440367"/>
    <col min="40" max="40" width="11.954128440367" style="2" customWidth="1"/>
    <col min="41" max="41" width="11.2201834862385" style="1" customWidth="1"/>
    <col min="43" max="43" width="9.4954128440367"/>
    <col min="44" max="44" width="10.4954128440367" style="1"/>
    <col min="45" max="45" width="9" style="1"/>
    <col min="46" max="46" width="16.2018348623853" customWidth="1"/>
    <col min="47" max="47" width="11.7155963302752" customWidth="1"/>
    <col min="48" max="48" width="11.2201834862385" customWidth="1"/>
    <col min="49" max="49" width="16.2018348623853" customWidth="1"/>
    <col min="50" max="50" width="11.7155963302752" customWidth="1"/>
    <col min="51" max="51" width="9" style="1"/>
    <col min="52" max="52" width="19.3761467889908" style="1" customWidth="1"/>
    <col min="53" max="53" width="11.5871559633028" style="1" customWidth="1"/>
    <col min="54" max="16384" width="9" style="1"/>
  </cols>
  <sheetData>
    <row r="1" spans="2:52">
      <c r="B1" t="s">
        <v>408</v>
      </c>
      <c r="C1" t="s">
        <v>409</v>
      </c>
      <c r="E1" t="s">
        <v>408</v>
      </c>
      <c r="F1" t="s">
        <v>409</v>
      </c>
      <c r="H1" t="s">
        <v>408</v>
      </c>
      <c r="I1" t="s">
        <v>409</v>
      </c>
      <c r="K1" t="s">
        <v>410</v>
      </c>
      <c r="L1" t="s">
        <v>411</v>
      </c>
      <c r="M1" t="s">
        <v>412</v>
      </c>
      <c r="N1" t="s">
        <v>413</v>
      </c>
      <c r="O1" t="s">
        <v>414</v>
      </c>
      <c r="P1" t="s">
        <v>415</v>
      </c>
      <c r="Q1" s="31" t="s">
        <v>416</v>
      </c>
      <c r="R1" s="31" t="s">
        <v>417</v>
      </c>
      <c r="S1" s="1"/>
      <c r="T1" t="s">
        <v>410</v>
      </c>
      <c r="U1" t="s">
        <v>411</v>
      </c>
      <c r="V1" t="s">
        <v>412</v>
      </c>
      <c r="W1" t="s">
        <v>413</v>
      </c>
      <c r="X1" t="s">
        <v>414</v>
      </c>
      <c r="Y1" t="s">
        <v>415</v>
      </c>
      <c r="Z1" s="31" t="s">
        <v>418</v>
      </c>
      <c r="AA1" s="31" t="s">
        <v>419</v>
      </c>
      <c r="AC1" t="s">
        <v>410</v>
      </c>
      <c r="AD1" t="s">
        <v>411</v>
      </c>
      <c r="AE1" t="s">
        <v>412</v>
      </c>
      <c r="AF1" t="s">
        <v>413</v>
      </c>
      <c r="AG1" t="s">
        <v>414</v>
      </c>
      <c r="AH1" t="s">
        <v>415</v>
      </c>
      <c r="AI1" s="31" t="s">
        <v>420</v>
      </c>
      <c r="AJ1" s="31" t="s">
        <v>421</v>
      </c>
      <c r="AK1" s="32" t="s">
        <v>422</v>
      </c>
      <c r="AL1" s="29" t="s">
        <v>408</v>
      </c>
      <c r="AM1" s="29" t="s">
        <v>423</v>
      </c>
      <c r="AN1" s="1"/>
      <c r="AO1" s="32" t="s">
        <v>424</v>
      </c>
      <c r="AP1" s="29" t="s">
        <v>408</v>
      </c>
      <c r="AQ1" s="29" t="s">
        <v>423</v>
      </c>
      <c r="AS1" s="34">
        <v>6.85</v>
      </c>
      <c r="AT1" s="35">
        <v>126</v>
      </c>
      <c r="AU1" s="36"/>
      <c r="AV1" s="36"/>
      <c r="AW1" s="35">
        <v>126</v>
      </c>
      <c r="AX1" s="36"/>
      <c r="AZ1" s="178" t="s">
        <v>425</v>
      </c>
    </row>
    <row r="2" spans="2:53">
      <c r="B2" s="173" t="s">
        <v>426</v>
      </c>
      <c r="C2" s="173"/>
      <c r="E2" s="173" t="s">
        <v>426</v>
      </c>
      <c r="F2" s="173"/>
      <c r="H2" s="173" t="s">
        <v>426</v>
      </c>
      <c r="I2" s="173"/>
      <c r="K2" s="173" t="s">
        <v>426</v>
      </c>
      <c r="L2" s="173"/>
      <c r="M2" s="173"/>
      <c r="N2" s="173"/>
      <c r="O2" s="173"/>
      <c r="P2" s="173"/>
      <c r="Q2" s="174">
        <v>0</v>
      </c>
      <c r="R2" s="174">
        <v>0</v>
      </c>
      <c r="S2" s="1" t="e">
        <f>VLOOKUP(K:K,'1店'!$B:$B,1,0)</f>
        <v>#N/A</v>
      </c>
      <c r="T2" s="173" t="s">
        <v>426</v>
      </c>
      <c r="U2" s="173"/>
      <c r="V2" s="173"/>
      <c r="W2" s="173"/>
      <c r="X2" s="173"/>
      <c r="Y2" s="173"/>
      <c r="Z2" s="174">
        <v>0</v>
      </c>
      <c r="AA2" s="174">
        <v>0</v>
      </c>
      <c r="AB2" s="2" t="e">
        <f>VLOOKUP(T:T,'1店'!$B:$B,1,0)</f>
        <v>#N/A</v>
      </c>
      <c r="AC2" s="173" t="s">
        <v>426</v>
      </c>
      <c r="AD2" s="173"/>
      <c r="AE2" s="173"/>
      <c r="AF2" s="173"/>
      <c r="AG2" s="173"/>
      <c r="AH2" s="173"/>
      <c r="AI2" s="174">
        <v>0</v>
      </c>
      <c r="AJ2" s="174">
        <v>0</v>
      </c>
      <c r="AK2" s="1" t="e">
        <f>VLOOKUP(AC:AC,'1店'!$B:$B,1,0)</f>
        <v>#N/A</v>
      </c>
      <c r="AL2" s="29" t="s">
        <v>277</v>
      </c>
      <c r="AM2" s="33">
        <v>395.78</v>
      </c>
      <c r="AN2" s="1">
        <f>AM2*$AS$1</f>
        <v>2711.093</v>
      </c>
      <c r="AP2" s="29" t="s">
        <v>286</v>
      </c>
      <c r="AQ2" s="33">
        <v>1052</v>
      </c>
      <c r="AR2" s="1">
        <f>AQ2*$AS$1</f>
        <v>7206.2</v>
      </c>
      <c r="AS2" s="34">
        <v>4.9</v>
      </c>
      <c r="AT2" s="37" t="s">
        <v>10</v>
      </c>
      <c r="AU2" s="38" t="s">
        <v>21</v>
      </c>
      <c r="AV2" s="175"/>
      <c r="AW2" s="37" t="s">
        <v>10</v>
      </c>
      <c r="AX2" s="38" t="s">
        <v>21</v>
      </c>
      <c r="AZ2" s="115"/>
      <c r="BA2" s="106"/>
    </row>
    <row r="3" spans="2:53">
      <c r="B3" s="173" t="s">
        <v>190</v>
      </c>
      <c r="C3" s="173">
        <v>6</v>
      </c>
      <c r="D3" s="1" t="str">
        <f>VLOOKUP(B:B,'1店'!$B:$B,1,0)</f>
        <v>Y1038-SI</v>
      </c>
      <c r="E3" s="173" t="s">
        <v>190</v>
      </c>
      <c r="F3" s="173">
        <v>13</v>
      </c>
      <c r="G3" s="1" t="str">
        <f>VLOOKUP(E:E,'1店'!$B:$B,1,0)</f>
        <v>Y1038-SI</v>
      </c>
      <c r="H3" s="173" t="s">
        <v>118</v>
      </c>
      <c r="I3" s="173">
        <v>10</v>
      </c>
      <c r="J3" s="1" t="str">
        <f>VLOOKUP(H:H,'1店'!$B:$B,1,0)</f>
        <v>Y1037</v>
      </c>
      <c r="K3" s="173" t="s">
        <v>190</v>
      </c>
      <c r="L3" s="173">
        <v>6522</v>
      </c>
      <c r="M3" s="173">
        <v>31</v>
      </c>
      <c r="N3" s="173">
        <v>14.71</v>
      </c>
      <c r="O3" s="173">
        <v>39.96</v>
      </c>
      <c r="P3" s="173">
        <v>4</v>
      </c>
      <c r="Q3" s="174">
        <v>0.368118118118118</v>
      </c>
      <c r="R3" s="174">
        <v>0.129032258064516</v>
      </c>
      <c r="S3" s="1" t="str">
        <f>VLOOKUP(K:K,'1店'!$B:$B,1,0)</f>
        <v>Y1038-SI</v>
      </c>
      <c r="T3" s="173" t="s">
        <v>190</v>
      </c>
      <c r="U3" s="173">
        <v>14944</v>
      </c>
      <c r="V3" s="173">
        <v>52</v>
      </c>
      <c r="W3" s="173">
        <v>24.47</v>
      </c>
      <c r="X3" s="173">
        <v>39.96</v>
      </c>
      <c r="Y3" s="173">
        <v>4</v>
      </c>
      <c r="Z3" s="174">
        <v>0.612362362362362</v>
      </c>
      <c r="AA3" s="174">
        <v>0.0769230769230769</v>
      </c>
      <c r="AB3" s="2" t="str">
        <f>VLOOKUP(T:T,'1店'!$B:$B,1,0)</f>
        <v>Y1038-SI</v>
      </c>
      <c r="AC3" s="173" t="s">
        <v>190</v>
      </c>
      <c r="AD3" s="173">
        <v>25425</v>
      </c>
      <c r="AE3" s="173">
        <v>115</v>
      </c>
      <c r="AF3" s="173">
        <v>53.01</v>
      </c>
      <c r="AG3" s="173">
        <v>139.86</v>
      </c>
      <c r="AH3" s="173">
        <v>15</v>
      </c>
      <c r="AI3" s="174">
        <v>0.379021879021879</v>
      </c>
      <c r="AJ3" s="174">
        <v>0.130434782608696</v>
      </c>
      <c r="AK3" s="1" t="str">
        <f>VLOOKUP(AC:AC,'1店'!$B:$B,1,0)</f>
        <v>Y1038-SI</v>
      </c>
      <c r="AL3" s="29" t="s">
        <v>286</v>
      </c>
      <c r="AM3" s="33">
        <v>417.78</v>
      </c>
      <c r="AN3" s="1">
        <f>AM3*$AS$1</f>
        <v>2861.793</v>
      </c>
      <c r="AP3" s="29" t="s">
        <v>277</v>
      </c>
      <c r="AQ3" s="33">
        <v>726.78</v>
      </c>
      <c r="AR3" s="1">
        <f t="shared" ref="AR3:AR14" si="0">AQ3*$AS$1</f>
        <v>4978.443</v>
      </c>
      <c r="AT3" s="40" t="s">
        <v>48</v>
      </c>
      <c r="AU3" s="41">
        <v>65474.843</v>
      </c>
      <c r="AV3" s="176"/>
      <c r="AW3" s="40" t="s">
        <v>48</v>
      </c>
      <c r="AX3" s="41">
        <v>67742.882</v>
      </c>
      <c r="AZ3" s="179" t="s">
        <v>427</v>
      </c>
      <c r="BA3" s="179" t="s">
        <v>428</v>
      </c>
    </row>
    <row r="4" spans="2:54">
      <c r="B4" s="173" t="s">
        <v>154</v>
      </c>
      <c r="C4" s="173">
        <v>19</v>
      </c>
      <c r="D4" s="1" t="str">
        <f>VLOOKUP(B:B,'1店'!B:B,1,0)</f>
        <v>Y1054</v>
      </c>
      <c r="E4" s="173" t="s">
        <v>118</v>
      </c>
      <c r="F4" s="173">
        <v>4</v>
      </c>
      <c r="G4" s="1" t="str">
        <f>VLOOKUP(E:E,'1店'!$B:$B,1,0)</f>
        <v>Y1037</v>
      </c>
      <c r="H4" s="173" t="s">
        <v>121</v>
      </c>
      <c r="I4" s="173">
        <v>15</v>
      </c>
      <c r="J4" s="1" t="str">
        <f>VLOOKUP(H:H,'1店'!$B:$B,1,0)</f>
        <v>Y1041-RE</v>
      </c>
      <c r="K4" s="173" t="s">
        <v>124</v>
      </c>
      <c r="L4" s="173">
        <v>1317</v>
      </c>
      <c r="M4" s="173">
        <v>3</v>
      </c>
      <c r="N4" s="173">
        <v>2.86</v>
      </c>
      <c r="O4" s="173">
        <v>35.98</v>
      </c>
      <c r="P4" s="173">
        <v>2</v>
      </c>
      <c r="Q4" s="174">
        <v>0.0794886047804336</v>
      </c>
      <c r="R4" s="174">
        <v>0.666666666666667</v>
      </c>
      <c r="S4" s="1" t="str">
        <f>VLOOKUP(K:K,'1店'!$B:$B,1,0)</f>
        <v>Y1041-BU</v>
      </c>
      <c r="T4" s="173" t="s">
        <v>124</v>
      </c>
      <c r="U4" s="173">
        <v>4233</v>
      </c>
      <c r="V4" s="173">
        <v>12</v>
      </c>
      <c r="W4" s="173">
        <v>13.26</v>
      </c>
      <c r="X4" s="173">
        <v>35.98</v>
      </c>
      <c r="Y4" s="173">
        <v>2</v>
      </c>
      <c r="Z4" s="174">
        <v>0.368538076709283</v>
      </c>
      <c r="AA4" s="174">
        <v>0.166666666666667</v>
      </c>
      <c r="AB4" s="2" t="str">
        <f>VLOOKUP(T:T,'1店'!$B:$B,1,0)</f>
        <v>Y1041-BU</v>
      </c>
      <c r="AC4" s="173" t="s">
        <v>124</v>
      </c>
      <c r="AD4" s="173">
        <v>17683</v>
      </c>
      <c r="AE4" s="173">
        <v>43</v>
      </c>
      <c r="AF4" s="173">
        <v>52.11</v>
      </c>
      <c r="AG4" s="173">
        <v>69.96</v>
      </c>
      <c r="AH4" s="173">
        <v>4</v>
      </c>
      <c r="AI4" s="174">
        <v>0.744854202401372</v>
      </c>
      <c r="AJ4" s="174">
        <v>0.0930232558139535</v>
      </c>
      <c r="AK4" s="1" t="str">
        <f>VLOOKUP(AC:AC,'1店'!$B:$B,1,0)</f>
        <v>Y1041-BU</v>
      </c>
      <c r="AL4" s="29" t="s">
        <v>154</v>
      </c>
      <c r="AM4" s="33">
        <v>227.81</v>
      </c>
      <c r="AN4" s="1">
        <f>AM4*$AS$1</f>
        <v>1560.4985</v>
      </c>
      <c r="AP4" s="29" t="s">
        <v>307</v>
      </c>
      <c r="AQ4" s="33">
        <v>904.44</v>
      </c>
      <c r="AR4" s="1">
        <f t="shared" si="0"/>
        <v>6195.414</v>
      </c>
      <c r="AT4" s="43" t="s">
        <v>49</v>
      </c>
      <c r="AU4" s="44">
        <v>13.9</v>
      </c>
      <c r="AV4" s="177"/>
      <c r="AW4" s="43" t="s">
        <v>49</v>
      </c>
      <c r="AX4" s="44">
        <v>13.9</v>
      </c>
      <c r="AZ4" t="s">
        <v>429</v>
      </c>
      <c r="BA4">
        <v>3.59</v>
      </c>
      <c r="BB4" s="1" t="s">
        <v>430</v>
      </c>
    </row>
    <row r="5" spans="2:54">
      <c r="B5" s="173" t="s">
        <v>160</v>
      </c>
      <c r="C5" s="173">
        <v>3</v>
      </c>
      <c r="D5" s="1" t="str">
        <f>VLOOKUP(B:B,'1店'!B:B,1,0)</f>
        <v>Y1056</v>
      </c>
      <c r="E5" s="173" t="s">
        <v>121</v>
      </c>
      <c r="F5" s="173">
        <v>9</v>
      </c>
      <c r="G5" s="1" t="str">
        <f>VLOOKUP(E:E,'1店'!$B:$B,1,0)</f>
        <v>Y1041-RE</v>
      </c>
      <c r="H5" s="173" t="s">
        <v>154</v>
      </c>
      <c r="I5" s="173">
        <v>51</v>
      </c>
      <c r="J5" s="1" t="str">
        <f>VLOOKUP(H:H,'1店'!$B:$B,1,0)</f>
        <v>Y1054</v>
      </c>
      <c r="K5" s="173" t="s">
        <v>154</v>
      </c>
      <c r="L5" s="173">
        <v>10748</v>
      </c>
      <c r="M5" s="173">
        <v>58</v>
      </c>
      <c r="N5" s="173">
        <v>33.64</v>
      </c>
      <c r="O5" s="173">
        <v>160.87</v>
      </c>
      <c r="P5" s="173">
        <v>13</v>
      </c>
      <c r="Q5" s="174">
        <v>0.209112948343383</v>
      </c>
      <c r="R5" s="174">
        <v>0.224137931034483</v>
      </c>
      <c r="S5" s="1" t="str">
        <f>VLOOKUP(K:K,'1店'!$B:$B,1,0)</f>
        <v>Y1054</v>
      </c>
      <c r="T5" s="173" t="s">
        <v>121</v>
      </c>
      <c r="U5" s="173">
        <v>16651</v>
      </c>
      <c r="V5" s="173">
        <v>20</v>
      </c>
      <c r="W5" s="173">
        <v>21.35</v>
      </c>
      <c r="X5" s="173">
        <v>85.95</v>
      </c>
      <c r="Y5" s="173">
        <v>5</v>
      </c>
      <c r="Z5" s="174">
        <v>0.248400232693426</v>
      </c>
      <c r="AA5" s="174">
        <v>0.25</v>
      </c>
      <c r="AB5" s="2" t="str">
        <f>VLOOKUP(T:T,'1店'!$B:$B,1,0)</f>
        <v>Y1041-RE</v>
      </c>
      <c r="AC5" s="173" t="s">
        <v>121</v>
      </c>
      <c r="AD5" s="173">
        <v>61740</v>
      </c>
      <c r="AE5" s="173">
        <v>77</v>
      </c>
      <c r="AF5" s="173">
        <v>96.66</v>
      </c>
      <c r="AG5" s="173">
        <v>148.91</v>
      </c>
      <c r="AH5" s="173">
        <v>9</v>
      </c>
      <c r="AI5" s="174">
        <v>0.649116916258143</v>
      </c>
      <c r="AJ5" s="174">
        <v>0.116883116883117</v>
      </c>
      <c r="AK5" s="1" t="str">
        <f>VLOOKUP(AC:AC,'1店'!$B:$B,1,0)</f>
        <v>Y1041-RE</v>
      </c>
      <c r="AL5" s="29" t="s">
        <v>307</v>
      </c>
      <c r="AM5" s="33">
        <v>389.85</v>
      </c>
      <c r="AN5" s="1">
        <f>AM5*$AS$1</f>
        <v>2670.4725</v>
      </c>
      <c r="AP5" s="29" t="s">
        <v>157</v>
      </c>
      <c r="AQ5" s="33">
        <v>584.61</v>
      </c>
      <c r="AR5" s="1">
        <f t="shared" si="0"/>
        <v>4004.5785</v>
      </c>
      <c r="AT5" s="43" t="s">
        <v>52</v>
      </c>
      <c r="AU5" s="44">
        <v>13.9</v>
      </c>
      <c r="AV5" s="177"/>
      <c r="AW5" s="43" t="s">
        <v>52</v>
      </c>
      <c r="AX5" s="44">
        <v>13.9</v>
      </c>
      <c r="AZ5" t="s">
        <v>118</v>
      </c>
      <c r="BA5">
        <v>8.176</v>
      </c>
      <c r="BB5" s="1" t="s">
        <v>430</v>
      </c>
    </row>
    <row r="6" spans="2:54">
      <c r="B6" s="173" t="s">
        <v>280</v>
      </c>
      <c r="C6" s="173">
        <v>12</v>
      </c>
      <c r="D6" s="1" t="str">
        <f>VLOOKUP(B:B,'1店'!B:B,1,0)</f>
        <v>Y1084</v>
      </c>
      <c r="E6" s="173" t="s">
        <v>175</v>
      </c>
      <c r="F6" s="173">
        <v>5</v>
      </c>
      <c r="G6" s="1" t="str">
        <f>VLOOKUP(E:E,'1店'!$B:$B,1,0)</f>
        <v>Y1060-GR</v>
      </c>
      <c r="H6" s="173" t="s">
        <v>190</v>
      </c>
      <c r="I6" s="173">
        <v>27</v>
      </c>
      <c r="J6" s="1" t="str">
        <f>VLOOKUP(H:H,'1店'!$B:$B,1,0)</f>
        <v>Y1038-SI</v>
      </c>
      <c r="K6" s="173" t="s">
        <v>121</v>
      </c>
      <c r="L6" s="173">
        <v>6399</v>
      </c>
      <c r="M6" s="173">
        <v>7</v>
      </c>
      <c r="N6" s="173">
        <v>5.38</v>
      </c>
      <c r="O6" s="173">
        <v>17.99</v>
      </c>
      <c r="P6" s="173">
        <v>1</v>
      </c>
      <c r="Q6" s="174">
        <v>0.29905503057254</v>
      </c>
      <c r="R6" s="174">
        <v>0.142857142857143</v>
      </c>
      <c r="S6" s="1" t="str">
        <f>VLOOKUP(K:K,'1店'!$B:$B,1,0)</f>
        <v>Y1041-RE</v>
      </c>
      <c r="T6" s="173" t="s">
        <v>154</v>
      </c>
      <c r="U6" s="173">
        <v>23293</v>
      </c>
      <c r="V6" s="173">
        <v>106</v>
      </c>
      <c r="W6" s="173">
        <v>60.59</v>
      </c>
      <c r="X6" s="173">
        <v>348.72</v>
      </c>
      <c r="Y6" s="173">
        <v>27</v>
      </c>
      <c r="Z6" s="174">
        <v>0.173749713236981</v>
      </c>
      <c r="AA6" s="174">
        <v>0.254716981132075</v>
      </c>
      <c r="AB6" s="2" t="str">
        <f>VLOOKUP(T:T,'1店'!$B:$B,1,0)</f>
        <v>Y1054</v>
      </c>
      <c r="AC6" s="173" t="s">
        <v>154</v>
      </c>
      <c r="AD6" s="173">
        <v>36333</v>
      </c>
      <c r="AE6" s="173">
        <v>170</v>
      </c>
      <c r="AF6" s="173">
        <v>91.79</v>
      </c>
      <c r="AG6" s="173">
        <v>542.57</v>
      </c>
      <c r="AH6" s="173">
        <v>42</v>
      </c>
      <c r="AI6" s="174">
        <v>0.169176327478482</v>
      </c>
      <c r="AJ6" s="174">
        <v>0.247058823529412</v>
      </c>
      <c r="AK6" s="1" t="str">
        <f>VLOOKUP(AC:AC,'1店'!$B:$B,1,0)</f>
        <v>Y1054</v>
      </c>
      <c r="AL6" s="29" t="s">
        <v>157</v>
      </c>
      <c r="AM6" s="33">
        <v>239.84</v>
      </c>
      <c r="AN6" s="1">
        <f>AM6*$AS$1</f>
        <v>1642.904</v>
      </c>
      <c r="AP6" s="29" t="s">
        <v>154</v>
      </c>
      <c r="AQ6" s="33">
        <v>407.42</v>
      </c>
      <c r="AR6" s="1">
        <f t="shared" si="0"/>
        <v>2790.827</v>
      </c>
      <c r="AT6" s="43" t="s">
        <v>55</v>
      </c>
      <c r="AU6" s="44">
        <v>13.9</v>
      </c>
      <c r="AV6" s="177"/>
      <c r="AW6" s="43" t="s">
        <v>55</v>
      </c>
      <c r="AX6" s="44">
        <v>13.9</v>
      </c>
      <c r="AZ6" t="s">
        <v>431</v>
      </c>
      <c r="BA6">
        <v>5.403</v>
      </c>
      <c r="BB6" s="1" t="s">
        <v>430</v>
      </c>
    </row>
    <row r="7" spans="2:54">
      <c r="B7" s="173" t="s">
        <v>286</v>
      </c>
      <c r="C7" s="173">
        <v>22</v>
      </c>
      <c r="D7" s="1" t="str">
        <f>VLOOKUP(B:B,'1店'!B:B,1,0)</f>
        <v>Y1087</v>
      </c>
      <c r="E7" s="173" t="s">
        <v>157</v>
      </c>
      <c r="F7" s="173">
        <v>39</v>
      </c>
      <c r="G7" s="1" t="str">
        <f>VLOOKUP(E:E,'1店'!$B:$B,1,0)</f>
        <v>Y1055</v>
      </c>
      <c r="H7" s="173" t="s">
        <v>124</v>
      </c>
      <c r="I7" s="173">
        <v>8</v>
      </c>
      <c r="J7" s="1" t="str">
        <f>VLOOKUP(H:H,'1店'!$B:$B,1,0)</f>
        <v>Y1041-BU</v>
      </c>
      <c r="K7" s="173" t="s">
        <v>432</v>
      </c>
      <c r="L7" s="173">
        <v>1654</v>
      </c>
      <c r="M7" s="173">
        <v>1</v>
      </c>
      <c r="N7" s="173">
        <v>1.72</v>
      </c>
      <c r="O7" s="173">
        <v>0</v>
      </c>
      <c r="P7" s="173">
        <v>0</v>
      </c>
      <c r="Q7" s="174">
        <v>0</v>
      </c>
      <c r="R7" s="174">
        <v>0</v>
      </c>
      <c r="S7" s="1" t="e">
        <f>VLOOKUP(K:K,'1店'!$B:$B,1,0)</f>
        <v>#N/A</v>
      </c>
      <c r="T7" s="173" t="s">
        <v>157</v>
      </c>
      <c r="U7" s="173">
        <v>28610</v>
      </c>
      <c r="V7" s="173">
        <v>113</v>
      </c>
      <c r="W7" s="173">
        <v>61.48</v>
      </c>
      <c r="X7" s="173">
        <v>105.93</v>
      </c>
      <c r="Y7" s="173">
        <v>7</v>
      </c>
      <c r="Z7" s="174">
        <v>0.580383271972057</v>
      </c>
      <c r="AA7" s="174">
        <v>0.0619469026548673</v>
      </c>
      <c r="AB7" s="2" t="str">
        <f>VLOOKUP(T:T,'1店'!$B:$B,1,0)</f>
        <v>Y1055</v>
      </c>
      <c r="AC7" s="173" t="s">
        <v>157</v>
      </c>
      <c r="AD7" s="173">
        <v>57391</v>
      </c>
      <c r="AE7" s="173">
        <v>267</v>
      </c>
      <c r="AF7" s="173">
        <v>138.37</v>
      </c>
      <c r="AG7" s="173">
        <v>419.71</v>
      </c>
      <c r="AH7" s="173">
        <v>29</v>
      </c>
      <c r="AI7" s="174">
        <v>0.329680017154702</v>
      </c>
      <c r="AJ7" s="174">
        <v>0.108614232209738</v>
      </c>
      <c r="AK7" s="1" t="str">
        <f>VLOOKUP(AC:AC,'1店'!$B:$B,1,0)</f>
        <v>Y1055</v>
      </c>
      <c r="AL7" s="29" t="s">
        <v>280</v>
      </c>
      <c r="AM7" s="33">
        <v>227.88</v>
      </c>
      <c r="AN7" s="1">
        <f>AM7*$AS$1</f>
        <v>1560.978</v>
      </c>
      <c r="AP7" s="29" t="s">
        <v>280</v>
      </c>
      <c r="AQ7" s="33">
        <v>535.51</v>
      </c>
      <c r="AR7" s="1">
        <f t="shared" si="0"/>
        <v>3668.2435</v>
      </c>
      <c r="AT7" s="43" t="s">
        <v>58</v>
      </c>
      <c r="AU7" s="44">
        <v>13.9</v>
      </c>
      <c r="AV7" s="177"/>
      <c r="AW7" s="43" t="s">
        <v>58</v>
      </c>
      <c r="AX7" s="44">
        <v>13.9</v>
      </c>
      <c r="AZ7" t="s">
        <v>190</v>
      </c>
      <c r="BA7">
        <v>3.972</v>
      </c>
      <c r="BB7" s="1" t="s">
        <v>430</v>
      </c>
    </row>
    <row r="8" spans="2:54">
      <c r="B8" s="173" t="s">
        <v>118</v>
      </c>
      <c r="C8" s="173">
        <v>1</v>
      </c>
      <c r="D8" s="1" t="str">
        <f>VLOOKUP(B:B,'1店'!B:B,1,0)</f>
        <v>Y1037</v>
      </c>
      <c r="E8" s="173" t="s">
        <v>154</v>
      </c>
      <c r="F8" s="173">
        <v>34</v>
      </c>
      <c r="G8" s="1" t="str">
        <f>VLOOKUP(E:E,'1店'!$B:$B,1,0)</f>
        <v>Y1054</v>
      </c>
      <c r="H8" s="173" t="s">
        <v>157</v>
      </c>
      <c r="I8" s="173">
        <v>81</v>
      </c>
      <c r="J8" s="1" t="str">
        <f>VLOOKUP(H:H,'1店'!$B:$B,1,0)</f>
        <v>Y1055</v>
      </c>
      <c r="K8" s="173" t="s">
        <v>160</v>
      </c>
      <c r="L8" s="173">
        <v>5307</v>
      </c>
      <c r="M8" s="173">
        <v>12</v>
      </c>
      <c r="N8" s="173">
        <v>5.41</v>
      </c>
      <c r="O8" s="173">
        <v>29.98</v>
      </c>
      <c r="P8" s="173">
        <v>2</v>
      </c>
      <c r="Q8" s="174">
        <v>0.180453635757171</v>
      </c>
      <c r="R8" s="174">
        <v>0.166666666666667</v>
      </c>
      <c r="S8" s="1" t="str">
        <f>VLOOKUP(K:K,'1店'!$B:$B,1,0)</f>
        <v>Y1056</v>
      </c>
      <c r="T8" s="173" t="s">
        <v>118</v>
      </c>
      <c r="U8" s="173">
        <v>8090</v>
      </c>
      <c r="V8" s="173">
        <v>2</v>
      </c>
      <c r="W8" s="173">
        <v>2.04</v>
      </c>
      <c r="X8" s="173">
        <v>0</v>
      </c>
      <c r="Y8" s="173">
        <v>0</v>
      </c>
      <c r="Z8" s="174">
        <v>0</v>
      </c>
      <c r="AA8" s="174">
        <v>0</v>
      </c>
      <c r="AB8" s="2" t="str">
        <f>VLOOKUP(T:T,'1店'!$B:$B,1,0)</f>
        <v>Y1037</v>
      </c>
      <c r="AC8" s="173" t="s">
        <v>118</v>
      </c>
      <c r="AD8" s="173">
        <v>21848</v>
      </c>
      <c r="AE8" s="173">
        <v>6</v>
      </c>
      <c r="AF8" s="173">
        <v>5.49</v>
      </c>
      <c r="AG8" s="173">
        <v>0</v>
      </c>
      <c r="AH8" s="173">
        <v>0</v>
      </c>
      <c r="AI8" s="174">
        <v>0</v>
      </c>
      <c r="AJ8" s="174">
        <v>0</v>
      </c>
      <c r="AK8" s="1" t="str">
        <f>VLOOKUP(AC:AC,'1店'!$B:$B,1,0)</f>
        <v>Y1037</v>
      </c>
      <c r="AL8" s="29" t="s">
        <v>310</v>
      </c>
      <c r="AM8" s="33">
        <v>181.93</v>
      </c>
      <c r="AN8" s="1">
        <f>AM8*$AS$1</f>
        <v>1246.2205</v>
      </c>
      <c r="AP8" s="29" t="s">
        <v>310</v>
      </c>
      <c r="AQ8" s="33">
        <v>530.18</v>
      </c>
      <c r="AR8" s="1">
        <f t="shared" si="0"/>
        <v>3631.733</v>
      </c>
      <c r="AT8" s="43" t="s">
        <v>61</v>
      </c>
      <c r="AU8" s="44">
        <v>13.9</v>
      </c>
      <c r="AV8" s="177"/>
      <c r="AW8" s="43" t="s">
        <v>61</v>
      </c>
      <c r="AX8" s="44">
        <v>13.9</v>
      </c>
      <c r="AZ8" t="s">
        <v>295</v>
      </c>
      <c r="BA8">
        <v>3.749</v>
      </c>
      <c r="BB8" s="1" t="s">
        <v>430</v>
      </c>
    </row>
    <row r="9" spans="2:54">
      <c r="B9" s="173" t="s">
        <v>277</v>
      </c>
      <c r="C9" s="173">
        <v>22</v>
      </c>
      <c r="D9" s="1" t="str">
        <f>VLOOKUP(B:B,'1店'!B:B,1,0)</f>
        <v>Y1083</v>
      </c>
      <c r="E9" s="173" t="s">
        <v>160</v>
      </c>
      <c r="F9" s="173">
        <v>4</v>
      </c>
      <c r="G9" s="1" t="str">
        <f>VLOOKUP(E:E,'1店'!$B:$B,1,0)</f>
        <v>Y1056</v>
      </c>
      <c r="H9" s="173" t="s">
        <v>175</v>
      </c>
      <c r="I9" s="173">
        <v>19</v>
      </c>
      <c r="J9" s="1" t="str">
        <f>VLOOKUP(H:H,'1店'!$B:$B,1,0)</f>
        <v>Y1060-GR</v>
      </c>
      <c r="K9" s="173" t="s">
        <v>193</v>
      </c>
      <c r="L9" s="173">
        <v>196</v>
      </c>
      <c r="M9" s="173">
        <v>1</v>
      </c>
      <c r="N9" s="173">
        <v>0.73</v>
      </c>
      <c r="O9" s="173">
        <v>0</v>
      </c>
      <c r="P9" s="173">
        <v>0</v>
      </c>
      <c r="Q9" s="174">
        <v>0</v>
      </c>
      <c r="R9" s="174">
        <v>0</v>
      </c>
      <c r="S9" s="1" t="str">
        <f>VLOOKUP(K:K,'1店'!$B:$B,1,0)</f>
        <v>Y1065-BL</v>
      </c>
      <c r="T9" s="173" t="s">
        <v>432</v>
      </c>
      <c r="U9" s="173">
        <v>3079</v>
      </c>
      <c r="V9" s="173">
        <v>2</v>
      </c>
      <c r="W9" s="173">
        <v>2.45</v>
      </c>
      <c r="X9" s="173">
        <v>0</v>
      </c>
      <c r="Y9" s="173">
        <v>0</v>
      </c>
      <c r="Z9" s="174">
        <v>0</v>
      </c>
      <c r="AA9" s="174">
        <v>0</v>
      </c>
      <c r="AB9" s="2" t="e">
        <f>VLOOKUP(T:T,'1店'!$B:$B,1,0)</f>
        <v>#N/A</v>
      </c>
      <c r="AC9" s="173" t="s">
        <v>432</v>
      </c>
      <c r="AD9" s="173">
        <v>3737</v>
      </c>
      <c r="AE9" s="173">
        <v>7</v>
      </c>
      <c r="AF9" s="173">
        <v>6.01</v>
      </c>
      <c r="AG9" s="173">
        <v>12.99</v>
      </c>
      <c r="AH9" s="173">
        <v>1</v>
      </c>
      <c r="AI9" s="174">
        <v>0.462663587374904</v>
      </c>
      <c r="AJ9" s="174">
        <v>0.142857142857143</v>
      </c>
      <c r="AK9" s="1" t="e">
        <f>VLOOKUP(AC:AC,'1店'!$B:$B,1,0)</f>
        <v>#N/A</v>
      </c>
      <c r="AL9" s="29" t="s">
        <v>190</v>
      </c>
      <c r="AM9" s="33">
        <v>59.94</v>
      </c>
      <c r="AN9" s="1">
        <f>AM9*$AS$1</f>
        <v>410.589</v>
      </c>
      <c r="AP9" s="29" t="s">
        <v>283</v>
      </c>
      <c r="AQ9" s="33">
        <v>349.4</v>
      </c>
      <c r="AR9" s="1">
        <f t="shared" si="0"/>
        <v>2393.39</v>
      </c>
      <c r="AT9" s="43" t="s">
        <v>64</v>
      </c>
      <c r="AU9" s="44">
        <v>55.6</v>
      </c>
      <c r="AV9" s="177"/>
      <c r="AW9" s="43" t="s">
        <v>64</v>
      </c>
      <c r="AX9" s="44">
        <v>55.6</v>
      </c>
      <c r="AZ9" t="s">
        <v>337</v>
      </c>
      <c r="BA9">
        <v>3.86</v>
      </c>
      <c r="BB9" s="1" t="s">
        <v>430</v>
      </c>
    </row>
    <row r="10" spans="2:54">
      <c r="B10" s="173" t="s">
        <v>313</v>
      </c>
      <c r="C10" s="173">
        <v>5</v>
      </c>
      <c r="D10" s="1" t="str">
        <f>VLOOKUP(B:B,'1店'!B:B,1,0)</f>
        <v>Y1058-ZH</v>
      </c>
      <c r="E10" s="173" t="s">
        <v>280</v>
      </c>
      <c r="F10" s="173">
        <v>29</v>
      </c>
      <c r="G10" s="1" t="str">
        <f>VLOOKUP(E:E,'1店'!$B:$B,1,0)</f>
        <v>Y1084</v>
      </c>
      <c r="H10" s="173" t="s">
        <v>148</v>
      </c>
      <c r="I10" s="173">
        <v>6</v>
      </c>
      <c r="J10" s="1" t="str">
        <f>VLOOKUP(H:H,'1店'!$B:$B,1,0)</f>
        <v>Y1052-ZH</v>
      </c>
      <c r="K10" s="173" t="s">
        <v>196</v>
      </c>
      <c r="L10" s="173">
        <v>80</v>
      </c>
      <c r="M10" s="173">
        <v>1</v>
      </c>
      <c r="N10" s="173">
        <v>0.73</v>
      </c>
      <c r="O10" s="173">
        <v>0</v>
      </c>
      <c r="P10" s="173">
        <v>0</v>
      </c>
      <c r="Q10" s="174">
        <v>0</v>
      </c>
      <c r="R10" s="174">
        <v>0</v>
      </c>
      <c r="S10" s="1" t="str">
        <f>VLOOKUP(K:K,'1店'!$B:$B,1,0)</f>
        <v>Y1066-BE</v>
      </c>
      <c r="T10" s="173" t="s">
        <v>160</v>
      </c>
      <c r="U10" s="173">
        <v>10576</v>
      </c>
      <c r="V10" s="173">
        <v>26</v>
      </c>
      <c r="W10" s="173">
        <v>12.65</v>
      </c>
      <c r="X10" s="173">
        <v>50.77</v>
      </c>
      <c r="Y10" s="173">
        <v>3</v>
      </c>
      <c r="Z10" s="174">
        <v>0.249162891471341</v>
      </c>
      <c r="AA10" s="174">
        <v>0.115384615384615</v>
      </c>
      <c r="AB10" s="2" t="str">
        <f>VLOOKUP(T:T,'1店'!$B:$B,1,0)</f>
        <v>Y1056</v>
      </c>
      <c r="AC10" s="173" t="s">
        <v>163</v>
      </c>
      <c r="AD10" s="173">
        <v>17172</v>
      </c>
      <c r="AE10" s="173">
        <v>75</v>
      </c>
      <c r="AF10" s="173">
        <v>32.2</v>
      </c>
      <c r="AG10" s="173">
        <v>138.92</v>
      </c>
      <c r="AH10" s="173">
        <v>8</v>
      </c>
      <c r="AI10" s="174">
        <v>0.231788079470199</v>
      </c>
      <c r="AJ10" s="174">
        <v>0.106666666666667</v>
      </c>
      <c r="AK10" s="1" t="str">
        <f>VLOOKUP(AC:AC,'1店'!$B:$B,1,0)</f>
        <v>Y1057</v>
      </c>
      <c r="AL10" s="29" t="s">
        <v>283</v>
      </c>
      <c r="AM10" s="33">
        <v>110.14</v>
      </c>
      <c r="AN10" s="1">
        <f>AM10*$AS$1</f>
        <v>754.459</v>
      </c>
      <c r="AP10" s="29" t="s">
        <v>390</v>
      </c>
      <c r="AQ10" s="33">
        <v>421.46</v>
      </c>
      <c r="AR10" s="1">
        <f>AQ10*$AS$1</f>
        <v>2887.001</v>
      </c>
      <c r="AT10" s="43" t="s">
        <v>67</v>
      </c>
      <c r="AU10" s="44">
        <v>6</v>
      </c>
      <c r="AV10" s="177"/>
      <c r="AW10" s="43" t="s">
        <v>67</v>
      </c>
      <c r="AX10" s="44">
        <v>6</v>
      </c>
      <c r="AZ10" t="s">
        <v>304</v>
      </c>
      <c r="BA10">
        <v>2.638</v>
      </c>
      <c r="BB10" s="1" t="s">
        <v>430</v>
      </c>
    </row>
    <row r="11" spans="2:54">
      <c r="B11" s="173" t="s">
        <v>157</v>
      </c>
      <c r="C11" s="173">
        <v>16</v>
      </c>
      <c r="D11" s="1" t="str">
        <f>VLOOKUP(B:B,'1店'!B:B,1,0)</f>
        <v>Y1055</v>
      </c>
      <c r="E11" s="173" t="s">
        <v>286</v>
      </c>
      <c r="F11" s="173">
        <v>60</v>
      </c>
      <c r="G11" s="1" t="str">
        <f>VLOOKUP(E:E,'1店'!$B:$B,1,0)</f>
        <v>Y1087</v>
      </c>
      <c r="H11" s="173" t="s">
        <v>187</v>
      </c>
      <c r="I11" s="173">
        <v>9</v>
      </c>
      <c r="J11" s="1" t="str">
        <f>VLOOKUP(H:H,'1店'!$B:$B,1,0)</f>
        <v>Y1064</v>
      </c>
      <c r="K11" s="173" t="s">
        <v>202</v>
      </c>
      <c r="L11" s="173">
        <v>5121</v>
      </c>
      <c r="M11" s="173">
        <v>0</v>
      </c>
      <c r="N11" s="173">
        <v>0</v>
      </c>
      <c r="O11" s="173">
        <v>0</v>
      </c>
      <c r="P11" s="173">
        <v>0</v>
      </c>
      <c r="Q11" s="174">
        <v>0</v>
      </c>
      <c r="R11" s="174">
        <v>0</v>
      </c>
      <c r="S11" s="1" t="str">
        <f>VLOOKUP(K:K,'1店'!$B:$B,1,0)</f>
        <v>Y1066-GA</v>
      </c>
      <c r="T11" s="173" t="s">
        <v>193</v>
      </c>
      <c r="U11" s="173">
        <v>548</v>
      </c>
      <c r="V11" s="173">
        <v>1</v>
      </c>
      <c r="W11" s="173">
        <v>0.73</v>
      </c>
      <c r="X11" s="173">
        <v>0</v>
      </c>
      <c r="Y11" s="173">
        <v>0</v>
      </c>
      <c r="Z11" s="174">
        <v>0</v>
      </c>
      <c r="AA11" s="174">
        <v>0</v>
      </c>
      <c r="AB11" s="2" t="str">
        <f>VLOOKUP(T:T,'1店'!$B:$B,1,0)</f>
        <v>Y1065-BL</v>
      </c>
      <c r="AC11" s="173" t="s">
        <v>160</v>
      </c>
      <c r="AD11" s="173">
        <v>23099</v>
      </c>
      <c r="AE11" s="173">
        <v>64</v>
      </c>
      <c r="AF11" s="173">
        <v>30</v>
      </c>
      <c r="AG11" s="173">
        <v>50.77</v>
      </c>
      <c r="AH11" s="173">
        <v>3</v>
      </c>
      <c r="AI11" s="174">
        <v>0.590900137876699</v>
      </c>
      <c r="AJ11" s="174">
        <v>0.046875</v>
      </c>
      <c r="AK11" s="1" t="str">
        <f>VLOOKUP(AC:AC,'1店'!$B:$B,1,0)</f>
        <v>Y1056</v>
      </c>
      <c r="AL11" s="29" t="s">
        <v>313</v>
      </c>
      <c r="AM11" s="33">
        <v>119.95</v>
      </c>
      <c r="AN11" s="1">
        <f>AM11*$AS$1</f>
        <v>821.6575</v>
      </c>
      <c r="AP11" s="29" t="s">
        <v>190</v>
      </c>
      <c r="AQ11" s="33">
        <v>129.87</v>
      </c>
      <c r="AR11" s="1">
        <f>AQ11*$AS$1</f>
        <v>889.6095</v>
      </c>
      <c r="AT11" s="43" t="s">
        <v>70</v>
      </c>
      <c r="AU11" s="44">
        <v>13.9</v>
      </c>
      <c r="AV11" s="177"/>
      <c r="AW11" s="43" t="s">
        <v>70</v>
      </c>
      <c r="AX11" s="44">
        <v>13.9</v>
      </c>
      <c r="AZ11" t="s">
        <v>298</v>
      </c>
      <c r="BA11">
        <v>4.014</v>
      </c>
      <c r="BB11" s="1" t="s">
        <v>430</v>
      </c>
    </row>
    <row r="12" spans="2:54">
      <c r="B12" s="173" t="s">
        <v>307</v>
      </c>
      <c r="C12" s="173">
        <v>15</v>
      </c>
      <c r="D12" s="1" t="str">
        <f>VLOOKUP(B:B,'1店'!B:B,1,0)</f>
        <v>Y1054-ZH</v>
      </c>
      <c r="E12" s="173" t="s">
        <v>283</v>
      </c>
      <c r="F12" s="173">
        <v>20</v>
      </c>
      <c r="G12" s="1" t="str">
        <f>VLOOKUP(E:E,'1店'!$B:$B,1,0)</f>
        <v>Y1085</v>
      </c>
      <c r="H12" s="173" t="s">
        <v>178</v>
      </c>
      <c r="I12" s="173">
        <v>11</v>
      </c>
      <c r="J12" s="1" t="str">
        <f>VLOOKUP(H:H,'1店'!$B:$B,1,0)</f>
        <v>Y1061</v>
      </c>
      <c r="K12" s="173" t="s">
        <v>277</v>
      </c>
      <c r="L12" s="173">
        <v>19017</v>
      </c>
      <c r="M12" s="173">
        <v>81</v>
      </c>
      <c r="N12" s="173">
        <v>25.19</v>
      </c>
      <c r="O12" s="173">
        <v>159.91</v>
      </c>
      <c r="P12" s="173">
        <v>9</v>
      </c>
      <c r="Q12" s="174">
        <v>0.157526108435995</v>
      </c>
      <c r="R12" s="174">
        <v>0.111111111111111</v>
      </c>
      <c r="S12" s="1" t="str">
        <f>VLOOKUP(K:K,'1店'!$B:$B,1,0)</f>
        <v>Y1083</v>
      </c>
      <c r="T12" s="173" t="s">
        <v>196</v>
      </c>
      <c r="U12" s="173">
        <v>309</v>
      </c>
      <c r="V12" s="173">
        <v>1</v>
      </c>
      <c r="W12" s="173">
        <v>0.73</v>
      </c>
      <c r="X12" s="173">
        <v>0</v>
      </c>
      <c r="Y12" s="173">
        <v>0</v>
      </c>
      <c r="Z12" s="174">
        <v>0</v>
      </c>
      <c r="AA12" s="174">
        <v>0</v>
      </c>
      <c r="AB12" s="2" t="str">
        <f>VLOOKUP(T:T,'1店'!$B:$B,1,0)</f>
        <v>Y1066-BE</v>
      </c>
      <c r="AC12" s="173" t="s">
        <v>193</v>
      </c>
      <c r="AD12" s="173">
        <v>1333</v>
      </c>
      <c r="AE12" s="173">
        <v>1</v>
      </c>
      <c r="AF12" s="173">
        <v>0.73</v>
      </c>
      <c r="AG12" s="173">
        <v>0</v>
      </c>
      <c r="AH12" s="173">
        <v>0</v>
      </c>
      <c r="AI12" s="174">
        <v>0</v>
      </c>
      <c r="AJ12" s="174">
        <v>0</v>
      </c>
      <c r="AK12" s="1" t="str">
        <f>VLOOKUP(AC:AC,'1店'!$B:$B,1,0)</f>
        <v>Y1065-BL</v>
      </c>
      <c r="AL12" s="29" t="s">
        <v>175</v>
      </c>
      <c r="AM12" s="33">
        <v>63.96</v>
      </c>
      <c r="AN12" s="1">
        <f>AM12*$AS$1</f>
        <v>438.126</v>
      </c>
      <c r="AP12" s="29" t="s">
        <v>313</v>
      </c>
      <c r="AQ12" s="33">
        <v>311.87</v>
      </c>
      <c r="AR12" s="1">
        <f>AQ12*$AS$1</f>
        <v>2136.3095</v>
      </c>
      <c r="AT12" s="43" t="s">
        <v>73</v>
      </c>
      <c r="AU12" s="44">
        <v>13.9</v>
      </c>
      <c r="AV12" s="177"/>
      <c r="AW12" s="43" t="s">
        <v>73</v>
      </c>
      <c r="AX12" s="44">
        <v>13.9</v>
      </c>
      <c r="AZ12" t="s">
        <v>301</v>
      </c>
      <c r="BA12">
        <v>4.014</v>
      </c>
      <c r="BB12" s="1" t="s">
        <v>430</v>
      </c>
    </row>
    <row r="13" spans="2:54">
      <c r="B13" s="173" t="s">
        <v>310</v>
      </c>
      <c r="C13" s="173">
        <v>8</v>
      </c>
      <c r="D13" s="1" t="str">
        <f>VLOOKUP(B:B,'1店'!B:B,1,0)</f>
        <v>Y1057-ZH</v>
      </c>
      <c r="E13" s="173" t="s">
        <v>277</v>
      </c>
      <c r="F13" s="173">
        <v>42</v>
      </c>
      <c r="G13" s="1" t="str">
        <f>VLOOKUP(E:E,'1店'!$B:$B,1,0)</f>
        <v>Y1083</v>
      </c>
      <c r="H13" s="173" t="s">
        <v>172</v>
      </c>
      <c r="I13" s="173">
        <v>9</v>
      </c>
      <c r="J13" s="1" t="str">
        <f>VLOOKUP(H:H,'1店'!$B:$B,1,0)</f>
        <v>Y1060-BL</v>
      </c>
      <c r="K13" s="173" t="s">
        <v>280</v>
      </c>
      <c r="L13" s="173">
        <v>10407</v>
      </c>
      <c r="M13" s="173">
        <v>21</v>
      </c>
      <c r="N13" s="173">
        <v>7.39</v>
      </c>
      <c r="O13" s="173">
        <v>37.98</v>
      </c>
      <c r="P13" s="173">
        <v>2</v>
      </c>
      <c r="Q13" s="174">
        <v>0.194576092680358</v>
      </c>
      <c r="R13" s="174">
        <v>0.0952380952380952</v>
      </c>
      <c r="S13" s="1" t="str">
        <f>VLOOKUP(K:K,'1店'!$B:$B,1,0)</f>
        <v>Y1084</v>
      </c>
      <c r="T13" s="173" t="s">
        <v>202</v>
      </c>
      <c r="U13" s="173">
        <v>18939</v>
      </c>
      <c r="V13" s="173">
        <v>1</v>
      </c>
      <c r="W13" s="173">
        <v>0.73</v>
      </c>
      <c r="X13" s="173">
        <v>0</v>
      </c>
      <c r="Y13" s="173">
        <v>0</v>
      </c>
      <c r="Z13" s="174">
        <v>0</v>
      </c>
      <c r="AA13" s="174">
        <v>0</v>
      </c>
      <c r="AB13" s="2" t="str">
        <f>VLOOKUP(T:T,'1店'!$B:$B,1,0)</f>
        <v>Y1066-GA</v>
      </c>
      <c r="AC13" s="173" t="s">
        <v>196</v>
      </c>
      <c r="AD13" s="173">
        <v>90949</v>
      </c>
      <c r="AE13" s="173">
        <v>22</v>
      </c>
      <c r="AF13" s="173">
        <v>14.12</v>
      </c>
      <c r="AG13" s="173">
        <v>7.49</v>
      </c>
      <c r="AH13" s="173">
        <v>1</v>
      </c>
      <c r="AI13" s="174">
        <v>1.88518024032043</v>
      </c>
      <c r="AJ13" s="174">
        <v>0.0454545454545455</v>
      </c>
      <c r="AK13" s="1" t="str">
        <f>VLOOKUP(AC:AC,'1店'!$B:$B,1,0)</f>
        <v>Y1066-BE</v>
      </c>
      <c r="AL13" s="29" t="s">
        <v>340</v>
      </c>
      <c r="AM13" s="33">
        <v>99.96</v>
      </c>
      <c r="AN13" s="1">
        <f>AM13*$AS$1</f>
        <v>684.726</v>
      </c>
      <c r="AP13" s="29" t="s">
        <v>340</v>
      </c>
      <c r="AQ13" s="33">
        <v>274.88</v>
      </c>
      <c r="AR13" s="1">
        <f>AQ13*$AS$1</f>
        <v>1882.928</v>
      </c>
      <c r="AT13" s="43" t="s">
        <v>76</v>
      </c>
      <c r="AU13" s="44">
        <v>13.9</v>
      </c>
      <c r="AV13" s="177"/>
      <c r="AW13" s="43" t="s">
        <v>76</v>
      </c>
      <c r="AX13" s="44">
        <v>13.9</v>
      </c>
      <c r="AZ13" t="s">
        <v>343</v>
      </c>
      <c r="BA13">
        <v>6.34</v>
      </c>
      <c r="BB13" s="1" t="s">
        <v>430</v>
      </c>
    </row>
    <row r="14" spans="2:54">
      <c r="B14" s="173" t="s">
        <v>283</v>
      </c>
      <c r="C14" s="173">
        <v>6</v>
      </c>
      <c r="D14" s="1" t="str">
        <f>VLOOKUP(B:B,'1店'!B:B,1,0)</f>
        <v>Y1085</v>
      </c>
      <c r="E14" s="173" t="s">
        <v>313</v>
      </c>
      <c r="F14" s="173">
        <v>13</v>
      </c>
      <c r="G14" s="1" t="str">
        <f>VLOOKUP(E:E,'1店'!$B:$B,1,0)</f>
        <v>Y1058-ZH</v>
      </c>
      <c r="H14" s="173" t="s">
        <v>184</v>
      </c>
      <c r="I14" s="173">
        <v>9</v>
      </c>
      <c r="J14" s="1" t="str">
        <f>VLOOKUP(H:H,'1店'!$B:$B,1,0)</f>
        <v>Y1063</v>
      </c>
      <c r="K14" s="173" t="s">
        <v>118</v>
      </c>
      <c r="L14" s="173">
        <v>4074</v>
      </c>
      <c r="M14" s="173">
        <v>1</v>
      </c>
      <c r="N14" s="173">
        <v>1.02</v>
      </c>
      <c r="O14" s="173">
        <v>0</v>
      </c>
      <c r="P14" s="173">
        <v>0</v>
      </c>
      <c r="Q14" s="174">
        <v>0</v>
      </c>
      <c r="R14" s="174">
        <v>0</v>
      </c>
      <c r="S14" s="1" t="str">
        <f>VLOOKUP(K:K,'1店'!$B:$B,1,0)</f>
        <v>Y1037</v>
      </c>
      <c r="T14" s="173" t="s">
        <v>277</v>
      </c>
      <c r="U14" s="173">
        <v>42438</v>
      </c>
      <c r="V14" s="173">
        <v>168</v>
      </c>
      <c r="W14" s="173">
        <v>52.76</v>
      </c>
      <c r="X14" s="173">
        <v>260.65</v>
      </c>
      <c r="Y14" s="173">
        <v>15</v>
      </c>
      <c r="Z14" s="174">
        <v>0.202417034337234</v>
      </c>
      <c r="AA14" s="174">
        <v>0.0892857142857143</v>
      </c>
      <c r="AB14" s="2" t="str">
        <f>VLOOKUP(T:T,'1店'!$B:$B,1,0)</f>
        <v>Y1083</v>
      </c>
      <c r="AC14" s="173" t="s">
        <v>202</v>
      </c>
      <c r="AD14" s="173">
        <v>31824</v>
      </c>
      <c r="AE14" s="173">
        <v>4</v>
      </c>
      <c r="AF14" s="173">
        <v>2.9</v>
      </c>
      <c r="AG14" s="173">
        <v>12.99</v>
      </c>
      <c r="AH14" s="173">
        <v>1</v>
      </c>
      <c r="AI14" s="174">
        <v>0.223248652809854</v>
      </c>
      <c r="AJ14" s="174">
        <v>0.25</v>
      </c>
      <c r="AK14" s="1" t="str">
        <f>VLOOKUP(AC:AC,'1店'!$B:$B,1,0)</f>
        <v>Y1066-GA</v>
      </c>
      <c r="AL14" s="29" t="s">
        <v>405</v>
      </c>
      <c r="AM14" s="33">
        <v>63.96</v>
      </c>
      <c r="AN14" s="1">
        <f>AM14*$AS$1</f>
        <v>438.126</v>
      </c>
      <c r="AP14" s="29" t="s">
        <v>399</v>
      </c>
      <c r="AQ14" s="33">
        <v>124.7</v>
      </c>
      <c r="AR14" s="1">
        <f>AQ14*$AS$1</f>
        <v>854.195</v>
      </c>
      <c r="AT14" s="43" t="s">
        <v>79</v>
      </c>
      <c r="AU14" s="44">
        <v>13.9</v>
      </c>
      <c r="AV14" s="177"/>
      <c r="AW14" s="43" t="s">
        <v>79</v>
      </c>
      <c r="AX14" s="44">
        <v>13.9</v>
      </c>
      <c r="AZ14" t="s">
        <v>346</v>
      </c>
      <c r="BA14">
        <v>7.28</v>
      </c>
      <c r="BB14" s="1" t="s">
        <v>430</v>
      </c>
    </row>
    <row r="15" spans="2:54">
      <c r="B15" s="173" t="s">
        <v>292</v>
      </c>
      <c r="C15" s="173">
        <v>1</v>
      </c>
      <c r="D15" s="1" t="str">
        <f>VLOOKUP(B:B,'1店'!B:B,1,0)</f>
        <v>Y1089</v>
      </c>
      <c r="E15" s="173" t="s">
        <v>289</v>
      </c>
      <c r="F15" s="173">
        <v>5</v>
      </c>
      <c r="G15" s="1" t="str">
        <f>VLOOKUP(E:E,'1店'!$B:$B,1,0)</f>
        <v>Y1088</v>
      </c>
      <c r="H15" s="173" t="s">
        <v>160</v>
      </c>
      <c r="I15" s="173">
        <v>9</v>
      </c>
      <c r="J15" s="1" t="str">
        <f>VLOOKUP(H:H,'1店'!$B:$B,1,0)</f>
        <v>Y1056</v>
      </c>
      <c r="K15" s="173" t="s">
        <v>283</v>
      </c>
      <c r="L15" s="173">
        <v>12777</v>
      </c>
      <c r="M15" s="173">
        <v>27</v>
      </c>
      <c r="N15" s="173">
        <v>8.43</v>
      </c>
      <c r="O15" s="173">
        <v>74.96</v>
      </c>
      <c r="P15" s="173">
        <v>4</v>
      </c>
      <c r="Q15" s="174">
        <v>0.112459978655283</v>
      </c>
      <c r="R15" s="174">
        <v>0.148148148148148</v>
      </c>
      <c r="S15" s="1" t="str">
        <f>VLOOKUP(K:K,'1店'!$B:$B,1,0)</f>
        <v>Y1085</v>
      </c>
      <c r="T15" s="173" t="s">
        <v>280</v>
      </c>
      <c r="U15" s="173">
        <v>27415</v>
      </c>
      <c r="V15" s="173">
        <v>71</v>
      </c>
      <c r="W15" s="173">
        <v>22.82</v>
      </c>
      <c r="X15" s="173">
        <v>94.95</v>
      </c>
      <c r="Y15" s="173">
        <v>5</v>
      </c>
      <c r="Z15" s="174">
        <v>0.240337019483939</v>
      </c>
      <c r="AA15" s="174">
        <v>0.0704225352112676</v>
      </c>
      <c r="AB15" s="2" t="str">
        <f>VLOOKUP(T:T,'1店'!$B:$B,1,0)</f>
        <v>Y1084</v>
      </c>
      <c r="AC15" s="173" t="s">
        <v>277</v>
      </c>
      <c r="AD15" s="173">
        <v>69800</v>
      </c>
      <c r="AE15" s="173">
        <v>297</v>
      </c>
      <c r="AF15" s="173">
        <v>93.31</v>
      </c>
      <c r="AG15" s="173">
        <v>359.6</v>
      </c>
      <c r="AH15" s="173">
        <v>20</v>
      </c>
      <c r="AI15" s="174">
        <v>0.25948275862069</v>
      </c>
      <c r="AJ15" s="174">
        <v>0.0673400673400673</v>
      </c>
      <c r="AK15" s="1" t="str">
        <f>VLOOKUP(AC:AC,'1店'!$B:$B,1,0)</f>
        <v>Y1083</v>
      </c>
      <c r="AL15" s="29" t="s">
        <v>124</v>
      </c>
      <c r="AM15" s="33">
        <v>53.97</v>
      </c>
      <c r="AN15" s="1">
        <f>AM15*$AS$1</f>
        <v>369.6945</v>
      </c>
      <c r="AP15" s="29" t="s">
        <v>121</v>
      </c>
      <c r="AQ15" s="33">
        <v>137.92</v>
      </c>
      <c r="AR15" s="1">
        <f>AQ15*$AS$1</f>
        <v>944.752</v>
      </c>
      <c r="AT15" s="43" t="s">
        <v>82</v>
      </c>
      <c r="AU15" s="44">
        <v>27.8</v>
      </c>
      <c r="AV15" s="177"/>
      <c r="AW15" s="43" t="s">
        <v>82</v>
      </c>
      <c r="AX15" s="44">
        <v>27.8</v>
      </c>
      <c r="AZ15" t="s">
        <v>402</v>
      </c>
      <c r="BA15">
        <v>2.466</v>
      </c>
      <c r="BB15" s="1" t="s">
        <v>430</v>
      </c>
    </row>
    <row r="16" spans="2:54">
      <c r="B16" s="173" t="s">
        <v>381</v>
      </c>
      <c r="C16" s="173">
        <v>2</v>
      </c>
      <c r="D16" s="1" t="str">
        <f>VLOOKUP(B:B,'1店'!B:B,1,0)</f>
        <v>Y1038-SILVER</v>
      </c>
      <c r="E16" s="173" t="s">
        <v>307</v>
      </c>
      <c r="F16" s="173">
        <v>36</v>
      </c>
      <c r="G16" s="1" t="str">
        <f>VLOOKUP(E:E,'1店'!$B:$B,1,0)</f>
        <v>Y1054-ZH</v>
      </c>
      <c r="H16" s="173" t="s">
        <v>166</v>
      </c>
      <c r="I16" s="173">
        <v>13</v>
      </c>
      <c r="J16" s="1" t="str">
        <f>VLOOKUP(H:H,'1店'!$B:$B,1,0)</f>
        <v>Y1058</v>
      </c>
      <c r="K16" s="173" t="s">
        <v>286</v>
      </c>
      <c r="L16" s="173">
        <v>20441</v>
      </c>
      <c r="M16" s="173">
        <v>169</v>
      </c>
      <c r="N16" s="173">
        <v>43.61</v>
      </c>
      <c r="O16" s="173">
        <v>180.9</v>
      </c>
      <c r="P16" s="173">
        <v>9</v>
      </c>
      <c r="Q16" s="174">
        <v>0.241072415699281</v>
      </c>
      <c r="R16" s="174">
        <v>0.0532544378698225</v>
      </c>
      <c r="S16" s="1" t="str">
        <f>VLOOKUP(K:K,'1店'!$B:$B,1,0)</f>
        <v>Y1087</v>
      </c>
      <c r="T16" s="173" t="s">
        <v>283</v>
      </c>
      <c r="U16" s="173">
        <v>24747</v>
      </c>
      <c r="V16" s="173">
        <v>66</v>
      </c>
      <c r="W16" s="173">
        <v>20.93</v>
      </c>
      <c r="X16" s="173">
        <v>222.88</v>
      </c>
      <c r="Y16" s="173">
        <v>11</v>
      </c>
      <c r="Z16" s="174">
        <v>0.0939070351758794</v>
      </c>
      <c r="AA16" s="174">
        <v>0.166666666666667</v>
      </c>
      <c r="AB16" s="2" t="str">
        <f>VLOOKUP(T:T,'1店'!$B:$B,1,0)</f>
        <v>Y1085</v>
      </c>
      <c r="AC16" s="173" t="s">
        <v>280</v>
      </c>
      <c r="AD16" s="173">
        <v>40962</v>
      </c>
      <c r="AE16" s="173">
        <v>149</v>
      </c>
      <c r="AF16" s="173">
        <v>44.49</v>
      </c>
      <c r="AG16" s="173">
        <v>204.9</v>
      </c>
      <c r="AH16" s="173">
        <v>10</v>
      </c>
      <c r="AI16" s="174">
        <v>0.217130307467057</v>
      </c>
      <c r="AJ16" s="174">
        <v>0.0671140939597316</v>
      </c>
      <c r="AK16" s="1" t="str">
        <f>VLOOKUP(AC:AC,'1店'!$B:$B,1,0)</f>
        <v>Y1084</v>
      </c>
      <c r="AL16" s="29" t="s">
        <v>172</v>
      </c>
      <c r="AM16" s="33">
        <v>47.97</v>
      </c>
      <c r="AN16" s="1">
        <f>AM16*$AS$1</f>
        <v>328.5945</v>
      </c>
      <c r="AP16" s="29" t="s">
        <v>316</v>
      </c>
      <c r="AQ16" s="33">
        <v>174.92</v>
      </c>
      <c r="AR16" s="1">
        <f>AQ16*$AS$1</f>
        <v>1198.202</v>
      </c>
      <c r="AT16" s="43" t="s">
        <v>85</v>
      </c>
      <c r="AU16" s="44">
        <v>27.8</v>
      </c>
      <c r="AV16" s="177"/>
      <c r="AW16" s="43" t="s">
        <v>85</v>
      </c>
      <c r="AX16" s="44">
        <v>27.8</v>
      </c>
      <c r="AZ16" t="s">
        <v>399</v>
      </c>
      <c r="BA16">
        <v>2.466</v>
      </c>
      <c r="BB16" s="1" t="s">
        <v>430</v>
      </c>
    </row>
    <row r="17" spans="2:54">
      <c r="B17" s="173" t="s">
        <v>375</v>
      </c>
      <c r="C17" s="173">
        <v>5</v>
      </c>
      <c r="D17" s="1" t="str">
        <f>VLOOKUP(B:B,'1店'!B:B,1,0)</f>
        <v>Y1038-BLACK</v>
      </c>
      <c r="E17" s="173" t="s">
        <v>310</v>
      </c>
      <c r="F17" s="173">
        <v>23</v>
      </c>
      <c r="G17" s="1" t="str">
        <f>VLOOKUP(E:E,'1店'!$B:$B,1,0)</f>
        <v>Y1057-ZH</v>
      </c>
      <c r="H17" s="173" t="s">
        <v>193</v>
      </c>
      <c r="I17" s="173">
        <v>1</v>
      </c>
      <c r="J17" s="1" t="str">
        <f>VLOOKUP(H:H,'1店'!$B:$B,1,0)</f>
        <v>Y1065-BL</v>
      </c>
      <c r="K17" s="173" t="s">
        <v>289</v>
      </c>
      <c r="L17" s="173">
        <v>614</v>
      </c>
      <c r="M17" s="173">
        <v>0</v>
      </c>
      <c r="N17" s="173">
        <v>0</v>
      </c>
      <c r="O17" s="173">
        <v>0</v>
      </c>
      <c r="P17" s="173">
        <v>0</v>
      </c>
      <c r="Q17" s="174">
        <v>0</v>
      </c>
      <c r="R17" s="174">
        <v>0</v>
      </c>
      <c r="S17" s="1" t="str">
        <f>VLOOKUP(K:K,'1店'!$B:$B,1,0)</f>
        <v>Y1088</v>
      </c>
      <c r="T17" s="173" t="s">
        <v>286</v>
      </c>
      <c r="U17" s="173">
        <v>38396</v>
      </c>
      <c r="V17" s="173">
        <v>362</v>
      </c>
      <c r="W17" s="173">
        <v>92.99</v>
      </c>
      <c r="X17" s="173">
        <v>442.35</v>
      </c>
      <c r="Y17" s="173">
        <v>24</v>
      </c>
      <c r="Z17" s="174">
        <v>0.21021815304623</v>
      </c>
      <c r="AA17" s="174">
        <v>0.0662983425414365</v>
      </c>
      <c r="AB17" s="2" t="str">
        <f>VLOOKUP(T:T,'1店'!$B:$B,1,0)</f>
        <v>Y1087</v>
      </c>
      <c r="AC17" s="173" t="s">
        <v>283</v>
      </c>
      <c r="AD17" s="173">
        <v>33944</v>
      </c>
      <c r="AE17" s="173">
        <v>117</v>
      </c>
      <c r="AF17" s="173">
        <v>36.37</v>
      </c>
      <c r="AG17" s="173">
        <v>274.85</v>
      </c>
      <c r="AH17" s="173">
        <v>14</v>
      </c>
      <c r="AI17" s="174">
        <v>0.132326723667455</v>
      </c>
      <c r="AJ17" s="174">
        <v>0.11965811965812</v>
      </c>
      <c r="AK17" s="1" t="str">
        <f>VLOOKUP(AC:AC,'1店'!$B:$B,1,0)</f>
        <v>Y1085</v>
      </c>
      <c r="AL17" s="29" t="s">
        <v>187</v>
      </c>
      <c r="AM17" s="33">
        <v>29.97</v>
      </c>
      <c r="AN17" s="1">
        <f>AM17*$AS$1</f>
        <v>205.2945</v>
      </c>
      <c r="AP17" s="29" t="s">
        <v>172</v>
      </c>
      <c r="AQ17" s="33">
        <v>95.94</v>
      </c>
      <c r="AR17" s="1">
        <f>AQ17*$AS$1</f>
        <v>657.189</v>
      </c>
      <c r="AT17" s="43" t="s">
        <v>88</v>
      </c>
      <c r="AU17" s="44">
        <v>27.8</v>
      </c>
      <c r="AV17" s="177"/>
      <c r="AW17" s="43" t="s">
        <v>88</v>
      </c>
      <c r="AX17" s="44">
        <v>27.8</v>
      </c>
      <c r="AZ17" t="s">
        <v>127</v>
      </c>
      <c r="BA17">
        <v>12.214</v>
      </c>
      <c r="BB17" s="1" t="s">
        <v>430</v>
      </c>
    </row>
    <row r="18" spans="2:54">
      <c r="B18" t="s">
        <v>166</v>
      </c>
      <c r="C18">
        <v>1</v>
      </c>
      <c r="D18" s="1" t="str">
        <f>VLOOKUP(B:B,'1店'!B:B,1,0)</f>
        <v>Y1058</v>
      </c>
      <c r="E18" s="173" t="s">
        <v>337</v>
      </c>
      <c r="F18" s="173">
        <v>2</v>
      </c>
      <c r="G18" s="1" t="str">
        <f>VLOOKUP(E:E,'1店'!$B:$B,1,0)</f>
        <v>Y1038-BL</v>
      </c>
      <c r="H18" s="173" t="s">
        <v>280</v>
      </c>
      <c r="I18" s="173">
        <v>36</v>
      </c>
      <c r="J18" s="1" t="str">
        <f>VLOOKUP(H:H,'1店'!$B:$B,1,0)</f>
        <v>Y1084</v>
      </c>
      <c r="K18" s="173" t="s">
        <v>292</v>
      </c>
      <c r="L18" s="173">
        <v>2147</v>
      </c>
      <c r="M18" s="173">
        <v>16</v>
      </c>
      <c r="N18" s="173">
        <v>7.71</v>
      </c>
      <c r="O18" s="173">
        <v>14.99</v>
      </c>
      <c r="P18" s="173">
        <v>1</v>
      </c>
      <c r="Q18" s="174">
        <v>0.514342895263509</v>
      </c>
      <c r="R18" s="174">
        <v>0.0625</v>
      </c>
      <c r="S18" s="1" t="str">
        <f>VLOOKUP(K:K,'1店'!$B:$B,1,0)</f>
        <v>Y1089</v>
      </c>
      <c r="T18" s="173" t="s">
        <v>289</v>
      </c>
      <c r="U18" s="173">
        <v>3485</v>
      </c>
      <c r="V18" s="173">
        <v>5</v>
      </c>
      <c r="W18" s="173">
        <v>2.17</v>
      </c>
      <c r="X18" s="173">
        <v>0</v>
      </c>
      <c r="Y18" s="173">
        <v>0</v>
      </c>
      <c r="Z18" s="174">
        <v>0</v>
      </c>
      <c r="AA18" s="174">
        <v>0</v>
      </c>
      <c r="AB18" s="2" t="str">
        <f>VLOOKUP(T:T,'1店'!$B:$B,1,0)</f>
        <v>Y1088</v>
      </c>
      <c r="AC18" s="173" t="s">
        <v>286</v>
      </c>
      <c r="AD18" s="173">
        <v>65457</v>
      </c>
      <c r="AE18" s="173">
        <v>624</v>
      </c>
      <c r="AF18" s="173">
        <v>156.16</v>
      </c>
      <c r="AG18" s="173">
        <v>819.15</v>
      </c>
      <c r="AH18" s="173">
        <v>44</v>
      </c>
      <c r="AI18" s="174">
        <v>0.190636635536837</v>
      </c>
      <c r="AJ18" s="174">
        <v>0.0705128205128205</v>
      </c>
      <c r="AK18" s="1" t="str">
        <f>VLOOKUP(AC:AC,'1店'!$B:$B,1,0)</f>
        <v>Y1087</v>
      </c>
      <c r="AL18" s="29" t="s">
        <v>271</v>
      </c>
      <c r="AM18" s="33">
        <v>26.97</v>
      </c>
      <c r="AN18" s="1">
        <f>AM18*$AS$1</f>
        <v>184.7445</v>
      </c>
      <c r="AP18" s="29" t="s">
        <v>184</v>
      </c>
      <c r="AQ18" s="33">
        <v>59.94</v>
      </c>
      <c r="AR18" s="1">
        <f>AQ18*$AS$1</f>
        <v>410.589</v>
      </c>
      <c r="AT18" s="43" t="s">
        <v>91</v>
      </c>
      <c r="AU18" s="44">
        <v>13.9</v>
      </c>
      <c r="AV18" s="177"/>
      <c r="AW18" s="43" t="s">
        <v>91</v>
      </c>
      <c r="AX18" s="44">
        <v>13.9</v>
      </c>
      <c r="AZ18" t="s">
        <v>130</v>
      </c>
      <c r="BA18">
        <v>17.377</v>
      </c>
      <c r="BB18" s="1" t="s">
        <v>430</v>
      </c>
    </row>
    <row r="19" spans="2:54">
      <c r="B19" t="s">
        <v>184</v>
      </c>
      <c r="C19">
        <v>2</v>
      </c>
      <c r="D19" s="1" t="str">
        <f>VLOOKUP(B:B,'1店'!B:B,1,0)</f>
        <v>Y1063</v>
      </c>
      <c r="E19" s="173" t="s">
        <v>166</v>
      </c>
      <c r="F19" s="173">
        <v>6</v>
      </c>
      <c r="G19" s="1" t="str">
        <f>VLOOKUP(E:E,'1店'!$B:$B,1,0)</f>
        <v>Y1058</v>
      </c>
      <c r="H19" s="173" t="s">
        <v>286</v>
      </c>
      <c r="I19" s="173">
        <v>103</v>
      </c>
      <c r="J19" s="1" t="str">
        <f>VLOOKUP(H:H,'1店'!$B:$B,1,0)</f>
        <v>Y1087</v>
      </c>
      <c r="K19" s="173" t="s">
        <v>310</v>
      </c>
      <c r="L19" s="173">
        <v>10416</v>
      </c>
      <c r="M19" s="173">
        <v>95</v>
      </c>
      <c r="N19" s="173">
        <v>27.17</v>
      </c>
      <c r="O19" s="173">
        <v>179.93</v>
      </c>
      <c r="P19" s="173">
        <v>7</v>
      </c>
      <c r="Q19" s="174">
        <v>0.151003167898627</v>
      </c>
      <c r="R19" s="174">
        <v>0.0736842105263158</v>
      </c>
      <c r="S19" s="1" t="str">
        <f>VLOOKUP(K:K,'1店'!$B:$B,1,0)</f>
        <v>Y1057-ZH</v>
      </c>
      <c r="T19" s="173" t="s">
        <v>292</v>
      </c>
      <c r="U19" s="173">
        <v>3535</v>
      </c>
      <c r="V19" s="173">
        <v>26</v>
      </c>
      <c r="W19" s="173">
        <v>12.31</v>
      </c>
      <c r="X19" s="173">
        <v>14.99</v>
      </c>
      <c r="Y19" s="173">
        <v>1</v>
      </c>
      <c r="Z19" s="174">
        <v>0.821214142761841</v>
      </c>
      <c r="AA19" s="174">
        <v>0.0384615384615385</v>
      </c>
      <c r="AB19" s="2" t="str">
        <f>VLOOKUP(T:T,'1店'!$B:$B,1,0)</f>
        <v>Y1089</v>
      </c>
      <c r="AC19" s="173" t="s">
        <v>289</v>
      </c>
      <c r="AD19" s="173">
        <v>6102</v>
      </c>
      <c r="AE19" s="173">
        <v>13</v>
      </c>
      <c r="AF19" s="173">
        <v>5.33</v>
      </c>
      <c r="AG19" s="173">
        <v>29.98</v>
      </c>
      <c r="AH19" s="173">
        <v>2</v>
      </c>
      <c r="AI19" s="174">
        <v>0.177785190126751</v>
      </c>
      <c r="AJ19" s="174">
        <v>0.153846153846154</v>
      </c>
      <c r="AK19" s="1" t="str">
        <f>VLOOKUP(AC:AC,'1店'!$B:$B,1,0)</f>
        <v>Y1088</v>
      </c>
      <c r="AL19" s="29" t="s">
        <v>319</v>
      </c>
      <c r="AM19" s="33">
        <v>74.97</v>
      </c>
      <c r="AN19" s="1">
        <f>AM19*$AS$1</f>
        <v>513.5445</v>
      </c>
      <c r="AP19" s="29" t="s">
        <v>175</v>
      </c>
      <c r="AQ19" s="33">
        <v>79.95</v>
      </c>
      <c r="AR19" s="1">
        <f t="shared" ref="AR19:AR34" si="1">AQ19*$AS$1</f>
        <v>547.6575</v>
      </c>
      <c r="AT19" s="43" t="s">
        <v>94</v>
      </c>
      <c r="AU19" s="44">
        <v>27.8</v>
      </c>
      <c r="AV19" s="177"/>
      <c r="AW19" s="43" t="s">
        <v>94</v>
      </c>
      <c r="AX19" s="44">
        <v>27.8</v>
      </c>
      <c r="AZ19" t="s">
        <v>133</v>
      </c>
      <c r="BA19">
        <v>17.377</v>
      </c>
      <c r="BB19" s="1" t="s">
        <v>430</v>
      </c>
    </row>
    <row r="20" spans="2:54">
      <c r="B20" t="s">
        <v>390</v>
      </c>
      <c r="C20">
        <v>1</v>
      </c>
      <c r="D20" s="1" t="str">
        <f>VLOOKUP(B:B,'1店'!B:B,1,0)</f>
        <v>Y1084-ZH</v>
      </c>
      <c r="E20" s="173" t="s">
        <v>343</v>
      </c>
      <c r="F20" s="173">
        <v>2</v>
      </c>
      <c r="G20" s="1" t="str">
        <f>VLOOKUP(E:E,'1店'!$B:$B,1,0)</f>
        <v>Y1095</v>
      </c>
      <c r="H20" s="173" t="s">
        <v>283</v>
      </c>
      <c r="I20" s="173">
        <v>28</v>
      </c>
      <c r="J20" s="1" t="str">
        <f>VLOOKUP(H:H,'1店'!$B:$B,1,0)</f>
        <v>Y1085</v>
      </c>
      <c r="K20" s="173" t="s">
        <v>313</v>
      </c>
      <c r="L20" s="173">
        <v>16207</v>
      </c>
      <c r="M20" s="173">
        <v>23</v>
      </c>
      <c r="N20" s="173">
        <v>11.4</v>
      </c>
      <c r="O20" s="173">
        <v>23.99</v>
      </c>
      <c r="P20" s="173">
        <v>1</v>
      </c>
      <c r="Q20" s="174">
        <v>0.475197999166319</v>
      </c>
      <c r="R20" s="174">
        <v>0.0434782608695652</v>
      </c>
      <c r="S20" s="1" t="str">
        <f>VLOOKUP(K:K,'1店'!$B:$B,1,0)</f>
        <v>Y1058-ZH</v>
      </c>
      <c r="T20" s="173" t="s">
        <v>310</v>
      </c>
      <c r="U20" s="173">
        <v>21848</v>
      </c>
      <c r="V20" s="173">
        <v>207</v>
      </c>
      <c r="W20" s="173">
        <v>57.75</v>
      </c>
      <c r="X20" s="173">
        <v>325.67</v>
      </c>
      <c r="Y20" s="173">
        <v>13</v>
      </c>
      <c r="Z20" s="174">
        <v>0.17732674179384</v>
      </c>
      <c r="AA20" s="174">
        <v>0.0628019323671498</v>
      </c>
      <c r="AB20" s="2" t="str">
        <f>VLOOKUP(T:T,'1店'!$B:$B,1,0)</f>
        <v>Y1057-ZH</v>
      </c>
      <c r="AC20" s="173" t="s">
        <v>292</v>
      </c>
      <c r="AD20" s="173">
        <v>5963</v>
      </c>
      <c r="AE20" s="173">
        <v>39</v>
      </c>
      <c r="AF20" s="173">
        <v>16.91</v>
      </c>
      <c r="AG20" s="173">
        <v>32.98</v>
      </c>
      <c r="AH20" s="173">
        <v>2</v>
      </c>
      <c r="AI20" s="174">
        <v>0.512734990903578</v>
      </c>
      <c r="AJ20" s="174">
        <v>0.0512820512820513</v>
      </c>
      <c r="AK20" s="1" t="str">
        <f>VLOOKUP(AC:AC,'1店'!$B:$B,1,0)</f>
        <v>Y1089</v>
      </c>
      <c r="AL20" s="29" t="s">
        <v>121</v>
      </c>
      <c r="AM20" s="33">
        <v>35.98</v>
      </c>
      <c r="AN20" s="1">
        <f>AM20*$AS$1</f>
        <v>246.463</v>
      </c>
      <c r="AP20" s="29" t="s">
        <v>187</v>
      </c>
      <c r="AQ20" s="33">
        <v>49.95</v>
      </c>
      <c r="AR20" s="1">
        <f t="shared" si="1"/>
        <v>342.1575</v>
      </c>
      <c r="AT20" s="43" t="s">
        <v>97</v>
      </c>
      <c r="AU20" s="44">
        <v>13.9</v>
      </c>
      <c r="AV20" s="177"/>
      <c r="AW20" s="43" t="s">
        <v>97</v>
      </c>
      <c r="AX20" s="44">
        <v>13.9</v>
      </c>
      <c r="AZ20" t="s">
        <v>136</v>
      </c>
      <c r="BA20">
        <v>20.277</v>
      </c>
      <c r="BB20" s="1" t="s">
        <v>430</v>
      </c>
    </row>
    <row r="21" spans="2:54">
      <c r="B21" t="s">
        <v>163</v>
      </c>
      <c r="C21">
        <v>2</v>
      </c>
      <c r="D21" s="1" t="str">
        <f>VLOOKUP(B:B,'1店'!B:B,1,0)</f>
        <v>Y1057</v>
      </c>
      <c r="E21" s="173" t="s">
        <v>340</v>
      </c>
      <c r="F21" s="173">
        <v>12</v>
      </c>
      <c r="G21" s="1" t="str">
        <f>VLOOKUP(E:E,'1店'!$B:$B,1,0)</f>
        <v>Y1060-ZH-</v>
      </c>
      <c r="H21" s="173" t="s">
        <v>277</v>
      </c>
      <c r="I21" s="173">
        <v>61</v>
      </c>
      <c r="J21" s="1" t="str">
        <f>VLOOKUP(H:H,'1店'!$B:$B,1,0)</f>
        <v>Y1083</v>
      </c>
      <c r="K21" s="173" t="s">
        <v>307</v>
      </c>
      <c r="L21" s="173">
        <v>27770</v>
      </c>
      <c r="M21" s="173">
        <v>139</v>
      </c>
      <c r="N21" s="173">
        <v>58.95</v>
      </c>
      <c r="O21" s="173">
        <v>244.9</v>
      </c>
      <c r="P21" s="173">
        <v>10</v>
      </c>
      <c r="Q21" s="174">
        <v>0.240710494079216</v>
      </c>
      <c r="R21" s="174">
        <v>0.0719424460431655</v>
      </c>
      <c r="S21" s="1" t="str">
        <f>VLOOKUP(K:K,'1店'!$B:$B,1,0)</f>
        <v>Y1054-ZH</v>
      </c>
      <c r="T21" s="173" t="s">
        <v>313</v>
      </c>
      <c r="U21" s="173">
        <v>39037</v>
      </c>
      <c r="V21" s="173">
        <v>48</v>
      </c>
      <c r="W21" s="173">
        <v>24.07</v>
      </c>
      <c r="X21" s="173">
        <v>45.97</v>
      </c>
      <c r="Y21" s="173">
        <v>3</v>
      </c>
      <c r="Z21" s="174">
        <v>0.523602349358277</v>
      </c>
      <c r="AA21" s="174">
        <v>0.0625</v>
      </c>
      <c r="AB21" s="2" t="str">
        <f>VLOOKUP(T:T,'1店'!$B:$B,1,0)</f>
        <v>Y1058-ZH</v>
      </c>
      <c r="AC21" s="173" t="s">
        <v>310</v>
      </c>
      <c r="AD21" s="173">
        <v>38461</v>
      </c>
      <c r="AE21" s="173">
        <v>344</v>
      </c>
      <c r="AF21" s="173">
        <v>94.48</v>
      </c>
      <c r="AG21" s="173">
        <v>472.62</v>
      </c>
      <c r="AH21" s="173">
        <v>18</v>
      </c>
      <c r="AI21" s="174">
        <v>0.199906901950827</v>
      </c>
      <c r="AJ21" s="174">
        <v>0.0523255813953488</v>
      </c>
      <c r="AK21" s="1" t="str">
        <f>VLOOKUP(AC:AC,'1店'!$B:$B,1,0)</f>
        <v>Y1057-ZH</v>
      </c>
      <c r="AL21" s="29" t="s">
        <v>136</v>
      </c>
      <c r="AM21" s="33">
        <v>23.98</v>
      </c>
      <c r="AN21" s="1">
        <f>AM21*$AS$1</f>
        <v>164.263</v>
      </c>
      <c r="AP21" s="29" t="s">
        <v>166</v>
      </c>
      <c r="AQ21" s="33">
        <v>89.94</v>
      </c>
      <c r="AR21" s="1">
        <f t="shared" si="1"/>
        <v>616.089</v>
      </c>
      <c r="AT21" s="43" t="s">
        <v>100</v>
      </c>
      <c r="AU21" s="44">
        <v>13.9</v>
      </c>
      <c r="AV21" s="177"/>
      <c r="AW21" s="43" t="s">
        <v>100</v>
      </c>
      <c r="AX21" s="44">
        <v>13.9</v>
      </c>
      <c r="AZ21" t="s">
        <v>124</v>
      </c>
      <c r="BA21">
        <v>9.67</v>
      </c>
      <c r="BB21" s="1" t="s">
        <v>430</v>
      </c>
    </row>
    <row r="22" spans="2:54">
      <c r="B22" t="s">
        <v>172</v>
      </c>
      <c r="C22">
        <v>3</v>
      </c>
      <c r="D22" s="1" t="str">
        <f>VLOOKUP(B:B,'1店'!B:B,1,0)</f>
        <v>Y1060-BL</v>
      </c>
      <c r="E22" s="173" t="s">
        <v>229</v>
      </c>
      <c r="F22" s="173">
        <v>2</v>
      </c>
      <c r="G22" s="1" t="str">
        <f>VLOOKUP(E:E,'1店'!$B:$B,1,0)</f>
        <v>Y1074-MG</v>
      </c>
      <c r="H22" s="173" t="s">
        <v>292</v>
      </c>
      <c r="I22" s="173">
        <v>4</v>
      </c>
      <c r="J22" s="1" t="str">
        <f>VLOOKUP(H:H,'1店'!$B:$B,1,0)</f>
        <v>Y1089</v>
      </c>
      <c r="K22" s="173" t="s">
        <v>157</v>
      </c>
      <c r="L22" s="173">
        <v>12201</v>
      </c>
      <c r="M22" s="173">
        <v>48</v>
      </c>
      <c r="N22" s="173">
        <v>25.04</v>
      </c>
      <c r="O22" s="173">
        <v>60.96</v>
      </c>
      <c r="P22" s="173">
        <v>4</v>
      </c>
      <c r="Q22" s="174">
        <v>0.410761154855643</v>
      </c>
      <c r="R22" s="174">
        <v>0.0833333333333333</v>
      </c>
      <c r="S22" s="1" t="str">
        <f>VLOOKUP(K:K,'1店'!$B:$B,1,0)</f>
        <v>Y1055</v>
      </c>
      <c r="T22" s="173" t="s">
        <v>307</v>
      </c>
      <c r="U22" s="173">
        <v>58211</v>
      </c>
      <c r="V22" s="173">
        <v>296</v>
      </c>
      <c r="W22" s="173">
        <v>128.15</v>
      </c>
      <c r="X22" s="173">
        <v>635.53</v>
      </c>
      <c r="Y22" s="173">
        <v>27</v>
      </c>
      <c r="Z22" s="174">
        <v>0.201642723396221</v>
      </c>
      <c r="AA22" s="174">
        <v>0.0912162162162162</v>
      </c>
      <c r="AB22" s="2" t="str">
        <f>VLOOKUP(T:T,'1店'!$B:$B,1,0)</f>
        <v>Y1054-ZH</v>
      </c>
      <c r="AC22" s="173" t="s">
        <v>313</v>
      </c>
      <c r="AD22" s="173">
        <v>60475</v>
      </c>
      <c r="AE22" s="173">
        <v>91</v>
      </c>
      <c r="AF22" s="173">
        <v>40.9</v>
      </c>
      <c r="AG22" s="173">
        <v>153.92</v>
      </c>
      <c r="AH22" s="173">
        <v>8</v>
      </c>
      <c r="AI22" s="174">
        <v>0.265722453222453</v>
      </c>
      <c r="AJ22" s="174">
        <v>0.0879120879120879</v>
      </c>
      <c r="AK22" s="1" t="str">
        <f>VLOOKUP(AC:AC,'1店'!$B:$B,1,0)</f>
        <v>Y1058-ZH</v>
      </c>
      <c r="AL22" s="29" t="s">
        <v>178</v>
      </c>
      <c r="AM22" s="33">
        <v>29.98</v>
      </c>
      <c r="AN22" s="1">
        <f>AM22*$AS$1</f>
        <v>205.363</v>
      </c>
      <c r="AP22" s="29" t="s">
        <v>118</v>
      </c>
      <c r="AQ22" s="33">
        <v>51.57</v>
      </c>
      <c r="AR22" s="1">
        <f t="shared" si="1"/>
        <v>353.2545</v>
      </c>
      <c r="AT22" s="43" t="s">
        <v>103</v>
      </c>
      <c r="AU22" s="44">
        <v>13.9</v>
      </c>
      <c r="AV22" s="177"/>
      <c r="AW22" s="43" t="s">
        <v>103</v>
      </c>
      <c r="AX22" s="44">
        <v>13.9</v>
      </c>
      <c r="AZ22" t="s">
        <v>121</v>
      </c>
      <c r="BA22">
        <v>9.698</v>
      </c>
      <c r="BB22" s="1" t="s">
        <v>430</v>
      </c>
    </row>
    <row r="23" spans="2:54">
      <c r="B23" t="s">
        <v>259</v>
      </c>
      <c r="C23">
        <v>1</v>
      </c>
      <c r="D23" s="1" t="str">
        <f>VLOOKUP(B:B,'1店'!B:B,1,0)</f>
        <v>Y1078-WH</v>
      </c>
      <c r="E23" s="173" t="s">
        <v>271</v>
      </c>
      <c r="F23" s="173">
        <v>4</v>
      </c>
      <c r="G23" s="1" t="str">
        <f>VLOOKUP(E:E,'1店'!$B:$B,1,0)</f>
        <v>Y1081-BL</v>
      </c>
      <c r="H23" s="173" t="s">
        <v>313</v>
      </c>
      <c r="I23" s="173">
        <v>24</v>
      </c>
      <c r="J23" s="1" t="str">
        <f>VLOOKUP(H:H,'1店'!$B:$B,1,0)</f>
        <v>Y1058-ZH</v>
      </c>
      <c r="K23" s="173" t="s">
        <v>319</v>
      </c>
      <c r="L23" s="173">
        <v>66</v>
      </c>
      <c r="M23" s="173">
        <v>1</v>
      </c>
      <c r="N23" s="173">
        <v>0.25</v>
      </c>
      <c r="O23" s="173">
        <v>0</v>
      </c>
      <c r="P23" s="173">
        <v>0</v>
      </c>
      <c r="Q23" s="174">
        <v>0</v>
      </c>
      <c r="R23" s="174">
        <v>0</v>
      </c>
      <c r="S23" s="1" t="str">
        <f>VLOOKUP(K:K,'1店'!$B:$B,1,0)</f>
        <v>Y1088-ZH</v>
      </c>
      <c r="T23" s="173" t="s">
        <v>241</v>
      </c>
      <c r="U23" s="173">
        <v>67</v>
      </c>
      <c r="V23" s="173">
        <v>1</v>
      </c>
      <c r="W23" s="173">
        <v>0.28</v>
      </c>
      <c r="X23" s="173">
        <v>0</v>
      </c>
      <c r="Y23" s="173">
        <v>0</v>
      </c>
      <c r="Z23" s="174">
        <v>0</v>
      </c>
      <c r="AA23" s="174">
        <v>0</v>
      </c>
      <c r="AB23" s="2" t="str">
        <f>VLOOKUP(T:T,'1店'!$B:$B,1,0)</f>
        <v>Y1075-WH</v>
      </c>
      <c r="AC23" s="173" t="s">
        <v>307</v>
      </c>
      <c r="AD23" s="173">
        <v>98756</v>
      </c>
      <c r="AE23" s="173">
        <v>505</v>
      </c>
      <c r="AF23" s="173">
        <v>203.86</v>
      </c>
      <c r="AG23" s="173">
        <v>1143.33</v>
      </c>
      <c r="AH23" s="173">
        <v>47</v>
      </c>
      <c r="AI23" s="174">
        <v>0.178303726833023</v>
      </c>
      <c r="AJ23" s="174">
        <v>0.0930693069306931</v>
      </c>
      <c r="AK23" s="1" t="str">
        <f>VLOOKUP(AC:AC,'1店'!$B:$B,1,0)</f>
        <v>Y1054-ZH</v>
      </c>
      <c r="AL23" s="29" t="s">
        <v>184</v>
      </c>
      <c r="AM23" s="33">
        <v>19.98</v>
      </c>
      <c r="AN23" s="1">
        <f>AM23*$AS$1</f>
        <v>136.863</v>
      </c>
      <c r="AP23" s="29" t="s">
        <v>124</v>
      </c>
      <c r="AQ23" s="33">
        <v>70.96</v>
      </c>
      <c r="AR23" s="1">
        <f t="shared" si="1"/>
        <v>486.076</v>
      </c>
      <c r="AT23" s="43" t="s">
        <v>106</v>
      </c>
      <c r="AU23" s="44">
        <v>13.9</v>
      </c>
      <c r="AV23" s="177"/>
      <c r="AW23" s="43" t="s">
        <v>106</v>
      </c>
      <c r="AX23" s="44">
        <v>13.9</v>
      </c>
      <c r="AZ23" t="s">
        <v>139</v>
      </c>
      <c r="BA23">
        <v>29.751</v>
      </c>
      <c r="BB23" s="1" t="s">
        <v>430</v>
      </c>
    </row>
    <row r="24" spans="2:54">
      <c r="B24" t="s">
        <v>121</v>
      </c>
      <c r="C24">
        <v>2</v>
      </c>
      <c r="D24" s="1" t="str">
        <f>VLOOKUP(B:B,'1店'!B:B,1,0)</f>
        <v>Y1041-RE</v>
      </c>
      <c r="E24" s="173" t="s">
        <v>259</v>
      </c>
      <c r="F24" s="173">
        <v>2</v>
      </c>
      <c r="G24" s="1" t="str">
        <f>VLOOKUP(E:E,'1店'!$B:$B,1,0)</f>
        <v>Y1078-WH</v>
      </c>
      <c r="H24" s="173" t="s">
        <v>289</v>
      </c>
      <c r="I24" s="173">
        <v>10</v>
      </c>
      <c r="J24" s="1" t="str">
        <f>VLOOKUP(H:H,'1店'!$B:$B,1,0)</f>
        <v>Y1088</v>
      </c>
      <c r="K24" s="173" t="s">
        <v>163</v>
      </c>
      <c r="L24" s="173">
        <v>7540</v>
      </c>
      <c r="M24" s="173">
        <v>17</v>
      </c>
      <c r="N24" s="173">
        <v>8.15</v>
      </c>
      <c r="O24" s="173">
        <v>18.99</v>
      </c>
      <c r="P24" s="173">
        <v>1</v>
      </c>
      <c r="Q24" s="174">
        <v>0.429173249078462</v>
      </c>
      <c r="R24" s="174">
        <v>0.0588235294117647</v>
      </c>
      <c r="S24" s="1" t="str">
        <f>VLOOKUP(K:K,'1店'!$B:$B,1,0)</f>
        <v>Y1057</v>
      </c>
      <c r="T24" s="173" t="s">
        <v>220</v>
      </c>
      <c r="U24" s="173">
        <v>52</v>
      </c>
      <c r="V24" s="173">
        <v>1</v>
      </c>
      <c r="W24" s="173">
        <v>0.2</v>
      </c>
      <c r="X24" s="173">
        <v>0</v>
      </c>
      <c r="Y24" s="173">
        <v>0</v>
      </c>
      <c r="Z24" s="174">
        <v>0</v>
      </c>
      <c r="AA24" s="174">
        <v>0</v>
      </c>
      <c r="AB24" s="2" t="str">
        <f>VLOOKUP(T:T,'1店'!$B:$B,1,0)</f>
        <v>Y1073-BL</v>
      </c>
      <c r="AC24" s="173" t="s">
        <v>241</v>
      </c>
      <c r="AD24" s="173">
        <v>676</v>
      </c>
      <c r="AE24" s="173">
        <v>5</v>
      </c>
      <c r="AF24" s="173">
        <v>1.81</v>
      </c>
      <c r="AG24" s="173">
        <v>0</v>
      </c>
      <c r="AH24" s="173">
        <v>0</v>
      </c>
      <c r="AI24" s="174">
        <v>0</v>
      </c>
      <c r="AJ24" s="174">
        <v>0</v>
      </c>
      <c r="AK24" s="1" t="str">
        <f>VLOOKUP(AC:AC,'1店'!$B:$B,1,0)</f>
        <v>Y1075-WH</v>
      </c>
      <c r="AL24" s="29" t="s">
        <v>163</v>
      </c>
      <c r="AM24" s="33">
        <v>29.98</v>
      </c>
      <c r="AN24" s="1">
        <f>AM24*$AS$1</f>
        <v>205.363</v>
      </c>
      <c r="AP24" s="29" t="s">
        <v>271</v>
      </c>
      <c r="AQ24" s="33">
        <v>35.96</v>
      </c>
      <c r="AR24" s="1">
        <f t="shared" si="1"/>
        <v>246.326</v>
      </c>
      <c r="AT24" s="43" t="s">
        <v>109</v>
      </c>
      <c r="AU24" s="44">
        <v>13.9</v>
      </c>
      <c r="AV24" s="177"/>
      <c r="AW24" s="43" t="s">
        <v>109</v>
      </c>
      <c r="AX24" s="44">
        <v>13.9</v>
      </c>
      <c r="AZ24" t="s">
        <v>433</v>
      </c>
      <c r="BA24">
        <v>20.212</v>
      </c>
      <c r="BB24" s="1" t="s">
        <v>430</v>
      </c>
    </row>
    <row r="25" spans="2:54">
      <c r="B25" t="s">
        <v>124</v>
      </c>
      <c r="C25">
        <v>3</v>
      </c>
      <c r="D25" s="1" t="str">
        <f>VLOOKUP(B:B,'1店'!B:B,1,0)</f>
        <v>Y1041-BU</v>
      </c>
      <c r="E25" s="173" t="s">
        <v>322</v>
      </c>
      <c r="F25" s="173">
        <v>1</v>
      </c>
      <c r="G25" s="1" t="str">
        <f>VLOOKUP(E:E,'1店'!$B:$B,1,0)</f>
        <v>Y1093-BU</v>
      </c>
      <c r="H25" s="173" t="s">
        <v>307</v>
      </c>
      <c r="I25" s="173">
        <v>55</v>
      </c>
      <c r="J25" s="1" t="str">
        <f>VLOOKUP(H:H,'1店'!$B:$B,1,0)</f>
        <v>Y1054-ZH</v>
      </c>
      <c r="K25" s="173" t="s">
        <v>169</v>
      </c>
      <c r="L25" s="173">
        <v>642</v>
      </c>
      <c r="M25" s="173">
        <v>3</v>
      </c>
      <c r="N25" s="173">
        <v>0.94</v>
      </c>
      <c r="O25" s="173">
        <v>0</v>
      </c>
      <c r="P25" s="173">
        <v>0</v>
      </c>
      <c r="Q25" s="174">
        <v>0</v>
      </c>
      <c r="R25" s="174">
        <v>0</v>
      </c>
      <c r="S25" s="1" t="str">
        <f>VLOOKUP(K:K,'1店'!$B:$B,1,0)</f>
        <v>Y1059-SI</v>
      </c>
      <c r="T25" s="173" t="s">
        <v>247</v>
      </c>
      <c r="U25" s="173">
        <v>482</v>
      </c>
      <c r="V25" s="173">
        <v>5</v>
      </c>
      <c r="W25" s="173">
        <v>1.32</v>
      </c>
      <c r="X25" s="173">
        <v>0</v>
      </c>
      <c r="Y25" s="173">
        <v>0</v>
      </c>
      <c r="Z25" s="174">
        <v>0</v>
      </c>
      <c r="AA25" s="174">
        <v>0</v>
      </c>
      <c r="AB25" s="2" t="str">
        <f>VLOOKUP(T:T,'1店'!$B:$B,1,0)</f>
        <v>Y1076-BL</v>
      </c>
      <c r="AC25" s="173" t="s">
        <v>220</v>
      </c>
      <c r="AD25" s="173">
        <v>99</v>
      </c>
      <c r="AE25" s="173">
        <v>2</v>
      </c>
      <c r="AF25" s="173">
        <v>0.37</v>
      </c>
      <c r="AG25" s="173">
        <v>0</v>
      </c>
      <c r="AH25" s="173">
        <v>0</v>
      </c>
      <c r="AI25" s="174">
        <v>0</v>
      </c>
      <c r="AJ25" s="174">
        <v>0</v>
      </c>
      <c r="AK25" s="1" t="str">
        <f>VLOOKUP(AC:AC,'1店'!$B:$B,1,0)</f>
        <v>Y1073-BL</v>
      </c>
      <c r="AL25" s="29" t="s">
        <v>160</v>
      </c>
      <c r="AM25" s="33">
        <v>44.97</v>
      </c>
      <c r="AN25" s="1">
        <f>AM25*$AS$1</f>
        <v>308.0445</v>
      </c>
      <c r="AP25" s="29" t="s">
        <v>289</v>
      </c>
      <c r="AQ25" s="33">
        <v>74.95</v>
      </c>
      <c r="AR25" s="1">
        <f t="shared" si="1"/>
        <v>513.4075</v>
      </c>
      <c r="AT25" s="43" t="s">
        <v>112</v>
      </c>
      <c r="AU25" s="44">
        <v>13.9</v>
      </c>
      <c r="AV25" s="177"/>
      <c r="AW25" s="43" t="s">
        <v>112</v>
      </c>
      <c r="AX25" s="44">
        <v>13.9</v>
      </c>
      <c r="AZ25" t="s">
        <v>142</v>
      </c>
      <c r="BA25">
        <v>25.658</v>
      </c>
      <c r="BB25" s="1" t="s">
        <v>430</v>
      </c>
    </row>
    <row r="26" spans="2:54">
      <c r="B26" t="s">
        <v>232</v>
      </c>
      <c r="C26">
        <v>1</v>
      </c>
      <c r="D26" s="1" t="str">
        <f>VLOOKUP(B:B,'1店'!B:B,1,0)</f>
        <v>Y1074-WH</v>
      </c>
      <c r="E26" s="173" t="s">
        <v>292</v>
      </c>
      <c r="F26" s="173">
        <v>3</v>
      </c>
      <c r="G26" s="1" t="str">
        <f>VLOOKUP(E:E,'1店'!$B:$B,1,0)</f>
        <v>Y1089</v>
      </c>
      <c r="H26" s="173" t="s">
        <v>319</v>
      </c>
      <c r="I26" s="173">
        <v>4</v>
      </c>
      <c r="J26" s="1" t="str">
        <f>VLOOKUP(H:H,'1店'!$B:$B,1,0)</f>
        <v>Y1088-ZH</v>
      </c>
      <c r="K26" s="173" t="s">
        <v>301</v>
      </c>
      <c r="L26" s="173">
        <v>1614</v>
      </c>
      <c r="M26" s="173">
        <v>3</v>
      </c>
      <c r="N26" s="173">
        <v>0.55</v>
      </c>
      <c r="O26" s="173">
        <v>0</v>
      </c>
      <c r="P26" s="173">
        <v>0</v>
      </c>
      <c r="Q26" s="174">
        <v>0</v>
      </c>
      <c r="R26" s="174">
        <v>0</v>
      </c>
      <c r="S26" s="1" t="str">
        <f>VLOOKUP(K:K,'1店'!$B:$B,1,0)</f>
        <v>Y1038-PU</v>
      </c>
      <c r="T26" s="173" t="s">
        <v>319</v>
      </c>
      <c r="U26" s="173">
        <v>186</v>
      </c>
      <c r="V26" s="173">
        <v>3</v>
      </c>
      <c r="W26" s="173">
        <v>0.65</v>
      </c>
      <c r="X26" s="173">
        <v>0</v>
      </c>
      <c r="Y26" s="173">
        <v>0</v>
      </c>
      <c r="Z26" s="174">
        <v>0</v>
      </c>
      <c r="AA26" s="174">
        <v>0</v>
      </c>
      <c r="AB26" s="2" t="str">
        <f>VLOOKUP(T:T,'1店'!$B:$B,1,0)</f>
        <v>Y1088-ZH</v>
      </c>
      <c r="AC26" s="173" t="s">
        <v>247</v>
      </c>
      <c r="AD26" s="173">
        <v>1329</v>
      </c>
      <c r="AE26" s="173">
        <v>13</v>
      </c>
      <c r="AF26" s="173">
        <v>3.57</v>
      </c>
      <c r="AG26" s="173">
        <v>9.99</v>
      </c>
      <c r="AH26" s="173">
        <v>1</v>
      </c>
      <c r="AI26" s="174">
        <v>0.357357357357357</v>
      </c>
      <c r="AJ26" s="174">
        <v>0.0769230769230769</v>
      </c>
      <c r="AK26" s="1" t="str">
        <f>VLOOKUP(AC:AC,'1店'!$B:$B,1,0)</f>
        <v>Y1076-BL</v>
      </c>
      <c r="AL26" s="29" t="s">
        <v>289</v>
      </c>
      <c r="AM26" s="33">
        <v>29.98</v>
      </c>
      <c r="AN26" s="1">
        <f>AM26*$AS$1</f>
        <v>205.363</v>
      </c>
      <c r="AP26" s="29" t="s">
        <v>405</v>
      </c>
      <c r="AQ26" s="33">
        <v>63.96</v>
      </c>
      <c r="AR26" s="1">
        <f t="shared" si="1"/>
        <v>438.126</v>
      </c>
      <c r="AT26" s="43" t="s">
        <v>115</v>
      </c>
      <c r="AU26" s="44">
        <v>13.9</v>
      </c>
      <c r="AV26" s="177"/>
      <c r="AW26" s="43" t="s">
        <v>115</v>
      </c>
      <c r="AX26" s="44">
        <v>13.9</v>
      </c>
      <c r="AZ26" t="s">
        <v>151</v>
      </c>
      <c r="BA26">
        <v>54.132</v>
      </c>
      <c r="BB26" s="1" t="s">
        <v>430</v>
      </c>
    </row>
    <row r="27" spans="2:54">
      <c r="B27" t="s">
        <v>399</v>
      </c>
      <c r="C27">
        <v>1</v>
      </c>
      <c r="D27" s="1" t="str">
        <f>VLOOKUP(B:B,'1店'!B:B,1,0)</f>
        <v>Y1103-BL</v>
      </c>
      <c r="E27" s="173" t="s">
        <v>375</v>
      </c>
      <c r="F27" s="173">
        <v>7</v>
      </c>
      <c r="G27" s="1" t="str">
        <f>VLOOKUP(E:E,'1店'!$B:$B,1,0)</f>
        <v>Y1038-BLACK</v>
      </c>
      <c r="H27" s="173" t="s">
        <v>310</v>
      </c>
      <c r="I27" s="173">
        <v>33</v>
      </c>
      <c r="J27" s="1" t="str">
        <f>VLOOKUP(H:H,'1店'!$B:$B,1,0)</f>
        <v>Y1057-ZH</v>
      </c>
      <c r="K27" s="173" t="s">
        <v>343</v>
      </c>
      <c r="L27" s="173">
        <v>29</v>
      </c>
      <c r="M27" s="173">
        <v>0</v>
      </c>
      <c r="N27" s="173">
        <v>0</v>
      </c>
      <c r="O27" s="173">
        <v>0</v>
      </c>
      <c r="P27" s="173">
        <v>0</v>
      </c>
      <c r="Q27" s="174">
        <v>0</v>
      </c>
      <c r="R27" s="174">
        <v>0</v>
      </c>
      <c r="S27" s="1" t="str">
        <f>VLOOKUP(K:K,'1店'!$B:$B,1,0)</f>
        <v>Y1095</v>
      </c>
      <c r="T27" s="173" t="s">
        <v>214</v>
      </c>
      <c r="U27" s="173">
        <v>55</v>
      </c>
      <c r="V27" s="173">
        <v>0</v>
      </c>
      <c r="W27" s="173">
        <v>0</v>
      </c>
      <c r="X27" s="173">
        <v>0</v>
      </c>
      <c r="Y27" s="173">
        <v>0</v>
      </c>
      <c r="Z27" s="174">
        <v>0</v>
      </c>
      <c r="AA27" s="174">
        <v>0</v>
      </c>
      <c r="AB27" s="2" t="str">
        <f>VLOOKUP(T:T,'1店'!$B:$B,1,0)</f>
        <v>Y1071-WH</v>
      </c>
      <c r="AC27" s="173" t="s">
        <v>319</v>
      </c>
      <c r="AD27" s="173">
        <v>459</v>
      </c>
      <c r="AE27" s="173">
        <v>3</v>
      </c>
      <c r="AF27" s="173">
        <v>0.65</v>
      </c>
      <c r="AG27" s="173">
        <v>0</v>
      </c>
      <c r="AH27" s="173">
        <v>0</v>
      </c>
      <c r="AI27" s="174">
        <v>0</v>
      </c>
      <c r="AJ27" s="174">
        <v>0</v>
      </c>
      <c r="AK27" s="1" t="str">
        <f>VLOOKUP(AC:AC,'1店'!$B:$B,1,0)</f>
        <v>Y1088-ZH</v>
      </c>
      <c r="AL27" s="29" t="s">
        <v>316</v>
      </c>
      <c r="AM27" s="33">
        <v>49.98</v>
      </c>
      <c r="AN27" s="1">
        <f>AM27*$AS$1</f>
        <v>342.363</v>
      </c>
      <c r="AP27" s="29" t="s">
        <v>136</v>
      </c>
      <c r="AQ27" s="33">
        <v>35.97</v>
      </c>
      <c r="AR27" s="1">
        <f t="shared" si="1"/>
        <v>246.3945</v>
      </c>
      <c r="AT27" s="43" t="s">
        <v>118</v>
      </c>
      <c r="AU27" s="44">
        <v>927.899</v>
      </c>
      <c r="AV27" s="177"/>
      <c r="AW27" s="43" t="s">
        <v>118</v>
      </c>
      <c r="AX27" s="44">
        <v>1215.417</v>
      </c>
      <c r="AZ27" t="s">
        <v>148</v>
      </c>
      <c r="BA27">
        <v>29.12</v>
      </c>
      <c r="BB27" s="1" t="s">
        <v>430</v>
      </c>
    </row>
    <row r="28" spans="2:54">
      <c r="B28" t="s">
        <v>340</v>
      </c>
      <c r="C28">
        <v>4</v>
      </c>
      <c r="D28" s="1" t="str">
        <f>VLOOKUP(B:B,'1店'!B:B,1,0)</f>
        <v>Y1060-ZH-</v>
      </c>
      <c r="E28" s="173" t="s">
        <v>381</v>
      </c>
      <c r="F28" s="173">
        <v>9</v>
      </c>
      <c r="G28" s="1" t="str">
        <f>VLOOKUP(E:E,'1店'!$B:$B,1,0)</f>
        <v>Y1038-SILVER</v>
      </c>
      <c r="H28" s="173" t="s">
        <v>265</v>
      </c>
      <c r="I28" s="173">
        <v>1</v>
      </c>
      <c r="J28" s="1" t="str">
        <f>VLOOKUP(H:H,'1店'!$B:$B,1,0)</f>
        <v>Y1080-BU</v>
      </c>
      <c r="K28" s="173" t="s">
        <v>366</v>
      </c>
      <c r="L28" s="173">
        <v>280</v>
      </c>
      <c r="M28" s="173">
        <v>1</v>
      </c>
      <c r="N28" s="173">
        <v>0.48</v>
      </c>
      <c r="O28" s="173">
        <v>0</v>
      </c>
      <c r="P28" s="173">
        <v>0</v>
      </c>
      <c r="Q28" s="174">
        <v>0</v>
      </c>
      <c r="R28" s="174">
        <v>0</v>
      </c>
      <c r="S28" s="1" t="str">
        <f>VLOOKUP(K:K,'1店'!$B:$B,1,0)</f>
        <v>Y1097-BU</v>
      </c>
      <c r="T28" s="173" t="s">
        <v>163</v>
      </c>
      <c r="U28" s="173">
        <v>11797</v>
      </c>
      <c r="V28" s="173">
        <v>41</v>
      </c>
      <c r="W28" s="173">
        <v>19.16</v>
      </c>
      <c r="X28" s="173">
        <v>44.98</v>
      </c>
      <c r="Y28" s="173">
        <v>2</v>
      </c>
      <c r="Z28" s="174">
        <v>0.425967096487328</v>
      </c>
      <c r="AA28" s="174">
        <v>0.0487804878048781</v>
      </c>
      <c r="AB28" s="2" t="str">
        <f>VLOOKUP(T:T,'1店'!$B:$B,1,0)</f>
        <v>Y1057</v>
      </c>
      <c r="AC28" s="173" t="s">
        <v>238</v>
      </c>
      <c r="AD28" s="173">
        <v>220</v>
      </c>
      <c r="AE28" s="173">
        <v>3</v>
      </c>
      <c r="AF28" s="173">
        <v>0.9</v>
      </c>
      <c r="AG28" s="173">
        <v>0</v>
      </c>
      <c r="AH28" s="173">
        <v>0</v>
      </c>
      <c r="AI28" s="174">
        <v>0</v>
      </c>
      <c r="AJ28" s="174">
        <v>0</v>
      </c>
      <c r="AK28" s="1" t="str">
        <f>VLOOKUP(AC:AC,'1店'!$B:$B,1,0)</f>
        <v>Y1075-RE</v>
      </c>
      <c r="AL28" s="29" t="s">
        <v>325</v>
      </c>
      <c r="AM28" s="33">
        <v>21.98</v>
      </c>
      <c r="AN28" s="1">
        <f t="shared" ref="AN28:AN45" si="2">AM28*$AS$1</f>
        <v>150.563</v>
      </c>
      <c r="AP28" s="29" t="s">
        <v>148</v>
      </c>
      <c r="AQ28" s="33">
        <v>71.97</v>
      </c>
      <c r="AR28" s="1">
        <f t="shared" si="1"/>
        <v>492.9945</v>
      </c>
      <c r="AT28" s="43" t="s">
        <v>121</v>
      </c>
      <c r="AU28" s="44">
        <v>660</v>
      </c>
      <c r="AV28" s="177"/>
      <c r="AW28" s="43" t="s">
        <v>121</v>
      </c>
      <c r="AX28" s="44">
        <v>1342</v>
      </c>
      <c r="AZ28" t="s">
        <v>181</v>
      </c>
      <c r="BA28">
        <v>1.484</v>
      </c>
      <c r="BB28" s="1" t="s">
        <v>430</v>
      </c>
    </row>
    <row r="29" spans="2:54">
      <c r="B29" t="s">
        <v>316</v>
      </c>
      <c r="C29">
        <v>2</v>
      </c>
      <c r="D29" s="1" t="str">
        <f>VLOOKUP(B:B,'1店'!B:B,1,0)</f>
        <v>Y1060-GR-ZH</v>
      </c>
      <c r="E29" t="s">
        <v>172</v>
      </c>
      <c r="F29">
        <v>6</v>
      </c>
      <c r="G29" s="1" t="str">
        <f>VLOOKUP(E:E,'1店'!$B:$B,1,0)</f>
        <v>Y1060-BL</v>
      </c>
      <c r="H29" s="173" t="s">
        <v>304</v>
      </c>
      <c r="I29" s="173">
        <v>4</v>
      </c>
      <c r="J29" s="1" t="str">
        <f>VLOOKUP(H:H,'1店'!$B:$B,1,0)</f>
        <v>Y1038-RE</v>
      </c>
      <c r="K29" s="173" t="s">
        <v>220</v>
      </c>
      <c r="L29" s="173">
        <v>28</v>
      </c>
      <c r="M29" s="173">
        <v>0</v>
      </c>
      <c r="N29" s="173">
        <v>0</v>
      </c>
      <c r="O29" s="173">
        <v>0</v>
      </c>
      <c r="P29" s="173">
        <v>0</v>
      </c>
      <c r="Q29" s="174">
        <v>0</v>
      </c>
      <c r="R29" s="174">
        <v>0</v>
      </c>
      <c r="S29" s="1" t="str">
        <f>VLOOKUP(K:K,'1店'!$B:$B,1,0)</f>
        <v>Y1073-BL</v>
      </c>
      <c r="T29" s="173" t="s">
        <v>316</v>
      </c>
      <c r="U29" s="173">
        <v>9205</v>
      </c>
      <c r="V29" s="173">
        <v>33</v>
      </c>
      <c r="W29" s="173">
        <v>19.02</v>
      </c>
      <c r="X29" s="173">
        <v>143.53</v>
      </c>
      <c r="Y29" s="173">
        <v>7</v>
      </c>
      <c r="Z29" s="174">
        <v>0.132515850344876</v>
      </c>
      <c r="AA29" s="174">
        <v>0.212121212121212</v>
      </c>
      <c r="AB29" s="2" t="str">
        <f>VLOOKUP(T:T,'1店'!$B:$B,1,0)</f>
        <v>Y1060-GR-ZH</v>
      </c>
      <c r="AC29" s="173" t="s">
        <v>434</v>
      </c>
      <c r="AD29" s="173">
        <v>4941</v>
      </c>
      <c r="AE29" s="173">
        <v>71</v>
      </c>
      <c r="AF29" s="173">
        <v>13.61</v>
      </c>
      <c r="AG29" s="173">
        <v>17.98</v>
      </c>
      <c r="AH29" s="173">
        <v>2</v>
      </c>
      <c r="AI29" s="174">
        <v>0.756952169076752</v>
      </c>
      <c r="AJ29" s="174">
        <v>0.028169014084507</v>
      </c>
      <c r="AK29" s="1" t="e">
        <f>VLOOKUP(AC:AC,'1店'!$B:$B,1,0)</f>
        <v>#N/A</v>
      </c>
      <c r="AL29" s="29" t="s">
        <v>372</v>
      </c>
      <c r="AM29" s="33">
        <v>15.98</v>
      </c>
      <c r="AN29" s="1">
        <f t="shared" si="2"/>
        <v>109.463</v>
      </c>
      <c r="AP29" s="29" t="s">
        <v>178</v>
      </c>
      <c r="AQ29" s="33">
        <v>59.96</v>
      </c>
      <c r="AR29" s="1">
        <f t="shared" si="1"/>
        <v>410.726</v>
      </c>
      <c r="AT29" s="43" t="s">
        <v>124</v>
      </c>
      <c r="AU29" s="44">
        <v>704</v>
      </c>
      <c r="AV29" s="177"/>
      <c r="AW29" s="43" t="s">
        <v>124</v>
      </c>
      <c r="AX29" s="44">
        <v>814</v>
      </c>
      <c r="AZ29" t="s">
        <v>184</v>
      </c>
      <c r="BA29">
        <v>0.765</v>
      </c>
      <c r="BB29" s="1" t="s">
        <v>430</v>
      </c>
    </row>
    <row r="30" spans="2:54">
      <c r="B30" t="s">
        <v>402</v>
      </c>
      <c r="C30">
        <v>1</v>
      </c>
      <c r="D30" s="1" t="str">
        <f>VLOOKUP(B:B,'1店'!B:B,1,0)</f>
        <v>Y1103-SI</v>
      </c>
      <c r="E30" t="s">
        <v>178</v>
      </c>
      <c r="F30">
        <v>4</v>
      </c>
      <c r="G30" s="1" t="str">
        <f>VLOOKUP(E:E,'1店'!$B:$B,1,0)</f>
        <v>Y1061</v>
      </c>
      <c r="H30" s="173" t="s">
        <v>295</v>
      </c>
      <c r="I30" s="173">
        <v>1</v>
      </c>
      <c r="J30" s="1" t="str">
        <f>VLOOKUP(H:H,'1店'!$B:$B,1,0)</f>
        <v>Y1038-BU</v>
      </c>
      <c r="K30" s="173" t="s">
        <v>214</v>
      </c>
      <c r="L30" s="173">
        <v>5</v>
      </c>
      <c r="M30" s="173">
        <v>0</v>
      </c>
      <c r="N30" s="173">
        <v>0</v>
      </c>
      <c r="O30" s="173">
        <v>0</v>
      </c>
      <c r="P30" s="173">
        <v>0</v>
      </c>
      <c r="Q30" s="174">
        <v>0</v>
      </c>
      <c r="R30" s="174">
        <v>0</v>
      </c>
      <c r="S30" s="1" t="str">
        <f>VLOOKUP(K:K,'1店'!$B:$B,1,0)</f>
        <v>Y1071-WH</v>
      </c>
      <c r="T30" s="173" t="s">
        <v>169</v>
      </c>
      <c r="U30" s="173">
        <v>1468</v>
      </c>
      <c r="V30" s="173">
        <v>7</v>
      </c>
      <c r="W30" s="173">
        <v>2.23</v>
      </c>
      <c r="X30" s="173">
        <v>0</v>
      </c>
      <c r="Y30" s="173">
        <v>0</v>
      </c>
      <c r="Z30" s="174">
        <v>0</v>
      </c>
      <c r="AA30" s="174">
        <v>0</v>
      </c>
      <c r="AB30" s="2" t="str">
        <f>VLOOKUP(T:T,'1店'!$B:$B,1,0)</f>
        <v>Y1059-SI</v>
      </c>
      <c r="AC30" s="173" t="s">
        <v>265</v>
      </c>
      <c r="AD30" s="173">
        <v>736</v>
      </c>
      <c r="AE30" s="173">
        <v>8</v>
      </c>
      <c r="AF30" s="173">
        <v>2.03</v>
      </c>
      <c r="AG30" s="173">
        <v>10.99</v>
      </c>
      <c r="AH30" s="173">
        <v>1</v>
      </c>
      <c r="AI30" s="174">
        <v>0.184713375796178</v>
      </c>
      <c r="AJ30" s="174">
        <v>0.125</v>
      </c>
      <c r="AK30" s="1" t="str">
        <f>VLOOKUP(AC:AC,'1店'!$B:$B,1,0)</f>
        <v>Y1080-BU</v>
      </c>
      <c r="AL30" s="29" t="s">
        <v>118</v>
      </c>
      <c r="AM30" s="33">
        <v>12.99</v>
      </c>
      <c r="AN30" s="1">
        <f t="shared" si="2"/>
        <v>88.9815</v>
      </c>
      <c r="AP30" s="29" t="s">
        <v>163</v>
      </c>
      <c r="AQ30" s="33">
        <v>44.97</v>
      </c>
      <c r="AR30" s="1">
        <f t="shared" si="1"/>
        <v>308.0445</v>
      </c>
      <c r="AT30" s="43" t="s">
        <v>127</v>
      </c>
      <c r="AU30" s="44">
        <v>1620.16</v>
      </c>
      <c r="AV30" s="177"/>
      <c r="AW30" s="43" t="s">
        <v>127</v>
      </c>
      <c r="AX30" s="44">
        <v>1646.72</v>
      </c>
      <c r="AZ30" t="s">
        <v>187</v>
      </c>
      <c r="BA30">
        <v>0.872</v>
      </c>
      <c r="BB30" s="1" t="s">
        <v>430</v>
      </c>
    </row>
    <row r="31" spans="2:54">
      <c r="B31" t="s">
        <v>187</v>
      </c>
      <c r="C31">
        <v>3</v>
      </c>
      <c r="D31" s="1" t="str">
        <f>VLOOKUP(B:B,'1店'!B:B,1,0)</f>
        <v>Y1064</v>
      </c>
      <c r="E31" t="s">
        <v>250</v>
      </c>
      <c r="F31">
        <v>2</v>
      </c>
      <c r="G31" s="1" t="str">
        <f>VLOOKUP(E:E,'1店'!$B:$B,1,0)</f>
        <v>Y1076-RE</v>
      </c>
      <c r="H31" s="173" t="s">
        <v>247</v>
      </c>
      <c r="I31" s="173">
        <v>1</v>
      </c>
      <c r="J31" s="1" t="str">
        <f>VLOOKUP(H:H,'1店'!$B:$B,1,0)</f>
        <v>Y1076-BL</v>
      </c>
      <c r="K31" s="173" t="s">
        <v>232</v>
      </c>
      <c r="L31" s="173">
        <v>64</v>
      </c>
      <c r="M31" s="173">
        <v>1</v>
      </c>
      <c r="N31" s="173">
        <v>0.2</v>
      </c>
      <c r="O31" s="173">
        <v>0</v>
      </c>
      <c r="P31" s="173">
        <v>0</v>
      </c>
      <c r="Q31" s="174">
        <v>0</v>
      </c>
      <c r="R31" s="174">
        <v>0</v>
      </c>
      <c r="S31" s="1" t="str">
        <f>VLOOKUP(K:K,'1店'!$B:$B,1,0)</f>
        <v>Y1074-WH</v>
      </c>
      <c r="T31" s="173" t="s">
        <v>334</v>
      </c>
      <c r="U31" s="173">
        <v>9013</v>
      </c>
      <c r="V31" s="173">
        <v>5</v>
      </c>
      <c r="W31" s="173">
        <v>5</v>
      </c>
      <c r="X31" s="173">
        <v>19.99</v>
      </c>
      <c r="Y31" s="173">
        <v>1</v>
      </c>
      <c r="Z31" s="174">
        <v>0.250125062531266</v>
      </c>
      <c r="AA31" s="174">
        <v>0.2</v>
      </c>
      <c r="AB31" s="2" t="str">
        <f>VLOOKUP(T:T,'1店'!$B:$B,1,0)</f>
        <v>Y1094-YW</v>
      </c>
      <c r="AC31" s="173" t="s">
        <v>214</v>
      </c>
      <c r="AD31" s="173">
        <v>1197</v>
      </c>
      <c r="AE31" s="173">
        <v>6</v>
      </c>
      <c r="AF31" s="173">
        <v>1.76</v>
      </c>
      <c r="AG31" s="173">
        <v>0</v>
      </c>
      <c r="AH31" s="173">
        <v>0</v>
      </c>
      <c r="AI31" s="174">
        <v>0</v>
      </c>
      <c r="AJ31" s="174">
        <v>0</v>
      </c>
      <c r="AK31" s="1" t="str">
        <f>VLOOKUP(AC:AC,'1店'!$B:$B,1,0)</f>
        <v>Y1071-WH</v>
      </c>
      <c r="AL31" s="29" t="s">
        <v>133</v>
      </c>
      <c r="AM31" s="33">
        <v>11.99</v>
      </c>
      <c r="AN31" s="1">
        <f t="shared" si="2"/>
        <v>82.1315</v>
      </c>
      <c r="AP31" s="29" t="s">
        <v>160</v>
      </c>
      <c r="AQ31" s="33">
        <v>59.96</v>
      </c>
      <c r="AR31" s="1">
        <f t="shared" si="1"/>
        <v>410.726</v>
      </c>
      <c r="AT31" s="43" t="s">
        <v>130</v>
      </c>
      <c r="AU31" s="44">
        <v>221.781</v>
      </c>
      <c r="AV31" s="177"/>
      <c r="AW31" s="43" t="s">
        <v>130</v>
      </c>
      <c r="AX31" s="44">
        <v>221.781</v>
      </c>
      <c r="AZ31" t="s">
        <v>432</v>
      </c>
      <c r="BA31">
        <v>2.336</v>
      </c>
      <c r="BB31" s="1" t="s">
        <v>430</v>
      </c>
    </row>
    <row r="32" spans="2:54">
      <c r="B32" t="s">
        <v>136</v>
      </c>
      <c r="C32">
        <v>2</v>
      </c>
      <c r="D32" s="1" t="str">
        <f>VLOOKUP(B:B,'1店'!B:B,1,0)</f>
        <v>Y1040-GR</v>
      </c>
      <c r="E32" t="s">
        <v>390</v>
      </c>
      <c r="F32">
        <v>14</v>
      </c>
      <c r="G32" s="1" t="str">
        <f>VLOOKUP(E:E,'1店'!$B:$B,1,0)</f>
        <v>Y1084-ZH</v>
      </c>
      <c r="H32" s="173" t="s">
        <v>337</v>
      </c>
      <c r="I32" s="173">
        <v>5</v>
      </c>
      <c r="J32" s="1" t="str">
        <f>VLOOKUP(H:H,'1店'!$B:$B,1,0)</f>
        <v>Y1038-BL</v>
      </c>
      <c r="K32" s="173" t="s">
        <v>271</v>
      </c>
      <c r="L32" s="173">
        <v>192</v>
      </c>
      <c r="M32" s="173">
        <v>3</v>
      </c>
      <c r="N32" s="173">
        <v>0.76</v>
      </c>
      <c r="O32" s="173">
        <v>17.98</v>
      </c>
      <c r="P32" s="173">
        <v>2</v>
      </c>
      <c r="Q32" s="174">
        <v>0.0422691879866518</v>
      </c>
      <c r="R32" s="174">
        <v>0.666666666666667</v>
      </c>
      <c r="S32" s="1" t="str">
        <f>VLOOKUP(K:K,'1店'!$B:$B,1,0)</f>
        <v>Y1081-BL</v>
      </c>
      <c r="T32" s="173" t="s">
        <v>301</v>
      </c>
      <c r="U32" s="173">
        <v>3126</v>
      </c>
      <c r="V32" s="173">
        <v>9</v>
      </c>
      <c r="W32" s="173">
        <v>1.43</v>
      </c>
      <c r="X32" s="173">
        <v>0</v>
      </c>
      <c r="Y32" s="173">
        <v>0</v>
      </c>
      <c r="Z32" s="174">
        <v>0</v>
      </c>
      <c r="AA32" s="174">
        <v>0</v>
      </c>
      <c r="AB32" s="2" t="str">
        <f>VLOOKUP(T:T,'1店'!$B:$B,1,0)</f>
        <v>Y1038-PU</v>
      </c>
      <c r="AC32" s="173" t="s">
        <v>271</v>
      </c>
      <c r="AD32" s="173">
        <v>980</v>
      </c>
      <c r="AE32" s="173">
        <v>19</v>
      </c>
      <c r="AF32" s="173">
        <v>4.59</v>
      </c>
      <c r="AG32" s="173">
        <v>36.96</v>
      </c>
      <c r="AH32" s="173">
        <v>4</v>
      </c>
      <c r="AI32" s="174">
        <v>0.124188311688312</v>
      </c>
      <c r="AJ32" s="174">
        <v>0.210526315789474</v>
      </c>
      <c r="AK32" s="1" t="str">
        <f>VLOOKUP(AC:AC,'1店'!$B:$B,1,0)</f>
        <v>Y1081-BL</v>
      </c>
      <c r="AL32" s="29" t="s">
        <v>166</v>
      </c>
      <c r="AM32" s="33">
        <v>14.99</v>
      </c>
      <c r="AN32" s="1">
        <f t="shared" si="2"/>
        <v>102.6815</v>
      </c>
      <c r="AP32" s="29" t="s">
        <v>232</v>
      </c>
      <c r="AQ32" s="33">
        <v>26.97</v>
      </c>
      <c r="AR32" s="1">
        <f t="shared" si="1"/>
        <v>184.7445</v>
      </c>
      <c r="AT32" s="43" t="s">
        <v>133</v>
      </c>
      <c r="AU32" s="44">
        <v>221.781</v>
      </c>
      <c r="AV32" s="177"/>
      <c r="AW32" s="43" t="s">
        <v>133</v>
      </c>
      <c r="AX32" s="44">
        <v>285.147</v>
      </c>
      <c r="AZ32" t="s">
        <v>193</v>
      </c>
      <c r="BA32">
        <v>2.33</v>
      </c>
      <c r="BB32" s="1" t="s">
        <v>430</v>
      </c>
    </row>
    <row r="33" spans="2:54">
      <c r="B33" t="s">
        <v>229</v>
      </c>
      <c r="C33">
        <v>1</v>
      </c>
      <c r="D33" s="1" t="str">
        <f>VLOOKUP(B:B,'1店'!B:B,1,0)</f>
        <v>Y1074-MG</v>
      </c>
      <c r="E33" t="s">
        <v>253</v>
      </c>
      <c r="F33">
        <v>2</v>
      </c>
      <c r="G33" s="1" t="str">
        <f>VLOOKUP(E:E,'1店'!$B:$B,1,0)</f>
        <v>Y1078-BL</v>
      </c>
      <c r="H33" s="173" t="s">
        <v>163</v>
      </c>
      <c r="I33" s="173">
        <v>8</v>
      </c>
      <c r="J33" s="1" t="str">
        <f>VLOOKUP(H:H,'1店'!$B:$B,1,0)</f>
        <v>Y1057</v>
      </c>
      <c r="K33" s="173" t="s">
        <v>435</v>
      </c>
      <c r="L33" s="173">
        <v>295</v>
      </c>
      <c r="M33" s="173">
        <v>4</v>
      </c>
      <c r="N33" s="173">
        <v>0.92</v>
      </c>
      <c r="O33" s="173">
        <v>8.99</v>
      </c>
      <c r="P33" s="173">
        <v>1</v>
      </c>
      <c r="Q33" s="174">
        <v>0.102335928809789</v>
      </c>
      <c r="R33" s="174">
        <v>0.25</v>
      </c>
      <c r="S33" s="1" t="e">
        <f>VLOOKUP(K:K,'1店'!$B:$B,1,0)</f>
        <v>#N/A</v>
      </c>
      <c r="T33" s="173" t="s">
        <v>343</v>
      </c>
      <c r="U33" s="173">
        <v>82</v>
      </c>
      <c r="V33" s="173">
        <v>0</v>
      </c>
      <c r="W33" s="173">
        <v>0</v>
      </c>
      <c r="X33" s="173">
        <v>0</v>
      </c>
      <c r="Y33" s="173">
        <v>0</v>
      </c>
      <c r="Z33" s="174">
        <v>0</v>
      </c>
      <c r="AA33" s="174">
        <v>0</v>
      </c>
      <c r="AB33" s="2" t="str">
        <f>VLOOKUP(T:T,'1店'!$B:$B,1,0)</f>
        <v>Y1095</v>
      </c>
      <c r="AC33" s="173" t="s">
        <v>316</v>
      </c>
      <c r="AD33" s="173">
        <v>9205</v>
      </c>
      <c r="AE33" s="173">
        <v>33</v>
      </c>
      <c r="AF33" s="173">
        <v>19.02</v>
      </c>
      <c r="AG33" s="173">
        <v>143.53</v>
      </c>
      <c r="AH33" s="173">
        <v>7</v>
      </c>
      <c r="AI33" s="174">
        <v>0.132515850344876</v>
      </c>
      <c r="AJ33" s="174">
        <v>0.212121212121212</v>
      </c>
      <c r="AK33" s="1" t="str">
        <f>VLOOKUP(AC:AC,'1店'!$B:$B,1,0)</f>
        <v>Y1060-GR-ZH</v>
      </c>
      <c r="AL33" s="29" t="s">
        <v>169</v>
      </c>
      <c r="AM33" s="33">
        <v>15.99</v>
      </c>
      <c r="AN33" s="1">
        <f t="shared" si="2"/>
        <v>109.5315</v>
      </c>
      <c r="AP33" s="29" t="s">
        <v>292</v>
      </c>
      <c r="AQ33" s="33">
        <v>44.97</v>
      </c>
      <c r="AR33" s="1">
        <f t="shared" si="1"/>
        <v>308.0445</v>
      </c>
      <c r="AT33" s="43" t="s">
        <v>136</v>
      </c>
      <c r="AU33" s="44">
        <v>981.336</v>
      </c>
      <c r="AV33" s="177"/>
      <c r="AW33" s="43" t="s">
        <v>136</v>
      </c>
      <c r="AX33" s="44">
        <v>1012.992</v>
      </c>
      <c r="AZ33" t="s">
        <v>436</v>
      </c>
      <c r="BA33">
        <v>2.742</v>
      </c>
      <c r="BB33" s="1" t="s">
        <v>430</v>
      </c>
    </row>
    <row r="34" spans="2:54">
      <c r="B34" t="s">
        <v>271</v>
      </c>
      <c r="C34">
        <v>3</v>
      </c>
      <c r="D34" s="1" t="str">
        <f>VLOOKUP(B:B,'1店'!B:B,1,0)</f>
        <v>Y1081-BL</v>
      </c>
      <c r="E34" t="s">
        <v>184</v>
      </c>
      <c r="F34">
        <v>6</v>
      </c>
      <c r="G34" s="1" t="str">
        <f>VLOOKUP(E:E,'1店'!$B:$B,1,0)</f>
        <v>Y1063</v>
      </c>
      <c r="H34" s="173" t="s">
        <v>298</v>
      </c>
      <c r="I34" s="173">
        <v>2</v>
      </c>
      <c r="J34" s="1" t="str">
        <f>VLOOKUP(H:H,'1店'!$B:$B,1,0)</f>
        <v>Y1038-GL</v>
      </c>
      <c r="K34" s="173" t="s">
        <v>351</v>
      </c>
      <c r="L34" s="173">
        <v>1049</v>
      </c>
      <c r="M34" s="173">
        <v>0</v>
      </c>
      <c r="N34" s="173">
        <v>0</v>
      </c>
      <c r="O34" s="173">
        <v>0</v>
      </c>
      <c r="P34" s="173">
        <v>0</v>
      </c>
      <c r="Q34" s="174">
        <v>0</v>
      </c>
      <c r="R34" s="174">
        <v>0</v>
      </c>
      <c r="S34" s="1" t="str">
        <f>VLOOKUP(K:K,'1店'!$B:$B,1,0)</f>
        <v>Y1099-RE</v>
      </c>
      <c r="T34" s="173" t="s">
        <v>366</v>
      </c>
      <c r="U34" s="173">
        <v>396</v>
      </c>
      <c r="V34" s="173">
        <v>2</v>
      </c>
      <c r="W34" s="173">
        <v>1.02</v>
      </c>
      <c r="X34" s="173">
        <v>0</v>
      </c>
      <c r="Y34" s="173">
        <v>0</v>
      </c>
      <c r="Z34" s="174">
        <v>0</v>
      </c>
      <c r="AA34" s="174">
        <v>0</v>
      </c>
      <c r="AB34" s="2" t="str">
        <f>VLOOKUP(T:T,'1店'!$B:$B,1,0)</f>
        <v>Y1097-BU</v>
      </c>
      <c r="AC34" s="173" t="s">
        <v>169</v>
      </c>
      <c r="AD34" s="173">
        <v>3764</v>
      </c>
      <c r="AE34" s="173">
        <v>12</v>
      </c>
      <c r="AF34" s="173">
        <v>4.24</v>
      </c>
      <c r="AG34" s="173">
        <v>0</v>
      </c>
      <c r="AH34" s="173">
        <v>0</v>
      </c>
      <c r="AI34" s="174">
        <v>0</v>
      </c>
      <c r="AJ34" s="174">
        <v>0</v>
      </c>
      <c r="AK34" s="1" t="str">
        <f>VLOOKUP(AC:AC,'1店'!$B:$B,1,0)</f>
        <v>Y1059-SI</v>
      </c>
      <c r="AL34" s="29" t="s">
        <v>229</v>
      </c>
      <c r="AM34" s="33">
        <v>8.99</v>
      </c>
      <c r="AN34" s="1">
        <f t="shared" si="2"/>
        <v>61.5815</v>
      </c>
      <c r="AP34" s="29" t="s">
        <v>319</v>
      </c>
      <c r="AQ34" s="33">
        <v>74.97</v>
      </c>
      <c r="AR34" s="1">
        <f t="shared" si="1"/>
        <v>513.5445</v>
      </c>
      <c r="AT34" s="43" t="s">
        <v>139</v>
      </c>
      <c r="AU34" s="44">
        <v>177.52</v>
      </c>
      <c r="AV34" s="177"/>
      <c r="AW34" s="43" t="s">
        <v>139</v>
      </c>
      <c r="AX34" s="44">
        <v>202.88</v>
      </c>
      <c r="AZ34" t="s">
        <v>196</v>
      </c>
      <c r="BA34">
        <v>3.461</v>
      </c>
      <c r="BB34" s="1" t="s">
        <v>430</v>
      </c>
    </row>
    <row r="35" spans="2:54">
      <c r="B35" t="s">
        <v>289</v>
      </c>
      <c r="C35">
        <v>2</v>
      </c>
      <c r="D35" s="1" t="str">
        <f>VLOOKUP(B:B,'1店'!B:B,1,0)</f>
        <v>Y1088</v>
      </c>
      <c r="E35" t="s">
        <v>360</v>
      </c>
      <c r="F35">
        <v>1</v>
      </c>
      <c r="G35" s="1" t="str">
        <f>VLOOKUP(E:E,'1店'!$B:$B,1,0)</f>
        <v>Y1101-CA</v>
      </c>
      <c r="H35" s="173" t="s">
        <v>271</v>
      </c>
      <c r="I35" s="173">
        <v>4</v>
      </c>
      <c r="J35" s="1" t="str">
        <f>VLOOKUP(H:H,'1店'!$B:$B,1,0)</f>
        <v>Y1081-BL</v>
      </c>
      <c r="K35" s="173" t="s">
        <v>375</v>
      </c>
      <c r="L35" s="173">
        <v>2055</v>
      </c>
      <c r="M35" s="173">
        <v>9</v>
      </c>
      <c r="N35" s="173">
        <v>3.73</v>
      </c>
      <c r="O35" s="173">
        <v>63.96</v>
      </c>
      <c r="P35" s="173">
        <v>3</v>
      </c>
      <c r="Q35" s="174">
        <v>0.058317698561601</v>
      </c>
      <c r="R35" s="174">
        <v>0.333333333333333</v>
      </c>
      <c r="S35" s="1" t="str">
        <f>VLOOKUP(K:K,'1店'!$B:$B,1,0)</f>
        <v>Y1038-BLACK</v>
      </c>
      <c r="T35" s="173" t="s">
        <v>437</v>
      </c>
      <c r="U35" s="173">
        <v>56</v>
      </c>
      <c r="V35" s="173">
        <v>0</v>
      </c>
      <c r="W35" s="173">
        <v>0</v>
      </c>
      <c r="X35" s="173">
        <v>0</v>
      </c>
      <c r="Y35" s="173">
        <v>0</v>
      </c>
      <c r="Z35" s="174">
        <v>0</v>
      </c>
      <c r="AA35" s="174">
        <v>0</v>
      </c>
      <c r="AB35" s="2" t="e">
        <f>VLOOKUP(T:T,'1店'!$B:$B,1,0)</f>
        <v>#N/A</v>
      </c>
      <c r="AC35" s="173" t="s">
        <v>334</v>
      </c>
      <c r="AD35" s="173">
        <v>10683</v>
      </c>
      <c r="AE35" s="173">
        <v>7</v>
      </c>
      <c r="AF35" s="173">
        <v>6.81</v>
      </c>
      <c r="AG35" s="173">
        <v>19.99</v>
      </c>
      <c r="AH35" s="173">
        <v>1</v>
      </c>
      <c r="AI35" s="174">
        <v>0.340670335167584</v>
      </c>
      <c r="AJ35" s="174">
        <v>0.142857142857143</v>
      </c>
      <c r="AK35" s="1" t="str">
        <f>VLOOKUP(AC:AC,'1店'!$B:$B,1,0)</f>
        <v>Y1094-YW</v>
      </c>
      <c r="AL35" s="29" t="s">
        <v>232</v>
      </c>
      <c r="AM35" s="33">
        <v>8.99</v>
      </c>
      <c r="AN35" s="1">
        <f t="shared" si="2"/>
        <v>61.5815</v>
      </c>
      <c r="AP35" s="29" t="s">
        <v>325</v>
      </c>
      <c r="AQ35" s="33">
        <v>33.97</v>
      </c>
      <c r="AR35" s="1">
        <f>AQ35*$AS$1</f>
        <v>232.6945</v>
      </c>
      <c r="AT35" s="43" t="s">
        <v>433</v>
      </c>
      <c r="AU35" s="44">
        <v>1017.783</v>
      </c>
      <c r="AV35" s="177"/>
      <c r="AW35" s="43" t="s">
        <v>433</v>
      </c>
      <c r="AX35" s="44">
        <v>1017.783</v>
      </c>
      <c r="AZ35" t="s">
        <v>199</v>
      </c>
      <c r="BA35">
        <v>4.416</v>
      </c>
      <c r="BB35" s="1" t="s">
        <v>430</v>
      </c>
    </row>
    <row r="36" spans="2:54">
      <c r="B36" t="s">
        <v>325</v>
      </c>
      <c r="C36">
        <v>2</v>
      </c>
      <c r="D36" s="1" t="str">
        <f>VLOOKUP(B:B,'1店'!B:B,1,0)</f>
        <v>Y1093-RE</v>
      </c>
      <c r="E36" t="s">
        <v>163</v>
      </c>
      <c r="F36">
        <v>3</v>
      </c>
      <c r="G36" s="1" t="str">
        <f>VLOOKUP(E:E,'1店'!$B:$B,1,0)</f>
        <v>Y1057</v>
      </c>
      <c r="H36" s="173" t="s">
        <v>322</v>
      </c>
      <c r="I36" s="173">
        <v>2</v>
      </c>
      <c r="J36" s="1" t="str">
        <f>VLOOKUP(H:H,'1店'!$B:$B,1,0)</f>
        <v>Y1093-BU</v>
      </c>
      <c r="K36" s="173" t="s">
        <v>381</v>
      </c>
      <c r="L36" s="173">
        <v>2709</v>
      </c>
      <c r="M36" s="173">
        <v>10</v>
      </c>
      <c r="N36" s="173">
        <v>3.59</v>
      </c>
      <c r="O36" s="173">
        <v>33.98</v>
      </c>
      <c r="P36" s="173">
        <v>2</v>
      </c>
      <c r="Q36" s="174">
        <v>0.105650382577987</v>
      </c>
      <c r="R36" s="174">
        <v>0.2</v>
      </c>
      <c r="S36" s="1" t="str">
        <f>VLOOKUP(K:K,'1店'!$B:$B,1,0)</f>
        <v>Y1038-SILVER</v>
      </c>
      <c r="T36" s="173" t="s">
        <v>232</v>
      </c>
      <c r="U36" s="173">
        <v>151</v>
      </c>
      <c r="V36" s="173">
        <v>3</v>
      </c>
      <c r="W36" s="173">
        <v>0.6</v>
      </c>
      <c r="X36" s="173">
        <v>8.99</v>
      </c>
      <c r="Y36" s="173">
        <v>1</v>
      </c>
      <c r="Z36" s="174">
        <v>0.0667408231368187</v>
      </c>
      <c r="AA36" s="174">
        <v>0.333333333333333</v>
      </c>
      <c r="AB36" s="2" t="str">
        <f>VLOOKUP(T:T,'1店'!$B:$B,1,0)</f>
        <v>Y1074-WH</v>
      </c>
      <c r="AC36" s="173" t="s">
        <v>301</v>
      </c>
      <c r="AD36" s="173">
        <v>5387</v>
      </c>
      <c r="AE36" s="173">
        <v>24</v>
      </c>
      <c r="AF36" s="173">
        <v>4.54</v>
      </c>
      <c r="AG36" s="173">
        <v>0</v>
      </c>
      <c r="AH36" s="173">
        <v>0</v>
      </c>
      <c r="AI36" s="174">
        <v>0</v>
      </c>
      <c r="AJ36" s="174">
        <v>0</v>
      </c>
      <c r="AK36" s="1" t="str">
        <f>VLOOKUP(AC:AC,'1店'!$B:$B,1,0)</f>
        <v>Y1038-PU</v>
      </c>
      <c r="AL36" s="29" t="s">
        <v>220</v>
      </c>
      <c r="AM36" s="33">
        <v>8.99</v>
      </c>
      <c r="AN36" s="1">
        <f t="shared" si="2"/>
        <v>61.5815</v>
      </c>
      <c r="AP36" s="29" t="s">
        <v>402</v>
      </c>
      <c r="AQ36" s="33">
        <v>33.77</v>
      </c>
      <c r="AR36" s="1">
        <f>AQ36*$AS$1</f>
        <v>231.3245</v>
      </c>
      <c r="AT36" s="43" t="s">
        <v>142</v>
      </c>
      <c r="AU36" s="44">
        <v>227.82</v>
      </c>
      <c r="AV36" s="177"/>
      <c r="AW36" s="43" t="s">
        <v>142</v>
      </c>
      <c r="AX36" s="44">
        <v>75.94</v>
      </c>
      <c r="AZ36" t="s">
        <v>202</v>
      </c>
      <c r="BA36">
        <v>6.215</v>
      </c>
      <c r="BB36" s="1" t="s">
        <v>430</v>
      </c>
    </row>
    <row r="37" spans="2:54">
      <c r="B37" t="s">
        <v>357</v>
      </c>
      <c r="C37">
        <v>1</v>
      </c>
      <c r="D37" s="1" t="str">
        <f>VLOOKUP(B:B,'1店'!B:B,1,0)</f>
        <v>Y1100-RE</v>
      </c>
      <c r="E37" t="s">
        <v>393</v>
      </c>
      <c r="F37">
        <v>1</v>
      </c>
      <c r="G37" s="1" t="str">
        <f>VLOOKUP(E:E,'1店'!$B:$B,1,0)</f>
        <v>Y1062-1</v>
      </c>
      <c r="H37" s="173" t="s">
        <v>340</v>
      </c>
      <c r="I37" s="173">
        <v>13</v>
      </c>
      <c r="J37" s="1" t="str">
        <f>VLOOKUP(H:H,'1店'!$B:$B,1,0)</f>
        <v>Y1060-ZH-</v>
      </c>
      <c r="K37" t="s">
        <v>434</v>
      </c>
      <c r="L37">
        <v>1250</v>
      </c>
      <c r="M37">
        <v>18</v>
      </c>
      <c r="N37">
        <v>3.3</v>
      </c>
      <c r="O37">
        <v>8.99</v>
      </c>
      <c r="P37">
        <v>1</v>
      </c>
      <c r="Q37" s="31">
        <v>0.367074527252503</v>
      </c>
      <c r="R37" s="31">
        <v>0.0555555555555556</v>
      </c>
      <c r="S37" s="1" t="e">
        <f>VLOOKUP(K:K,'1店'!$B:$B,1,0)</f>
        <v>#N/A</v>
      </c>
      <c r="T37" s="173" t="s">
        <v>271</v>
      </c>
      <c r="U37" s="173">
        <v>660</v>
      </c>
      <c r="V37" s="173">
        <v>10</v>
      </c>
      <c r="W37" s="173">
        <v>2.49</v>
      </c>
      <c r="X37" s="173">
        <v>26.97</v>
      </c>
      <c r="Y37" s="173">
        <v>3</v>
      </c>
      <c r="Z37" s="174">
        <v>0.0923248053392659</v>
      </c>
      <c r="AA37" s="174">
        <v>0.3</v>
      </c>
      <c r="AB37" s="2" t="str">
        <f>VLOOKUP(T:T,'1店'!$B:$B,1,0)</f>
        <v>Y1081-BL</v>
      </c>
      <c r="AC37" s="173" t="s">
        <v>346</v>
      </c>
      <c r="AD37" s="173">
        <v>31</v>
      </c>
      <c r="AE37" s="173">
        <v>0</v>
      </c>
      <c r="AF37" s="173">
        <v>0</v>
      </c>
      <c r="AG37" s="173">
        <v>0</v>
      </c>
      <c r="AH37" s="173">
        <v>0</v>
      </c>
      <c r="AI37" s="174">
        <v>0</v>
      </c>
      <c r="AJ37" s="174">
        <v>0</v>
      </c>
      <c r="AK37" s="1" t="str">
        <f>VLOOKUP(AC:AC,'1店'!$B:$B,1,0)</f>
        <v>Y1096</v>
      </c>
      <c r="AL37" s="29" t="s">
        <v>250</v>
      </c>
      <c r="AM37" s="33">
        <v>8.88</v>
      </c>
      <c r="AN37" s="1">
        <f t="shared" si="2"/>
        <v>60.828</v>
      </c>
      <c r="AP37" s="29" t="s">
        <v>229</v>
      </c>
      <c r="AQ37" s="33">
        <v>17.98</v>
      </c>
      <c r="AR37" s="1">
        <f>AQ37*$AS$1</f>
        <v>123.163</v>
      </c>
      <c r="AT37" s="43" t="s">
        <v>145</v>
      </c>
      <c r="AU37" s="44">
        <v>841.252</v>
      </c>
      <c r="AV37" s="177"/>
      <c r="AW37" s="43" t="s">
        <v>145</v>
      </c>
      <c r="AX37" s="44">
        <v>841.252</v>
      </c>
      <c r="AZ37" t="s">
        <v>154</v>
      </c>
      <c r="BA37">
        <v>4.548</v>
      </c>
      <c r="BB37" s="1" t="s">
        <v>430</v>
      </c>
    </row>
    <row r="38" spans="2:54">
      <c r="B38" t="s">
        <v>405</v>
      </c>
      <c r="C38">
        <v>4</v>
      </c>
      <c r="D38" s="1" t="str">
        <f>VLOOKUP(B:B,'1店'!B:B,1,0)</f>
        <v>Y1104</v>
      </c>
      <c r="E38" t="s">
        <v>220</v>
      </c>
      <c r="F38">
        <v>1</v>
      </c>
      <c r="G38" s="1" t="str">
        <f>VLOOKUP(E:E,'1店'!$B:$B,1,0)</f>
        <v>Y1073-BL</v>
      </c>
      <c r="H38" s="173" t="s">
        <v>301</v>
      </c>
      <c r="I38" s="173">
        <v>1</v>
      </c>
      <c r="J38" s="1" t="str">
        <f>VLOOKUP(H:H,'1店'!$B:$B,1,0)</f>
        <v>Y1038-PU</v>
      </c>
      <c r="K38" t="s">
        <v>390</v>
      </c>
      <c r="L38">
        <v>3522</v>
      </c>
      <c r="M38">
        <v>20</v>
      </c>
      <c r="N38">
        <v>5.61</v>
      </c>
      <c r="O38">
        <v>0</v>
      </c>
      <c r="P38">
        <v>0</v>
      </c>
      <c r="Q38" s="31">
        <v>0</v>
      </c>
      <c r="R38" s="31">
        <v>0</v>
      </c>
      <c r="S38" s="1" t="str">
        <f>VLOOKUP(K:K,'1店'!$B:$B,1,0)</f>
        <v>Y1084-ZH</v>
      </c>
      <c r="T38" s="173" t="s">
        <v>435</v>
      </c>
      <c r="U38" s="173">
        <v>571</v>
      </c>
      <c r="V38" s="173">
        <v>4</v>
      </c>
      <c r="W38" s="173">
        <v>0.92</v>
      </c>
      <c r="X38" s="173">
        <v>8.99</v>
      </c>
      <c r="Y38" s="173">
        <v>1</v>
      </c>
      <c r="Z38" s="174">
        <v>0.102335928809789</v>
      </c>
      <c r="AA38" s="174">
        <v>0.25</v>
      </c>
      <c r="AB38" s="2" t="e">
        <f>VLOOKUP(T:T,'1店'!$B:$B,1,0)</f>
        <v>#N/A</v>
      </c>
      <c r="AC38" s="173" t="s">
        <v>343</v>
      </c>
      <c r="AD38" s="173">
        <v>132</v>
      </c>
      <c r="AE38" s="173">
        <v>0</v>
      </c>
      <c r="AF38" s="173">
        <v>0</v>
      </c>
      <c r="AG38" s="173">
        <v>0</v>
      </c>
      <c r="AH38" s="173">
        <v>0</v>
      </c>
      <c r="AI38" s="174">
        <v>0</v>
      </c>
      <c r="AJ38" s="174">
        <v>0</v>
      </c>
      <c r="AK38" s="1" t="str">
        <f>VLOOKUP(AC:AC,'1店'!$B:$B,1,0)</f>
        <v>Y1095</v>
      </c>
      <c r="AL38" s="29" t="s">
        <v>244</v>
      </c>
      <c r="AM38" s="33">
        <v>0</v>
      </c>
      <c r="AN38" s="1">
        <f t="shared" si="2"/>
        <v>0</v>
      </c>
      <c r="AP38" s="29" t="s">
        <v>250</v>
      </c>
      <c r="AQ38" s="33">
        <v>18.87</v>
      </c>
      <c r="AR38" s="1">
        <f>AQ38*$AS$1</f>
        <v>129.2595</v>
      </c>
      <c r="AT38" s="43" t="s">
        <v>148</v>
      </c>
      <c r="AU38" s="44">
        <v>775.371</v>
      </c>
      <c r="AV38" s="177"/>
      <c r="AW38" s="43" t="s">
        <v>148</v>
      </c>
      <c r="AX38" s="44">
        <v>1061.034</v>
      </c>
      <c r="AZ38" t="s">
        <v>307</v>
      </c>
      <c r="BA38">
        <v>7.511</v>
      </c>
      <c r="BB38" s="1" t="s">
        <v>430</v>
      </c>
    </row>
    <row r="39" spans="2:54">
      <c r="B39" t="s">
        <v>133</v>
      </c>
      <c r="C39">
        <v>1</v>
      </c>
      <c r="D39" s="1" t="str">
        <f>VLOOKUP(B:B,'1店'!B:B,1,0)</f>
        <v>Y1040-BU</v>
      </c>
      <c r="E39" t="s">
        <v>124</v>
      </c>
      <c r="F39">
        <v>4</v>
      </c>
      <c r="G39" s="1" t="str">
        <f>VLOOKUP(E:E,'1店'!$B:$B,1,0)</f>
        <v>Y1041-BU</v>
      </c>
      <c r="H39" s="173" t="s">
        <v>169</v>
      </c>
      <c r="I39" s="173">
        <v>2</v>
      </c>
      <c r="J39" s="1" t="str">
        <f>VLOOKUP(H:H,'1店'!$B:$B,1,0)</f>
        <v>Y1059-SI</v>
      </c>
      <c r="K39" t="s">
        <v>247</v>
      </c>
      <c r="L39">
        <v>251</v>
      </c>
      <c r="M39">
        <v>3</v>
      </c>
      <c r="N39">
        <v>0.76</v>
      </c>
      <c r="O39">
        <v>0</v>
      </c>
      <c r="P39">
        <v>0</v>
      </c>
      <c r="Q39" s="31">
        <v>0</v>
      </c>
      <c r="R39" s="31">
        <v>0</v>
      </c>
      <c r="S39" s="1" t="str">
        <f>VLOOKUP(K:K,'1店'!$B:$B,1,0)</f>
        <v>Y1076-BL</v>
      </c>
      <c r="T39" s="173" t="s">
        <v>351</v>
      </c>
      <c r="U39" s="173">
        <v>1151</v>
      </c>
      <c r="V39" s="173">
        <v>0</v>
      </c>
      <c r="W39" s="173">
        <v>0</v>
      </c>
      <c r="X39" s="173">
        <v>0</v>
      </c>
      <c r="Y39" s="173">
        <v>0</v>
      </c>
      <c r="Z39" s="174">
        <v>0</v>
      </c>
      <c r="AA39" s="174">
        <v>0</v>
      </c>
      <c r="AB39" s="2" t="str">
        <f>VLOOKUP(T:T,'1店'!$B:$B,1,0)</f>
        <v>Y1099-RE</v>
      </c>
      <c r="AC39" s="173" t="s">
        <v>366</v>
      </c>
      <c r="AD39" s="173">
        <v>808</v>
      </c>
      <c r="AE39" s="173">
        <v>3</v>
      </c>
      <c r="AF39" s="173">
        <v>1.32</v>
      </c>
      <c r="AG39" s="173">
        <v>0</v>
      </c>
      <c r="AH39" s="173">
        <v>0</v>
      </c>
      <c r="AI39" s="174">
        <v>0</v>
      </c>
      <c r="AJ39" s="174">
        <v>0</v>
      </c>
      <c r="AK39" s="1" t="str">
        <f>VLOOKUP(AC:AC,'1店'!$B:$B,1,0)</f>
        <v>Y1097-BU</v>
      </c>
      <c r="AL39" s="29" t="s">
        <v>259</v>
      </c>
      <c r="AM39" s="33">
        <v>8.99</v>
      </c>
      <c r="AN39" s="1">
        <f t="shared" si="2"/>
        <v>61.5815</v>
      </c>
      <c r="AP39" s="29" t="s">
        <v>259</v>
      </c>
      <c r="AQ39" s="33">
        <v>18.98</v>
      </c>
      <c r="AR39" s="1">
        <f>AQ39*$AS$1</f>
        <v>130.013</v>
      </c>
      <c r="AT39" s="43" t="s">
        <v>151</v>
      </c>
      <c r="AU39" s="44">
        <v>114.36</v>
      </c>
      <c r="AV39" s="177"/>
      <c r="AW39" s="43" t="s">
        <v>154</v>
      </c>
      <c r="AX39" s="44">
        <v>827.576</v>
      </c>
      <c r="AZ39" t="s">
        <v>157</v>
      </c>
      <c r="BA39">
        <v>2.882</v>
      </c>
      <c r="BB39" s="1" t="s">
        <v>430</v>
      </c>
    </row>
    <row r="40" spans="2:54">
      <c r="B40" t="s">
        <v>175</v>
      </c>
      <c r="C40">
        <v>4</v>
      </c>
      <c r="D40" s="1" t="str">
        <f>VLOOKUP(B:B,'1店'!B:B,1,0)</f>
        <v>Y1060-GR</v>
      </c>
      <c r="E40" t="s">
        <v>133</v>
      </c>
      <c r="F40">
        <v>2</v>
      </c>
      <c r="G40" s="1" t="str">
        <f>VLOOKUP(E:E,'1店'!$B:$B,1,0)</f>
        <v>Y1040-BU</v>
      </c>
      <c r="H40" s="173" t="s">
        <v>259</v>
      </c>
      <c r="I40" s="173">
        <v>2</v>
      </c>
      <c r="J40" s="1" t="str">
        <f>VLOOKUP(H:H,'1店'!$B:$B,1,0)</f>
        <v>Y1078-WH</v>
      </c>
      <c r="K40" t="s">
        <v>395</v>
      </c>
      <c r="L40">
        <v>3786</v>
      </c>
      <c r="M40">
        <v>19</v>
      </c>
      <c r="N40">
        <v>8.36</v>
      </c>
      <c r="O40">
        <v>0</v>
      </c>
      <c r="P40">
        <v>0</v>
      </c>
      <c r="Q40" s="31">
        <v>0</v>
      </c>
      <c r="R40" s="31">
        <v>0</v>
      </c>
      <c r="S40" s="1" t="str">
        <f>VLOOKUP(K:K,'1店'!$B:$B,1,0)</f>
        <v>Y1038-BL-1</v>
      </c>
      <c r="T40" s="173" t="s">
        <v>375</v>
      </c>
      <c r="U40" s="173">
        <v>3954</v>
      </c>
      <c r="V40" s="173">
        <v>23</v>
      </c>
      <c r="W40" s="173">
        <v>9.56</v>
      </c>
      <c r="X40" s="173">
        <v>79.95</v>
      </c>
      <c r="Y40" s="173">
        <v>4</v>
      </c>
      <c r="Z40" s="174">
        <v>0.119574734208881</v>
      </c>
      <c r="AA40" s="174">
        <v>0.173913043478261</v>
      </c>
      <c r="AB40" s="2" t="str">
        <f>VLOOKUP(T:T,'1店'!$B:$B,1,0)</f>
        <v>Y1038-BLACK</v>
      </c>
      <c r="AC40" s="173" t="s">
        <v>437</v>
      </c>
      <c r="AD40" s="173">
        <v>642</v>
      </c>
      <c r="AE40" s="173">
        <v>3</v>
      </c>
      <c r="AF40" s="173">
        <v>1.1</v>
      </c>
      <c r="AG40" s="173">
        <v>0</v>
      </c>
      <c r="AH40" s="173">
        <v>0</v>
      </c>
      <c r="AI40" s="174">
        <v>0</v>
      </c>
      <c r="AJ40" s="174">
        <v>0</v>
      </c>
      <c r="AK40" s="1" t="e">
        <f>VLOOKUP(AC:AC,'1店'!$B:$B,1,0)</f>
        <v>#N/A</v>
      </c>
      <c r="AL40" s="29" t="s">
        <v>292</v>
      </c>
      <c r="AM40" s="33">
        <v>14.99</v>
      </c>
      <c r="AN40" s="1">
        <f t="shared" si="2"/>
        <v>102.6815</v>
      </c>
      <c r="AP40" s="29" t="s">
        <v>253</v>
      </c>
      <c r="AQ40" s="33">
        <v>18.98</v>
      </c>
      <c r="AR40" s="1">
        <f>AQ40*$AS$1</f>
        <v>130.013</v>
      </c>
      <c r="AT40" s="43" t="s">
        <v>154</v>
      </c>
      <c r="AU40" s="44">
        <v>3550.568</v>
      </c>
      <c r="AV40" s="177"/>
      <c r="AW40" s="43" t="s">
        <v>157</v>
      </c>
      <c r="AX40" s="44">
        <v>4002</v>
      </c>
      <c r="AZ40" t="s">
        <v>160</v>
      </c>
      <c r="BA40">
        <v>2.713</v>
      </c>
      <c r="BB40" s="1" t="s">
        <v>430</v>
      </c>
    </row>
    <row r="41" spans="2:54">
      <c r="B41" t="s">
        <v>319</v>
      </c>
      <c r="C41">
        <v>3</v>
      </c>
      <c r="D41" s="1" t="str">
        <f>VLOOKUP(B:B,'1店'!B:B,1,0)</f>
        <v>Y1088-ZH</v>
      </c>
      <c r="E41" t="s">
        <v>387</v>
      </c>
      <c r="F41">
        <v>2</v>
      </c>
      <c r="G41" s="1" t="str">
        <f>VLOOKUP(E:E,'1店'!$B:$B,1,0)</f>
        <v>Y1102-RE</v>
      </c>
      <c r="H41" s="173" t="s">
        <v>343</v>
      </c>
      <c r="I41" s="173">
        <v>4</v>
      </c>
      <c r="J41" s="1" t="str">
        <f>VLOOKUP(H:H,'1店'!$B:$B,1,0)</f>
        <v>Y1095</v>
      </c>
      <c r="K41" t="s">
        <v>199</v>
      </c>
      <c r="L41">
        <v>1</v>
      </c>
      <c r="M41">
        <v>0</v>
      </c>
      <c r="N41">
        <v>0</v>
      </c>
      <c r="O41">
        <v>0</v>
      </c>
      <c r="P41">
        <v>0</v>
      </c>
      <c r="Q41" s="31">
        <v>0</v>
      </c>
      <c r="R41" s="31">
        <v>0</v>
      </c>
      <c r="S41" s="1" t="str">
        <f>VLOOKUP(K:K,'1店'!$B:$B,1,0)</f>
        <v>Y1066-BL</v>
      </c>
      <c r="T41" s="173" t="s">
        <v>381</v>
      </c>
      <c r="U41" s="173">
        <v>5069</v>
      </c>
      <c r="V41" s="173">
        <v>26</v>
      </c>
      <c r="W41" s="173">
        <v>8.78</v>
      </c>
      <c r="X41" s="173">
        <v>50.97</v>
      </c>
      <c r="Y41" s="173">
        <v>3</v>
      </c>
      <c r="Z41" s="174">
        <v>0.1722581910928</v>
      </c>
      <c r="AA41" s="174">
        <v>0.115384615384615</v>
      </c>
      <c r="AB41" s="2" t="str">
        <f>VLOOKUP(T:T,'1店'!$B:$B,1,0)</f>
        <v>Y1038-SILVER</v>
      </c>
      <c r="AC41" s="173" t="s">
        <v>232</v>
      </c>
      <c r="AD41" s="173">
        <v>290</v>
      </c>
      <c r="AE41" s="173">
        <v>5</v>
      </c>
      <c r="AF41" s="173">
        <v>1</v>
      </c>
      <c r="AG41" s="173">
        <v>8.99</v>
      </c>
      <c r="AH41" s="173">
        <v>1</v>
      </c>
      <c r="AI41" s="174">
        <v>0.111234705228031</v>
      </c>
      <c r="AJ41" s="174">
        <v>0.2</v>
      </c>
      <c r="AK41" s="1" t="str">
        <f>VLOOKUP(AC:AC,'1店'!$B:$B,1,0)</f>
        <v>Y1074-WH</v>
      </c>
      <c r="AL41" s="29" t="s">
        <v>322</v>
      </c>
      <c r="AM41" s="33">
        <v>10.99</v>
      </c>
      <c r="AN41" s="1">
        <f t="shared" si="2"/>
        <v>75.2815</v>
      </c>
      <c r="AP41" s="29" t="s">
        <v>337</v>
      </c>
      <c r="AQ41" s="33">
        <v>19.98</v>
      </c>
      <c r="AR41" s="1">
        <f>AQ41*$AS$1</f>
        <v>136.863</v>
      </c>
      <c r="AT41" s="43" t="s">
        <v>157</v>
      </c>
      <c r="AU41" s="44">
        <v>1334</v>
      </c>
      <c r="AV41" s="177"/>
      <c r="AW41" s="43" t="s">
        <v>160</v>
      </c>
      <c r="AX41" s="44">
        <v>405</v>
      </c>
      <c r="AZ41" t="s">
        <v>163</v>
      </c>
      <c r="BA41">
        <v>4.267</v>
      </c>
      <c r="BB41" s="1" t="s">
        <v>430</v>
      </c>
    </row>
    <row r="42" spans="2:54">
      <c r="B42" t="s">
        <v>178</v>
      </c>
      <c r="C42">
        <v>2</v>
      </c>
      <c r="D42" s="1" t="str">
        <f>VLOOKUP(B:B,'1店'!B:B,1,0)</f>
        <v>Y1061</v>
      </c>
      <c r="E42" t="s">
        <v>319</v>
      </c>
      <c r="F42">
        <v>3</v>
      </c>
      <c r="G42" s="1" t="str">
        <f>VLOOKUP(E:E,'1店'!$B:$B,1,0)</f>
        <v>Y1088-ZH</v>
      </c>
      <c r="H42" s="173" t="s">
        <v>366</v>
      </c>
      <c r="I42" s="173">
        <v>1</v>
      </c>
      <c r="J42" s="1" t="str">
        <f>VLOOKUP(H:H,'1店'!$B:$B,1,0)</f>
        <v>Y1097-BU</v>
      </c>
      <c r="K42" t="s">
        <v>259</v>
      </c>
      <c r="L42">
        <v>112</v>
      </c>
      <c r="M42">
        <v>0</v>
      </c>
      <c r="N42">
        <v>0</v>
      </c>
      <c r="O42">
        <v>0</v>
      </c>
      <c r="P42">
        <v>0</v>
      </c>
      <c r="Q42" s="31">
        <v>0</v>
      </c>
      <c r="R42" s="31">
        <v>0</v>
      </c>
      <c r="S42" s="1" t="str">
        <f>VLOOKUP(K:K,'1店'!$B:$B,1,0)</f>
        <v>Y1078-WH</v>
      </c>
      <c r="T42" t="s">
        <v>434</v>
      </c>
      <c r="U42">
        <v>3663</v>
      </c>
      <c r="V42">
        <v>47</v>
      </c>
      <c r="W42">
        <v>8.91</v>
      </c>
      <c r="X42">
        <v>17.98</v>
      </c>
      <c r="Y42">
        <v>2</v>
      </c>
      <c r="Z42" s="31">
        <v>0.495550611790879</v>
      </c>
      <c r="AA42" s="31">
        <v>0.0425531914893617</v>
      </c>
      <c r="AB42" s="2" t="e">
        <f>VLOOKUP(T:T,'1店'!$B:$B,1,0)</f>
        <v>#N/A</v>
      </c>
      <c r="AC42" s="173" t="s">
        <v>435</v>
      </c>
      <c r="AD42" s="173">
        <v>1188</v>
      </c>
      <c r="AE42" s="173">
        <v>11</v>
      </c>
      <c r="AF42" s="173">
        <v>2.66</v>
      </c>
      <c r="AG42" s="173">
        <v>8.99</v>
      </c>
      <c r="AH42" s="173">
        <v>1</v>
      </c>
      <c r="AI42" s="174">
        <v>0.295884315906563</v>
      </c>
      <c r="AJ42" s="174">
        <v>0.0909090909090909</v>
      </c>
      <c r="AK42" s="1" t="e">
        <f>VLOOKUP(AC:AC,'1店'!$B:$B,1,0)</f>
        <v>#N/A</v>
      </c>
      <c r="AL42" s="29" t="s">
        <v>357</v>
      </c>
      <c r="AM42" s="33">
        <v>14.99</v>
      </c>
      <c r="AN42" s="1">
        <f t="shared" si="2"/>
        <v>102.6815</v>
      </c>
      <c r="AP42" s="29" t="s">
        <v>343</v>
      </c>
      <c r="AQ42" s="33">
        <v>21.98</v>
      </c>
      <c r="AR42" s="1">
        <f t="shared" ref="AR42:AR56" si="3">AQ42*$AS$1</f>
        <v>150.563</v>
      </c>
      <c r="AT42" s="43" t="s">
        <v>160</v>
      </c>
      <c r="AU42" s="44">
        <v>810</v>
      </c>
      <c r="AV42" s="177"/>
      <c r="AW42" s="43" t="s">
        <v>163</v>
      </c>
      <c r="AX42" s="44">
        <v>351</v>
      </c>
      <c r="AZ42" t="s">
        <v>310</v>
      </c>
      <c r="BA42">
        <v>7.974</v>
      </c>
      <c r="BB42" s="1" t="s">
        <v>430</v>
      </c>
    </row>
    <row r="43" spans="2:54">
      <c r="B43" t="s">
        <v>372</v>
      </c>
      <c r="C43">
        <v>2</v>
      </c>
      <c r="D43" s="1" t="str">
        <f>VLOOKUP(B:B,'1店'!B:B,1,0)</f>
        <v>Y1098</v>
      </c>
      <c r="E43" t="s">
        <v>148</v>
      </c>
      <c r="F43">
        <v>3</v>
      </c>
      <c r="G43" s="1" t="str">
        <f>VLOOKUP(E:E,'1店'!$B:$B,1,0)</f>
        <v>Y1052-ZH</v>
      </c>
      <c r="H43" s="173" t="s">
        <v>346</v>
      </c>
      <c r="I43" s="173">
        <v>2</v>
      </c>
      <c r="J43" s="1" t="str">
        <f>VLOOKUP(H:H,'1店'!$B:$B,1,0)</f>
        <v>Y1096</v>
      </c>
      <c r="K43" t="s">
        <v>262</v>
      </c>
      <c r="L43">
        <v>17</v>
      </c>
      <c r="M43">
        <v>0</v>
      </c>
      <c r="N43">
        <v>0</v>
      </c>
      <c r="O43">
        <v>0</v>
      </c>
      <c r="P43">
        <v>0</v>
      </c>
      <c r="Q43" s="31">
        <v>0</v>
      </c>
      <c r="R43" s="31">
        <v>0</v>
      </c>
      <c r="S43" s="1" t="str">
        <f>VLOOKUP(K:K,'1店'!$B:$B,1,0)</f>
        <v>Y1079-BL</v>
      </c>
      <c r="T43" t="s">
        <v>390</v>
      </c>
      <c r="U43">
        <v>7667</v>
      </c>
      <c r="V43">
        <v>47</v>
      </c>
      <c r="W43">
        <v>12.66</v>
      </c>
      <c r="X43">
        <v>122.36</v>
      </c>
      <c r="Y43">
        <v>4</v>
      </c>
      <c r="Z43" s="31">
        <v>0.103465184700883</v>
      </c>
      <c r="AA43" s="31">
        <v>0.0851063829787234</v>
      </c>
      <c r="AB43" s="2" t="str">
        <f>VLOOKUP(T:T,'1店'!$B:$B,1,0)</f>
        <v>Y1084-ZH</v>
      </c>
      <c r="AC43" s="173" t="s">
        <v>351</v>
      </c>
      <c r="AD43" s="173">
        <v>1254</v>
      </c>
      <c r="AE43" s="173">
        <v>0</v>
      </c>
      <c r="AF43" s="173">
        <v>0</v>
      </c>
      <c r="AG43" s="173">
        <v>0</v>
      </c>
      <c r="AH43" s="173">
        <v>0</v>
      </c>
      <c r="AI43" s="174">
        <v>0</v>
      </c>
      <c r="AJ43" s="174">
        <v>0</v>
      </c>
      <c r="AK43" s="1" t="str">
        <f>VLOOKUP(AC:AC,'1店'!$B:$B,1,0)</f>
        <v>Y1099-RE</v>
      </c>
      <c r="AL43" s="29" t="s">
        <v>369</v>
      </c>
      <c r="AM43" s="33">
        <v>17.99</v>
      </c>
      <c r="AN43" s="1">
        <f t="shared" si="2"/>
        <v>123.2315</v>
      </c>
      <c r="AP43" s="29" t="s">
        <v>357</v>
      </c>
      <c r="AQ43" s="33">
        <v>29.98</v>
      </c>
      <c r="AR43" s="1">
        <f t="shared" si="3"/>
        <v>205.363</v>
      </c>
      <c r="AT43" s="43" t="s">
        <v>163</v>
      </c>
      <c r="AU43" s="44">
        <v>216</v>
      </c>
      <c r="AV43" s="177"/>
      <c r="AW43" s="43" t="s">
        <v>166</v>
      </c>
      <c r="AX43" s="44">
        <v>1023</v>
      </c>
      <c r="AZ43" t="s">
        <v>166</v>
      </c>
      <c r="BA43">
        <v>3.405</v>
      </c>
      <c r="BB43" s="1" t="s">
        <v>430</v>
      </c>
    </row>
    <row r="44" spans="2:54">
      <c r="B44" t="s">
        <v>169</v>
      </c>
      <c r="C44">
        <v>1</v>
      </c>
      <c r="D44" s="1" t="str">
        <f>VLOOKUP(B:B,'1店'!B:B,1,0)</f>
        <v>Y1059-SI</v>
      </c>
      <c r="E44" t="s">
        <v>232</v>
      </c>
      <c r="F44">
        <v>3</v>
      </c>
      <c r="G44" s="1" t="str">
        <f>VLOOKUP(E:E,'1店'!$B:$B,1,0)</f>
        <v>Y1074-WH</v>
      </c>
      <c r="H44" s="173" t="s">
        <v>229</v>
      </c>
      <c r="I44" s="173">
        <v>3</v>
      </c>
      <c r="J44" s="1" t="str">
        <f>VLOOKUP(H:H,'1店'!$B:$B,1,0)</f>
        <v>Y1074-MG</v>
      </c>
      <c r="K44" t="s">
        <v>334</v>
      </c>
      <c r="L44">
        <v>3157</v>
      </c>
      <c r="M44">
        <v>2</v>
      </c>
      <c r="N44">
        <v>2</v>
      </c>
      <c r="O44">
        <v>0</v>
      </c>
      <c r="P44">
        <v>0</v>
      </c>
      <c r="Q44" s="31">
        <v>0</v>
      </c>
      <c r="R44" s="31">
        <v>0</v>
      </c>
      <c r="S44" s="1" t="str">
        <f>VLOOKUP(K:K,'1店'!$B:$B,1,0)</f>
        <v>Y1094-YW</v>
      </c>
      <c r="T44" t="s">
        <v>395</v>
      </c>
      <c r="U44">
        <v>7265</v>
      </c>
      <c r="V44">
        <v>42</v>
      </c>
      <c r="W44">
        <v>18.12</v>
      </c>
      <c r="X44">
        <v>33.97</v>
      </c>
      <c r="Y44">
        <v>3</v>
      </c>
      <c r="Z44" s="31">
        <v>0.533411833971151</v>
      </c>
      <c r="AA44" s="31">
        <v>0.0714285714285714</v>
      </c>
      <c r="AB44" s="2" t="str">
        <f>VLOOKUP(T:T,'1店'!$B:$B,1,0)</f>
        <v>Y1038-BL-1</v>
      </c>
      <c r="AC44" s="173" t="s">
        <v>375</v>
      </c>
      <c r="AD44" s="173">
        <v>7463</v>
      </c>
      <c r="AE44" s="173">
        <v>38</v>
      </c>
      <c r="AF44" s="173">
        <v>14.72</v>
      </c>
      <c r="AG44" s="173">
        <v>95.94</v>
      </c>
      <c r="AH44" s="173">
        <v>5</v>
      </c>
      <c r="AI44" s="174">
        <v>0.153429226599958</v>
      </c>
      <c r="AJ44" s="174">
        <v>0.131578947368421</v>
      </c>
      <c r="AK44" s="1" t="str">
        <f>VLOOKUP(AC:AC,'1店'!$B:$B,1,0)</f>
        <v>Y1038-BLACK</v>
      </c>
      <c r="AL44" s="29" t="s">
        <v>390</v>
      </c>
      <c r="AM44" s="33">
        <v>33.99</v>
      </c>
      <c r="AN44" s="1">
        <f t="shared" si="2"/>
        <v>232.8315</v>
      </c>
      <c r="AP44" s="29" t="s">
        <v>372</v>
      </c>
      <c r="AQ44" s="33">
        <v>15.98</v>
      </c>
      <c r="AR44" s="1">
        <f t="shared" si="3"/>
        <v>109.463</v>
      </c>
      <c r="AT44" s="43" t="s">
        <v>166</v>
      </c>
      <c r="AU44" s="44">
        <v>651</v>
      </c>
      <c r="AV44" s="177"/>
      <c r="AW44" s="43" t="s">
        <v>438</v>
      </c>
      <c r="AX44" s="44">
        <v>68</v>
      </c>
      <c r="AZ44" t="s">
        <v>313</v>
      </c>
      <c r="BA44">
        <v>8.114</v>
      </c>
      <c r="BB44" s="1" t="s">
        <v>430</v>
      </c>
    </row>
    <row r="45" spans="2:54">
      <c r="B45" t="s">
        <v>220</v>
      </c>
      <c r="C45">
        <v>1</v>
      </c>
      <c r="D45" s="1" t="str">
        <f>VLOOKUP(B:B,'1店'!B:B,1,0)</f>
        <v>Y1073-BL</v>
      </c>
      <c r="E45" t="s">
        <v>399</v>
      </c>
      <c r="F45">
        <v>10</v>
      </c>
      <c r="G45" s="1" t="str">
        <f>VLOOKUP(E:E,'1店'!$B:$B,1,0)</f>
        <v>Y1103-BL</v>
      </c>
      <c r="H45" s="173" t="s">
        <v>274</v>
      </c>
      <c r="I45" s="173">
        <v>1</v>
      </c>
      <c r="J45" s="1" t="str">
        <f>VLOOKUP(H:H,'1店'!$B:$B,1,0)</f>
        <v>Y1081-WH</v>
      </c>
      <c r="K45" t="s">
        <v>397</v>
      </c>
      <c r="L45">
        <v>120</v>
      </c>
      <c r="M45">
        <v>2</v>
      </c>
      <c r="N45">
        <v>0.3</v>
      </c>
      <c r="O45">
        <v>0</v>
      </c>
      <c r="P45">
        <v>0</v>
      </c>
      <c r="Q45" s="31">
        <v>0</v>
      </c>
      <c r="R45" s="31">
        <v>0</v>
      </c>
      <c r="S45" s="1" t="str">
        <f>VLOOKUP(K:K,'1店'!$B:$B,1,0)</f>
        <v>Y1096-2</v>
      </c>
      <c r="T45" t="s">
        <v>139</v>
      </c>
      <c r="U45">
        <v>33</v>
      </c>
      <c r="V45">
        <v>0</v>
      </c>
      <c r="W45">
        <v>0</v>
      </c>
      <c r="X45">
        <v>0</v>
      </c>
      <c r="Y45">
        <v>0</v>
      </c>
      <c r="Z45" s="31">
        <v>0</v>
      </c>
      <c r="AA45" s="31">
        <v>0</v>
      </c>
      <c r="AB45" s="2" t="str">
        <f>VLOOKUP(T:T,'1店'!$B:$B,1,0)</f>
        <v>Y1043-ZH</v>
      </c>
      <c r="AC45" s="173" t="s">
        <v>381</v>
      </c>
      <c r="AD45" s="173">
        <v>7947</v>
      </c>
      <c r="AE45" s="173">
        <v>43</v>
      </c>
      <c r="AF45" s="173">
        <v>14.67</v>
      </c>
      <c r="AG45" s="173">
        <v>118.93</v>
      </c>
      <c r="AH45" s="173">
        <v>7</v>
      </c>
      <c r="AI45" s="174">
        <v>0.123349869671235</v>
      </c>
      <c r="AJ45" s="174">
        <v>0.162790697674419</v>
      </c>
      <c r="AK45" s="1" t="str">
        <f>VLOOKUP(AC:AC,'1店'!$B:$B,1,0)</f>
        <v>Y1038-SILVER</v>
      </c>
      <c r="AL45" s="29" t="s">
        <v>399</v>
      </c>
      <c r="AM45" s="33">
        <v>12.99</v>
      </c>
      <c r="AN45" s="1">
        <f t="shared" si="2"/>
        <v>88.9815</v>
      </c>
      <c r="AP45" s="29" t="s">
        <v>395</v>
      </c>
      <c r="AQ45" s="33">
        <v>19.98</v>
      </c>
      <c r="AR45" s="1">
        <f t="shared" si="3"/>
        <v>136.863</v>
      </c>
      <c r="AT45" s="43" t="s">
        <v>169</v>
      </c>
      <c r="AU45" s="44">
        <v>1224</v>
      </c>
      <c r="AV45" s="177"/>
      <c r="AW45" s="43" t="s">
        <v>169</v>
      </c>
      <c r="AX45" s="44">
        <v>1258</v>
      </c>
      <c r="AZ45" t="s">
        <v>169</v>
      </c>
      <c r="BA45">
        <v>3.513</v>
      </c>
      <c r="BB45" s="1" t="s">
        <v>430</v>
      </c>
    </row>
    <row r="46" spans="2:54">
      <c r="B46" t="s">
        <v>250</v>
      </c>
      <c r="C46">
        <v>1</v>
      </c>
      <c r="D46" s="1" t="str">
        <f>VLOOKUP(B:B,'1店'!B:B,1,0)</f>
        <v>Y1076-RE</v>
      </c>
      <c r="E46" t="s">
        <v>316</v>
      </c>
      <c r="F46">
        <v>8</v>
      </c>
      <c r="G46" s="1" t="str">
        <f>VLOOKUP(E:E,'1店'!$B:$B,1,0)</f>
        <v>Y1060-GR-ZH</v>
      </c>
      <c r="H46" s="173" t="s">
        <v>363</v>
      </c>
      <c r="I46" s="173">
        <v>2</v>
      </c>
      <c r="J46" s="1" t="str">
        <f>VLOOKUP(H:H,'1店'!$B:$B,1,0)</f>
        <v>Y1101-RO</v>
      </c>
      <c r="K46" t="s">
        <v>399</v>
      </c>
      <c r="L46">
        <v>4504</v>
      </c>
      <c r="M46">
        <v>19</v>
      </c>
      <c r="N46">
        <v>11.3</v>
      </c>
      <c r="O46">
        <v>0</v>
      </c>
      <c r="P46">
        <v>0</v>
      </c>
      <c r="Q46" s="31">
        <v>0</v>
      </c>
      <c r="R46" s="31">
        <v>0</v>
      </c>
      <c r="S46" s="1" t="str">
        <f>VLOOKUP(K:K,'1店'!$B:$B,1,0)</f>
        <v>Y1103-BL</v>
      </c>
      <c r="T46" t="s">
        <v>199</v>
      </c>
      <c r="U46">
        <v>9</v>
      </c>
      <c r="V46">
        <v>0</v>
      </c>
      <c r="W46">
        <v>0</v>
      </c>
      <c r="X46">
        <v>0</v>
      </c>
      <c r="Y46">
        <v>0</v>
      </c>
      <c r="Z46" s="31">
        <v>0</v>
      </c>
      <c r="AA46" s="31">
        <v>0</v>
      </c>
      <c r="AB46" s="2" t="str">
        <f>VLOOKUP(T:T,'1店'!$B:$B,1,0)</f>
        <v>Y1066-BL</v>
      </c>
      <c r="AC46" t="s">
        <v>390</v>
      </c>
      <c r="AD46">
        <v>13012</v>
      </c>
      <c r="AE46">
        <v>84</v>
      </c>
      <c r="AF46">
        <v>25.95</v>
      </c>
      <c r="AG46">
        <v>190.34</v>
      </c>
      <c r="AH46">
        <v>6</v>
      </c>
      <c r="AI46" s="31">
        <v>0.13633497951035</v>
      </c>
      <c r="AJ46" s="31">
        <v>0.0714285714285714</v>
      </c>
      <c r="AK46" s="1" t="str">
        <f>VLOOKUP(AC:AC,'1店'!$B:$B,1,0)</f>
        <v>Y1084-ZH</v>
      </c>
      <c r="AL46" s="29" t="s">
        <v>375</v>
      </c>
      <c r="AM46" s="107">
        <v>79.95</v>
      </c>
      <c r="AN46" s="1">
        <f t="shared" ref="AN46:AN51" si="4">AM46*4.9</f>
        <v>391.755</v>
      </c>
      <c r="AP46" s="29" t="s">
        <v>133</v>
      </c>
      <c r="AQ46" s="33">
        <v>11.99</v>
      </c>
      <c r="AR46" s="1">
        <f t="shared" si="3"/>
        <v>82.1315</v>
      </c>
      <c r="AT46" s="43" t="s">
        <v>172</v>
      </c>
      <c r="AU46" s="44">
        <v>871.936</v>
      </c>
      <c r="AV46" s="177"/>
      <c r="AW46" s="43" t="s">
        <v>172</v>
      </c>
      <c r="AX46" s="44">
        <v>1008.176</v>
      </c>
      <c r="AZ46" t="s">
        <v>438</v>
      </c>
      <c r="BA46">
        <v>3.479</v>
      </c>
      <c r="BB46" s="1" t="s">
        <v>430</v>
      </c>
    </row>
    <row r="47" spans="2:54">
      <c r="B47" t="s">
        <v>244</v>
      </c>
      <c r="C47">
        <v>1</v>
      </c>
      <c r="D47" s="1" t="str">
        <f>VLOOKUP(B:B,'1店'!B:B,1,0)</f>
        <v>Y1076-BG</v>
      </c>
      <c r="E47" t="s">
        <v>402</v>
      </c>
      <c r="F47">
        <v>4</v>
      </c>
      <c r="G47" s="1" t="str">
        <f>VLOOKUP(E:E,'1店'!$B:$B,1,0)</f>
        <v>Y1103-SI</v>
      </c>
      <c r="H47" s="173" t="s">
        <v>369</v>
      </c>
      <c r="I47" s="173">
        <v>2</v>
      </c>
      <c r="J47" s="1" t="str">
        <f>VLOOKUP(H:H,'1店'!$B:$B,1,0)</f>
        <v>Y1097-RE</v>
      </c>
      <c r="K47" t="s">
        <v>402</v>
      </c>
      <c r="L47">
        <v>525</v>
      </c>
      <c r="M47">
        <v>0</v>
      </c>
      <c r="N47">
        <v>0</v>
      </c>
      <c r="O47">
        <v>0</v>
      </c>
      <c r="P47">
        <v>0</v>
      </c>
      <c r="Q47" s="31">
        <v>0</v>
      </c>
      <c r="R47" s="31">
        <v>0</v>
      </c>
      <c r="S47" s="1" t="str">
        <f>VLOOKUP(K:K,'1店'!$B:$B,1,0)</f>
        <v>Y1103-SI</v>
      </c>
      <c r="T47" t="s">
        <v>259</v>
      </c>
      <c r="U47">
        <v>303</v>
      </c>
      <c r="V47">
        <v>1</v>
      </c>
      <c r="W47">
        <v>0.37</v>
      </c>
      <c r="X47">
        <v>0</v>
      </c>
      <c r="Y47">
        <v>0</v>
      </c>
      <c r="Z47" s="31">
        <v>0</v>
      </c>
      <c r="AA47" s="31">
        <v>0</v>
      </c>
      <c r="AB47" s="2" t="str">
        <f>VLOOKUP(T:T,'1店'!$B:$B,1,0)</f>
        <v>Y1078-WH</v>
      </c>
      <c r="AC47" t="s">
        <v>395</v>
      </c>
      <c r="AD47">
        <v>11486</v>
      </c>
      <c r="AE47">
        <v>66</v>
      </c>
      <c r="AF47">
        <v>30.03</v>
      </c>
      <c r="AG47">
        <v>65.94</v>
      </c>
      <c r="AH47">
        <v>5</v>
      </c>
      <c r="AI47" s="31">
        <v>0.455414012738854</v>
      </c>
      <c r="AJ47" s="31">
        <v>0.0757575757575758</v>
      </c>
      <c r="AK47" s="1" t="str">
        <f>VLOOKUP(AC:AC,'1店'!$B:$B,1,0)</f>
        <v>Y1038-BL-1</v>
      </c>
      <c r="AL47" s="29" t="s">
        <v>381</v>
      </c>
      <c r="AM47" s="107">
        <v>33.98</v>
      </c>
      <c r="AN47" s="1">
        <f t="shared" si="4"/>
        <v>166.502</v>
      </c>
      <c r="AP47" s="29" t="s">
        <v>169</v>
      </c>
      <c r="AQ47" s="33">
        <v>15.99</v>
      </c>
      <c r="AR47" s="1">
        <f t="shared" si="3"/>
        <v>109.5315</v>
      </c>
      <c r="AT47" s="43" t="s">
        <v>175</v>
      </c>
      <c r="AU47" s="44">
        <v>709.02</v>
      </c>
      <c r="AV47" s="177"/>
      <c r="AW47" s="43" t="s">
        <v>175</v>
      </c>
      <c r="AX47" s="44">
        <v>572.67</v>
      </c>
      <c r="AZ47" t="s">
        <v>172</v>
      </c>
      <c r="BA47">
        <v>3.455</v>
      </c>
      <c r="BB47" s="1" t="s">
        <v>430</v>
      </c>
    </row>
    <row r="48" spans="2:54">
      <c r="B48" t="s">
        <v>322</v>
      </c>
      <c r="C48">
        <v>1</v>
      </c>
      <c r="D48" s="1" t="str">
        <f>VLOOKUP(B:B,'1店'!B:B,1,0)</f>
        <v>Y1093-BU</v>
      </c>
      <c r="E48" t="s">
        <v>187</v>
      </c>
      <c r="F48">
        <v>5</v>
      </c>
      <c r="G48" s="1" t="str">
        <f>VLOOKUP(E:E,'1店'!$B:$B,1,0)</f>
        <v>Y1064</v>
      </c>
      <c r="H48" s="173" t="s">
        <v>253</v>
      </c>
      <c r="I48" s="173">
        <v>2</v>
      </c>
      <c r="J48" s="1" t="str">
        <f>VLOOKUP(H:H,'1店'!$B:$B,1,0)</f>
        <v>Y1078-BL</v>
      </c>
      <c r="K48" t="s">
        <v>316</v>
      </c>
      <c r="L48">
        <v>6540</v>
      </c>
      <c r="M48">
        <v>22</v>
      </c>
      <c r="N48">
        <v>12.68</v>
      </c>
      <c r="O48">
        <v>65.97</v>
      </c>
      <c r="P48">
        <v>3</v>
      </c>
      <c r="Q48" s="31">
        <v>0.19220857965742</v>
      </c>
      <c r="R48" s="31">
        <v>0.136363636363636</v>
      </c>
      <c r="S48" s="1" t="str">
        <f>VLOOKUP(K:K,'1店'!$B:$B,1,0)</f>
        <v>Y1060-GR-ZH</v>
      </c>
      <c r="T48" t="s">
        <v>262</v>
      </c>
      <c r="U48">
        <v>31</v>
      </c>
      <c r="V48">
        <v>0</v>
      </c>
      <c r="W48">
        <v>0</v>
      </c>
      <c r="X48">
        <v>0</v>
      </c>
      <c r="Y48">
        <v>0</v>
      </c>
      <c r="Z48" s="31">
        <v>0</v>
      </c>
      <c r="AA48" s="31">
        <v>0</v>
      </c>
      <c r="AB48" s="2" t="str">
        <f>VLOOKUP(T:T,'1店'!$B:$B,1,0)</f>
        <v>Y1079-BL</v>
      </c>
      <c r="AC48" t="s">
        <v>139</v>
      </c>
      <c r="AD48">
        <v>165</v>
      </c>
      <c r="AE48">
        <v>2</v>
      </c>
      <c r="AF48">
        <v>0.6</v>
      </c>
      <c r="AG48">
        <v>0</v>
      </c>
      <c r="AH48">
        <v>0</v>
      </c>
      <c r="AI48" s="31">
        <v>0</v>
      </c>
      <c r="AJ48" s="31">
        <v>0</v>
      </c>
      <c r="AK48" s="1" t="str">
        <f>VLOOKUP(AC:AC,'1店'!$B:$B,1,0)</f>
        <v>Y1043-ZH</v>
      </c>
      <c r="AL48" s="29" t="s">
        <v>127</v>
      </c>
      <c r="AM48" s="107">
        <v>22.99</v>
      </c>
      <c r="AN48" s="1">
        <f t="shared" si="4"/>
        <v>112.651</v>
      </c>
      <c r="AP48" s="29" t="s">
        <v>193</v>
      </c>
      <c r="AQ48" s="33">
        <v>8.99</v>
      </c>
      <c r="AR48" s="1">
        <f t="shared" si="3"/>
        <v>61.5815</v>
      </c>
      <c r="AT48" s="43" t="s">
        <v>178</v>
      </c>
      <c r="AU48" s="44">
        <v>169.578</v>
      </c>
      <c r="AV48" s="177"/>
      <c r="AW48" s="43" t="s">
        <v>178</v>
      </c>
      <c r="AX48" s="44">
        <v>423.945</v>
      </c>
      <c r="AZ48" t="s">
        <v>175</v>
      </c>
      <c r="BA48">
        <v>3.012</v>
      </c>
      <c r="BB48" s="1" t="s">
        <v>430</v>
      </c>
    </row>
    <row r="49" spans="2:54">
      <c r="B49" t="s">
        <v>369</v>
      </c>
      <c r="C49">
        <v>1</v>
      </c>
      <c r="D49" s="1" t="str">
        <f>VLOOKUP(B:B,'1店'!B:B,1,0)</f>
        <v>Y1097-RE</v>
      </c>
      <c r="E49" t="s">
        <v>395</v>
      </c>
      <c r="F49">
        <v>2</v>
      </c>
      <c r="G49" s="1" t="str">
        <f>VLOOKUP(E:E,'1店'!$B:$B,1,0)</f>
        <v>Y1038-BL-1</v>
      </c>
      <c r="H49" s="173" t="s">
        <v>244</v>
      </c>
      <c r="I49" s="173">
        <v>1</v>
      </c>
      <c r="J49" s="1" t="str">
        <f>VLOOKUP(H:H,'1店'!$B:$B,1,0)</f>
        <v>Y1076-BG</v>
      </c>
      <c r="K49" t="s">
        <v>337</v>
      </c>
      <c r="L49">
        <v>392</v>
      </c>
      <c r="M49">
        <v>0</v>
      </c>
      <c r="N49">
        <v>0</v>
      </c>
      <c r="O49">
        <v>0</v>
      </c>
      <c r="P49">
        <v>0</v>
      </c>
      <c r="Q49" s="31">
        <v>0</v>
      </c>
      <c r="R49" s="31">
        <v>0</v>
      </c>
      <c r="S49" s="1" t="str">
        <f>VLOOKUP(K:K,'1店'!$B:$B,1,0)</f>
        <v>Y1038-BL</v>
      </c>
      <c r="T49" t="s">
        <v>238</v>
      </c>
      <c r="U49">
        <v>20</v>
      </c>
      <c r="V49">
        <v>0</v>
      </c>
      <c r="W49">
        <v>0</v>
      </c>
      <c r="X49">
        <v>0</v>
      </c>
      <c r="Y49">
        <v>0</v>
      </c>
      <c r="Z49" s="31">
        <v>0</v>
      </c>
      <c r="AA49" s="31">
        <v>0</v>
      </c>
      <c r="AB49" s="2" t="str">
        <f>VLOOKUP(T:T,'1店'!$B:$B,1,0)</f>
        <v>Y1075-RE</v>
      </c>
      <c r="AC49" t="s">
        <v>199</v>
      </c>
      <c r="AD49">
        <v>13</v>
      </c>
      <c r="AE49">
        <v>0</v>
      </c>
      <c r="AF49">
        <v>0</v>
      </c>
      <c r="AG49">
        <v>0</v>
      </c>
      <c r="AH49">
        <v>0</v>
      </c>
      <c r="AI49" s="31">
        <v>0</v>
      </c>
      <c r="AJ49" s="31">
        <v>0</v>
      </c>
      <c r="AK49" s="1" t="str">
        <f>VLOOKUP(AC:AC,'1店'!$B:$B,1,0)</f>
        <v>Y1066-BL</v>
      </c>
      <c r="AL49" s="29" t="s">
        <v>384</v>
      </c>
      <c r="AM49" s="107">
        <v>16.99</v>
      </c>
      <c r="AN49" s="1">
        <f t="shared" si="4"/>
        <v>83.251</v>
      </c>
      <c r="AP49" s="29" t="s">
        <v>220</v>
      </c>
      <c r="AQ49" s="33">
        <v>8.99</v>
      </c>
      <c r="AR49" s="1">
        <f t="shared" si="3"/>
        <v>61.5815</v>
      </c>
      <c r="AT49" s="43" t="s">
        <v>181</v>
      </c>
      <c r="AU49" s="44">
        <v>39.375</v>
      </c>
      <c r="AV49" s="177"/>
      <c r="AW49" s="43" t="s">
        <v>181</v>
      </c>
      <c r="AX49" s="44">
        <v>39.375</v>
      </c>
      <c r="AZ49" t="s">
        <v>316</v>
      </c>
      <c r="BA49">
        <v>9.341</v>
      </c>
      <c r="BB49" s="1" t="s">
        <v>430</v>
      </c>
    </row>
    <row r="50" spans="2:54">
      <c r="B50" t="s">
        <v>127</v>
      </c>
      <c r="C50">
        <v>1</v>
      </c>
      <c r="D50" s="1" t="str">
        <f>VLOOKUP(B:B,'1店'!B:B,1,0)</f>
        <v>Y1039</v>
      </c>
      <c r="E50" t="s">
        <v>136</v>
      </c>
      <c r="F50">
        <v>3</v>
      </c>
      <c r="G50" s="1" t="str">
        <f>VLOOKUP(E:E,'1店'!$B:$B,1,0)</f>
        <v>Y1040-GR</v>
      </c>
      <c r="H50" s="173" t="s">
        <v>205</v>
      </c>
      <c r="I50" s="173">
        <v>2</v>
      </c>
      <c r="J50" s="1" t="str">
        <f>VLOOKUP(H:H,'1店'!$B:$B,1,0)</f>
        <v>Y1069</v>
      </c>
      <c r="K50" t="s">
        <v>439</v>
      </c>
      <c r="L50">
        <v>214160</v>
      </c>
      <c r="M50">
        <v>891</v>
      </c>
      <c r="N50">
        <v>344.97</v>
      </c>
      <c r="O50">
        <v>1482.16</v>
      </c>
      <c r="P50">
        <v>82</v>
      </c>
      <c r="Q50" s="31">
        <v>0.232748151346683</v>
      </c>
      <c r="R50" s="31">
        <v>0.0920314253647587</v>
      </c>
      <c r="S50" s="1"/>
      <c r="T50" t="s">
        <v>397</v>
      </c>
      <c r="U50">
        <v>344</v>
      </c>
      <c r="V50">
        <v>4</v>
      </c>
      <c r="W50">
        <v>0.46</v>
      </c>
      <c r="X50">
        <v>0</v>
      </c>
      <c r="Y50">
        <v>0</v>
      </c>
      <c r="Z50" s="31">
        <v>0</v>
      </c>
      <c r="AA50" s="31">
        <v>0</v>
      </c>
      <c r="AB50" s="2" t="str">
        <f>VLOOKUP(T:T,'1店'!$B:$B,1,0)</f>
        <v>Y1096-2</v>
      </c>
      <c r="AC50" t="s">
        <v>259</v>
      </c>
      <c r="AD50">
        <v>687</v>
      </c>
      <c r="AE50">
        <v>7</v>
      </c>
      <c r="AF50">
        <v>2.42</v>
      </c>
      <c r="AG50">
        <v>0</v>
      </c>
      <c r="AH50">
        <v>0</v>
      </c>
      <c r="AI50" s="31">
        <v>0</v>
      </c>
      <c r="AJ50" s="31">
        <v>0</v>
      </c>
      <c r="AK50" s="1" t="str">
        <f>VLOOKUP(AC:AC,'1店'!$B:$B,1,0)</f>
        <v>Y1078-WH</v>
      </c>
      <c r="AL50" s="29" t="s">
        <v>387</v>
      </c>
      <c r="AM50" s="107">
        <v>16.99</v>
      </c>
      <c r="AN50" s="1">
        <f t="shared" si="4"/>
        <v>83.251</v>
      </c>
      <c r="AP50" s="29" t="s">
        <v>244</v>
      </c>
      <c r="AQ50" s="33">
        <v>0</v>
      </c>
      <c r="AR50" s="1">
        <f t="shared" si="3"/>
        <v>0</v>
      </c>
      <c r="AT50" s="43" t="s">
        <v>184</v>
      </c>
      <c r="AU50" s="44">
        <v>171.125</v>
      </c>
      <c r="AV50" s="177"/>
      <c r="AW50" s="43" t="s">
        <v>184</v>
      </c>
      <c r="AX50" s="44">
        <v>101.75</v>
      </c>
      <c r="AZ50" t="s">
        <v>340</v>
      </c>
      <c r="BA50">
        <v>10.518</v>
      </c>
      <c r="BB50" s="1" t="s">
        <v>430</v>
      </c>
    </row>
    <row r="51" spans="2:54">
      <c r="B51" t="s">
        <v>384</v>
      </c>
      <c r="C51">
        <v>1</v>
      </c>
      <c r="D51" s="1" t="str">
        <f>VLOOKUP(B:B,'1店'!B:B,1,0)</f>
        <v>Y1102-PU</v>
      </c>
      <c r="E51" t="s">
        <v>193</v>
      </c>
      <c r="F51">
        <v>1</v>
      </c>
      <c r="G51" s="1" t="str">
        <f>VLOOKUP(E:E,'1店'!$B:$B,1,0)</f>
        <v>Y1065-BL</v>
      </c>
      <c r="H51" s="173" t="s">
        <v>375</v>
      </c>
      <c r="I51" s="173">
        <v>12</v>
      </c>
      <c r="J51" s="1" t="str">
        <f>VLOOKUP(H:H,'1店'!$B:$B,1,0)</f>
        <v>Y1038-BLACK</v>
      </c>
      <c r="K51"/>
      <c r="L51"/>
      <c r="M51"/>
      <c r="N51"/>
      <c r="O51"/>
      <c r="P51"/>
      <c r="Q51"/>
      <c r="R51"/>
      <c r="S51" s="1"/>
      <c r="T51" t="s">
        <v>399</v>
      </c>
      <c r="U51">
        <v>24052</v>
      </c>
      <c r="V51">
        <v>81</v>
      </c>
      <c r="W51">
        <v>58.41</v>
      </c>
      <c r="X51">
        <v>75.34</v>
      </c>
      <c r="Y51">
        <v>6</v>
      </c>
      <c r="Z51" s="31">
        <v>0.775285372975843</v>
      </c>
      <c r="AA51" s="31">
        <v>0.0740740740740741</v>
      </c>
      <c r="AB51" s="2" t="str">
        <f>VLOOKUP(T:T,'1店'!$B:$B,1,0)</f>
        <v>Y1103-BL</v>
      </c>
      <c r="AC51" t="s">
        <v>262</v>
      </c>
      <c r="AD51">
        <v>79</v>
      </c>
      <c r="AE51">
        <v>0</v>
      </c>
      <c r="AF51">
        <v>0</v>
      </c>
      <c r="AG51">
        <v>0</v>
      </c>
      <c r="AH51">
        <v>0</v>
      </c>
      <c r="AI51" s="31">
        <v>0</v>
      </c>
      <c r="AJ51" s="31">
        <v>0</v>
      </c>
      <c r="AK51" s="1" t="str">
        <f>VLOOKUP(AC:AC,'1店'!$B:$B,1,0)</f>
        <v>Y1079-BL</v>
      </c>
      <c r="AL51" s="29" t="s">
        <v>402</v>
      </c>
      <c r="AM51" s="107">
        <v>20.6</v>
      </c>
      <c r="AN51" s="1">
        <f t="shared" si="4"/>
        <v>100.94</v>
      </c>
      <c r="AP51" s="29" t="s">
        <v>295</v>
      </c>
      <c r="AQ51" s="33">
        <v>9.99</v>
      </c>
      <c r="AR51" s="1">
        <f t="shared" si="3"/>
        <v>68.4315</v>
      </c>
      <c r="AT51" s="43" t="s">
        <v>187</v>
      </c>
      <c r="AU51" s="44">
        <v>200.464</v>
      </c>
      <c r="AV51" s="177"/>
      <c r="AW51" s="43" t="s">
        <v>187</v>
      </c>
      <c r="AX51" s="44">
        <v>227.8</v>
      </c>
      <c r="AZ51" t="s">
        <v>178</v>
      </c>
      <c r="BA51">
        <v>3.414</v>
      </c>
      <c r="BB51" s="1" t="s">
        <v>430</v>
      </c>
    </row>
    <row r="52" spans="2:54">
      <c r="B52" t="s">
        <v>387</v>
      </c>
      <c r="C52">
        <v>1</v>
      </c>
      <c r="D52" s="1" t="str">
        <f>VLOOKUP(B:B,'1店'!B:B,1,0)</f>
        <v>Y1102-RE</v>
      </c>
      <c r="E52" t="s">
        <v>295</v>
      </c>
      <c r="F52">
        <v>1</v>
      </c>
      <c r="G52" s="1" t="str">
        <f>VLOOKUP(E:E,'1店'!$B:$B,1,0)</f>
        <v>Y1038-BU</v>
      </c>
      <c r="H52" s="173" t="s">
        <v>381</v>
      </c>
      <c r="I52" s="173">
        <v>16</v>
      </c>
      <c r="J52" s="1" t="str">
        <f>VLOOKUP(H:H,'1店'!$B:$B,1,0)</f>
        <v>Y1038-SILVER</v>
      </c>
      <c r="K52"/>
      <c r="L52"/>
      <c r="M52"/>
      <c r="N52"/>
      <c r="O52"/>
      <c r="P52"/>
      <c r="Q52"/>
      <c r="R52"/>
      <c r="S52" s="1"/>
      <c r="T52" t="s">
        <v>402</v>
      </c>
      <c r="U52">
        <v>1942</v>
      </c>
      <c r="V52">
        <v>8</v>
      </c>
      <c r="W52">
        <v>4.06</v>
      </c>
      <c r="X52">
        <v>12.99</v>
      </c>
      <c r="Y52">
        <v>1</v>
      </c>
      <c r="Z52" s="31">
        <v>0.312548113933795</v>
      </c>
      <c r="AA52" s="31">
        <v>0.125</v>
      </c>
      <c r="AB52" s="2" t="str">
        <f>VLOOKUP(T:T,'1店'!$B:$B,1,0)</f>
        <v>Y1103-SI</v>
      </c>
      <c r="AC52" t="s">
        <v>397</v>
      </c>
      <c r="AD52">
        <v>580</v>
      </c>
      <c r="AE52">
        <v>5</v>
      </c>
      <c r="AF52">
        <v>0.54</v>
      </c>
      <c r="AG52">
        <v>0</v>
      </c>
      <c r="AH52">
        <v>0</v>
      </c>
      <c r="AI52" s="31">
        <v>0</v>
      </c>
      <c r="AJ52" s="31">
        <v>0</v>
      </c>
      <c r="AK52" s="1" t="str">
        <f>VLOOKUP(AC:AC,'1店'!$B:$B,1,0)</f>
        <v>Y1096-2</v>
      </c>
      <c r="AN52" s="1">
        <f>AM52*$AS$1</f>
        <v>0</v>
      </c>
      <c r="AP52" s="29" t="s">
        <v>322</v>
      </c>
      <c r="AQ52" s="33">
        <v>10.99</v>
      </c>
      <c r="AR52" s="1">
        <f t="shared" si="3"/>
        <v>75.2815</v>
      </c>
      <c r="AT52" s="43" t="s">
        <v>190</v>
      </c>
      <c r="AU52" s="44">
        <v>488.452</v>
      </c>
      <c r="AV52" s="177"/>
      <c r="AW52" s="43" t="s">
        <v>190</v>
      </c>
      <c r="AX52" s="44">
        <v>745.532</v>
      </c>
      <c r="AZ52" t="s">
        <v>277</v>
      </c>
      <c r="BA52">
        <v>2.152</v>
      </c>
      <c r="BB52" s="1" t="s">
        <v>430</v>
      </c>
    </row>
    <row r="53" spans="2:54">
      <c r="B53" t="s">
        <v>439</v>
      </c>
      <c r="C53">
        <v>206</v>
      </c>
      <c r="E53" t="s">
        <v>325</v>
      </c>
      <c r="F53">
        <v>3</v>
      </c>
      <c r="G53" s="1" t="str">
        <f>VLOOKUP(E:E,'1店'!$B:$B,1,0)</f>
        <v>Y1093-RE</v>
      </c>
      <c r="H53" s="173" t="s">
        <v>378</v>
      </c>
      <c r="I53" s="173">
        <v>1</v>
      </c>
      <c r="J53" s="1" t="str">
        <f>VLOOKUP(H:H,'1店'!$B:$B,1,0)</f>
        <v>Y1038-BLUE</v>
      </c>
      <c r="K53"/>
      <c r="L53"/>
      <c r="M53"/>
      <c r="N53"/>
      <c r="O53"/>
      <c r="P53"/>
      <c r="Q53"/>
      <c r="R53"/>
      <c r="S53" s="1"/>
      <c r="T53" t="s">
        <v>337</v>
      </c>
      <c r="U53">
        <v>479</v>
      </c>
      <c r="V53">
        <v>0</v>
      </c>
      <c r="W53">
        <v>0</v>
      </c>
      <c r="X53">
        <v>0</v>
      </c>
      <c r="Y53">
        <v>0</v>
      </c>
      <c r="Z53" s="31">
        <v>0</v>
      </c>
      <c r="AA53" s="31">
        <v>0</v>
      </c>
      <c r="AB53" s="2" t="str">
        <f>VLOOKUP(T:T,'1店'!$B:$B,1,0)</f>
        <v>Y1038-BL</v>
      </c>
      <c r="AC53" t="s">
        <v>399</v>
      </c>
      <c r="AD53">
        <v>27471</v>
      </c>
      <c r="AE53">
        <v>113</v>
      </c>
      <c r="AF53">
        <v>80.27</v>
      </c>
      <c r="AG53">
        <v>114.31</v>
      </c>
      <c r="AH53">
        <v>9</v>
      </c>
      <c r="AI53" s="31">
        <v>0.702213279678068</v>
      </c>
      <c r="AJ53" s="31">
        <v>0.079646017699115</v>
      </c>
      <c r="AK53" s="1" t="str">
        <f>VLOOKUP(AC:AC,'1店'!$B:$B,1,0)</f>
        <v>Y1103-BL</v>
      </c>
      <c r="AN53" s="1">
        <f>AM53*$AS$1</f>
        <v>0</v>
      </c>
      <c r="AP53" s="29" t="s">
        <v>334</v>
      </c>
      <c r="AQ53" s="33">
        <v>19.99</v>
      </c>
      <c r="AR53" s="1">
        <f t="shared" si="3"/>
        <v>136.9315</v>
      </c>
      <c r="AT53" s="43" t="s">
        <v>193</v>
      </c>
      <c r="AU53" s="44">
        <v>434.77</v>
      </c>
      <c r="AV53" s="177"/>
      <c r="AW53" s="43" t="s">
        <v>193</v>
      </c>
      <c r="AX53" s="44">
        <v>447.192</v>
      </c>
      <c r="AZ53" t="s">
        <v>280</v>
      </c>
      <c r="BA53">
        <v>2.618</v>
      </c>
      <c r="BB53" s="1" t="s">
        <v>430</v>
      </c>
    </row>
    <row r="54" spans="2:54">
      <c r="B54"/>
      <c r="C54"/>
      <c r="E54" t="s">
        <v>334</v>
      </c>
      <c r="F54">
        <v>1</v>
      </c>
      <c r="G54" s="1" t="str">
        <f>VLOOKUP(E:E,'1店'!$B:$B,1,0)</f>
        <v>Y1094-YW</v>
      </c>
      <c r="H54" s="173" t="s">
        <v>387</v>
      </c>
      <c r="I54" s="173">
        <v>3</v>
      </c>
      <c r="J54" s="1" t="str">
        <f>VLOOKUP(H:H,'1店'!$B:$B,1,0)</f>
        <v>Y1102-RE</v>
      </c>
      <c r="K54"/>
      <c r="L54"/>
      <c r="M54"/>
      <c r="N54"/>
      <c r="O54"/>
      <c r="P54"/>
      <c r="Q54"/>
      <c r="R54"/>
      <c r="S54" s="1"/>
      <c r="T54" t="s">
        <v>439</v>
      </c>
      <c r="U54">
        <v>481733</v>
      </c>
      <c r="V54">
        <v>1988</v>
      </c>
      <c r="W54">
        <v>790.08</v>
      </c>
      <c r="X54">
        <v>3357.31</v>
      </c>
      <c r="Y54">
        <v>185</v>
      </c>
      <c r="Z54" s="31">
        <v>0.235331262230774</v>
      </c>
      <c r="AA54" s="31">
        <v>0.0930583501006036</v>
      </c>
      <c r="AC54" t="s">
        <v>402</v>
      </c>
      <c r="AD54">
        <v>10590</v>
      </c>
      <c r="AE54">
        <v>55</v>
      </c>
      <c r="AF54">
        <v>33.69</v>
      </c>
      <c r="AG54">
        <v>64.95</v>
      </c>
      <c r="AH54">
        <v>5</v>
      </c>
      <c r="AI54" s="31">
        <v>0.518706697459584</v>
      </c>
      <c r="AJ54" s="31">
        <v>0.0909090909090909</v>
      </c>
      <c r="AK54" s="1" t="str">
        <f>VLOOKUP(AC:AC,'1店'!$B:$B,1,0)</f>
        <v>Y1103-SI</v>
      </c>
      <c r="AN54" s="1">
        <f>AM54*4.9</f>
        <v>0</v>
      </c>
      <c r="AP54" s="29" t="s">
        <v>360</v>
      </c>
      <c r="AQ54" s="33">
        <v>7.99</v>
      </c>
      <c r="AR54" s="1">
        <f t="shared" si="3"/>
        <v>54.7315</v>
      </c>
      <c r="AT54" s="43" t="s">
        <v>196</v>
      </c>
      <c r="AU54" s="44">
        <v>918.562</v>
      </c>
      <c r="AV54" s="177"/>
      <c r="AW54" s="43" t="s">
        <v>196</v>
      </c>
      <c r="AX54" s="44">
        <v>943.388</v>
      </c>
      <c r="AZ54" t="s">
        <v>390</v>
      </c>
      <c r="BA54">
        <v>7.552</v>
      </c>
      <c r="BB54" s="1" t="s">
        <v>430</v>
      </c>
    </row>
    <row r="55" spans="2:54">
      <c r="B55"/>
      <c r="C55"/>
      <c r="E55" t="s">
        <v>357</v>
      </c>
      <c r="F55">
        <v>2</v>
      </c>
      <c r="G55" s="1" t="str">
        <f>VLOOKUP(E:E,'1店'!$B:$B,1,0)</f>
        <v>Y1100-RE</v>
      </c>
      <c r="H55" t="s">
        <v>127</v>
      </c>
      <c r="I55">
        <v>1</v>
      </c>
      <c r="J55" s="1" t="str">
        <f>VLOOKUP(H:H,'1店'!$B:$B,1,0)</f>
        <v>Y1039</v>
      </c>
      <c r="K55"/>
      <c r="L55"/>
      <c r="M55"/>
      <c r="N55"/>
      <c r="O55"/>
      <c r="P55"/>
      <c r="Q55"/>
      <c r="R55"/>
      <c r="S55" s="1"/>
      <c r="T55"/>
      <c r="U55"/>
      <c r="V55"/>
      <c r="W55"/>
      <c r="X55"/>
      <c r="Y55"/>
      <c r="Z55"/>
      <c r="AA55"/>
      <c r="AC55" t="s">
        <v>337</v>
      </c>
      <c r="AD55">
        <v>479</v>
      </c>
      <c r="AE55">
        <v>0</v>
      </c>
      <c r="AF55">
        <v>0</v>
      </c>
      <c r="AG55">
        <v>0</v>
      </c>
      <c r="AH55">
        <v>0</v>
      </c>
      <c r="AI55" s="31">
        <v>0</v>
      </c>
      <c r="AJ55" s="31">
        <v>0</v>
      </c>
      <c r="AK55" s="1" t="str">
        <f>VLOOKUP(AC:AC,'1店'!$B:$B,1,0)</f>
        <v>Y1038-BL</v>
      </c>
      <c r="AN55" s="1">
        <f>AM55*4.9</f>
        <v>0</v>
      </c>
      <c r="AP55" s="29" t="s">
        <v>369</v>
      </c>
      <c r="AQ55" s="33">
        <v>17.99</v>
      </c>
      <c r="AR55" s="1">
        <f t="shared" si="3"/>
        <v>123.2315</v>
      </c>
      <c r="AT55" s="43" t="s">
        <v>199</v>
      </c>
      <c r="AU55" s="44">
        <v>844.186</v>
      </c>
      <c r="AV55" s="177"/>
      <c r="AW55" s="43" t="s">
        <v>199</v>
      </c>
      <c r="AX55" s="44">
        <v>869.015</v>
      </c>
      <c r="AZ55" t="s">
        <v>283</v>
      </c>
      <c r="BA55">
        <v>2.765</v>
      </c>
      <c r="BB55" s="1" t="s">
        <v>430</v>
      </c>
    </row>
    <row r="56" spans="2:54">
      <c r="B56"/>
      <c r="C56"/>
      <c r="E56" t="s">
        <v>405</v>
      </c>
      <c r="F56">
        <v>4</v>
      </c>
      <c r="G56" s="1" t="str">
        <f>VLOOKUP(E:E,'1店'!$B:$B,1,0)</f>
        <v>Y1104</v>
      </c>
      <c r="H56" t="s">
        <v>250</v>
      </c>
      <c r="I56">
        <v>4</v>
      </c>
      <c r="J56" s="1" t="str">
        <f>VLOOKUP(H:H,'1店'!$B:$B,1,0)</f>
        <v>Y1076-RE</v>
      </c>
      <c r="K56"/>
      <c r="L56"/>
      <c r="M56"/>
      <c r="N56"/>
      <c r="O56"/>
      <c r="P56"/>
      <c r="Q56"/>
      <c r="R56"/>
      <c r="S56" s="1"/>
      <c r="T56"/>
      <c r="U56"/>
      <c r="V56"/>
      <c r="W56"/>
      <c r="X56"/>
      <c r="Y56"/>
      <c r="Z56"/>
      <c r="AA56"/>
      <c r="AC56" t="s">
        <v>439</v>
      </c>
      <c r="AD56">
        <v>932447</v>
      </c>
      <c r="AE56">
        <v>3671</v>
      </c>
      <c r="AF56">
        <v>1488.07</v>
      </c>
      <c r="AG56">
        <v>5943.33</v>
      </c>
      <c r="AH56">
        <v>333</v>
      </c>
      <c r="AI56" s="31">
        <v>0.250376472448947</v>
      </c>
      <c r="AJ56" s="31">
        <v>0.0907109779351675</v>
      </c>
      <c r="AN56" s="1">
        <f>AM56*4.9</f>
        <v>0</v>
      </c>
      <c r="AP56" s="29" t="s">
        <v>393</v>
      </c>
      <c r="AQ56" s="33">
        <v>9.99</v>
      </c>
      <c r="AR56" s="1">
        <f t="shared" si="3"/>
        <v>68.4315</v>
      </c>
      <c r="AT56" s="43" t="s">
        <v>202</v>
      </c>
      <c r="AU56" s="44">
        <v>99.28</v>
      </c>
      <c r="AV56" s="177"/>
      <c r="AW56" s="43" t="s">
        <v>202</v>
      </c>
      <c r="AX56" s="44">
        <v>173.74</v>
      </c>
      <c r="AZ56" t="s">
        <v>440</v>
      </c>
      <c r="BA56">
        <v>4.567</v>
      </c>
      <c r="BB56" s="1" t="s">
        <v>430</v>
      </c>
    </row>
    <row r="57" spans="2:54">
      <c r="B57"/>
      <c r="C57"/>
      <c r="E57" t="s">
        <v>372</v>
      </c>
      <c r="F57">
        <v>2</v>
      </c>
      <c r="G57" s="1" t="str">
        <f>VLOOKUP(E:E,'1店'!$B:$B,1,0)</f>
        <v>Y1098</v>
      </c>
      <c r="H57" t="s">
        <v>390</v>
      </c>
      <c r="I57">
        <v>22</v>
      </c>
      <c r="J57" s="1" t="str">
        <f>VLOOKUP(H:H,'1店'!$B:$B,1,0)</f>
        <v>Y1084-ZH</v>
      </c>
      <c r="K57"/>
      <c r="L57"/>
      <c r="M57"/>
      <c r="N57"/>
      <c r="O57"/>
      <c r="P57"/>
      <c r="Q57"/>
      <c r="R57"/>
      <c r="S57" s="1"/>
      <c r="T57"/>
      <c r="U57"/>
      <c r="V57"/>
      <c r="W57"/>
      <c r="X57"/>
      <c r="Y57"/>
      <c r="Z57"/>
      <c r="AA57"/>
      <c r="AC57"/>
      <c r="AD57"/>
      <c r="AE57"/>
      <c r="AF57"/>
      <c r="AG57"/>
      <c r="AH57"/>
      <c r="AI57"/>
      <c r="AJ57"/>
      <c r="AN57" s="1">
        <f>AM57*$AS$1</f>
        <v>0</v>
      </c>
      <c r="AP57" s="29" t="s">
        <v>381</v>
      </c>
      <c r="AQ57" s="107">
        <v>152.91</v>
      </c>
      <c r="AR57" s="1">
        <f>AQ57*4.9</f>
        <v>749.259</v>
      </c>
      <c r="AT57" s="43" t="s">
        <v>205</v>
      </c>
      <c r="AU57" s="44">
        <v>33.334</v>
      </c>
      <c r="AV57" s="177"/>
      <c r="AW57" s="43" t="s">
        <v>205</v>
      </c>
      <c r="AX57" s="44">
        <v>50.001</v>
      </c>
      <c r="AZ57" t="s">
        <v>286</v>
      </c>
      <c r="BA57">
        <v>2.73</v>
      </c>
      <c r="BB57" s="1" t="s">
        <v>430</v>
      </c>
    </row>
    <row r="58" spans="2:54">
      <c r="B58"/>
      <c r="C58"/>
      <c r="E58" t="s">
        <v>169</v>
      </c>
      <c r="F58">
        <v>1</v>
      </c>
      <c r="G58" s="1" t="str">
        <f>VLOOKUP(E:E,'1店'!$B:$B,1,0)</f>
        <v>Y1059-SI</v>
      </c>
      <c r="H58" t="s">
        <v>142</v>
      </c>
      <c r="I58">
        <v>5</v>
      </c>
      <c r="J58" s="1" t="str">
        <f>VLOOKUP(H:H,'1店'!$B:$B,1,0)</f>
        <v>Y1045-ZH</v>
      </c>
      <c r="K58"/>
      <c r="L58"/>
      <c r="M58"/>
      <c r="N58"/>
      <c r="O58"/>
      <c r="P58"/>
      <c r="Q58"/>
      <c r="R58"/>
      <c r="S58" s="1"/>
      <c r="T58"/>
      <c r="U58"/>
      <c r="V58"/>
      <c r="W58"/>
      <c r="X58"/>
      <c r="Y58"/>
      <c r="Z58"/>
      <c r="AA58"/>
      <c r="AC58"/>
      <c r="AD58"/>
      <c r="AE58"/>
      <c r="AF58"/>
      <c r="AG58"/>
      <c r="AH58"/>
      <c r="AI58"/>
      <c r="AJ58"/>
      <c r="AN58" s="1">
        <f>AM58*$AS$1</f>
        <v>0</v>
      </c>
      <c r="AP58" s="29" t="s">
        <v>375</v>
      </c>
      <c r="AQ58" s="107">
        <v>111.93</v>
      </c>
      <c r="AR58" s="1">
        <f t="shared" ref="AR58:AR65" si="5">AQ58*4.9</f>
        <v>548.457</v>
      </c>
      <c r="AT58" s="43" t="s">
        <v>208</v>
      </c>
      <c r="AU58" s="44">
        <v>154.764</v>
      </c>
      <c r="AV58" s="177"/>
      <c r="AW58" s="43" t="s">
        <v>441</v>
      </c>
      <c r="AX58" s="44">
        <v>240.716</v>
      </c>
      <c r="AZ58" t="s">
        <v>289</v>
      </c>
      <c r="BA58">
        <v>3.65</v>
      </c>
      <c r="BB58" s="1" t="s">
        <v>430</v>
      </c>
    </row>
    <row r="59" spans="2:54">
      <c r="B59"/>
      <c r="C59"/>
      <c r="E59" t="s">
        <v>244</v>
      </c>
      <c r="F59">
        <v>1</v>
      </c>
      <c r="G59" s="1" t="str">
        <f>VLOOKUP(E:E,'1店'!$B:$B,1,0)</f>
        <v>Y1076-BG</v>
      </c>
      <c r="H59" t="s">
        <v>360</v>
      </c>
      <c r="I59">
        <v>2</v>
      </c>
      <c r="J59" s="1" t="str">
        <f>VLOOKUP(H:H,'1店'!$B:$B,1,0)</f>
        <v>Y1101-CA</v>
      </c>
      <c r="K59"/>
      <c r="L59"/>
      <c r="M59"/>
      <c r="N59"/>
      <c r="O59"/>
      <c r="P59"/>
      <c r="Q59"/>
      <c r="R59"/>
      <c r="S59" s="1"/>
      <c r="T59"/>
      <c r="U59"/>
      <c r="V59"/>
      <c r="W59"/>
      <c r="X59"/>
      <c r="Y59"/>
      <c r="Z59"/>
      <c r="AA59"/>
      <c r="AC59"/>
      <c r="AD59"/>
      <c r="AE59"/>
      <c r="AF59"/>
      <c r="AG59"/>
      <c r="AH59"/>
      <c r="AI59"/>
      <c r="AJ59"/>
      <c r="AN59" s="1">
        <f>AM59*$AS$1</f>
        <v>0</v>
      </c>
      <c r="AP59" s="29" t="s">
        <v>387</v>
      </c>
      <c r="AQ59" s="107">
        <v>33.98</v>
      </c>
      <c r="AR59" s="1">
        <f t="shared" si="5"/>
        <v>166.502</v>
      </c>
      <c r="AT59" s="43" t="s">
        <v>441</v>
      </c>
      <c r="AU59" s="44">
        <v>240.716</v>
      </c>
      <c r="AV59" s="177"/>
      <c r="AW59" s="43" t="s">
        <v>211</v>
      </c>
      <c r="AX59" s="44">
        <v>154.746</v>
      </c>
      <c r="AZ59" t="s">
        <v>319</v>
      </c>
      <c r="BA59">
        <v>12.851</v>
      </c>
      <c r="BB59" s="1" t="s">
        <v>430</v>
      </c>
    </row>
    <row r="60" spans="2:54">
      <c r="B60"/>
      <c r="C60"/>
      <c r="E60" t="s">
        <v>369</v>
      </c>
      <c r="F60">
        <v>1</v>
      </c>
      <c r="G60" s="1" t="str">
        <f>VLOOKUP(E:E,'1店'!$B:$B,1,0)</f>
        <v>Y1097-RE</v>
      </c>
      <c r="H60" t="s">
        <v>393</v>
      </c>
      <c r="I60">
        <v>4</v>
      </c>
      <c r="J60" s="1" t="str">
        <f>VLOOKUP(H:H,'1店'!$B:$B,1,0)</f>
        <v>Y1062-1</v>
      </c>
      <c r="K60"/>
      <c r="L60"/>
      <c r="M60"/>
      <c r="N60"/>
      <c r="O60"/>
      <c r="P60"/>
      <c r="Q60"/>
      <c r="R60"/>
      <c r="S60" s="1"/>
      <c r="T60"/>
      <c r="U60"/>
      <c r="V60"/>
      <c r="W60"/>
      <c r="X60"/>
      <c r="Y60"/>
      <c r="Z60"/>
      <c r="AA60"/>
      <c r="AC60"/>
      <c r="AD60"/>
      <c r="AE60"/>
      <c r="AF60"/>
      <c r="AG60"/>
      <c r="AH60"/>
      <c r="AI60"/>
      <c r="AJ60"/>
      <c r="AN60" s="1">
        <f>AM60*$AS$1</f>
        <v>0</v>
      </c>
      <c r="AP60" s="29" t="s">
        <v>133</v>
      </c>
      <c r="AQ60" s="107">
        <v>20.99</v>
      </c>
      <c r="AR60" s="1">
        <f t="shared" si="5"/>
        <v>102.851</v>
      </c>
      <c r="AT60" s="43" t="s">
        <v>211</v>
      </c>
      <c r="AU60" s="44">
        <v>154.746</v>
      </c>
      <c r="AV60" s="177"/>
      <c r="AW60" s="43" t="s">
        <v>214</v>
      </c>
      <c r="AX60" s="44">
        <v>318.126</v>
      </c>
      <c r="AZ60" t="s">
        <v>292</v>
      </c>
      <c r="BA60">
        <v>3.937</v>
      </c>
      <c r="BB60" s="1" t="s">
        <v>430</v>
      </c>
    </row>
    <row r="61" spans="2:54">
      <c r="B61"/>
      <c r="C61"/>
      <c r="E61" t="s">
        <v>127</v>
      </c>
      <c r="F61">
        <v>1</v>
      </c>
      <c r="G61" s="1" t="str">
        <f>VLOOKUP(E:E,'1店'!$B:$B,1,0)</f>
        <v>Y1039</v>
      </c>
      <c r="H61" t="s">
        <v>220</v>
      </c>
      <c r="I61">
        <v>3</v>
      </c>
      <c r="J61" s="1" t="str">
        <f>VLOOKUP(H:H,'1店'!$B:$B,1,0)</f>
        <v>Y1073-BL</v>
      </c>
      <c r="K61"/>
      <c r="L61"/>
      <c r="M61"/>
      <c r="N61"/>
      <c r="O61"/>
      <c r="P61"/>
      <c r="Q61"/>
      <c r="R61"/>
      <c r="S61" s="1"/>
      <c r="T61"/>
      <c r="U61"/>
      <c r="V61"/>
      <c r="W61"/>
      <c r="X61"/>
      <c r="Y61"/>
      <c r="Z61"/>
      <c r="AA61"/>
      <c r="AC61"/>
      <c r="AD61"/>
      <c r="AE61"/>
      <c r="AF61"/>
      <c r="AG61"/>
      <c r="AH61"/>
      <c r="AI61"/>
      <c r="AJ61"/>
      <c r="AN61" s="1">
        <f>AM61*$AS$1</f>
        <v>0</v>
      </c>
      <c r="AP61" s="29" t="s">
        <v>127</v>
      </c>
      <c r="AQ61" s="107">
        <v>22.99</v>
      </c>
      <c r="AR61" s="1">
        <f t="shared" si="5"/>
        <v>112.651</v>
      </c>
      <c r="AT61" s="43" t="s">
        <v>214</v>
      </c>
      <c r="AU61" s="44">
        <v>318.126</v>
      </c>
      <c r="AV61" s="177"/>
      <c r="AW61" s="43" t="s">
        <v>217</v>
      </c>
      <c r="AX61" s="44">
        <v>189</v>
      </c>
      <c r="AZ61" t="s">
        <v>442</v>
      </c>
      <c r="BA61">
        <v>5.027</v>
      </c>
      <c r="BB61" s="1" t="s">
        <v>430</v>
      </c>
    </row>
    <row r="62" spans="2:54">
      <c r="B62"/>
      <c r="C62"/>
      <c r="E62" t="s">
        <v>384</v>
      </c>
      <c r="F62">
        <v>1</v>
      </c>
      <c r="G62" s="1" t="str">
        <f>VLOOKUP(E:E,'1店'!$B:$B,1,0)</f>
        <v>Y1102-PU</v>
      </c>
      <c r="H62" t="s">
        <v>241</v>
      </c>
      <c r="I62">
        <v>1</v>
      </c>
      <c r="J62" s="1" t="str">
        <f>VLOOKUP(H:H,'1店'!$B:$B,1,0)</f>
        <v>Y1075-WH</v>
      </c>
      <c r="K62"/>
      <c r="L62"/>
      <c r="M62"/>
      <c r="N62"/>
      <c r="O62"/>
      <c r="P62"/>
      <c r="Q62"/>
      <c r="R62"/>
      <c r="S62" s="1"/>
      <c r="T62"/>
      <c r="U62"/>
      <c r="V62"/>
      <c r="W62"/>
      <c r="X62"/>
      <c r="Y62"/>
      <c r="Z62"/>
      <c r="AA62"/>
      <c r="AC62"/>
      <c r="AD62"/>
      <c r="AE62"/>
      <c r="AF62"/>
      <c r="AG62"/>
      <c r="AH62"/>
      <c r="AI62"/>
      <c r="AJ62"/>
      <c r="AN62" s="1">
        <f>AM62*$AS$1</f>
        <v>0</v>
      </c>
      <c r="AP62" s="29" t="s">
        <v>384</v>
      </c>
      <c r="AQ62" s="107">
        <v>16.99</v>
      </c>
      <c r="AR62" s="1">
        <f t="shared" si="5"/>
        <v>83.251</v>
      </c>
      <c r="AT62" s="43" t="s">
        <v>217</v>
      </c>
      <c r="AU62" s="44">
        <v>189</v>
      </c>
      <c r="AV62" s="177"/>
      <c r="AW62" s="43" t="s">
        <v>220</v>
      </c>
      <c r="AX62" s="44">
        <v>99</v>
      </c>
      <c r="AZ62" t="s">
        <v>205</v>
      </c>
      <c r="BA62">
        <v>11.729</v>
      </c>
      <c r="BB62" s="1" t="s">
        <v>430</v>
      </c>
    </row>
    <row r="63" spans="2:54">
      <c r="B63"/>
      <c r="C63"/>
      <c r="E63" t="s">
        <v>439</v>
      </c>
      <c r="F63">
        <v>494</v>
      </c>
      <c r="H63" t="s">
        <v>395</v>
      </c>
      <c r="I63">
        <v>3</v>
      </c>
      <c r="J63" s="1" t="str">
        <f>VLOOKUP(H:H,'1店'!$B:$B,1,0)</f>
        <v>Y1038-BL-1</v>
      </c>
      <c r="K63"/>
      <c r="L63"/>
      <c r="M63"/>
      <c r="N63"/>
      <c r="O63"/>
      <c r="P63"/>
      <c r="Q63"/>
      <c r="R63"/>
      <c r="S63" s="1"/>
      <c r="T63"/>
      <c r="U63"/>
      <c r="V63"/>
      <c r="W63"/>
      <c r="X63"/>
      <c r="Y63"/>
      <c r="Z63"/>
      <c r="AA63"/>
      <c r="AC63"/>
      <c r="AD63"/>
      <c r="AE63"/>
      <c r="AF63"/>
      <c r="AG63"/>
      <c r="AH63"/>
      <c r="AI63"/>
      <c r="AJ63"/>
      <c r="AN63" s="1">
        <f>AM63*$AS$1</f>
        <v>0</v>
      </c>
      <c r="AP63" s="29" t="s">
        <v>402</v>
      </c>
      <c r="AQ63" s="107">
        <v>20.6</v>
      </c>
      <c r="AR63" s="1">
        <f t="shared" si="5"/>
        <v>100.94</v>
      </c>
      <c r="AT63" s="43" t="s">
        <v>220</v>
      </c>
      <c r="AU63" s="44">
        <v>81</v>
      </c>
      <c r="AV63" s="177"/>
      <c r="AW63" s="43" t="s">
        <v>223</v>
      </c>
      <c r="AX63" s="44">
        <v>135</v>
      </c>
      <c r="AZ63" t="s">
        <v>441</v>
      </c>
      <c r="BA63">
        <v>0.469</v>
      </c>
      <c r="BB63" s="1" t="s">
        <v>430</v>
      </c>
    </row>
    <row r="64" spans="2:54">
      <c r="B64"/>
      <c r="C64"/>
      <c r="E64"/>
      <c r="F64"/>
      <c r="H64" t="s">
        <v>136</v>
      </c>
      <c r="I64">
        <v>3</v>
      </c>
      <c r="J64" s="1" t="str">
        <f>VLOOKUP(H:H,'1店'!$B:$B,1,0)</f>
        <v>Y1040-GR</v>
      </c>
      <c r="K64"/>
      <c r="L64"/>
      <c r="M64"/>
      <c r="N64"/>
      <c r="O64"/>
      <c r="P64"/>
      <c r="Q64"/>
      <c r="R64"/>
      <c r="S64" s="1"/>
      <c r="T64"/>
      <c r="U64"/>
      <c r="V64"/>
      <c r="W64"/>
      <c r="X64"/>
      <c r="Y64"/>
      <c r="Z64"/>
      <c r="AA64"/>
      <c r="AC64"/>
      <c r="AD64"/>
      <c r="AE64"/>
      <c r="AF64"/>
      <c r="AG64"/>
      <c r="AH64"/>
      <c r="AI64"/>
      <c r="AJ64"/>
      <c r="AN64" s="1">
        <f>AM64*$AS$1</f>
        <v>0</v>
      </c>
      <c r="AR64" s="1">
        <f t="shared" si="5"/>
        <v>0</v>
      </c>
      <c r="AT64" s="43" t="s">
        <v>223</v>
      </c>
      <c r="AU64" s="44">
        <v>135</v>
      </c>
      <c r="AV64" s="177"/>
      <c r="AW64" s="43" t="s">
        <v>226</v>
      </c>
      <c r="AX64" s="44">
        <v>83.133</v>
      </c>
      <c r="AZ64" t="s">
        <v>211</v>
      </c>
      <c r="BA64">
        <v>0.469</v>
      </c>
      <c r="BB64" s="1" t="s">
        <v>430</v>
      </c>
    </row>
    <row r="65" spans="2:54">
      <c r="B65"/>
      <c r="C65"/>
      <c r="E65"/>
      <c r="F65"/>
      <c r="H65" t="s">
        <v>133</v>
      </c>
      <c r="I65">
        <v>3</v>
      </c>
      <c r="J65" s="1" t="str">
        <f>VLOOKUP(H:H,'1店'!$B:$B,1,0)</f>
        <v>Y1040-BU</v>
      </c>
      <c r="K65"/>
      <c r="L65"/>
      <c r="M65"/>
      <c r="N65"/>
      <c r="O65"/>
      <c r="P65"/>
      <c r="Q65"/>
      <c r="R65"/>
      <c r="S65" s="1"/>
      <c r="T65"/>
      <c r="U65"/>
      <c r="V65"/>
      <c r="W65"/>
      <c r="X65"/>
      <c r="Y65"/>
      <c r="Z65"/>
      <c r="AA65"/>
      <c r="AC65"/>
      <c r="AD65"/>
      <c r="AE65"/>
      <c r="AF65"/>
      <c r="AG65"/>
      <c r="AH65"/>
      <c r="AI65"/>
      <c r="AJ65"/>
      <c r="AN65" s="1">
        <f>AM65*$AS$1</f>
        <v>0</v>
      </c>
      <c r="AR65" s="1">
        <f t="shared" si="5"/>
        <v>0</v>
      </c>
      <c r="AT65" s="43" t="s">
        <v>226</v>
      </c>
      <c r="AU65" s="44">
        <v>83.133</v>
      </c>
      <c r="AV65" s="177"/>
      <c r="AW65" s="43" t="s">
        <v>229</v>
      </c>
      <c r="AX65" s="44">
        <v>93.7</v>
      </c>
      <c r="AZ65" t="s">
        <v>437</v>
      </c>
      <c r="BA65">
        <v>0.469</v>
      </c>
      <c r="BB65" s="1" t="s">
        <v>430</v>
      </c>
    </row>
    <row r="66" spans="5:54">
      <c r="E66"/>
      <c r="F66"/>
      <c r="H66" t="s">
        <v>262</v>
      </c>
      <c r="I66">
        <v>2</v>
      </c>
      <c r="J66" s="1" t="str">
        <f>VLOOKUP(H:H,'1店'!$B:$B,1,0)</f>
        <v>Y1079-BL</v>
      </c>
      <c r="K66"/>
      <c r="L66"/>
      <c r="M66"/>
      <c r="N66"/>
      <c r="O66"/>
      <c r="P66"/>
      <c r="Q66"/>
      <c r="R66"/>
      <c r="S66" s="1"/>
      <c r="T66"/>
      <c r="U66"/>
      <c r="V66"/>
      <c r="W66"/>
      <c r="X66"/>
      <c r="Y66"/>
      <c r="Z66"/>
      <c r="AA66"/>
      <c r="AC66"/>
      <c r="AD66"/>
      <c r="AE66"/>
      <c r="AF66"/>
      <c r="AG66"/>
      <c r="AH66"/>
      <c r="AI66"/>
      <c r="AJ66"/>
      <c r="AN66" s="1">
        <f>AM66*$AS$1</f>
        <v>0</v>
      </c>
      <c r="AR66" s="1">
        <f>AQ66*$AS$1</f>
        <v>0</v>
      </c>
      <c r="AT66" s="43" t="s">
        <v>229</v>
      </c>
      <c r="AU66" s="44">
        <v>84.33</v>
      </c>
      <c r="AV66" s="177"/>
      <c r="AW66" s="43" t="s">
        <v>232</v>
      </c>
      <c r="AX66" s="44">
        <v>185.78</v>
      </c>
      <c r="AZ66" t="s">
        <v>208</v>
      </c>
      <c r="BA66">
        <v>3.9</v>
      </c>
      <c r="BB66" s="1" t="s">
        <v>430</v>
      </c>
    </row>
    <row r="67" spans="5:54">
      <c r="E67"/>
      <c r="F67"/>
      <c r="H67" t="s">
        <v>397</v>
      </c>
      <c r="I67">
        <v>1</v>
      </c>
      <c r="J67" s="1" t="str">
        <f>VLOOKUP(H:H,'1店'!$B:$B,1,0)</f>
        <v>Y1096-2</v>
      </c>
      <c r="K67"/>
      <c r="L67"/>
      <c r="M67"/>
      <c r="N67"/>
      <c r="O67"/>
      <c r="P67"/>
      <c r="Q67"/>
      <c r="R67"/>
      <c r="S67" s="1"/>
      <c r="T67"/>
      <c r="U67"/>
      <c r="V67"/>
      <c r="W67"/>
      <c r="X67"/>
      <c r="Y67"/>
      <c r="Z67"/>
      <c r="AA67"/>
      <c r="AC67"/>
      <c r="AD67"/>
      <c r="AE67"/>
      <c r="AF67"/>
      <c r="AG67"/>
      <c r="AH67"/>
      <c r="AI67"/>
      <c r="AJ67"/>
      <c r="AN67" s="1">
        <f>AM67*$AS$1</f>
        <v>0</v>
      </c>
      <c r="AR67" s="1">
        <f>AQ67*$AS$1</f>
        <v>0</v>
      </c>
      <c r="AT67" s="43" t="s">
        <v>232</v>
      </c>
      <c r="AU67" s="44">
        <v>176.491</v>
      </c>
      <c r="AV67" s="177"/>
      <c r="AW67" s="43" t="s">
        <v>443</v>
      </c>
      <c r="AX67" s="44">
        <v>193.6</v>
      </c>
      <c r="AZ67" t="s">
        <v>214</v>
      </c>
      <c r="BA67">
        <v>2.462</v>
      </c>
      <c r="BB67" s="1" t="s">
        <v>430</v>
      </c>
    </row>
    <row r="68" spans="5:54">
      <c r="E68"/>
      <c r="F68"/>
      <c r="H68" t="s">
        <v>384</v>
      </c>
      <c r="I68">
        <v>1</v>
      </c>
      <c r="J68" s="1" t="str">
        <f>VLOOKUP(H:H,'1店'!$B:$B,1,0)</f>
        <v>Y1102-PU</v>
      </c>
      <c r="K68"/>
      <c r="L68"/>
      <c r="M68"/>
      <c r="N68"/>
      <c r="O68"/>
      <c r="P68"/>
      <c r="Q68"/>
      <c r="R68"/>
      <c r="S68" s="1"/>
      <c r="T68"/>
      <c r="U68"/>
      <c r="V68"/>
      <c r="W68"/>
      <c r="X68"/>
      <c r="Y68"/>
      <c r="Z68"/>
      <c r="AA68"/>
      <c r="AC68"/>
      <c r="AD68"/>
      <c r="AE68"/>
      <c r="AF68"/>
      <c r="AG68"/>
      <c r="AH68"/>
      <c r="AI68"/>
      <c r="AJ68"/>
      <c r="AN68" s="1">
        <f>AM68*$AS$1</f>
        <v>0</v>
      </c>
      <c r="AR68" s="1">
        <f>AQ68*$AS$1</f>
        <v>0</v>
      </c>
      <c r="AT68" s="43" t="s">
        <v>235</v>
      </c>
      <c r="AU68" s="44">
        <v>237.6</v>
      </c>
      <c r="AV68" s="177"/>
      <c r="AW68" s="43" t="s">
        <v>235</v>
      </c>
      <c r="AX68" s="44">
        <v>237.6</v>
      </c>
      <c r="AZ68" t="s">
        <v>232</v>
      </c>
      <c r="BA68">
        <v>0.581</v>
      </c>
      <c r="BB68" s="1" t="s">
        <v>430</v>
      </c>
    </row>
    <row r="69" spans="5:54">
      <c r="E69"/>
      <c r="F69"/>
      <c r="H69" t="s">
        <v>196</v>
      </c>
      <c r="I69">
        <v>1</v>
      </c>
      <c r="J69" s="1" t="str">
        <f>VLOOKUP(H:H,'1店'!$B:$B,1,0)</f>
        <v>Y1066-BE</v>
      </c>
      <c r="K69"/>
      <c r="L69"/>
      <c r="M69"/>
      <c r="N69"/>
      <c r="O69"/>
      <c r="P69"/>
      <c r="Q69"/>
      <c r="R69"/>
      <c r="S69" s="1"/>
      <c r="T69"/>
      <c r="U69"/>
      <c r="V69"/>
      <c r="W69"/>
      <c r="X69"/>
      <c r="Y69"/>
      <c r="Z69"/>
      <c r="AA69"/>
      <c r="AC69"/>
      <c r="AD69"/>
      <c r="AE69"/>
      <c r="AF69"/>
      <c r="AG69"/>
      <c r="AH69"/>
      <c r="AI69"/>
      <c r="AJ69"/>
      <c r="AN69" s="1">
        <f>AM69*4.9</f>
        <v>0</v>
      </c>
      <c r="AR69" s="1">
        <f>AQ69*$AS$1</f>
        <v>0</v>
      </c>
      <c r="AT69" s="43" t="s">
        <v>238</v>
      </c>
      <c r="AU69" s="44">
        <v>220</v>
      </c>
      <c r="AV69" s="177"/>
      <c r="AW69" s="43" t="s">
        <v>241</v>
      </c>
      <c r="AX69" s="44">
        <v>230.4</v>
      </c>
      <c r="AZ69" t="s">
        <v>229</v>
      </c>
      <c r="BA69">
        <v>0.581</v>
      </c>
      <c r="BB69" s="1" t="s">
        <v>430</v>
      </c>
    </row>
    <row r="70" spans="5:54">
      <c r="E70"/>
      <c r="F70"/>
      <c r="H70" t="s">
        <v>232</v>
      </c>
      <c r="I70">
        <v>3</v>
      </c>
      <c r="J70" s="1" t="str">
        <f>VLOOKUP(H:H,'1店'!$B:$B,1,0)</f>
        <v>Y1074-WH</v>
      </c>
      <c r="K70"/>
      <c r="L70"/>
      <c r="M70"/>
      <c r="N70"/>
      <c r="O70"/>
      <c r="P70"/>
      <c r="Q70"/>
      <c r="R70"/>
      <c r="S70" s="1"/>
      <c r="T70"/>
      <c r="U70"/>
      <c r="V70"/>
      <c r="W70"/>
      <c r="X70"/>
      <c r="Y70"/>
      <c r="Z70"/>
      <c r="AA70"/>
      <c r="AC70"/>
      <c r="AD70"/>
      <c r="AE70"/>
      <c r="AF70"/>
      <c r="AG70"/>
      <c r="AH70"/>
      <c r="AI70"/>
      <c r="AJ70"/>
      <c r="AN70" s="1">
        <f>AM70*4.9</f>
        <v>0</v>
      </c>
      <c r="AR70" s="1">
        <f>AQ70*$AS$1</f>
        <v>0</v>
      </c>
      <c r="AT70" s="43" t="s">
        <v>241</v>
      </c>
      <c r="AU70" s="44">
        <v>225.6</v>
      </c>
      <c r="AV70" s="177"/>
      <c r="AW70" s="43" t="s">
        <v>244</v>
      </c>
      <c r="AX70" s="44">
        <v>297.772</v>
      </c>
      <c r="AZ70" t="s">
        <v>226</v>
      </c>
      <c r="BA70">
        <v>0.581</v>
      </c>
      <c r="BB70" s="1" t="s">
        <v>430</v>
      </c>
    </row>
    <row r="71" spans="5:54">
      <c r="E71"/>
      <c r="F71"/>
      <c r="H71" t="s">
        <v>399</v>
      </c>
      <c r="I71">
        <v>14</v>
      </c>
      <c r="J71" s="1" t="str">
        <f>VLOOKUP(H:H,'1店'!$B:$B,1,0)</f>
        <v>Y1103-BL</v>
      </c>
      <c r="K71"/>
      <c r="L71"/>
      <c r="M71"/>
      <c r="N71"/>
      <c r="O71"/>
      <c r="P71"/>
      <c r="Q71"/>
      <c r="R71"/>
      <c r="S71" s="1"/>
      <c r="T71"/>
      <c r="U71"/>
      <c r="V71"/>
      <c r="W71"/>
      <c r="X71"/>
      <c r="Y71"/>
      <c r="Z71"/>
      <c r="AA71"/>
      <c r="AC71"/>
      <c r="AD71"/>
      <c r="AE71"/>
      <c r="AF71"/>
      <c r="AG71"/>
      <c r="AH71"/>
      <c r="AI71"/>
      <c r="AJ71"/>
      <c r="AN71" s="1">
        <f>AM71*4.9</f>
        <v>0</v>
      </c>
      <c r="AR71" s="1">
        <f>AQ71*$AS$1</f>
        <v>0</v>
      </c>
      <c r="AT71" s="43" t="s">
        <v>244</v>
      </c>
      <c r="AU71" s="44">
        <v>306.53</v>
      </c>
      <c r="AV71" s="177"/>
      <c r="AW71" s="43" t="s">
        <v>247</v>
      </c>
      <c r="AX71" s="44">
        <v>227.708</v>
      </c>
      <c r="AZ71" t="s">
        <v>223</v>
      </c>
      <c r="BA71">
        <v>0.581</v>
      </c>
      <c r="BB71" s="1" t="s">
        <v>430</v>
      </c>
    </row>
    <row r="72" spans="5:54">
      <c r="E72"/>
      <c r="F72"/>
      <c r="H72" t="s">
        <v>316</v>
      </c>
      <c r="I72">
        <v>8</v>
      </c>
      <c r="J72" s="1" t="str">
        <f>VLOOKUP(H:H,'1店'!$B:$B,1,0)</f>
        <v>Y1060-GR-ZH</v>
      </c>
      <c r="K72"/>
      <c r="L72"/>
      <c r="M72"/>
      <c r="N72"/>
      <c r="O72"/>
      <c r="P72"/>
      <c r="Q72"/>
      <c r="R72"/>
      <c r="S72" s="1"/>
      <c r="T72"/>
      <c r="U72"/>
      <c r="V72"/>
      <c r="W72"/>
      <c r="X72"/>
      <c r="Y72"/>
      <c r="Z72"/>
      <c r="AA72"/>
      <c r="AC72"/>
      <c r="AD72"/>
      <c r="AE72"/>
      <c r="AF72"/>
      <c r="AG72"/>
      <c r="AH72"/>
      <c r="AI72"/>
      <c r="AJ72"/>
      <c r="AN72" s="1">
        <f>AM72*4.9</f>
        <v>0</v>
      </c>
      <c r="AR72" s="1">
        <f>AQ72*$AS$1</f>
        <v>0</v>
      </c>
      <c r="AT72" s="43" t="s">
        <v>247</v>
      </c>
      <c r="AU72" s="44">
        <v>306.53</v>
      </c>
      <c r="AV72" s="177"/>
      <c r="AW72" s="43" t="s">
        <v>444</v>
      </c>
      <c r="AX72" s="44">
        <v>175.16</v>
      </c>
      <c r="AZ72" t="s">
        <v>220</v>
      </c>
      <c r="BA72">
        <v>0.581</v>
      </c>
      <c r="BB72" s="1" t="s">
        <v>430</v>
      </c>
    </row>
    <row r="73" spans="5:54">
      <c r="E73"/>
      <c r="F73"/>
      <c r="H73" t="s">
        <v>402</v>
      </c>
      <c r="I73">
        <v>6</v>
      </c>
      <c r="J73" s="1" t="str">
        <f>VLOOKUP(H:H,'1店'!$B:$B,1,0)</f>
        <v>Y1103-SI</v>
      </c>
      <c r="K73"/>
      <c r="L73"/>
      <c r="M73"/>
      <c r="N73"/>
      <c r="O73"/>
      <c r="P73"/>
      <c r="Q73"/>
      <c r="R73"/>
      <c r="S73" s="1"/>
      <c r="T73"/>
      <c r="U73"/>
      <c r="V73"/>
      <c r="W73"/>
      <c r="X73"/>
      <c r="Y73"/>
      <c r="Z73"/>
      <c r="AA73"/>
      <c r="AC73"/>
      <c r="AD73"/>
      <c r="AE73"/>
      <c r="AF73"/>
      <c r="AG73"/>
      <c r="AH73"/>
      <c r="AI73"/>
      <c r="AJ73"/>
      <c r="AN73" s="1">
        <f t="shared" ref="AN66:AN97" si="6">AM73*$AS$1</f>
        <v>0</v>
      </c>
      <c r="AR73" s="1">
        <f>AQ73*$AS$1</f>
        <v>0</v>
      </c>
      <c r="AT73" s="43" t="s">
        <v>444</v>
      </c>
      <c r="AU73" s="44">
        <v>175.16</v>
      </c>
      <c r="AV73" s="177"/>
      <c r="AW73" s="43" t="s">
        <v>250</v>
      </c>
      <c r="AX73" s="44">
        <v>157.644</v>
      </c>
      <c r="AZ73" t="s">
        <v>217</v>
      </c>
      <c r="BA73">
        <v>0.731</v>
      </c>
      <c r="BB73" s="1" t="s">
        <v>430</v>
      </c>
    </row>
    <row r="74" spans="5:54">
      <c r="E74"/>
      <c r="F74"/>
      <c r="H74" t="s">
        <v>202</v>
      </c>
      <c r="I74">
        <v>3</v>
      </c>
      <c r="J74" s="1" t="str">
        <f>VLOOKUP(H:H,'1店'!$B:$B,1,0)</f>
        <v>Y1066-GA</v>
      </c>
      <c r="K74"/>
      <c r="L74"/>
      <c r="M74"/>
      <c r="N74"/>
      <c r="O74"/>
      <c r="P74"/>
      <c r="Q74"/>
      <c r="R74"/>
      <c r="S74" s="1"/>
      <c r="T74"/>
      <c r="U74"/>
      <c r="V74"/>
      <c r="W74"/>
      <c r="X74"/>
      <c r="Y74"/>
      <c r="Z74"/>
      <c r="AA74"/>
      <c r="AC74"/>
      <c r="AD74"/>
      <c r="AE74"/>
      <c r="AF74"/>
      <c r="AG74"/>
      <c r="AH74"/>
      <c r="AI74"/>
      <c r="AJ74"/>
      <c r="AN74" s="1">
        <f t="shared" si="6"/>
        <v>0</v>
      </c>
      <c r="AR74" s="1">
        <f>AQ74*$AS$1</f>
        <v>0</v>
      </c>
      <c r="AT74" s="43" t="s">
        <v>250</v>
      </c>
      <c r="AU74" s="44">
        <v>131.37</v>
      </c>
      <c r="AV74" s="177"/>
      <c r="AW74" s="43" t="s">
        <v>445</v>
      </c>
      <c r="AX74" s="44">
        <v>437.9</v>
      </c>
      <c r="AZ74" t="s">
        <v>238</v>
      </c>
      <c r="BA74">
        <v>0.581</v>
      </c>
      <c r="BB74" s="1" t="s">
        <v>430</v>
      </c>
    </row>
    <row r="75" spans="5:54">
      <c r="E75"/>
      <c r="F75"/>
      <c r="H75" t="s">
        <v>325</v>
      </c>
      <c r="I75">
        <v>5</v>
      </c>
      <c r="J75" s="1" t="str">
        <f>VLOOKUP(H:H,'1店'!$B:$B,1,0)</f>
        <v>Y1093-RE</v>
      </c>
      <c r="K75"/>
      <c r="L75"/>
      <c r="M75"/>
      <c r="N75"/>
      <c r="O75"/>
      <c r="P75"/>
      <c r="Q75"/>
      <c r="R75"/>
      <c r="S75" s="1"/>
      <c r="U75"/>
      <c r="V75"/>
      <c r="W75"/>
      <c r="X75"/>
      <c r="Y75"/>
      <c r="Z75"/>
      <c r="AA75"/>
      <c r="AB75"/>
      <c r="AC75"/>
      <c r="AD75"/>
      <c r="AE75"/>
      <c r="AF75"/>
      <c r="AG75"/>
      <c r="AH75"/>
      <c r="AI75"/>
      <c r="AJ75"/>
      <c r="AN75" s="1">
        <f t="shared" si="6"/>
        <v>0</v>
      </c>
      <c r="AR75" s="1">
        <f>AQ75*$AS$1</f>
        <v>0</v>
      </c>
      <c r="AT75" s="43" t="s">
        <v>253</v>
      </c>
      <c r="AU75" s="44">
        <v>325.6</v>
      </c>
      <c r="AV75" s="177"/>
      <c r="AW75" s="43" t="s">
        <v>253</v>
      </c>
      <c r="AX75" s="44">
        <v>325.6</v>
      </c>
      <c r="AZ75" t="s">
        <v>241</v>
      </c>
      <c r="BA75">
        <v>0.667</v>
      </c>
      <c r="BB75" s="1" t="s">
        <v>430</v>
      </c>
    </row>
    <row r="76" spans="5:54">
      <c r="E76"/>
      <c r="F76"/>
      <c r="H76" t="s">
        <v>139</v>
      </c>
      <c r="I76">
        <v>1</v>
      </c>
      <c r="J76" s="1" t="str">
        <f>VLOOKUP(H:H,'1店'!$B:$B,1,0)</f>
        <v>Y1043-ZH</v>
      </c>
      <c r="K76"/>
      <c r="L76"/>
      <c r="M76"/>
      <c r="N76"/>
      <c r="O76"/>
      <c r="P76"/>
      <c r="Q76"/>
      <c r="R76"/>
      <c r="S76" s="1"/>
      <c r="U76"/>
      <c r="V76"/>
      <c r="W76"/>
      <c r="X76"/>
      <c r="Y76"/>
      <c r="Z76"/>
      <c r="AA76"/>
      <c r="AB76"/>
      <c r="AC76"/>
      <c r="AD76"/>
      <c r="AE76"/>
      <c r="AF76"/>
      <c r="AG76"/>
      <c r="AH76"/>
      <c r="AI76"/>
      <c r="AJ76"/>
      <c r="AN76" s="1">
        <f t="shared" si="6"/>
        <v>0</v>
      </c>
      <c r="AR76" s="1">
        <f t="shared" ref="AR76:AR93" si="7">AQ76*$AS$1</f>
        <v>0</v>
      </c>
      <c r="AT76" s="43" t="s">
        <v>256</v>
      </c>
      <c r="AU76" s="44">
        <v>237.6</v>
      </c>
      <c r="AV76" s="177"/>
      <c r="AW76" s="43" t="s">
        <v>256</v>
      </c>
      <c r="AX76" s="44">
        <v>237.6</v>
      </c>
      <c r="AZ76" t="s">
        <v>446</v>
      </c>
      <c r="BA76">
        <v>0.581</v>
      </c>
      <c r="BB76" s="1" t="s">
        <v>430</v>
      </c>
    </row>
    <row r="77" spans="5:54">
      <c r="E77"/>
      <c r="F77"/>
      <c r="H77" t="s">
        <v>151</v>
      </c>
      <c r="I77">
        <v>1</v>
      </c>
      <c r="J77" s="1" t="str">
        <f>VLOOKUP(H:H,'1店'!$B:$B,1,0)</f>
        <v>Y1053-ZH</v>
      </c>
      <c r="K77"/>
      <c r="L77"/>
      <c r="M77"/>
      <c r="N77"/>
      <c r="O77"/>
      <c r="P77"/>
      <c r="Q77"/>
      <c r="R77"/>
      <c r="S77" s="1"/>
      <c r="U77"/>
      <c r="V77"/>
      <c r="W77"/>
      <c r="X77"/>
      <c r="Y77"/>
      <c r="Z77"/>
      <c r="AA77"/>
      <c r="AB77"/>
      <c r="AC77"/>
      <c r="AD77"/>
      <c r="AE77"/>
      <c r="AF77"/>
      <c r="AG77"/>
      <c r="AH77"/>
      <c r="AI77"/>
      <c r="AJ77"/>
      <c r="AN77" s="1">
        <f t="shared" si="6"/>
        <v>0</v>
      </c>
      <c r="AR77" s="1">
        <f t="shared" si="7"/>
        <v>0</v>
      </c>
      <c r="AT77" s="43" t="s">
        <v>259</v>
      </c>
      <c r="AU77" s="44">
        <v>211.2</v>
      </c>
      <c r="AV77" s="177"/>
      <c r="AW77" s="43" t="s">
        <v>259</v>
      </c>
      <c r="AX77" s="44">
        <v>220</v>
      </c>
      <c r="AZ77" t="s">
        <v>443</v>
      </c>
      <c r="BA77">
        <v>0.581</v>
      </c>
      <c r="BB77" s="1" t="s">
        <v>430</v>
      </c>
    </row>
    <row r="78" spans="5:54">
      <c r="E78"/>
      <c r="F78"/>
      <c r="H78" t="s">
        <v>238</v>
      </c>
      <c r="I78">
        <v>1</v>
      </c>
      <c r="J78" s="1" t="str">
        <f>VLOOKUP(H:H,'1店'!$B:$B,1,0)</f>
        <v>Y1075-RE</v>
      </c>
      <c r="K78"/>
      <c r="L78"/>
      <c r="M78"/>
      <c r="N78"/>
      <c r="O78"/>
      <c r="P78"/>
      <c r="Q78"/>
      <c r="R78"/>
      <c r="S78" s="1"/>
      <c r="U78"/>
      <c r="V78"/>
      <c r="W78"/>
      <c r="X78"/>
      <c r="Y78"/>
      <c r="Z78"/>
      <c r="AA78"/>
      <c r="AB78"/>
      <c r="AC78"/>
      <c r="AD78"/>
      <c r="AE78"/>
      <c r="AF78"/>
      <c r="AG78"/>
      <c r="AH78"/>
      <c r="AI78"/>
      <c r="AJ78"/>
      <c r="AN78" s="1">
        <f t="shared" si="6"/>
        <v>0</v>
      </c>
      <c r="AR78" s="1">
        <f t="shared" si="7"/>
        <v>0</v>
      </c>
      <c r="AT78" s="43" t="s">
        <v>262</v>
      </c>
      <c r="AU78" s="44">
        <v>343.161</v>
      </c>
      <c r="AV78" s="177"/>
      <c r="AW78" s="43" t="s">
        <v>262</v>
      </c>
      <c r="AX78" s="44">
        <v>351.96</v>
      </c>
      <c r="AZ78" t="s">
        <v>235</v>
      </c>
      <c r="BA78">
        <v>0.581</v>
      </c>
      <c r="BB78" s="1" t="s">
        <v>430</v>
      </c>
    </row>
    <row r="79" spans="5:54">
      <c r="E79"/>
      <c r="F79"/>
      <c r="H79" t="s">
        <v>334</v>
      </c>
      <c r="I79">
        <v>1</v>
      </c>
      <c r="J79" s="1" t="str">
        <f>VLOOKUP(H:H,'1店'!$B:$B,1,0)</f>
        <v>Y1094-YW</v>
      </c>
      <c r="K79"/>
      <c r="L79"/>
      <c r="M79"/>
      <c r="N79"/>
      <c r="O79"/>
      <c r="P79"/>
      <c r="Q79"/>
      <c r="R79"/>
      <c r="S79" s="1"/>
      <c r="U79"/>
      <c r="V79"/>
      <c r="W79"/>
      <c r="X79"/>
      <c r="Y79"/>
      <c r="Z79"/>
      <c r="AA79"/>
      <c r="AB79"/>
      <c r="AC79"/>
      <c r="AD79"/>
      <c r="AE79"/>
      <c r="AF79"/>
      <c r="AG79"/>
      <c r="AH79"/>
      <c r="AI79"/>
      <c r="AJ79"/>
      <c r="AN79" s="1">
        <f t="shared" si="6"/>
        <v>0</v>
      </c>
      <c r="AR79" s="1">
        <f t="shared" si="7"/>
        <v>0</v>
      </c>
      <c r="AT79" s="43" t="s">
        <v>434</v>
      </c>
      <c r="AU79" s="44">
        <v>175.98</v>
      </c>
      <c r="AV79" s="177"/>
      <c r="AW79" s="43" t="s">
        <v>434</v>
      </c>
      <c r="AX79" s="44">
        <v>175.98</v>
      </c>
      <c r="AZ79" t="s">
        <v>444</v>
      </c>
      <c r="BA79">
        <v>0.581</v>
      </c>
      <c r="BB79" s="1" t="s">
        <v>430</v>
      </c>
    </row>
    <row r="80" spans="5:54">
      <c r="E80"/>
      <c r="F80"/>
      <c r="H80" t="s">
        <v>357</v>
      </c>
      <c r="I80">
        <v>2</v>
      </c>
      <c r="J80" s="1" t="str">
        <f>VLOOKUP(H:H,'1店'!$B:$B,1,0)</f>
        <v>Y1100-RE</v>
      </c>
      <c r="K80"/>
      <c r="L80"/>
      <c r="M80"/>
      <c r="N80"/>
      <c r="O80"/>
      <c r="P80"/>
      <c r="Q80"/>
      <c r="R80"/>
      <c r="S80" s="1"/>
      <c r="U80"/>
      <c r="V80"/>
      <c r="W80"/>
      <c r="X80"/>
      <c r="Y80"/>
      <c r="Z80"/>
      <c r="AA80"/>
      <c r="AB80"/>
      <c r="AC80"/>
      <c r="AE80"/>
      <c r="AF80"/>
      <c r="AG80"/>
      <c r="AH80"/>
      <c r="AI80"/>
      <c r="AJ80"/>
      <c r="AK80"/>
      <c r="AN80" s="1">
        <f t="shared" si="6"/>
        <v>0</v>
      </c>
      <c r="AR80" s="1">
        <f t="shared" si="7"/>
        <v>0</v>
      </c>
      <c r="AT80" s="43" t="s">
        <v>265</v>
      </c>
      <c r="AU80" s="44">
        <v>115.33</v>
      </c>
      <c r="AV80" s="177"/>
      <c r="AW80" s="43" t="s">
        <v>265</v>
      </c>
      <c r="AX80" s="44">
        <v>103.797</v>
      </c>
      <c r="AZ80" t="s">
        <v>250</v>
      </c>
      <c r="BA80">
        <v>0.581</v>
      </c>
      <c r="BB80" s="1" t="s">
        <v>430</v>
      </c>
    </row>
    <row r="81" spans="5:54">
      <c r="E81"/>
      <c r="F81"/>
      <c r="H81" t="s">
        <v>405</v>
      </c>
      <c r="I81">
        <v>4</v>
      </c>
      <c r="J81" s="1" t="str">
        <f>VLOOKUP(H:H,'1店'!$B:$B,1,0)</f>
        <v>Y1104</v>
      </c>
      <c r="K81"/>
      <c r="L81"/>
      <c r="M81"/>
      <c r="N81"/>
      <c r="O81"/>
      <c r="P81"/>
      <c r="Q81"/>
      <c r="R81"/>
      <c r="S81" s="1"/>
      <c r="U81"/>
      <c r="V81"/>
      <c r="W81"/>
      <c r="X81"/>
      <c r="Y81"/>
      <c r="Z81"/>
      <c r="AA81"/>
      <c r="AB81"/>
      <c r="AC81"/>
      <c r="AE81"/>
      <c r="AF81"/>
      <c r="AG81"/>
      <c r="AH81"/>
      <c r="AI81"/>
      <c r="AJ81"/>
      <c r="AK81"/>
      <c r="AN81" s="1">
        <f t="shared" si="6"/>
        <v>0</v>
      </c>
      <c r="AR81" s="1">
        <f t="shared" si="7"/>
        <v>0</v>
      </c>
      <c r="AT81" s="43" t="s">
        <v>268</v>
      </c>
      <c r="AU81" s="44">
        <v>113.95</v>
      </c>
      <c r="AV81" s="177"/>
      <c r="AW81" s="43" t="s">
        <v>268</v>
      </c>
      <c r="AX81" s="44">
        <v>102.555</v>
      </c>
      <c r="AZ81" t="s">
        <v>445</v>
      </c>
      <c r="BA81">
        <v>0.581</v>
      </c>
      <c r="BB81" s="1" t="s">
        <v>430</v>
      </c>
    </row>
    <row r="82" spans="8:54">
      <c r="H82" t="s">
        <v>372</v>
      </c>
      <c r="I82">
        <v>2</v>
      </c>
      <c r="J82" s="1" t="str">
        <f>VLOOKUP(H:H,'1店'!$B:$B,1,0)</f>
        <v>Y1098</v>
      </c>
      <c r="K82"/>
      <c r="L82"/>
      <c r="M82"/>
      <c r="N82"/>
      <c r="O82"/>
      <c r="P82"/>
      <c r="Q82"/>
      <c r="R82"/>
      <c r="S82" s="1"/>
      <c r="U82"/>
      <c r="V82"/>
      <c r="W82"/>
      <c r="X82"/>
      <c r="Y82"/>
      <c r="Z82"/>
      <c r="AA82"/>
      <c r="AB82"/>
      <c r="AC82"/>
      <c r="AE82"/>
      <c r="AF82"/>
      <c r="AG82"/>
      <c r="AH82"/>
      <c r="AI82"/>
      <c r="AJ82"/>
      <c r="AK82"/>
      <c r="AN82" s="1">
        <f t="shared" si="6"/>
        <v>0</v>
      </c>
      <c r="AR82" s="1">
        <f t="shared" si="7"/>
        <v>0</v>
      </c>
      <c r="AT82" s="43" t="s">
        <v>447</v>
      </c>
      <c r="AU82" s="44">
        <v>124.8</v>
      </c>
      <c r="AV82" s="177"/>
      <c r="AW82" s="43" t="s">
        <v>447</v>
      </c>
      <c r="AX82" s="44">
        <v>134.4</v>
      </c>
      <c r="AZ82" t="s">
        <v>247</v>
      </c>
      <c r="BA82">
        <v>2.108</v>
      </c>
      <c r="BB82" s="1" t="s">
        <v>430</v>
      </c>
    </row>
    <row r="83" spans="8:54">
      <c r="H83" t="s">
        <v>439</v>
      </c>
      <c r="I83">
        <v>841</v>
      </c>
      <c r="J83" s="1" t="e">
        <f>VLOOKUP(H:H,'1店'!$B:$B,1,0)</f>
        <v>#N/A</v>
      </c>
      <c r="K83"/>
      <c r="L83"/>
      <c r="M83"/>
      <c r="N83"/>
      <c r="O83"/>
      <c r="P83"/>
      <c r="Q83"/>
      <c r="R83"/>
      <c r="S83" s="1"/>
      <c r="U83"/>
      <c r="V83"/>
      <c r="W83"/>
      <c r="X83"/>
      <c r="Y83"/>
      <c r="Z83"/>
      <c r="AA83"/>
      <c r="AB83"/>
      <c r="AC83"/>
      <c r="AE83"/>
      <c r="AF83"/>
      <c r="AG83"/>
      <c r="AH83"/>
      <c r="AI83"/>
      <c r="AJ83"/>
      <c r="AK83"/>
      <c r="AN83" s="1">
        <f t="shared" si="6"/>
        <v>0</v>
      </c>
      <c r="AR83" s="1">
        <f t="shared" si="7"/>
        <v>0</v>
      </c>
      <c r="AT83" s="43" t="s">
        <v>271</v>
      </c>
      <c r="AU83" s="44">
        <v>35.028</v>
      </c>
      <c r="AV83" s="177"/>
      <c r="AW83" s="43" t="s">
        <v>271</v>
      </c>
      <c r="AX83" s="44">
        <v>35.028</v>
      </c>
      <c r="AZ83" t="s">
        <v>244</v>
      </c>
      <c r="BA83">
        <v>1.117</v>
      </c>
      <c r="BB83" s="1" t="s">
        <v>430</v>
      </c>
    </row>
    <row r="84" spans="8:54">
      <c r="H84"/>
      <c r="I84"/>
      <c r="K84"/>
      <c r="L84"/>
      <c r="M84"/>
      <c r="N84"/>
      <c r="O84"/>
      <c r="P84"/>
      <c r="Q84"/>
      <c r="R84"/>
      <c r="S84" s="1"/>
      <c r="U84"/>
      <c r="V84"/>
      <c r="W84"/>
      <c r="X84"/>
      <c r="Y84"/>
      <c r="Z84"/>
      <c r="AA84"/>
      <c r="AB84"/>
      <c r="AC84"/>
      <c r="AE84"/>
      <c r="AF84"/>
      <c r="AG84"/>
      <c r="AH84"/>
      <c r="AI84"/>
      <c r="AJ84"/>
      <c r="AK84"/>
      <c r="AN84" s="1">
        <f t="shared" si="6"/>
        <v>0</v>
      </c>
      <c r="AR84" s="1">
        <f t="shared" si="7"/>
        <v>0</v>
      </c>
      <c r="AT84" s="43" t="s">
        <v>274</v>
      </c>
      <c r="AU84" s="44">
        <v>157.626</v>
      </c>
      <c r="AV84" s="177"/>
      <c r="AW84" s="43" t="s">
        <v>435</v>
      </c>
      <c r="AX84" s="44">
        <v>79.533</v>
      </c>
      <c r="AZ84" t="s">
        <v>256</v>
      </c>
      <c r="BA84">
        <v>3.294</v>
      </c>
      <c r="BB84" s="1" t="s">
        <v>430</v>
      </c>
    </row>
    <row r="85" spans="8:54">
      <c r="H85"/>
      <c r="I85"/>
      <c r="K85"/>
      <c r="L85"/>
      <c r="M85"/>
      <c r="N85"/>
      <c r="O85"/>
      <c r="P85"/>
      <c r="Q85"/>
      <c r="R85"/>
      <c r="S85" s="1"/>
      <c r="U85"/>
      <c r="V85"/>
      <c r="W85"/>
      <c r="X85"/>
      <c r="Y85"/>
      <c r="Z85"/>
      <c r="AA85"/>
      <c r="AB85"/>
      <c r="AC85"/>
      <c r="AE85"/>
      <c r="AF85"/>
      <c r="AG85"/>
      <c r="AH85"/>
      <c r="AI85"/>
      <c r="AJ85"/>
      <c r="AK85"/>
      <c r="AN85" s="1">
        <f t="shared" si="6"/>
        <v>0</v>
      </c>
      <c r="AR85" s="1">
        <f t="shared" si="7"/>
        <v>0</v>
      </c>
      <c r="AT85" s="43" t="s">
        <v>277</v>
      </c>
      <c r="AU85" s="44">
        <v>2199.016</v>
      </c>
      <c r="AV85" s="177"/>
      <c r="AW85" s="43" t="s">
        <v>274</v>
      </c>
      <c r="AX85" s="44">
        <v>166.383</v>
      </c>
      <c r="AZ85" t="s">
        <v>259</v>
      </c>
      <c r="BA85">
        <v>2.463</v>
      </c>
      <c r="BB85" s="1" t="s">
        <v>430</v>
      </c>
    </row>
    <row r="86" spans="8:54">
      <c r="H86"/>
      <c r="I86"/>
      <c r="K86" t="s">
        <v>410</v>
      </c>
      <c r="L86" t="s">
        <v>411</v>
      </c>
      <c r="M86" t="s">
        <v>412</v>
      </c>
      <c r="N86" t="s">
        <v>413</v>
      </c>
      <c r="O86" t="s">
        <v>448</v>
      </c>
      <c r="P86" t="s">
        <v>449</v>
      </c>
      <c r="Q86" t="s">
        <v>450</v>
      </c>
      <c r="R86" t="s">
        <v>451</v>
      </c>
      <c r="S86" s="1"/>
      <c r="T86" t="s">
        <v>410</v>
      </c>
      <c r="U86" t="s">
        <v>411</v>
      </c>
      <c r="V86" t="s">
        <v>412</v>
      </c>
      <c r="W86" t="s">
        <v>413</v>
      </c>
      <c r="X86" t="s">
        <v>448</v>
      </c>
      <c r="Y86" t="s">
        <v>449</v>
      </c>
      <c r="Z86" t="s">
        <v>450</v>
      </c>
      <c r="AA86" t="s">
        <v>451</v>
      </c>
      <c r="AC86" t="s">
        <v>410</v>
      </c>
      <c r="AD86" t="s">
        <v>411</v>
      </c>
      <c r="AE86" t="s">
        <v>412</v>
      </c>
      <c r="AF86" t="s">
        <v>413</v>
      </c>
      <c r="AG86" t="s">
        <v>448</v>
      </c>
      <c r="AH86" t="s">
        <v>449</v>
      </c>
      <c r="AI86" t="s">
        <v>450</v>
      </c>
      <c r="AJ86" t="s">
        <v>451</v>
      </c>
      <c r="AN86" s="1">
        <f t="shared" si="6"/>
        <v>0</v>
      </c>
      <c r="AR86" s="1">
        <f t="shared" si="7"/>
        <v>0</v>
      </c>
      <c r="AT86" s="43" t="s">
        <v>280</v>
      </c>
      <c r="AU86" s="44">
        <v>2236.878</v>
      </c>
      <c r="AV86" s="177"/>
      <c r="AW86" s="43" t="s">
        <v>277</v>
      </c>
      <c r="AX86" s="44">
        <v>1986.208</v>
      </c>
      <c r="AZ86" t="s">
        <v>253</v>
      </c>
      <c r="BA86">
        <v>1.738</v>
      </c>
      <c r="BB86" s="1" t="s">
        <v>430</v>
      </c>
    </row>
    <row r="87" spans="8:54">
      <c r="H87"/>
      <c r="I87"/>
      <c r="K87" s="173" t="s">
        <v>118</v>
      </c>
      <c r="L87" s="173">
        <v>1298</v>
      </c>
      <c r="M87" s="173">
        <v>8</v>
      </c>
      <c r="N87" s="173">
        <v>6.26</v>
      </c>
      <c r="O87" s="173">
        <v>12.99</v>
      </c>
      <c r="P87" s="173">
        <v>1</v>
      </c>
      <c r="Q87" s="173">
        <v>0.481909160892995</v>
      </c>
      <c r="R87" s="173">
        <v>2.07507987220447</v>
      </c>
      <c r="S87" s="1" t="str">
        <f>VLOOKUP(K:K,'1店'!$B:$B,1,0)</f>
        <v>Y1037</v>
      </c>
      <c r="T87" s="173" t="s">
        <v>118</v>
      </c>
      <c r="U87" s="173">
        <v>2503</v>
      </c>
      <c r="V87" s="173">
        <v>14</v>
      </c>
      <c r="W87" s="173">
        <v>12.74</v>
      </c>
      <c r="X87" s="173">
        <v>51.57</v>
      </c>
      <c r="Y87" s="173">
        <v>4</v>
      </c>
      <c r="Z87" s="173">
        <v>0.247042854372697</v>
      </c>
      <c r="AA87" s="173">
        <v>4.04788069073783</v>
      </c>
      <c r="AB87" s="2" t="str">
        <f>VLOOKUP(T:T,'1店'!$B:$B,1,0)</f>
        <v>Y1037</v>
      </c>
      <c r="AC87" s="173" t="s">
        <v>118</v>
      </c>
      <c r="AD87" s="173">
        <v>5139</v>
      </c>
      <c r="AE87" s="173">
        <v>33</v>
      </c>
      <c r="AF87" s="173">
        <v>30.01</v>
      </c>
      <c r="AG87" s="173">
        <v>77.55</v>
      </c>
      <c r="AH87" s="173">
        <v>6</v>
      </c>
      <c r="AI87" s="173">
        <v>0.386976144422953</v>
      </c>
      <c r="AJ87" s="173">
        <v>2.58413862045985</v>
      </c>
      <c r="AK87" s="1" t="str">
        <f>VLOOKUP(AC:AC,'1店'!$B:$B,1,0)</f>
        <v>Y1037</v>
      </c>
      <c r="AN87" s="1">
        <f t="shared" si="6"/>
        <v>0</v>
      </c>
      <c r="AR87" s="1">
        <f t="shared" si="7"/>
        <v>0</v>
      </c>
      <c r="AT87" s="43" t="s">
        <v>283</v>
      </c>
      <c r="AU87" s="44">
        <v>3228.57</v>
      </c>
      <c r="AV87" s="177"/>
      <c r="AW87" s="43" t="s">
        <v>280</v>
      </c>
      <c r="AX87" s="44">
        <v>2307.89</v>
      </c>
      <c r="AZ87" t="s">
        <v>434</v>
      </c>
      <c r="BA87">
        <v>1.769</v>
      </c>
      <c r="BB87" s="1" t="s">
        <v>430</v>
      </c>
    </row>
    <row r="88" spans="8:54">
      <c r="H88"/>
      <c r="I88"/>
      <c r="K88" s="173" t="s">
        <v>154</v>
      </c>
      <c r="L88" s="173">
        <v>0</v>
      </c>
      <c r="M88" s="173">
        <v>0</v>
      </c>
      <c r="N88" s="173">
        <v>0</v>
      </c>
      <c r="O88" s="173">
        <v>0</v>
      </c>
      <c r="P88" s="173">
        <v>0</v>
      </c>
      <c r="Q88" s="173"/>
      <c r="R88" s="173"/>
      <c r="S88" s="1" t="str">
        <f>VLOOKUP(K:K,'1店'!$B:$B,1,0)</f>
        <v>Y1054</v>
      </c>
      <c r="T88" s="173" t="s">
        <v>154</v>
      </c>
      <c r="U88" s="173">
        <v>0</v>
      </c>
      <c r="V88" s="173">
        <v>0</v>
      </c>
      <c r="W88" s="173">
        <v>0</v>
      </c>
      <c r="X88" s="173">
        <v>0</v>
      </c>
      <c r="Y88" s="173">
        <v>0</v>
      </c>
      <c r="Z88" s="173"/>
      <c r="AA88" s="173"/>
      <c r="AB88" s="2" t="str">
        <f>VLOOKUP(T:T,'1店'!$B:$B,1,0)</f>
        <v>Y1054</v>
      </c>
      <c r="AC88" s="173" t="s">
        <v>154</v>
      </c>
      <c r="AD88" s="173">
        <v>0</v>
      </c>
      <c r="AE88" s="173">
        <v>0</v>
      </c>
      <c r="AF88" s="173">
        <v>0</v>
      </c>
      <c r="AG88" s="173">
        <v>0</v>
      </c>
      <c r="AH88" s="173">
        <v>0</v>
      </c>
      <c r="AI88" s="173"/>
      <c r="AJ88" s="173"/>
      <c r="AK88" s="1" t="str">
        <f>VLOOKUP(AC:AC,'1店'!$B:$B,1,0)</f>
        <v>Y1054</v>
      </c>
      <c r="AN88" s="1">
        <f t="shared" si="6"/>
        <v>0</v>
      </c>
      <c r="AR88" s="1">
        <f t="shared" si="7"/>
        <v>0</v>
      </c>
      <c r="AT88" s="43" t="s">
        <v>286</v>
      </c>
      <c r="AU88" s="44">
        <v>1914</v>
      </c>
      <c r="AV88" s="177"/>
      <c r="AW88" s="43" t="s">
        <v>283</v>
      </c>
      <c r="AX88" s="44">
        <v>1937.142</v>
      </c>
      <c r="AZ88" t="s">
        <v>262</v>
      </c>
      <c r="BA88">
        <v>1.738</v>
      </c>
      <c r="BB88" s="1" t="s">
        <v>430</v>
      </c>
    </row>
    <row r="89" spans="8:54">
      <c r="H89"/>
      <c r="I89"/>
      <c r="K89" s="173" t="s">
        <v>307</v>
      </c>
      <c r="L89" s="173">
        <v>80</v>
      </c>
      <c r="M89" s="173">
        <v>1</v>
      </c>
      <c r="N89" s="173">
        <v>0.10695</v>
      </c>
      <c r="O89" s="173">
        <v>27.98</v>
      </c>
      <c r="P89" s="173">
        <v>2</v>
      </c>
      <c r="Q89" s="173">
        <v>0.00382237312365976</v>
      </c>
      <c r="R89" s="173">
        <v>261.61757830762</v>
      </c>
      <c r="S89" s="1" t="str">
        <f>VLOOKUP(K:K,'1店'!$B:$B,1,0)</f>
        <v>Y1054-ZH</v>
      </c>
      <c r="T89" s="173" t="s">
        <v>307</v>
      </c>
      <c r="U89" s="173">
        <v>207</v>
      </c>
      <c r="V89" s="173">
        <v>2</v>
      </c>
      <c r="W89" s="173">
        <v>0.28305</v>
      </c>
      <c r="X89" s="173">
        <v>60.96</v>
      </c>
      <c r="Y89" s="173">
        <v>4</v>
      </c>
      <c r="Z89" s="173">
        <v>0.00464320866141732</v>
      </c>
      <c r="AA89" s="173">
        <v>215.368309485956</v>
      </c>
      <c r="AB89" s="2" t="str">
        <f>VLOOKUP(T:T,'1店'!$B:$B,1,0)</f>
        <v>Y1054-ZH</v>
      </c>
      <c r="AC89" s="173" t="s">
        <v>307</v>
      </c>
      <c r="AD89" s="173">
        <v>394</v>
      </c>
      <c r="AE89" s="173">
        <v>2</v>
      </c>
      <c r="AF89" s="173">
        <v>0.50434</v>
      </c>
      <c r="AG89" s="173">
        <v>79.95</v>
      </c>
      <c r="AH89" s="173">
        <v>5</v>
      </c>
      <c r="AI89" s="173">
        <v>0.00630819262038774</v>
      </c>
      <c r="AJ89" s="173">
        <v>158.52401157949</v>
      </c>
      <c r="AK89" s="1" t="str">
        <f>VLOOKUP(AC:AC,'1店'!$B:$B,1,0)</f>
        <v>Y1054-ZH</v>
      </c>
      <c r="AN89" s="1">
        <f t="shared" si="6"/>
        <v>0</v>
      </c>
      <c r="AR89" s="1">
        <f t="shared" si="7"/>
        <v>0</v>
      </c>
      <c r="AT89" s="43" t="s">
        <v>289</v>
      </c>
      <c r="AU89" s="44">
        <v>56</v>
      </c>
      <c r="AV89" s="177"/>
      <c r="AW89" s="43" t="s">
        <v>286</v>
      </c>
      <c r="AX89" s="44">
        <v>1595</v>
      </c>
      <c r="AZ89" t="s">
        <v>265</v>
      </c>
      <c r="BA89">
        <v>1.866</v>
      </c>
      <c r="BB89" s="1" t="s">
        <v>430</v>
      </c>
    </row>
    <row r="90" spans="8:54">
      <c r="H90"/>
      <c r="I90"/>
      <c r="K90" s="173" t="s">
        <v>157</v>
      </c>
      <c r="L90" s="173">
        <v>117</v>
      </c>
      <c r="M90" s="173">
        <v>1</v>
      </c>
      <c r="N90" s="173">
        <v>0.18983</v>
      </c>
      <c r="O90" s="173">
        <v>23.99</v>
      </c>
      <c r="P90" s="173">
        <v>1</v>
      </c>
      <c r="Q90" s="173">
        <v>0.00791288036681951</v>
      </c>
      <c r="R90" s="173">
        <v>126.376231364905</v>
      </c>
      <c r="S90" s="1" t="str">
        <f>VLOOKUP(K:K,'1店'!$B:$B,1,0)</f>
        <v>Y1055</v>
      </c>
      <c r="T90" s="173" t="s">
        <v>157</v>
      </c>
      <c r="U90" s="173">
        <v>292</v>
      </c>
      <c r="V90" s="173">
        <v>1</v>
      </c>
      <c r="W90" s="173">
        <v>0.43803</v>
      </c>
      <c r="X90" s="173">
        <v>23.99</v>
      </c>
      <c r="Y90" s="173">
        <v>1</v>
      </c>
      <c r="Z90" s="173">
        <v>0.0182588578574406</v>
      </c>
      <c r="AA90" s="173">
        <v>54.7679382690683</v>
      </c>
      <c r="AB90" s="2" t="str">
        <f>VLOOKUP(T:T,'1店'!$B:$B,1,0)</f>
        <v>Y1055</v>
      </c>
      <c r="AC90" s="173" t="s">
        <v>157</v>
      </c>
      <c r="AD90" s="173">
        <v>617</v>
      </c>
      <c r="AE90" s="173">
        <v>3</v>
      </c>
      <c r="AF90" s="173">
        <v>0.924</v>
      </c>
      <c r="AG90" s="173">
        <v>23.99</v>
      </c>
      <c r="AH90" s="173">
        <v>1</v>
      </c>
      <c r="AI90" s="173">
        <v>0.0385160483534806</v>
      </c>
      <c r="AJ90" s="173">
        <v>25.9632034632035</v>
      </c>
      <c r="AK90" s="1" t="str">
        <f>VLOOKUP(AC:AC,'1店'!$B:$B,1,0)</f>
        <v>Y1055</v>
      </c>
      <c r="AN90" s="1">
        <f t="shared" si="6"/>
        <v>0</v>
      </c>
      <c r="AR90" s="1">
        <f t="shared" si="7"/>
        <v>0</v>
      </c>
      <c r="AT90" s="43" t="s">
        <v>292</v>
      </c>
      <c r="AU90" s="44">
        <v>621</v>
      </c>
      <c r="AV90" s="177"/>
      <c r="AW90" s="43" t="s">
        <v>289</v>
      </c>
      <c r="AX90" s="44">
        <v>280</v>
      </c>
      <c r="AZ90" t="s">
        <v>452</v>
      </c>
      <c r="BA90">
        <v>1.848</v>
      </c>
      <c r="BB90" s="1" t="s">
        <v>430</v>
      </c>
    </row>
    <row r="91" spans="8:54">
      <c r="H91"/>
      <c r="I91"/>
      <c r="K91" s="173" t="s">
        <v>453</v>
      </c>
      <c r="L91" s="173">
        <v>0</v>
      </c>
      <c r="M91" s="173">
        <v>0</v>
      </c>
      <c r="N91" s="173">
        <v>0</v>
      </c>
      <c r="O91" s="173">
        <v>0</v>
      </c>
      <c r="P91" s="173">
        <v>0</v>
      </c>
      <c r="Q91" s="173"/>
      <c r="R91" s="173"/>
      <c r="S91" s="1" t="e">
        <f>VLOOKUP(K:K,'1店'!$B:$B,1,0)</f>
        <v>#N/A</v>
      </c>
      <c r="T91" s="173" t="s">
        <v>453</v>
      </c>
      <c r="U91" s="173">
        <v>0</v>
      </c>
      <c r="V91" s="173">
        <v>0</v>
      </c>
      <c r="W91" s="173">
        <v>0</v>
      </c>
      <c r="X91" s="173">
        <v>0</v>
      </c>
      <c r="Y91" s="173">
        <v>0</v>
      </c>
      <c r="Z91" s="173"/>
      <c r="AA91" s="173"/>
      <c r="AB91" s="2" t="e">
        <f>VLOOKUP(T:T,'1店'!$B:$B,1,0)</f>
        <v>#N/A</v>
      </c>
      <c r="AC91" s="173" t="s">
        <v>453</v>
      </c>
      <c r="AD91" s="173">
        <v>0</v>
      </c>
      <c r="AE91" s="173">
        <v>0</v>
      </c>
      <c r="AF91" s="173">
        <v>0</v>
      </c>
      <c r="AG91" s="173">
        <v>0</v>
      </c>
      <c r="AH91" s="173">
        <v>0</v>
      </c>
      <c r="AI91" s="173"/>
      <c r="AJ91" s="173"/>
      <c r="AK91" s="1" t="e">
        <f>VLOOKUP(AC:AC,'1店'!$B:$B,1,0)</f>
        <v>#N/A</v>
      </c>
      <c r="AN91" s="1">
        <f t="shared" si="6"/>
        <v>0</v>
      </c>
      <c r="AR91" s="1">
        <f t="shared" si="7"/>
        <v>0</v>
      </c>
      <c r="AT91" s="43" t="s">
        <v>295</v>
      </c>
      <c r="AU91" s="44">
        <v>78.99</v>
      </c>
      <c r="AV91" s="177"/>
      <c r="AW91" s="43" t="s">
        <v>292</v>
      </c>
      <c r="AX91" s="44">
        <v>702</v>
      </c>
      <c r="AZ91" t="s">
        <v>268</v>
      </c>
      <c r="BA91">
        <v>2.365</v>
      </c>
      <c r="BB91" s="1" t="s">
        <v>430</v>
      </c>
    </row>
    <row r="92" spans="8:54">
      <c r="H92"/>
      <c r="I92"/>
      <c r="K92" s="173" t="s">
        <v>160</v>
      </c>
      <c r="L92" s="173">
        <v>159</v>
      </c>
      <c r="M92" s="173">
        <v>1</v>
      </c>
      <c r="N92" s="173">
        <v>0.21348</v>
      </c>
      <c r="O92" s="173">
        <v>18.99</v>
      </c>
      <c r="P92" s="173">
        <v>1</v>
      </c>
      <c r="Q92" s="173">
        <v>0.0112417061611374</v>
      </c>
      <c r="R92" s="173">
        <v>88.9544688026981</v>
      </c>
      <c r="S92" s="1" t="str">
        <f>VLOOKUP(K:K,'1店'!$B:$B,1,0)</f>
        <v>Y1056</v>
      </c>
      <c r="T92" s="173" t="s">
        <v>160</v>
      </c>
      <c r="U92" s="173">
        <v>328</v>
      </c>
      <c r="V92" s="173">
        <v>1</v>
      </c>
      <c r="W92" s="173">
        <v>0.44464</v>
      </c>
      <c r="X92" s="173">
        <v>95.75</v>
      </c>
      <c r="Y92" s="173">
        <v>5</v>
      </c>
      <c r="Z92" s="173">
        <v>0.00464375979112271</v>
      </c>
      <c r="AA92" s="173">
        <v>215.342749190356</v>
      </c>
      <c r="AB92" s="2" t="str">
        <f>VLOOKUP(T:T,'1店'!$B:$B,1,0)</f>
        <v>Y1056</v>
      </c>
      <c r="AC92" s="173" t="s">
        <v>160</v>
      </c>
      <c r="AD92" s="173">
        <v>613</v>
      </c>
      <c r="AE92" s="173">
        <v>2</v>
      </c>
      <c r="AF92" s="173">
        <v>0.8605</v>
      </c>
      <c r="AG92" s="173">
        <v>139.73</v>
      </c>
      <c r="AH92" s="173">
        <v>7</v>
      </c>
      <c r="AI92" s="173">
        <v>0.00615830530308452</v>
      </c>
      <c r="AJ92" s="173">
        <v>162.382335851249</v>
      </c>
      <c r="AK92" s="1" t="str">
        <f>VLOOKUP(AC:AC,'1店'!$B:$B,1,0)</f>
        <v>Y1056</v>
      </c>
      <c r="AN92" s="1">
        <f t="shared" si="6"/>
        <v>0</v>
      </c>
      <c r="AR92" s="1">
        <f t="shared" si="7"/>
        <v>0</v>
      </c>
      <c r="AT92" s="43" t="s">
        <v>298</v>
      </c>
      <c r="AU92" s="44">
        <v>289.63</v>
      </c>
      <c r="AV92" s="177"/>
      <c r="AW92" s="43" t="s">
        <v>295</v>
      </c>
      <c r="AX92" s="44">
        <v>92.155</v>
      </c>
      <c r="AZ92" t="s">
        <v>274</v>
      </c>
      <c r="BA92">
        <v>0.566</v>
      </c>
      <c r="BB92" s="1" t="s">
        <v>430</v>
      </c>
    </row>
    <row r="93" spans="8:54">
      <c r="H93"/>
      <c r="I93"/>
      <c r="K93" s="173" t="s">
        <v>163</v>
      </c>
      <c r="L93" s="173">
        <v>137</v>
      </c>
      <c r="M93" s="173">
        <v>1</v>
      </c>
      <c r="N93" s="173">
        <v>0.18027</v>
      </c>
      <c r="O93" s="173">
        <v>63.97</v>
      </c>
      <c r="P93" s="173">
        <v>4</v>
      </c>
      <c r="Q93" s="173">
        <v>0.00281803970611224</v>
      </c>
      <c r="R93" s="173">
        <v>354.856603982914</v>
      </c>
      <c r="S93" s="1" t="str">
        <f>VLOOKUP(K:K,'1店'!$B:$B,1,0)</f>
        <v>Y1057</v>
      </c>
      <c r="T93" s="173" t="s">
        <v>163</v>
      </c>
      <c r="U93" s="173">
        <v>297</v>
      </c>
      <c r="V93" s="173">
        <v>2</v>
      </c>
      <c r="W93" s="173">
        <v>0.40895</v>
      </c>
      <c r="X93" s="173">
        <v>200.9</v>
      </c>
      <c r="Y93" s="173">
        <v>9</v>
      </c>
      <c r="Z93" s="173">
        <v>0.00203558984569438</v>
      </c>
      <c r="AA93" s="173">
        <v>491.258100012226</v>
      </c>
      <c r="AB93" s="2" t="str">
        <f>VLOOKUP(T:T,'1店'!$B:$B,1,0)</f>
        <v>Y1057</v>
      </c>
      <c r="AC93" s="173" t="s">
        <v>163</v>
      </c>
      <c r="AD93" s="173">
        <v>592</v>
      </c>
      <c r="AE93" s="173">
        <v>2</v>
      </c>
      <c r="AF93" s="173">
        <v>0.93336</v>
      </c>
      <c r="AG93" s="173">
        <v>237.88</v>
      </c>
      <c r="AH93" s="173">
        <v>11</v>
      </c>
      <c r="AI93" s="173">
        <v>0.0039236589877249</v>
      </c>
      <c r="AJ93" s="173">
        <v>254.864146738665</v>
      </c>
      <c r="AK93" s="1" t="str">
        <f>VLOOKUP(AC:AC,'1店'!$B:$B,1,0)</f>
        <v>Y1057</v>
      </c>
      <c r="AN93" s="1">
        <f t="shared" si="6"/>
        <v>0</v>
      </c>
      <c r="AR93" s="1">
        <f t="shared" si="7"/>
        <v>0</v>
      </c>
      <c r="AT93" s="43" t="s">
        <v>301</v>
      </c>
      <c r="AU93" s="44">
        <v>250.135</v>
      </c>
      <c r="AV93" s="177"/>
      <c r="AW93" s="43" t="s">
        <v>298</v>
      </c>
      <c r="AX93" s="44">
        <v>315.96</v>
      </c>
      <c r="AZ93" t="s">
        <v>447</v>
      </c>
      <c r="BA93">
        <v>0.903</v>
      </c>
      <c r="BB93" s="1" t="s">
        <v>430</v>
      </c>
    </row>
    <row r="94" spans="8:54">
      <c r="H94"/>
      <c r="I94"/>
      <c r="K94" s="173" t="s">
        <v>310</v>
      </c>
      <c r="L94" s="173">
        <v>111</v>
      </c>
      <c r="M94" s="173">
        <v>0</v>
      </c>
      <c r="N94" s="173">
        <v>0.14809</v>
      </c>
      <c r="O94" s="173">
        <v>0</v>
      </c>
      <c r="P94" s="173">
        <v>0</v>
      </c>
      <c r="Q94" s="173"/>
      <c r="R94" s="173">
        <v>0</v>
      </c>
      <c r="S94" s="1" t="str">
        <f>VLOOKUP(K:K,'1店'!$B:$B,1,0)</f>
        <v>Y1057-ZH</v>
      </c>
      <c r="T94" s="173" t="s">
        <v>310</v>
      </c>
      <c r="U94" s="173">
        <v>271</v>
      </c>
      <c r="V94" s="173">
        <v>1</v>
      </c>
      <c r="W94" s="173">
        <v>0.33755</v>
      </c>
      <c r="X94" s="173">
        <v>26.98</v>
      </c>
      <c r="Y94" s="173">
        <v>2</v>
      </c>
      <c r="Z94" s="173">
        <v>0.0125111193476649</v>
      </c>
      <c r="AA94" s="173">
        <v>79.9288994223078</v>
      </c>
      <c r="AB94" s="2" t="str">
        <f>VLOOKUP(T:T,'1店'!$B:$B,1,0)</f>
        <v>Y1057-ZH</v>
      </c>
      <c r="AC94" s="173" t="s">
        <v>310</v>
      </c>
      <c r="AD94" s="173">
        <v>476</v>
      </c>
      <c r="AE94" s="173">
        <v>1</v>
      </c>
      <c r="AF94" s="173">
        <v>0.582</v>
      </c>
      <c r="AG94" s="173">
        <v>64.96</v>
      </c>
      <c r="AH94" s="173">
        <v>4</v>
      </c>
      <c r="AI94" s="173">
        <v>0.00895935960591133</v>
      </c>
      <c r="AJ94" s="173">
        <v>111.615120274914</v>
      </c>
      <c r="AK94" s="1" t="str">
        <f>VLOOKUP(AC:AC,'1店'!$B:$B,1,0)</f>
        <v>Y1057-ZH</v>
      </c>
      <c r="AN94" s="1">
        <f t="shared" si="6"/>
        <v>0</v>
      </c>
      <c r="AR94" s="1">
        <f t="shared" ref="AR94:AR101" si="8">AQ94*4.9</f>
        <v>0</v>
      </c>
      <c r="AT94" s="43" t="s">
        <v>304</v>
      </c>
      <c r="AU94" s="44">
        <v>105.456</v>
      </c>
      <c r="AV94" s="177"/>
      <c r="AW94" s="43" t="s">
        <v>301</v>
      </c>
      <c r="AX94" s="44">
        <v>263.3</v>
      </c>
      <c r="AZ94" t="s">
        <v>435</v>
      </c>
      <c r="BA94">
        <v>3.294</v>
      </c>
      <c r="BB94" s="1" t="s">
        <v>430</v>
      </c>
    </row>
    <row r="95" spans="8:54">
      <c r="H95"/>
      <c r="I95"/>
      <c r="K95" s="173" t="s">
        <v>166</v>
      </c>
      <c r="L95" s="173">
        <v>131</v>
      </c>
      <c r="M95" s="173">
        <v>0</v>
      </c>
      <c r="N95" s="173">
        <v>0.17777</v>
      </c>
      <c r="O95" s="173">
        <v>68.97</v>
      </c>
      <c r="P95" s="173">
        <v>3</v>
      </c>
      <c r="Q95" s="173">
        <v>0.00257749746266493</v>
      </c>
      <c r="R95" s="173">
        <v>387.973223828543</v>
      </c>
      <c r="S95" s="1" t="str">
        <f>VLOOKUP(K:K,'1店'!$B:$B,1,0)</f>
        <v>Y1058</v>
      </c>
      <c r="T95" s="173" t="s">
        <v>166</v>
      </c>
      <c r="U95" s="173">
        <v>306</v>
      </c>
      <c r="V95" s="173">
        <v>0</v>
      </c>
      <c r="W95" s="173">
        <v>0.40764</v>
      </c>
      <c r="X95" s="173">
        <v>99.35</v>
      </c>
      <c r="Y95" s="173">
        <v>5</v>
      </c>
      <c r="Z95" s="173">
        <v>0.00410306995470559</v>
      </c>
      <c r="AA95" s="173">
        <v>243.719948974585</v>
      </c>
      <c r="AB95" s="2" t="str">
        <f>VLOOKUP(T:T,'1店'!$B:$B,1,0)</f>
        <v>Y1058</v>
      </c>
      <c r="AC95" s="173" t="s">
        <v>166</v>
      </c>
      <c r="AD95" s="173">
        <v>636</v>
      </c>
      <c r="AE95" s="173">
        <v>0</v>
      </c>
      <c r="AF95" s="173">
        <v>0.96815</v>
      </c>
      <c r="AG95" s="173">
        <v>137.33</v>
      </c>
      <c r="AH95" s="173">
        <v>7</v>
      </c>
      <c r="AI95" s="173">
        <v>0.00704980703415131</v>
      </c>
      <c r="AJ95" s="173">
        <v>141.847854154831</v>
      </c>
      <c r="AK95" s="1" t="str">
        <f>VLOOKUP(AC:AC,'1店'!$B:$B,1,0)</f>
        <v>Y1058</v>
      </c>
      <c r="AN95" s="1">
        <f t="shared" si="6"/>
        <v>0</v>
      </c>
      <c r="AR95" s="1">
        <f t="shared" si="8"/>
        <v>0</v>
      </c>
      <c r="AT95" s="43" t="s">
        <v>307</v>
      </c>
      <c r="AU95" s="44">
        <v>4960.197</v>
      </c>
      <c r="AV95" s="177"/>
      <c r="AW95" s="43" t="s">
        <v>304</v>
      </c>
      <c r="AX95" s="44">
        <v>158.184</v>
      </c>
      <c r="AZ95" t="s">
        <v>271</v>
      </c>
      <c r="BA95">
        <v>0.566</v>
      </c>
      <c r="BB95" s="1" t="s">
        <v>430</v>
      </c>
    </row>
    <row r="96" spans="8:54">
      <c r="H96"/>
      <c r="I96"/>
      <c r="K96" s="173" t="s">
        <v>313</v>
      </c>
      <c r="L96" s="173">
        <v>119</v>
      </c>
      <c r="M96" s="173">
        <v>1</v>
      </c>
      <c r="N96" s="173">
        <v>0.17692</v>
      </c>
      <c r="O96" s="173">
        <v>130.91</v>
      </c>
      <c r="P96" s="173">
        <v>6</v>
      </c>
      <c r="Q96" s="173">
        <v>0.00135146283706363</v>
      </c>
      <c r="R96" s="173">
        <v>739.938955460095</v>
      </c>
      <c r="S96" s="1" t="str">
        <f>VLOOKUP(K:K,'1店'!$B:$B,1,0)</f>
        <v>Y1058-ZH</v>
      </c>
      <c r="T96" s="173" t="s">
        <v>313</v>
      </c>
      <c r="U96" s="173">
        <v>287</v>
      </c>
      <c r="V96" s="173">
        <v>1</v>
      </c>
      <c r="W96" s="173">
        <v>0.37144</v>
      </c>
      <c r="X96" s="173">
        <v>130.91</v>
      </c>
      <c r="Y96" s="173">
        <v>6</v>
      </c>
      <c r="Z96" s="173">
        <v>0.00283736918493622</v>
      </c>
      <c r="AA96" s="173">
        <v>352.439155718286</v>
      </c>
      <c r="AB96" s="2" t="str">
        <f>VLOOKUP(T:T,'1店'!$B:$B,1,0)</f>
        <v>Y1058-ZH</v>
      </c>
      <c r="AC96" s="173" t="s">
        <v>313</v>
      </c>
      <c r="AD96" s="173">
        <v>533</v>
      </c>
      <c r="AE96" s="173">
        <v>1</v>
      </c>
      <c r="AF96" s="173">
        <v>0.70592</v>
      </c>
      <c r="AG96" s="173">
        <v>164.89</v>
      </c>
      <c r="AH96" s="173">
        <v>8</v>
      </c>
      <c r="AI96" s="173">
        <v>0.00428115713505974</v>
      </c>
      <c r="AJ96" s="173">
        <v>233.581708975521</v>
      </c>
      <c r="AK96" s="1" t="str">
        <f>VLOOKUP(AC:AC,'1店'!$B:$B,1,0)</f>
        <v>Y1058-ZH</v>
      </c>
      <c r="AN96" s="1">
        <f t="shared" si="6"/>
        <v>0</v>
      </c>
      <c r="AR96" s="1">
        <f t="shared" si="8"/>
        <v>0</v>
      </c>
      <c r="AT96" s="43" t="s">
        <v>310</v>
      </c>
      <c r="AU96" s="44">
        <v>1680</v>
      </c>
      <c r="AV96" s="177"/>
      <c r="AW96" s="43" t="s">
        <v>307</v>
      </c>
      <c r="AX96" s="44">
        <v>5939.989</v>
      </c>
      <c r="AZ96" t="s">
        <v>454</v>
      </c>
      <c r="BA96">
        <v>0.694</v>
      </c>
      <c r="BB96" s="1" t="s">
        <v>430</v>
      </c>
    </row>
    <row r="97" spans="8:54">
      <c r="H97"/>
      <c r="I97"/>
      <c r="K97" s="173" t="s">
        <v>438</v>
      </c>
      <c r="L97" s="173">
        <v>0</v>
      </c>
      <c r="M97" s="173">
        <v>0</v>
      </c>
      <c r="N97" s="173">
        <v>0</v>
      </c>
      <c r="O97" s="173">
        <v>0</v>
      </c>
      <c r="P97" s="173">
        <v>0</v>
      </c>
      <c r="Q97" s="173"/>
      <c r="R97" s="173"/>
      <c r="S97" s="1" t="e">
        <f>VLOOKUP(K:K,'1店'!$B:$B,1,0)</f>
        <v>#N/A</v>
      </c>
      <c r="T97" s="173" t="s">
        <v>438</v>
      </c>
      <c r="U97" s="173">
        <v>0</v>
      </c>
      <c r="V97" s="173">
        <v>0</v>
      </c>
      <c r="W97" s="173">
        <v>0</v>
      </c>
      <c r="X97" s="173">
        <v>0</v>
      </c>
      <c r="Y97" s="173">
        <v>0</v>
      </c>
      <c r="Z97" s="173"/>
      <c r="AA97" s="173"/>
      <c r="AB97" s="2" t="e">
        <f>VLOOKUP(T:T,'1店'!$B:$B,1,0)</f>
        <v>#N/A</v>
      </c>
      <c r="AC97" s="173" t="s">
        <v>438</v>
      </c>
      <c r="AD97" s="173">
        <v>0</v>
      </c>
      <c r="AE97" s="173">
        <v>0</v>
      </c>
      <c r="AF97" s="173">
        <v>0</v>
      </c>
      <c r="AG97" s="173">
        <v>0</v>
      </c>
      <c r="AH97" s="173">
        <v>0</v>
      </c>
      <c r="AI97" s="173"/>
      <c r="AJ97" s="173"/>
      <c r="AK97" s="1" t="e">
        <f>VLOOKUP(AC:AC,'1店'!$B:$B,1,0)</f>
        <v>#N/A</v>
      </c>
      <c r="AN97" s="1">
        <f t="shared" si="6"/>
        <v>0</v>
      </c>
      <c r="AR97" s="1">
        <f t="shared" si="8"/>
        <v>0</v>
      </c>
      <c r="AT97" s="43" t="s">
        <v>313</v>
      </c>
      <c r="AU97" s="44">
        <v>2183.1</v>
      </c>
      <c r="AV97" s="177"/>
      <c r="AW97" s="43" t="s">
        <v>310</v>
      </c>
      <c r="AX97" s="44">
        <v>2744</v>
      </c>
      <c r="AZ97" t="s">
        <v>325</v>
      </c>
      <c r="BA97">
        <v>11.625</v>
      </c>
      <c r="BB97" s="1" t="s">
        <v>430</v>
      </c>
    </row>
    <row r="98" spans="8:54">
      <c r="H98"/>
      <c r="I98"/>
      <c r="K98" s="173" t="s">
        <v>169</v>
      </c>
      <c r="L98" s="173">
        <v>134</v>
      </c>
      <c r="M98" s="173">
        <v>1</v>
      </c>
      <c r="N98" s="173">
        <v>0.15415</v>
      </c>
      <c r="O98" s="173">
        <v>0</v>
      </c>
      <c r="P98" s="173">
        <v>0</v>
      </c>
      <c r="Q98" s="173"/>
      <c r="R98" s="173">
        <v>0</v>
      </c>
      <c r="S98" s="1" t="str">
        <f>VLOOKUP(K:K,'1店'!$B:$B,1,0)</f>
        <v>Y1059-SI</v>
      </c>
      <c r="T98" s="173" t="s">
        <v>169</v>
      </c>
      <c r="U98" s="173">
        <v>305</v>
      </c>
      <c r="V98" s="173">
        <v>1</v>
      </c>
      <c r="W98" s="173">
        <v>0.36548</v>
      </c>
      <c r="X98" s="173">
        <v>14.39</v>
      </c>
      <c r="Y98" s="173">
        <v>1</v>
      </c>
      <c r="Z98" s="173">
        <v>0.0253981931897151</v>
      </c>
      <c r="AA98" s="173">
        <v>39.3728795009303</v>
      </c>
      <c r="AB98" s="2" t="str">
        <f>VLOOKUP(T:T,'1店'!$B:$B,1,0)</f>
        <v>Y1059-SI</v>
      </c>
      <c r="AC98" s="173" t="s">
        <v>169</v>
      </c>
      <c r="AD98" s="173">
        <v>598</v>
      </c>
      <c r="AE98" s="173">
        <v>1</v>
      </c>
      <c r="AF98" s="173">
        <v>0.83054</v>
      </c>
      <c r="AG98" s="173">
        <v>51.37</v>
      </c>
      <c r="AH98" s="173">
        <v>3</v>
      </c>
      <c r="AI98" s="173">
        <v>0.0161678022191941</v>
      </c>
      <c r="AJ98" s="173">
        <v>61.8513256435572</v>
      </c>
      <c r="AK98" s="1" t="str">
        <f>VLOOKUP(AC:AC,'1店'!$B:$B,1,0)</f>
        <v>Y1059-SI</v>
      </c>
      <c r="AN98" s="1">
        <f t="shared" ref="AN98:AN116" si="9">AM98*$AS$1</f>
        <v>0</v>
      </c>
      <c r="AR98" s="1">
        <f t="shared" si="8"/>
        <v>0</v>
      </c>
      <c r="AT98" s="43" t="s">
        <v>316</v>
      </c>
      <c r="AU98" s="44">
        <v>2111.47</v>
      </c>
      <c r="AV98" s="177"/>
      <c r="AW98" s="43" t="s">
        <v>313</v>
      </c>
      <c r="AX98" s="44">
        <v>2987.4</v>
      </c>
      <c r="AZ98" s="120" t="s">
        <v>322</v>
      </c>
      <c r="BA98">
        <v>12.404</v>
      </c>
      <c r="BB98" s="1" t="s">
        <v>430</v>
      </c>
    </row>
    <row r="99" spans="8:54">
      <c r="H99"/>
      <c r="I99"/>
      <c r="K99" s="173" t="s">
        <v>172</v>
      </c>
      <c r="L99" s="173">
        <v>111</v>
      </c>
      <c r="M99" s="173">
        <v>0</v>
      </c>
      <c r="N99" s="173">
        <v>0.16012</v>
      </c>
      <c r="O99" s="173">
        <v>23.99</v>
      </c>
      <c r="P99" s="173">
        <v>1</v>
      </c>
      <c r="Q99" s="173">
        <v>0.00667444768653606</v>
      </c>
      <c r="R99" s="173">
        <v>149.825131151636</v>
      </c>
      <c r="S99" s="1" t="str">
        <f>VLOOKUP(K:K,'1店'!$B:$B,1,0)</f>
        <v>Y1060-BL</v>
      </c>
      <c r="T99" s="173" t="s">
        <v>172</v>
      </c>
      <c r="U99" s="173">
        <v>251</v>
      </c>
      <c r="V99" s="173">
        <v>1</v>
      </c>
      <c r="W99" s="173">
        <v>0.35656</v>
      </c>
      <c r="X99" s="173">
        <v>62.97</v>
      </c>
      <c r="Y99" s="173">
        <v>3</v>
      </c>
      <c r="Z99" s="173">
        <v>0.00566237891059234</v>
      </c>
      <c r="AA99" s="173">
        <v>176.604218083913</v>
      </c>
      <c r="AB99" s="2" t="str">
        <f>VLOOKUP(T:T,'1店'!$B:$B,1,0)</f>
        <v>Y1060-BL</v>
      </c>
      <c r="AC99" s="173" t="s">
        <v>172</v>
      </c>
      <c r="AD99" s="173">
        <v>543</v>
      </c>
      <c r="AE99" s="173">
        <v>1</v>
      </c>
      <c r="AF99" s="173">
        <v>0.8174</v>
      </c>
      <c r="AG99" s="173">
        <v>81.96</v>
      </c>
      <c r="AH99" s="173">
        <v>4</v>
      </c>
      <c r="AI99" s="173">
        <v>0.00997315763787214</v>
      </c>
      <c r="AJ99" s="173">
        <v>100.269146072914</v>
      </c>
      <c r="AK99" s="1" t="str">
        <f>VLOOKUP(AC:AC,'1店'!$B:$B,1,0)</f>
        <v>Y1060-BL</v>
      </c>
      <c r="AN99" s="1">
        <f t="shared" si="9"/>
        <v>0</v>
      </c>
      <c r="AR99" s="1">
        <f t="shared" si="8"/>
        <v>0</v>
      </c>
      <c r="AT99" s="43" t="s">
        <v>319</v>
      </c>
      <c r="AU99" s="44">
        <v>342</v>
      </c>
      <c r="AV99" s="177"/>
      <c r="AW99" s="43" t="s">
        <v>316</v>
      </c>
      <c r="AX99" s="44">
        <v>2222.6</v>
      </c>
      <c r="AZ99" t="s">
        <v>372</v>
      </c>
      <c r="BA99">
        <v>2.003</v>
      </c>
      <c r="BB99" s="1" t="s">
        <v>430</v>
      </c>
    </row>
    <row r="100" spans="8:54">
      <c r="H100"/>
      <c r="I100"/>
      <c r="K100" s="173" t="s">
        <v>175</v>
      </c>
      <c r="L100" s="173">
        <v>115</v>
      </c>
      <c r="M100" s="173">
        <v>0</v>
      </c>
      <c r="N100" s="173">
        <v>0.16888</v>
      </c>
      <c r="O100" s="173">
        <v>0</v>
      </c>
      <c r="P100" s="173">
        <v>0</v>
      </c>
      <c r="Q100" s="173"/>
      <c r="R100" s="173">
        <v>0</v>
      </c>
      <c r="S100" s="1" t="str">
        <f>VLOOKUP(K:K,'1店'!$B:$B,1,0)</f>
        <v>Y1060-GR</v>
      </c>
      <c r="T100" s="173" t="s">
        <v>175</v>
      </c>
      <c r="U100" s="173">
        <v>255</v>
      </c>
      <c r="V100" s="173">
        <v>0</v>
      </c>
      <c r="W100" s="173">
        <v>0.3623</v>
      </c>
      <c r="X100" s="173">
        <v>0</v>
      </c>
      <c r="Y100" s="173">
        <v>0</v>
      </c>
      <c r="Z100" s="173"/>
      <c r="AA100" s="173">
        <v>0</v>
      </c>
      <c r="AB100" s="2" t="str">
        <f>VLOOKUP(T:T,'1店'!$B:$B,1,0)</f>
        <v>Y1060-GR</v>
      </c>
      <c r="AC100" s="173" t="s">
        <v>175</v>
      </c>
      <c r="AD100" s="173">
        <v>511</v>
      </c>
      <c r="AE100" s="173">
        <v>0</v>
      </c>
      <c r="AF100" s="173">
        <v>0.80741</v>
      </c>
      <c r="AG100" s="173">
        <v>63.97</v>
      </c>
      <c r="AH100" s="173">
        <v>3</v>
      </c>
      <c r="AI100" s="173">
        <v>0.0126216976707832</v>
      </c>
      <c r="AJ100" s="173">
        <v>79.2286446786639</v>
      </c>
      <c r="AK100" s="1" t="str">
        <f>VLOOKUP(AC:AC,'1店'!$B:$B,1,0)</f>
        <v>Y1060-GR</v>
      </c>
      <c r="AN100" s="1">
        <f t="shared" si="9"/>
        <v>0</v>
      </c>
      <c r="AR100" s="1">
        <f t="shared" si="8"/>
        <v>0</v>
      </c>
      <c r="AT100" s="43" t="s">
        <v>322</v>
      </c>
      <c r="AU100" s="44">
        <v>16</v>
      </c>
      <c r="AV100" s="177"/>
      <c r="AW100" s="43" t="s">
        <v>319</v>
      </c>
      <c r="AX100" s="44">
        <v>399</v>
      </c>
      <c r="AZ100" t="s">
        <v>348</v>
      </c>
      <c r="BA100">
        <v>3.202</v>
      </c>
      <c r="BB100" s="1" t="s">
        <v>430</v>
      </c>
    </row>
    <row r="101" spans="11:54">
      <c r="K101" s="173" t="s">
        <v>316</v>
      </c>
      <c r="L101" s="173">
        <v>100</v>
      </c>
      <c r="M101" s="173">
        <v>0</v>
      </c>
      <c r="N101" s="173">
        <v>0.10885</v>
      </c>
      <c r="O101" s="173">
        <v>32.98</v>
      </c>
      <c r="P101" s="173">
        <v>2</v>
      </c>
      <c r="Q101" s="173">
        <v>0.00330048514251061</v>
      </c>
      <c r="R101" s="173">
        <v>302.985760220487</v>
      </c>
      <c r="S101" s="1" t="str">
        <f>VLOOKUP(K:K,'1店'!$B:$B,1,0)</f>
        <v>Y1060-GR-ZH</v>
      </c>
      <c r="T101" s="173" t="s">
        <v>316</v>
      </c>
      <c r="U101" s="173">
        <v>145</v>
      </c>
      <c r="V101" s="173">
        <v>0</v>
      </c>
      <c r="W101" s="173">
        <v>0.17301</v>
      </c>
      <c r="X101" s="173">
        <v>48.17</v>
      </c>
      <c r="Y101" s="173">
        <v>3</v>
      </c>
      <c r="Z101" s="173">
        <v>0.00359165455677808</v>
      </c>
      <c r="AA101" s="173">
        <v>278.423212531068</v>
      </c>
      <c r="AB101" s="2" t="str">
        <f>VLOOKUP(T:T,'1店'!$B:$B,1,0)</f>
        <v>Y1060-GR-ZH</v>
      </c>
      <c r="AC101" s="173" t="s">
        <v>316</v>
      </c>
      <c r="AD101" s="173">
        <v>145</v>
      </c>
      <c r="AE101" s="173">
        <v>0</v>
      </c>
      <c r="AF101" s="173">
        <v>0.17301</v>
      </c>
      <c r="AG101" s="173">
        <v>48.17</v>
      </c>
      <c r="AH101" s="173">
        <v>3</v>
      </c>
      <c r="AI101" s="173">
        <v>0.00359165455677808</v>
      </c>
      <c r="AJ101" s="173">
        <v>278.423212531068</v>
      </c>
      <c r="AK101" s="1" t="str">
        <f>VLOOKUP(AC:AC,'1店'!$B:$B,1,0)</f>
        <v>Y1060-GR-ZH</v>
      </c>
      <c r="AN101" s="1">
        <f t="shared" si="9"/>
        <v>0</v>
      </c>
      <c r="AR101" s="1">
        <f t="shared" si="8"/>
        <v>0</v>
      </c>
      <c r="AT101" s="43" t="s">
        <v>325</v>
      </c>
      <c r="AU101" s="44">
        <v>96</v>
      </c>
      <c r="AV101" s="177"/>
      <c r="AW101" s="43" t="s">
        <v>322</v>
      </c>
      <c r="AX101" s="44">
        <v>32</v>
      </c>
      <c r="AZ101" t="s">
        <v>351</v>
      </c>
      <c r="BA101">
        <v>3.202</v>
      </c>
      <c r="BB101" s="1" t="s">
        <v>430</v>
      </c>
    </row>
    <row r="102" spans="11:54">
      <c r="K102" s="173" t="s">
        <v>340</v>
      </c>
      <c r="L102" s="173">
        <v>115</v>
      </c>
      <c r="M102" s="173">
        <v>1</v>
      </c>
      <c r="N102" s="173">
        <v>0.86793</v>
      </c>
      <c r="O102" s="173">
        <v>41.97</v>
      </c>
      <c r="P102" s="173">
        <v>3</v>
      </c>
      <c r="Q102" s="173">
        <v>0.00304812961639266</v>
      </c>
      <c r="R102" s="173">
        <v>328.070038302197</v>
      </c>
      <c r="S102" s="1" t="str">
        <f>VLOOKUP(K:K,'1店'!$B:$B,1,0)</f>
        <v>Y1060-ZH-</v>
      </c>
      <c r="T102" s="173" t="s">
        <v>340</v>
      </c>
      <c r="U102" s="173">
        <v>346</v>
      </c>
      <c r="V102" s="173">
        <v>1</v>
      </c>
      <c r="W102" s="173">
        <v>1.10291</v>
      </c>
      <c r="X102" s="173">
        <v>125.92</v>
      </c>
      <c r="Y102" s="173">
        <v>8</v>
      </c>
      <c r="Z102" s="173">
        <v>0.00288206797966963</v>
      </c>
      <c r="AA102" s="173">
        <v>346.973078724753</v>
      </c>
      <c r="AB102" s="2" t="str">
        <f>VLOOKUP(T:T,'1店'!$B:$B,1,0)</f>
        <v>Y1060-ZH-</v>
      </c>
      <c r="AC102" s="173" t="s">
        <v>340</v>
      </c>
      <c r="AD102" s="173">
        <v>487</v>
      </c>
      <c r="AE102" s="173">
        <v>1</v>
      </c>
      <c r="AF102" s="173">
        <v>1.26169</v>
      </c>
      <c r="AG102" s="173">
        <v>140.91</v>
      </c>
      <c r="AH102" s="173">
        <v>9</v>
      </c>
      <c r="AI102" s="173">
        <v>0.00370229224327585</v>
      </c>
      <c r="AJ102" s="173">
        <v>270.102934693017</v>
      </c>
      <c r="AK102" s="1" t="str">
        <f>VLOOKUP(AC:AC,'1店'!$B:$B,1,0)</f>
        <v>Y1060-ZH-</v>
      </c>
      <c r="AN102" s="1">
        <f t="shared" si="9"/>
        <v>0</v>
      </c>
      <c r="AR102" s="1">
        <f>AQ102*$AS$1</f>
        <v>0</v>
      </c>
      <c r="AT102" s="43" t="s">
        <v>328</v>
      </c>
      <c r="AU102" s="44">
        <v>858</v>
      </c>
      <c r="AV102" s="177"/>
      <c r="AW102" s="43" t="s">
        <v>325</v>
      </c>
      <c r="AX102" s="44">
        <v>144</v>
      </c>
      <c r="AZ102" t="s">
        <v>354</v>
      </c>
      <c r="BA102">
        <v>5.108</v>
      </c>
      <c r="BB102" s="1" t="s">
        <v>430</v>
      </c>
    </row>
    <row r="103" spans="11:54">
      <c r="K103" s="173" t="s">
        <v>178</v>
      </c>
      <c r="L103" s="173">
        <v>92</v>
      </c>
      <c r="M103" s="173">
        <v>0</v>
      </c>
      <c r="N103" s="173">
        <v>0.14685</v>
      </c>
      <c r="O103" s="173">
        <v>25.99</v>
      </c>
      <c r="P103" s="173">
        <v>1</v>
      </c>
      <c r="Q103" s="173">
        <v>0.00565025009619084</v>
      </c>
      <c r="R103" s="173">
        <v>176.983316309159</v>
      </c>
      <c r="S103" s="1" t="str">
        <f>VLOOKUP(K:K,'1店'!$B:$B,1,0)</f>
        <v>Y1061</v>
      </c>
      <c r="T103" s="173" t="s">
        <v>178</v>
      </c>
      <c r="U103" s="173">
        <v>250</v>
      </c>
      <c r="V103" s="173">
        <v>0</v>
      </c>
      <c r="W103" s="173">
        <v>0.37886</v>
      </c>
      <c r="X103" s="173">
        <v>81.56</v>
      </c>
      <c r="Y103" s="173">
        <v>4</v>
      </c>
      <c r="Z103" s="173">
        <v>0.00464516920058852</v>
      </c>
      <c r="AA103" s="173">
        <v>215.277411180911</v>
      </c>
      <c r="AB103" s="2" t="str">
        <f>VLOOKUP(T:T,'1店'!$B:$B,1,0)</f>
        <v>Y1061</v>
      </c>
      <c r="AC103" s="173" t="s">
        <v>178</v>
      </c>
      <c r="AD103" s="173">
        <v>517</v>
      </c>
      <c r="AE103" s="173">
        <v>0</v>
      </c>
      <c r="AF103" s="173">
        <v>0.8095</v>
      </c>
      <c r="AG103" s="173">
        <v>107.55</v>
      </c>
      <c r="AH103" s="173">
        <v>5</v>
      </c>
      <c r="AI103" s="173">
        <v>0.00752673175267318</v>
      </c>
      <c r="AJ103" s="173">
        <v>132.859789993823</v>
      </c>
      <c r="AK103" s="1" t="str">
        <f>VLOOKUP(AC:AC,'1店'!$B:$B,1,0)</f>
        <v>Y1061</v>
      </c>
      <c r="AN103" s="1">
        <f t="shared" si="9"/>
        <v>0</v>
      </c>
      <c r="AR103" s="1">
        <f>AQ103*$AS$1</f>
        <v>0</v>
      </c>
      <c r="AT103" s="43" t="s">
        <v>331</v>
      </c>
      <c r="AU103" s="44">
        <v>957</v>
      </c>
      <c r="AV103" s="177"/>
      <c r="AW103" s="43" t="s">
        <v>328</v>
      </c>
      <c r="AX103" s="44">
        <v>858</v>
      </c>
      <c r="AZ103" t="s">
        <v>357</v>
      </c>
      <c r="BA103">
        <v>6.031</v>
      </c>
      <c r="BB103" s="1" t="s">
        <v>430</v>
      </c>
    </row>
    <row r="104" spans="11:54">
      <c r="K104" s="173" t="s">
        <v>432</v>
      </c>
      <c r="L104" s="173">
        <v>0</v>
      </c>
      <c r="M104" s="173">
        <v>0</v>
      </c>
      <c r="N104" s="173">
        <v>0</v>
      </c>
      <c r="O104" s="173">
        <v>0</v>
      </c>
      <c r="P104" s="173">
        <v>0</v>
      </c>
      <c r="Q104" s="173"/>
      <c r="R104" s="173"/>
      <c r="S104" s="1" t="e">
        <f>VLOOKUP(K:K,'1店'!$B:$B,1,0)</f>
        <v>#N/A</v>
      </c>
      <c r="T104" s="173" t="s">
        <v>432</v>
      </c>
      <c r="U104" s="173">
        <v>0</v>
      </c>
      <c r="V104" s="173">
        <v>0</v>
      </c>
      <c r="W104" s="173">
        <v>0</v>
      </c>
      <c r="X104" s="173">
        <v>0</v>
      </c>
      <c r="Y104" s="173">
        <v>0</v>
      </c>
      <c r="Z104" s="173"/>
      <c r="AA104" s="173"/>
      <c r="AB104" s="2" t="e">
        <f>VLOOKUP(T:T,'1店'!$B:$B,1,0)</f>
        <v>#N/A</v>
      </c>
      <c r="AC104" s="173" t="s">
        <v>432</v>
      </c>
      <c r="AD104" s="173">
        <v>0</v>
      </c>
      <c r="AE104" s="173">
        <v>0</v>
      </c>
      <c r="AF104" s="173">
        <v>0</v>
      </c>
      <c r="AG104" s="173">
        <v>0</v>
      </c>
      <c r="AH104" s="173">
        <v>0</v>
      </c>
      <c r="AI104" s="173"/>
      <c r="AJ104" s="173"/>
      <c r="AK104" s="1" t="e">
        <f>VLOOKUP(AC:AC,'1店'!$B:$B,1,0)</f>
        <v>#N/A</v>
      </c>
      <c r="AN104" s="1">
        <f t="shared" si="9"/>
        <v>0</v>
      </c>
      <c r="AR104" s="1">
        <f>AQ104*$AS$1</f>
        <v>0</v>
      </c>
      <c r="AT104" s="43" t="s">
        <v>334</v>
      </c>
      <c r="AU104" s="44">
        <v>924</v>
      </c>
      <c r="AV104" s="177"/>
      <c r="AW104" s="43" t="s">
        <v>331</v>
      </c>
      <c r="AX104" s="44">
        <v>957</v>
      </c>
      <c r="AZ104" t="s">
        <v>360</v>
      </c>
      <c r="BA104">
        <v>0.326</v>
      </c>
      <c r="BB104" s="1" t="s">
        <v>430</v>
      </c>
    </row>
    <row r="105" spans="11:54">
      <c r="K105" s="173" t="s">
        <v>193</v>
      </c>
      <c r="L105" s="173">
        <v>0</v>
      </c>
      <c r="M105" s="173">
        <v>0</v>
      </c>
      <c r="N105" s="173">
        <v>0</v>
      </c>
      <c r="O105" s="173">
        <v>0</v>
      </c>
      <c r="P105" s="173">
        <v>0</v>
      </c>
      <c r="Q105" s="173"/>
      <c r="R105" s="173"/>
      <c r="S105" s="1" t="str">
        <f>VLOOKUP(K:K,'1店'!$B:$B,1,0)</f>
        <v>Y1065-BL</v>
      </c>
      <c r="T105" s="173" t="s">
        <v>193</v>
      </c>
      <c r="U105" s="173">
        <v>0</v>
      </c>
      <c r="V105" s="173">
        <v>0</v>
      </c>
      <c r="W105" s="173">
        <v>0</v>
      </c>
      <c r="X105" s="173">
        <v>0</v>
      </c>
      <c r="Y105" s="173">
        <v>0</v>
      </c>
      <c r="Z105" s="173"/>
      <c r="AA105" s="173"/>
      <c r="AB105" s="2" t="str">
        <f>VLOOKUP(T:T,'1店'!$B:$B,1,0)</f>
        <v>Y1065-BL</v>
      </c>
      <c r="AC105" s="173" t="s">
        <v>193</v>
      </c>
      <c r="AD105" s="173">
        <v>0</v>
      </c>
      <c r="AE105" s="173">
        <v>0</v>
      </c>
      <c r="AF105" s="173">
        <v>0</v>
      </c>
      <c r="AG105" s="173">
        <v>0</v>
      </c>
      <c r="AH105" s="173">
        <v>0</v>
      </c>
      <c r="AI105" s="173"/>
      <c r="AJ105" s="173"/>
      <c r="AK105" s="1" t="str">
        <f>VLOOKUP(AC:AC,'1店'!$B:$B,1,0)</f>
        <v>Y1065-BL</v>
      </c>
      <c r="AN105" s="1">
        <f t="shared" si="9"/>
        <v>0</v>
      </c>
      <c r="AR105" s="1">
        <f>AQ105*$AS$1</f>
        <v>0</v>
      </c>
      <c r="AT105" s="43" t="s">
        <v>337</v>
      </c>
      <c r="AU105" s="44">
        <v>923</v>
      </c>
      <c r="AV105" s="177"/>
      <c r="AW105" s="43" t="s">
        <v>334</v>
      </c>
      <c r="AX105" s="44">
        <v>957</v>
      </c>
      <c r="AZ105" t="s">
        <v>363</v>
      </c>
      <c r="BA105">
        <v>0.336</v>
      </c>
      <c r="BB105" s="1" t="s">
        <v>430</v>
      </c>
    </row>
    <row r="106" spans="11:54">
      <c r="K106" s="173" t="s">
        <v>436</v>
      </c>
      <c r="L106" s="173">
        <v>0</v>
      </c>
      <c r="M106" s="173">
        <v>0</v>
      </c>
      <c r="N106" s="173">
        <v>0</v>
      </c>
      <c r="O106" s="173">
        <v>0</v>
      </c>
      <c r="P106" s="173">
        <v>0</v>
      </c>
      <c r="Q106" s="173"/>
      <c r="R106" s="173"/>
      <c r="S106" s="1" t="e">
        <f>VLOOKUP(K:K,'1店'!$B:$B,1,0)</f>
        <v>#N/A</v>
      </c>
      <c r="T106" s="173" t="s">
        <v>436</v>
      </c>
      <c r="U106" s="173">
        <v>0</v>
      </c>
      <c r="V106" s="173">
        <v>0</v>
      </c>
      <c r="W106" s="173">
        <v>0</v>
      </c>
      <c r="X106" s="173">
        <v>0</v>
      </c>
      <c r="Y106" s="173">
        <v>0</v>
      </c>
      <c r="Z106" s="173"/>
      <c r="AA106" s="173"/>
      <c r="AB106" s="2" t="e">
        <f>VLOOKUP(T:T,'1店'!$B:$B,1,0)</f>
        <v>#N/A</v>
      </c>
      <c r="AC106" s="173" t="s">
        <v>436</v>
      </c>
      <c r="AD106" s="173">
        <v>0</v>
      </c>
      <c r="AE106" s="173">
        <v>0</v>
      </c>
      <c r="AF106" s="173">
        <v>0</v>
      </c>
      <c r="AG106" s="173">
        <v>0</v>
      </c>
      <c r="AH106" s="173">
        <v>0</v>
      </c>
      <c r="AI106" s="173"/>
      <c r="AJ106" s="173"/>
      <c r="AK106" s="1" t="e">
        <f>VLOOKUP(AC:AC,'1店'!$B:$B,1,0)</f>
        <v>#N/A</v>
      </c>
      <c r="AN106" s="1">
        <f t="shared" si="9"/>
        <v>0</v>
      </c>
      <c r="AR106" s="1">
        <f>AQ106*$AS$1</f>
        <v>0</v>
      </c>
      <c r="AT106" s="43" t="s">
        <v>340</v>
      </c>
      <c r="AU106" s="44">
        <v>1599.93</v>
      </c>
      <c r="AV106" s="177"/>
      <c r="AW106" s="43" t="s">
        <v>337</v>
      </c>
      <c r="AX106" s="44">
        <v>1027</v>
      </c>
      <c r="AZ106" t="s">
        <v>366</v>
      </c>
      <c r="BA106">
        <v>5.108</v>
      </c>
      <c r="BB106" s="1" t="s">
        <v>430</v>
      </c>
    </row>
    <row r="107" spans="11:54">
      <c r="K107" s="173" t="s">
        <v>196</v>
      </c>
      <c r="L107" s="173">
        <v>0</v>
      </c>
      <c r="M107" s="173">
        <v>0</v>
      </c>
      <c r="N107" s="173">
        <v>0</v>
      </c>
      <c r="O107" s="173">
        <v>0</v>
      </c>
      <c r="P107" s="173">
        <v>0</v>
      </c>
      <c r="Q107" s="173"/>
      <c r="R107" s="173"/>
      <c r="S107" s="1" t="str">
        <f>VLOOKUP(K:K,'1店'!$B:$B,1,0)</f>
        <v>Y1066-BE</v>
      </c>
      <c r="T107" s="173" t="s">
        <v>196</v>
      </c>
      <c r="U107" s="173">
        <v>0</v>
      </c>
      <c r="V107" s="173">
        <v>0</v>
      </c>
      <c r="W107" s="173">
        <v>0</v>
      </c>
      <c r="X107" s="173">
        <v>0</v>
      </c>
      <c r="Y107" s="173">
        <v>0</v>
      </c>
      <c r="Z107" s="173"/>
      <c r="AA107" s="173"/>
      <c r="AB107" s="2" t="str">
        <f>VLOOKUP(T:T,'1店'!$B:$B,1,0)</f>
        <v>Y1066-BE</v>
      </c>
      <c r="AC107" s="173" t="s">
        <v>196</v>
      </c>
      <c r="AD107" s="173">
        <v>0</v>
      </c>
      <c r="AE107" s="173">
        <v>0</v>
      </c>
      <c r="AF107" s="173">
        <v>0</v>
      </c>
      <c r="AG107" s="173">
        <v>0</v>
      </c>
      <c r="AH107" s="173">
        <v>0</v>
      </c>
      <c r="AI107" s="173"/>
      <c r="AJ107" s="173"/>
      <c r="AK107" s="1" t="str">
        <f>VLOOKUP(AC:AC,'1店'!$B:$B,1,0)</f>
        <v>Y1066-BE</v>
      </c>
      <c r="AN107" s="1">
        <f t="shared" si="9"/>
        <v>0</v>
      </c>
      <c r="AR107" s="1">
        <f>AQ107*$AS$1</f>
        <v>0</v>
      </c>
      <c r="AT107" s="43" t="s">
        <v>343</v>
      </c>
      <c r="AU107" s="44">
        <v>219.68</v>
      </c>
      <c r="AV107" s="177"/>
      <c r="AW107" s="43" t="s">
        <v>340</v>
      </c>
      <c r="AX107" s="44">
        <v>0</v>
      </c>
      <c r="AZ107" t="s">
        <v>369</v>
      </c>
      <c r="BA107">
        <v>4.501</v>
      </c>
      <c r="BB107" s="1" t="s">
        <v>430</v>
      </c>
    </row>
    <row r="108" spans="11:54">
      <c r="K108" s="173" t="s">
        <v>199</v>
      </c>
      <c r="L108" s="173">
        <v>0</v>
      </c>
      <c r="M108" s="173">
        <v>0</v>
      </c>
      <c r="N108" s="173">
        <v>0</v>
      </c>
      <c r="O108" s="173">
        <v>0</v>
      </c>
      <c r="P108" s="173">
        <v>0</v>
      </c>
      <c r="Q108" s="173"/>
      <c r="R108" s="173"/>
      <c r="S108" s="1" t="str">
        <f>VLOOKUP(K:K,'1店'!$B:$B,1,0)</f>
        <v>Y1066-BL</v>
      </c>
      <c r="T108" s="173" t="s">
        <v>199</v>
      </c>
      <c r="U108" s="173">
        <v>0</v>
      </c>
      <c r="V108" s="173">
        <v>0</v>
      </c>
      <c r="W108" s="173">
        <v>0</v>
      </c>
      <c r="X108" s="173">
        <v>0</v>
      </c>
      <c r="Y108" s="173">
        <v>0</v>
      </c>
      <c r="Z108" s="173"/>
      <c r="AA108" s="173"/>
      <c r="AB108" s="2" t="str">
        <f>VLOOKUP(T:T,'1店'!$B:$B,1,0)</f>
        <v>Y1066-BL</v>
      </c>
      <c r="AC108" s="173" t="s">
        <v>199</v>
      </c>
      <c r="AD108" s="173">
        <v>0</v>
      </c>
      <c r="AE108" s="173">
        <v>0</v>
      </c>
      <c r="AF108" s="173">
        <v>0</v>
      </c>
      <c r="AG108" s="173">
        <v>0</v>
      </c>
      <c r="AH108" s="173">
        <v>0</v>
      </c>
      <c r="AI108" s="173"/>
      <c r="AJ108" s="173"/>
      <c r="AK108" s="1" t="str">
        <f>VLOOKUP(AC:AC,'1店'!$B:$B,1,0)</f>
        <v>Y1066-BL</v>
      </c>
      <c r="AN108" s="1">
        <f t="shared" si="9"/>
        <v>0</v>
      </c>
      <c r="AR108" s="1">
        <f>AQ108*$AS$1</f>
        <v>0</v>
      </c>
      <c r="AT108" s="43" t="s">
        <v>346</v>
      </c>
      <c r="AU108" s="44">
        <v>27.23</v>
      </c>
      <c r="AV108" s="177"/>
      <c r="AW108" s="43" t="s">
        <v>343</v>
      </c>
      <c r="AX108" s="44">
        <v>274.6</v>
      </c>
      <c r="AZ108" s="120" t="s">
        <v>334</v>
      </c>
      <c r="BA108">
        <v>9.839</v>
      </c>
      <c r="BB108" s="1" t="s">
        <v>430</v>
      </c>
    </row>
    <row r="109" spans="11:54">
      <c r="K109" s="173" t="s">
        <v>202</v>
      </c>
      <c r="L109" s="173">
        <v>0</v>
      </c>
      <c r="M109" s="173">
        <v>0</v>
      </c>
      <c r="N109" s="173">
        <v>0</v>
      </c>
      <c r="O109" s="173">
        <v>0</v>
      </c>
      <c r="P109" s="173">
        <v>0</v>
      </c>
      <c r="Q109" s="173"/>
      <c r="R109" s="173"/>
      <c r="S109" s="1" t="str">
        <f>VLOOKUP(K:K,'1店'!$B:$B,1,0)</f>
        <v>Y1066-GA</v>
      </c>
      <c r="T109" s="173" t="s">
        <v>202</v>
      </c>
      <c r="U109" s="173">
        <v>0</v>
      </c>
      <c r="V109" s="173">
        <v>0</v>
      </c>
      <c r="W109" s="173">
        <v>0</v>
      </c>
      <c r="X109" s="173">
        <v>0</v>
      </c>
      <c r="Y109" s="173">
        <v>0</v>
      </c>
      <c r="Z109" s="173"/>
      <c r="AA109" s="173"/>
      <c r="AB109" s="2" t="str">
        <f>VLOOKUP(T:T,'1店'!$B:$B,1,0)</f>
        <v>Y1066-GA</v>
      </c>
      <c r="AC109" s="173" t="s">
        <v>202</v>
      </c>
      <c r="AD109" s="173">
        <v>0</v>
      </c>
      <c r="AE109" s="173">
        <v>0</v>
      </c>
      <c r="AF109" s="173">
        <v>0</v>
      </c>
      <c r="AG109" s="173">
        <v>0</v>
      </c>
      <c r="AH109" s="173">
        <v>0</v>
      </c>
      <c r="AI109" s="173"/>
      <c r="AJ109" s="173"/>
      <c r="AK109" s="1" t="str">
        <f>VLOOKUP(AC:AC,'1店'!$B:$B,1,0)</f>
        <v>Y1066-GA</v>
      </c>
      <c r="AN109" s="1">
        <f t="shared" si="9"/>
        <v>0</v>
      </c>
      <c r="AR109" s="1">
        <f>AQ109*$AS$1</f>
        <v>0</v>
      </c>
      <c r="AT109" s="43" t="s">
        <v>348</v>
      </c>
      <c r="AU109" s="44">
        <v>728</v>
      </c>
      <c r="AV109" s="177"/>
      <c r="AW109" s="43" t="s">
        <v>346</v>
      </c>
      <c r="AX109" s="44">
        <v>54.46</v>
      </c>
      <c r="AZ109" s="120" t="s">
        <v>328</v>
      </c>
      <c r="BA109">
        <v>7.872</v>
      </c>
      <c r="BB109" s="1" t="s">
        <v>430</v>
      </c>
    </row>
    <row r="110" spans="11:54">
      <c r="K110" s="173" t="s">
        <v>208</v>
      </c>
      <c r="L110" s="173">
        <v>3</v>
      </c>
      <c r="M110" s="173">
        <v>0</v>
      </c>
      <c r="N110" s="173">
        <v>0.00286</v>
      </c>
      <c r="O110" s="173">
        <v>0</v>
      </c>
      <c r="P110" s="173">
        <v>0</v>
      </c>
      <c r="Q110" s="173"/>
      <c r="R110" s="173">
        <v>0</v>
      </c>
      <c r="S110" s="1" t="str">
        <f>VLOOKUP(K:K,'1店'!$B:$B,1,0)</f>
        <v>Y1071-BG</v>
      </c>
      <c r="T110" s="173" t="s">
        <v>208</v>
      </c>
      <c r="U110" s="173">
        <v>11</v>
      </c>
      <c r="V110" s="173">
        <v>0</v>
      </c>
      <c r="W110" s="173">
        <v>0.00944</v>
      </c>
      <c r="X110" s="173">
        <v>0</v>
      </c>
      <c r="Y110" s="173">
        <v>0</v>
      </c>
      <c r="Z110" s="173"/>
      <c r="AA110" s="173">
        <v>0</v>
      </c>
      <c r="AB110" s="2" t="str">
        <f>VLOOKUP(T:T,'1店'!$B:$B,1,0)</f>
        <v>Y1071-BG</v>
      </c>
      <c r="AC110" s="173" t="s">
        <v>208</v>
      </c>
      <c r="AD110" s="173">
        <v>29</v>
      </c>
      <c r="AE110" s="173">
        <v>0</v>
      </c>
      <c r="AF110" s="173">
        <v>0.02885</v>
      </c>
      <c r="AG110" s="173">
        <v>0</v>
      </c>
      <c r="AH110" s="173">
        <v>0</v>
      </c>
      <c r="AI110" s="173"/>
      <c r="AJ110" s="173">
        <v>0</v>
      </c>
      <c r="AK110" s="1" t="str">
        <f>VLOOKUP(AC:AC,'1店'!$B:$B,1,0)</f>
        <v>Y1071-BG</v>
      </c>
      <c r="AN110" s="1">
        <f t="shared" si="9"/>
        <v>0</v>
      </c>
      <c r="AR110" s="1">
        <f>AQ110*$AS$1</f>
        <v>0</v>
      </c>
      <c r="AT110" s="43" t="s">
        <v>351</v>
      </c>
      <c r="AU110" s="44">
        <v>728</v>
      </c>
      <c r="AV110" s="177"/>
      <c r="AW110" s="43" t="s">
        <v>348</v>
      </c>
      <c r="AX110" s="44">
        <v>728</v>
      </c>
      <c r="AZ110" t="s">
        <v>331</v>
      </c>
      <c r="BA110">
        <v>7.872</v>
      </c>
      <c r="BB110" s="1" t="s">
        <v>430</v>
      </c>
    </row>
    <row r="111" spans="11:54">
      <c r="K111" s="173" t="s">
        <v>441</v>
      </c>
      <c r="L111" s="173">
        <v>5</v>
      </c>
      <c r="M111" s="173">
        <v>0</v>
      </c>
      <c r="N111" s="173">
        <v>0</v>
      </c>
      <c r="O111" s="173">
        <v>0</v>
      </c>
      <c r="P111" s="173">
        <v>0</v>
      </c>
      <c r="Q111" s="173"/>
      <c r="R111" s="173"/>
      <c r="S111" s="1" t="e">
        <f>VLOOKUP(K:K,'1店'!$B:$B,1,0)</f>
        <v>#N/A</v>
      </c>
      <c r="T111" s="173" t="s">
        <v>441</v>
      </c>
      <c r="U111" s="173">
        <v>16</v>
      </c>
      <c r="V111" s="173">
        <v>0</v>
      </c>
      <c r="W111" s="173">
        <v>0.00799</v>
      </c>
      <c r="X111" s="173">
        <v>0</v>
      </c>
      <c r="Y111" s="173">
        <v>0</v>
      </c>
      <c r="Z111" s="173"/>
      <c r="AA111" s="173">
        <v>0</v>
      </c>
      <c r="AB111" s="2" t="e">
        <f>VLOOKUP(T:T,'1店'!$B:$B,1,0)</f>
        <v>#N/A</v>
      </c>
      <c r="AC111" s="173" t="s">
        <v>441</v>
      </c>
      <c r="AD111" s="173">
        <v>36</v>
      </c>
      <c r="AE111" s="173">
        <v>0</v>
      </c>
      <c r="AF111" s="173">
        <v>0.02447</v>
      </c>
      <c r="AG111" s="173">
        <v>9.99</v>
      </c>
      <c r="AH111" s="173">
        <v>1</v>
      </c>
      <c r="AI111" s="173">
        <v>0.00244944944944945</v>
      </c>
      <c r="AJ111" s="173">
        <v>408.255006129955</v>
      </c>
      <c r="AK111" s="1" t="e">
        <f>VLOOKUP(AC:AC,'1店'!$B:$B,1,0)</f>
        <v>#N/A</v>
      </c>
      <c r="AN111" s="1">
        <f t="shared" si="9"/>
        <v>0</v>
      </c>
      <c r="AR111" s="1">
        <f>AQ111*$AS$1</f>
        <v>0</v>
      </c>
      <c r="AT111" s="43" t="s">
        <v>354</v>
      </c>
      <c r="AU111" s="44">
        <v>600</v>
      </c>
      <c r="AV111" s="177"/>
      <c r="AW111" s="43" t="s">
        <v>351</v>
      </c>
      <c r="AX111" s="44">
        <v>728</v>
      </c>
      <c r="AZ111" s="180" t="s">
        <v>381</v>
      </c>
      <c r="BA111" s="180">
        <v>8.316</v>
      </c>
      <c r="BB111" s="1" t="s">
        <v>455</v>
      </c>
    </row>
    <row r="112" spans="11:54">
      <c r="K112" s="173" t="s">
        <v>437</v>
      </c>
      <c r="L112" s="173">
        <v>5</v>
      </c>
      <c r="M112" s="173">
        <v>0</v>
      </c>
      <c r="N112" s="173">
        <v>0.00203</v>
      </c>
      <c r="O112" s="173">
        <v>0</v>
      </c>
      <c r="P112" s="173">
        <v>0</v>
      </c>
      <c r="Q112" s="173"/>
      <c r="R112" s="173">
        <v>0</v>
      </c>
      <c r="S112" s="1" t="e">
        <f>VLOOKUP(K:K,'1店'!$B:$B,1,0)</f>
        <v>#N/A</v>
      </c>
      <c r="T112" s="173" t="s">
        <v>437</v>
      </c>
      <c r="U112" s="173">
        <v>18</v>
      </c>
      <c r="V112" s="173">
        <v>0</v>
      </c>
      <c r="W112" s="173">
        <v>0.01896</v>
      </c>
      <c r="X112" s="173">
        <v>0</v>
      </c>
      <c r="Y112" s="173">
        <v>0</v>
      </c>
      <c r="Z112" s="173"/>
      <c r="AA112" s="173">
        <v>0</v>
      </c>
      <c r="AB112" s="2" t="e">
        <f>VLOOKUP(T:T,'1店'!$B:$B,1,0)</f>
        <v>#N/A</v>
      </c>
      <c r="AC112" s="173" t="s">
        <v>437</v>
      </c>
      <c r="AD112" s="173">
        <v>45</v>
      </c>
      <c r="AE112" s="173">
        <v>1</v>
      </c>
      <c r="AF112" s="173">
        <v>0.05514</v>
      </c>
      <c r="AG112" s="173">
        <v>10.99</v>
      </c>
      <c r="AH112" s="173">
        <v>1</v>
      </c>
      <c r="AI112" s="173">
        <v>0.00501728844404004</v>
      </c>
      <c r="AJ112" s="173">
        <v>199.310845121509</v>
      </c>
      <c r="AK112" s="1" t="e">
        <f>VLOOKUP(AC:AC,'1店'!$B:$B,1,0)</f>
        <v>#N/A</v>
      </c>
      <c r="AN112" s="1">
        <f t="shared" si="9"/>
        <v>0</v>
      </c>
      <c r="AR112" s="1">
        <f>AQ112*$AS$1</f>
        <v>0</v>
      </c>
      <c r="AT112" s="43" t="s">
        <v>357</v>
      </c>
      <c r="AU112" s="44">
        <v>700</v>
      </c>
      <c r="AV112" s="177"/>
      <c r="AW112" s="43" t="s">
        <v>354</v>
      </c>
      <c r="AX112" s="44">
        <v>600</v>
      </c>
      <c r="AZ112" s="180" t="s">
        <v>375</v>
      </c>
      <c r="BA112" s="180">
        <v>7.938</v>
      </c>
      <c r="BB112" s="1" t="s">
        <v>455</v>
      </c>
    </row>
    <row r="113" spans="11:54">
      <c r="K113" s="173" t="s">
        <v>211</v>
      </c>
      <c r="L113" s="173">
        <v>3</v>
      </c>
      <c r="M113" s="173">
        <v>0</v>
      </c>
      <c r="N113" s="173">
        <v>0.00582</v>
      </c>
      <c r="O113" s="173">
        <v>0</v>
      </c>
      <c r="P113" s="173">
        <v>0</v>
      </c>
      <c r="Q113" s="173"/>
      <c r="R113" s="173">
        <v>0</v>
      </c>
      <c r="S113" s="1" t="str">
        <f>VLOOKUP(K:K,'1店'!$B:$B,1,0)</f>
        <v>Y1071-RE</v>
      </c>
      <c r="T113" s="173" t="s">
        <v>211</v>
      </c>
      <c r="U113" s="173">
        <v>8</v>
      </c>
      <c r="V113" s="173">
        <v>0</v>
      </c>
      <c r="W113" s="173">
        <v>0.00826</v>
      </c>
      <c r="X113" s="173">
        <v>0</v>
      </c>
      <c r="Y113" s="173">
        <v>0</v>
      </c>
      <c r="Z113" s="173"/>
      <c r="AA113" s="173">
        <v>0</v>
      </c>
      <c r="AB113" s="2" t="str">
        <f>VLOOKUP(T:T,'1店'!$B:$B,1,0)</f>
        <v>Y1071-RE</v>
      </c>
      <c r="AC113" s="173" t="s">
        <v>211</v>
      </c>
      <c r="AD113" s="173">
        <v>25</v>
      </c>
      <c r="AE113" s="173">
        <v>0</v>
      </c>
      <c r="AF113" s="173">
        <v>0.03251</v>
      </c>
      <c r="AG113" s="173">
        <v>0</v>
      </c>
      <c r="AH113" s="173">
        <v>0</v>
      </c>
      <c r="AI113" s="173"/>
      <c r="AJ113" s="173">
        <v>0</v>
      </c>
      <c r="AK113" s="1" t="str">
        <f>VLOOKUP(AC:AC,'1店'!$B:$B,1,0)</f>
        <v>Y1071-RE</v>
      </c>
      <c r="AN113" s="1">
        <f t="shared" si="9"/>
        <v>0</v>
      </c>
      <c r="AR113" s="1">
        <f>AQ113*$AS$1</f>
        <v>0</v>
      </c>
      <c r="AT113" s="43" t="s">
        <v>360</v>
      </c>
      <c r="AU113" s="44">
        <v>65</v>
      </c>
      <c r="AV113" s="177"/>
      <c r="AW113" s="43" t="s">
        <v>357</v>
      </c>
      <c r="AX113" s="44">
        <v>725</v>
      </c>
      <c r="AZ113" s="120" t="s">
        <v>378</v>
      </c>
      <c r="BA113">
        <v>7.763</v>
      </c>
      <c r="BB113" s="1" t="s">
        <v>455</v>
      </c>
    </row>
    <row r="114" spans="11:54">
      <c r="K114" s="173" t="s">
        <v>214</v>
      </c>
      <c r="L114" s="173">
        <v>4</v>
      </c>
      <c r="M114" s="173">
        <v>0</v>
      </c>
      <c r="N114" s="173">
        <v>0.00419</v>
      </c>
      <c r="O114" s="173">
        <v>0</v>
      </c>
      <c r="P114" s="173">
        <v>0</v>
      </c>
      <c r="Q114" s="173"/>
      <c r="R114" s="173">
        <v>0</v>
      </c>
      <c r="S114" s="1" t="str">
        <f>VLOOKUP(K:K,'1店'!$B:$B,1,0)</f>
        <v>Y1071-WH</v>
      </c>
      <c r="T114" s="173" t="s">
        <v>214</v>
      </c>
      <c r="U114" s="173">
        <v>15</v>
      </c>
      <c r="V114" s="173">
        <v>0</v>
      </c>
      <c r="W114" s="173">
        <v>0.017</v>
      </c>
      <c r="X114" s="173">
        <v>0</v>
      </c>
      <c r="Y114" s="173">
        <v>0</v>
      </c>
      <c r="Z114" s="173"/>
      <c r="AA114" s="173">
        <v>0</v>
      </c>
      <c r="AB114" s="2" t="str">
        <f>VLOOKUP(T:T,'1店'!$B:$B,1,0)</f>
        <v>Y1071-WH</v>
      </c>
      <c r="AC114" s="173" t="s">
        <v>214</v>
      </c>
      <c r="AD114" s="173">
        <v>37</v>
      </c>
      <c r="AE114" s="173">
        <v>0</v>
      </c>
      <c r="AF114" s="173">
        <v>0.03335</v>
      </c>
      <c r="AG114" s="173">
        <v>0</v>
      </c>
      <c r="AH114" s="173">
        <v>0</v>
      </c>
      <c r="AI114" s="173"/>
      <c r="AJ114" s="173">
        <v>0</v>
      </c>
      <c r="AK114" s="1" t="str">
        <f>VLOOKUP(AC:AC,'1店'!$B:$B,1,0)</f>
        <v>Y1071-WH</v>
      </c>
      <c r="AN114" s="1">
        <f t="shared" si="9"/>
        <v>0</v>
      </c>
      <c r="AR114" s="1">
        <f>AQ114*$AS$1</f>
        <v>0</v>
      </c>
      <c r="AT114" s="43" t="s">
        <v>363</v>
      </c>
      <c r="AU114" s="44">
        <v>35</v>
      </c>
      <c r="AV114" s="177"/>
      <c r="AW114" s="43" t="s">
        <v>360</v>
      </c>
      <c r="AX114" s="44">
        <v>70</v>
      </c>
      <c r="AZ114" t="s">
        <v>387</v>
      </c>
      <c r="BA114">
        <v>8.832</v>
      </c>
      <c r="BB114" s="1" t="s">
        <v>455</v>
      </c>
    </row>
    <row r="115" spans="11:54">
      <c r="K115" s="173" t="s">
        <v>217</v>
      </c>
      <c r="L115" s="173">
        <v>1</v>
      </c>
      <c r="M115" s="173">
        <v>0</v>
      </c>
      <c r="N115" s="173">
        <v>0</v>
      </c>
      <c r="O115" s="173">
        <v>0</v>
      </c>
      <c r="P115" s="173">
        <v>0</v>
      </c>
      <c r="Q115" s="173"/>
      <c r="R115" s="173"/>
      <c r="S115" s="1" t="str">
        <f>VLOOKUP(K:K,'1店'!$B:$B,1,0)</f>
        <v>Y1073-BG</v>
      </c>
      <c r="T115" s="173" t="s">
        <v>217</v>
      </c>
      <c r="U115" s="173">
        <v>2</v>
      </c>
      <c r="V115" s="173">
        <v>0</v>
      </c>
      <c r="W115" s="173">
        <v>0</v>
      </c>
      <c r="X115" s="173">
        <v>0</v>
      </c>
      <c r="Y115" s="173">
        <v>0</v>
      </c>
      <c r="Z115" s="173"/>
      <c r="AA115" s="173"/>
      <c r="AB115" s="2" t="str">
        <f>VLOOKUP(T:T,'1店'!$B:$B,1,0)</f>
        <v>Y1073-BG</v>
      </c>
      <c r="AC115" s="173" t="s">
        <v>217</v>
      </c>
      <c r="AD115" s="173">
        <v>9</v>
      </c>
      <c r="AE115" s="173">
        <v>0</v>
      </c>
      <c r="AF115" s="173">
        <v>0.01285</v>
      </c>
      <c r="AG115" s="173">
        <v>0</v>
      </c>
      <c r="AH115" s="173">
        <v>0</v>
      </c>
      <c r="AI115" s="173"/>
      <c r="AJ115" s="173">
        <v>0</v>
      </c>
      <c r="AK115" s="1" t="str">
        <f>VLOOKUP(AC:AC,'1店'!$B:$B,1,0)</f>
        <v>Y1073-BG</v>
      </c>
      <c r="AN115" s="1">
        <f t="shared" si="9"/>
        <v>0</v>
      </c>
      <c r="AR115" s="1">
        <f>AQ115*$AS$1</f>
        <v>0</v>
      </c>
      <c r="AT115" s="43" t="s">
        <v>366</v>
      </c>
      <c r="AU115" s="44">
        <v>408</v>
      </c>
      <c r="AV115" s="177"/>
      <c r="AW115" s="43" t="s">
        <v>363</v>
      </c>
      <c r="AX115" s="44">
        <v>50</v>
      </c>
      <c r="AZ115" t="s">
        <v>384</v>
      </c>
      <c r="BA115">
        <v>8.832</v>
      </c>
      <c r="BB115" s="1" t="s">
        <v>455</v>
      </c>
    </row>
    <row r="116" spans="11:54">
      <c r="K116" s="173" t="s">
        <v>223</v>
      </c>
      <c r="L116" s="173">
        <v>1</v>
      </c>
      <c r="M116" s="173">
        <v>0</v>
      </c>
      <c r="N116" s="173">
        <v>0</v>
      </c>
      <c r="O116" s="173">
        <v>0</v>
      </c>
      <c r="P116" s="173">
        <v>0</v>
      </c>
      <c r="Q116" s="173"/>
      <c r="R116" s="173"/>
      <c r="S116" s="1" t="str">
        <f>VLOOKUP(K:K,'1店'!$B:$B,1,0)</f>
        <v>Y1074-BG</v>
      </c>
      <c r="T116" s="173" t="s">
        <v>223</v>
      </c>
      <c r="U116" s="173">
        <v>11</v>
      </c>
      <c r="V116" s="173">
        <v>0</v>
      </c>
      <c r="W116" s="173">
        <v>0.01392</v>
      </c>
      <c r="X116" s="173">
        <v>0</v>
      </c>
      <c r="Y116" s="173">
        <v>0</v>
      </c>
      <c r="Z116" s="173"/>
      <c r="AA116" s="173">
        <v>0</v>
      </c>
      <c r="AB116" s="2" t="str">
        <f>VLOOKUP(T:T,'1店'!$B:$B,1,0)</f>
        <v>Y1074-BG</v>
      </c>
      <c r="AC116" s="173" t="s">
        <v>223</v>
      </c>
      <c r="AD116" s="173">
        <v>20</v>
      </c>
      <c r="AE116" s="173">
        <v>0</v>
      </c>
      <c r="AF116" s="173">
        <v>0.02366</v>
      </c>
      <c r="AG116" s="173">
        <v>0</v>
      </c>
      <c r="AH116" s="173">
        <v>0</v>
      </c>
      <c r="AI116" s="173"/>
      <c r="AJ116" s="173">
        <v>0</v>
      </c>
      <c r="AK116" s="1" t="str">
        <f>VLOOKUP(AC:AC,'1店'!$B:$B,1,0)</f>
        <v>Y1074-BG</v>
      </c>
      <c r="AN116" s="1">
        <f t="shared" si="9"/>
        <v>0</v>
      </c>
      <c r="AR116" s="1">
        <f>AQ116*$AS$1</f>
        <v>0</v>
      </c>
      <c r="AT116" s="43" t="s">
        <v>369</v>
      </c>
      <c r="AU116" s="44">
        <v>552</v>
      </c>
      <c r="AV116" s="177"/>
      <c r="AW116" s="43" t="s">
        <v>366</v>
      </c>
      <c r="AX116" s="44">
        <v>432</v>
      </c>
      <c r="AZ116" s="104" t="s">
        <v>49</v>
      </c>
      <c r="BA116">
        <v>4.926</v>
      </c>
      <c r="BB116" s="1" t="s">
        <v>430</v>
      </c>
    </row>
    <row r="117" spans="11:54">
      <c r="K117" s="173" t="s">
        <v>226</v>
      </c>
      <c r="L117" s="173">
        <v>1</v>
      </c>
      <c r="M117" s="173">
        <v>0</v>
      </c>
      <c r="N117" s="173">
        <v>0.00209</v>
      </c>
      <c r="O117" s="173">
        <v>0</v>
      </c>
      <c r="P117" s="173">
        <v>0</v>
      </c>
      <c r="Q117" s="173"/>
      <c r="R117" s="173">
        <v>0</v>
      </c>
      <c r="S117" s="1" t="str">
        <f>VLOOKUP(K:K,'1店'!$B:$B,1,0)</f>
        <v>Y1074-BL</v>
      </c>
      <c r="T117" s="173" t="s">
        <v>226</v>
      </c>
      <c r="U117" s="173">
        <v>6</v>
      </c>
      <c r="V117" s="173">
        <v>0</v>
      </c>
      <c r="W117" s="173">
        <v>0.01166</v>
      </c>
      <c r="X117" s="173">
        <v>0</v>
      </c>
      <c r="Y117" s="173">
        <v>0</v>
      </c>
      <c r="Z117" s="173"/>
      <c r="AA117" s="173">
        <v>0</v>
      </c>
      <c r="AB117" s="2" t="str">
        <f>VLOOKUP(T:T,'1店'!$B:$B,1,0)</f>
        <v>Y1074-BL</v>
      </c>
      <c r="AC117" s="173" t="s">
        <v>226</v>
      </c>
      <c r="AD117" s="173">
        <v>10</v>
      </c>
      <c r="AE117" s="173">
        <v>0</v>
      </c>
      <c r="AF117" s="173">
        <v>0.01356</v>
      </c>
      <c r="AG117" s="173">
        <v>0</v>
      </c>
      <c r="AH117" s="173">
        <v>0</v>
      </c>
      <c r="AI117" s="173"/>
      <c r="AJ117" s="173">
        <v>0</v>
      </c>
      <c r="AK117" s="1" t="str">
        <f>VLOOKUP(AC:AC,'1店'!$B:$B,1,0)</f>
        <v>Y1074-BL</v>
      </c>
      <c r="AN117" s="1"/>
      <c r="AT117" s="43" t="s">
        <v>372</v>
      </c>
      <c r="AU117" s="44">
        <v>90</v>
      </c>
      <c r="AW117" s="43" t="s">
        <v>369</v>
      </c>
      <c r="AX117" s="44">
        <v>576</v>
      </c>
      <c r="AZ117" s="104" t="s">
        <v>52</v>
      </c>
      <c r="BA117">
        <v>5.946</v>
      </c>
      <c r="BB117" s="1" t="s">
        <v>430</v>
      </c>
    </row>
    <row r="118" spans="11:54">
      <c r="K118" s="173" t="s">
        <v>229</v>
      </c>
      <c r="L118" s="173">
        <v>0</v>
      </c>
      <c r="M118" s="173">
        <v>0</v>
      </c>
      <c r="N118" s="173">
        <v>0</v>
      </c>
      <c r="O118" s="173">
        <v>0</v>
      </c>
      <c r="P118" s="173">
        <v>0</v>
      </c>
      <c r="Q118" s="173"/>
      <c r="R118" s="173"/>
      <c r="S118" s="1" t="str">
        <f>VLOOKUP(K:K,'1店'!$B:$B,1,0)</f>
        <v>Y1074-MG</v>
      </c>
      <c r="T118" s="173" t="s">
        <v>229</v>
      </c>
      <c r="U118" s="173">
        <v>5</v>
      </c>
      <c r="V118" s="173">
        <v>0</v>
      </c>
      <c r="W118" s="173">
        <v>0.00808</v>
      </c>
      <c r="X118" s="173">
        <v>0</v>
      </c>
      <c r="Y118" s="173">
        <v>0</v>
      </c>
      <c r="Z118" s="173"/>
      <c r="AA118" s="173">
        <v>0</v>
      </c>
      <c r="AB118" s="2" t="str">
        <f>VLOOKUP(T:T,'1店'!$B:$B,1,0)</f>
        <v>Y1074-MG</v>
      </c>
      <c r="AC118" s="173" t="s">
        <v>229</v>
      </c>
      <c r="AD118" s="173">
        <v>9</v>
      </c>
      <c r="AE118" s="173">
        <v>0</v>
      </c>
      <c r="AF118" s="173">
        <v>0.01512</v>
      </c>
      <c r="AG118" s="173">
        <v>0</v>
      </c>
      <c r="AH118" s="173">
        <v>0</v>
      </c>
      <c r="AI118" s="173"/>
      <c r="AJ118" s="173">
        <v>0</v>
      </c>
      <c r="AK118" s="1" t="str">
        <f>VLOOKUP(AC:AC,'1店'!$B:$B,1,0)</f>
        <v>Y1074-MG</v>
      </c>
      <c r="AN118" s="1"/>
      <c r="AT118" s="43" t="s">
        <v>375</v>
      </c>
      <c r="AU118" s="44">
        <v>455</v>
      </c>
      <c r="AW118" s="43" t="s">
        <v>372</v>
      </c>
      <c r="AX118" s="44">
        <v>90</v>
      </c>
      <c r="AZ118" s="104" t="s">
        <v>55</v>
      </c>
      <c r="BA118">
        <v>4.05</v>
      </c>
      <c r="BB118" s="1" t="s">
        <v>430</v>
      </c>
    </row>
    <row r="119" spans="11:54">
      <c r="K119" s="173" t="s">
        <v>443</v>
      </c>
      <c r="L119" s="173">
        <v>2</v>
      </c>
      <c r="M119" s="173">
        <v>0</v>
      </c>
      <c r="N119" s="173">
        <v>0.00266</v>
      </c>
      <c r="O119" s="173">
        <v>0</v>
      </c>
      <c r="P119" s="173">
        <v>0</v>
      </c>
      <c r="Q119" s="173"/>
      <c r="R119" s="173">
        <v>0</v>
      </c>
      <c r="S119" s="1" t="e">
        <f>VLOOKUP(K:K,'1店'!$B:$B,1,0)</f>
        <v>#N/A</v>
      </c>
      <c r="T119" s="173" t="s">
        <v>443</v>
      </c>
      <c r="U119" s="173">
        <v>13</v>
      </c>
      <c r="V119" s="173">
        <v>0</v>
      </c>
      <c r="W119" s="173">
        <v>0.02395</v>
      </c>
      <c r="X119" s="173">
        <v>0</v>
      </c>
      <c r="Y119" s="173">
        <v>0</v>
      </c>
      <c r="Z119" s="173"/>
      <c r="AA119" s="173">
        <v>0</v>
      </c>
      <c r="AB119" s="2" t="e">
        <f>VLOOKUP(T:T,'1店'!$B:$B,1,0)</f>
        <v>#N/A</v>
      </c>
      <c r="AC119" s="173" t="s">
        <v>443</v>
      </c>
      <c r="AD119" s="173">
        <v>46</v>
      </c>
      <c r="AE119" s="173">
        <v>0</v>
      </c>
      <c r="AF119" s="173">
        <v>0.04855</v>
      </c>
      <c r="AG119" s="173">
        <v>0</v>
      </c>
      <c r="AH119" s="173">
        <v>0</v>
      </c>
      <c r="AI119" s="173"/>
      <c r="AJ119" s="173">
        <v>0</v>
      </c>
      <c r="AK119" s="1" t="e">
        <f>VLOOKUP(AC:AC,'1店'!$B:$B,1,0)</f>
        <v>#N/A</v>
      </c>
      <c r="AN119" s="1"/>
      <c r="AT119" s="43" t="s">
        <v>378</v>
      </c>
      <c r="AU119" s="44">
        <v>533</v>
      </c>
      <c r="AW119" s="43" t="s">
        <v>375</v>
      </c>
      <c r="AX119" s="44">
        <v>546</v>
      </c>
      <c r="AZ119" s="104" t="s">
        <v>58</v>
      </c>
      <c r="BA119">
        <v>4.773</v>
      </c>
      <c r="BB119" s="1" t="s">
        <v>430</v>
      </c>
    </row>
    <row r="120" spans="11:54">
      <c r="K120" s="173" t="s">
        <v>446</v>
      </c>
      <c r="L120" s="173">
        <v>2</v>
      </c>
      <c r="M120" s="173">
        <v>0</v>
      </c>
      <c r="N120" s="173">
        <v>0.00152</v>
      </c>
      <c r="O120" s="173">
        <v>0</v>
      </c>
      <c r="P120" s="173">
        <v>0</v>
      </c>
      <c r="Q120" s="173"/>
      <c r="R120" s="173">
        <v>0</v>
      </c>
      <c r="S120" s="1" t="e">
        <f>VLOOKUP(K:K,'1店'!$B:$B,1,0)</f>
        <v>#N/A</v>
      </c>
      <c r="T120" s="173" t="s">
        <v>446</v>
      </c>
      <c r="U120" s="173">
        <v>18</v>
      </c>
      <c r="V120" s="173">
        <v>0</v>
      </c>
      <c r="W120" s="173">
        <v>0.02552</v>
      </c>
      <c r="X120" s="173">
        <v>0</v>
      </c>
      <c r="Y120" s="173">
        <v>0</v>
      </c>
      <c r="Z120" s="173"/>
      <c r="AA120" s="173">
        <v>0</v>
      </c>
      <c r="AB120" s="2" t="e">
        <f>VLOOKUP(T:T,'1店'!$B:$B,1,0)</f>
        <v>#N/A</v>
      </c>
      <c r="AC120" s="173" t="s">
        <v>446</v>
      </c>
      <c r="AD120" s="173">
        <v>54</v>
      </c>
      <c r="AE120" s="173">
        <v>0</v>
      </c>
      <c r="AF120" s="173">
        <v>0.04961</v>
      </c>
      <c r="AG120" s="173">
        <v>9.99</v>
      </c>
      <c r="AH120" s="173">
        <v>1</v>
      </c>
      <c r="AI120" s="173">
        <v>0.00496596596596597</v>
      </c>
      <c r="AJ120" s="173">
        <v>201.370691392864</v>
      </c>
      <c r="AK120" s="1" t="e">
        <f>VLOOKUP(AC:AC,'1店'!$B:$B,1,0)</f>
        <v>#N/A</v>
      </c>
      <c r="AN120" s="1"/>
      <c r="AT120" s="43" t="s">
        <v>381</v>
      </c>
      <c r="AU120" s="44">
        <v>247</v>
      </c>
      <c r="AW120" s="43" t="s">
        <v>378</v>
      </c>
      <c r="AX120" s="44">
        <v>559</v>
      </c>
      <c r="AZ120" s="104" t="s">
        <v>61</v>
      </c>
      <c r="BA120">
        <v>4.262</v>
      </c>
      <c r="BB120" s="1" t="s">
        <v>430</v>
      </c>
    </row>
    <row r="121" spans="11:54">
      <c r="K121" s="173" t="s">
        <v>235</v>
      </c>
      <c r="L121" s="173">
        <v>0</v>
      </c>
      <c r="M121" s="173">
        <v>0</v>
      </c>
      <c r="N121" s="173">
        <v>0</v>
      </c>
      <c r="O121" s="173">
        <v>0</v>
      </c>
      <c r="P121" s="173">
        <v>0</v>
      </c>
      <c r="Q121" s="173"/>
      <c r="R121" s="173"/>
      <c r="S121" s="1" t="str">
        <f>VLOOKUP(K:K,'1店'!$B:$B,1,0)</f>
        <v>Y1075-MG</v>
      </c>
      <c r="T121" s="173" t="s">
        <v>235</v>
      </c>
      <c r="U121" s="173">
        <v>16</v>
      </c>
      <c r="V121" s="173">
        <v>0</v>
      </c>
      <c r="W121" s="173">
        <v>0.02056</v>
      </c>
      <c r="X121" s="173">
        <v>0</v>
      </c>
      <c r="Y121" s="173">
        <v>0</v>
      </c>
      <c r="Z121" s="173"/>
      <c r="AA121" s="173">
        <v>0</v>
      </c>
      <c r="AB121" s="2" t="str">
        <f>VLOOKUP(T:T,'1店'!$B:$B,1,0)</f>
        <v>Y1075-MG</v>
      </c>
      <c r="AC121" s="173" t="s">
        <v>235</v>
      </c>
      <c r="AD121" s="173">
        <v>34</v>
      </c>
      <c r="AE121" s="173">
        <v>0</v>
      </c>
      <c r="AF121" s="173">
        <v>0.03766</v>
      </c>
      <c r="AG121" s="173">
        <v>0</v>
      </c>
      <c r="AH121" s="173">
        <v>0</v>
      </c>
      <c r="AI121" s="173"/>
      <c r="AJ121" s="173">
        <v>0</v>
      </c>
      <c r="AK121" s="1" t="str">
        <f>VLOOKUP(AC:AC,'1店'!$B:$B,1,0)</f>
        <v>Y1075-MG</v>
      </c>
      <c r="AN121" s="1"/>
      <c r="AT121" s="43" t="s">
        <v>384</v>
      </c>
      <c r="AU121" s="44">
        <v>369.264</v>
      </c>
      <c r="AW121" s="43" t="s">
        <v>381</v>
      </c>
      <c r="AX121" s="44">
        <v>390</v>
      </c>
      <c r="AZ121" s="104" t="s">
        <v>64</v>
      </c>
      <c r="BA121">
        <v>4.364</v>
      </c>
      <c r="BB121" s="1" t="s">
        <v>430</v>
      </c>
    </row>
    <row r="122" spans="11:54">
      <c r="K122" s="173" t="s">
        <v>238</v>
      </c>
      <c r="L122" s="173">
        <v>1</v>
      </c>
      <c r="M122" s="173">
        <v>0</v>
      </c>
      <c r="N122" s="173">
        <v>0</v>
      </c>
      <c r="O122" s="173">
        <v>0</v>
      </c>
      <c r="P122" s="173">
        <v>0</v>
      </c>
      <c r="Q122" s="173"/>
      <c r="R122" s="173"/>
      <c r="S122" s="1" t="str">
        <f>VLOOKUP(K:K,'1店'!$B:$B,1,0)</f>
        <v>Y1075-RE</v>
      </c>
      <c r="T122" s="173" t="s">
        <v>238</v>
      </c>
      <c r="U122" s="173">
        <v>8</v>
      </c>
      <c r="V122" s="173">
        <v>0</v>
      </c>
      <c r="W122" s="173">
        <v>0.00745</v>
      </c>
      <c r="X122" s="173">
        <v>0</v>
      </c>
      <c r="Y122" s="173">
        <v>0</v>
      </c>
      <c r="Z122" s="173"/>
      <c r="AA122" s="173">
        <v>0</v>
      </c>
      <c r="AB122" s="2" t="str">
        <f>VLOOKUP(T:T,'1店'!$B:$B,1,0)</f>
        <v>Y1075-RE</v>
      </c>
      <c r="AC122" s="173" t="s">
        <v>238</v>
      </c>
      <c r="AD122" s="173">
        <v>35</v>
      </c>
      <c r="AE122" s="173">
        <v>0</v>
      </c>
      <c r="AF122" s="173">
        <v>0.02997</v>
      </c>
      <c r="AG122" s="173">
        <v>0</v>
      </c>
      <c r="AH122" s="173">
        <v>0</v>
      </c>
      <c r="AI122" s="173"/>
      <c r="AJ122" s="173">
        <v>0</v>
      </c>
      <c r="AK122" s="1" t="str">
        <f>VLOOKUP(AC:AC,'1店'!$B:$B,1,0)</f>
        <v>Y1075-RE</v>
      </c>
      <c r="AN122" s="1"/>
      <c r="AT122" s="43" t="s">
        <v>387</v>
      </c>
      <c r="AU122" s="44">
        <v>303.324</v>
      </c>
      <c r="AW122" s="43" t="s">
        <v>384</v>
      </c>
      <c r="AX122" s="44">
        <v>369.264</v>
      </c>
      <c r="AZ122" s="104" t="s">
        <v>456</v>
      </c>
      <c r="BA122">
        <v>3.728</v>
      </c>
      <c r="BB122" s="1" t="s">
        <v>430</v>
      </c>
    </row>
    <row r="123" spans="11:54">
      <c r="K123" s="173" t="s">
        <v>244</v>
      </c>
      <c r="L123" s="173">
        <v>17</v>
      </c>
      <c r="M123" s="173">
        <v>0</v>
      </c>
      <c r="N123" s="173">
        <v>0.01678</v>
      </c>
      <c r="O123" s="173">
        <v>0</v>
      </c>
      <c r="P123" s="173">
        <v>0</v>
      </c>
      <c r="Q123" s="173"/>
      <c r="R123" s="173">
        <v>0</v>
      </c>
      <c r="S123" s="1" t="str">
        <f>VLOOKUP(K:K,'1店'!$B:$B,1,0)</f>
        <v>Y1076-BG</v>
      </c>
      <c r="T123" s="173" t="s">
        <v>244</v>
      </c>
      <c r="U123" s="173">
        <v>27</v>
      </c>
      <c r="V123" s="173">
        <v>0</v>
      </c>
      <c r="W123" s="173">
        <v>0.02847</v>
      </c>
      <c r="X123" s="173">
        <v>0</v>
      </c>
      <c r="Y123" s="173">
        <v>0</v>
      </c>
      <c r="Z123" s="173"/>
      <c r="AA123" s="173">
        <v>0</v>
      </c>
      <c r="AB123" s="2" t="str">
        <f>VLOOKUP(T:T,'1店'!$B:$B,1,0)</f>
        <v>Y1076-BG</v>
      </c>
      <c r="AC123" s="173" t="s">
        <v>244</v>
      </c>
      <c r="AD123" s="173">
        <v>38</v>
      </c>
      <c r="AE123" s="173">
        <v>0</v>
      </c>
      <c r="AF123" s="173">
        <v>0.04165</v>
      </c>
      <c r="AG123" s="173">
        <v>0</v>
      </c>
      <c r="AH123" s="173">
        <v>0</v>
      </c>
      <c r="AI123" s="173"/>
      <c r="AJ123" s="173">
        <v>0</v>
      </c>
      <c r="AK123" s="1" t="str">
        <f>VLOOKUP(AC:AC,'1店'!$B:$B,1,0)</f>
        <v>Y1076-BG</v>
      </c>
      <c r="AN123" s="1"/>
      <c r="AT123" s="43" t="s">
        <v>390</v>
      </c>
      <c r="AU123" s="44">
        <v>1400</v>
      </c>
      <c r="AW123" s="43" t="s">
        <v>387</v>
      </c>
      <c r="AX123" s="44">
        <v>329.7</v>
      </c>
      <c r="AZ123" s="104" t="s">
        <v>67</v>
      </c>
      <c r="BA123">
        <v>3.728</v>
      </c>
      <c r="BB123" s="1" t="s">
        <v>430</v>
      </c>
    </row>
    <row r="124" spans="11:54">
      <c r="K124" s="173" t="s">
        <v>247</v>
      </c>
      <c r="L124" s="173">
        <v>28</v>
      </c>
      <c r="M124" s="173">
        <v>0</v>
      </c>
      <c r="N124" s="173">
        <v>0.03558</v>
      </c>
      <c r="O124" s="173">
        <v>0</v>
      </c>
      <c r="P124" s="173">
        <v>0</v>
      </c>
      <c r="Q124" s="173"/>
      <c r="R124" s="173">
        <v>0</v>
      </c>
      <c r="S124" s="1" t="str">
        <f>VLOOKUP(K:K,'1店'!$B:$B,1,0)</f>
        <v>Y1076-BL</v>
      </c>
      <c r="T124" s="173" t="s">
        <v>247</v>
      </c>
      <c r="U124" s="173">
        <v>37</v>
      </c>
      <c r="V124" s="173">
        <v>1</v>
      </c>
      <c r="W124" s="173">
        <v>0.04429</v>
      </c>
      <c r="X124" s="173">
        <v>0</v>
      </c>
      <c r="Y124" s="173">
        <v>0</v>
      </c>
      <c r="Z124" s="173"/>
      <c r="AA124" s="173">
        <v>0</v>
      </c>
      <c r="AB124" s="2" t="str">
        <f>VLOOKUP(T:T,'1店'!$B:$B,1,0)</f>
        <v>Y1076-BL</v>
      </c>
      <c r="AC124" s="173" t="s">
        <v>247</v>
      </c>
      <c r="AD124" s="173">
        <v>48</v>
      </c>
      <c r="AE124" s="173">
        <v>1</v>
      </c>
      <c r="AF124" s="173">
        <v>0.05039</v>
      </c>
      <c r="AG124" s="173">
        <v>0</v>
      </c>
      <c r="AH124" s="173">
        <v>0</v>
      </c>
      <c r="AI124" s="173"/>
      <c r="AJ124" s="173">
        <v>0</v>
      </c>
      <c r="AK124" s="1" t="str">
        <f>VLOOKUP(AC:AC,'1店'!$B:$B,1,0)</f>
        <v>Y1076-BL</v>
      </c>
      <c r="AN124" s="1"/>
      <c r="AT124" s="43" t="s">
        <v>393</v>
      </c>
      <c r="AU124" s="44">
        <v>81.7</v>
      </c>
      <c r="AW124" s="43" t="s">
        <v>390</v>
      </c>
      <c r="AX124" s="44">
        <v>2310</v>
      </c>
      <c r="AZ124" s="104" t="s">
        <v>70</v>
      </c>
      <c r="BA124">
        <v>4.12</v>
      </c>
      <c r="BB124" s="1" t="s">
        <v>430</v>
      </c>
    </row>
    <row r="125" spans="11:54">
      <c r="K125" s="173" t="s">
        <v>444</v>
      </c>
      <c r="L125" s="173">
        <v>10</v>
      </c>
      <c r="M125" s="173">
        <v>0</v>
      </c>
      <c r="N125" s="173">
        <v>0.01226</v>
      </c>
      <c r="O125" s="173">
        <v>0</v>
      </c>
      <c r="P125" s="173">
        <v>0</v>
      </c>
      <c r="Q125" s="173"/>
      <c r="R125" s="173">
        <v>0</v>
      </c>
      <c r="S125" s="1" t="e">
        <f>VLOOKUP(K:K,'1店'!$B:$B,1,0)</f>
        <v>#N/A</v>
      </c>
      <c r="T125" s="173" t="s">
        <v>444</v>
      </c>
      <c r="U125" s="173">
        <v>16</v>
      </c>
      <c r="V125" s="173">
        <v>0</v>
      </c>
      <c r="W125" s="173">
        <v>0.02157</v>
      </c>
      <c r="X125" s="173">
        <v>0</v>
      </c>
      <c r="Y125" s="173">
        <v>0</v>
      </c>
      <c r="Z125" s="173"/>
      <c r="AA125" s="173">
        <v>0</v>
      </c>
      <c r="AB125" s="2" t="e">
        <f>VLOOKUP(T:T,'1店'!$B:$B,1,0)</f>
        <v>#N/A</v>
      </c>
      <c r="AC125" s="173" t="s">
        <v>444</v>
      </c>
      <c r="AD125" s="173">
        <v>18</v>
      </c>
      <c r="AE125" s="173">
        <v>0</v>
      </c>
      <c r="AF125" s="173">
        <v>0.02577</v>
      </c>
      <c r="AG125" s="173">
        <v>0</v>
      </c>
      <c r="AH125" s="173">
        <v>0</v>
      </c>
      <c r="AI125" s="173"/>
      <c r="AJ125" s="173">
        <v>0</v>
      </c>
      <c r="AK125" s="1" t="e">
        <f>VLOOKUP(AC:AC,'1店'!$B:$B,1,0)</f>
        <v>#N/A</v>
      </c>
      <c r="AN125" s="1"/>
      <c r="AT125" s="43" t="s">
        <v>395</v>
      </c>
      <c r="AU125" s="44">
        <v>515.58</v>
      </c>
      <c r="AW125" s="43" t="s">
        <v>393</v>
      </c>
      <c r="AX125" s="44">
        <v>55.9</v>
      </c>
      <c r="AZ125" s="104" t="s">
        <v>73</v>
      </c>
      <c r="BA125">
        <v>4.975</v>
      </c>
      <c r="BB125" s="1" t="s">
        <v>430</v>
      </c>
    </row>
    <row r="126" spans="11:54">
      <c r="K126" s="173" t="s">
        <v>250</v>
      </c>
      <c r="L126" s="173">
        <v>21</v>
      </c>
      <c r="M126" s="173">
        <v>0</v>
      </c>
      <c r="N126" s="173">
        <v>0.01604</v>
      </c>
      <c r="O126" s="173">
        <v>0</v>
      </c>
      <c r="P126" s="173">
        <v>0</v>
      </c>
      <c r="Q126" s="173"/>
      <c r="R126" s="173">
        <v>0</v>
      </c>
      <c r="S126" s="1" t="str">
        <f>VLOOKUP(K:K,'1店'!$B:$B,1,0)</f>
        <v>Y1076-RE</v>
      </c>
      <c r="T126" s="173" t="s">
        <v>250</v>
      </c>
      <c r="U126" s="173">
        <v>29</v>
      </c>
      <c r="V126" s="173">
        <v>0</v>
      </c>
      <c r="W126" s="173">
        <v>0.02318</v>
      </c>
      <c r="X126" s="173">
        <v>0</v>
      </c>
      <c r="Y126" s="173">
        <v>0</v>
      </c>
      <c r="Z126" s="173"/>
      <c r="AA126" s="173">
        <v>0</v>
      </c>
      <c r="AB126" s="2" t="str">
        <f>VLOOKUP(T:T,'1店'!$B:$B,1,0)</f>
        <v>Y1076-RE</v>
      </c>
      <c r="AC126" s="173" t="s">
        <v>250</v>
      </c>
      <c r="AD126" s="173">
        <v>37</v>
      </c>
      <c r="AE126" s="173">
        <v>0</v>
      </c>
      <c r="AF126" s="173">
        <v>0.03639</v>
      </c>
      <c r="AG126" s="173">
        <v>0</v>
      </c>
      <c r="AH126" s="173">
        <v>0</v>
      </c>
      <c r="AI126" s="173"/>
      <c r="AJ126" s="173">
        <v>0</v>
      </c>
      <c r="AK126" s="1" t="str">
        <f>VLOOKUP(AC:AC,'1店'!$B:$B,1,0)</f>
        <v>Y1076-RE</v>
      </c>
      <c r="AN126" s="1"/>
      <c r="AT126" s="43" t="s">
        <v>397</v>
      </c>
      <c r="AU126" s="44">
        <v>1309.392</v>
      </c>
      <c r="AW126" s="43" t="s">
        <v>395</v>
      </c>
      <c r="AX126" s="44">
        <v>251.18</v>
      </c>
      <c r="AZ126" s="104" t="s">
        <v>76</v>
      </c>
      <c r="BA126">
        <v>4.491</v>
      </c>
      <c r="BB126" s="1" t="s">
        <v>430</v>
      </c>
    </row>
    <row r="127" spans="11:54">
      <c r="K127" s="173" t="s">
        <v>445</v>
      </c>
      <c r="L127" s="173">
        <v>34</v>
      </c>
      <c r="M127" s="173">
        <v>0</v>
      </c>
      <c r="N127" s="173">
        <v>0.02104</v>
      </c>
      <c r="O127" s="173">
        <v>17.98</v>
      </c>
      <c r="P127" s="173">
        <v>2</v>
      </c>
      <c r="Q127" s="173">
        <v>0.00117018909899889</v>
      </c>
      <c r="R127" s="173">
        <v>854.562737642586</v>
      </c>
      <c r="S127" s="1" t="e">
        <f>VLOOKUP(K:K,'1店'!$B:$B,1,0)</f>
        <v>#N/A</v>
      </c>
      <c r="T127" s="173" t="s">
        <v>445</v>
      </c>
      <c r="U127" s="173">
        <v>45</v>
      </c>
      <c r="V127" s="173">
        <v>0</v>
      </c>
      <c r="W127" s="173">
        <v>0.03682</v>
      </c>
      <c r="X127" s="173">
        <v>17.98</v>
      </c>
      <c r="Y127" s="173">
        <v>2</v>
      </c>
      <c r="Z127" s="173">
        <v>0.00204783092324805</v>
      </c>
      <c r="AA127" s="173">
        <v>488.321564367192</v>
      </c>
      <c r="AB127" s="2" t="e">
        <f>VLOOKUP(T:T,'1店'!$B:$B,1,0)</f>
        <v>#N/A</v>
      </c>
      <c r="AC127" s="173" t="s">
        <v>445</v>
      </c>
      <c r="AD127" s="173">
        <v>53</v>
      </c>
      <c r="AE127" s="173">
        <v>0</v>
      </c>
      <c r="AF127" s="173">
        <v>0.04902</v>
      </c>
      <c r="AG127" s="173">
        <v>17.98</v>
      </c>
      <c r="AH127" s="173">
        <v>2</v>
      </c>
      <c r="AI127" s="173">
        <v>0.00272636262513904</v>
      </c>
      <c r="AJ127" s="173">
        <v>366.789065687474</v>
      </c>
      <c r="AK127" s="1" t="e">
        <f>VLOOKUP(AC:AC,'1店'!$B:$B,1,0)</f>
        <v>#N/A</v>
      </c>
      <c r="AN127" s="1"/>
      <c r="AT127" s="43" t="s">
        <v>399</v>
      </c>
      <c r="AU127" s="44">
        <v>352.107</v>
      </c>
      <c r="AW127" s="43" t="s">
        <v>397</v>
      </c>
      <c r="AX127" s="44">
        <v>518.301</v>
      </c>
      <c r="AZ127" s="104" t="s">
        <v>79</v>
      </c>
      <c r="BA127">
        <v>6</v>
      </c>
      <c r="BB127" s="1" t="s">
        <v>430</v>
      </c>
    </row>
    <row r="128" spans="11:54">
      <c r="K128" s="173" t="s">
        <v>253</v>
      </c>
      <c r="L128" s="173">
        <v>0</v>
      </c>
      <c r="M128" s="173">
        <v>0</v>
      </c>
      <c r="N128" s="173">
        <v>0</v>
      </c>
      <c r="O128" s="173">
        <v>0</v>
      </c>
      <c r="P128" s="173">
        <v>0</v>
      </c>
      <c r="Q128" s="173"/>
      <c r="R128" s="173"/>
      <c r="S128" s="1" t="str">
        <f>VLOOKUP(K:K,'1店'!$B:$B,1,0)</f>
        <v>Y1078-BL</v>
      </c>
      <c r="T128" s="173" t="s">
        <v>253</v>
      </c>
      <c r="U128" s="173">
        <v>8</v>
      </c>
      <c r="V128" s="173">
        <v>0</v>
      </c>
      <c r="W128" s="173">
        <v>0.00898</v>
      </c>
      <c r="X128" s="173">
        <v>0</v>
      </c>
      <c r="Y128" s="173">
        <v>0</v>
      </c>
      <c r="Z128" s="173"/>
      <c r="AA128" s="173">
        <v>0</v>
      </c>
      <c r="AB128" s="2" t="str">
        <f>VLOOKUP(T:T,'1店'!$B:$B,1,0)</f>
        <v>Y1078-BL</v>
      </c>
      <c r="AC128" s="173" t="s">
        <v>253</v>
      </c>
      <c r="AD128" s="173">
        <v>20</v>
      </c>
      <c r="AE128" s="173">
        <v>0</v>
      </c>
      <c r="AF128" s="173">
        <v>0.0244</v>
      </c>
      <c r="AG128" s="173">
        <v>0</v>
      </c>
      <c r="AH128" s="173">
        <v>0</v>
      </c>
      <c r="AI128" s="173"/>
      <c r="AJ128" s="173">
        <v>0</v>
      </c>
      <c r="AK128" s="1" t="str">
        <f>VLOOKUP(AC:AC,'1店'!$B:$B,1,0)</f>
        <v>Y1078-BL</v>
      </c>
      <c r="AN128" s="1"/>
      <c r="AT128" s="43" t="s">
        <v>402</v>
      </c>
      <c r="AU128" s="44">
        <v>503.01</v>
      </c>
      <c r="AW128" s="43" t="s">
        <v>399</v>
      </c>
      <c r="AX128" s="44">
        <v>553.311</v>
      </c>
      <c r="AZ128" s="104" t="s">
        <v>82</v>
      </c>
      <c r="BA128">
        <v>4.116</v>
      </c>
      <c r="BB128" s="1" t="s">
        <v>430</v>
      </c>
    </row>
    <row r="129" spans="11:54">
      <c r="K129" s="173" t="s">
        <v>256</v>
      </c>
      <c r="L129" s="173">
        <v>1</v>
      </c>
      <c r="M129" s="173">
        <v>0</v>
      </c>
      <c r="N129" s="173">
        <v>0</v>
      </c>
      <c r="O129" s="173">
        <v>0</v>
      </c>
      <c r="P129" s="173">
        <v>0</v>
      </c>
      <c r="Q129" s="173"/>
      <c r="R129" s="173"/>
      <c r="S129" s="1" t="str">
        <f>VLOOKUP(K:K,'1店'!$B:$B,1,0)</f>
        <v>Y1078-GRA</v>
      </c>
      <c r="T129" s="173" t="s">
        <v>256</v>
      </c>
      <c r="U129" s="173">
        <v>13</v>
      </c>
      <c r="V129" s="173">
        <v>0</v>
      </c>
      <c r="W129" s="173">
        <v>0.00614</v>
      </c>
      <c r="X129" s="173">
        <v>0</v>
      </c>
      <c r="Y129" s="173">
        <v>0</v>
      </c>
      <c r="Z129" s="173"/>
      <c r="AA129" s="173">
        <v>0</v>
      </c>
      <c r="AB129" s="2" t="str">
        <f>VLOOKUP(T:T,'1店'!$B:$B,1,0)</f>
        <v>Y1078-GRA</v>
      </c>
      <c r="AC129" s="173" t="s">
        <v>256</v>
      </c>
      <c r="AD129" s="173">
        <v>24</v>
      </c>
      <c r="AE129" s="173">
        <v>0</v>
      </c>
      <c r="AF129" s="173">
        <v>0.0135</v>
      </c>
      <c r="AG129" s="173">
        <v>0</v>
      </c>
      <c r="AH129" s="173">
        <v>0</v>
      </c>
      <c r="AI129" s="173"/>
      <c r="AJ129" s="173">
        <v>0</v>
      </c>
      <c r="AK129" s="1" t="str">
        <f>VLOOKUP(AC:AC,'1店'!$B:$B,1,0)</f>
        <v>Y1078-GRA</v>
      </c>
      <c r="AN129" s="1"/>
      <c r="AT129" s="43" t="s">
        <v>405</v>
      </c>
      <c r="AU129" s="44">
        <v>896</v>
      </c>
      <c r="AW129" s="43" t="s">
        <v>402</v>
      </c>
      <c r="AX129" s="44">
        <v>553.311</v>
      </c>
      <c r="AZ129" s="104" t="s">
        <v>85</v>
      </c>
      <c r="BA129">
        <v>5.065</v>
      </c>
      <c r="BB129" s="1" t="s">
        <v>430</v>
      </c>
    </row>
    <row r="130" spans="11:54">
      <c r="K130" s="173" t="s">
        <v>262</v>
      </c>
      <c r="L130" s="173">
        <v>0</v>
      </c>
      <c r="M130" s="173">
        <v>0</v>
      </c>
      <c r="N130" s="173">
        <v>0</v>
      </c>
      <c r="O130" s="173">
        <v>0</v>
      </c>
      <c r="P130" s="173">
        <v>0</v>
      </c>
      <c r="Q130" s="173"/>
      <c r="R130" s="173"/>
      <c r="S130" s="1" t="str">
        <f>VLOOKUP(K:K,'1店'!$B:$B,1,0)</f>
        <v>Y1079-BL</v>
      </c>
      <c r="T130" s="173" t="s">
        <v>262</v>
      </c>
      <c r="U130" s="173">
        <v>5</v>
      </c>
      <c r="V130" s="173">
        <v>0</v>
      </c>
      <c r="W130" s="173">
        <v>0.00486</v>
      </c>
      <c r="X130" s="173">
        <v>0</v>
      </c>
      <c r="Y130" s="173">
        <v>0</v>
      </c>
      <c r="Z130" s="173"/>
      <c r="AA130" s="173">
        <v>0</v>
      </c>
      <c r="AB130" s="2" t="str">
        <f>VLOOKUP(T:T,'1店'!$B:$B,1,0)</f>
        <v>Y1079-BL</v>
      </c>
      <c r="AC130" s="173" t="s">
        <v>262</v>
      </c>
      <c r="AD130" s="173">
        <v>14</v>
      </c>
      <c r="AE130" s="173">
        <v>0</v>
      </c>
      <c r="AF130" s="173">
        <v>0.01265</v>
      </c>
      <c r="AG130" s="173">
        <v>0</v>
      </c>
      <c r="AH130" s="173">
        <v>0</v>
      </c>
      <c r="AI130" s="173"/>
      <c r="AJ130" s="173">
        <v>0</v>
      </c>
      <c r="AK130" s="1" t="str">
        <f>VLOOKUP(AC:AC,'1店'!$B:$B,1,0)</f>
        <v>Y1079-BL</v>
      </c>
      <c r="AN130" s="1"/>
      <c r="AZ130" s="104" t="s">
        <v>88</v>
      </c>
      <c r="BA130">
        <v>4.099</v>
      </c>
      <c r="BB130" s="1" t="s">
        <v>430</v>
      </c>
    </row>
    <row r="131" spans="11:54">
      <c r="K131" s="173" t="s">
        <v>434</v>
      </c>
      <c r="L131" s="173">
        <v>0</v>
      </c>
      <c r="M131" s="173">
        <v>0</v>
      </c>
      <c r="N131" s="173">
        <v>0</v>
      </c>
      <c r="O131" s="173">
        <v>0</v>
      </c>
      <c r="P131" s="173">
        <v>0</v>
      </c>
      <c r="Q131" s="173"/>
      <c r="R131" s="173"/>
      <c r="S131" s="1" t="e">
        <f>VLOOKUP(K:K,'1店'!$B:$B,1,0)</f>
        <v>#N/A</v>
      </c>
      <c r="T131" s="173" t="s">
        <v>434</v>
      </c>
      <c r="U131" s="173">
        <v>6</v>
      </c>
      <c r="V131" s="173">
        <v>0</v>
      </c>
      <c r="W131" s="173">
        <v>0.00346</v>
      </c>
      <c r="X131" s="173">
        <v>0</v>
      </c>
      <c r="Y131" s="173">
        <v>0</v>
      </c>
      <c r="Z131" s="173"/>
      <c r="AA131" s="173">
        <v>0</v>
      </c>
      <c r="AB131" s="2" t="e">
        <f>VLOOKUP(T:T,'1店'!$B:$B,1,0)</f>
        <v>#N/A</v>
      </c>
      <c r="AC131" s="173" t="s">
        <v>434</v>
      </c>
      <c r="AD131" s="173">
        <v>24</v>
      </c>
      <c r="AE131" s="173">
        <v>0</v>
      </c>
      <c r="AF131" s="173">
        <v>0.02143</v>
      </c>
      <c r="AG131" s="173">
        <v>9.99</v>
      </c>
      <c r="AH131" s="173">
        <v>1</v>
      </c>
      <c r="AI131" s="173">
        <v>0.00214514514514514</v>
      </c>
      <c r="AJ131" s="173">
        <v>466.168922071862</v>
      </c>
      <c r="AK131" s="1" t="e">
        <f>VLOOKUP(AC:AC,'1店'!$B:$B,1,0)</f>
        <v>#N/A</v>
      </c>
      <c r="AN131" s="1"/>
      <c r="AZ131" s="104" t="s">
        <v>91</v>
      </c>
      <c r="BA131">
        <v>3.865</v>
      </c>
      <c r="BB131" s="1" t="s">
        <v>430</v>
      </c>
    </row>
    <row r="132" spans="11:54">
      <c r="K132" s="173" t="s">
        <v>265</v>
      </c>
      <c r="L132" s="173">
        <v>0</v>
      </c>
      <c r="M132" s="173">
        <v>0</v>
      </c>
      <c r="N132" s="173">
        <v>0</v>
      </c>
      <c r="O132" s="173">
        <v>0</v>
      </c>
      <c r="P132" s="173">
        <v>0</v>
      </c>
      <c r="Q132" s="173"/>
      <c r="R132" s="173"/>
      <c r="S132" s="1" t="str">
        <f>VLOOKUP(K:K,'1店'!$B:$B,1,0)</f>
        <v>Y1080-BU</v>
      </c>
      <c r="T132" s="173" t="s">
        <v>265</v>
      </c>
      <c r="U132" s="173">
        <v>0</v>
      </c>
      <c r="V132" s="173">
        <v>0</v>
      </c>
      <c r="W132" s="173">
        <v>0</v>
      </c>
      <c r="X132" s="173">
        <v>0</v>
      </c>
      <c r="Y132" s="173">
        <v>0</v>
      </c>
      <c r="Z132" s="173"/>
      <c r="AA132" s="173"/>
      <c r="AB132" s="2" t="str">
        <f>VLOOKUP(T:T,'1店'!$B:$B,1,0)</f>
        <v>Y1080-BU</v>
      </c>
      <c r="AC132" s="173" t="s">
        <v>265</v>
      </c>
      <c r="AD132" s="173">
        <v>1</v>
      </c>
      <c r="AE132" s="173">
        <v>0</v>
      </c>
      <c r="AF132" s="173">
        <v>0.00169</v>
      </c>
      <c r="AG132" s="173">
        <v>0</v>
      </c>
      <c r="AH132" s="173">
        <v>0</v>
      </c>
      <c r="AI132" s="173"/>
      <c r="AJ132" s="173">
        <v>0</v>
      </c>
      <c r="AK132" s="1" t="str">
        <f>VLOOKUP(AC:AC,'1店'!$B:$B,1,0)</f>
        <v>Y1080-BU</v>
      </c>
      <c r="AN132" s="1"/>
      <c r="AZ132" s="104" t="s">
        <v>94</v>
      </c>
      <c r="BA132">
        <v>6</v>
      </c>
      <c r="BB132" s="1" t="s">
        <v>430</v>
      </c>
    </row>
    <row r="133" spans="11:54">
      <c r="K133" s="173" t="s">
        <v>268</v>
      </c>
      <c r="L133" s="173">
        <v>0</v>
      </c>
      <c r="M133" s="173">
        <v>0</v>
      </c>
      <c r="N133" s="173">
        <v>0</v>
      </c>
      <c r="O133" s="173">
        <v>0</v>
      </c>
      <c r="P133" s="173">
        <v>0</v>
      </c>
      <c r="Q133" s="173"/>
      <c r="R133" s="173"/>
      <c r="S133" s="1" t="str">
        <f>VLOOKUP(K:K,'1店'!$B:$B,1,0)</f>
        <v>Y1080-GR</v>
      </c>
      <c r="T133" s="173" t="s">
        <v>268</v>
      </c>
      <c r="U133" s="173">
        <v>0</v>
      </c>
      <c r="V133" s="173">
        <v>0</v>
      </c>
      <c r="W133" s="173">
        <v>0</v>
      </c>
      <c r="X133" s="173">
        <v>0</v>
      </c>
      <c r="Y133" s="173">
        <v>0</v>
      </c>
      <c r="Z133" s="173"/>
      <c r="AA133" s="173"/>
      <c r="AB133" s="2" t="str">
        <f>VLOOKUP(T:T,'1店'!$B:$B,1,0)</f>
        <v>Y1080-GR</v>
      </c>
      <c r="AC133" s="173" t="s">
        <v>268</v>
      </c>
      <c r="AD133" s="173">
        <v>0</v>
      </c>
      <c r="AE133" s="173">
        <v>0</v>
      </c>
      <c r="AF133" s="173">
        <v>0</v>
      </c>
      <c r="AG133" s="173">
        <v>0</v>
      </c>
      <c r="AH133" s="173">
        <v>0</v>
      </c>
      <c r="AI133" s="173"/>
      <c r="AJ133" s="173"/>
      <c r="AK133" s="1" t="str">
        <f>VLOOKUP(AC:AC,'1店'!$B:$B,1,0)</f>
        <v>Y1080-GR</v>
      </c>
      <c r="AN133" s="1"/>
      <c r="AZ133" s="104" t="s">
        <v>97</v>
      </c>
      <c r="BA133">
        <v>6</v>
      </c>
      <c r="BB133" s="1" t="s">
        <v>430</v>
      </c>
    </row>
    <row r="134" spans="11:54">
      <c r="K134" s="173" t="s">
        <v>452</v>
      </c>
      <c r="L134" s="173">
        <v>0</v>
      </c>
      <c r="M134" s="173">
        <v>0</v>
      </c>
      <c r="N134" s="173">
        <v>0</v>
      </c>
      <c r="O134" s="173">
        <v>0</v>
      </c>
      <c r="P134" s="173">
        <v>0</v>
      </c>
      <c r="Q134" s="173"/>
      <c r="R134" s="173"/>
      <c r="S134" s="1" t="e">
        <f>VLOOKUP(K:K,'1店'!$B:$B,1,0)</f>
        <v>#N/A</v>
      </c>
      <c r="T134" s="173" t="s">
        <v>452</v>
      </c>
      <c r="U134" s="173">
        <v>0</v>
      </c>
      <c r="V134" s="173">
        <v>0</v>
      </c>
      <c r="W134" s="173">
        <v>0</v>
      </c>
      <c r="X134" s="173">
        <v>0</v>
      </c>
      <c r="Y134" s="173">
        <v>0</v>
      </c>
      <c r="Z134" s="173"/>
      <c r="AA134" s="173"/>
      <c r="AB134" s="2" t="e">
        <f>VLOOKUP(T:T,'1店'!$B:$B,1,0)</f>
        <v>#N/A</v>
      </c>
      <c r="AC134" s="173" t="s">
        <v>452</v>
      </c>
      <c r="AD134" s="173">
        <v>0</v>
      </c>
      <c r="AE134" s="173">
        <v>0</v>
      </c>
      <c r="AF134" s="173">
        <v>0</v>
      </c>
      <c r="AG134" s="173">
        <v>0</v>
      </c>
      <c r="AH134" s="173">
        <v>0</v>
      </c>
      <c r="AI134" s="173"/>
      <c r="AJ134" s="173"/>
      <c r="AK134" s="1" t="e">
        <f>VLOOKUP(AC:AC,'1店'!$B:$B,1,0)</f>
        <v>#N/A</v>
      </c>
      <c r="AN134" s="1"/>
      <c r="AZ134" s="104" t="s">
        <v>100</v>
      </c>
      <c r="BA134">
        <v>4.7</v>
      </c>
      <c r="BB134" s="1" t="s">
        <v>430</v>
      </c>
    </row>
    <row r="135" spans="11:54">
      <c r="K135" s="173" t="s">
        <v>447</v>
      </c>
      <c r="L135" s="173">
        <v>0</v>
      </c>
      <c r="M135" s="173">
        <v>0</v>
      </c>
      <c r="N135" s="173">
        <v>0</v>
      </c>
      <c r="O135" s="173">
        <v>0</v>
      </c>
      <c r="P135" s="173">
        <v>0</v>
      </c>
      <c r="Q135" s="173"/>
      <c r="R135" s="173"/>
      <c r="S135" s="1" t="e">
        <f>VLOOKUP(K:K,'1店'!$B:$B,1,0)</f>
        <v>#N/A</v>
      </c>
      <c r="T135" s="173" t="s">
        <v>447</v>
      </c>
      <c r="U135" s="173">
        <v>4</v>
      </c>
      <c r="V135" s="173">
        <v>0</v>
      </c>
      <c r="W135" s="173">
        <v>0.00702</v>
      </c>
      <c r="X135" s="173">
        <v>0</v>
      </c>
      <c r="Y135" s="173">
        <v>0</v>
      </c>
      <c r="Z135" s="173"/>
      <c r="AA135" s="173">
        <v>0</v>
      </c>
      <c r="AB135" s="2" t="e">
        <f>VLOOKUP(T:T,'1店'!$B:$B,1,0)</f>
        <v>#N/A</v>
      </c>
      <c r="AC135" s="173" t="s">
        <v>447</v>
      </c>
      <c r="AD135" s="173">
        <v>16</v>
      </c>
      <c r="AE135" s="173">
        <v>0</v>
      </c>
      <c r="AF135" s="173">
        <v>0.01827</v>
      </c>
      <c r="AG135" s="173">
        <v>0</v>
      </c>
      <c r="AH135" s="173">
        <v>0</v>
      </c>
      <c r="AI135" s="173"/>
      <c r="AJ135" s="173">
        <v>0</v>
      </c>
      <c r="AK135" s="1" t="e">
        <f>VLOOKUP(AC:AC,'1店'!$B:$B,1,0)</f>
        <v>#N/A</v>
      </c>
      <c r="AN135" s="1"/>
      <c r="AZ135" s="104" t="s">
        <v>103</v>
      </c>
      <c r="BA135">
        <v>6</v>
      </c>
      <c r="BB135" s="1" t="s">
        <v>430</v>
      </c>
    </row>
    <row r="136" spans="11:54">
      <c r="K136" s="173" t="s">
        <v>271</v>
      </c>
      <c r="L136" s="173">
        <v>0</v>
      </c>
      <c r="M136" s="173">
        <v>0</v>
      </c>
      <c r="N136" s="173">
        <v>0</v>
      </c>
      <c r="O136" s="173">
        <v>0</v>
      </c>
      <c r="P136" s="173">
        <v>0</v>
      </c>
      <c r="Q136" s="173"/>
      <c r="R136" s="173"/>
      <c r="S136" s="1" t="str">
        <f>VLOOKUP(K:K,'1店'!$B:$B,1,0)</f>
        <v>Y1081-BL</v>
      </c>
      <c r="T136" s="173" t="s">
        <v>271</v>
      </c>
      <c r="U136" s="173">
        <v>6</v>
      </c>
      <c r="V136" s="173">
        <v>0</v>
      </c>
      <c r="W136" s="173">
        <v>0.0071</v>
      </c>
      <c r="X136" s="173">
        <v>0</v>
      </c>
      <c r="Y136" s="173">
        <v>0</v>
      </c>
      <c r="Z136" s="173"/>
      <c r="AA136" s="173">
        <v>0</v>
      </c>
      <c r="AB136" s="2" t="str">
        <f>VLOOKUP(T:T,'1店'!$B:$B,1,0)</f>
        <v>Y1081-BL</v>
      </c>
      <c r="AC136" s="173" t="s">
        <v>271</v>
      </c>
      <c r="AD136" s="173">
        <v>15</v>
      </c>
      <c r="AE136" s="173">
        <v>0</v>
      </c>
      <c r="AF136" s="173">
        <v>0.01363</v>
      </c>
      <c r="AG136" s="173">
        <v>0</v>
      </c>
      <c r="AH136" s="173">
        <v>0</v>
      </c>
      <c r="AI136" s="173"/>
      <c r="AJ136" s="173">
        <v>0</v>
      </c>
      <c r="AK136" s="1" t="str">
        <f>VLOOKUP(AC:AC,'1店'!$B:$B,1,0)</f>
        <v>Y1081-BL</v>
      </c>
      <c r="AN136" s="1"/>
      <c r="AZ136" s="104" t="s">
        <v>106</v>
      </c>
      <c r="BA136">
        <v>5.923</v>
      </c>
      <c r="BB136" s="1" t="s">
        <v>430</v>
      </c>
    </row>
    <row r="137" spans="11:54">
      <c r="K137" s="173" t="s">
        <v>435</v>
      </c>
      <c r="L137" s="173">
        <v>0</v>
      </c>
      <c r="M137" s="173">
        <v>0</v>
      </c>
      <c r="N137" s="173">
        <v>0</v>
      </c>
      <c r="O137" s="173">
        <v>0</v>
      </c>
      <c r="P137" s="173">
        <v>0</v>
      </c>
      <c r="Q137" s="173"/>
      <c r="R137" s="173"/>
      <c r="S137" s="1" t="e">
        <f>VLOOKUP(K:K,'1店'!$B:$B,1,0)</f>
        <v>#N/A</v>
      </c>
      <c r="T137" s="173" t="s">
        <v>435</v>
      </c>
      <c r="U137" s="173">
        <v>6</v>
      </c>
      <c r="V137" s="173">
        <v>0</v>
      </c>
      <c r="W137" s="173">
        <v>0.00609</v>
      </c>
      <c r="X137" s="173">
        <v>0</v>
      </c>
      <c r="Y137" s="173">
        <v>0</v>
      </c>
      <c r="Z137" s="173"/>
      <c r="AA137" s="173">
        <v>0</v>
      </c>
      <c r="AB137" s="2" t="e">
        <f>VLOOKUP(T:T,'1店'!$B:$B,1,0)</f>
        <v>#N/A</v>
      </c>
      <c r="AC137" s="173" t="s">
        <v>435</v>
      </c>
      <c r="AD137" s="173">
        <v>18</v>
      </c>
      <c r="AE137" s="173">
        <v>0</v>
      </c>
      <c r="AF137" s="173">
        <v>0.01889</v>
      </c>
      <c r="AG137" s="173">
        <v>0</v>
      </c>
      <c r="AH137" s="173">
        <v>0</v>
      </c>
      <c r="AI137" s="173"/>
      <c r="AJ137" s="173">
        <v>0</v>
      </c>
      <c r="AK137" s="1" t="e">
        <f>VLOOKUP(AC:AC,'1店'!$B:$B,1,0)</f>
        <v>#N/A</v>
      </c>
      <c r="AN137" s="1"/>
      <c r="AZ137" s="104" t="s">
        <v>109</v>
      </c>
      <c r="BA137">
        <v>3.973</v>
      </c>
      <c r="BB137" s="1" t="s">
        <v>430</v>
      </c>
    </row>
    <row r="138" spans="11:54">
      <c r="K138" s="173" t="s">
        <v>274</v>
      </c>
      <c r="L138" s="173">
        <v>0</v>
      </c>
      <c r="M138" s="173">
        <v>0</v>
      </c>
      <c r="N138" s="173">
        <v>0</v>
      </c>
      <c r="O138" s="173">
        <v>0</v>
      </c>
      <c r="P138" s="173">
        <v>0</v>
      </c>
      <c r="Q138" s="173"/>
      <c r="R138" s="173"/>
      <c r="S138" s="1" t="str">
        <f>VLOOKUP(K:K,'1店'!$B:$B,1,0)</f>
        <v>Y1081-WH</v>
      </c>
      <c r="T138" s="173" t="s">
        <v>274</v>
      </c>
      <c r="U138" s="173">
        <v>2</v>
      </c>
      <c r="V138" s="173">
        <v>0</v>
      </c>
      <c r="W138" s="173">
        <v>0.00283</v>
      </c>
      <c r="X138" s="173">
        <v>0</v>
      </c>
      <c r="Y138" s="173">
        <v>0</v>
      </c>
      <c r="Z138" s="173"/>
      <c r="AA138" s="173">
        <v>0</v>
      </c>
      <c r="AB138" s="2" t="str">
        <f>VLOOKUP(T:T,'1店'!$B:$B,1,0)</f>
        <v>Y1081-WH</v>
      </c>
      <c r="AC138" s="173" t="s">
        <v>274</v>
      </c>
      <c r="AD138" s="173">
        <v>14</v>
      </c>
      <c r="AE138" s="173">
        <v>0</v>
      </c>
      <c r="AF138" s="173">
        <v>0.0138</v>
      </c>
      <c r="AG138" s="173">
        <v>9.09</v>
      </c>
      <c r="AH138" s="173">
        <v>1</v>
      </c>
      <c r="AI138" s="173">
        <v>0.00151815181518152</v>
      </c>
      <c r="AJ138" s="173">
        <v>658.695652173913</v>
      </c>
      <c r="AK138" s="1" t="str">
        <f>VLOOKUP(AC:AC,'1店'!$B:$B,1,0)</f>
        <v>Y1081-WH</v>
      </c>
      <c r="AN138" s="1"/>
      <c r="AZ138" s="104" t="s">
        <v>112</v>
      </c>
      <c r="BA138">
        <v>4.389</v>
      </c>
      <c r="BB138" s="1" t="s">
        <v>430</v>
      </c>
    </row>
    <row r="139" spans="11:54">
      <c r="K139" s="173" t="s">
        <v>454</v>
      </c>
      <c r="L139" s="173">
        <v>0</v>
      </c>
      <c r="M139" s="173">
        <v>0</v>
      </c>
      <c r="N139" s="173">
        <v>0</v>
      </c>
      <c r="O139" s="173">
        <v>0</v>
      </c>
      <c r="P139" s="173">
        <v>0</v>
      </c>
      <c r="Q139" s="173"/>
      <c r="R139" s="173"/>
      <c r="S139" s="1" t="e">
        <f>VLOOKUP(K:K,'1店'!$B:$B,1,0)</f>
        <v>#N/A</v>
      </c>
      <c r="T139" s="173" t="s">
        <v>454</v>
      </c>
      <c r="U139" s="173">
        <v>0</v>
      </c>
      <c r="V139" s="173">
        <v>0</v>
      </c>
      <c r="W139" s="173">
        <v>0</v>
      </c>
      <c r="X139" s="173">
        <v>0</v>
      </c>
      <c r="Y139" s="173">
        <v>0</v>
      </c>
      <c r="Z139" s="173"/>
      <c r="AA139" s="173"/>
      <c r="AB139" s="2" t="e">
        <f>VLOOKUP(T:T,'1店'!$B:$B,1,0)</f>
        <v>#N/A</v>
      </c>
      <c r="AC139" s="173" t="s">
        <v>454</v>
      </c>
      <c r="AD139" s="173">
        <v>0</v>
      </c>
      <c r="AE139" s="173">
        <v>0</v>
      </c>
      <c r="AF139" s="173">
        <v>0</v>
      </c>
      <c r="AG139" s="173">
        <v>0</v>
      </c>
      <c r="AH139" s="173">
        <v>0</v>
      </c>
      <c r="AI139" s="173"/>
      <c r="AJ139" s="173"/>
      <c r="AK139" s="1" t="e">
        <f>VLOOKUP(AC:AC,'1店'!$B:$B,1,0)</f>
        <v>#N/A</v>
      </c>
      <c r="AN139" s="1"/>
      <c r="AZ139" s="104" t="s">
        <v>115</v>
      </c>
      <c r="BA139">
        <v>5.11</v>
      </c>
      <c r="BB139" s="1" t="s">
        <v>430</v>
      </c>
    </row>
    <row r="140" spans="11:54">
      <c r="K140" s="173" t="s">
        <v>277</v>
      </c>
      <c r="L140" s="173">
        <v>108</v>
      </c>
      <c r="M140" s="173">
        <v>0</v>
      </c>
      <c r="N140" s="173">
        <v>0.10962</v>
      </c>
      <c r="O140" s="173">
        <v>39.98</v>
      </c>
      <c r="P140" s="173">
        <v>2</v>
      </c>
      <c r="Q140" s="173">
        <v>0.00274187093546773</v>
      </c>
      <c r="R140" s="173">
        <v>364.714468162744</v>
      </c>
      <c r="S140" s="1" t="str">
        <f>VLOOKUP(K:K,'1店'!$B:$B,1,0)</f>
        <v>Y1083</v>
      </c>
      <c r="T140" s="173" t="s">
        <v>277</v>
      </c>
      <c r="U140" s="173">
        <v>259</v>
      </c>
      <c r="V140" s="173">
        <v>0</v>
      </c>
      <c r="W140" s="173">
        <v>0.28627</v>
      </c>
      <c r="X140" s="173">
        <v>206.88</v>
      </c>
      <c r="Y140" s="173">
        <v>11</v>
      </c>
      <c r="Z140" s="173">
        <v>0.00138374903325599</v>
      </c>
      <c r="AA140" s="173">
        <v>722.674398295316</v>
      </c>
      <c r="AB140" s="2" t="str">
        <f>VLOOKUP(T:T,'1店'!$B:$B,1,0)</f>
        <v>Y1083</v>
      </c>
      <c r="AC140" s="173" t="s">
        <v>277</v>
      </c>
      <c r="AD140" s="173">
        <v>514</v>
      </c>
      <c r="AE140" s="173">
        <v>0</v>
      </c>
      <c r="AF140" s="173">
        <v>0.59476</v>
      </c>
      <c r="AG140" s="173">
        <v>237.86</v>
      </c>
      <c r="AH140" s="173">
        <v>13</v>
      </c>
      <c r="AI140" s="173">
        <v>0.00250046245690742</v>
      </c>
      <c r="AJ140" s="173">
        <v>399.92602057973</v>
      </c>
      <c r="AK140" s="1" t="str">
        <f>VLOOKUP(AC:AC,'1店'!$B:$B,1,0)</f>
        <v>Y1083</v>
      </c>
      <c r="AN140" s="1"/>
      <c r="AZ140" s="104" t="s">
        <v>145</v>
      </c>
      <c r="BA140">
        <v>16.712</v>
      </c>
      <c r="BB140" s="1" t="s">
        <v>430</v>
      </c>
    </row>
    <row r="141" spans="11:54">
      <c r="K141" s="173" t="s">
        <v>280</v>
      </c>
      <c r="L141" s="173">
        <v>148</v>
      </c>
      <c r="M141" s="173">
        <v>0</v>
      </c>
      <c r="N141" s="173">
        <v>0.13352</v>
      </c>
      <c r="O141" s="173">
        <v>0</v>
      </c>
      <c r="P141" s="173">
        <v>0</v>
      </c>
      <c r="Q141" s="173"/>
      <c r="R141" s="173">
        <v>0</v>
      </c>
      <c r="S141" s="1" t="str">
        <f>VLOOKUP(K:K,'1店'!$B:$B,1,0)</f>
        <v>Y1084</v>
      </c>
      <c r="T141" s="173" t="s">
        <v>280</v>
      </c>
      <c r="U141" s="173">
        <v>415</v>
      </c>
      <c r="V141" s="173">
        <v>0</v>
      </c>
      <c r="W141" s="173">
        <v>0.48723</v>
      </c>
      <c r="X141" s="173">
        <v>29.98</v>
      </c>
      <c r="Y141" s="173">
        <v>2</v>
      </c>
      <c r="Z141" s="173">
        <v>0.0162518345563709</v>
      </c>
      <c r="AA141" s="173">
        <v>61.5315148902982</v>
      </c>
      <c r="AB141" s="2" t="str">
        <f>VLOOKUP(T:T,'1店'!$B:$B,1,0)</f>
        <v>Y1084</v>
      </c>
      <c r="AC141" s="173" t="s">
        <v>280</v>
      </c>
      <c r="AD141" s="173">
        <v>730</v>
      </c>
      <c r="AE141" s="173">
        <v>0</v>
      </c>
      <c r="AF141" s="173">
        <v>0.89991</v>
      </c>
      <c r="AG141" s="173">
        <v>44.97</v>
      </c>
      <c r="AH141" s="173">
        <v>3</v>
      </c>
      <c r="AI141" s="173">
        <v>0.0200113408939293</v>
      </c>
      <c r="AJ141" s="173">
        <v>49.97166383305</v>
      </c>
      <c r="AK141" s="1" t="str">
        <f>VLOOKUP(AC:AC,'1店'!$B:$B,1,0)</f>
        <v>Y1084</v>
      </c>
      <c r="AN141" s="1"/>
      <c r="AZ141" s="104" t="s">
        <v>340</v>
      </c>
      <c r="BA141">
        <v>10.518</v>
      </c>
      <c r="BB141" s="1" t="s">
        <v>430</v>
      </c>
    </row>
    <row r="142" spans="11:54">
      <c r="K142" s="173" t="s">
        <v>283</v>
      </c>
      <c r="L142" s="173">
        <v>163</v>
      </c>
      <c r="M142" s="173">
        <v>0</v>
      </c>
      <c r="N142" s="173">
        <v>0.18738</v>
      </c>
      <c r="O142" s="173">
        <v>18.99</v>
      </c>
      <c r="P142" s="173">
        <v>1</v>
      </c>
      <c r="Q142" s="173">
        <v>0.00986729857819905</v>
      </c>
      <c r="R142" s="173">
        <v>101.344860710855</v>
      </c>
      <c r="S142" s="1" t="str">
        <f>VLOOKUP(K:K,'1店'!$B:$B,1,0)</f>
        <v>Y1085</v>
      </c>
      <c r="T142" s="173" t="s">
        <v>283</v>
      </c>
      <c r="U142" s="173">
        <v>388</v>
      </c>
      <c r="V142" s="173">
        <v>2</v>
      </c>
      <c r="W142" s="173">
        <v>0.4821</v>
      </c>
      <c r="X142" s="173">
        <v>182.71</v>
      </c>
      <c r="Y142" s="173">
        <v>8</v>
      </c>
      <c r="Z142" s="173">
        <v>0.00263860762957692</v>
      </c>
      <c r="AA142" s="173">
        <v>378.98776187513</v>
      </c>
      <c r="AB142" s="2" t="str">
        <f>VLOOKUP(T:T,'1店'!$B:$B,1,0)</f>
        <v>Y1085</v>
      </c>
      <c r="AC142" s="173" t="s">
        <v>283</v>
      </c>
      <c r="AD142" s="173">
        <v>696</v>
      </c>
      <c r="AE142" s="173">
        <v>2</v>
      </c>
      <c r="AF142" s="173">
        <v>0.86587</v>
      </c>
      <c r="AG142" s="173">
        <v>182.71</v>
      </c>
      <c r="AH142" s="173">
        <v>8</v>
      </c>
      <c r="AI142" s="173">
        <v>0.00473904000875705</v>
      </c>
      <c r="AJ142" s="173">
        <v>211.013200595932</v>
      </c>
      <c r="AK142" s="1" t="str">
        <f>VLOOKUP(AC:AC,'1店'!$B:$B,1,0)</f>
        <v>Y1085</v>
      </c>
      <c r="AN142" s="1"/>
      <c r="AZ142" s="104" t="s">
        <v>393</v>
      </c>
      <c r="BA142">
        <v>1.484</v>
      </c>
      <c r="BB142" s="1" t="s">
        <v>430</v>
      </c>
    </row>
    <row r="143" spans="11:54">
      <c r="K143" s="173" t="s">
        <v>440</v>
      </c>
      <c r="L143" s="173">
        <v>0</v>
      </c>
      <c r="M143" s="173">
        <v>0</v>
      </c>
      <c r="N143" s="173">
        <v>0</v>
      </c>
      <c r="O143" s="173">
        <v>0</v>
      </c>
      <c r="P143" s="173">
        <v>0</v>
      </c>
      <c r="Q143" s="173"/>
      <c r="R143" s="173"/>
      <c r="S143" s="1" t="e">
        <f>VLOOKUP(K:K,'1店'!$B:$B,1,0)</f>
        <v>#N/A</v>
      </c>
      <c r="T143" s="173" t="s">
        <v>440</v>
      </c>
      <c r="U143" s="173">
        <v>0</v>
      </c>
      <c r="V143" s="173">
        <v>0</v>
      </c>
      <c r="W143" s="173">
        <v>0</v>
      </c>
      <c r="X143" s="173">
        <v>0</v>
      </c>
      <c r="Y143" s="173">
        <v>0</v>
      </c>
      <c r="Z143" s="173"/>
      <c r="AA143" s="173"/>
      <c r="AB143" s="2" t="e">
        <f>VLOOKUP(T:T,'1店'!$B:$B,1,0)</f>
        <v>#N/A</v>
      </c>
      <c r="AC143" s="173" t="s">
        <v>440</v>
      </c>
      <c r="AD143" s="173">
        <v>0</v>
      </c>
      <c r="AE143" s="173">
        <v>0</v>
      </c>
      <c r="AF143" s="173">
        <v>0</v>
      </c>
      <c r="AG143" s="173">
        <v>0</v>
      </c>
      <c r="AH143" s="173">
        <v>0</v>
      </c>
      <c r="AI143" s="173"/>
      <c r="AJ143" s="173"/>
      <c r="AK143" s="1" t="e">
        <f>VLOOKUP(AC:AC,'1店'!$B:$B,1,0)</f>
        <v>#N/A</v>
      </c>
      <c r="AN143" s="1"/>
      <c r="AZ143" s="104" t="s">
        <v>395</v>
      </c>
      <c r="BA143">
        <v>3.86</v>
      </c>
      <c r="BB143" s="1" t="s">
        <v>430</v>
      </c>
    </row>
    <row r="144" spans="11:54">
      <c r="K144" s="173" t="s">
        <v>286</v>
      </c>
      <c r="L144" s="173">
        <v>152</v>
      </c>
      <c r="M144" s="173">
        <v>1</v>
      </c>
      <c r="N144" s="173">
        <v>0.20362</v>
      </c>
      <c r="O144" s="173">
        <v>25.99</v>
      </c>
      <c r="P144" s="173">
        <v>1</v>
      </c>
      <c r="Q144" s="173">
        <v>0.00783455175067334</v>
      </c>
      <c r="R144" s="173">
        <v>127.639721049013</v>
      </c>
      <c r="S144" s="1" t="str">
        <f>VLOOKUP(K:K,'1店'!$B:$B,1,0)</f>
        <v>Y1087</v>
      </c>
      <c r="T144" s="173" t="s">
        <v>286</v>
      </c>
      <c r="U144" s="173">
        <v>389</v>
      </c>
      <c r="V144" s="173">
        <v>1</v>
      </c>
      <c r="W144" s="173">
        <v>0.48221</v>
      </c>
      <c r="X144" s="173">
        <v>115.94</v>
      </c>
      <c r="Y144" s="173">
        <v>5</v>
      </c>
      <c r="Z144" s="173">
        <v>0.00415913403484561</v>
      </c>
      <c r="AA144" s="173">
        <v>240.434665394745</v>
      </c>
      <c r="AB144" s="2" t="str">
        <f>VLOOKUP(T:T,'1店'!$B:$B,1,0)</f>
        <v>Y1087</v>
      </c>
      <c r="AC144" s="173" t="s">
        <v>286</v>
      </c>
      <c r="AD144" s="173">
        <v>733</v>
      </c>
      <c r="AE144" s="173">
        <v>2</v>
      </c>
      <c r="AF144" s="173">
        <v>0.89721</v>
      </c>
      <c r="AG144" s="173">
        <v>169.91</v>
      </c>
      <c r="AH144" s="173">
        <v>8</v>
      </c>
      <c r="AI144" s="173">
        <v>0.00528050144193985</v>
      </c>
      <c r="AJ144" s="173">
        <v>189.375954347366</v>
      </c>
      <c r="AK144" s="1" t="str">
        <f>VLOOKUP(AC:AC,'1店'!$B:$B,1,0)</f>
        <v>Y1087</v>
      </c>
      <c r="AZ144" s="104" t="s">
        <v>397</v>
      </c>
      <c r="BA144">
        <v>7.28</v>
      </c>
      <c r="BB144" s="1" t="s">
        <v>430</v>
      </c>
    </row>
    <row r="145" spans="11:54">
      <c r="K145" s="173" t="s">
        <v>289</v>
      </c>
      <c r="L145" s="173">
        <v>29</v>
      </c>
      <c r="M145" s="173">
        <v>0</v>
      </c>
      <c r="N145" s="173">
        <v>0.03665</v>
      </c>
      <c r="O145" s="173">
        <v>0</v>
      </c>
      <c r="P145" s="173">
        <v>0</v>
      </c>
      <c r="Q145" s="173"/>
      <c r="R145" s="173">
        <v>0</v>
      </c>
      <c r="S145" s="1" t="str">
        <f>VLOOKUP(K:K,'1店'!$B:$B,1,0)</f>
        <v>Y1088</v>
      </c>
      <c r="T145" s="173" t="s">
        <v>289</v>
      </c>
      <c r="U145" s="173">
        <v>171</v>
      </c>
      <c r="V145" s="173">
        <v>0</v>
      </c>
      <c r="W145" s="173">
        <v>0.22173</v>
      </c>
      <c r="X145" s="173">
        <v>0</v>
      </c>
      <c r="Y145" s="173">
        <v>0</v>
      </c>
      <c r="Z145" s="173"/>
      <c r="AA145" s="173">
        <v>0</v>
      </c>
      <c r="AB145" s="2" t="str">
        <f>VLOOKUP(T:T,'1店'!$B:$B,1,0)</f>
        <v>Y1088</v>
      </c>
      <c r="AC145" s="173" t="s">
        <v>289</v>
      </c>
      <c r="AD145" s="173">
        <v>471</v>
      </c>
      <c r="AE145" s="173">
        <v>0</v>
      </c>
      <c r="AF145" s="173">
        <v>0.7454</v>
      </c>
      <c r="AG145" s="173">
        <v>25.99</v>
      </c>
      <c r="AH145" s="173">
        <v>1</v>
      </c>
      <c r="AI145" s="173">
        <v>0.028680261639092</v>
      </c>
      <c r="AJ145" s="173">
        <v>34.86718540381</v>
      </c>
      <c r="AK145" s="1" t="str">
        <f>VLOOKUP(AC:AC,'1店'!$B:$B,1,0)</f>
        <v>Y1088</v>
      </c>
      <c r="AZ145" s="104" t="s">
        <v>405</v>
      </c>
      <c r="BA145">
        <v>5.912</v>
      </c>
      <c r="BB145" s="1" t="s">
        <v>430</v>
      </c>
    </row>
    <row r="146" spans="11:53">
      <c r="K146" s="173" t="s">
        <v>319</v>
      </c>
      <c r="L146" s="173">
        <v>116</v>
      </c>
      <c r="M146" s="173">
        <v>0</v>
      </c>
      <c r="N146" s="173">
        <v>0.13224</v>
      </c>
      <c r="O146" s="173">
        <v>29.98</v>
      </c>
      <c r="P146" s="173">
        <v>2</v>
      </c>
      <c r="Q146" s="173">
        <v>0.00441094062708472</v>
      </c>
      <c r="R146" s="173">
        <v>226.709013914096</v>
      </c>
      <c r="S146" s="1" t="str">
        <f>VLOOKUP(K:K,'1店'!$B:$B,1,0)</f>
        <v>Y1088-ZH</v>
      </c>
      <c r="T146" s="173" t="s">
        <v>319</v>
      </c>
      <c r="U146" s="173">
        <v>262</v>
      </c>
      <c r="V146" s="173">
        <v>0</v>
      </c>
      <c r="W146" s="173">
        <v>0.30806</v>
      </c>
      <c r="X146" s="173">
        <v>29.98</v>
      </c>
      <c r="Y146" s="173">
        <v>2</v>
      </c>
      <c r="Z146" s="173">
        <v>0.0102755170113409</v>
      </c>
      <c r="AA146" s="173">
        <v>97.3187041485425</v>
      </c>
      <c r="AB146" s="2" t="str">
        <f>VLOOKUP(T:T,'1店'!$B:$B,1,0)</f>
        <v>Y1088-ZH</v>
      </c>
      <c r="AC146" s="173" t="s">
        <v>319</v>
      </c>
      <c r="AD146" s="173">
        <v>487</v>
      </c>
      <c r="AE146" s="173">
        <v>0</v>
      </c>
      <c r="AF146" s="173">
        <v>0.56043</v>
      </c>
      <c r="AG146" s="173">
        <v>134.92</v>
      </c>
      <c r="AH146" s="173">
        <v>5</v>
      </c>
      <c r="AI146" s="173">
        <v>0.00415379484138749</v>
      </c>
      <c r="AJ146" s="173">
        <v>240.743714647681</v>
      </c>
      <c r="AK146" s="1" t="str">
        <f>VLOOKUP(AC:AC,'1店'!$B:$B,1,0)</f>
        <v>Y1088-ZH</v>
      </c>
      <c r="AZ146"/>
      <c r="BA146"/>
    </row>
    <row r="147" spans="11:53">
      <c r="K147" s="173" t="s">
        <v>292</v>
      </c>
      <c r="L147" s="173">
        <v>141</v>
      </c>
      <c r="M147" s="173">
        <v>0</v>
      </c>
      <c r="N147" s="173">
        <v>0.18139</v>
      </c>
      <c r="O147" s="173">
        <v>18.99</v>
      </c>
      <c r="P147" s="173">
        <v>1</v>
      </c>
      <c r="Q147" s="173">
        <v>0.00955186940494997</v>
      </c>
      <c r="R147" s="173">
        <v>104.691548596946</v>
      </c>
      <c r="S147" s="1" t="str">
        <f>VLOOKUP(K:K,'1店'!$B:$B,1,0)</f>
        <v>Y1089</v>
      </c>
      <c r="T147" s="173" t="s">
        <v>292</v>
      </c>
      <c r="U147" s="173">
        <v>347</v>
      </c>
      <c r="V147" s="173">
        <v>1</v>
      </c>
      <c r="W147" s="173">
        <v>0.47209</v>
      </c>
      <c r="X147" s="173">
        <v>102.75</v>
      </c>
      <c r="Y147" s="173">
        <v>5</v>
      </c>
      <c r="Z147" s="173">
        <v>0.0045945498783455</v>
      </c>
      <c r="AA147" s="173">
        <v>217.649177063695</v>
      </c>
      <c r="AB147" s="2" t="str">
        <f>VLOOKUP(T:T,'1店'!$B:$B,1,0)</f>
        <v>Y1089</v>
      </c>
      <c r="AC147" s="173" t="s">
        <v>292</v>
      </c>
      <c r="AD147" s="173">
        <v>584</v>
      </c>
      <c r="AE147" s="173">
        <v>1</v>
      </c>
      <c r="AF147" s="173">
        <v>0.84854</v>
      </c>
      <c r="AG147" s="173">
        <v>145.73</v>
      </c>
      <c r="AH147" s="173">
        <v>7</v>
      </c>
      <c r="AI147" s="173">
        <v>0.00582268578878748</v>
      </c>
      <c r="AJ147" s="173">
        <v>171.742051052396</v>
      </c>
      <c r="AK147" s="1" t="str">
        <f>VLOOKUP(AC:AC,'1店'!$B:$B,1,0)</f>
        <v>Y1089</v>
      </c>
      <c r="AZ147"/>
      <c r="BA147"/>
    </row>
    <row r="148" spans="11:53">
      <c r="K148" s="173" t="s">
        <v>442</v>
      </c>
      <c r="L148" s="173">
        <v>0</v>
      </c>
      <c r="M148" s="173">
        <v>0</v>
      </c>
      <c r="N148" s="173">
        <v>0</v>
      </c>
      <c r="O148" s="173">
        <v>0</v>
      </c>
      <c r="P148" s="173">
        <v>0</v>
      </c>
      <c r="Q148" s="173"/>
      <c r="R148" s="173"/>
      <c r="S148" s="1" t="e">
        <f>VLOOKUP(K:K,'1店'!$B:$B,1,0)</f>
        <v>#N/A</v>
      </c>
      <c r="T148" s="173" t="s">
        <v>442</v>
      </c>
      <c r="U148" s="173">
        <v>0</v>
      </c>
      <c r="V148" s="173">
        <v>0</v>
      </c>
      <c r="W148" s="173">
        <v>0</v>
      </c>
      <c r="X148" s="173">
        <v>0</v>
      </c>
      <c r="Y148" s="173">
        <v>0</v>
      </c>
      <c r="Z148" s="173"/>
      <c r="AA148" s="173"/>
      <c r="AB148" s="2" t="e">
        <f>VLOOKUP(T:T,'1店'!$B:$B,1,0)</f>
        <v>#N/A</v>
      </c>
      <c r="AC148" s="173" t="s">
        <v>442</v>
      </c>
      <c r="AD148" s="173">
        <v>0</v>
      </c>
      <c r="AE148" s="173">
        <v>0</v>
      </c>
      <c r="AF148" s="173">
        <v>0</v>
      </c>
      <c r="AG148" s="173">
        <v>0</v>
      </c>
      <c r="AH148" s="173">
        <v>0</v>
      </c>
      <c r="AI148" s="173"/>
      <c r="AJ148" s="173"/>
      <c r="AK148" s="1" t="e">
        <f>VLOOKUP(AC:AC,'1店'!$B:$B,1,0)</f>
        <v>#N/A</v>
      </c>
      <c r="AZ148"/>
      <c r="BA148"/>
    </row>
    <row r="149" spans="11:53">
      <c r="K149" s="173" t="s">
        <v>346</v>
      </c>
      <c r="L149" s="173">
        <v>0</v>
      </c>
      <c r="M149" s="173">
        <v>0</v>
      </c>
      <c r="N149" s="173">
        <v>0</v>
      </c>
      <c r="O149" s="173">
        <v>0</v>
      </c>
      <c r="P149" s="173">
        <v>0</v>
      </c>
      <c r="Q149" s="173"/>
      <c r="R149" s="173"/>
      <c r="S149" s="1" t="str">
        <f>VLOOKUP(K:K,'1店'!$B:$B,1,0)</f>
        <v>Y1096</v>
      </c>
      <c r="T149" s="173" t="s">
        <v>346</v>
      </c>
      <c r="U149" s="173">
        <v>0</v>
      </c>
      <c r="V149" s="173">
        <v>0</v>
      </c>
      <c r="W149" s="173">
        <v>0</v>
      </c>
      <c r="X149" s="173">
        <v>0</v>
      </c>
      <c r="Y149" s="173">
        <v>0</v>
      </c>
      <c r="Z149" s="173"/>
      <c r="AA149" s="173"/>
      <c r="AB149" s="2" t="str">
        <f>VLOOKUP(T:T,'1店'!$B:$B,1,0)</f>
        <v>Y1096</v>
      </c>
      <c r="AC149" s="173" t="s">
        <v>346</v>
      </c>
      <c r="AD149" s="173">
        <v>0</v>
      </c>
      <c r="AE149" s="173">
        <v>0</v>
      </c>
      <c r="AF149" s="173">
        <v>0</v>
      </c>
      <c r="AG149" s="173">
        <v>0</v>
      </c>
      <c r="AH149" s="173">
        <v>0</v>
      </c>
      <c r="AI149" s="173"/>
      <c r="AJ149" s="173"/>
      <c r="AK149" s="1" t="str">
        <f>VLOOKUP(AC:AC,'1店'!$B:$B,1,0)</f>
        <v>Y1096</v>
      </c>
      <c r="AZ149"/>
      <c r="BA149"/>
    </row>
    <row r="150" spans="11:53">
      <c r="K150" s="173" t="s">
        <v>366</v>
      </c>
      <c r="L150" s="173">
        <v>109</v>
      </c>
      <c r="M150" s="173">
        <v>0</v>
      </c>
      <c r="N150" s="173">
        <v>0.16203</v>
      </c>
      <c r="O150" s="173">
        <v>0</v>
      </c>
      <c r="P150" s="173">
        <v>0</v>
      </c>
      <c r="Q150" s="173"/>
      <c r="R150" s="173">
        <v>0</v>
      </c>
      <c r="S150" s="1" t="str">
        <f>VLOOKUP(K:K,'1店'!$B:$B,1,0)</f>
        <v>Y1097-BU</v>
      </c>
      <c r="T150" s="173" t="s">
        <v>366</v>
      </c>
      <c r="U150" s="173">
        <v>253</v>
      </c>
      <c r="V150" s="173">
        <v>0</v>
      </c>
      <c r="W150" s="173">
        <v>0.36139</v>
      </c>
      <c r="X150" s="173">
        <v>15.19</v>
      </c>
      <c r="Y150" s="173">
        <v>1</v>
      </c>
      <c r="Z150" s="173">
        <v>0.0237913100724161</v>
      </c>
      <c r="AA150" s="173">
        <v>42.0321536290434</v>
      </c>
      <c r="AB150" s="2" t="str">
        <f>VLOOKUP(T:T,'1店'!$B:$B,1,0)</f>
        <v>Y1097-BU</v>
      </c>
      <c r="AC150" s="173" t="s">
        <v>366</v>
      </c>
      <c r="AD150" s="173">
        <v>832</v>
      </c>
      <c r="AE150" s="173">
        <v>1</v>
      </c>
      <c r="AF150" s="173">
        <v>1.18931</v>
      </c>
      <c r="AG150" s="173">
        <v>77.16</v>
      </c>
      <c r="AH150" s="173">
        <v>5</v>
      </c>
      <c r="AI150" s="173">
        <v>0.01541355624676</v>
      </c>
      <c r="AJ150" s="173">
        <v>64.8779544441735</v>
      </c>
      <c r="AK150" s="1" t="str">
        <f>VLOOKUP(AC:AC,'1店'!$B:$B,1,0)</f>
        <v>Y1097-BU</v>
      </c>
      <c r="AZ150"/>
      <c r="BA150"/>
    </row>
    <row r="151" spans="11:53">
      <c r="K151" s="173" t="s">
        <v>369</v>
      </c>
      <c r="L151" s="173">
        <v>123</v>
      </c>
      <c r="M151" s="173">
        <v>0</v>
      </c>
      <c r="N151" s="173">
        <v>0.14606</v>
      </c>
      <c r="O151" s="173">
        <v>63.96</v>
      </c>
      <c r="P151" s="173">
        <v>3</v>
      </c>
      <c r="Q151" s="173">
        <v>0.00228361475922452</v>
      </c>
      <c r="R151" s="173">
        <v>437.902231959469</v>
      </c>
      <c r="S151" s="1" t="str">
        <f>VLOOKUP(K:K,'1店'!$B:$B,1,0)</f>
        <v>Y1097-RE</v>
      </c>
      <c r="T151" s="173" t="s">
        <v>369</v>
      </c>
      <c r="U151" s="173">
        <v>260</v>
      </c>
      <c r="V151" s="173">
        <v>1</v>
      </c>
      <c r="W151" s="173">
        <v>0.33335</v>
      </c>
      <c r="X151" s="173">
        <v>93.54</v>
      </c>
      <c r="Y151" s="173">
        <v>5</v>
      </c>
      <c r="Z151" s="173">
        <v>0.00356371605730169</v>
      </c>
      <c r="AA151" s="173">
        <v>280.605969701515</v>
      </c>
      <c r="AB151" s="2" t="str">
        <f>VLOOKUP(T:T,'1店'!$B:$B,1,0)</f>
        <v>Y1097-RE</v>
      </c>
      <c r="AC151" s="173" t="s">
        <v>369</v>
      </c>
      <c r="AD151" s="173">
        <v>853</v>
      </c>
      <c r="AE151" s="173">
        <v>3</v>
      </c>
      <c r="AF151" s="173">
        <v>1.19039</v>
      </c>
      <c r="AG151" s="173">
        <v>93.54</v>
      </c>
      <c r="AH151" s="173">
        <v>5</v>
      </c>
      <c r="AI151" s="173">
        <v>0.0127259995723755</v>
      </c>
      <c r="AJ151" s="173">
        <v>78.5792891405338</v>
      </c>
      <c r="AK151" s="1" t="str">
        <f>VLOOKUP(AC:AC,'1店'!$B:$B,1,0)</f>
        <v>Y1097-RE</v>
      </c>
      <c r="AZ151"/>
      <c r="BA151"/>
    </row>
    <row r="152" spans="11:53">
      <c r="K152" s="173" t="s">
        <v>348</v>
      </c>
      <c r="L152" s="173">
        <v>116</v>
      </c>
      <c r="M152" s="173">
        <v>0</v>
      </c>
      <c r="N152" s="173">
        <v>0.13139</v>
      </c>
      <c r="O152" s="173">
        <v>0</v>
      </c>
      <c r="P152" s="173">
        <v>0</v>
      </c>
      <c r="Q152" s="173"/>
      <c r="R152" s="173">
        <v>0</v>
      </c>
      <c r="S152" s="1" t="str">
        <f>VLOOKUP(K:K,'1店'!$B:$B,1,0)</f>
        <v>Y1099</v>
      </c>
      <c r="T152" s="173" t="s">
        <v>348</v>
      </c>
      <c r="U152" s="173">
        <v>245</v>
      </c>
      <c r="V152" s="173">
        <v>0</v>
      </c>
      <c r="W152" s="173">
        <v>0.26982</v>
      </c>
      <c r="X152" s="173">
        <v>0</v>
      </c>
      <c r="Y152" s="173">
        <v>0</v>
      </c>
      <c r="Z152" s="173"/>
      <c r="AA152" s="173">
        <v>0</v>
      </c>
      <c r="AB152" s="2" t="str">
        <f>VLOOKUP(T:T,'1店'!$B:$B,1,0)</f>
        <v>Y1099</v>
      </c>
      <c r="AC152" s="173" t="s">
        <v>348</v>
      </c>
      <c r="AD152" s="173">
        <v>460</v>
      </c>
      <c r="AE152" s="173">
        <v>1</v>
      </c>
      <c r="AF152" s="173">
        <v>0.64663</v>
      </c>
      <c r="AG152" s="173">
        <v>39.98</v>
      </c>
      <c r="AH152" s="173">
        <v>2</v>
      </c>
      <c r="AI152" s="173">
        <v>0.0161738369184592</v>
      </c>
      <c r="AJ152" s="173">
        <v>61.8282479934429</v>
      </c>
      <c r="AK152" s="1" t="str">
        <f>VLOOKUP(AC:AC,'1店'!$B:$B,1,0)</f>
        <v>Y1099</v>
      </c>
      <c r="AZ152"/>
      <c r="BA152"/>
    </row>
    <row r="153" spans="11:53">
      <c r="K153" s="173" t="s">
        <v>351</v>
      </c>
      <c r="L153" s="173">
        <v>2517</v>
      </c>
      <c r="M153" s="173">
        <v>2</v>
      </c>
      <c r="N153" s="173">
        <v>3.71233</v>
      </c>
      <c r="O153" s="173">
        <v>25.99</v>
      </c>
      <c r="P153" s="173">
        <v>1</v>
      </c>
      <c r="Q153" s="173">
        <v>0.0050227010388611</v>
      </c>
      <c r="R153" s="173">
        <v>199.096062509576</v>
      </c>
      <c r="S153" s="1" t="str">
        <f>VLOOKUP(K:K,'1店'!$B:$B,1,0)</f>
        <v>Y1099-RE</v>
      </c>
      <c r="T153" s="173" t="s">
        <v>351</v>
      </c>
      <c r="U153" s="173">
        <v>4658</v>
      </c>
      <c r="V153" s="173">
        <v>5</v>
      </c>
      <c r="W153" s="173">
        <v>6.86037</v>
      </c>
      <c r="X153" s="173">
        <v>82.36</v>
      </c>
      <c r="Y153" s="173">
        <v>4</v>
      </c>
      <c r="Z153" s="173">
        <v>0.00473640116561438</v>
      </c>
      <c r="AA153" s="173">
        <v>211.130764695327</v>
      </c>
      <c r="AB153" s="2" t="str">
        <f>VLOOKUP(T:T,'1店'!$B:$B,1,0)</f>
        <v>Y1099-RE</v>
      </c>
      <c r="AC153" s="173" t="s">
        <v>351</v>
      </c>
      <c r="AD153" s="173">
        <v>6745</v>
      </c>
      <c r="AE153" s="173">
        <v>8</v>
      </c>
      <c r="AF153" s="173">
        <v>9.74492</v>
      </c>
      <c r="AG153" s="173">
        <v>115.34</v>
      </c>
      <c r="AH153" s="173">
        <v>6</v>
      </c>
      <c r="AI153" s="173">
        <v>0.008330327726721</v>
      </c>
      <c r="AJ153" s="173">
        <v>120.043296351034</v>
      </c>
      <c r="AK153" s="1" t="str">
        <f>VLOOKUP(AC:AC,'1店'!$B:$B,1,0)</f>
        <v>Y1099-RE</v>
      </c>
      <c r="AZ153"/>
      <c r="BA153"/>
    </row>
    <row r="154" spans="11:53">
      <c r="K154" s="173" t="s">
        <v>354</v>
      </c>
      <c r="L154" s="173">
        <v>237</v>
      </c>
      <c r="M154" s="173">
        <v>0</v>
      </c>
      <c r="N154" s="173">
        <v>0.29781</v>
      </c>
      <c r="O154" s="173">
        <v>17.99</v>
      </c>
      <c r="P154" s="173">
        <v>1</v>
      </c>
      <c r="Q154" s="173">
        <v>0.0165541967759867</v>
      </c>
      <c r="R154" s="173">
        <v>60.4076424565998</v>
      </c>
      <c r="S154" s="1" t="str">
        <f>VLOOKUP(K:K,'1店'!$B:$B,1,0)</f>
        <v>Y1100-GA</v>
      </c>
      <c r="T154" s="173" t="s">
        <v>354</v>
      </c>
      <c r="U154" s="173">
        <v>542</v>
      </c>
      <c r="V154" s="173">
        <v>0</v>
      </c>
      <c r="W154" s="173">
        <v>0.64704</v>
      </c>
      <c r="X154" s="173">
        <v>102.14</v>
      </c>
      <c r="Y154" s="173">
        <v>6</v>
      </c>
      <c r="Z154" s="173">
        <v>0.00633483454082632</v>
      </c>
      <c r="AA154" s="173">
        <v>157.857319485658</v>
      </c>
      <c r="AB154" s="2" t="str">
        <f>VLOOKUP(T:T,'1店'!$B:$B,1,0)</f>
        <v>Y1100-GA</v>
      </c>
      <c r="AC154" s="173" t="s">
        <v>354</v>
      </c>
      <c r="AD154" s="173">
        <v>1102</v>
      </c>
      <c r="AE154" s="173">
        <v>1</v>
      </c>
      <c r="AF154" s="173">
        <v>1.46897</v>
      </c>
      <c r="AG154" s="173">
        <v>230.07</v>
      </c>
      <c r="AH154" s="173">
        <v>13</v>
      </c>
      <c r="AI154" s="173">
        <v>0.00638488286173773</v>
      </c>
      <c r="AJ154" s="173">
        <v>156.619944587024</v>
      </c>
      <c r="AK154" s="1" t="str">
        <f>VLOOKUP(AC:AC,'1店'!$B:$B,1,0)</f>
        <v>Y1100-GA</v>
      </c>
      <c r="AZ154"/>
      <c r="BA154"/>
    </row>
    <row r="155" spans="11:53">
      <c r="K155" s="173" t="s">
        <v>357</v>
      </c>
      <c r="L155" s="173">
        <v>253</v>
      </c>
      <c r="M155" s="173">
        <v>0</v>
      </c>
      <c r="N155" s="173">
        <v>0.34244</v>
      </c>
      <c r="O155" s="173">
        <v>88.94</v>
      </c>
      <c r="P155" s="173">
        <v>6</v>
      </c>
      <c r="Q155" s="173">
        <v>0.00385023611423432</v>
      </c>
      <c r="R155" s="173">
        <v>259.724331269712</v>
      </c>
      <c r="S155" s="1" t="str">
        <f>VLOOKUP(K:K,'1店'!$B:$B,1,0)</f>
        <v>Y1100-RE</v>
      </c>
      <c r="T155" s="173" t="s">
        <v>357</v>
      </c>
      <c r="U155" s="173">
        <v>625</v>
      </c>
      <c r="V155" s="173">
        <v>1</v>
      </c>
      <c r="W155" s="173">
        <v>0.82119</v>
      </c>
      <c r="X155" s="173">
        <v>137.71</v>
      </c>
      <c r="Y155" s="173">
        <v>9</v>
      </c>
      <c r="Z155" s="173">
        <v>0.00596318350156125</v>
      </c>
      <c r="AA155" s="173">
        <v>167.695661174637</v>
      </c>
      <c r="AB155" s="2" t="str">
        <f>VLOOKUP(T:T,'1店'!$B:$B,1,0)</f>
        <v>Y1100-RE</v>
      </c>
      <c r="AC155" s="173" t="s">
        <v>357</v>
      </c>
      <c r="AD155" s="173">
        <v>1262</v>
      </c>
      <c r="AE155" s="173">
        <v>3</v>
      </c>
      <c r="AF155" s="173">
        <v>1.72516</v>
      </c>
      <c r="AG155" s="173">
        <v>274.65</v>
      </c>
      <c r="AH155" s="173">
        <v>15</v>
      </c>
      <c r="AI155" s="173">
        <v>0.00628130347715274</v>
      </c>
      <c r="AJ155" s="173">
        <v>159.202624684087</v>
      </c>
      <c r="AK155" s="1" t="str">
        <f>VLOOKUP(AC:AC,'1店'!$B:$B,1,0)</f>
        <v>Y1100-RE</v>
      </c>
      <c r="AZ155"/>
      <c r="BA155"/>
    </row>
    <row r="156" spans="11:53">
      <c r="K156" s="173" t="s">
        <v>426</v>
      </c>
      <c r="L156" s="173"/>
      <c r="M156" s="173"/>
      <c r="N156" s="173"/>
      <c r="O156" s="173"/>
      <c r="P156" s="173"/>
      <c r="Q156" s="173"/>
      <c r="R156" s="173"/>
      <c r="S156" s="1" t="e">
        <f>VLOOKUP(K:K,'1店'!$B:$B,1,0)</f>
        <v>#N/A</v>
      </c>
      <c r="T156" s="173" t="s">
        <v>426</v>
      </c>
      <c r="U156" s="173"/>
      <c r="V156" s="173"/>
      <c r="W156" s="173"/>
      <c r="X156" s="173"/>
      <c r="Y156" s="173"/>
      <c r="Z156" s="173"/>
      <c r="AA156" s="173"/>
      <c r="AB156" s="2" t="e">
        <f>VLOOKUP(T:T,'1店'!$B:$B,1,0)</f>
        <v>#N/A</v>
      </c>
      <c r="AC156" s="173" t="s">
        <v>426</v>
      </c>
      <c r="AD156" s="173"/>
      <c r="AE156" s="173"/>
      <c r="AF156" s="173"/>
      <c r="AG156" s="173"/>
      <c r="AH156" s="173"/>
      <c r="AI156" s="173"/>
      <c r="AJ156" s="173"/>
      <c r="AK156" s="1" t="e">
        <f>VLOOKUP(AC:AC,'1店'!$B:$B,1,0)</f>
        <v>#N/A</v>
      </c>
      <c r="AZ156"/>
      <c r="BA156"/>
    </row>
    <row r="157" spans="11:54">
      <c r="K157" t="s">
        <v>390</v>
      </c>
      <c r="L157">
        <v>109</v>
      </c>
      <c r="M157">
        <v>0</v>
      </c>
      <c r="N157">
        <v>0.13611</v>
      </c>
      <c r="O157">
        <v>21.98</v>
      </c>
      <c r="P157">
        <v>2</v>
      </c>
      <c r="Q157">
        <v>0.00619244767970882</v>
      </c>
      <c r="R157">
        <v>161.487032547205</v>
      </c>
      <c r="S157" s="1" t="str">
        <f>VLOOKUP(K:K,'1店'!$B:$B,1,0)</f>
        <v>Y1084-ZH</v>
      </c>
      <c r="T157" t="s">
        <v>390</v>
      </c>
      <c r="U157">
        <v>287</v>
      </c>
      <c r="V157">
        <v>0</v>
      </c>
      <c r="W157">
        <v>0.36544</v>
      </c>
      <c r="X157">
        <v>110.72</v>
      </c>
      <c r="Y157">
        <v>8</v>
      </c>
      <c r="Z157">
        <v>0.00330057803468208</v>
      </c>
      <c r="AA157">
        <v>302.977232924694</v>
      </c>
      <c r="AB157" s="2" t="str">
        <f>VLOOKUP(T:T,'1店'!$B:$B,1,0)</f>
        <v>Y1084-ZH</v>
      </c>
      <c r="AC157" t="s">
        <v>390</v>
      </c>
      <c r="AD157">
        <v>470</v>
      </c>
      <c r="AE157">
        <v>1</v>
      </c>
      <c r="AF157">
        <v>0.64451</v>
      </c>
      <c r="AG157">
        <v>110.72</v>
      </c>
      <c r="AH157">
        <v>8</v>
      </c>
      <c r="AI157">
        <v>0.00582108020231214</v>
      </c>
      <c r="AJ157">
        <v>171.789421420924</v>
      </c>
      <c r="AK157" s="1" t="str">
        <f>VLOOKUP(AC:AC,'1店'!$B:$B,1,0)</f>
        <v>Y1084-ZH</v>
      </c>
      <c r="AZ157"/>
      <c r="BA157"/>
      <c r="BB157"/>
    </row>
    <row r="158" spans="11:54">
      <c r="K158" t="s">
        <v>399</v>
      </c>
      <c r="L158">
        <v>17</v>
      </c>
      <c r="M158">
        <v>0</v>
      </c>
      <c r="N158">
        <v>0.01634</v>
      </c>
      <c r="O158">
        <v>0</v>
      </c>
      <c r="P158">
        <v>0</v>
      </c>
      <c r="Q158"/>
      <c r="R158">
        <v>0</v>
      </c>
      <c r="S158" s="1" t="str">
        <f>VLOOKUP(K:K,'1店'!$B:$B,1,0)</f>
        <v>Y1103-BL</v>
      </c>
      <c r="T158" t="s">
        <v>399</v>
      </c>
      <c r="U158">
        <v>35</v>
      </c>
      <c r="V158">
        <v>0</v>
      </c>
      <c r="W158">
        <v>0.03011</v>
      </c>
      <c r="X158">
        <v>9.99</v>
      </c>
      <c r="Y158">
        <v>1</v>
      </c>
      <c r="Z158">
        <v>0.00301401401401401</v>
      </c>
      <c r="AA158">
        <v>331.783460644304</v>
      </c>
      <c r="AB158" s="2" t="str">
        <f>VLOOKUP(T:T,'1店'!$B:$B,1,0)</f>
        <v>Y1103-BL</v>
      </c>
      <c r="AC158" t="s">
        <v>399</v>
      </c>
      <c r="AD158">
        <v>35</v>
      </c>
      <c r="AE158">
        <v>0</v>
      </c>
      <c r="AF158">
        <v>0.03011</v>
      </c>
      <c r="AG158">
        <v>9.99</v>
      </c>
      <c r="AH158">
        <v>1</v>
      </c>
      <c r="AI158">
        <v>0.00301401401401401</v>
      </c>
      <c r="AJ158">
        <v>331.783460644304</v>
      </c>
      <c r="AK158" s="1" t="str">
        <f>VLOOKUP(AC:AC,'1店'!$B:$B,1,0)</f>
        <v>Y1103-BL</v>
      </c>
      <c r="AZ158"/>
      <c r="BA158"/>
      <c r="BB158"/>
    </row>
    <row r="159" spans="11:54">
      <c r="K159" t="s">
        <v>402</v>
      </c>
      <c r="L159">
        <v>21</v>
      </c>
      <c r="M159">
        <v>0</v>
      </c>
      <c r="N159">
        <v>0.03589</v>
      </c>
      <c r="O159">
        <v>0</v>
      </c>
      <c r="P159">
        <v>0</v>
      </c>
      <c r="Q159"/>
      <c r="R159">
        <v>0</v>
      </c>
      <c r="S159" s="1" t="str">
        <f>VLOOKUP(K:K,'1店'!$B:$B,1,0)</f>
        <v>Y1103-SI</v>
      </c>
      <c r="T159" t="s">
        <v>402</v>
      </c>
      <c r="U159">
        <v>41</v>
      </c>
      <c r="V159">
        <v>0</v>
      </c>
      <c r="W159">
        <v>0.06398</v>
      </c>
      <c r="X159">
        <v>0</v>
      </c>
      <c r="Y159">
        <v>0</v>
      </c>
      <c r="Z159"/>
      <c r="AA159">
        <v>0</v>
      </c>
      <c r="AB159" s="2" t="str">
        <f>VLOOKUP(T:T,'1店'!$B:$B,1,0)</f>
        <v>Y1103-SI</v>
      </c>
      <c r="AC159" t="s">
        <v>402</v>
      </c>
      <c r="AD159">
        <v>41</v>
      </c>
      <c r="AE159">
        <v>0</v>
      </c>
      <c r="AF159">
        <v>0.06398</v>
      </c>
      <c r="AG159">
        <v>0</v>
      </c>
      <c r="AH159">
        <v>0</v>
      </c>
      <c r="AI159"/>
      <c r="AJ159">
        <v>0</v>
      </c>
      <c r="AK159" s="1" t="str">
        <f>VLOOKUP(AC:AC,'1店'!$B:$B,1,0)</f>
        <v>Y1103-SI</v>
      </c>
      <c r="AZ159"/>
      <c r="BA159"/>
      <c r="BB159"/>
    </row>
    <row r="160" spans="11:54">
      <c r="K160" t="s">
        <v>343</v>
      </c>
      <c r="L160">
        <v>26</v>
      </c>
      <c r="M160">
        <v>0</v>
      </c>
      <c r="N160">
        <v>0.039</v>
      </c>
      <c r="O160">
        <v>0</v>
      </c>
      <c r="P160">
        <v>0</v>
      </c>
      <c r="Q160"/>
      <c r="R160">
        <v>0</v>
      </c>
      <c r="S160" s="1" t="str">
        <f>VLOOKUP(K:K,'1店'!$B:$B,1,0)</f>
        <v>Y1095</v>
      </c>
      <c r="T160" t="s">
        <v>343</v>
      </c>
      <c r="U160">
        <v>45</v>
      </c>
      <c r="V160">
        <v>0</v>
      </c>
      <c r="W160">
        <v>0.0578</v>
      </c>
      <c r="X160">
        <v>0</v>
      </c>
      <c r="Y160">
        <v>0</v>
      </c>
      <c r="Z160"/>
      <c r="AA160">
        <v>0</v>
      </c>
      <c r="AB160" s="2" t="str">
        <f>VLOOKUP(T:T,'1店'!$B:$B,1,0)</f>
        <v>Y1095</v>
      </c>
      <c r="AC160" t="s">
        <v>343</v>
      </c>
      <c r="AD160">
        <v>45</v>
      </c>
      <c r="AE160">
        <v>0</v>
      </c>
      <c r="AF160">
        <v>0.0578</v>
      </c>
      <c r="AG160">
        <v>0</v>
      </c>
      <c r="AH160">
        <v>0</v>
      </c>
      <c r="AI160"/>
      <c r="AJ160">
        <v>0</v>
      </c>
      <c r="AK160" s="1" t="str">
        <f>VLOOKUP(AC:AC,'1店'!$B:$B,1,0)</f>
        <v>Y1095</v>
      </c>
      <c r="AZ160"/>
      <c r="BA160"/>
      <c r="BB160"/>
    </row>
    <row r="161" spans="11:54">
      <c r="K161" t="s">
        <v>301</v>
      </c>
      <c r="L161">
        <v>8</v>
      </c>
      <c r="M161">
        <v>0</v>
      </c>
      <c r="N161">
        <v>0.00528</v>
      </c>
      <c r="O161">
        <v>0</v>
      </c>
      <c r="P161">
        <v>0</v>
      </c>
      <c r="Q161"/>
      <c r="R161">
        <v>0</v>
      </c>
      <c r="S161" s="1" t="str">
        <f>VLOOKUP(K:K,'1店'!$B:$B,1,0)</f>
        <v>Y1038-PU</v>
      </c>
      <c r="T161" t="s">
        <v>301</v>
      </c>
      <c r="U161">
        <v>14</v>
      </c>
      <c r="V161">
        <v>0</v>
      </c>
      <c r="W161">
        <v>0.00684</v>
      </c>
      <c r="X161">
        <v>19.98</v>
      </c>
      <c r="Y161">
        <v>2</v>
      </c>
      <c r="Z161">
        <v>0.000342342342342342</v>
      </c>
      <c r="AA161">
        <v>2921.05263157895</v>
      </c>
      <c r="AB161" s="2" t="str">
        <f>VLOOKUP(T:T,'1店'!$B:$B,1,0)</f>
        <v>Y1038-PU</v>
      </c>
      <c r="AC161" t="s">
        <v>301</v>
      </c>
      <c r="AD161">
        <v>14</v>
      </c>
      <c r="AE161">
        <v>0</v>
      </c>
      <c r="AF161">
        <v>0.00684</v>
      </c>
      <c r="AG161">
        <v>19.98</v>
      </c>
      <c r="AH161">
        <v>2</v>
      </c>
      <c r="AI161">
        <v>0.000342342342342342</v>
      </c>
      <c r="AJ161">
        <v>2921.05263157895</v>
      </c>
      <c r="AK161" s="1" t="str">
        <f>VLOOKUP(AC:AC,'1店'!$B:$B,1,0)</f>
        <v>Y1038-PU</v>
      </c>
      <c r="AZ161"/>
      <c r="BA161"/>
      <c r="BB161"/>
    </row>
    <row r="162" spans="11:54">
      <c r="K162" t="s">
        <v>295</v>
      </c>
      <c r="L162">
        <v>7</v>
      </c>
      <c r="M162">
        <v>0</v>
      </c>
      <c r="N162">
        <v>0.00315</v>
      </c>
      <c r="O162">
        <v>0</v>
      </c>
      <c r="P162">
        <v>0</v>
      </c>
      <c r="Q162"/>
      <c r="R162">
        <v>0</v>
      </c>
      <c r="S162" s="1" t="str">
        <f>VLOOKUP(K:K,'1店'!$B:$B,1,0)</f>
        <v>Y1038-BU</v>
      </c>
      <c r="T162" t="s">
        <v>295</v>
      </c>
      <c r="U162">
        <v>22</v>
      </c>
      <c r="V162">
        <v>0</v>
      </c>
      <c r="W162">
        <v>0.01389</v>
      </c>
      <c r="X162">
        <v>9.99</v>
      </c>
      <c r="Y162">
        <v>1</v>
      </c>
      <c r="Z162">
        <v>0.00139039039039039</v>
      </c>
      <c r="AA162">
        <v>719.222462203024</v>
      </c>
      <c r="AB162" s="2" t="str">
        <f>VLOOKUP(T:T,'1店'!$B:$B,1,0)</f>
        <v>Y1038-BU</v>
      </c>
      <c r="AC162" t="s">
        <v>295</v>
      </c>
      <c r="AD162">
        <v>22</v>
      </c>
      <c r="AE162">
        <v>0</v>
      </c>
      <c r="AF162">
        <v>0.01389</v>
      </c>
      <c r="AG162">
        <v>9.99</v>
      </c>
      <c r="AH162">
        <v>1</v>
      </c>
      <c r="AI162">
        <v>0.00139039039039039</v>
      </c>
      <c r="AJ162">
        <v>719.222462203024</v>
      </c>
      <c r="AK162" s="1" t="str">
        <f>VLOOKUP(AC:AC,'1店'!$B:$B,1,0)</f>
        <v>Y1038-BU</v>
      </c>
      <c r="AZ162"/>
      <c r="BA162"/>
      <c r="BB162"/>
    </row>
    <row r="163" spans="11:54">
      <c r="K163" t="s">
        <v>298</v>
      </c>
      <c r="L163">
        <v>4</v>
      </c>
      <c r="M163">
        <v>0</v>
      </c>
      <c r="N163">
        <v>0</v>
      </c>
      <c r="O163">
        <v>0</v>
      </c>
      <c r="P163">
        <v>0</v>
      </c>
      <c r="Q163"/>
      <c r="R163"/>
      <c r="S163" s="1" t="str">
        <f>VLOOKUP(K:K,'1店'!$B:$B,1,0)</f>
        <v>Y1038-GL</v>
      </c>
      <c r="T163" t="s">
        <v>298</v>
      </c>
      <c r="U163">
        <v>12</v>
      </c>
      <c r="V163">
        <v>0</v>
      </c>
      <c r="W163">
        <v>0.00659</v>
      </c>
      <c r="X163">
        <v>0</v>
      </c>
      <c r="Y163">
        <v>0</v>
      </c>
      <c r="Z163"/>
      <c r="AA163">
        <v>0</v>
      </c>
      <c r="AB163" s="2" t="str">
        <f>VLOOKUP(T:T,'1店'!$B:$B,1,0)</f>
        <v>Y1038-GL</v>
      </c>
      <c r="AC163" t="s">
        <v>298</v>
      </c>
      <c r="AD163">
        <v>12</v>
      </c>
      <c r="AE163">
        <v>0</v>
      </c>
      <c r="AF163">
        <v>0.00659</v>
      </c>
      <c r="AG163">
        <v>0</v>
      </c>
      <c r="AH163">
        <v>0</v>
      </c>
      <c r="AI163"/>
      <c r="AJ163">
        <v>0</v>
      </c>
      <c r="AK163" s="1" t="str">
        <f>VLOOKUP(AC:AC,'1店'!$B:$B,1,0)</f>
        <v>Y1038-GL</v>
      </c>
      <c r="AN163" s="29"/>
      <c r="AO163" s="29"/>
      <c r="AR163"/>
      <c r="AS163"/>
      <c r="AZ163"/>
      <c r="BA163"/>
      <c r="BB163"/>
    </row>
    <row r="164" spans="11:54">
      <c r="K164" t="s">
        <v>334</v>
      </c>
      <c r="L164">
        <v>2109</v>
      </c>
      <c r="M164">
        <v>2</v>
      </c>
      <c r="N164">
        <v>4.02147</v>
      </c>
      <c r="O164">
        <v>0</v>
      </c>
      <c r="P164">
        <v>0</v>
      </c>
      <c r="Q164"/>
      <c r="R164">
        <v>0</v>
      </c>
      <c r="S164" s="1" t="str">
        <f>VLOOKUP(K:K,'1店'!$B:$B,1,0)</f>
        <v>Y1094-YW</v>
      </c>
      <c r="T164" t="s">
        <v>334</v>
      </c>
      <c r="U164">
        <v>2325</v>
      </c>
      <c r="V164">
        <v>2</v>
      </c>
      <c r="W164">
        <v>4.49935</v>
      </c>
      <c r="X164">
        <v>0</v>
      </c>
      <c r="Y164">
        <v>0</v>
      </c>
      <c r="Z164"/>
      <c r="AA164">
        <v>0</v>
      </c>
      <c r="AB164" s="2" t="str">
        <f>VLOOKUP(T:T,'1店'!$B:$B,1,0)</f>
        <v>Y1094-YW</v>
      </c>
      <c r="AC164" t="s">
        <v>334</v>
      </c>
      <c r="AD164">
        <v>2325</v>
      </c>
      <c r="AE164">
        <v>2</v>
      </c>
      <c r="AF164">
        <v>4.49935</v>
      </c>
      <c r="AG164">
        <v>0</v>
      </c>
      <c r="AH164">
        <v>0</v>
      </c>
      <c r="AI164"/>
      <c r="AJ164">
        <v>0</v>
      </c>
      <c r="AK164" s="1" t="str">
        <f>VLOOKUP(AC:AC,'1店'!$B:$B,1,0)</f>
        <v>Y1094-YW</v>
      </c>
      <c r="AN164" s="29"/>
      <c r="AO164" s="29"/>
      <c r="AR164"/>
      <c r="AS164"/>
      <c r="AZ164"/>
      <c r="BA164"/>
      <c r="BB164"/>
    </row>
    <row r="165" spans="11:54">
      <c r="K165" t="s">
        <v>331</v>
      </c>
      <c r="L165">
        <v>660</v>
      </c>
      <c r="M165">
        <v>0</v>
      </c>
      <c r="N165">
        <v>1.26836</v>
      </c>
      <c r="O165">
        <v>0</v>
      </c>
      <c r="P165">
        <v>0</v>
      </c>
      <c r="Q165"/>
      <c r="R165">
        <v>0</v>
      </c>
      <c r="S165" s="1" t="str">
        <f>VLOOKUP(K:K,'1店'!$B:$B,1,0)</f>
        <v>Y1094-RE</v>
      </c>
      <c r="T165" t="s">
        <v>331</v>
      </c>
      <c r="U165">
        <v>929</v>
      </c>
      <c r="V165">
        <v>1</v>
      </c>
      <c r="W165">
        <v>1.80774</v>
      </c>
      <c r="X165">
        <v>0</v>
      </c>
      <c r="Y165">
        <v>0</v>
      </c>
      <c r="Z165"/>
      <c r="AA165">
        <v>0</v>
      </c>
      <c r="AB165" s="2" t="str">
        <f>VLOOKUP(T:T,'1店'!$B:$B,1,0)</f>
        <v>Y1094-RE</v>
      </c>
      <c r="AC165" t="s">
        <v>331</v>
      </c>
      <c r="AD165">
        <v>929</v>
      </c>
      <c r="AE165">
        <v>1</v>
      </c>
      <c r="AF165">
        <v>1.80774</v>
      </c>
      <c r="AG165">
        <v>0</v>
      </c>
      <c r="AH165">
        <v>0</v>
      </c>
      <c r="AI165"/>
      <c r="AJ165">
        <v>0</v>
      </c>
      <c r="AK165" s="1" t="str">
        <f>VLOOKUP(AC:AC,'1店'!$B:$B,1,0)</f>
        <v>Y1094-RE</v>
      </c>
      <c r="AN165" s="29"/>
      <c r="AO165" s="29"/>
      <c r="AR165"/>
      <c r="AS165"/>
      <c r="AZ165"/>
      <c r="BA165"/>
      <c r="BB165"/>
    </row>
    <row r="166" spans="11:54">
      <c r="K166" t="s">
        <v>439</v>
      </c>
      <c r="L166">
        <v>10131</v>
      </c>
      <c r="M166">
        <v>20</v>
      </c>
      <c r="N166">
        <v>20.48504</v>
      </c>
      <c r="O166">
        <v>843.5</v>
      </c>
      <c r="P166">
        <v>47</v>
      </c>
      <c r="Q166">
        <v>0.599786349855472</v>
      </c>
      <c r="R166">
        <v>5817.93603842126</v>
      </c>
      <c r="T166" t="s">
        <v>439</v>
      </c>
      <c r="U166">
        <v>18918</v>
      </c>
      <c r="V166">
        <v>40</v>
      </c>
      <c r="W166">
        <v>37.42861</v>
      </c>
      <c r="X166">
        <v>2291.26</v>
      </c>
      <c r="Y166">
        <v>127</v>
      </c>
      <c r="Z166">
        <v>0.432043286039155</v>
      </c>
      <c r="AA166">
        <v>10054.7992238572</v>
      </c>
      <c r="AC166" t="s">
        <v>439</v>
      </c>
      <c r="AD166">
        <v>31892</v>
      </c>
      <c r="AE166">
        <v>75</v>
      </c>
      <c r="AF166">
        <v>69.44291</v>
      </c>
      <c r="AG166">
        <v>3411.75</v>
      </c>
      <c r="AH166">
        <v>186</v>
      </c>
      <c r="AI166">
        <v>0.681644193811317</v>
      </c>
      <c r="AJ166">
        <v>10397.3268793564</v>
      </c>
      <c r="AN166" s="29"/>
      <c r="AO166" s="29"/>
      <c r="AR166"/>
      <c r="AS166"/>
      <c r="AZ166"/>
      <c r="BA166"/>
      <c r="BB166"/>
    </row>
    <row r="167" spans="40:54">
      <c r="AN167" s="29"/>
      <c r="AO167" s="29"/>
      <c r="AR167"/>
      <c r="AS167"/>
      <c r="AZ167"/>
      <c r="BA167"/>
      <c r="BB167"/>
    </row>
    <row r="168" spans="11:54">
      <c r="K168"/>
      <c r="L168"/>
      <c r="M168"/>
      <c r="N168"/>
      <c r="O168"/>
      <c r="P168"/>
      <c r="Q168"/>
      <c r="R168"/>
      <c r="S168"/>
      <c r="U168"/>
      <c r="V168"/>
      <c r="W168"/>
      <c r="X168"/>
      <c r="Y168"/>
      <c r="Z168"/>
      <c r="AA168"/>
      <c r="AB168"/>
      <c r="AC168"/>
      <c r="AE168"/>
      <c r="AF168"/>
      <c r="AG168"/>
      <c r="AH168"/>
      <c r="AI168"/>
      <c r="AJ168"/>
      <c r="AK168"/>
      <c r="AZ168"/>
      <c r="BA168"/>
      <c r="BB168"/>
    </row>
    <row r="169" spans="11:54">
      <c r="K169"/>
      <c r="L169"/>
      <c r="M169"/>
      <c r="N169"/>
      <c r="O169"/>
      <c r="P169"/>
      <c r="Q169"/>
      <c r="R169"/>
      <c r="S169"/>
      <c r="U169"/>
      <c r="V169"/>
      <c r="W169"/>
      <c r="X169"/>
      <c r="Y169"/>
      <c r="Z169"/>
      <c r="AA169"/>
      <c r="AB169"/>
      <c r="AC169"/>
      <c r="AE169"/>
      <c r="AF169"/>
      <c r="AG169"/>
      <c r="AH169"/>
      <c r="AI169"/>
      <c r="AJ169"/>
      <c r="AK169"/>
      <c r="AZ169"/>
      <c r="BA169"/>
      <c r="BB169"/>
    </row>
    <row r="170" spans="11:54">
      <c r="K170"/>
      <c r="L170"/>
      <c r="M170"/>
      <c r="N170"/>
      <c r="O170"/>
      <c r="P170"/>
      <c r="Q170"/>
      <c r="R170"/>
      <c r="S170"/>
      <c r="U170"/>
      <c r="V170"/>
      <c r="W170"/>
      <c r="X170"/>
      <c r="Y170"/>
      <c r="Z170"/>
      <c r="AA170"/>
      <c r="AB170"/>
      <c r="AC170"/>
      <c r="AE170"/>
      <c r="AF170"/>
      <c r="AG170"/>
      <c r="AH170"/>
      <c r="AI170"/>
      <c r="AJ170"/>
      <c r="AK170"/>
      <c r="AZ170"/>
      <c r="BA170"/>
      <c r="BB170"/>
    </row>
    <row r="171" spans="11:54">
      <c r="K171"/>
      <c r="L171"/>
      <c r="M171"/>
      <c r="N171"/>
      <c r="O171"/>
      <c r="P171"/>
      <c r="Q171"/>
      <c r="R171"/>
      <c r="S171"/>
      <c r="U171"/>
      <c r="V171"/>
      <c r="W171"/>
      <c r="X171"/>
      <c r="Y171"/>
      <c r="Z171"/>
      <c r="AA171"/>
      <c r="AB171"/>
      <c r="AC171"/>
      <c r="AE171"/>
      <c r="AF171"/>
      <c r="AG171"/>
      <c r="AH171"/>
      <c r="AI171"/>
      <c r="AJ171"/>
      <c r="AK171"/>
      <c r="AZ171"/>
      <c r="BA171"/>
      <c r="BB171"/>
    </row>
    <row r="172" spans="11:54">
      <c r="K172"/>
      <c r="L172"/>
      <c r="M172"/>
      <c r="N172"/>
      <c r="O172"/>
      <c r="P172"/>
      <c r="Q172"/>
      <c r="R172"/>
      <c r="S172"/>
      <c r="U172"/>
      <c r="V172"/>
      <c r="W172"/>
      <c r="X172"/>
      <c r="Y172"/>
      <c r="Z172"/>
      <c r="AA172"/>
      <c r="AB172"/>
      <c r="AC172"/>
      <c r="AE172"/>
      <c r="AF172"/>
      <c r="AG172"/>
      <c r="AH172"/>
      <c r="AI172"/>
      <c r="AJ172"/>
      <c r="AK172"/>
      <c r="AZ172"/>
      <c r="BA172"/>
      <c r="BB172"/>
    </row>
    <row r="173" spans="11:37">
      <c r="K173"/>
      <c r="L173"/>
      <c r="M173"/>
      <c r="N173"/>
      <c r="O173"/>
      <c r="P173"/>
      <c r="Q173"/>
      <c r="R173"/>
      <c r="S173"/>
      <c r="U173"/>
      <c r="V173"/>
      <c r="W173"/>
      <c r="X173"/>
      <c r="Y173"/>
      <c r="Z173"/>
      <c r="AA173"/>
      <c r="AB173"/>
      <c r="AC173"/>
      <c r="AE173"/>
      <c r="AF173"/>
      <c r="AG173"/>
      <c r="AH173"/>
      <c r="AI173"/>
      <c r="AJ173"/>
      <c r="AK173"/>
    </row>
    <row r="174" spans="11:37">
      <c r="K174"/>
      <c r="L174"/>
      <c r="M174"/>
      <c r="N174"/>
      <c r="O174"/>
      <c r="P174"/>
      <c r="Q174"/>
      <c r="R174"/>
      <c r="S174"/>
      <c r="U174"/>
      <c r="V174"/>
      <c r="W174"/>
      <c r="X174"/>
      <c r="Y174"/>
      <c r="Z174"/>
      <c r="AA174"/>
      <c r="AB174"/>
      <c r="AC174"/>
      <c r="AE174"/>
      <c r="AF174"/>
      <c r="AG174"/>
      <c r="AH174"/>
      <c r="AI174"/>
      <c r="AJ174"/>
      <c r="AK174"/>
    </row>
    <row r="175" spans="11:37">
      <c r="K175"/>
      <c r="L175"/>
      <c r="M175"/>
      <c r="N175"/>
      <c r="O175"/>
      <c r="P175"/>
      <c r="Q175"/>
      <c r="R175"/>
      <c r="S175"/>
      <c r="U175"/>
      <c r="V175"/>
      <c r="W175"/>
      <c r="X175"/>
      <c r="Y175"/>
      <c r="Z175"/>
      <c r="AA175"/>
      <c r="AB175"/>
      <c r="AC175"/>
      <c r="AE175"/>
      <c r="AF175"/>
      <c r="AG175"/>
      <c r="AH175"/>
      <c r="AI175"/>
      <c r="AJ175"/>
      <c r="AK175"/>
    </row>
    <row r="176" spans="11:37">
      <c r="K176"/>
      <c r="L176"/>
      <c r="M176"/>
      <c r="N176"/>
      <c r="O176"/>
      <c r="P176"/>
      <c r="Q176"/>
      <c r="R176"/>
      <c r="S176"/>
      <c r="U176"/>
      <c r="V176"/>
      <c r="W176"/>
      <c r="X176"/>
      <c r="Y176"/>
      <c r="Z176"/>
      <c r="AA176"/>
      <c r="AB176"/>
      <c r="AC176"/>
      <c r="AE176"/>
      <c r="AF176"/>
      <c r="AG176"/>
      <c r="AH176"/>
      <c r="AI176"/>
      <c r="AJ176"/>
      <c r="AK176"/>
    </row>
    <row r="177" spans="11:37">
      <c r="K177"/>
      <c r="L177"/>
      <c r="M177"/>
      <c r="N177"/>
      <c r="O177"/>
      <c r="P177"/>
      <c r="Q177"/>
      <c r="R177"/>
      <c r="S177"/>
      <c r="U177"/>
      <c r="V177"/>
      <c r="W177"/>
      <c r="X177"/>
      <c r="Y177"/>
      <c r="Z177"/>
      <c r="AA177"/>
      <c r="AB177"/>
      <c r="AC177"/>
      <c r="AE177"/>
      <c r="AF177"/>
      <c r="AG177"/>
      <c r="AH177"/>
      <c r="AI177"/>
      <c r="AJ177"/>
      <c r="AK177"/>
    </row>
    <row r="178" spans="11:37">
      <c r="K178" t="s">
        <v>457</v>
      </c>
      <c r="L178"/>
      <c r="M178"/>
      <c r="N178"/>
      <c r="O178"/>
      <c r="P178"/>
      <c r="Q178"/>
      <c r="R178"/>
      <c r="S178"/>
      <c r="T178" t="s">
        <v>457</v>
      </c>
      <c r="U178"/>
      <c r="V178"/>
      <c r="W178"/>
      <c r="X178"/>
      <c r="Y178"/>
      <c r="Z178"/>
      <c r="AA178"/>
      <c r="AB178"/>
      <c r="AC178" t="s">
        <v>457</v>
      </c>
      <c r="AD178"/>
      <c r="AE178"/>
      <c r="AF178"/>
      <c r="AG178"/>
      <c r="AH178"/>
      <c r="AI178"/>
      <c r="AJ178"/>
      <c r="AK178"/>
    </row>
    <row r="179" spans="11:37">
      <c r="K179" s="181" t="s">
        <v>313</v>
      </c>
      <c r="L179"/>
      <c r="M179"/>
      <c r="N179">
        <f>$N$182/3</f>
        <v>1.74</v>
      </c>
      <c r="O179">
        <f>$O$182/3</f>
        <v>0</v>
      </c>
      <c r="P179"/>
      <c r="Q179"/>
      <c r="R179"/>
      <c r="S179" s="1" t="str">
        <f>VLOOKUP(K:K,'1店'!$B:$B,1,0)</f>
        <v>Y1058-ZH</v>
      </c>
      <c r="T179" s="181" t="s">
        <v>313</v>
      </c>
      <c r="U179"/>
      <c r="V179"/>
      <c r="W179">
        <f>$W$182/3</f>
        <v>4.36333333333333</v>
      </c>
      <c r="X179">
        <f>$X$182/3</f>
        <v>36.5833333333333</v>
      </c>
      <c r="Y179"/>
      <c r="Z179"/>
      <c r="AA179"/>
      <c r="AB179" s="1" t="str">
        <f>VLOOKUP(T:T,'1店'!$B:$B,1,0)</f>
        <v>Y1058-ZH</v>
      </c>
      <c r="AC179" s="181" t="s">
        <v>313</v>
      </c>
      <c r="AD179"/>
      <c r="AE179"/>
      <c r="AF179">
        <f>$AF$182/3</f>
        <v>8.73333333333333</v>
      </c>
      <c r="AG179">
        <f>$AG$182/3</f>
        <v>51.9066666666667</v>
      </c>
      <c r="AH179"/>
      <c r="AI179"/>
      <c r="AJ179"/>
      <c r="AK179" s="1" t="str">
        <f>VLOOKUP(AC:AC,'1店'!$B:$B,1,0)</f>
        <v>Y1058-ZH</v>
      </c>
    </row>
    <row r="180" spans="11:37">
      <c r="K180" s="181" t="s">
        <v>310</v>
      </c>
      <c r="L180"/>
      <c r="M180"/>
      <c r="N180">
        <f>$N$182/3</f>
        <v>1.74</v>
      </c>
      <c r="O180">
        <f>$O$182/3</f>
        <v>0</v>
      </c>
      <c r="P180"/>
      <c r="Q180"/>
      <c r="R180"/>
      <c r="S180" s="1" t="str">
        <f>VLOOKUP(K:K,'1店'!$B:$B,1,0)</f>
        <v>Y1057-ZH</v>
      </c>
      <c r="T180" s="181" t="s">
        <v>310</v>
      </c>
      <c r="U180"/>
      <c r="V180"/>
      <c r="W180">
        <f>$W$182/3</f>
        <v>4.36333333333333</v>
      </c>
      <c r="X180">
        <f>$X$182/3</f>
        <v>36.5833333333333</v>
      </c>
      <c r="Y180"/>
      <c r="Z180"/>
      <c r="AA180"/>
      <c r="AB180" s="1" t="str">
        <f>VLOOKUP(T:T,'1店'!$B:$B,1,0)</f>
        <v>Y1057-ZH</v>
      </c>
      <c r="AC180" s="181" t="s">
        <v>310</v>
      </c>
      <c r="AD180"/>
      <c r="AE180"/>
      <c r="AF180">
        <f>$AF$182/3</f>
        <v>8.73333333333333</v>
      </c>
      <c r="AG180">
        <f>$AG$182/3</f>
        <v>51.9066666666667</v>
      </c>
      <c r="AH180"/>
      <c r="AI180"/>
      <c r="AJ180"/>
      <c r="AK180" s="1" t="str">
        <f>VLOOKUP(AC:AC,'1店'!$B:$B,1,0)</f>
        <v>Y1057-ZH</v>
      </c>
    </row>
    <row r="181" spans="11:37">
      <c r="K181" s="181" t="s">
        <v>157</v>
      </c>
      <c r="L181"/>
      <c r="M181"/>
      <c r="N181">
        <f>$N$182/3</f>
        <v>1.74</v>
      </c>
      <c r="O181">
        <f>$O$182/3</f>
        <v>0</v>
      </c>
      <c r="P181"/>
      <c r="Q181"/>
      <c r="R181"/>
      <c r="S181" s="1" t="str">
        <f>VLOOKUP(K:K,'1店'!$B:$B,1,0)</f>
        <v>Y1055</v>
      </c>
      <c r="T181" s="181" t="s">
        <v>157</v>
      </c>
      <c r="U181"/>
      <c r="V181"/>
      <c r="W181">
        <f>$W$182/3</f>
        <v>4.36333333333333</v>
      </c>
      <c r="X181">
        <f>$X$182/3</f>
        <v>36.5833333333333</v>
      </c>
      <c r="Y181"/>
      <c r="Z181"/>
      <c r="AA181"/>
      <c r="AB181" s="1" t="str">
        <f>VLOOKUP(T:T,'1店'!$B:$B,1,0)</f>
        <v>Y1055</v>
      </c>
      <c r="AC181" s="181" t="s">
        <v>157</v>
      </c>
      <c r="AD181"/>
      <c r="AE181"/>
      <c r="AF181">
        <f>$AF$182/3</f>
        <v>8.73333333333333</v>
      </c>
      <c r="AG181">
        <f>$AG$182/3</f>
        <v>51.9066666666667</v>
      </c>
      <c r="AH181"/>
      <c r="AI181"/>
      <c r="AJ181"/>
      <c r="AK181" s="1" t="str">
        <f>VLOOKUP(AC:AC,'1店'!$B:$B,1,0)</f>
        <v>Y1055</v>
      </c>
    </row>
    <row r="182" spans="11:37">
      <c r="K182" t="s">
        <v>439</v>
      </c>
      <c r="L182"/>
      <c r="M182"/>
      <c r="N182" s="182">
        <v>5.22</v>
      </c>
      <c r="O182" s="182">
        <v>0</v>
      </c>
      <c r="P182"/>
      <c r="Q182"/>
      <c r="R182"/>
      <c r="S182" s="1"/>
      <c r="T182" t="s">
        <v>439</v>
      </c>
      <c r="U182"/>
      <c r="V182"/>
      <c r="W182" s="183">
        <v>13.09</v>
      </c>
      <c r="X182" s="183">
        <v>109.75</v>
      </c>
      <c r="Y182"/>
      <c r="Z182"/>
      <c r="AA182"/>
      <c r="AB182" s="1"/>
      <c r="AC182" t="s">
        <v>439</v>
      </c>
      <c r="AD182"/>
      <c r="AE182"/>
      <c r="AF182" s="183">
        <v>26.2</v>
      </c>
      <c r="AG182" s="183">
        <v>155.72</v>
      </c>
      <c r="AH182"/>
      <c r="AI182"/>
      <c r="AJ182"/>
      <c r="AK182" s="2"/>
    </row>
    <row r="183" spans="11:37">
      <c r="K183"/>
      <c r="L183"/>
      <c r="M183"/>
      <c r="N183"/>
      <c r="O183"/>
      <c r="P183"/>
      <c r="Q183"/>
      <c r="R183"/>
      <c r="S183"/>
      <c r="U183"/>
      <c r="V183"/>
      <c r="W183"/>
      <c r="X183"/>
      <c r="Y183"/>
      <c r="Z183"/>
      <c r="AA183"/>
      <c r="AB183"/>
      <c r="AC183"/>
      <c r="AE183"/>
      <c r="AF183"/>
      <c r="AG183"/>
      <c r="AH183"/>
      <c r="AI183"/>
      <c r="AJ183"/>
      <c r="AK183"/>
    </row>
    <row r="184" spans="11:37">
      <c r="K184"/>
      <c r="L184"/>
      <c r="M184"/>
      <c r="N184"/>
      <c r="O184"/>
      <c r="P184"/>
      <c r="Q184"/>
      <c r="R184"/>
      <c r="S184"/>
      <c r="U184"/>
      <c r="V184"/>
      <c r="W184"/>
      <c r="X184"/>
      <c r="Y184"/>
      <c r="Z184"/>
      <c r="AA184"/>
      <c r="AB184"/>
      <c r="AC184"/>
      <c r="AE184"/>
      <c r="AF184"/>
      <c r="AG184"/>
      <c r="AH184"/>
      <c r="AI184"/>
      <c r="AJ184"/>
      <c r="AK184"/>
    </row>
    <row r="185" spans="11:37">
      <c r="K185"/>
      <c r="L185"/>
      <c r="M185"/>
      <c r="N185"/>
      <c r="O185"/>
      <c r="P185"/>
      <c r="Q185"/>
      <c r="R185"/>
      <c r="S185"/>
      <c r="U185"/>
      <c r="V185"/>
      <c r="W185"/>
      <c r="X185"/>
      <c r="Y185"/>
      <c r="Z185"/>
      <c r="AA185"/>
      <c r="AB185"/>
      <c r="AC185"/>
      <c r="AE185"/>
      <c r="AF185"/>
      <c r="AG185"/>
      <c r="AH185"/>
      <c r="AI185"/>
      <c r="AJ185"/>
      <c r="AK185"/>
    </row>
    <row r="186" spans="11:37">
      <c r="K186"/>
      <c r="L186"/>
      <c r="M186"/>
      <c r="N186"/>
      <c r="O186"/>
      <c r="P186"/>
      <c r="Q186"/>
      <c r="R186"/>
      <c r="S186"/>
      <c r="U186"/>
      <c r="V186"/>
      <c r="W186"/>
      <c r="X186"/>
      <c r="Y186"/>
      <c r="Z186"/>
      <c r="AA186"/>
      <c r="AB186"/>
      <c r="AC186"/>
      <c r="AE186"/>
      <c r="AF186"/>
      <c r="AG186"/>
      <c r="AH186"/>
      <c r="AI186"/>
      <c r="AJ186"/>
      <c r="AK186"/>
    </row>
    <row r="187" spans="11:37">
      <c r="K187"/>
      <c r="L187"/>
      <c r="M187"/>
      <c r="N187"/>
      <c r="O187"/>
      <c r="P187"/>
      <c r="Q187"/>
      <c r="R187"/>
      <c r="S187"/>
      <c r="U187"/>
      <c r="V187"/>
      <c r="W187"/>
      <c r="X187"/>
      <c r="Y187"/>
      <c r="Z187"/>
      <c r="AA187"/>
      <c r="AB187"/>
      <c r="AC187"/>
      <c r="AE187"/>
      <c r="AF187"/>
      <c r="AG187"/>
      <c r="AH187"/>
      <c r="AI187"/>
      <c r="AJ187"/>
      <c r="AK187"/>
    </row>
    <row r="188" spans="11:37">
      <c r="K188"/>
      <c r="L188"/>
      <c r="M188"/>
      <c r="N188"/>
      <c r="O188"/>
      <c r="P188"/>
      <c r="Q188"/>
      <c r="R188"/>
      <c r="S188"/>
      <c r="U188"/>
      <c r="V188"/>
      <c r="W188"/>
      <c r="X188"/>
      <c r="Y188"/>
      <c r="Z188"/>
      <c r="AA188"/>
      <c r="AB188"/>
      <c r="AC188"/>
      <c r="AE188"/>
      <c r="AF188"/>
      <c r="AG188"/>
      <c r="AH188"/>
      <c r="AI188"/>
      <c r="AJ188"/>
      <c r="AK188"/>
    </row>
    <row r="189" spans="11:37">
      <c r="K189"/>
      <c r="L189"/>
      <c r="M189"/>
      <c r="N189"/>
      <c r="O189"/>
      <c r="P189"/>
      <c r="Q189"/>
      <c r="R189"/>
      <c r="S189"/>
      <c r="U189"/>
      <c r="V189"/>
      <c r="W189"/>
      <c r="X189"/>
      <c r="Y189"/>
      <c r="Z189"/>
      <c r="AA189"/>
      <c r="AB189"/>
      <c r="AC189"/>
      <c r="AE189"/>
      <c r="AF189"/>
      <c r="AG189"/>
      <c r="AH189"/>
      <c r="AI189"/>
      <c r="AJ189"/>
      <c r="AK189"/>
    </row>
    <row r="190" spans="11:37">
      <c r="K190"/>
      <c r="L190"/>
      <c r="M190"/>
      <c r="N190"/>
      <c r="O190"/>
      <c r="P190"/>
      <c r="Q190"/>
      <c r="R190"/>
      <c r="S190"/>
      <c r="U190"/>
      <c r="V190"/>
      <c r="W190"/>
      <c r="X190"/>
      <c r="Y190"/>
      <c r="Z190"/>
      <c r="AA190"/>
      <c r="AB190"/>
      <c r="AC190"/>
      <c r="AE190"/>
      <c r="AF190"/>
      <c r="AG190"/>
      <c r="AH190"/>
      <c r="AI190"/>
      <c r="AJ190"/>
      <c r="AK190"/>
    </row>
    <row r="191" spans="11:37">
      <c r="K191"/>
      <c r="L191"/>
      <c r="M191"/>
      <c r="N191"/>
      <c r="O191"/>
      <c r="P191"/>
      <c r="Q191"/>
      <c r="R191"/>
      <c r="S191"/>
      <c r="U191"/>
      <c r="V191"/>
      <c r="W191"/>
      <c r="X191"/>
      <c r="Y191"/>
      <c r="Z191"/>
      <c r="AA191"/>
      <c r="AB191"/>
      <c r="AC191"/>
      <c r="AE191"/>
      <c r="AF191"/>
      <c r="AG191"/>
      <c r="AH191"/>
      <c r="AI191"/>
      <c r="AJ191"/>
      <c r="AK191"/>
    </row>
    <row r="192" spans="11:37">
      <c r="K192"/>
      <c r="L192"/>
      <c r="M192"/>
      <c r="N192"/>
      <c r="O192"/>
      <c r="P192"/>
      <c r="Q192"/>
      <c r="R192"/>
      <c r="S192"/>
      <c r="U192"/>
      <c r="V192"/>
      <c r="W192"/>
      <c r="X192"/>
      <c r="Y192"/>
      <c r="Z192"/>
      <c r="AA192"/>
      <c r="AB192"/>
      <c r="AC192"/>
      <c r="AE192"/>
      <c r="AF192"/>
      <c r="AG192"/>
      <c r="AH192"/>
      <c r="AI192"/>
      <c r="AJ192"/>
      <c r="AK192"/>
    </row>
    <row r="193" spans="11:37">
      <c r="K193"/>
      <c r="L193"/>
      <c r="M193"/>
      <c r="N193"/>
      <c r="O193"/>
      <c r="P193"/>
      <c r="Q193"/>
      <c r="R193"/>
      <c r="S193"/>
      <c r="U193"/>
      <c r="V193"/>
      <c r="W193"/>
      <c r="X193"/>
      <c r="Y193"/>
      <c r="Z193"/>
      <c r="AA193"/>
      <c r="AB193"/>
      <c r="AC193"/>
      <c r="AE193"/>
      <c r="AF193"/>
      <c r="AG193"/>
      <c r="AH193"/>
      <c r="AI193"/>
      <c r="AJ193"/>
      <c r="AK193"/>
    </row>
    <row r="194" spans="11:37">
      <c r="K194"/>
      <c r="L194"/>
      <c r="M194"/>
      <c r="N194"/>
      <c r="O194"/>
      <c r="P194"/>
      <c r="Q194"/>
      <c r="R194"/>
      <c r="S194"/>
      <c r="U194"/>
      <c r="V194"/>
      <c r="W194"/>
      <c r="X194"/>
      <c r="Y194"/>
      <c r="Z194"/>
      <c r="AA194"/>
      <c r="AB194"/>
      <c r="AC194"/>
      <c r="AE194"/>
      <c r="AF194"/>
      <c r="AG194"/>
      <c r="AH194"/>
      <c r="AI194"/>
      <c r="AJ194"/>
      <c r="AK194"/>
    </row>
    <row r="195" spans="11:37">
      <c r="K195"/>
      <c r="L195"/>
      <c r="M195"/>
      <c r="N195"/>
      <c r="O195"/>
      <c r="P195"/>
      <c r="Q195"/>
      <c r="R195"/>
      <c r="S195"/>
      <c r="U195"/>
      <c r="V195"/>
      <c r="W195"/>
      <c r="X195"/>
      <c r="Y195"/>
      <c r="Z195"/>
      <c r="AA195"/>
      <c r="AB195"/>
      <c r="AC195"/>
      <c r="AE195"/>
      <c r="AF195"/>
      <c r="AG195"/>
      <c r="AH195"/>
      <c r="AI195"/>
      <c r="AJ195"/>
      <c r="AK195"/>
    </row>
    <row r="196" spans="11:37">
      <c r="K196"/>
      <c r="L196"/>
      <c r="M196"/>
      <c r="N196"/>
      <c r="O196"/>
      <c r="P196"/>
      <c r="Q196"/>
      <c r="R196"/>
      <c r="S196"/>
      <c r="U196"/>
      <c r="V196"/>
      <c r="W196"/>
      <c r="X196"/>
      <c r="Y196"/>
      <c r="Z196"/>
      <c r="AA196"/>
      <c r="AB196"/>
      <c r="AC196"/>
      <c r="AE196"/>
      <c r="AF196"/>
      <c r="AG196"/>
      <c r="AH196"/>
      <c r="AI196"/>
      <c r="AJ196"/>
      <c r="AK196"/>
    </row>
    <row r="197" spans="11:37">
      <c r="K197"/>
      <c r="L197"/>
      <c r="M197"/>
      <c r="N197"/>
      <c r="O197"/>
      <c r="P197"/>
      <c r="Q197"/>
      <c r="R197"/>
      <c r="S197"/>
      <c r="U197"/>
      <c r="V197"/>
      <c r="W197"/>
      <c r="X197"/>
      <c r="Y197"/>
      <c r="Z197"/>
      <c r="AA197"/>
      <c r="AB197"/>
      <c r="AC197"/>
      <c r="AE197"/>
      <c r="AF197"/>
      <c r="AG197"/>
      <c r="AH197"/>
      <c r="AI197"/>
      <c r="AJ197"/>
      <c r="AK197"/>
    </row>
    <row r="198" spans="11:37">
      <c r="K198"/>
      <c r="L198"/>
      <c r="M198"/>
      <c r="N198"/>
      <c r="O198"/>
      <c r="P198"/>
      <c r="Q198"/>
      <c r="R198"/>
      <c r="S198"/>
      <c r="U198"/>
      <c r="V198"/>
      <c r="W198"/>
      <c r="X198"/>
      <c r="Y198"/>
      <c r="Z198"/>
      <c r="AA198"/>
      <c r="AB198"/>
      <c r="AC198"/>
      <c r="AE198"/>
      <c r="AF198"/>
      <c r="AG198"/>
      <c r="AH198"/>
      <c r="AI198"/>
      <c r="AJ198"/>
      <c r="AK198"/>
    </row>
    <row r="199" spans="11:37">
      <c r="K199"/>
      <c r="L199"/>
      <c r="M199"/>
      <c r="N199"/>
      <c r="O199"/>
      <c r="P199"/>
      <c r="Q199"/>
      <c r="R199"/>
      <c r="S199"/>
      <c r="U199"/>
      <c r="V199"/>
      <c r="W199"/>
      <c r="X199"/>
      <c r="Y199"/>
      <c r="Z199"/>
      <c r="AA199"/>
      <c r="AB199"/>
      <c r="AC199"/>
      <c r="AE199"/>
      <c r="AF199"/>
      <c r="AG199"/>
      <c r="AH199"/>
      <c r="AI199"/>
      <c r="AJ199"/>
      <c r="AK199"/>
    </row>
    <row r="200" spans="11:37">
      <c r="K200"/>
      <c r="L200"/>
      <c r="M200"/>
      <c r="N200"/>
      <c r="O200"/>
      <c r="P200"/>
      <c r="Q200"/>
      <c r="R200"/>
      <c r="S200"/>
      <c r="U200"/>
      <c r="V200"/>
      <c r="W200"/>
      <c r="X200"/>
      <c r="Y200"/>
      <c r="Z200"/>
      <c r="AA200"/>
      <c r="AB200"/>
      <c r="AC200"/>
      <c r="AE200"/>
      <c r="AF200"/>
      <c r="AG200"/>
      <c r="AH200"/>
      <c r="AI200"/>
      <c r="AJ200"/>
      <c r="AK200"/>
    </row>
    <row r="201" spans="11:37">
      <c r="K201"/>
      <c r="L201"/>
      <c r="M201"/>
      <c r="N201"/>
      <c r="O201"/>
      <c r="P201"/>
      <c r="Q201"/>
      <c r="R201"/>
      <c r="S201"/>
      <c r="U201"/>
      <c r="V201"/>
      <c r="W201"/>
      <c r="X201"/>
      <c r="Y201"/>
      <c r="Z201"/>
      <c r="AA201"/>
      <c r="AB201"/>
      <c r="AC201"/>
      <c r="AE201"/>
      <c r="AF201"/>
      <c r="AG201"/>
      <c r="AH201"/>
      <c r="AI201"/>
      <c r="AJ201"/>
      <c r="AK201"/>
    </row>
    <row r="202" spans="11:37">
      <c r="K202"/>
      <c r="L202"/>
      <c r="M202"/>
      <c r="N202"/>
      <c r="O202"/>
      <c r="P202"/>
      <c r="Q202"/>
      <c r="R202"/>
      <c r="S202"/>
      <c r="U202"/>
      <c r="V202"/>
      <c r="W202"/>
      <c r="X202"/>
      <c r="Y202"/>
      <c r="Z202"/>
      <c r="AA202"/>
      <c r="AB202"/>
      <c r="AC202"/>
      <c r="AE202"/>
      <c r="AF202"/>
      <c r="AG202"/>
      <c r="AH202"/>
      <c r="AI202"/>
      <c r="AJ202"/>
      <c r="AK202"/>
    </row>
    <row r="203" spans="11:37">
      <c r="K203"/>
      <c r="L203"/>
      <c r="M203"/>
      <c r="N203"/>
      <c r="O203"/>
      <c r="P203"/>
      <c r="Q203"/>
      <c r="R203"/>
      <c r="S203"/>
      <c r="U203"/>
      <c r="V203"/>
      <c r="W203"/>
      <c r="X203"/>
      <c r="Y203"/>
      <c r="Z203"/>
      <c r="AA203"/>
      <c r="AB203"/>
      <c r="AC203"/>
      <c r="AE203"/>
      <c r="AF203"/>
      <c r="AG203"/>
      <c r="AH203"/>
      <c r="AI203"/>
      <c r="AJ203"/>
      <c r="AK203"/>
    </row>
    <row r="204" spans="11:37">
      <c r="K204"/>
      <c r="L204"/>
      <c r="M204"/>
      <c r="N204"/>
      <c r="O204"/>
      <c r="P204"/>
      <c r="Q204"/>
      <c r="R204"/>
      <c r="S204"/>
      <c r="U204"/>
      <c r="V204"/>
      <c r="W204"/>
      <c r="X204"/>
      <c r="Y204"/>
      <c r="Z204"/>
      <c r="AA204"/>
      <c r="AB204"/>
      <c r="AC204"/>
      <c r="AE204"/>
      <c r="AF204"/>
      <c r="AG204"/>
      <c r="AH204"/>
      <c r="AI204"/>
      <c r="AJ204"/>
      <c r="AK204"/>
    </row>
    <row r="205" spans="11:37">
      <c r="K205"/>
      <c r="L205"/>
      <c r="M205"/>
      <c r="N205"/>
      <c r="O205"/>
      <c r="P205"/>
      <c r="Q205"/>
      <c r="R205"/>
      <c r="S205"/>
      <c r="U205"/>
      <c r="V205"/>
      <c r="W205"/>
      <c r="X205"/>
      <c r="Y205"/>
      <c r="Z205"/>
      <c r="AA205"/>
      <c r="AB205"/>
      <c r="AC205"/>
      <c r="AE205"/>
      <c r="AF205"/>
      <c r="AG205"/>
      <c r="AH205"/>
      <c r="AI205"/>
      <c r="AJ205"/>
      <c r="AK205"/>
    </row>
    <row r="206" spans="11:37">
      <c r="K206"/>
      <c r="L206"/>
      <c r="M206"/>
      <c r="N206"/>
      <c r="O206"/>
      <c r="P206"/>
      <c r="Q206"/>
      <c r="R206"/>
      <c r="S206"/>
      <c r="U206"/>
      <c r="V206"/>
      <c r="W206"/>
      <c r="X206"/>
      <c r="Y206"/>
      <c r="Z206"/>
      <c r="AA206"/>
      <c r="AB206"/>
      <c r="AC206"/>
      <c r="AE206"/>
      <c r="AF206"/>
      <c r="AG206"/>
      <c r="AH206"/>
      <c r="AI206"/>
      <c r="AJ206"/>
      <c r="AK206"/>
    </row>
    <row r="207" spans="11:37">
      <c r="K207"/>
      <c r="L207"/>
      <c r="M207"/>
      <c r="N207"/>
      <c r="O207"/>
      <c r="P207"/>
      <c r="Q207"/>
      <c r="R207"/>
      <c r="S207"/>
      <c r="U207"/>
      <c r="V207"/>
      <c r="W207"/>
      <c r="X207"/>
      <c r="Y207"/>
      <c r="Z207"/>
      <c r="AA207"/>
      <c r="AB207"/>
      <c r="AC207"/>
      <c r="AE207"/>
      <c r="AF207"/>
      <c r="AG207"/>
      <c r="AH207"/>
      <c r="AI207"/>
      <c r="AJ207"/>
      <c r="AK207"/>
    </row>
    <row r="208" spans="11:37">
      <c r="K208"/>
      <c r="L208"/>
      <c r="M208"/>
      <c r="N208"/>
      <c r="O208"/>
      <c r="P208"/>
      <c r="Q208"/>
      <c r="R208"/>
      <c r="S208"/>
      <c r="U208"/>
      <c r="V208"/>
      <c r="W208"/>
      <c r="X208"/>
      <c r="Y208"/>
      <c r="Z208"/>
      <c r="AA208"/>
      <c r="AB208"/>
      <c r="AC208"/>
      <c r="AE208"/>
      <c r="AF208"/>
      <c r="AG208"/>
      <c r="AH208"/>
      <c r="AI208"/>
      <c r="AJ208"/>
      <c r="AK208"/>
    </row>
    <row r="209" spans="11:37">
      <c r="K209"/>
      <c r="L209"/>
      <c r="M209"/>
      <c r="N209"/>
      <c r="O209"/>
      <c r="P209"/>
      <c r="Q209"/>
      <c r="R209"/>
      <c r="S209"/>
      <c r="U209"/>
      <c r="V209"/>
      <c r="W209"/>
      <c r="X209"/>
      <c r="Y209"/>
      <c r="Z209"/>
      <c r="AA209"/>
      <c r="AB209"/>
      <c r="AC209"/>
      <c r="AE209"/>
      <c r="AF209"/>
      <c r="AG209"/>
      <c r="AH209"/>
      <c r="AI209"/>
      <c r="AJ209"/>
      <c r="AK209"/>
    </row>
    <row r="210" spans="11:37">
      <c r="K210"/>
      <c r="L210"/>
      <c r="M210"/>
      <c r="N210"/>
      <c r="O210"/>
      <c r="P210"/>
      <c r="Q210"/>
      <c r="R210"/>
      <c r="S210"/>
      <c r="U210"/>
      <c r="V210"/>
      <c r="W210"/>
      <c r="X210"/>
      <c r="Y210"/>
      <c r="Z210"/>
      <c r="AA210"/>
      <c r="AB210"/>
      <c r="AC210"/>
      <c r="AE210"/>
      <c r="AF210"/>
      <c r="AG210"/>
      <c r="AH210"/>
      <c r="AI210"/>
      <c r="AJ210"/>
      <c r="AK210"/>
    </row>
    <row r="211" spans="11:37">
      <c r="K211"/>
      <c r="L211"/>
      <c r="M211"/>
      <c r="N211"/>
      <c r="O211"/>
      <c r="P211"/>
      <c r="Q211"/>
      <c r="R211"/>
      <c r="S211"/>
      <c r="U211"/>
      <c r="V211"/>
      <c r="W211"/>
      <c r="X211"/>
      <c r="Y211"/>
      <c r="Z211"/>
      <c r="AA211"/>
      <c r="AB211"/>
      <c r="AC211"/>
      <c r="AE211"/>
      <c r="AF211"/>
      <c r="AG211"/>
      <c r="AH211"/>
      <c r="AI211"/>
      <c r="AJ211"/>
      <c r="AK211"/>
    </row>
    <row r="212" spans="11:37">
      <c r="K212"/>
      <c r="L212"/>
      <c r="M212"/>
      <c r="N212"/>
      <c r="O212"/>
      <c r="P212"/>
      <c r="Q212"/>
      <c r="R212"/>
      <c r="S212"/>
      <c r="U212"/>
      <c r="V212"/>
      <c r="W212"/>
      <c r="X212"/>
      <c r="Y212"/>
      <c r="Z212"/>
      <c r="AA212"/>
      <c r="AB212"/>
      <c r="AC212"/>
      <c r="AE212"/>
      <c r="AF212"/>
      <c r="AG212"/>
      <c r="AH212"/>
      <c r="AI212"/>
      <c r="AJ212"/>
      <c r="AK212"/>
    </row>
    <row r="213" spans="11:37">
      <c r="K213"/>
      <c r="L213"/>
      <c r="M213"/>
      <c r="N213"/>
      <c r="O213"/>
      <c r="P213"/>
      <c r="Q213"/>
      <c r="R213"/>
      <c r="S213"/>
      <c r="U213"/>
      <c r="V213"/>
      <c r="W213"/>
      <c r="X213"/>
      <c r="Y213"/>
      <c r="Z213"/>
      <c r="AA213"/>
      <c r="AB213"/>
      <c r="AC213"/>
      <c r="AE213"/>
      <c r="AF213"/>
      <c r="AG213"/>
      <c r="AH213"/>
      <c r="AI213"/>
      <c r="AJ213"/>
      <c r="AK213"/>
    </row>
    <row r="214" spans="11:37">
      <c r="K214"/>
      <c r="L214"/>
      <c r="M214"/>
      <c r="N214"/>
      <c r="O214"/>
      <c r="P214"/>
      <c r="Q214"/>
      <c r="R214"/>
      <c r="S214"/>
      <c r="U214"/>
      <c r="V214"/>
      <c r="W214"/>
      <c r="X214"/>
      <c r="Y214"/>
      <c r="Z214"/>
      <c r="AA214"/>
      <c r="AB214"/>
      <c r="AC214"/>
      <c r="AE214"/>
      <c r="AF214"/>
      <c r="AG214"/>
      <c r="AH214"/>
      <c r="AI214"/>
      <c r="AJ214"/>
      <c r="AK214"/>
    </row>
    <row r="215" spans="11:37">
      <c r="K215"/>
      <c r="L215"/>
      <c r="M215"/>
      <c r="N215"/>
      <c r="O215"/>
      <c r="P215"/>
      <c r="Q215"/>
      <c r="R215"/>
      <c r="S215"/>
      <c r="U215"/>
      <c r="V215"/>
      <c r="W215"/>
      <c r="X215"/>
      <c r="Y215"/>
      <c r="Z215"/>
      <c r="AA215"/>
      <c r="AB215"/>
      <c r="AC215"/>
      <c r="AE215"/>
      <c r="AF215"/>
      <c r="AG215"/>
      <c r="AH215"/>
      <c r="AI215"/>
      <c r="AJ215"/>
      <c r="AK215"/>
    </row>
    <row r="216" spans="11:37">
      <c r="K216"/>
      <c r="L216"/>
      <c r="M216"/>
      <c r="N216"/>
      <c r="O216"/>
      <c r="P216"/>
      <c r="Q216"/>
      <c r="R216"/>
      <c r="S216"/>
      <c r="U216"/>
      <c r="V216"/>
      <c r="W216"/>
      <c r="X216"/>
      <c r="Y216"/>
      <c r="Z216"/>
      <c r="AA216"/>
      <c r="AB216"/>
      <c r="AC216"/>
      <c r="AE216"/>
      <c r="AF216"/>
      <c r="AG216"/>
      <c r="AH216"/>
      <c r="AI216"/>
      <c r="AJ216"/>
      <c r="AK216"/>
    </row>
    <row r="217" spans="11:37">
      <c r="K217"/>
      <c r="L217"/>
      <c r="M217"/>
      <c r="N217"/>
      <c r="O217"/>
      <c r="P217"/>
      <c r="Q217"/>
      <c r="R217"/>
      <c r="S217"/>
      <c r="U217"/>
      <c r="V217"/>
      <c r="W217"/>
      <c r="X217"/>
      <c r="Y217"/>
      <c r="Z217"/>
      <c r="AA217"/>
      <c r="AB217"/>
      <c r="AC217"/>
      <c r="AE217"/>
      <c r="AF217"/>
      <c r="AG217"/>
      <c r="AH217"/>
      <c r="AI217"/>
      <c r="AJ217"/>
      <c r="AK217"/>
    </row>
    <row r="218" spans="11:37">
      <c r="K218"/>
      <c r="L218"/>
      <c r="M218"/>
      <c r="N218"/>
      <c r="O218"/>
      <c r="P218"/>
      <c r="Q218"/>
      <c r="R218"/>
      <c r="S218"/>
      <c r="U218"/>
      <c r="V218"/>
      <c r="W218"/>
      <c r="X218"/>
      <c r="Y218"/>
      <c r="Z218"/>
      <c r="AA218"/>
      <c r="AB218"/>
      <c r="AC218"/>
      <c r="AE218"/>
      <c r="AF218"/>
      <c r="AG218"/>
      <c r="AH218"/>
      <c r="AI218"/>
      <c r="AJ218"/>
      <c r="AK218"/>
    </row>
    <row r="219" spans="11:37">
      <c r="K219"/>
      <c r="L219"/>
      <c r="M219"/>
      <c r="N219"/>
      <c r="O219"/>
      <c r="P219"/>
      <c r="Q219"/>
      <c r="R219"/>
      <c r="S219"/>
      <c r="U219"/>
      <c r="V219"/>
      <c r="W219"/>
      <c r="X219"/>
      <c r="Y219"/>
      <c r="Z219"/>
      <c r="AA219"/>
      <c r="AB219"/>
      <c r="AC219"/>
      <c r="AE219"/>
      <c r="AF219"/>
      <c r="AG219"/>
      <c r="AH219"/>
      <c r="AI219"/>
      <c r="AJ219"/>
      <c r="AK219"/>
    </row>
    <row r="220" spans="11:37">
      <c r="K220"/>
      <c r="L220"/>
      <c r="M220"/>
      <c r="N220"/>
      <c r="O220"/>
      <c r="P220"/>
      <c r="Q220"/>
      <c r="R220"/>
      <c r="S220"/>
      <c r="U220"/>
      <c r="V220"/>
      <c r="W220"/>
      <c r="X220"/>
      <c r="Y220"/>
      <c r="Z220"/>
      <c r="AA220"/>
      <c r="AB220"/>
      <c r="AC220"/>
      <c r="AE220"/>
      <c r="AF220"/>
      <c r="AG220"/>
      <c r="AH220"/>
      <c r="AI220"/>
      <c r="AJ220"/>
      <c r="AK220"/>
    </row>
    <row r="221" spans="11:37">
      <c r="K221"/>
      <c r="L221"/>
      <c r="M221"/>
      <c r="N221"/>
      <c r="O221"/>
      <c r="P221"/>
      <c r="Q221"/>
      <c r="R221"/>
      <c r="S221"/>
      <c r="U221"/>
      <c r="V221"/>
      <c r="W221"/>
      <c r="X221"/>
      <c r="Y221"/>
      <c r="Z221"/>
      <c r="AA221"/>
      <c r="AB221"/>
      <c r="AC221"/>
      <c r="AE221"/>
      <c r="AF221"/>
      <c r="AG221"/>
      <c r="AH221"/>
      <c r="AI221"/>
      <c r="AJ221"/>
      <c r="AK221"/>
    </row>
    <row r="222" spans="11:37">
      <c r="K222"/>
      <c r="L222"/>
      <c r="M222"/>
      <c r="N222"/>
      <c r="O222"/>
      <c r="P222"/>
      <c r="Q222"/>
      <c r="R222"/>
      <c r="S222"/>
      <c r="U222"/>
      <c r="V222"/>
      <c r="W222"/>
      <c r="X222"/>
      <c r="Y222"/>
      <c r="Z222"/>
      <c r="AA222"/>
      <c r="AB222"/>
      <c r="AC222"/>
      <c r="AE222"/>
      <c r="AF222"/>
      <c r="AG222"/>
      <c r="AH222"/>
      <c r="AI222"/>
      <c r="AJ222"/>
      <c r="AK222"/>
    </row>
    <row r="223" spans="11:37">
      <c r="K223"/>
      <c r="L223"/>
      <c r="M223"/>
      <c r="N223"/>
      <c r="O223"/>
      <c r="P223"/>
      <c r="Q223"/>
      <c r="R223"/>
      <c r="S223"/>
      <c r="U223"/>
      <c r="V223"/>
      <c r="W223"/>
      <c r="X223"/>
      <c r="Y223"/>
      <c r="Z223"/>
      <c r="AA223"/>
      <c r="AB223"/>
      <c r="AC223"/>
      <c r="AE223"/>
      <c r="AF223"/>
      <c r="AG223"/>
      <c r="AH223"/>
      <c r="AI223"/>
      <c r="AJ223"/>
      <c r="AK223"/>
    </row>
    <row r="224" spans="11:37">
      <c r="K224"/>
      <c r="L224"/>
      <c r="M224"/>
      <c r="N224"/>
      <c r="O224"/>
      <c r="P224"/>
      <c r="Q224"/>
      <c r="R224"/>
      <c r="S224"/>
      <c r="U224"/>
      <c r="V224"/>
      <c r="W224"/>
      <c r="X224"/>
      <c r="Y224"/>
      <c r="Z224"/>
      <c r="AA224"/>
      <c r="AB224"/>
      <c r="AC224"/>
      <c r="AE224"/>
      <c r="AF224"/>
      <c r="AG224"/>
      <c r="AH224"/>
      <c r="AI224"/>
      <c r="AJ224"/>
      <c r="AK224"/>
    </row>
    <row r="225" spans="11:37">
      <c r="K225"/>
      <c r="L225"/>
      <c r="M225"/>
      <c r="N225"/>
      <c r="O225"/>
      <c r="P225"/>
      <c r="Q225"/>
      <c r="R225"/>
      <c r="S225"/>
      <c r="U225"/>
      <c r="V225"/>
      <c r="W225"/>
      <c r="X225"/>
      <c r="Y225"/>
      <c r="Z225"/>
      <c r="AA225"/>
      <c r="AB225"/>
      <c r="AC225"/>
      <c r="AE225"/>
      <c r="AF225"/>
      <c r="AG225"/>
      <c r="AH225"/>
      <c r="AI225"/>
      <c r="AJ225"/>
      <c r="AK225"/>
    </row>
    <row r="226" spans="11:37">
      <c r="K226"/>
      <c r="L226"/>
      <c r="M226"/>
      <c r="N226"/>
      <c r="O226"/>
      <c r="P226"/>
      <c r="Q226"/>
      <c r="R226"/>
      <c r="S226"/>
      <c r="U226"/>
      <c r="V226"/>
      <c r="W226"/>
      <c r="X226"/>
      <c r="Y226"/>
      <c r="Z226"/>
      <c r="AA226"/>
      <c r="AB226"/>
      <c r="AC226"/>
      <c r="AE226"/>
      <c r="AF226"/>
      <c r="AG226"/>
      <c r="AH226"/>
      <c r="AI226"/>
      <c r="AJ226"/>
      <c r="AK226"/>
    </row>
    <row r="227" spans="11:37">
      <c r="K227"/>
      <c r="L227"/>
      <c r="M227"/>
      <c r="N227"/>
      <c r="O227"/>
      <c r="P227"/>
      <c r="Q227"/>
      <c r="R227"/>
      <c r="S227"/>
      <c r="U227"/>
      <c r="V227"/>
      <c r="W227"/>
      <c r="X227"/>
      <c r="Y227"/>
      <c r="Z227"/>
      <c r="AA227"/>
      <c r="AB227"/>
      <c r="AC227"/>
      <c r="AE227"/>
      <c r="AF227"/>
      <c r="AG227"/>
      <c r="AH227"/>
      <c r="AI227"/>
      <c r="AJ227"/>
      <c r="AK227"/>
    </row>
    <row r="228" spans="11:37">
      <c r="K228"/>
      <c r="L228"/>
      <c r="M228"/>
      <c r="N228"/>
      <c r="O228"/>
      <c r="P228"/>
      <c r="Q228"/>
      <c r="R228"/>
      <c r="S228"/>
      <c r="U228"/>
      <c r="V228"/>
      <c r="W228"/>
      <c r="X228"/>
      <c r="Y228"/>
      <c r="Z228"/>
      <c r="AA228"/>
      <c r="AB228"/>
      <c r="AC228"/>
      <c r="AE228"/>
      <c r="AF228"/>
      <c r="AG228"/>
      <c r="AH228"/>
      <c r="AI228"/>
      <c r="AJ228"/>
      <c r="AK228"/>
    </row>
    <row r="229" spans="11:37">
      <c r="K229"/>
      <c r="L229"/>
      <c r="M229"/>
      <c r="N229"/>
      <c r="O229"/>
      <c r="P229"/>
      <c r="Q229"/>
      <c r="R229"/>
      <c r="S229"/>
      <c r="U229"/>
      <c r="V229"/>
      <c r="W229"/>
      <c r="X229"/>
      <c r="Y229"/>
      <c r="Z229"/>
      <c r="AA229"/>
      <c r="AB229"/>
      <c r="AC229"/>
      <c r="AE229"/>
      <c r="AF229"/>
      <c r="AG229"/>
      <c r="AH229"/>
      <c r="AI229"/>
      <c r="AJ229"/>
      <c r="AK229"/>
    </row>
    <row r="300" spans="53:53">
      <c r="BA300"/>
    </row>
    <row r="301" spans="53:53">
      <c r="BA301"/>
    </row>
    <row r="302" spans="53:53">
      <c r="BA302"/>
    </row>
    <row r="303" spans="53:53">
      <c r="BA303"/>
    </row>
    <row r="304" spans="53:53">
      <c r="BA304"/>
    </row>
    <row r="305" spans="53:53">
      <c r="BA305"/>
    </row>
    <row r="306" spans="53:53">
      <c r="BA306"/>
    </row>
    <row r="307" spans="53:53">
      <c r="BA307"/>
    </row>
    <row r="308" spans="53:53">
      <c r="BA308"/>
    </row>
    <row r="309" spans="53:53">
      <c r="BA309"/>
    </row>
    <row r="310" spans="53:53">
      <c r="BA310"/>
    </row>
    <row r="311" spans="53:53">
      <c r="BA311"/>
    </row>
    <row r="312" spans="53:53">
      <c r="BA312"/>
    </row>
  </sheetData>
  <autoFilter ref="B1:BB312">
    <extLst/>
  </autoFilter>
  <conditionalFormatting sqref="AZ1">
    <cfRule type="top10" dxfId="984" priority="42" bottom="1" rank="10"/>
    <cfRule type="top10" priority="43" bottom="1" rank="10"/>
  </conditionalFormatting>
  <conditionalFormatting sqref="AV2">
    <cfRule type="duplicateValues" dxfId="984" priority="91"/>
  </conditionalFormatting>
  <conditionalFormatting sqref="AX164:AX167">
    <cfRule type="duplicateValues" dxfId="984" priority="1"/>
  </conditionalFormatting>
  <conditionalFormatting sqref="AZ52:AZ53">
    <cfRule type="duplicateValues" dxfId="984" priority="7"/>
  </conditionalFormatting>
  <conditionalFormatting sqref="AS163 AR164:AR167">
    <cfRule type="duplicateValues" dxfId="984" priority="9"/>
  </conditionalFormatting>
  <conditionalFormatting sqref="AV163 AU164:AU167">
    <cfRule type="duplicateValues" dxfId="984" priority="11"/>
  </conditionalFormatting>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FFFF00"/>
  </sheetPr>
  <dimension ref="A1:AN18"/>
  <sheetViews>
    <sheetView workbookViewId="0">
      <pane ySplit="3" topLeftCell="A4" activePane="bottomLeft" state="frozen"/>
      <selection/>
      <selection pane="bottomLeft" activeCell="M8" sqref="M8"/>
    </sheetView>
  </sheetViews>
  <sheetFormatPr defaultColWidth="9" defaultRowHeight="23" customHeight="1"/>
  <cols>
    <col min="1" max="1" width="5.34862385321101" customWidth="1"/>
    <col min="2" max="2" width="14.2018348623853" customWidth="1"/>
    <col min="3" max="3" width="10.9633027522936" customWidth="1"/>
    <col min="4" max="4" width="10.4954128440367"/>
    <col min="5" max="5" width="11.5045871559633" customWidth="1"/>
    <col min="6" max="10" width="9" hidden="1" customWidth="1"/>
    <col min="13" max="13" width="12.3302752293578" customWidth="1"/>
    <col min="19" max="19" width="8.10091743119266" customWidth="1"/>
    <col min="20" max="20" width="8.22018348623853" customWidth="1"/>
    <col min="22" max="22" width="9.3394495412844" customWidth="1"/>
    <col min="23" max="24" width="12.8807339449541" customWidth="1"/>
    <col min="25" max="25" width="9.44036697247706"/>
    <col min="26" max="26" width="10.3761467889908"/>
    <col min="27" max="27" width="10.6697247706422"/>
    <col min="30" max="30" width="10.3761467889908" customWidth="1"/>
    <col min="35" max="35" width="12.0917431192661" customWidth="1"/>
    <col min="36" max="36" width="12.7064220183486" customWidth="1"/>
    <col min="37" max="37" width="12" customWidth="1"/>
    <col min="38" max="38" width="11.8899082568807"/>
    <col min="39" max="39" width="10.4954128440367"/>
    <col min="41" max="41" width="12.743119266055"/>
  </cols>
  <sheetData>
    <row r="1" s="1" customFormat="1" ht="150" customHeight="1" spans="2:37">
      <c r="B1" s="35">
        <f>COUNTA(B4:B1042569)</f>
        <v>15</v>
      </c>
      <c r="C1" s="51" t="s">
        <v>0</v>
      </c>
      <c r="K1" s="35">
        <f>SUM(K4:K1042843)</f>
        <v>29</v>
      </c>
      <c r="T1" s="66" t="s">
        <v>1</v>
      </c>
      <c r="W1" s="67" t="s">
        <v>2</v>
      </c>
      <c r="X1" s="68" t="s">
        <v>3</v>
      </c>
      <c r="Y1" s="84" t="s">
        <v>4</v>
      </c>
      <c r="Z1" s="85"/>
      <c r="AA1" s="85"/>
      <c r="AB1" s="85"/>
      <c r="AC1" s="85"/>
      <c r="AD1" s="86"/>
      <c r="AE1" s="85"/>
      <c r="AF1" s="85"/>
      <c r="AG1" s="171" t="s">
        <v>5</v>
      </c>
      <c r="AH1" s="172"/>
      <c r="AI1" s="94" t="s">
        <v>6</v>
      </c>
      <c r="AJ1" s="94" t="s">
        <v>7</v>
      </c>
      <c r="AK1" s="95" t="s">
        <v>8</v>
      </c>
    </row>
    <row r="2" s="1" customFormat="1" ht="51.6" spans="1:40">
      <c r="A2" s="37" t="s">
        <v>9</v>
      </c>
      <c r="B2" s="37" t="s">
        <v>10</v>
      </c>
      <c r="C2" s="37" t="s">
        <v>11</v>
      </c>
      <c r="D2" s="122"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88" t="s">
        <v>30</v>
      </c>
      <c r="W2" s="73" t="s">
        <v>458</v>
      </c>
      <c r="X2" s="74" t="s">
        <v>32</v>
      </c>
      <c r="Y2" s="38" t="s">
        <v>33</v>
      </c>
      <c r="Z2" s="38" t="s">
        <v>34</v>
      </c>
      <c r="AA2" s="38" t="s">
        <v>35</v>
      </c>
      <c r="AB2" s="87" t="s">
        <v>36</v>
      </c>
      <c r="AC2" s="170" t="s">
        <v>37</v>
      </c>
      <c r="AD2" s="88" t="s">
        <v>38</v>
      </c>
      <c r="AE2" s="38" t="s">
        <v>39</v>
      </c>
      <c r="AF2" s="38" t="s">
        <v>40</v>
      </c>
      <c r="AG2" s="96" t="s">
        <v>41</v>
      </c>
      <c r="AH2" s="96" t="s">
        <v>42</v>
      </c>
      <c r="AI2" s="97" t="s">
        <v>43</v>
      </c>
      <c r="AJ2" s="97" t="s">
        <v>44</v>
      </c>
      <c r="AK2" s="38" t="s">
        <v>45</v>
      </c>
      <c r="AL2" s="38" t="s">
        <v>46</v>
      </c>
      <c r="AM2" s="24">
        <v>45200</v>
      </c>
      <c r="AN2" s="24" t="s">
        <v>47</v>
      </c>
    </row>
    <row r="3" s="49" customFormat="1" ht="20" customHeight="1" spans="2:38">
      <c r="B3" s="40" t="s">
        <v>48</v>
      </c>
      <c r="C3" s="54"/>
      <c r="D3" s="54"/>
      <c r="E3" s="56"/>
      <c r="F3" s="57"/>
      <c r="G3" s="57"/>
      <c r="H3" s="57"/>
      <c r="I3" s="57"/>
      <c r="J3" s="57"/>
      <c r="K3" s="169">
        <f>SUM(K4:K1042787)</f>
        <v>29</v>
      </c>
      <c r="L3" s="41"/>
      <c r="M3" s="41">
        <f t="shared" ref="M3:R3" si="0">SUM(M4:M1042787)</f>
        <v>1814.152</v>
      </c>
      <c r="N3" s="169">
        <f t="shared" si="0"/>
        <v>3</v>
      </c>
      <c r="O3" s="169">
        <f t="shared" si="0"/>
        <v>19</v>
      </c>
      <c r="P3" s="169">
        <f t="shared" si="0"/>
        <v>28</v>
      </c>
      <c r="Q3" s="169">
        <f t="shared" si="0"/>
        <v>14</v>
      </c>
      <c r="R3" s="169">
        <f t="shared" si="0"/>
        <v>-11</v>
      </c>
      <c r="S3" s="75"/>
      <c r="T3" s="76"/>
      <c r="U3" s="77"/>
      <c r="V3" s="78"/>
      <c r="W3" s="76"/>
      <c r="X3" s="76"/>
      <c r="Y3" s="41">
        <f>SUM(Y4:Y1042787)</f>
        <v>7.23</v>
      </c>
      <c r="Z3" s="41">
        <f>SUM(Z4:Z1042787)</f>
        <v>30.46</v>
      </c>
      <c r="AA3" s="41">
        <f>SUM(AA4:AA1042787)</f>
        <v>70.55</v>
      </c>
      <c r="AB3" s="89"/>
      <c r="AC3" s="89"/>
      <c r="AD3" s="90"/>
      <c r="AE3" s="89"/>
      <c r="AF3" s="89"/>
      <c r="AG3" s="89"/>
      <c r="AH3" s="98"/>
      <c r="AI3" s="89"/>
      <c r="AJ3" s="89"/>
      <c r="AK3" s="41">
        <f>SUM(AK4:AK1042787)</f>
        <v>261.26</v>
      </c>
      <c r="AL3" s="41">
        <f>SUM(AL4:AL1042787)</f>
        <v>1912.65</v>
      </c>
    </row>
    <row r="4" customHeight="1" spans="1:40">
      <c r="A4" s="58" t="str">
        <f>INDEX('[1]2店'!$A:$A,MATCH(B:B,'[1]2店'!$B:$B,0))</f>
        <v>欣彤</v>
      </c>
      <c r="B4" s="43" t="s">
        <v>459</v>
      </c>
      <c r="C4" s="43" t="s">
        <v>460</v>
      </c>
      <c r="D4" s="59"/>
      <c r="E4" s="43" t="s">
        <v>461</v>
      </c>
      <c r="F4" s="43">
        <v>0</v>
      </c>
      <c r="G4" s="43">
        <v>1</v>
      </c>
      <c r="H4" s="43">
        <v>0</v>
      </c>
      <c r="I4" s="43">
        <v>0</v>
      </c>
      <c r="J4" s="43">
        <v>0</v>
      </c>
      <c r="K4" s="63">
        <f t="shared" ref="K4:K21" si="1">F4+G4+H4+I4+J4</f>
        <v>1</v>
      </c>
      <c r="L4" s="124">
        <f>VLOOKUP($B:$B,'[1]2店'!$B:$L,11,0)</f>
        <v>8</v>
      </c>
      <c r="M4" s="44">
        <f>K4*L4</f>
        <v>8</v>
      </c>
      <c r="N4" s="65">
        <f>IFERROR(VLOOKUP(B:B,'2店辅助表'!B:C,2,FALSE),0)</f>
        <v>0</v>
      </c>
      <c r="O4" s="65">
        <f>IFERROR(VLOOKUP(B:B,'2店辅助表'!E:F,2,FALSE),0)</f>
        <v>0</v>
      </c>
      <c r="P4" s="65">
        <f>IFERROR(VLOOKUP(B:B,'2店辅助表'!H:I,2,FALSE),0)</f>
        <v>0</v>
      </c>
      <c r="Q4" s="65">
        <f>IFERROR(VLOOKUP(B:B,'[1]2店'!$B:$N,13,FALSE),0)</f>
        <v>0</v>
      </c>
      <c r="R4" s="79">
        <f>N4-Q4</f>
        <v>0</v>
      </c>
      <c r="S4" s="80" t="str">
        <f>IFERROR(K4/((N4/7+O4/15+P4/30)/3),"-")</f>
        <v>-</v>
      </c>
      <c r="T4" s="44" t="str">
        <f>IFERROR(S4/30,"-")</f>
        <v>-</v>
      </c>
      <c r="U4" s="44" t="str">
        <f>IFERROR(VLOOKUP($B:$B,'[1]2店'!$B:$T,19,0),"-")</f>
        <v>-</v>
      </c>
      <c r="V4" s="81" t="str">
        <f>IFERROR(T4-U4,"-")</f>
        <v>-</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有库存无销量</v>
      </c>
      <c r="X4" s="83" t="str">
        <f>_xlfn.IFS(AND(D4&lt;&gt;0,D4-$AM$2&gt;=0,K4&gt;0,D4&lt;&gt;0),"本月刚到货",AND(T4="-",K4&gt;0),"有库存无销量",AND(T4="-",K4=0),"无库存无销量",AND(T4&lt;=0.5,K4=0),"无库存有销量",T4&lt;=0.5,"库存过低",T4&lt;=1.5,"正常",T4&gt;1.5,"库存过高")</f>
        <v>有库存无销量</v>
      </c>
      <c r="Y4" s="44">
        <f>IFERROR(SUMIF('2店辅助表'!K:K,B:B,'2店辅助表'!N:N),0)</f>
        <v>0</v>
      </c>
      <c r="Z4" s="44">
        <f>IFERROR(SUMIF('2店辅助表'!T:T,B:B,'2店辅助表'!W:W),0)</f>
        <v>0</v>
      </c>
      <c r="AA4" s="44">
        <f>IFERROR(SUMIF('2店辅助表'!AC:AC,B:B,'2店辅助表'!AF:AF),0)</f>
        <v>0</v>
      </c>
      <c r="AB4" s="91" t="str">
        <f>IFERROR(SUMIF('2店辅助表'!K:K,B:B,'2店辅助表'!N:N)/SUMIF('2店辅助表'!K:K,B:B,'2店辅助表'!O:O),"-")</f>
        <v>-</v>
      </c>
      <c r="AC4" s="91" t="str">
        <f>IFERROR(VLOOKUP(B:B,'[1]2店'!$B:$AB,27,0),"-")</f>
        <v>-</v>
      </c>
      <c r="AD4" s="92" t="str">
        <f>IFERROR(AB4-AC4,"-")</f>
        <v>-</v>
      </c>
      <c r="AE4" s="91" t="str">
        <f>IFERROR(SUMIF('2店辅助表'!T:T,B:B,'2店辅助表'!W:W)/SUMIF('2店辅助表'!T:T,B:B,'2店辅助表'!X:X),"-")</f>
        <v>-</v>
      </c>
      <c r="AF4" s="91" t="str">
        <f>IFERROR(SUMIF('2店辅助表'!AC:AC,B:B,'2店辅助表'!AF:AF)/SUMIF('2店辅助表'!AC:AC,B:B,'2店辅助表'!AG:AG),"-")</f>
        <v>-</v>
      </c>
      <c r="AG4" s="99">
        <f>IFERROR(AK4/((SUMIF('2店辅助表'!AT:AT,B:B,'2店辅助表'!AU:AU)+M4)/2),"-")</f>
        <v>0</v>
      </c>
      <c r="AH4" s="99">
        <f>IFERROR(AL4/((SUMIF('2店辅助表'!AW:AW,B:B,'2店辅助表'!AX:AX)+M4)/2),"-")</f>
        <v>0</v>
      </c>
      <c r="AI4" s="100" t="str">
        <f>IFERROR((SUMIF('2店辅助表'!AP:AP,B:B,'2店辅助表'!AR:AR)-SUMIF('2店辅助表'!AP:AP,B:B,'2店辅助表'!AR:AR)*0.15-(L4+IFERROR(VLOOKUP(B:B,'2店辅助表'!AZ:BA,2,0),0))*O4-IF(AN:AN="US",6.85,4.9)*(Z4+3.99*O4))/SUMIF('2店辅助表'!AP:AP,B:B,'2店辅助表'!AR:AR),"-")</f>
        <v>-</v>
      </c>
      <c r="AJ4" s="100" t="str">
        <f>IFERROR(AH4*AI4,"-")</f>
        <v>-</v>
      </c>
      <c r="AK4" s="101">
        <f t="shared" ref="AK4:AK21" si="2">N4*$L4</f>
        <v>0</v>
      </c>
      <c r="AL4" s="101">
        <f t="shared" ref="AL4:AL21" si="3">O4*$L4</f>
        <v>0</v>
      </c>
      <c r="AM4" s="106" t="str">
        <f>VLOOKUP(B:B,'2店辅助表'!AZ:AZ,1,FALSE)</f>
        <v>E02091-WH+E02021</v>
      </c>
      <c r="AN4" t="str">
        <f>VLOOKUP(B:B,'2店辅助表'!AZ:BB,3,FALSE)</f>
        <v>US</v>
      </c>
    </row>
    <row r="5" customHeight="1" spans="1:40">
      <c r="A5" s="58" t="str">
        <f>INDEX('[1]2店'!$A:$A,MATCH(B:B,'[1]2店'!$B:$B,0))</f>
        <v>欣彤</v>
      </c>
      <c r="B5" s="43" t="s">
        <v>462</v>
      </c>
      <c r="C5" s="43" t="s">
        <v>463</v>
      </c>
      <c r="D5" s="59"/>
      <c r="E5" s="43" t="s">
        <v>464</v>
      </c>
      <c r="F5" s="43">
        <v>0</v>
      </c>
      <c r="G5" s="43">
        <v>1</v>
      </c>
      <c r="H5" s="43">
        <v>0</v>
      </c>
      <c r="I5" s="43">
        <v>0</v>
      </c>
      <c r="J5" s="43">
        <v>0</v>
      </c>
      <c r="K5" s="63">
        <f t="shared" si="1"/>
        <v>1</v>
      </c>
      <c r="L5" s="124">
        <f>VLOOKUP($B:$B,'[1]2店'!$B:$L,11,0)</f>
        <v>13.077</v>
      </c>
      <c r="M5" s="44">
        <f t="shared" ref="M5:M21" si="4">K5*L5</f>
        <v>13.077</v>
      </c>
      <c r="N5" s="65">
        <f>IFERROR(VLOOKUP(B:B,'2店辅助表'!B:C,2,FALSE),0)</f>
        <v>0</v>
      </c>
      <c r="O5" s="65">
        <f>IFERROR(VLOOKUP(B:B,'2店辅助表'!E:F,2,FALSE),0)</f>
        <v>0</v>
      </c>
      <c r="P5" s="65">
        <f>IFERROR(VLOOKUP(B:B,'2店辅助表'!H:I,2,FALSE),0)</f>
        <v>0</v>
      </c>
      <c r="Q5" s="65">
        <f>IFERROR(VLOOKUP(B:B,'[1]2店'!$B:$N,13,FALSE),0)</f>
        <v>0</v>
      </c>
      <c r="R5" s="79">
        <f t="shared" ref="R4:R21" si="5">N5-Q5</f>
        <v>0</v>
      </c>
      <c r="S5" s="80" t="str">
        <f t="shared" ref="S4:S21" si="6">IFERROR(K5/((N5/7+O5/15+P5/30)/3),"-")</f>
        <v>-</v>
      </c>
      <c r="T5" s="44" t="str">
        <f t="shared" ref="T4:T21" si="7">IFERROR(S5/30,"-")</f>
        <v>-</v>
      </c>
      <c r="U5" s="44" t="str">
        <f>IFERROR(VLOOKUP($B:$B,'[1]2店'!$B:$T,19,0),"-")</f>
        <v>-</v>
      </c>
      <c r="V5" s="81" t="str">
        <f t="shared" ref="V4:V21" si="8">IFERROR(T5-U5,"-")</f>
        <v>-</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有库存无销量</v>
      </c>
      <c r="X5" s="83" t="str">
        <f>_xlfn.IFS(AND(D5&lt;&gt;0,D5-$AM$2&gt;=0,K5&gt;0,D5&lt;&gt;0),"本月刚到货",AND(T5="-",K5&gt;0),"有库存无销量",AND(T5="-",K5=0),"无库存无销量",AND(T5&lt;=0.5,K5=0),"无库存有销量",T5&lt;=0.5,"库存过低",T5&lt;=1.5,"正常",T5&gt;1.5,"库存过高")</f>
        <v>有库存无销量</v>
      </c>
      <c r="Y5" s="44">
        <f>IFERROR(SUMIF('2店辅助表'!K:K,B:B,'2店辅助表'!N:N),0)</f>
        <v>0</v>
      </c>
      <c r="Z5" s="44">
        <f>IFERROR(SUMIF('2店辅助表'!T:T,B:B,'2店辅助表'!W:W),0)</f>
        <v>0</v>
      </c>
      <c r="AA5" s="44">
        <f>IFERROR(SUMIF('2店辅助表'!AC:AC,B:B,'2店辅助表'!AF:AF),0)</f>
        <v>0</v>
      </c>
      <c r="AB5" s="91" t="str">
        <f>IFERROR(SUMIF('2店辅助表'!K:K,B:B,'2店辅助表'!N:N)/SUMIF('2店辅助表'!K:K,B:B,'2店辅助表'!O:O),"-")</f>
        <v>-</v>
      </c>
      <c r="AC5" s="91" t="str">
        <f>IFERROR(VLOOKUP(B:B,'[1]2店'!$B:$AB,27,0),"-")</f>
        <v>-</v>
      </c>
      <c r="AD5" s="92" t="str">
        <f t="shared" ref="AD4:AD21" si="9">IFERROR(AB5-AC5,"-")</f>
        <v>-</v>
      </c>
      <c r="AE5" s="91" t="str">
        <f>IFERROR(SUMIF('2店辅助表'!T:T,B:B,'2店辅助表'!W:W)/SUMIF('2店辅助表'!T:T,B:B,'2店辅助表'!X:X),"-")</f>
        <v>-</v>
      </c>
      <c r="AF5" s="91" t="str">
        <f>IFERROR(SUMIF('2店辅助表'!AC:AC,B:B,'2店辅助表'!AF:AF)/SUMIF('2店辅助表'!AC:AC,B:B,'2店辅助表'!AG:AG),"-")</f>
        <v>-</v>
      </c>
      <c r="AG5" s="99">
        <f>IFERROR(AK5/((SUMIF('2店辅助表'!AT:AT,B:B,'2店辅助表'!AU:AU)+M5)/2),"-")</f>
        <v>0</v>
      </c>
      <c r="AH5" s="99">
        <f>IFERROR(AL5/((SUMIF('2店辅助表'!AW:AW,B:B,'2店辅助表'!AX:AX)+M5)/2),"-")</f>
        <v>0</v>
      </c>
      <c r="AI5" s="100" t="str">
        <f>IFERROR((SUMIF('2店辅助表'!AP:AP,B:B,'2店辅助表'!AR:AR)-SUMIF('2店辅助表'!AP:AP,B:B,'2店辅助表'!AR:AR)*0.15-(L5+IFERROR(VLOOKUP(B:B,'2店辅助表'!AZ:BA,2,0),0))*O5-IF(AN:AN="US",6.85,4.9)*(Z5+3.99*O5))/SUMIF('2店辅助表'!AP:AP,B:B,'2店辅助表'!AR:AR),"-")</f>
        <v>-</v>
      </c>
      <c r="AJ5" s="100" t="str">
        <f t="shared" ref="AJ4:AJ21" si="10">IFERROR(AH5*AI5,"-")</f>
        <v>-</v>
      </c>
      <c r="AK5" s="101">
        <f t="shared" si="2"/>
        <v>0</v>
      </c>
      <c r="AL5" s="101">
        <f t="shared" si="3"/>
        <v>0</v>
      </c>
      <c r="AM5" s="106" t="str">
        <f>VLOOKUP(B:B,'2店辅助表'!AZ:AZ,1,FALSE)</f>
        <v>FXC03655-BL</v>
      </c>
      <c r="AN5" t="str">
        <f>VLOOKUP(B:B,'2店辅助表'!AZ:BB,3,FALSE)</f>
        <v>US</v>
      </c>
    </row>
    <row r="6" customHeight="1" spans="1:40">
      <c r="A6" s="58" t="str">
        <f>INDEX('[1]2店'!$A:$A,MATCH(B:B,'[1]2店'!$B:$B,0))</f>
        <v>欣彤</v>
      </c>
      <c r="B6" s="43" t="s">
        <v>465</v>
      </c>
      <c r="C6" s="43" t="s">
        <v>466</v>
      </c>
      <c r="D6" s="59"/>
      <c r="E6" s="43" t="s">
        <v>467</v>
      </c>
      <c r="F6" s="43">
        <v>0</v>
      </c>
      <c r="G6" s="43">
        <v>0</v>
      </c>
      <c r="H6" s="43">
        <v>0</v>
      </c>
      <c r="I6" s="43">
        <v>2</v>
      </c>
      <c r="J6" s="43">
        <v>0</v>
      </c>
      <c r="K6" s="63">
        <f t="shared" si="1"/>
        <v>2</v>
      </c>
      <c r="L6" s="124">
        <f>VLOOKUP($B:$B,'[1]2店'!$B:$L,11,0)</f>
        <v>13.183</v>
      </c>
      <c r="M6" s="44">
        <f t="shared" si="4"/>
        <v>26.366</v>
      </c>
      <c r="N6" s="65">
        <f>IFERROR(VLOOKUP(B:B,'2店辅助表'!B:C,2,FALSE),0)</f>
        <v>0</v>
      </c>
      <c r="O6" s="65">
        <f>IFERROR(VLOOKUP(B:B,'2店辅助表'!E:F,2,FALSE),0)</f>
        <v>0</v>
      </c>
      <c r="P6" s="65">
        <f>IFERROR(VLOOKUP(B:B,'2店辅助表'!H:I,2,FALSE),0)</f>
        <v>0</v>
      </c>
      <c r="Q6" s="65">
        <f>IFERROR(VLOOKUP(B:B,'[1]2店'!$B:$N,13,FALSE),0)</f>
        <v>0</v>
      </c>
      <c r="R6" s="79">
        <f t="shared" si="5"/>
        <v>0</v>
      </c>
      <c r="S6" s="80" t="str">
        <f t="shared" si="6"/>
        <v>-</v>
      </c>
      <c r="T6" s="44" t="str">
        <f t="shared" si="7"/>
        <v>-</v>
      </c>
      <c r="U6" s="44" t="str">
        <f>IFERROR(VLOOKUP($B:$B,'[1]2店'!$B:$T,19,0),"-")</f>
        <v>-</v>
      </c>
      <c r="V6" s="81" t="str">
        <f t="shared" si="8"/>
        <v>-</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有库存无销量</v>
      </c>
      <c r="X6" s="83" t="str">
        <f>_xlfn.IFS(AND(D6&lt;&gt;0,D6-$AM$2&gt;=0,K6&gt;0,D6&lt;&gt;0),"本月刚到货",AND(T6="-",K6&gt;0),"有库存无销量",AND(T6="-",K6=0),"无库存无销量",AND(T6&lt;=0.5,K6=0),"无库存有销量",T6&lt;=0.5,"库存过低",T6&lt;=1.5,"正常",T6&gt;1.5,"库存过高")</f>
        <v>有库存无销量</v>
      </c>
      <c r="Y6" s="44">
        <f>IFERROR(SUMIF('2店辅助表'!K:K,B:B,'2店辅助表'!N:N),0)</f>
        <v>0</v>
      </c>
      <c r="Z6" s="44">
        <f>IFERROR(SUMIF('2店辅助表'!T:T,B:B,'2店辅助表'!W:W),0)</f>
        <v>0</v>
      </c>
      <c r="AA6" s="44">
        <f>IFERROR(SUMIF('2店辅助表'!AC:AC,B:B,'2店辅助表'!AF:AF),0)</f>
        <v>0</v>
      </c>
      <c r="AB6" s="91" t="str">
        <f>IFERROR(SUMIF('2店辅助表'!K:K,B:B,'2店辅助表'!N:N)/SUMIF('2店辅助表'!K:K,B:B,'2店辅助表'!O:O),"-")</f>
        <v>-</v>
      </c>
      <c r="AC6" s="91" t="str">
        <f>IFERROR(VLOOKUP(B:B,'[1]2店'!$B:$AB,27,0),"-")</f>
        <v>-</v>
      </c>
      <c r="AD6" s="92" t="str">
        <f t="shared" si="9"/>
        <v>-</v>
      </c>
      <c r="AE6" s="91" t="str">
        <f>IFERROR(SUMIF('2店辅助表'!T:T,B:B,'2店辅助表'!W:W)/SUMIF('2店辅助表'!T:T,B:B,'2店辅助表'!X:X),"-")</f>
        <v>-</v>
      </c>
      <c r="AF6" s="91" t="str">
        <f>IFERROR(SUMIF('2店辅助表'!AC:AC,B:B,'2店辅助表'!AF:AF)/SUMIF('2店辅助表'!AC:AC,B:B,'2店辅助表'!AG:AG),"-")</f>
        <v>-</v>
      </c>
      <c r="AG6" s="99">
        <f>IFERROR(AK6/((SUMIF('2店辅助表'!AT:AT,B:B,'2店辅助表'!AU:AU)+M6)/2),"-")</f>
        <v>0</v>
      </c>
      <c r="AH6" s="99">
        <f>IFERROR(AL6/((SUMIF('2店辅助表'!AW:AW,B:B,'2店辅助表'!AX:AX)+M6)/2),"-")</f>
        <v>0</v>
      </c>
      <c r="AI6" s="100" t="str">
        <f>IFERROR((SUMIF('2店辅助表'!AP:AP,B:B,'2店辅助表'!AR:AR)-SUMIF('2店辅助表'!AP:AP,B:B,'2店辅助表'!AR:AR)*0.15-(L6+IFERROR(VLOOKUP(B:B,'2店辅助表'!AZ:BA,2,0),0))*O6-IF(AN:AN="US",6.85,4.9)*(Z6+3.99*O6))/SUMIF('2店辅助表'!AP:AP,B:B,'2店辅助表'!AR:AR),"-")</f>
        <v>-</v>
      </c>
      <c r="AJ6" s="100" t="str">
        <f t="shared" si="10"/>
        <v>-</v>
      </c>
      <c r="AK6" s="101">
        <f t="shared" si="2"/>
        <v>0</v>
      </c>
      <c r="AL6" s="101">
        <f t="shared" si="3"/>
        <v>0</v>
      </c>
      <c r="AM6" s="106" t="str">
        <f>VLOOKUP(B:B,'2店辅助表'!AZ:AZ,1,FALSE)</f>
        <v>FXC03656-PI</v>
      </c>
      <c r="AN6" t="str">
        <f>VLOOKUP(B:B,'2店辅助表'!AZ:BB,3,FALSE)</f>
        <v>US</v>
      </c>
    </row>
    <row r="7" customHeight="1" spans="1:40">
      <c r="A7" s="58" t="str">
        <f>INDEX('[1]2店'!$A:$A,MATCH(B:B,'[1]2店'!$B:$B,0))</f>
        <v>欣彤</v>
      </c>
      <c r="B7" s="43" t="s">
        <v>468</v>
      </c>
      <c r="C7" s="43" t="s">
        <v>469</v>
      </c>
      <c r="D7" s="59"/>
      <c r="E7" s="43" t="s">
        <v>470</v>
      </c>
      <c r="F7" s="43">
        <v>0</v>
      </c>
      <c r="G7" s="43">
        <v>1</v>
      </c>
      <c r="H7" s="43">
        <v>0</v>
      </c>
      <c r="I7" s="43">
        <v>0</v>
      </c>
      <c r="J7" s="43">
        <v>0</v>
      </c>
      <c r="K7" s="63">
        <f t="shared" si="1"/>
        <v>1</v>
      </c>
      <c r="L7" s="124">
        <f>VLOOKUP($B:$B,'[1]2店'!$B:$L,11,0)</f>
        <v>13.181</v>
      </c>
      <c r="M7" s="44">
        <f t="shared" si="4"/>
        <v>13.181</v>
      </c>
      <c r="N7" s="65">
        <f>IFERROR(VLOOKUP(B:B,'2店辅助表'!B:C,2,FALSE),0)</f>
        <v>0</v>
      </c>
      <c r="O7" s="65">
        <f>IFERROR(VLOOKUP(B:B,'2店辅助表'!E:F,2,FALSE),0)</f>
        <v>0</v>
      </c>
      <c r="P7" s="65">
        <f>IFERROR(VLOOKUP(B:B,'2店辅助表'!H:I,2,FALSE),0)</f>
        <v>2</v>
      </c>
      <c r="Q7" s="65">
        <f>IFERROR(VLOOKUP(B:B,'[1]2店'!$B:$N,13,FALSE),0)</f>
        <v>0</v>
      </c>
      <c r="R7" s="79">
        <f t="shared" si="5"/>
        <v>0</v>
      </c>
      <c r="S7" s="80">
        <f t="shared" si="6"/>
        <v>45</v>
      </c>
      <c r="T7" s="44">
        <f t="shared" si="7"/>
        <v>1.5</v>
      </c>
      <c r="U7" s="44">
        <f>IFERROR(VLOOKUP($B:$B,'[1]2店'!$B:$T,19,0),"-")</f>
        <v>0.5</v>
      </c>
      <c r="V7" s="81">
        <f t="shared" si="8"/>
        <v>1</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有库存无销量</v>
      </c>
      <c r="X7" s="83" t="str">
        <f>_xlfn.IFS(AND(D7&lt;&gt;0,D7-$AM$2&gt;=0,K7&gt;0,D7&lt;&gt;0),"本月刚到货",AND(T7="-",K7&gt;0),"有库存无销量",AND(T7="-",K7=0),"无库存无销量",AND(T7&lt;=0.5,K7=0),"无库存有销量",T7&lt;=0.5,"库存过低",T7&lt;=1.5,"正常",T7&gt;1.5,"库存过高")</f>
        <v>正常</v>
      </c>
      <c r="Y7" s="44">
        <f>IFERROR(SUMIF('2店辅助表'!K:K,B:B,'2店辅助表'!N:N),0)</f>
        <v>0</v>
      </c>
      <c r="Z7" s="44">
        <f>IFERROR(SUMIF('2店辅助表'!T:T,B:B,'2店辅助表'!W:W),0)</f>
        <v>0</v>
      </c>
      <c r="AA7" s="44">
        <f>IFERROR(SUMIF('2店辅助表'!AC:AC,B:B,'2店辅助表'!AF:AF),0)</f>
        <v>3.9</v>
      </c>
      <c r="AB7" s="91" t="str">
        <f>IFERROR(SUMIF('2店辅助表'!K:K,B:B,'2店辅助表'!N:N)/SUMIF('2店辅助表'!K:K,B:B,'2店辅助表'!O:O),"-")</f>
        <v>-</v>
      </c>
      <c r="AC7" s="91" t="str">
        <f>IFERROR(VLOOKUP(B:B,'[1]2店'!$B:$AB,27,0),"-")</f>
        <v>-</v>
      </c>
      <c r="AD7" s="92" t="str">
        <f t="shared" si="9"/>
        <v>-</v>
      </c>
      <c r="AE7" s="91" t="str">
        <f>IFERROR(SUMIF('2店辅助表'!T:T,B:B,'2店辅助表'!W:W)/SUMIF('2店辅助表'!T:T,B:B,'2店辅助表'!X:X),"-")</f>
        <v>-</v>
      </c>
      <c r="AF7" s="91" t="str">
        <f>IFERROR(SUMIF('2店辅助表'!AC:AC,B:B,'2店辅助表'!AF:AF)/SUMIF('2店辅助表'!AC:AC,B:B,'2店辅助表'!AG:AG),"-")</f>
        <v>-</v>
      </c>
      <c r="AG7" s="99">
        <f>IFERROR(AK7/((SUMIF('2店辅助表'!AT:AT,B:B,'2店辅助表'!AU:AU)+M7)/2),"-")</f>
        <v>0</v>
      </c>
      <c r="AH7" s="99">
        <f>IFERROR(AL7/((SUMIF('2店辅助表'!AW:AW,B:B,'2店辅助表'!AX:AX)+M7)/2),"-")</f>
        <v>0</v>
      </c>
      <c r="AI7" s="100" t="str">
        <f>IFERROR((SUMIF('2店辅助表'!AP:AP,B:B,'2店辅助表'!AR:AR)-SUMIF('2店辅助表'!AP:AP,B:B,'2店辅助表'!AR:AR)*0.15-(L7+IFERROR(VLOOKUP(B:B,'2店辅助表'!AZ:BA,2,0),0))*O7-IF(AN:AN="US",6.85,4.9)*(Z7+3.99*O7))/SUMIF('2店辅助表'!AP:AP,B:B,'2店辅助表'!AR:AR),"-")</f>
        <v>-</v>
      </c>
      <c r="AJ7" s="100" t="str">
        <f t="shared" si="10"/>
        <v>-</v>
      </c>
      <c r="AK7" s="101">
        <f t="shared" si="2"/>
        <v>0</v>
      </c>
      <c r="AL7" s="101">
        <f t="shared" si="3"/>
        <v>0</v>
      </c>
      <c r="AM7" s="106" t="str">
        <f>VLOOKUP(B:B,'2店辅助表'!AZ:AZ,1,FALSE)</f>
        <v>FXC03656-TG</v>
      </c>
      <c r="AN7" t="str">
        <f>VLOOKUP(B:B,'2店辅助表'!AZ:BB,3,FALSE)</f>
        <v>US</v>
      </c>
    </row>
    <row r="8" customHeight="1" spans="1:40">
      <c r="A8" s="58" t="str">
        <f>INDEX('[1]2店'!$A:$A,MATCH(B:B,'[1]2店'!$B:$B,0))</f>
        <v>欣彤</v>
      </c>
      <c r="B8" s="43" t="s">
        <v>471</v>
      </c>
      <c r="C8" s="43" t="s">
        <v>472</v>
      </c>
      <c r="D8" s="59"/>
      <c r="E8" s="43" t="s">
        <v>473</v>
      </c>
      <c r="F8" s="43">
        <v>1</v>
      </c>
      <c r="G8" s="43">
        <v>0</v>
      </c>
      <c r="H8" s="43">
        <v>0</v>
      </c>
      <c r="I8" s="43">
        <v>0</v>
      </c>
      <c r="J8" s="43">
        <v>0</v>
      </c>
      <c r="K8" s="63">
        <f t="shared" si="1"/>
        <v>1</v>
      </c>
      <c r="L8" s="124">
        <f>VLOOKUP($B:$B,'[1]2店'!$B:$L,11,0)</f>
        <v>13.188</v>
      </c>
      <c r="M8" s="44">
        <f t="shared" si="4"/>
        <v>13.188</v>
      </c>
      <c r="N8" s="65">
        <f>IFERROR(VLOOKUP(B:B,'2店辅助表'!B:C,2,FALSE),0)</f>
        <v>0</v>
      </c>
      <c r="O8" s="65">
        <f>IFERROR(VLOOKUP(B:B,'2店辅助表'!E:F,2,FALSE),0)</f>
        <v>0</v>
      </c>
      <c r="P8" s="65">
        <f>IFERROR(VLOOKUP(B:B,'2店辅助表'!H:I,2,FALSE),0)</f>
        <v>0</v>
      </c>
      <c r="Q8" s="65">
        <f>IFERROR(VLOOKUP(B:B,'[1]2店'!$B:$N,13,FALSE),0)</f>
        <v>0</v>
      </c>
      <c r="R8" s="79">
        <f t="shared" si="5"/>
        <v>0</v>
      </c>
      <c r="S8" s="80" t="str">
        <f t="shared" si="6"/>
        <v>-</v>
      </c>
      <c r="T8" s="44" t="str">
        <f t="shared" si="7"/>
        <v>-</v>
      </c>
      <c r="U8" s="44" t="str">
        <f>IFERROR(VLOOKUP($B:$B,'[1]2店'!$B:$T,19,0),"-")</f>
        <v>-</v>
      </c>
      <c r="V8" s="81" t="str">
        <f t="shared" si="8"/>
        <v>-</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有库存无销量</v>
      </c>
      <c r="X8" s="83" t="str">
        <f>_xlfn.IFS(AND(D8&lt;&gt;0,D8-$AM$2&gt;=0,K8&gt;0,D8&lt;&gt;0),"本月刚到货",AND(T8="-",K8&gt;0),"有库存无销量",AND(T8="-",K8=0),"无库存无销量",AND(T8&lt;=0.5,K8=0),"无库存有销量",T8&lt;=0.5,"库存过低",T8&lt;=1.5,"正常",T8&gt;1.5,"库存过高")</f>
        <v>有库存无销量</v>
      </c>
      <c r="Y8" s="44">
        <f>IFERROR(SUMIF('2店辅助表'!K:K,B:B,'2店辅助表'!N:N),0)</f>
        <v>0</v>
      </c>
      <c r="Z8" s="44">
        <f>IFERROR(SUMIF('2店辅助表'!T:T,B:B,'2店辅助表'!W:W),0)</f>
        <v>0</v>
      </c>
      <c r="AA8" s="44">
        <f>IFERROR(SUMIF('2店辅助表'!AC:AC,B:B,'2店辅助表'!AF:AF),0)</f>
        <v>0</v>
      </c>
      <c r="AB8" s="91" t="str">
        <f>IFERROR(SUMIF('2店辅助表'!K:K,B:B,'2店辅助表'!N:N)/SUMIF('2店辅助表'!K:K,B:B,'2店辅助表'!O:O),"-")</f>
        <v>-</v>
      </c>
      <c r="AC8" s="91" t="str">
        <f>IFERROR(VLOOKUP(B:B,'[1]2店'!$B:$AB,27,0),"-")</f>
        <v>-</v>
      </c>
      <c r="AD8" s="92" t="str">
        <f t="shared" si="9"/>
        <v>-</v>
      </c>
      <c r="AE8" s="91" t="str">
        <f>IFERROR(SUMIF('2店辅助表'!T:T,B:B,'2店辅助表'!W:W)/SUMIF('2店辅助表'!T:T,B:B,'2店辅助表'!X:X),"-")</f>
        <v>-</v>
      </c>
      <c r="AF8" s="91" t="str">
        <f>IFERROR(SUMIF('2店辅助表'!AC:AC,B:B,'2店辅助表'!AF:AF)/SUMIF('2店辅助表'!AC:AC,B:B,'2店辅助表'!AG:AG),"-")</f>
        <v>-</v>
      </c>
      <c r="AG8" s="99">
        <f>IFERROR(AK8/((SUMIF('2店辅助表'!AT:AT,B:B,'2店辅助表'!AU:AU)+M8)/2),"-")</f>
        <v>0</v>
      </c>
      <c r="AH8" s="99">
        <f>IFERROR(AL8/((SUMIF('2店辅助表'!AW:AW,B:B,'2店辅助表'!AX:AX)+M8)/2),"-")</f>
        <v>0</v>
      </c>
      <c r="AI8" s="100" t="str">
        <f>IFERROR((SUMIF('2店辅助表'!AP:AP,B:B,'2店辅助表'!AR:AR)-SUMIF('2店辅助表'!AP:AP,B:B,'2店辅助表'!AR:AR)*0.15-(L8+IFERROR(VLOOKUP(B:B,'2店辅助表'!AZ:BA,2,0),0))*O8-IF(AN:AN="US",6.85,4.9)*(Z8+3.99*O8))/SUMIF('2店辅助表'!AP:AP,B:B,'2店辅助表'!AR:AR),"-")</f>
        <v>-</v>
      </c>
      <c r="AJ8" s="100" t="str">
        <f t="shared" si="10"/>
        <v>-</v>
      </c>
      <c r="AK8" s="101">
        <f t="shared" si="2"/>
        <v>0</v>
      </c>
      <c r="AL8" s="101">
        <f t="shared" si="3"/>
        <v>0</v>
      </c>
      <c r="AM8" s="106" t="str">
        <f>VLOOKUP(B:B,'2店辅助表'!AZ:AZ,1,FALSE)</f>
        <v>FXC03656-YW</v>
      </c>
      <c r="AN8" t="str">
        <f>VLOOKUP(B:B,'2店辅助表'!AZ:BB,3,FALSE)</f>
        <v>US</v>
      </c>
    </row>
    <row r="9" customHeight="1" spans="1:40">
      <c r="A9" s="58" t="str">
        <f>INDEX('[1]2店'!$A:$A,MATCH(B:B,'[1]2店'!$B:$B,0))</f>
        <v>欣彤</v>
      </c>
      <c r="B9" s="43" t="s">
        <v>474</v>
      </c>
      <c r="C9" s="43" t="s">
        <v>475</v>
      </c>
      <c r="D9" s="59"/>
      <c r="E9" s="43" t="s">
        <v>476</v>
      </c>
      <c r="F9" s="43">
        <v>0</v>
      </c>
      <c r="G9" s="43">
        <v>1</v>
      </c>
      <c r="H9" s="43">
        <v>0</v>
      </c>
      <c r="I9" s="43">
        <v>0</v>
      </c>
      <c r="J9" s="43">
        <v>0</v>
      </c>
      <c r="K9" s="63">
        <f t="shared" si="1"/>
        <v>1</v>
      </c>
      <c r="L9" s="124">
        <f>VLOOKUP($B:$B,'[1]2店'!$B:$L,11,0)</f>
        <v>14.05</v>
      </c>
      <c r="M9" s="44">
        <f t="shared" si="4"/>
        <v>14.05</v>
      </c>
      <c r="N9" s="65">
        <f>IFERROR(VLOOKUP(B:B,'2店辅助表'!B:C,2,FALSE),0)</f>
        <v>0</v>
      </c>
      <c r="O9" s="65">
        <f>IFERROR(VLOOKUP(B:B,'2店辅助表'!E:F,2,FALSE),0)</f>
        <v>0</v>
      </c>
      <c r="P9" s="65">
        <f>IFERROR(VLOOKUP(B:B,'2店辅助表'!H:I,2,FALSE),0)</f>
        <v>0</v>
      </c>
      <c r="Q9" s="65">
        <f>IFERROR(VLOOKUP(B:B,'[1]2店'!$B:$N,13,FALSE),0)</f>
        <v>0</v>
      </c>
      <c r="R9" s="79">
        <f t="shared" si="5"/>
        <v>0</v>
      </c>
      <c r="S9" s="80" t="str">
        <f t="shared" si="6"/>
        <v>-</v>
      </c>
      <c r="T9" s="44" t="str">
        <f t="shared" si="7"/>
        <v>-</v>
      </c>
      <c r="U9" s="44" t="str">
        <f>IFERROR(VLOOKUP($B:$B,'[1]2店'!$B:$T,19,0),"-")</f>
        <v>-</v>
      </c>
      <c r="V9" s="81" t="str">
        <f t="shared" si="8"/>
        <v>-</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有库存无销量</v>
      </c>
      <c r="X9" s="83" t="str">
        <f>_xlfn.IFS(AND(D9&lt;&gt;0,D9-$AM$2&gt;=0,K9&gt;0,D9&lt;&gt;0),"本月刚到货",AND(T9="-",K9&gt;0),"有库存无销量",AND(T9="-",K9=0),"无库存无销量",AND(T9&lt;=0.5,K9=0),"无库存有销量",T9&lt;=0.5,"库存过低",T9&lt;=1.5,"正常",T9&gt;1.5,"库存过高")</f>
        <v>有库存无销量</v>
      </c>
      <c r="Y9" s="44">
        <f>IFERROR(SUMIF('2店辅助表'!K:K,B:B,'2店辅助表'!N:N),0)</f>
        <v>0</v>
      </c>
      <c r="Z9" s="44">
        <f>IFERROR(SUMIF('2店辅助表'!T:T,B:B,'2店辅助表'!W:W),0)</f>
        <v>0</v>
      </c>
      <c r="AA9" s="44">
        <f>IFERROR(SUMIF('2店辅助表'!AC:AC,B:B,'2店辅助表'!AF:AF),0)</f>
        <v>0</v>
      </c>
      <c r="AB9" s="91" t="str">
        <f>IFERROR(SUMIF('2店辅助表'!K:K,B:B,'2店辅助表'!N:N)/SUMIF('2店辅助表'!K:K,B:B,'2店辅助表'!O:O),"-")</f>
        <v>-</v>
      </c>
      <c r="AC9" s="91" t="str">
        <f>IFERROR(VLOOKUP(B:B,'[1]2店'!$B:$AB,27,0),"-")</f>
        <v>-</v>
      </c>
      <c r="AD9" s="92" t="str">
        <f t="shared" si="9"/>
        <v>-</v>
      </c>
      <c r="AE9" s="91" t="str">
        <f>IFERROR(SUMIF('2店辅助表'!T:T,B:B,'2店辅助表'!W:W)/SUMIF('2店辅助表'!T:T,B:B,'2店辅助表'!X:X),"-")</f>
        <v>-</v>
      </c>
      <c r="AF9" s="91" t="str">
        <f>IFERROR(SUMIF('2店辅助表'!AC:AC,B:B,'2店辅助表'!AF:AF)/SUMIF('2店辅助表'!AC:AC,B:B,'2店辅助表'!AG:AG),"-")</f>
        <v>-</v>
      </c>
      <c r="AG9" s="99">
        <f>IFERROR(AK9/((SUMIF('2店辅助表'!AT:AT,B:B,'2店辅助表'!AU:AU)+M9)/2),"-")</f>
        <v>0</v>
      </c>
      <c r="AH9" s="99">
        <f>IFERROR(AL9/((SUMIF('2店辅助表'!AW:AW,B:B,'2店辅助表'!AX:AX)+M9)/2),"-")</f>
        <v>0</v>
      </c>
      <c r="AI9" s="100" t="str">
        <f>IFERROR((SUMIF('2店辅助表'!AP:AP,B:B,'2店辅助表'!AR:AR)-SUMIF('2店辅助表'!AP:AP,B:B,'2店辅助表'!AR:AR)*0.15-(L9+IFERROR(VLOOKUP(B:B,'2店辅助表'!AZ:BA,2,0),0))*O9-IF(AN:AN="US",6.85,4.9)*(Z9+3.99*O9))/SUMIF('2店辅助表'!AP:AP,B:B,'2店辅助表'!AR:AR),"-")</f>
        <v>-</v>
      </c>
      <c r="AJ9" s="100" t="str">
        <f t="shared" si="10"/>
        <v>-</v>
      </c>
      <c r="AK9" s="101">
        <f t="shared" si="2"/>
        <v>0</v>
      </c>
      <c r="AL9" s="101">
        <f t="shared" si="3"/>
        <v>0</v>
      </c>
      <c r="AM9" s="106" t="str">
        <f>VLOOKUP(B:B,'2店辅助表'!AZ:AZ,1,FALSE)</f>
        <v>FXC03677-BL</v>
      </c>
      <c r="AN9" t="str">
        <f>VLOOKUP(B:B,'2店辅助表'!AZ:BB,3,FALSE)</f>
        <v>US</v>
      </c>
    </row>
    <row r="10" customHeight="1" spans="1:40">
      <c r="A10" s="58" t="str">
        <f>INDEX('[1]2店'!$A:$A,MATCH(B:B,'[1]2店'!$B:$B,0))</f>
        <v>欣彤</v>
      </c>
      <c r="B10" s="43" t="s">
        <v>477</v>
      </c>
      <c r="C10" s="43" t="s">
        <v>478</v>
      </c>
      <c r="D10" s="59"/>
      <c r="E10" s="43" t="s">
        <v>479</v>
      </c>
      <c r="F10" s="43">
        <v>2</v>
      </c>
      <c r="G10" s="43">
        <v>0</v>
      </c>
      <c r="H10" s="43">
        <v>0</v>
      </c>
      <c r="I10" s="43">
        <v>0</v>
      </c>
      <c r="J10" s="43">
        <v>0</v>
      </c>
      <c r="K10" s="63">
        <f t="shared" si="1"/>
        <v>2</v>
      </c>
      <c r="L10" s="124">
        <f>VLOOKUP($B:$B,'[1]2店'!$B:$L,11,0)</f>
        <v>11.35</v>
      </c>
      <c r="M10" s="44">
        <f t="shared" si="4"/>
        <v>22.7</v>
      </c>
      <c r="N10" s="65">
        <f>IFERROR(VLOOKUP(B:B,'2店辅助表'!B:C,2,FALSE),0)</f>
        <v>0</v>
      </c>
      <c r="O10" s="65">
        <f>IFERROR(VLOOKUP(B:B,'2店辅助表'!E:F,2,FALSE),0)</f>
        <v>0</v>
      </c>
      <c r="P10" s="65">
        <f>IFERROR(VLOOKUP(B:B,'2店辅助表'!H:I,2,FALSE),0)</f>
        <v>0</v>
      </c>
      <c r="Q10" s="65">
        <f>IFERROR(VLOOKUP(B:B,'[1]2店'!$B:$N,13,FALSE),0)</f>
        <v>0</v>
      </c>
      <c r="R10" s="79">
        <f t="shared" si="5"/>
        <v>0</v>
      </c>
      <c r="S10" s="80" t="str">
        <f t="shared" si="6"/>
        <v>-</v>
      </c>
      <c r="T10" s="44" t="str">
        <f t="shared" si="7"/>
        <v>-</v>
      </c>
      <c r="U10" s="44" t="str">
        <f>IFERROR(VLOOKUP($B:$B,'[1]2店'!$B:$T,19,0),"-")</f>
        <v>-</v>
      </c>
      <c r="V10" s="81" t="str">
        <f t="shared" si="8"/>
        <v>-</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有库存无销量</v>
      </c>
      <c r="X10" s="83" t="str">
        <f>_xlfn.IFS(AND(D10&lt;&gt;0,D10-$AM$2&gt;=0,K10&gt;0,D10&lt;&gt;0),"本月刚到货",AND(T10="-",K10&gt;0),"有库存无销量",AND(T10="-",K10=0),"无库存无销量",AND(T10&lt;=0.5,K10=0),"无库存有销量",T10&lt;=0.5,"库存过低",T10&lt;=1.5,"正常",T10&gt;1.5,"库存过高")</f>
        <v>有库存无销量</v>
      </c>
      <c r="Y10" s="44">
        <f>IFERROR(SUMIF('2店辅助表'!K:K,B:B,'2店辅助表'!N:N),0)</f>
        <v>0</v>
      </c>
      <c r="Z10" s="44">
        <f>IFERROR(SUMIF('2店辅助表'!T:T,B:B,'2店辅助表'!W:W),0)</f>
        <v>0</v>
      </c>
      <c r="AA10" s="44">
        <f>IFERROR(SUMIF('2店辅助表'!AC:AC,B:B,'2店辅助表'!AF:AF),0)</f>
        <v>0</v>
      </c>
      <c r="AB10" s="91" t="str">
        <f>IFERROR(SUMIF('2店辅助表'!K:K,B:B,'2店辅助表'!N:N)/SUMIF('2店辅助表'!K:K,B:B,'2店辅助表'!O:O),"-")</f>
        <v>-</v>
      </c>
      <c r="AC10" s="91" t="str">
        <f>IFERROR(VLOOKUP(B:B,'[1]2店'!$B:$AB,27,0),"-")</f>
        <v>-</v>
      </c>
      <c r="AD10" s="92" t="str">
        <f t="shared" si="9"/>
        <v>-</v>
      </c>
      <c r="AE10" s="91" t="str">
        <f>IFERROR(SUMIF('2店辅助表'!T:T,B:B,'2店辅助表'!W:W)/SUMIF('2店辅助表'!T:T,B:B,'2店辅助表'!X:X),"-")</f>
        <v>-</v>
      </c>
      <c r="AF10" s="91" t="str">
        <f>IFERROR(SUMIF('2店辅助表'!AC:AC,B:B,'2店辅助表'!AF:AF)/SUMIF('2店辅助表'!AC:AC,B:B,'2店辅助表'!AG:AG),"-")</f>
        <v>-</v>
      </c>
      <c r="AG10" s="99">
        <f>IFERROR(AK10/((SUMIF('2店辅助表'!AT:AT,B:B,'2店辅助表'!AU:AU)+M10)/2),"-")</f>
        <v>0</v>
      </c>
      <c r="AH10" s="99">
        <f>IFERROR(AL10/((SUMIF('2店辅助表'!AW:AW,B:B,'2店辅助表'!AX:AX)+M10)/2),"-")</f>
        <v>0</v>
      </c>
      <c r="AI10" s="100" t="str">
        <f>IFERROR((SUMIF('2店辅助表'!AP:AP,B:B,'2店辅助表'!AR:AR)-SUMIF('2店辅助表'!AP:AP,B:B,'2店辅助表'!AR:AR)*0.15-(L10+IFERROR(VLOOKUP(B:B,'2店辅助表'!AZ:BA,2,0),0))*O10-IF(AN:AN="US",6.85,4.9)*(Z10+3.99*O10))/SUMIF('2店辅助表'!AP:AP,B:B,'2店辅助表'!AR:AR),"-")</f>
        <v>-</v>
      </c>
      <c r="AJ10" s="100" t="str">
        <f t="shared" si="10"/>
        <v>-</v>
      </c>
      <c r="AK10" s="101">
        <f t="shared" si="2"/>
        <v>0</v>
      </c>
      <c r="AL10" s="101">
        <f t="shared" si="3"/>
        <v>0</v>
      </c>
      <c r="AM10" s="106" t="str">
        <f>VLOOKUP(B:B,'2店辅助表'!AZ:AZ,1,FALSE)</f>
        <v>FXC03679-BL</v>
      </c>
      <c r="AN10" t="str">
        <f>VLOOKUP(B:B,'2店辅助表'!AZ:BB,3,FALSE)</f>
        <v>US</v>
      </c>
    </row>
    <row r="11" customHeight="1" spans="1:40">
      <c r="A11" s="58" t="str">
        <f>INDEX('[1]2店'!$A:$A,MATCH(B:B,'[1]2店'!$B:$B,0))</f>
        <v>欣彤</v>
      </c>
      <c r="B11" s="43" t="s">
        <v>480</v>
      </c>
      <c r="C11" s="43" t="s">
        <v>481</v>
      </c>
      <c r="D11" s="59"/>
      <c r="E11" s="43" t="s">
        <v>482</v>
      </c>
      <c r="F11" s="43">
        <v>1</v>
      </c>
      <c r="G11" s="43">
        <v>0</v>
      </c>
      <c r="H11" s="43">
        <v>0</v>
      </c>
      <c r="I11" s="43">
        <v>0</v>
      </c>
      <c r="J11" s="43">
        <v>0</v>
      </c>
      <c r="K11" s="63">
        <f t="shared" si="1"/>
        <v>1</v>
      </c>
      <c r="L11" s="124">
        <f>VLOOKUP($B:$B,'[1]2店'!$B:$L,11,0)</f>
        <v>13.2</v>
      </c>
      <c r="M11" s="44">
        <f t="shared" si="4"/>
        <v>13.2</v>
      </c>
      <c r="N11" s="65">
        <f>IFERROR(VLOOKUP(B:B,'2店辅助表'!B:C,2,FALSE),0)</f>
        <v>1</v>
      </c>
      <c r="O11" s="65">
        <f>IFERROR(VLOOKUP(B:B,'2店辅助表'!E:F,2,FALSE),0)</f>
        <v>1</v>
      </c>
      <c r="P11" s="65">
        <f>IFERROR(VLOOKUP(B:B,'2店辅助表'!H:I,2,FALSE),0)</f>
        <v>1</v>
      </c>
      <c r="Q11" s="65">
        <f>IFERROR(VLOOKUP(B:B,'[1]2店'!$B:$N,13,FALSE),0)</f>
        <v>0</v>
      </c>
      <c r="R11" s="79">
        <f t="shared" si="5"/>
        <v>1</v>
      </c>
      <c r="S11" s="80">
        <f t="shared" si="6"/>
        <v>12.3529411764706</v>
      </c>
      <c r="T11" s="44">
        <f t="shared" si="7"/>
        <v>0.411764705882353</v>
      </c>
      <c r="U11" s="44" t="str">
        <f>IFERROR(VLOOKUP($B:$B,'[1]2店'!$B:$T,19,0),"-")</f>
        <v>-</v>
      </c>
      <c r="V11" s="81" t="str">
        <f t="shared" si="8"/>
        <v>-</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库存过低</v>
      </c>
      <c r="X11" s="83" t="str">
        <f>_xlfn.IFS(AND(D11&lt;&gt;0,D11-$AM$2&gt;=0,K11&gt;0,D11&lt;&gt;0),"本月刚到货",AND(T11="-",K11&gt;0),"有库存无销量",AND(T11="-",K11=0),"无库存无销量",AND(T11&lt;=0.5,K11=0),"无库存有销量",T11&lt;=0.5,"库存过低",T11&lt;=1.5,"正常",T11&gt;1.5,"库存过高")</f>
        <v>库存过低</v>
      </c>
      <c r="Y11" s="44">
        <f>IFERROR(SUMIF('2店辅助表'!K:K,B:B,'2店辅助表'!N:N),0)</f>
        <v>0</v>
      </c>
      <c r="Z11" s="44">
        <f>IFERROR(SUMIF('2店辅助表'!T:T,B:B,'2店辅助表'!W:W),0)</f>
        <v>0</v>
      </c>
      <c r="AA11" s="44">
        <f>IFERROR(SUMIF('2店辅助表'!AC:AC,B:B,'2店辅助表'!AF:AF),0)</f>
        <v>0</v>
      </c>
      <c r="AB11" s="91" t="str">
        <f>IFERROR(SUMIF('2店辅助表'!K:K,B:B,'2店辅助表'!N:N)/SUMIF('2店辅助表'!K:K,B:B,'2店辅助表'!O:O),"-")</f>
        <v>-</v>
      </c>
      <c r="AC11" s="91" t="str">
        <f>IFERROR(VLOOKUP(B:B,'[1]2店'!$B:$AB,27,0),"-")</f>
        <v>-</v>
      </c>
      <c r="AD11" s="92" t="str">
        <f t="shared" si="9"/>
        <v>-</v>
      </c>
      <c r="AE11" s="91" t="str">
        <f>IFERROR(SUMIF('2店辅助表'!T:T,B:B,'2店辅助表'!W:W)/SUMIF('2店辅助表'!T:T,B:B,'2店辅助表'!X:X),"-")</f>
        <v>-</v>
      </c>
      <c r="AF11" s="91" t="str">
        <f>IFERROR(SUMIF('2店辅助表'!AC:AC,B:B,'2店辅助表'!AF:AF)/SUMIF('2店辅助表'!AC:AC,B:B,'2店辅助表'!AG:AG),"-")</f>
        <v>-</v>
      </c>
      <c r="AG11" s="99">
        <f>IFERROR(AK11/((SUMIF('2店辅助表'!AT:AT,B:B,'2店辅助表'!AU:AU)+M11)/2),"-")</f>
        <v>1</v>
      </c>
      <c r="AH11" s="99">
        <f>IFERROR(AL11/((SUMIF('2店辅助表'!AW:AW,B:B,'2店辅助表'!AX:AX)+M11)/2),"-")</f>
        <v>2</v>
      </c>
      <c r="AI11" s="100">
        <f>IFERROR((SUMIF('2店辅助表'!AP:AP,B:B,'2店辅助表'!AR:AR)-SUMIF('2店辅助表'!AP:AP,B:B,'2店辅助表'!AR:AR)*0.15-(L11+IFERROR(VLOOKUP(B:B,'2店辅助表'!AZ:BA,2,0),0))*O11-IF(AN:AN="US",6.85,4.9)*(Z11+3.99*O11))/SUMIF('2店辅助表'!AP:AP,B:B,'2店辅助表'!AR:AR),"-")</f>
        <v>-0.124311581717365</v>
      </c>
      <c r="AJ11" s="100">
        <f t="shared" si="10"/>
        <v>-0.248623163434729</v>
      </c>
      <c r="AK11" s="101">
        <f t="shared" si="2"/>
        <v>13.2</v>
      </c>
      <c r="AL11" s="101">
        <f t="shared" si="3"/>
        <v>13.2</v>
      </c>
      <c r="AM11" s="106" t="str">
        <f>VLOOKUP(B:B,'2店辅助表'!AZ:AZ,1,FALSE)</f>
        <v>FXC03680-NA</v>
      </c>
      <c r="AN11" t="str">
        <f>VLOOKUP(B:B,'2店辅助表'!AZ:BB,3,FALSE)</f>
        <v>US</v>
      </c>
    </row>
    <row r="12" customHeight="1" spans="1:40">
      <c r="A12" s="58" t="str">
        <f>INDEX('[1]2店'!$A:$A,MATCH(B:B,'[1]2店'!$B:$B,0))</f>
        <v>欣彤</v>
      </c>
      <c r="B12" s="43" t="s">
        <v>483</v>
      </c>
      <c r="C12" s="43" t="s">
        <v>484</v>
      </c>
      <c r="D12" s="59"/>
      <c r="E12" s="43" t="s">
        <v>485</v>
      </c>
      <c r="F12" s="43">
        <v>0</v>
      </c>
      <c r="G12" s="43">
        <v>0</v>
      </c>
      <c r="H12" s="43">
        <v>0</v>
      </c>
      <c r="I12" s="43">
        <v>1</v>
      </c>
      <c r="J12" s="43">
        <v>0</v>
      </c>
      <c r="K12" s="63">
        <f t="shared" si="1"/>
        <v>1</v>
      </c>
      <c r="L12" s="124">
        <f>VLOOKUP($B:$B,'[1]2店'!$B:$L,11,0)</f>
        <v>13</v>
      </c>
      <c r="M12" s="44">
        <f t="shared" si="4"/>
        <v>13</v>
      </c>
      <c r="N12" s="65">
        <f>IFERROR(VLOOKUP(B:B,'2店辅助表'!B:C,2,FALSE),0)</f>
        <v>0</v>
      </c>
      <c r="O12" s="65">
        <f>IFERROR(VLOOKUP(B:B,'2店辅助表'!E:F,2,FALSE),0)</f>
        <v>0</v>
      </c>
      <c r="P12" s="65">
        <f>IFERROR(VLOOKUP(B:B,'2店辅助表'!H:I,2,FALSE),0)</f>
        <v>0</v>
      </c>
      <c r="Q12" s="65">
        <f>IFERROR(VLOOKUP(B:B,'[1]2店'!$B:$N,13,FALSE),0)</f>
        <v>0</v>
      </c>
      <c r="R12" s="79">
        <f t="shared" si="5"/>
        <v>0</v>
      </c>
      <c r="S12" s="80" t="str">
        <f t="shared" si="6"/>
        <v>-</v>
      </c>
      <c r="T12" s="44" t="str">
        <f t="shared" si="7"/>
        <v>-</v>
      </c>
      <c r="U12" s="44" t="str">
        <f>IFERROR(VLOOKUP($B:$B,'[1]2店'!$B:$T,19,0),"-")</f>
        <v>-</v>
      </c>
      <c r="V12" s="81" t="str">
        <f t="shared" si="8"/>
        <v>-</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有库存无销量</v>
      </c>
      <c r="X12" s="83" t="str">
        <f>_xlfn.IFS(AND(D12&lt;&gt;0,D12-$AM$2&gt;=0,K12&gt;0,D12&lt;&gt;0),"本月刚到货",AND(T12="-",K12&gt;0),"有库存无销量",AND(T12="-",K12=0),"无库存无销量",AND(T12&lt;=0.5,K12=0),"无库存有销量",T12&lt;=0.5,"库存过低",T12&lt;=1.5,"正常",T12&gt;1.5,"库存过高")</f>
        <v>有库存无销量</v>
      </c>
      <c r="Y12" s="44">
        <f>IFERROR(SUMIF('2店辅助表'!K:K,B:B,'2店辅助表'!N:N),0)</f>
        <v>0</v>
      </c>
      <c r="Z12" s="44">
        <f>IFERROR(SUMIF('2店辅助表'!T:T,B:B,'2店辅助表'!W:W),0)</f>
        <v>0</v>
      </c>
      <c r="AA12" s="44">
        <f>IFERROR(SUMIF('2店辅助表'!AC:AC,B:B,'2店辅助表'!AF:AF),0)</f>
        <v>0</v>
      </c>
      <c r="AB12" s="91" t="str">
        <f>IFERROR(SUMIF('2店辅助表'!K:K,B:B,'2店辅助表'!N:N)/SUMIF('2店辅助表'!K:K,B:B,'2店辅助表'!O:O),"-")</f>
        <v>-</v>
      </c>
      <c r="AC12" s="91" t="str">
        <f>IFERROR(VLOOKUP(B:B,'[1]2店'!$B:$AB,27,0),"-")</f>
        <v>-</v>
      </c>
      <c r="AD12" s="92" t="str">
        <f t="shared" si="9"/>
        <v>-</v>
      </c>
      <c r="AE12" s="91" t="str">
        <f>IFERROR(SUMIF('2店辅助表'!T:T,B:B,'2店辅助表'!W:W)/SUMIF('2店辅助表'!T:T,B:B,'2店辅助表'!X:X),"-")</f>
        <v>-</v>
      </c>
      <c r="AF12" s="91" t="str">
        <f>IFERROR(SUMIF('2店辅助表'!AC:AC,B:B,'2店辅助表'!AF:AF)/SUMIF('2店辅助表'!AC:AC,B:B,'2店辅助表'!AG:AG),"-")</f>
        <v>-</v>
      </c>
      <c r="AG12" s="99">
        <f>IFERROR(AK12/((SUMIF('2店辅助表'!AT:AT,B:B,'2店辅助表'!AU:AU)+M12)/2),"-")</f>
        <v>0</v>
      </c>
      <c r="AH12" s="99">
        <f>IFERROR(AL12/((SUMIF('2店辅助表'!AW:AW,B:B,'2店辅助表'!AX:AX)+M12)/2),"-")</f>
        <v>0</v>
      </c>
      <c r="AI12" s="100" t="str">
        <f>IFERROR((SUMIF('2店辅助表'!AP:AP,B:B,'2店辅助表'!AR:AR)-SUMIF('2店辅助表'!AP:AP,B:B,'2店辅助表'!AR:AR)*0.15-(L12+IFERROR(VLOOKUP(B:B,'2店辅助表'!AZ:BA,2,0),0))*O12-IF(AN:AN="US",6.85,4.9)*(Z12+3.99*O12))/SUMIF('2店辅助表'!AP:AP,B:B,'2店辅助表'!AR:AR),"-")</f>
        <v>-</v>
      </c>
      <c r="AJ12" s="100" t="str">
        <f t="shared" si="10"/>
        <v>-</v>
      </c>
      <c r="AK12" s="101">
        <f t="shared" si="2"/>
        <v>0</v>
      </c>
      <c r="AL12" s="101">
        <f t="shared" si="3"/>
        <v>0</v>
      </c>
      <c r="AM12" s="106" t="str">
        <f>VLOOKUP(B:B,'2店辅助表'!AZ:AZ,1,FALSE)</f>
        <v>Y2006-DK</v>
      </c>
      <c r="AN12" t="str">
        <f>VLOOKUP(B:B,'2店辅助表'!AZ:BB,3,FALSE)</f>
        <v>US</v>
      </c>
    </row>
    <row r="13" customHeight="1" spans="1:40">
      <c r="A13" s="58" t="str">
        <f>INDEX('[1]2店'!$A:$A,MATCH(B:B,'[1]2店'!$B:$B,0))</f>
        <v>欣彤</v>
      </c>
      <c r="B13" s="43" t="s">
        <v>486</v>
      </c>
      <c r="C13" s="43" t="s">
        <v>487</v>
      </c>
      <c r="D13" s="59"/>
      <c r="E13" s="43" t="s">
        <v>488</v>
      </c>
      <c r="F13" s="43">
        <v>0</v>
      </c>
      <c r="G13" s="43">
        <v>0</v>
      </c>
      <c r="H13" s="43">
        <v>0</v>
      </c>
      <c r="I13" s="43">
        <v>1</v>
      </c>
      <c r="J13" s="43">
        <v>0</v>
      </c>
      <c r="K13" s="63">
        <f t="shared" si="1"/>
        <v>1</v>
      </c>
      <c r="L13" s="124">
        <f>VLOOKUP($B:$B,'[1]2店'!$B:$L,11,0)</f>
        <v>13</v>
      </c>
      <c r="M13" s="44">
        <f t="shared" si="4"/>
        <v>13</v>
      </c>
      <c r="N13" s="65">
        <f>IFERROR(VLOOKUP(B:B,'2店辅助表'!B:C,2,FALSE),0)</f>
        <v>0</v>
      </c>
      <c r="O13" s="65">
        <f>IFERROR(VLOOKUP(B:B,'2店辅助表'!E:F,2,FALSE),0)</f>
        <v>0</v>
      </c>
      <c r="P13" s="65">
        <f>IFERROR(VLOOKUP(B:B,'2店辅助表'!H:I,2,FALSE),0)</f>
        <v>0</v>
      </c>
      <c r="Q13" s="65">
        <f>IFERROR(VLOOKUP(B:B,'[1]2店'!$B:$N,13,FALSE),0)</f>
        <v>0</v>
      </c>
      <c r="R13" s="79">
        <f t="shared" si="5"/>
        <v>0</v>
      </c>
      <c r="S13" s="80" t="str">
        <f t="shared" si="6"/>
        <v>-</v>
      </c>
      <c r="T13" s="44" t="str">
        <f t="shared" si="7"/>
        <v>-</v>
      </c>
      <c r="U13" s="44" t="str">
        <f>IFERROR(VLOOKUP($B:$B,'[1]2店'!$B:$T,19,0),"-")</f>
        <v>-</v>
      </c>
      <c r="V13" s="81" t="str">
        <f t="shared" si="8"/>
        <v>-</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有库存无销量</v>
      </c>
      <c r="X13" s="83" t="str">
        <f>_xlfn.IFS(AND(D13&lt;&gt;0,D13-$AM$2&gt;=0,K13&gt;0,D13&lt;&gt;0),"本月刚到货",AND(T13="-",K13&gt;0),"有库存无销量",AND(T13="-",K13=0),"无库存无销量",AND(T13&lt;=0.5,K13=0),"无库存有销量",T13&lt;=0.5,"库存过低",T13&lt;=1.5,"正常",T13&gt;1.5,"库存过高")</f>
        <v>有库存无销量</v>
      </c>
      <c r="Y13" s="44">
        <f>IFERROR(SUMIF('2店辅助表'!K:K,B:B,'2店辅助表'!N:N),0)</f>
        <v>0</v>
      </c>
      <c r="Z13" s="44">
        <f>IFERROR(SUMIF('2店辅助表'!T:T,B:B,'2店辅助表'!W:W),0)</f>
        <v>0</v>
      </c>
      <c r="AA13" s="44">
        <f>IFERROR(SUMIF('2店辅助表'!AC:AC,B:B,'2店辅助表'!AF:AF),0)</f>
        <v>0</v>
      </c>
      <c r="AB13" s="91" t="str">
        <f>IFERROR(SUMIF('2店辅助表'!K:K,B:B,'2店辅助表'!N:N)/SUMIF('2店辅助表'!K:K,B:B,'2店辅助表'!O:O),"-")</f>
        <v>-</v>
      </c>
      <c r="AC13" s="91" t="str">
        <f>IFERROR(VLOOKUP(B:B,'[1]2店'!$B:$AB,27,0),"-")</f>
        <v>-</v>
      </c>
      <c r="AD13" s="92" t="str">
        <f t="shared" si="9"/>
        <v>-</v>
      </c>
      <c r="AE13" s="91" t="str">
        <f>IFERROR(SUMIF('2店辅助表'!T:T,B:B,'2店辅助表'!W:W)/SUMIF('2店辅助表'!T:T,B:B,'2店辅助表'!X:X),"-")</f>
        <v>-</v>
      </c>
      <c r="AF13" s="91" t="str">
        <f>IFERROR(SUMIF('2店辅助表'!AC:AC,B:B,'2店辅助表'!AF:AF)/SUMIF('2店辅助表'!AC:AC,B:B,'2店辅助表'!AG:AG),"-")</f>
        <v>-</v>
      </c>
      <c r="AG13" s="99">
        <f>IFERROR(AK13/((SUMIF('2店辅助表'!AT:AT,B:B,'2店辅助表'!AU:AU)+M13)/2),"-")</f>
        <v>0</v>
      </c>
      <c r="AH13" s="99">
        <f>IFERROR(AL13/((SUMIF('2店辅助表'!AW:AW,B:B,'2店辅助表'!AX:AX)+M13)/2),"-")</f>
        <v>0</v>
      </c>
      <c r="AI13" s="100" t="str">
        <f>IFERROR((SUMIF('2店辅助表'!AP:AP,B:B,'2店辅助表'!AR:AR)-SUMIF('2店辅助表'!AP:AP,B:B,'2店辅助表'!AR:AR)*0.15-(L13+IFERROR(VLOOKUP(B:B,'2店辅助表'!AZ:BA,2,0),0))*O13-IF(AN:AN="US",6.85,4.9)*(Z13+3.99*O13))/SUMIF('2店辅助表'!AP:AP,B:B,'2店辅助表'!AR:AR),"-")</f>
        <v>-</v>
      </c>
      <c r="AJ13" s="100" t="str">
        <f t="shared" si="10"/>
        <v>-</v>
      </c>
      <c r="AK13" s="101">
        <f t="shared" si="2"/>
        <v>0</v>
      </c>
      <c r="AL13" s="101">
        <f t="shared" si="3"/>
        <v>0</v>
      </c>
      <c r="AM13" s="106" t="str">
        <f>VLOOKUP(B:B,'2店辅助表'!AZ:AZ,1,FALSE)</f>
        <v>Y2006-PG</v>
      </c>
      <c r="AN13" t="str">
        <f>VLOOKUP(B:B,'2店辅助表'!AZ:BB,3,FALSE)</f>
        <v>US</v>
      </c>
    </row>
    <row r="14" customHeight="1" spans="1:40">
      <c r="A14" s="58" t="str">
        <f>INDEX('[1]2店'!$A:$A,MATCH(B:B,'[1]2店'!$B:$B,0))</f>
        <v>欣彤</v>
      </c>
      <c r="B14" s="43" t="s">
        <v>489</v>
      </c>
      <c r="C14" s="43" t="s">
        <v>490</v>
      </c>
      <c r="D14" s="59"/>
      <c r="E14" s="43" t="s">
        <v>491</v>
      </c>
      <c r="F14" s="43">
        <v>1</v>
      </c>
      <c r="G14" s="43">
        <v>0</v>
      </c>
      <c r="H14" s="43">
        <v>0</v>
      </c>
      <c r="I14" s="43">
        <v>0</v>
      </c>
      <c r="J14" s="43">
        <v>0</v>
      </c>
      <c r="K14" s="63">
        <f t="shared" si="1"/>
        <v>1</v>
      </c>
      <c r="L14" s="124">
        <f>VLOOKUP($B:$B,'[1]2店'!$B:$L,11,0)</f>
        <v>13</v>
      </c>
      <c r="M14" s="44">
        <f t="shared" si="4"/>
        <v>13</v>
      </c>
      <c r="N14" s="65">
        <f>IFERROR(VLOOKUP(B:B,'2店辅助表'!B:C,2,FALSE),0)</f>
        <v>0</v>
      </c>
      <c r="O14" s="65">
        <f>IFERROR(VLOOKUP(B:B,'2店辅助表'!E:F,2,FALSE),0)</f>
        <v>0</v>
      </c>
      <c r="P14" s="65">
        <f>IFERROR(VLOOKUP(B:B,'2店辅助表'!H:I,2,FALSE),0)</f>
        <v>0</v>
      </c>
      <c r="Q14" s="65">
        <f>IFERROR(VLOOKUP(B:B,'[1]2店'!$B:$N,13,FALSE),0)</f>
        <v>0</v>
      </c>
      <c r="R14" s="79">
        <f t="shared" si="5"/>
        <v>0</v>
      </c>
      <c r="S14" s="80" t="str">
        <f t="shared" si="6"/>
        <v>-</v>
      </c>
      <c r="T14" s="44" t="str">
        <f t="shared" si="7"/>
        <v>-</v>
      </c>
      <c r="U14" s="44" t="str">
        <f>IFERROR(VLOOKUP($B:$B,'[1]2店'!$B:$T,19,0),"-")</f>
        <v>-</v>
      </c>
      <c r="V14" s="81" t="str">
        <f t="shared" si="8"/>
        <v>-</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有库存无销量</v>
      </c>
      <c r="X14" s="83" t="str">
        <f>_xlfn.IFS(AND(D14&lt;&gt;0,D14-$AM$2&gt;=0,K14&gt;0,D14&lt;&gt;0),"本月刚到货",AND(T14="-",K14&gt;0),"有库存无销量",AND(T14="-",K14=0),"无库存无销量",AND(T14&lt;=0.5,K14=0),"无库存有销量",T14&lt;=0.5,"库存过低",T14&lt;=1.5,"正常",T14&gt;1.5,"库存过高")</f>
        <v>有库存无销量</v>
      </c>
      <c r="Y14" s="44">
        <f>IFERROR(SUMIF('2店辅助表'!K:K,B:B,'2店辅助表'!N:N),0)</f>
        <v>0</v>
      </c>
      <c r="Z14" s="44">
        <f>IFERROR(SUMIF('2店辅助表'!T:T,B:B,'2店辅助表'!W:W),0)</f>
        <v>0</v>
      </c>
      <c r="AA14" s="44">
        <f>IFERROR(SUMIF('2店辅助表'!AC:AC,B:B,'2店辅助表'!AF:AF),0)</f>
        <v>0</v>
      </c>
      <c r="AB14" s="91" t="str">
        <f>IFERROR(SUMIF('2店辅助表'!K:K,B:B,'2店辅助表'!N:N)/SUMIF('2店辅助表'!K:K,B:B,'2店辅助表'!O:O),"-")</f>
        <v>-</v>
      </c>
      <c r="AC14" s="91" t="str">
        <f>IFERROR(VLOOKUP(B:B,'[1]2店'!$B:$AB,27,0),"-")</f>
        <v>-</v>
      </c>
      <c r="AD14" s="92" t="str">
        <f t="shared" si="9"/>
        <v>-</v>
      </c>
      <c r="AE14" s="91" t="str">
        <f>IFERROR(SUMIF('2店辅助表'!T:T,B:B,'2店辅助表'!W:W)/SUMIF('2店辅助表'!T:T,B:B,'2店辅助表'!X:X),"-")</f>
        <v>-</v>
      </c>
      <c r="AF14" s="91" t="str">
        <f>IFERROR(SUMIF('2店辅助表'!AC:AC,B:B,'2店辅助表'!AF:AF)/SUMIF('2店辅助表'!AC:AC,B:B,'2店辅助表'!AG:AG),"-")</f>
        <v>-</v>
      </c>
      <c r="AG14" s="99">
        <f>IFERROR(AK14/((SUMIF('2店辅助表'!AT:AT,B:B,'2店辅助表'!AU:AU)+M14)/2),"-")</f>
        <v>0</v>
      </c>
      <c r="AH14" s="99">
        <f>IFERROR(AL14/((SUMIF('2店辅助表'!AW:AW,B:B,'2店辅助表'!AX:AX)+M14)/2),"-")</f>
        <v>0</v>
      </c>
      <c r="AI14" s="100" t="str">
        <f>IFERROR((SUMIF('2店辅助表'!AP:AP,B:B,'2店辅助表'!AR:AR)-SUMIF('2店辅助表'!AP:AP,B:B,'2店辅助表'!AR:AR)*0.15-(L14+IFERROR(VLOOKUP(B:B,'2店辅助表'!AZ:BA,2,0),0))*O14-IF(AN:AN="US",6.85,4.9)*(Z14+3.99*O14))/SUMIF('2店辅助表'!AP:AP,B:B,'2店辅助表'!AR:AR),"-")</f>
        <v>-</v>
      </c>
      <c r="AJ14" s="100" t="str">
        <f t="shared" si="10"/>
        <v>-</v>
      </c>
      <c r="AK14" s="101">
        <f t="shared" si="2"/>
        <v>0</v>
      </c>
      <c r="AL14" s="101">
        <f t="shared" si="3"/>
        <v>0</v>
      </c>
      <c r="AM14" s="106" t="str">
        <f>VLOOKUP(B:B,'2店辅助表'!AZ:AZ,1,FALSE)</f>
        <v>Y2007-DK</v>
      </c>
      <c r="AN14" t="str">
        <f>VLOOKUP(B:B,'2店辅助表'!AZ:BB,3,FALSE)</f>
        <v>US</v>
      </c>
    </row>
    <row r="15" customHeight="1" spans="1:40">
      <c r="A15" s="58" t="str">
        <f>INDEX('[1]2店'!$A:$A,MATCH(B:B,'[1]2店'!$B:$B,0))</f>
        <v>欣彤</v>
      </c>
      <c r="B15" s="43" t="s">
        <v>492</v>
      </c>
      <c r="C15" s="43" t="s">
        <v>493</v>
      </c>
      <c r="D15" s="59"/>
      <c r="E15" s="43" t="s">
        <v>494</v>
      </c>
      <c r="F15" s="43">
        <v>0</v>
      </c>
      <c r="G15" s="43">
        <v>0</v>
      </c>
      <c r="H15" s="43">
        <v>0</v>
      </c>
      <c r="I15" s="43">
        <v>1</v>
      </c>
      <c r="J15" s="43">
        <v>0</v>
      </c>
      <c r="K15" s="63">
        <f t="shared" si="1"/>
        <v>1</v>
      </c>
      <c r="L15" s="124">
        <f>VLOOKUP($B:$B,'[1]2店'!$B:$L,11,0)</f>
        <v>13</v>
      </c>
      <c r="M15" s="44">
        <f t="shared" si="4"/>
        <v>13</v>
      </c>
      <c r="N15" s="65">
        <f>IFERROR(VLOOKUP(B:B,'2店辅助表'!B:C,2,FALSE),0)</f>
        <v>0</v>
      </c>
      <c r="O15" s="65">
        <f>IFERROR(VLOOKUP(B:B,'2店辅助表'!E:F,2,FALSE),0)</f>
        <v>0</v>
      </c>
      <c r="P15" s="65">
        <f>IFERROR(VLOOKUP(B:B,'2店辅助表'!H:I,2,FALSE),0)</f>
        <v>0</v>
      </c>
      <c r="Q15" s="65">
        <f>IFERROR(VLOOKUP(B:B,'[1]2店'!$B:$N,13,FALSE),0)</f>
        <v>0</v>
      </c>
      <c r="R15" s="79">
        <f t="shared" si="5"/>
        <v>0</v>
      </c>
      <c r="S15" s="80" t="str">
        <f t="shared" si="6"/>
        <v>-</v>
      </c>
      <c r="T15" s="44" t="str">
        <f t="shared" si="7"/>
        <v>-</v>
      </c>
      <c r="U15" s="44" t="str">
        <f>IFERROR(VLOOKUP($B:$B,'[1]2店'!$B:$T,19,0),"-")</f>
        <v>-</v>
      </c>
      <c r="V15" s="81" t="str">
        <f t="shared" si="8"/>
        <v>-</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有库存无销量</v>
      </c>
      <c r="X15" s="83" t="str">
        <f>_xlfn.IFS(AND(D15&lt;&gt;0,D15-$AM$2&gt;=0,K15&gt;0,D15&lt;&gt;0),"本月刚到货",AND(T15="-",K15&gt;0),"有库存无销量",AND(T15="-",K15=0),"无库存无销量",AND(T15&lt;=0.5,K15=0),"无库存有销量",T15&lt;=0.5,"库存过低",T15&lt;=1.5,"正常",T15&gt;1.5,"库存过高")</f>
        <v>有库存无销量</v>
      </c>
      <c r="Y15" s="44">
        <f>IFERROR(SUMIF('2店辅助表'!K:K,B:B,'2店辅助表'!N:N),0)</f>
        <v>0</v>
      </c>
      <c r="Z15" s="44">
        <f>IFERROR(SUMIF('2店辅助表'!T:T,B:B,'2店辅助表'!W:W),0)</f>
        <v>0</v>
      </c>
      <c r="AA15" s="44">
        <f>IFERROR(SUMIF('2店辅助表'!AC:AC,B:B,'2店辅助表'!AF:AF),0)</f>
        <v>0</v>
      </c>
      <c r="AB15" s="91" t="str">
        <f>IFERROR(SUMIF('2店辅助表'!K:K,B:B,'2店辅助表'!N:N)/SUMIF('2店辅助表'!K:K,B:B,'2店辅助表'!O:O),"-")</f>
        <v>-</v>
      </c>
      <c r="AC15" s="91" t="str">
        <f>IFERROR(VLOOKUP(B:B,'[1]2店'!$B:$AB,27,0),"-")</f>
        <v>-</v>
      </c>
      <c r="AD15" s="92" t="str">
        <f t="shared" si="9"/>
        <v>-</v>
      </c>
      <c r="AE15" s="91" t="str">
        <f>IFERROR(SUMIF('2店辅助表'!T:T,B:B,'2店辅助表'!W:W)/SUMIF('2店辅助表'!T:T,B:B,'2店辅助表'!X:X),"-")</f>
        <v>-</v>
      </c>
      <c r="AF15" s="91" t="str">
        <f>IFERROR(SUMIF('2店辅助表'!AC:AC,B:B,'2店辅助表'!AF:AF)/SUMIF('2店辅助表'!AC:AC,B:B,'2店辅助表'!AG:AG),"-")</f>
        <v>-</v>
      </c>
      <c r="AG15" s="99">
        <f>IFERROR(AK15/((SUMIF('2店辅助表'!AT:AT,B:B,'2店辅助表'!AU:AU)+M15)/2),"-")</f>
        <v>0</v>
      </c>
      <c r="AH15" s="99">
        <f>IFERROR(AL15/((SUMIF('2店辅助表'!AW:AW,B:B,'2店辅助表'!AX:AX)+M15)/2),"-")</f>
        <v>0</v>
      </c>
      <c r="AI15" s="100" t="str">
        <f>IFERROR((SUMIF('2店辅助表'!AP:AP,B:B,'2店辅助表'!AR:AR)-SUMIF('2店辅助表'!AP:AP,B:B,'2店辅助表'!AR:AR)*0.15-(L15+IFERROR(VLOOKUP(B:B,'2店辅助表'!AZ:BA,2,0),0))*O15-IF(AN:AN="US",6.85,4.9)*(Z15+3.99*O15))/SUMIF('2店辅助表'!AP:AP,B:B,'2店辅助表'!AR:AR),"-")</f>
        <v>-</v>
      </c>
      <c r="AJ15" s="100" t="str">
        <f t="shared" si="10"/>
        <v>-</v>
      </c>
      <c r="AK15" s="101">
        <f t="shared" si="2"/>
        <v>0</v>
      </c>
      <c r="AL15" s="101">
        <f t="shared" si="3"/>
        <v>0</v>
      </c>
      <c r="AM15" s="106" t="str">
        <f>VLOOKUP(B:B,'2店辅助表'!AZ:AZ,1,FALSE)</f>
        <v>Y2007-NA</v>
      </c>
      <c r="AN15" t="str">
        <f>VLOOKUP(B:B,'2店辅助表'!AZ:BB,3,FALSE)</f>
        <v>US</v>
      </c>
    </row>
    <row r="16" customHeight="1" spans="1:40">
      <c r="A16" s="58" t="str">
        <f>INDEX('[1]2店'!$A:$A,MATCH(B:B,'[1]2店'!$B:$B,0))</f>
        <v>欣彤</v>
      </c>
      <c r="B16" s="43" t="s">
        <v>495</v>
      </c>
      <c r="C16" s="43" t="s">
        <v>496</v>
      </c>
      <c r="D16" s="59"/>
      <c r="E16" s="43" t="s">
        <v>497</v>
      </c>
      <c r="F16" s="43">
        <v>1</v>
      </c>
      <c r="G16" s="43">
        <v>0</v>
      </c>
      <c r="H16" s="43">
        <v>0</v>
      </c>
      <c r="I16" s="43">
        <v>0</v>
      </c>
      <c r="J16" s="43">
        <v>0</v>
      </c>
      <c r="K16" s="63">
        <f t="shared" si="1"/>
        <v>1</v>
      </c>
      <c r="L16" s="124">
        <f>VLOOKUP($B:$B,'[1]2店'!$B:$L,11,0)</f>
        <v>13</v>
      </c>
      <c r="M16" s="44">
        <f t="shared" si="4"/>
        <v>13</v>
      </c>
      <c r="N16" s="65">
        <f>IFERROR(VLOOKUP(B:B,'2店辅助表'!B:C,2,FALSE),0)</f>
        <v>0</v>
      </c>
      <c r="O16" s="65">
        <f>IFERROR(VLOOKUP(B:B,'2店辅助表'!E:F,2,FALSE),0)</f>
        <v>1</v>
      </c>
      <c r="P16" s="65">
        <f>IFERROR(VLOOKUP(B:B,'2店辅助表'!H:I,2,FALSE),0)</f>
        <v>1</v>
      </c>
      <c r="Q16" s="65">
        <f>IFERROR(VLOOKUP(B:B,'[1]2店'!$B:$N,13,FALSE),0)</f>
        <v>1</v>
      </c>
      <c r="R16" s="79">
        <f t="shared" si="5"/>
        <v>-1</v>
      </c>
      <c r="S16" s="80">
        <f t="shared" si="6"/>
        <v>30</v>
      </c>
      <c r="T16" s="44">
        <f t="shared" si="7"/>
        <v>1</v>
      </c>
      <c r="U16" s="44">
        <f>IFERROR(VLOOKUP($B:$B,'[1]2店'!$B:$T,19,0),"-")</f>
        <v>0.411764705882353</v>
      </c>
      <c r="V16" s="81">
        <f t="shared" si="8"/>
        <v>0.588235294117647</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有库存无销量</v>
      </c>
      <c r="X16" s="83" t="str">
        <f>_xlfn.IFS(AND(D16&lt;&gt;0,D16-$AM$2&gt;=0,K16&gt;0,D16&lt;&gt;0),"本月刚到货",AND(T16="-",K16&gt;0),"有库存无销量",AND(T16="-",K16=0),"无库存无销量",AND(T16&lt;=0.5,K16=0),"无库存有销量",T16&lt;=0.5,"库存过低",T16&lt;=1.5,"正常",T16&gt;1.5,"库存过高")</f>
        <v>正常</v>
      </c>
      <c r="Y16" s="44">
        <f>IFERROR(SUMIF('2店辅助表'!K:K,B:B,'2店辅助表'!N:N),0)</f>
        <v>0</v>
      </c>
      <c r="Z16" s="44">
        <f>IFERROR(SUMIF('2店辅助表'!T:T,B:B,'2店辅助表'!W:W),0)</f>
        <v>0</v>
      </c>
      <c r="AA16" s="44">
        <f>IFERROR(SUMIF('2店辅助表'!AC:AC,B:B,'2店辅助表'!AF:AF),0)</f>
        <v>0</v>
      </c>
      <c r="AB16" s="91" t="str">
        <f>IFERROR(SUMIF('2店辅助表'!K:K,B:B,'2店辅助表'!N:N)/SUMIF('2店辅助表'!K:K,B:B,'2店辅助表'!O:O),"-")</f>
        <v>-</v>
      </c>
      <c r="AC16" s="91" t="str">
        <f>IFERROR(VLOOKUP(B:B,'[1]2店'!$B:$AB,27,0),"-")</f>
        <v>-</v>
      </c>
      <c r="AD16" s="92" t="str">
        <f t="shared" si="9"/>
        <v>-</v>
      </c>
      <c r="AE16" s="91" t="str">
        <f>IFERROR(SUMIF('2店辅助表'!T:T,B:B,'2店辅助表'!W:W)/SUMIF('2店辅助表'!T:T,B:B,'2店辅助表'!X:X),"-")</f>
        <v>-</v>
      </c>
      <c r="AF16" s="91" t="str">
        <f>IFERROR(SUMIF('2店辅助表'!AC:AC,B:B,'2店辅助表'!AF:AF)/SUMIF('2店辅助表'!AC:AC,B:B,'2店辅助表'!AG:AG),"-")</f>
        <v>-</v>
      </c>
      <c r="AG16" s="99">
        <f>IFERROR(AK16/((SUMIF('2店辅助表'!AT:AT,B:B,'2店辅助表'!AU:AU)+M16)/2),"-")</f>
        <v>0</v>
      </c>
      <c r="AH16" s="99">
        <f>IFERROR(AL16/((SUMIF('2店辅助表'!AW:AW,B:B,'2店辅助表'!AX:AX)+M16)/2),"-")</f>
        <v>0.142857142857143</v>
      </c>
      <c r="AI16" s="100">
        <f>IFERROR((SUMIF('2店辅助表'!AP:AP,B:B,'2店辅助表'!AR:AR)-SUMIF('2店辅助表'!AP:AP,B:B,'2店辅助表'!AR:AR)*0.15-(L16+IFERROR(VLOOKUP(B:B,'2店辅助表'!AZ:BA,2,0),0))*O16-IF(AN:AN="US",6.85,4.9)*(Z16+3.99*O16))/SUMIF('2店辅助表'!AP:AP,B:B,'2店辅助表'!AR:AR),"-")</f>
        <v>-0.094822112924616</v>
      </c>
      <c r="AJ16" s="100">
        <f t="shared" si="10"/>
        <v>-0.013546016132088</v>
      </c>
      <c r="AK16" s="101">
        <f t="shared" si="2"/>
        <v>0</v>
      </c>
      <c r="AL16" s="101">
        <f t="shared" si="3"/>
        <v>13</v>
      </c>
      <c r="AM16" s="106" t="str">
        <f>VLOOKUP(B:B,'2店辅助表'!AZ:AZ,1,FALSE)</f>
        <v>Y2007-PG</v>
      </c>
      <c r="AN16" t="str">
        <f>VLOOKUP(B:B,'2店辅助表'!AZ:BB,3,FALSE)</f>
        <v>US</v>
      </c>
    </row>
    <row r="17" customHeight="1" spans="1:40">
      <c r="A17" s="58" t="str">
        <f>INDEX('[1]2店'!$A:$A,MATCH(B:B,'[1]2店'!$B:$B,0))</f>
        <v>欣彤</v>
      </c>
      <c r="B17" s="43" t="s">
        <v>498</v>
      </c>
      <c r="C17" s="43" t="s">
        <v>499</v>
      </c>
      <c r="D17" s="59"/>
      <c r="E17" s="43" t="s">
        <v>500</v>
      </c>
      <c r="F17" s="43">
        <v>0</v>
      </c>
      <c r="G17" s="43">
        <v>0</v>
      </c>
      <c r="H17" s="43">
        <v>0</v>
      </c>
      <c r="I17" s="43">
        <v>1</v>
      </c>
      <c r="J17" s="43">
        <v>0</v>
      </c>
      <c r="K17" s="63">
        <f t="shared" si="1"/>
        <v>1</v>
      </c>
      <c r="L17" s="124">
        <f>VLOOKUP($B:$B,'[1]2店'!$B:$L,11,0)</f>
        <v>13</v>
      </c>
      <c r="M17" s="44">
        <f t="shared" si="4"/>
        <v>13</v>
      </c>
      <c r="N17" s="65">
        <f>IFERROR(VLOOKUP(B:B,'2店辅助表'!B:C,2,FALSE),0)</f>
        <v>0</v>
      </c>
      <c r="O17" s="65">
        <f>IFERROR(VLOOKUP(B:B,'2店辅助表'!E:F,2,FALSE),0)</f>
        <v>2</v>
      </c>
      <c r="P17" s="65">
        <f>IFERROR(VLOOKUP(B:B,'2店辅助表'!H:I,2,FALSE),0)</f>
        <v>3</v>
      </c>
      <c r="Q17" s="65">
        <f>IFERROR(VLOOKUP(B:B,'[1]2店'!$B:$N,13,FALSE),0)</f>
        <v>2</v>
      </c>
      <c r="R17" s="79">
        <f t="shared" si="5"/>
        <v>-2</v>
      </c>
      <c r="S17" s="80">
        <f t="shared" si="6"/>
        <v>12.8571428571429</v>
      </c>
      <c r="T17" s="44">
        <f t="shared" si="7"/>
        <v>0.428571428571429</v>
      </c>
      <c r="U17" s="44">
        <f>IFERROR(VLOOKUP($B:$B,'[1]2店'!$B:$T,19,0),"-")</f>
        <v>0.341463414634146</v>
      </c>
      <c r="V17" s="81">
        <f t="shared" si="8"/>
        <v>0.087108013937283</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有库存无销量</v>
      </c>
      <c r="X17" s="83" t="str">
        <f>_xlfn.IFS(AND(D17&lt;&gt;0,D17-$AM$2&gt;=0,K17&gt;0,D17&lt;&gt;0),"本月刚到货",AND(T17="-",K17&gt;0),"有库存无销量",AND(T17="-",K17=0),"无库存无销量",AND(T17&lt;=0.5,K17=0),"无库存有销量",T17&lt;=0.5,"库存过低",T17&lt;=1.5,"正常",T17&gt;1.5,"库存过高")</f>
        <v>库存过低</v>
      </c>
      <c r="Y17" s="44">
        <f>IFERROR(SUMIF('2店辅助表'!K:K,B:B,'2店辅助表'!N:N),0)</f>
        <v>0</v>
      </c>
      <c r="Z17" s="44">
        <f>IFERROR(SUMIF('2店辅助表'!T:T,B:B,'2店辅助表'!W:W),0)</f>
        <v>3.92</v>
      </c>
      <c r="AA17" s="44">
        <f>IFERROR(SUMIF('2店辅助表'!AC:AC,B:B,'2店辅助表'!AF:AF),0)</f>
        <v>8.59</v>
      </c>
      <c r="AB17" s="91" t="str">
        <f>IFERROR(SUMIF('2店辅助表'!K:K,B:B,'2店辅助表'!N:N)/SUMIF('2店辅助表'!K:K,B:B,'2店辅助表'!O:O),"-")</f>
        <v>-</v>
      </c>
      <c r="AC17" s="91">
        <f>IFERROR(VLOOKUP(B:B,'[1]2店'!$B:$AB,27,0),"-")</f>
        <v>0.490613266583229</v>
      </c>
      <c r="AD17" s="92" t="str">
        <f t="shared" si="9"/>
        <v>-</v>
      </c>
      <c r="AE17" s="91">
        <f>IFERROR(SUMIF('2店辅助表'!T:T,B:B,'2店辅助表'!W:W)/SUMIF('2店辅助表'!T:T,B:B,'2店辅助表'!X:X),"-")</f>
        <v>0.490613266583229</v>
      </c>
      <c r="AF17" s="91">
        <f>IFERROR(SUMIF('2店辅助表'!AC:AC,B:B,'2店辅助表'!AF:AF)/SUMIF('2店辅助表'!AC:AC,B:B,'2店辅助表'!AG:AG),"-")</f>
        <v>0.373966042664345</v>
      </c>
      <c r="AG17" s="99">
        <f>IFERROR(AK17/((SUMIF('2店辅助表'!AT:AT,B:B,'2店辅助表'!AU:AU)+M17)/2),"-")</f>
        <v>0</v>
      </c>
      <c r="AH17" s="99">
        <f>IFERROR(AL17/((SUMIF('2店辅助表'!AW:AW,B:B,'2店辅助表'!AX:AX)+M17)/2),"-")</f>
        <v>0.571428571428571</v>
      </c>
      <c r="AI17" s="100">
        <f>IFERROR((SUMIF('2店辅助表'!AP:AP,B:B,'2店辅助表'!AR:AR)-SUMIF('2店辅助表'!AP:AP,B:B,'2店辅助表'!AR:AR)*0.15-(L17+IFERROR(VLOOKUP(B:B,'2店辅助表'!AZ:BA,2,0),0))*O17-IF(AN:AN="US",6.85,4.9)*(Z17+3.99*O17))/SUMIF('2店辅助表'!AP:AP,B:B,'2店辅助表'!AR:AR),"-")</f>
        <v>-0.343599663813343</v>
      </c>
      <c r="AJ17" s="100">
        <f t="shared" si="10"/>
        <v>-0.196342665036196</v>
      </c>
      <c r="AK17" s="101">
        <f t="shared" si="2"/>
        <v>0</v>
      </c>
      <c r="AL17" s="101">
        <f t="shared" si="3"/>
        <v>26</v>
      </c>
      <c r="AM17" s="106" t="str">
        <f>VLOOKUP(B:B,'2店辅助表'!AZ:AZ,1,FALSE)</f>
        <v>Y2008-BL-1</v>
      </c>
      <c r="AN17" t="str">
        <f>VLOOKUP(B:B,'2店辅助表'!AZ:BB,3,FALSE)</f>
        <v>US</v>
      </c>
    </row>
    <row r="18" customHeight="1" spans="1:40">
      <c r="A18" s="58" t="str">
        <f>INDEX('[1]2店'!$A:$A,MATCH(B:B,'[1]2店'!$B:$B,0))</f>
        <v>美珠</v>
      </c>
      <c r="B18" s="43" t="s">
        <v>501</v>
      </c>
      <c r="C18" s="43" t="s">
        <v>502</v>
      </c>
      <c r="D18" s="59">
        <f>VLOOKUP(B:B,'[1]2店'!$B:$L,3,0)</f>
        <v>45034</v>
      </c>
      <c r="E18" s="43" t="s">
        <v>503</v>
      </c>
      <c r="F18" s="43">
        <v>5</v>
      </c>
      <c r="G18" s="43">
        <v>8</v>
      </c>
      <c r="H18" s="43">
        <v>0</v>
      </c>
      <c r="I18" s="43">
        <v>0</v>
      </c>
      <c r="J18" s="43">
        <v>0</v>
      </c>
      <c r="K18" s="63">
        <f t="shared" si="1"/>
        <v>13</v>
      </c>
      <c r="L18" s="124">
        <f>VLOOKUP($B:$B,'[1]2店'!$B:$L,11,0)</f>
        <v>124.03</v>
      </c>
      <c r="M18" s="44">
        <f t="shared" si="4"/>
        <v>1612.39</v>
      </c>
      <c r="N18" s="65">
        <f>IFERROR(VLOOKUP(B:B,'2店辅助表'!B:C,2,FALSE),0)</f>
        <v>2</v>
      </c>
      <c r="O18" s="65">
        <f>IFERROR(VLOOKUP(B:B,'2店辅助表'!E:F,2,FALSE),0)</f>
        <v>15</v>
      </c>
      <c r="P18" s="65">
        <f>IFERROR(VLOOKUP(B:B,'2店辅助表'!H:I,2,FALSE),0)</f>
        <v>21</v>
      </c>
      <c r="Q18" s="65">
        <f>IFERROR(VLOOKUP(B:B,'[1]2店'!$B:$N,13,FALSE),0)</f>
        <v>11</v>
      </c>
      <c r="R18" s="79">
        <f t="shared" si="5"/>
        <v>-9</v>
      </c>
      <c r="S18" s="80">
        <f t="shared" si="6"/>
        <v>19.6402877697842</v>
      </c>
      <c r="T18" s="44">
        <f t="shared" si="7"/>
        <v>0.654676258992806</v>
      </c>
      <c r="U18" s="44">
        <f>IFERROR(VLOOKUP($B:$B,'[1]2店'!$B:$T,19,0),"-")</f>
        <v>0.835390946502058</v>
      </c>
      <c r="V18" s="81">
        <f t="shared" si="8"/>
        <v>-0.180714687509252</v>
      </c>
      <c r="W18" s="82" t="str">
        <f>_xlfn.IFS(AND(D18&lt;&gt;0,D18-$AM$2&gt;=0,B18&gt;0,D18&lt;&gt;0),"本月刚到货",AND(IFERROR((K18/(N18/7))/30,"-")="-",K18&gt;0),"有库存无销量",AND(IFERROR((K18/(N18/7))/30,"-")="-",K18=0),"无库存无销量",AND(IFERROR((K18/(N18/7))/30,"-")&lt;=0.5,K18=0),"无库存有销量",IFERROR((K18/(N18/7))/30,"-")&lt;=0.5,"库存过低",IFERROR((K18/(N18/7))/30,"-")&lt;=1.5,"正常",IFERROR((K18/(N18/7))/30,"-")&gt;1.5,"库存过高")</f>
        <v>库存过高</v>
      </c>
      <c r="X18" s="83" t="str">
        <f>_xlfn.IFS(AND(D18&lt;&gt;0,D18-$AM$2&gt;=0,K18&gt;0,D18&lt;&gt;0),"本月刚到货",AND(T18="-",K18&gt;0),"有库存无销量",AND(T18="-",K18=0),"无库存无销量",AND(T18&lt;=0.5,K18=0),"无库存有销量",T18&lt;=0.5,"库存过低",T18&lt;=1.5,"正常",T18&gt;1.5,"库存过高")</f>
        <v>正常</v>
      </c>
      <c r="Y18" s="44">
        <f>IFERROR(SUMIF('2店辅助表'!K:K,B:B,'2店辅助表'!N:N),0)</f>
        <v>7.23</v>
      </c>
      <c r="Z18" s="44">
        <f>IFERROR(SUMIF('2店辅助表'!T:T,B:B,'2店辅助表'!W:W),0)</f>
        <v>26.54</v>
      </c>
      <c r="AA18" s="44">
        <f>IFERROR(SUMIF('2店辅助表'!AC:AC,B:B,'2店辅助表'!AF:AF),0)</f>
        <v>58.06</v>
      </c>
      <c r="AB18" s="91">
        <f>IFERROR(SUMIF('2店辅助表'!K:K,B:B,'2店辅助表'!N:N)/SUMIF('2店辅助表'!K:K,B:B,'2店辅助表'!O:O),"-")</f>
        <v>0.36168084042021</v>
      </c>
      <c r="AC18" s="91">
        <f>IFERROR(VLOOKUP(B:B,'[1]2店'!$B:$AB,27,0),"-")</f>
        <v>0.11149580047445</v>
      </c>
      <c r="AD18" s="92">
        <f t="shared" si="9"/>
        <v>0.25018503994576</v>
      </c>
      <c r="AE18" s="91">
        <f>IFERROR(SUMIF('2店辅助表'!T:T,B:B,'2店辅助表'!W:W)/SUMIF('2店辅助表'!T:T,B:B,'2店辅助表'!X:X),"-")</f>
        <v>0.11642904145646</v>
      </c>
      <c r="AF18" s="91">
        <f>IFERROR(SUMIF('2店辅助表'!AC:AC,B:B,'2店辅助表'!AF:AF)/SUMIF('2店辅助表'!AC:AC,B:B,'2店辅助表'!AG:AG),"-")</f>
        <v>0.118999795039967</v>
      </c>
      <c r="AG18" s="99">
        <f>IFERROR(AK18/((SUMIF('2店辅助表'!AT:AT,B:B,'2店辅助表'!AU:AU)+M18)/2),"-")</f>
        <v>0.0952380952380952</v>
      </c>
      <c r="AH18" s="99">
        <f>IFERROR(AL18/((SUMIF('2店辅助表'!AW:AW,B:B,'2店辅助表'!AX:AX)+M18)/2),"-")</f>
        <v>0.447761194029851</v>
      </c>
      <c r="AI18" s="100">
        <f>IFERROR((SUMIF('2店辅助表'!AP:AP,B:B,'2店辅助表'!AR:AR)-SUMIF('2店辅助表'!AP:AP,B:B,'2店辅助表'!AR:AR)*0.15-(L18+IFERROR(VLOOKUP(B:B,'2店辅助表'!AZ:BA,2,0),0))*O18-IF(AN:AN="US",6.85,4.9)*(Z18+8.4*O18))/SUMIF('2店辅助表'!AP:AP,B:B,'2店辅助表'!AR:AR),"-")</f>
        <v>0.190340175308438</v>
      </c>
      <c r="AJ18" s="100">
        <f t="shared" si="10"/>
        <v>0.0852269441679575</v>
      </c>
      <c r="AK18" s="101">
        <f t="shared" si="2"/>
        <v>248.06</v>
      </c>
      <c r="AL18" s="101">
        <f t="shared" si="3"/>
        <v>1860.45</v>
      </c>
      <c r="AM18" s="106" t="str">
        <f>VLOOKUP(B:B,'2店辅助表'!AZ:AZ,1,FALSE)</f>
        <v>Y2010</v>
      </c>
      <c r="AN18" t="str">
        <f>VLOOKUP(B:B,'2店辅助表'!AZ:BB,3,FALSE)</f>
        <v>US</v>
      </c>
    </row>
  </sheetData>
  <autoFilter ref="A2:AP18">
    <extLst/>
  </autoFilter>
  <mergeCells count="3">
    <mergeCell ref="Y1:AF1"/>
    <mergeCell ref="AG1:AH1"/>
    <mergeCell ref="B3:E3"/>
  </mergeCells>
  <conditionalFormatting sqref="E2">
    <cfRule type="duplicateValues" dxfId="984" priority="121"/>
  </conditionalFormatting>
  <conditionalFormatting sqref="B3">
    <cfRule type="duplicateValues" dxfId="984" priority="123"/>
    <cfRule type="duplicateValues" dxfId="984" priority="125"/>
  </conditionalFormatting>
  <conditionalFormatting sqref="E3">
    <cfRule type="duplicateValues" dxfId="984" priority="124"/>
  </conditionalFormatting>
  <conditionalFormatting sqref="V3">
    <cfRule type="iconSet" priority="127">
      <iconSet iconSet="3Arrows">
        <cfvo type="percent" val="0"/>
        <cfvo type="num" val="0"/>
        <cfvo type="num" val="0" gte="0"/>
      </iconSet>
    </cfRule>
  </conditionalFormatting>
  <conditionalFormatting sqref="AD3">
    <cfRule type="iconSet" priority="126">
      <iconSet iconSet="3Arrows">
        <cfvo type="percent" val="0"/>
        <cfvo type="num" val="0"/>
        <cfvo type="num" val="0" gte="0"/>
      </iconSet>
    </cfRule>
  </conditionalFormatting>
  <conditionalFormatting sqref="R4:R18">
    <cfRule type="iconSet" priority="132">
      <iconSet iconSet="3Arrows">
        <cfvo type="percent" val="0"/>
        <cfvo type="num" val="0"/>
        <cfvo type="num" val="0" gte="0"/>
      </iconSet>
    </cfRule>
  </conditionalFormatting>
  <conditionalFormatting sqref="V4:V18">
    <cfRule type="iconSet" priority="131">
      <iconSet iconSet="3Arrows">
        <cfvo type="percent" val="0"/>
        <cfvo type="num" val="0"/>
        <cfvo type="num" val="0" gte="0"/>
      </iconSet>
    </cfRule>
  </conditionalFormatting>
  <conditionalFormatting sqref="X4:X1048576">
    <cfRule type="expression" dxfId="985" priority="1">
      <formula>AND($X4="库存过高",$K4&gt;2,OR($V4&gt;=0,$V4="-"))</formula>
    </cfRule>
    <cfRule type="expression" dxfId="985" priority="2">
      <formula>AND($X4="有库存无销量",$K4&gt;2,OR($V4&gt;=0,$V4="-"))</formula>
    </cfRule>
  </conditionalFormatting>
  <conditionalFormatting sqref="Y4:Y18">
    <cfRule type="expression" dxfId="985" priority="4">
      <formula>AND($Y4&gt;3,$AB4=0)</formula>
    </cfRule>
  </conditionalFormatting>
  <conditionalFormatting sqref="AB4:AB18">
    <cfRule type="expression" dxfId="985" priority="3">
      <formula>AND($AB4&gt;30%,$AD4&gt;0,$AB4&lt;&gt;"-")</formula>
    </cfRule>
  </conditionalFormatting>
  <conditionalFormatting sqref="AD4:AD18">
    <cfRule type="iconSet" priority="130">
      <iconSet iconSet="3Arrows">
        <cfvo type="percent" val="0"/>
        <cfvo type="num" val="0"/>
        <cfvo type="num" val="0" gte="0"/>
      </iconSet>
    </cfRule>
  </conditionalFormatting>
  <conditionalFormatting sqref="AI4:AI18">
    <cfRule type="cellIs" dxfId="986" priority="5" operator="lessThan">
      <formula>25%</formula>
    </cfRule>
  </conditionalFormatting>
  <conditionalFormatting sqref="D2:D3 D19:D1048576">
    <cfRule type="expression" dxfId="987" priority="120">
      <formula>(TODAY()-$D2)&lt;30</formula>
    </cfRule>
  </conditionalFormatting>
  <pageMargins left="0.7" right="0.7" top="0.75" bottom="0.75" header="0.3" footer="0.3"/>
  <pageSetup paperSize="9" orientation="portrait"/>
  <headerFooter/>
  <extLst>
    <ext xmlns:x14="http://schemas.microsoft.com/office/spreadsheetml/2009/9/main" uri="{78C0D931-6437-407d-A8EE-F0AAD7539E65}">
      <x14:conditionalFormattings>
        <x14:conditionalFormatting xmlns:xm="http://schemas.microsoft.com/office/excel/2006/main">
          <x14:cfRule type="iconSet" priority="110" id="{79922a8f-f29f-4023-aec4-8e6f5778f7cb}">
            <x14:iconSet iconSet="3Arrows" custom="1">
              <x14:cfvo type="percent">
                <xm:f>0</xm:f>
              </x14:cfvo>
              <x14:cfvo type="num">
                <xm:f>0</xm:f>
              </x14:cfvo>
              <x14:cfvo type="num" gte="0">
                <xm:f>0</xm:f>
              </x14:cfvo>
              <x14:cfIcon iconSet="3Arrows" iconId="0"/>
              <x14:cfIcon iconSet="3Arrows" iconId="1"/>
              <x14:cfIcon iconSet="3Arrows" iconId="2"/>
            </x14:iconSet>
          </x14:cfRule>
          <xm:sqref>W4:W18</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B1:BB1048574"/>
  <sheetViews>
    <sheetView topLeftCell="AH1" workbookViewId="0">
      <pane ySplit="1" topLeftCell="A2" activePane="bottomLeft" state="frozen"/>
      <selection/>
      <selection pane="bottomLeft" activeCell="M8" sqref="M8"/>
    </sheetView>
  </sheetViews>
  <sheetFormatPr defaultColWidth="9" defaultRowHeight="12.9"/>
  <cols>
    <col min="1" max="1" width="9" style="1"/>
    <col min="2" max="2" width="12.743119266055" style="1"/>
    <col min="3" max="3" width="12.7155963302752" style="1" customWidth="1"/>
    <col min="4" max="4" width="9" style="1"/>
    <col min="5" max="5" width="12.743119266055" style="1"/>
    <col min="6" max="6" width="12.7155963302752" style="1" customWidth="1"/>
    <col min="7" max="7" width="9" style="1"/>
    <col min="8" max="8" width="12.743119266055" style="1"/>
    <col min="9" max="9" width="12.7155963302752" style="1" customWidth="1"/>
    <col min="10" max="10" width="9" style="1"/>
    <col min="11" max="11" width="11.0917431192661" style="1"/>
    <col min="12" max="14" width="14.8256880733945" style="1" customWidth="1"/>
    <col min="15" max="15" width="18.5688073394495" style="1" customWidth="1"/>
    <col min="16" max="16" width="19.697247706422" style="1" customWidth="1"/>
    <col min="17" max="18" width="15.0825688073394" style="2" customWidth="1"/>
    <col min="19" max="19" width="9" style="1"/>
    <col min="20" max="20" width="11.6146788990826" style="1"/>
    <col min="21" max="23" width="14.0733944954128" style="1" customWidth="1"/>
    <col min="24" max="24" width="18.0642201834862" style="1" customWidth="1"/>
    <col min="25" max="25" width="17.8165137614679" style="1" customWidth="1"/>
    <col min="26" max="26" width="17.3211009174312" style="2" customWidth="1"/>
    <col min="27" max="27" width="19.3119266055046" style="2" customWidth="1"/>
    <col min="28" max="28" width="9" style="1"/>
    <col min="29" max="29" width="12.743119266055" style="1"/>
    <col min="30" max="32" width="13.954128440367" style="1" customWidth="1"/>
    <col min="33" max="34" width="19.5688073394495" style="1" customWidth="1"/>
    <col min="35" max="36" width="16.9449541284404" style="2" customWidth="1"/>
    <col min="37" max="37" width="10.0917431192661" style="2" customWidth="1"/>
    <col min="40" max="40" width="10.0917431192661" style="2" customWidth="1"/>
    <col min="41" max="41" width="9" style="1"/>
    <col min="44" max="44" width="9.4954128440367" style="1"/>
    <col min="45" max="45" width="13.1284403669725" style="1" customWidth="1"/>
    <col min="46" max="46" width="14.2018348623853" customWidth="1"/>
    <col min="47" max="47" width="12.3302752293578" customWidth="1"/>
    <col min="49" max="49" width="14.2018348623853" customWidth="1"/>
    <col min="50" max="50" width="12.3302752293578" customWidth="1"/>
    <col min="51" max="51" width="9" style="1"/>
    <col min="52" max="52" width="14.9724770642202" style="1" customWidth="1"/>
    <col min="53" max="53" width="13.4311926605505" style="1" customWidth="1"/>
    <col min="54" max="16384" width="9" style="1"/>
  </cols>
  <sheetData>
    <row r="1" spans="2:53">
      <c r="B1" t="s">
        <v>408</v>
      </c>
      <c r="C1" t="s">
        <v>409</v>
      </c>
      <c r="E1" t="s">
        <v>408</v>
      </c>
      <c r="F1" t="s">
        <v>409</v>
      </c>
      <c r="H1" t="s">
        <v>408</v>
      </c>
      <c r="I1" t="s">
        <v>409</v>
      </c>
      <c r="K1" t="s">
        <v>410</v>
      </c>
      <c r="L1" t="s">
        <v>411</v>
      </c>
      <c r="M1" t="s">
        <v>412</v>
      </c>
      <c r="N1" t="s">
        <v>413</v>
      </c>
      <c r="O1" t="s">
        <v>414</v>
      </c>
      <c r="P1" t="s">
        <v>415</v>
      </c>
      <c r="Q1" s="31" t="s">
        <v>416</v>
      </c>
      <c r="R1" s="31" t="s">
        <v>417</v>
      </c>
      <c r="T1" t="s">
        <v>410</v>
      </c>
      <c r="U1" t="s">
        <v>411</v>
      </c>
      <c r="V1" t="s">
        <v>412</v>
      </c>
      <c r="W1" t="s">
        <v>413</v>
      </c>
      <c r="X1" t="s">
        <v>414</v>
      </c>
      <c r="Y1" t="s">
        <v>415</v>
      </c>
      <c r="Z1" s="31" t="s">
        <v>418</v>
      </c>
      <c r="AA1" s="31" t="s">
        <v>419</v>
      </c>
      <c r="AC1" t="s">
        <v>410</v>
      </c>
      <c r="AD1" t="s">
        <v>411</v>
      </c>
      <c r="AE1" t="s">
        <v>412</v>
      </c>
      <c r="AF1" t="s">
        <v>413</v>
      </c>
      <c r="AG1" t="s">
        <v>414</v>
      </c>
      <c r="AH1" t="s">
        <v>415</v>
      </c>
      <c r="AI1" s="31" t="s">
        <v>420</v>
      </c>
      <c r="AJ1" s="31" t="s">
        <v>421</v>
      </c>
      <c r="AK1" s="32" t="s">
        <v>422</v>
      </c>
      <c r="AL1" t="s">
        <v>408</v>
      </c>
      <c r="AM1" t="s">
        <v>423</v>
      </c>
      <c r="AN1" s="1"/>
      <c r="AO1" s="32" t="s">
        <v>424</v>
      </c>
      <c r="AP1" t="s">
        <v>408</v>
      </c>
      <c r="AQ1" t="s">
        <v>423</v>
      </c>
      <c r="AS1" s="1">
        <v>6.85</v>
      </c>
      <c r="AT1" s="35">
        <v>18</v>
      </c>
      <c r="AU1" s="1"/>
      <c r="AV1" s="35"/>
      <c r="AW1" s="35">
        <v>34</v>
      </c>
      <c r="AX1" s="1"/>
      <c r="AZ1" s="106"/>
      <c r="BA1" s="106"/>
    </row>
    <row r="2" spans="2:53">
      <c r="B2" t="s">
        <v>426</v>
      </c>
      <c r="C2"/>
      <c r="E2" t="s">
        <v>426</v>
      </c>
      <c r="F2"/>
      <c r="H2" t="s">
        <v>426</v>
      </c>
      <c r="I2"/>
      <c r="K2" t="s">
        <v>426</v>
      </c>
      <c r="L2"/>
      <c r="M2"/>
      <c r="N2"/>
      <c r="O2"/>
      <c r="P2"/>
      <c r="Q2" s="31">
        <v>0</v>
      </c>
      <c r="R2" s="31">
        <v>0</v>
      </c>
      <c r="S2" s="1" t="e">
        <f>VLOOKUP(K:K,'2店'!$B:$B,1,0)</f>
        <v>#N/A</v>
      </c>
      <c r="T2" t="s">
        <v>426</v>
      </c>
      <c r="U2"/>
      <c r="V2"/>
      <c r="W2"/>
      <c r="X2"/>
      <c r="Y2"/>
      <c r="Z2" s="31">
        <v>0</v>
      </c>
      <c r="AA2" s="31">
        <v>0</v>
      </c>
      <c r="AB2" s="1" t="e">
        <f>VLOOKUP(T:T,'2店'!$B:$B,1,0)</f>
        <v>#N/A</v>
      </c>
      <c r="AC2" t="s">
        <v>504</v>
      </c>
      <c r="AD2">
        <v>143</v>
      </c>
      <c r="AE2">
        <v>1</v>
      </c>
      <c r="AF2">
        <v>0.13</v>
      </c>
      <c r="AG2">
        <v>8.99</v>
      </c>
      <c r="AH2">
        <v>1</v>
      </c>
      <c r="AI2" s="31">
        <v>0.0144605116796441</v>
      </c>
      <c r="AJ2" s="31">
        <v>1</v>
      </c>
      <c r="AK2" s="1" t="e">
        <f>VLOOKUP(AC:AC,'2店'!$B:$B,1,0)</f>
        <v>#N/A</v>
      </c>
      <c r="AL2" t="s">
        <v>505</v>
      </c>
      <c r="AM2" s="102">
        <v>39.98</v>
      </c>
      <c r="AN2" s="1">
        <f>AM2*$AS$1</f>
        <v>273.863</v>
      </c>
      <c r="AP2" t="s">
        <v>501</v>
      </c>
      <c r="AQ2" s="102">
        <v>727.86</v>
      </c>
      <c r="AR2" s="1">
        <f>AQ2*$AS$1</f>
        <v>4985.841</v>
      </c>
      <c r="AT2" s="37" t="s">
        <v>10</v>
      </c>
      <c r="AU2" s="38" t="s">
        <v>21</v>
      </c>
      <c r="AV2" s="39"/>
      <c r="AW2" s="37" t="s">
        <v>10</v>
      </c>
      <c r="AX2" s="38" t="s">
        <v>21</v>
      </c>
      <c r="AZ2" s="106"/>
      <c r="BA2" s="106"/>
    </row>
    <row r="3" spans="2:53">
      <c r="B3" t="s">
        <v>501</v>
      </c>
      <c r="C3">
        <v>2</v>
      </c>
      <c r="D3" s="1" t="str">
        <f>VLOOKUP(B:B,'2店'!$B:$B,1,0)</f>
        <v>Y2010</v>
      </c>
      <c r="E3" t="s">
        <v>501</v>
      </c>
      <c r="F3">
        <v>15</v>
      </c>
      <c r="G3" s="1" t="str">
        <f>VLOOKUP(E:E,'2店'!$B:$B,1,0)</f>
        <v>Y2010</v>
      </c>
      <c r="H3" t="s">
        <v>501</v>
      </c>
      <c r="I3">
        <v>21</v>
      </c>
      <c r="J3" s="1" t="str">
        <f>VLOOKUP(H:H,'2店'!$B:$B,1,0)</f>
        <v>Y2010</v>
      </c>
      <c r="K3" t="s">
        <v>501</v>
      </c>
      <c r="L3">
        <v>11926</v>
      </c>
      <c r="M3">
        <v>49</v>
      </c>
      <c r="N3">
        <v>7.23</v>
      </c>
      <c r="O3">
        <v>19.99</v>
      </c>
      <c r="P3">
        <v>1</v>
      </c>
      <c r="Q3" s="31">
        <v>0.36168084042021</v>
      </c>
      <c r="R3" s="31">
        <v>0.0204081632653061</v>
      </c>
      <c r="S3" s="1" t="str">
        <f>VLOOKUP(K:K,'2店'!$B:$B,1,0)</f>
        <v>Y2010</v>
      </c>
      <c r="T3" t="s">
        <v>506</v>
      </c>
      <c r="U3">
        <v>228</v>
      </c>
      <c r="V3">
        <v>2</v>
      </c>
      <c r="W3">
        <v>0.9</v>
      </c>
      <c r="X3">
        <v>8.66</v>
      </c>
      <c r="Y3">
        <v>1</v>
      </c>
      <c r="Z3" s="31">
        <v>0.103926096997691</v>
      </c>
      <c r="AA3" s="31">
        <v>0.5</v>
      </c>
      <c r="AB3" s="1" t="e">
        <f>VLOOKUP(T:T,'2店'!$B:$B,1,0)</f>
        <v>#N/A</v>
      </c>
      <c r="AC3" t="s">
        <v>426</v>
      </c>
      <c r="AD3"/>
      <c r="AE3"/>
      <c r="AF3"/>
      <c r="AG3"/>
      <c r="AH3"/>
      <c r="AI3" s="31">
        <v>0</v>
      </c>
      <c r="AJ3" s="31">
        <v>0</v>
      </c>
      <c r="AK3" s="1" t="e">
        <f>VLOOKUP(AC:AC,'2店'!$B:$B,1,0)</f>
        <v>#N/A</v>
      </c>
      <c r="AL3" t="s">
        <v>501</v>
      </c>
      <c r="AM3" s="102">
        <v>103.98</v>
      </c>
      <c r="AN3" s="1">
        <f t="shared" ref="AN3:AN8" si="0">AM3*$AS$1</f>
        <v>712.263</v>
      </c>
      <c r="AP3" t="s">
        <v>498</v>
      </c>
      <c r="AQ3" s="102">
        <v>15.98</v>
      </c>
      <c r="AR3" s="1">
        <f t="shared" ref="AR3:AR14" si="1">AQ3*$AS$1</f>
        <v>109.463</v>
      </c>
      <c r="AT3" s="40" t="s">
        <v>48</v>
      </c>
      <c r="AU3" s="41">
        <v>3863.815</v>
      </c>
      <c r="AV3" s="166"/>
      <c r="AW3" s="40" t="s">
        <v>48</v>
      </c>
      <c r="AX3" s="41">
        <v>9012.254</v>
      </c>
      <c r="AZ3" s="1" t="s">
        <v>507</v>
      </c>
      <c r="BA3" s="1" t="s">
        <v>508</v>
      </c>
    </row>
    <row r="4" spans="2:54">
      <c r="B4" t="s">
        <v>505</v>
      </c>
      <c r="C4">
        <v>2</v>
      </c>
      <c r="D4" s="1" t="e">
        <f>VLOOKUP(B:B,'2店'!$B:$B,1,0)</f>
        <v>#N/A</v>
      </c>
      <c r="E4" t="s">
        <v>509</v>
      </c>
      <c r="F4">
        <v>1</v>
      </c>
      <c r="G4" s="1" t="e">
        <f>VLOOKUP(E:E,'2店'!$B:$B,1,0)</f>
        <v>#N/A</v>
      </c>
      <c r="H4" t="s">
        <v>468</v>
      </c>
      <c r="I4">
        <v>2</v>
      </c>
      <c r="J4" s="1" t="str">
        <f>VLOOKUP(H:H,'2店'!$B:$B,1,0)</f>
        <v>FXC03656-TG</v>
      </c>
      <c r="K4" t="s">
        <v>439</v>
      </c>
      <c r="L4">
        <v>11926</v>
      </c>
      <c r="M4">
        <v>49</v>
      </c>
      <c r="N4">
        <v>7.23</v>
      </c>
      <c r="O4">
        <v>19.99</v>
      </c>
      <c r="P4">
        <v>1</v>
      </c>
      <c r="Q4" s="31">
        <v>0.36168084042021</v>
      </c>
      <c r="R4" s="31">
        <v>0.0204081632653061</v>
      </c>
      <c r="T4" t="s">
        <v>498</v>
      </c>
      <c r="U4">
        <v>792</v>
      </c>
      <c r="V4">
        <v>8</v>
      </c>
      <c r="W4">
        <v>3.92</v>
      </c>
      <c r="X4">
        <v>7.99</v>
      </c>
      <c r="Y4">
        <v>1</v>
      </c>
      <c r="Z4" s="31">
        <v>0.490613266583229</v>
      </c>
      <c r="AA4" s="31">
        <v>0.125</v>
      </c>
      <c r="AB4" s="1" t="str">
        <f>VLOOKUP(T:T,'2店'!$B:$B,1,0)</f>
        <v>Y2008-BL-1</v>
      </c>
      <c r="AC4" t="s">
        <v>506</v>
      </c>
      <c r="AD4">
        <v>1069</v>
      </c>
      <c r="AE4">
        <v>6</v>
      </c>
      <c r="AF4">
        <v>2.4</v>
      </c>
      <c r="AG4">
        <v>16.65</v>
      </c>
      <c r="AH4">
        <v>2</v>
      </c>
      <c r="AI4" s="31">
        <v>0.144144144144144</v>
      </c>
      <c r="AJ4" s="31">
        <v>0.333333333333333</v>
      </c>
      <c r="AK4" s="1" t="e">
        <f>VLOOKUP(AC:AC,'2店'!$B:$B,1,0)</f>
        <v>#N/A</v>
      </c>
      <c r="AL4" t="s">
        <v>480</v>
      </c>
      <c r="AM4" s="102">
        <v>6.99</v>
      </c>
      <c r="AN4" s="1">
        <f t="shared" si="0"/>
        <v>47.8815</v>
      </c>
      <c r="AP4" t="s">
        <v>505</v>
      </c>
      <c r="AQ4" s="102">
        <v>39.98</v>
      </c>
      <c r="AR4" s="1">
        <f t="shared" si="1"/>
        <v>273.863</v>
      </c>
      <c r="AT4" s="43" t="s">
        <v>459</v>
      </c>
      <c r="AU4" s="44">
        <v>8</v>
      </c>
      <c r="AV4" s="35"/>
      <c r="AW4" s="43" t="s">
        <v>459</v>
      </c>
      <c r="AX4" s="44">
        <v>8</v>
      </c>
      <c r="AZ4" s="1" t="s">
        <v>510</v>
      </c>
      <c r="BA4" s="1">
        <v>5.38</v>
      </c>
      <c r="BB4" s="1" t="s">
        <v>430</v>
      </c>
    </row>
    <row r="5" spans="2:54">
      <c r="B5" t="s">
        <v>480</v>
      </c>
      <c r="C5">
        <v>1</v>
      </c>
      <c r="D5" s="1" t="str">
        <f>VLOOKUP(B:B,'2店'!$B:$B,1,0)</f>
        <v>FXC03680-NA</v>
      </c>
      <c r="E5" t="s">
        <v>498</v>
      </c>
      <c r="F5">
        <v>2</v>
      </c>
      <c r="G5" s="1" t="str">
        <f>VLOOKUP(E:E,'2店'!$B:$B,1,0)</f>
        <v>Y2008-BL-1</v>
      </c>
      <c r="H5" t="s">
        <v>511</v>
      </c>
      <c r="I5">
        <v>1</v>
      </c>
      <c r="J5" s="1" t="e">
        <f>VLOOKUP(H:H,'2店'!$B:$B,1,0)</f>
        <v>#N/A</v>
      </c>
      <c r="K5"/>
      <c r="L5"/>
      <c r="M5"/>
      <c r="N5"/>
      <c r="O5"/>
      <c r="P5"/>
      <c r="Q5"/>
      <c r="R5"/>
      <c r="T5" t="s">
        <v>501</v>
      </c>
      <c r="U5">
        <v>33754</v>
      </c>
      <c r="V5">
        <v>156</v>
      </c>
      <c r="W5">
        <v>26.54</v>
      </c>
      <c r="X5">
        <v>227.95</v>
      </c>
      <c r="Y5">
        <v>5</v>
      </c>
      <c r="Z5" s="31">
        <v>0.11642904145646</v>
      </c>
      <c r="AA5" s="31">
        <v>0.0320512820512821</v>
      </c>
      <c r="AB5" s="1" t="str">
        <f>VLOOKUP(T:T,'2店'!$B:$B,1,0)</f>
        <v>Y2010</v>
      </c>
      <c r="AC5" t="s">
        <v>498</v>
      </c>
      <c r="AD5">
        <v>2300</v>
      </c>
      <c r="AE5">
        <v>18</v>
      </c>
      <c r="AF5">
        <v>8.59</v>
      </c>
      <c r="AG5">
        <v>22.97</v>
      </c>
      <c r="AH5">
        <v>3</v>
      </c>
      <c r="AI5" s="31">
        <v>0.373966042664345</v>
      </c>
      <c r="AJ5" s="31">
        <v>0.166666666666667</v>
      </c>
      <c r="AK5" s="1" t="str">
        <f>VLOOKUP(AC:AC,'2店'!$B:$B,1,0)</f>
        <v>Y2008-BL-1</v>
      </c>
      <c r="AN5" s="1">
        <f t="shared" si="0"/>
        <v>0</v>
      </c>
      <c r="AP5" t="s">
        <v>480</v>
      </c>
      <c r="AQ5" s="102">
        <v>6.99</v>
      </c>
      <c r="AR5" s="1">
        <f t="shared" si="1"/>
        <v>47.8815</v>
      </c>
      <c r="AT5" s="45" t="s">
        <v>462</v>
      </c>
      <c r="AU5" s="44">
        <v>13.077</v>
      </c>
      <c r="AV5" s="35"/>
      <c r="AW5" s="45" t="s">
        <v>462</v>
      </c>
      <c r="AX5" s="44">
        <v>13.077</v>
      </c>
      <c r="AZ5" s="1" t="s">
        <v>512</v>
      </c>
      <c r="BA5" s="1">
        <v>4.41</v>
      </c>
      <c r="BB5" s="1" t="s">
        <v>430</v>
      </c>
    </row>
    <row r="6" spans="2:54">
      <c r="B6" t="s">
        <v>439</v>
      </c>
      <c r="C6">
        <v>5</v>
      </c>
      <c r="E6" t="s">
        <v>506</v>
      </c>
      <c r="F6">
        <v>1</v>
      </c>
      <c r="G6" s="1" t="e">
        <f>VLOOKUP(E:E,'2店'!$B:$B,1,0)</f>
        <v>#N/A</v>
      </c>
      <c r="H6" t="s">
        <v>509</v>
      </c>
      <c r="I6">
        <v>3</v>
      </c>
      <c r="J6" s="1" t="e">
        <f>VLOOKUP(H:H,'2店'!$B:$B,1,0)</f>
        <v>#N/A</v>
      </c>
      <c r="K6"/>
      <c r="L6"/>
      <c r="M6"/>
      <c r="N6"/>
      <c r="O6"/>
      <c r="P6"/>
      <c r="Q6"/>
      <c r="R6"/>
      <c r="T6" t="s">
        <v>439</v>
      </c>
      <c r="U6">
        <v>34774</v>
      </c>
      <c r="V6">
        <v>166</v>
      </c>
      <c r="W6">
        <v>31.36</v>
      </c>
      <c r="X6">
        <v>244.6</v>
      </c>
      <c r="Y6">
        <v>7</v>
      </c>
      <c r="Z6" s="31">
        <v>0.128209321340965</v>
      </c>
      <c r="AA6" s="31">
        <v>0.0421686746987952</v>
      </c>
      <c r="AC6" t="s">
        <v>501</v>
      </c>
      <c r="AD6">
        <v>76307</v>
      </c>
      <c r="AE6">
        <v>315</v>
      </c>
      <c r="AF6">
        <v>58.06</v>
      </c>
      <c r="AG6">
        <v>487.9</v>
      </c>
      <c r="AH6">
        <v>10</v>
      </c>
      <c r="AI6" s="31">
        <v>0.118999795039967</v>
      </c>
      <c r="AJ6" s="31">
        <v>0.0317460317460317</v>
      </c>
      <c r="AK6" s="1" t="str">
        <f>VLOOKUP(AC:AC,'2店'!$B:$B,1,0)</f>
        <v>Y2010</v>
      </c>
      <c r="AN6" s="1">
        <f t="shared" si="0"/>
        <v>0</v>
      </c>
      <c r="AP6" t="s">
        <v>509</v>
      </c>
      <c r="AQ6" s="102">
        <v>7.99</v>
      </c>
      <c r="AR6" s="1">
        <f t="shared" si="1"/>
        <v>54.7315</v>
      </c>
      <c r="AT6" s="45" t="s">
        <v>465</v>
      </c>
      <c r="AU6" s="44">
        <v>39.549</v>
      </c>
      <c r="AV6" s="35"/>
      <c r="AW6" s="45" t="s">
        <v>465</v>
      </c>
      <c r="AX6" s="44">
        <v>131.83</v>
      </c>
      <c r="AZ6" s="1" t="s">
        <v>513</v>
      </c>
      <c r="BA6" s="1">
        <v>5.82</v>
      </c>
      <c r="BB6" s="1" t="s">
        <v>430</v>
      </c>
    </row>
    <row r="7" spans="2:54">
      <c r="B7"/>
      <c r="C7"/>
      <c r="E7" t="s">
        <v>495</v>
      </c>
      <c r="F7">
        <v>1</v>
      </c>
      <c r="G7" s="1" t="str">
        <f>VLOOKUP(E:E,'2店'!$B:$B,1,0)</f>
        <v>Y2007-PG</v>
      </c>
      <c r="H7" t="s">
        <v>504</v>
      </c>
      <c r="I7">
        <v>2</v>
      </c>
      <c r="J7" s="1" t="e">
        <f>VLOOKUP(H:H,'2店'!$B:$B,1,0)</f>
        <v>#N/A</v>
      </c>
      <c r="K7"/>
      <c r="L7"/>
      <c r="M7"/>
      <c r="N7"/>
      <c r="O7"/>
      <c r="P7"/>
      <c r="Q7"/>
      <c r="R7"/>
      <c r="T7"/>
      <c r="U7"/>
      <c r="V7"/>
      <c r="W7"/>
      <c r="X7"/>
      <c r="Y7"/>
      <c r="Z7"/>
      <c r="AA7"/>
      <c r="AC7" t="s">
        <v>468</v>
      </c>
      <c r="AD7">
        <v>1490</v>
      </c>
      <c r="AE7">
        <v>16</v>
      </c>
      <c r="AF7">
        <v>3.9</v>
      </c>
      <c r="AG7">
        <v>0</v>
      </c>
      <c r="AH7">
        <v>0</v>
      </c>
      <c r="AI7" s="31">
        <v>0</v>
      </c>
      <c r="AJ7" s="31">
        <v>0</v>
      </c>
      <c r="AK7" s="1" t="str">
        <f>VLOOKUP(AC:AC,'2店'!$B:$B,1,0)</f>
        <v>FXC03656-TG</v>
      </c>
      <c r="AN7" s="1">
        <f t="shared" si="0"/>
        <v>0</v>
      </c>
      <c r="AP7" t="s">
        <v>506</v>
      </c>
      <c r="AQ7" s="102">
        <v>8.66</v>
      </c>
      <c r="AR7" s="1">
        <f t="shared" si="1"/>
        <v>59.321</v>
      </c>
      <c r="AT7" s="45" t="s">
        <v>468</v>
      </c>
      <c r="AU7" s="44">
        <v>13.181</v>
      </c>
      <c r="AV7" s="35"/>
      <c r="AW7" s="45" t="s">
        <v>468</v>
      </c>
      <c r="AX7" s="44">
        <v>26.362</v>
      </c>
      <c r="AZ7" s="1" t="s">
        <v>514</v>
      </c>
      <c r="BA7" s="1">
        <v>5.82</v>
      </c>
      <c r="BB7" s="1" t="s">
        <v>430</v>
      </c>
    </row>
    <row r="8" spans="2:54">
      <c r="B8"/>
      <c r="C8"/>
      <c r="E8" t="s">
        <v>515</v>
      </c>
      <c r="F8">
        <v>1</v>
      </c>
      <c r="G8" s="1" t="e">
        <f>VLOOKUP(E:E,'2店'!$B:$B,1,0)</f>
        <v>#N/A</v>
      </c>
      <c r="H8" t="s">
        <v>516</v>
      </c>
      <c r="I8">
        <v>1</v>
      </c>
      <c r="J8" s="1" t="e">
        <f>VLOOKUP(H:H,'2店'!$B:$B,1,0)</f>
        <v>#N/A</v>
      </c>
      <c r="K8"/>
      <c r="L8"/>
      <c r="M8"/>
      <c r="N8"/>
      <c r="O8"/>
      <c r="P8"/>
      <c r="Q8"/>
      <c r="R8"/>
      <c r="T8"/>
      <c r="U8"/>
      <c r="V8"/>
      <c r="W8"/>
      <c r="X8"/>
      <c r="Y8"/>
      <c r="Z8"/>
      <c r="AA8"/>
      <c r="AC8" t="s">
        <v>439</v>
      </c>
      <c r="AD8">
        <v>81309</v>
      </c>
      <c r="AE8">
        <v>356</v>
      </c>
      <c r="AF8">
        <v>73.08</v>
      </c>
      <c r="AG8">
        <v>536.51</v>
      </c>
      <c r="AH8">
        <v>16</v>
      </c>
      <c r="AI8" s="31">
        <v>0.136213677284673</v>
      </c>
      <c r="AJ8" s="31">
        <v>0.0449438202247191</v>
      </c>
      <c r="AK8" s="1"/>
      <c r="AN8" s="1">
        <f t="shared" si="0"/>
        <v>0</v>
      </c>
      <c r="AP8" t="s">
        <v>495</v>
      </c>
      <c r="AQ8" s="102">
        <v>6.99</v>
      </c>
      <c r="AR8" s="1">
        <f t="shared" si="1"/>
        <v>47.8815</v>
      </c>
      <c r="AT8" s="45" t="s">
        <v>471</v>
      </c>
      <c r="AU8" s="44">
        <v>13.188</v>
      </c>
      <c r="AV8" s="35"/>
      <c r="AW8" s="45" t="s">
        <v>471</v>
      </c>
      <c r="AX8" s="44">
        <v>13.188</v>
      </c>
      <c r="AZ8" s="1" t="s">
        <v>517</v>
      </c>
      <c r="BA8" s="1">
        <v>5.807</v>
      </c>
      <c r="BB8" s="1" t="s">
        <v>430</v>
      </c>
    </row>
    <row r="9" spans="2:54">
      <c r="B9"/>
      <c r="C9"/>
      <c r="E9" t="s">
        <v>518</v>
      </c>
      <c r="F9">
        <v>1</v>
      </c>
      <c r="G9" s="1" t="e">
        <f>VLOOKUP(E:E,'2店'!$B:$B,1,0)</f>
        <v>#N/A</v>
      </c>
      <c r="H9" t="s">
        <v>498</v>
      </c>
      <c r="I9">
        <v>3</v>
      </c>
      <c r="J9" s="1" t="str">
        <f>VLOOKUP(H:H,'2店'!$B:$B,1,0)</f>
        <v>Y2008-BL-1</v>
      </c>
      <c r="K9"/>
      <c r="L9"/>
      <c r="M9"/>
      <c r="N9"/>
      <c r="O9"/>
      <c r="P9"/>
      <c r="Q9"/>
      <c r="R9"/>
      <c r="T9"/>
      <c r="U9"/>
      <c r="V9"/>
      <c r="W9"/>
      <c r="X9"/>
      <c r="Y9"/>
      <c r="Z9"/>
      <c r="AA9"/>
      <c r="AC9"/>
      <c r="AD9"/>
      <c r="AE9"/>
      <c r="AF9"/>
      <c r="AG9"/>
      <c r="AH9"/>
      <c r="AI9"/>
      <c r="AJ9"/>
      <c r="AK9" s="1"/>
      <c r="AN9" s="1">
        <f>AM9*$AS$1</f>
        <v>0</v>
      </c>
      <c r="AP9" t="s">
        <v>515</v>
      </c>
      <c r="AQ9" s="102">
        <v>7.99</v>
      </c>
      <c r="AR9" s="1">
        <f t="shared" si="1"/>
        <v>54.7315</v>
      </c>
      <c r="AT9" s="45" t="s">
        <v>474</v>
      </c>
      <c r="AU9" s="44">
        <v>14.05</v>
      </c>
      <c r="AV9" s="35"/>
      <c r="AW9" s="45" t="s">
        <v>504</v>
      </c>
      <c r="AX9" s="44">
        <v>369.348</v>
      </c>
      <c r="AZ9" s="1" t="s">
        <v>519</v>
      </c>
      <c r="BA9" s="1">
        <v>5.863</v>
      </c>
      <c r="BB9" s="1" t="s">
        <v>430</v>
      </c>
    </row>
    <row r="10" spans="2:54">
      <c r="B10"/>
      <c r="C10"/>
      <c r="E10" t="s">
        <v>505</v>
      </c>
      <c r="F10">
        <v>2</v>
      </c>
      <c r="G10" s="1" t="e">
        <f>VLOOKUP(E:E,'2店'!$B:$B,1,0)</f>
        <v>#N/A</v>
      </c>
      <c r="H10" t="s">
        <v>520</v>
      </c>
      <c r="I10">
        <v>1</v>
      </c>
      <c r="J10" s="1" t="e">
        <f>VLOOKUP(H:H,'2店'!$B:$B,1,0)</f>
        <v>#N/A</v>
      </c>
      <c r="K10"/>
      <c r="L10"/>
      <c r="M10"/>
      <c r="N10"/>
      <c r="O10"/>
      <c r="P10"/>
      <c r="Q10"/>
      <c r="R10"/>
      <c r="T10"/>
      <c r="U10"/>
      <c r="V10"/>
      <c r="W10"/>
      <c r="X10"/>
      <c r="Y10"/>
      <c r="Z10"/>
      <c r="AA10"/>
      <c r="AC10"/>
      <c r="AD10"/>
      <c r="AE10"/>
      <c r="AF10"/>
      <c r="AG10"/>
      <c r="AH10"/>
      <c r="AI10"/>
      <c r="AJ10"/>
      <c r="AK10" s="1"/>
      <c r="AN10" s="1">
        <f>AM10*$AS$1</f>
        <v>0</v>
      </c>
      <c r="AP10" t="s">
        <v>518</v>
      </c>
      <c r="AQ10" s="102">
        <v>7.99</v>
      </c>
      <c r="AR10" s="1">
        <f t="shared" si="1"/>
        <v>54.7315</v>
      </c>
      <c r="AT10" s="45" t="s">
        <v>477</v>
      </c>
      <c r="AU10" s="44">
        <v>22.7</v>
      </c>
      <c r="AV10" s="35"/>
      <c r="AW10" s="45" t="s">
        <v>521</v>
      </c>
      <c r="AX10" s="44">
        <v>0</v>
      </c>
      <c r="AZ10" s="1" t="s">
        <v>522</v>
      </c>
      <c r="BA10" s="1">
        <v>5.362</v>
      </c>
      <c r="BB10" s="1" t="s">
        <v>430</v>
      </c>
    </row>
    <row r="11" spans="2:54">
      <c r="B11"/>
      <c r="C11"/>
      <c r="E11" t="s">
        <v>480</v>
      </c>
      <c r="F11">
        <v>1</v>
      </c>
      <c r="G11" s="1" t="str">
        <f>VLOOKUP(E:E,'2店'!$B:$B,1,0)</f>
        <v>FXC03680-NA</v>
      </c>
      <c r="H11" t="s">
        <v>523</v>
      </c>
      <c r="I11">
        <v>1</v>
      </c>
      <c r="J11" s="1" t="e">
        <f>VLOOKUP(H:H,'2店'!$B:$B,1,0)</f>
        <v>#N/A</v>
      </c>
      <c r="K11"/>
      <c r="L11"/>
      <c r="M11"/>
      <c r="N11"/>
      <c r="O11"/>
      <c r="P11"/>
      <c r="Q11"/>
      <c r="R11"/>
      <c r="T11"/>
      <c r="U11"/>
      <c r="V11"/>
      <c r="W11"/>
      <c r="X11"/>
      <c r="Y11"/>
      <c r="Z11"/>
      <c r="AA11"/>
      <c r="AC11"/>
      <c r="AD11"/>
      <c r="AE11"/>
      <c r="AF11"/>
      <c r="AG11"/>
      <c r="AH11"/>
      <c r="AI11"/>
      <c r="AJ11"/>
      <c r="AK11" s="1"/>
      <c r="AN11" s="1">
        <f>AM11*$AS$1</f>
        <v>0</v>
      </c>
      <c r="AR11" s="1">
        <f t="shared" si="1"/>
        <v>0</v>
      </c>
      <c r="AT11" s="45" t="s">
        <v>480</v>
      </c>
      <c r="AU11" s="44">
        <v>13.2</v>
      </c>
      <c r="AV11" s="35"/>
      <c r="AW11" s="45" t="s">
        <v>520</v>
      </c>
      <c r="AX11" s="44">
        <v>26.382</v>
      </c>
      <c r="AZ11" s="1" t="s">
        <v>524</v>
      </c>
      <c r="BA11" s="1">
        <v>5.698</v>
      </c>
      <c r="BB11" s="1" t="s">
        <v>430</v>
      </c>
    </row>
    <row r="12" spans="2:54">
      <c r="B12"/>
      <c r="C12"/>
      <c r="E12" t="s">
        <v>439</v>
      </c>
      <c r="F12">
        <v>25</v>
      </c>
      <c r="H12" t="s">
        <v>506</v>
      </c>
      <c r="I12">
        <v>1</v>
      </c>
      <c r="J12" s="1" t="e">
        <f>VLOOKUP(H:H,'2店'!$B:$B,1,0)</f>
        <v>#N/A</v>
      </c>
      <c r="K12"/>
      <c r="L12"/>
      <c r="M12"/>
      <c r="N12"/>
      <c r="O12"/>
      <c r="P12"/>
      <c r="Q12"/>
      <c r="R12"/>
      <c r="T12"/>
      <c r="U12"/>
      <c r="V12"/>
      <c r="W12"/>
      <c r="X12"/>
      <c r="Y12"/>
      <c r="Z12"/>
      <c r="AA12"/>
      <c r="AC12"/>
      <c r="AD12"/>
      <c r="AE12"/>
      <c r="AF12"/>
      <c r="AG12"/>
      <c r="AH12"/>
      <c r="AI12"/>
      <c r="AJ12"/>
      <c r="AK12" s="31"/>
      <c r="AN12" s="1">
        <f>AM12*$AS$1</f>
        <v>0</v>
      </c>
      <c r="AR12" s="1">
        <f t="shared" si="1"/>
        <v>0</v>
      </c>
      <c r="AT12" s="45" t="s">
        <v>483</v>
      </c>
      <c r="AU12" s="44">
        <v>13</v>
      </c>
      <c r="AV12" s="35"/>
      <c r="AW12" s="45" t="s">
        <v>525</v>
      </c>
      <c r="AX12" s="44">
        <v>39.555</v>
      </c>
      <c r="AZ12" s="1" t="s">
        <v>465</v>
      </c>
      <c r="BA12" s="1">
        <v>5.335</v>
      </c>
      <c r="BB12" s="1" t="s">
        <v>430</v>
      </c>
    </row>
    <row r="13" spans="2:54">
      <c r="B13"/>
      <c r="C13"/>
      <c r="E13"/>
      <c r="F13"/>
      <c r="H13" t="s">
        <v>495</v>
      </c>
      <c r="I13">
        <v>1</v>
      </c>
      <c r="J13" s="1" t="str">
        <f>VLOOKUP(H:H,'2店'!$B:$B,1,0)</f>
        <v>Y2007-PG</v>
      </c>
      <c r="K13"/>
      <c r="L13"/>
      <c r="M13"/>
      <c r="N13"/>
      <c r="O13"/>
      <c r="P13"/>
      <c r="Q13"/>
      <c r="R13"/>
      <c r="T13"/>
      <c r="U13"/>
      <c r="V13"/>
      <c r="W13"/>
      <c r="X13"/>
      <c r="Y13"/>
      <c r="Z13"/>
      <c r="AA13"/>
      <c r="AC13"/>
      <c r="AD13"/>
      <c r="AE13"/>
      <c r="AF13"/>
      <c r="AG13"/>
      <c r="AH13"/>
      <c r="AI13"/>
      <c r="AJ13"/>
      <c r="AK13" s="31"/>
      <c r="AN13" s="1">
        <f>AM13*$AS$1</f>
        <v>0</v>
      </c>
      <c r="AR13" s="1">
        <f t="shared" si="1"/>
        <v>0</v>
      </c>
      <c r="AT13" s="45" t="s">
        <v>486</v>
      </c>
      <c r="AU13" s="44">
        <v>13</v>
      </c>
      <c r="AV13" s="35"/>
      <c r="AW13" s="45" t="s">
        <v>474</v>
      </c>
      <c r="AX13" s="44">
        <v>14.05</v>
      </c>
      <c r="AZ13" s="1" t="s">
        <v>471</v>
      </c>
      <c r="BA13" s="1">
        <v>5.298</v>
      </c>
      <c r="BB13" s="1" t="s">
        <v>430</v>
      </c>
    </row>
    <row r="14" spans="2:54">
      <c r="B14"/>
      <c r="C14"/>
      <c r="E14"/>
      <c r="F14"/>
      <c r="H14" t="s">
        <v>515</v>
      </c>
      <c r="I14">
        <v>1</v>
      </c>
      <c r="J14" s="1" t="e">
        <f>VLOOKUP(H:H,'2店'!$B:$B,1,0)</f>
        <v>#N/A</v>
      </c>
      <c r="K14"/>
      <c r="L14"/>
      <c r="M14"/>
      <c r="N14"/>
      <c r="O14"/>
      <c r="P14"/>
      <c r="Q14"/>
      <c r="R14"/>
      <c r="T14"/>
      <c r="U14"/>
      <c r="V14"/>
      <c r="W14"/>
      <c r="X14"/>
      <c r="Y14"/>
      <c r="Z14"/>
      <c r="AA14"/>
      <c r="AC14"/>
      <c r="AD14"/>
      <c r="AE14"/>
      <c r="AF14"/>
      <c r="AG14"/>
      <c r="AH14"/>
      <c r="AI14"/>
      <c r="AJ14"/>
      <c r="AK14" s="31"/>
      <c r="AN14" s="1">
        <f>AM14*$AS$1</f>
        <v>0</v>
      </c>
      <c r="AR14" s="1">
        <f t="shared" si="1"/>
        <v>0</v>
      </c>
      <c r="AT14" s="45" t="s">
        <v>489</v>
      </c>
      <c r="AU14" s="44">
        <v>13</v>
      </c>
      <c r="AV14" s="35"/>
      <c r="AW14" s="45" t="s">
        <v>523</v>
      </c>
      <c r="AX14" s="44">
        <v>14.05</v>
      </c>
      <c r="AZ14" s="1" t="s">
        <v>468</v>
      </c>
      <c r="BA14" s="1">
        <v>5.534</v>
      </c>
      <c r="BB14" s="1" t="s">
        <v>430</v>
      </c>
    </row>
    <row r="15" spans="2:54">
      <c r="B15"/>
      <c r="C15"/>
      <c r="E15"/>
      <c r="F15"/>
      <c r="H15" t="s">
        <v>518</v>
      </c>
      <c r="I15">
        <v>1</v>
      </c>
      <c r="J15" s="1" t="e">
        <f>VLOOKUP(H:H,'2店'!$B:$B,1,0)</f>
        <v>#N/A</v>
      </c>
      <c r="K15"/>
      <c r="L15"/>
      <c r="M15"/>
      <c r="N15"/>
      <c r="O15"/>
      <c r="P15"/>
      <c r="Q15"/>
      <c r="R15"/>
      <c r="T15"/>
      <c r="U15"/>
      <c r="V15"/>
      <c r="W15"/>
      <c r="X15"/>
      <c r="Y15"/>
      <c r="Z15"/>
      <c r="AA15"/>
      <c r="AC15"/>
      <c r="AD15"/>
      <c r="AE15"/>
      <c r="AF15"/>
      <c r="AG15"/>
      <c r="AH15"/>
      <c r="AI15"/>
      <c r="AJ15"/>
      <c r="AK15" s="31"/>
      <c r="AN15" s="1">
        <f>AM15*$AS$1</f>
        <v>0</v>
      </c>
      <c r="AR15" s="1">
        <f>AQ15*$AS$1</f>
        <v>0</v>
      </c>
      <c r="AT15" s="45" t="s">
        <v>492</v>
      </c>
      <c r="AU15" s="44">
        <v>13</v>
      </c>
      <c r="AV15" s="35"/>
      <c r="AW15" s="45" t="s">
        <v>477</v>
      </c>
      <c r="AX15" s="44">
        <v>22.7</v>
      </c>
      <c r="AZ15" s="1" t="s">
        <v>526</v>
      </c>
      <c r="BA15" s="1">
        <v>6.06</v>
      </c>
      <c r="BB15" s="1" t="s">
        <v>430</v>
      </c>
    </row>
    <row r="16" spans="2:54">
      <c r="B16"/>
      <c r="C16"/>
      <c r="E16"/>
      <c r="F16"/>
      <c r="H16" t="s">
        <v>505</v>
      </c>
      <c r="I16">
        <v>2</v>
      </c>
      <c r="J16" s="1" t="e">
        <f>VLOOKUP(H:H,'2店'!$B:$B,1,0)</f>
        <v>#N/A</v>
      </c>
      <c r="K16"/>
      <c r="L16"/>
      <c r="M16"/>
      <c r="N16"/>
      <c r="O16"/>
      <c r="P16"/>
      <c r="Q16"/>
      <c r="R16"/>
      <c r="T16"/>
      <c r="U16"/>
      <c r="V16"/>
      <c r="W16"/>
      <c r="X16"/>
      <c r="Y16"/>
      <c r="Z16"/>
      <c r="AA16"/>
      <c r="AC16"/>
      <c r="AD16"/>
      <c r="AE16"/>
      <c r="AF16"/>
      <c r="AG16"/>
      <c r="AH16"/>
      <c r="AI16"/>
      <c r="AJ16"/>
      <c r="AK16" s="31"/>
      <c r="AN16" s="1">
        <f>AM16*$AS$1</f>
        <v>0</v>
      </c>
      <c r="AR16" s="1">
        <f>AQ16*$AS$1</f>
        <v>0</v>
      </c>
      <c r="AT16" s="45" t="s">
        <v>495</v>
      </c>
      <c r="AU16" s="44">
        <v>13</v>
      </c>
      <c r="AV16" s="35"/>
      <c r="AW16" s="45" t="s">
        <v>527</v>
      </c>
      <c r="AX16" s="44">
        <v>11.35</v>
      </c>
      <c r="AZ16" s="1" t="s">
        <v>504</v>
      </c>
      <c r="BA16" s="1">
        <v>6.07</v>
      </c>
      <c r="BB16" s="1" t="s">
        <v>430</v>
      </c>
    </row>
    <row r="17" spans="2:54">
      <c r="B17"/>
      <c r="C17"/>
      <c r="E17"/>
      <c r="F17"/>
      <c r="H17" t="s">
        <v>480</v>
      </c>
      <c r="I17">
        <v>1</v>
      </c>
      <c r="J17" s="1" t="str">
        <f>VLOOKUP(H:H,'2店'!$B:$B,1,0)</f>
        <v>FXC03680-NA</v>
      </c>
      <c r="K17"/>
      <c r="L17"/>
      <c r="M17"/>
      <c r="N17"/>
      <c r="O17"/>
      <c r="P17"/>
      <c r="Q17"/>
      <c r="R17"/>
      <c r="T17"/>
      <c r="U17"/>
      <c r="V17"/>
      <c r="W17"/>
      <c r="X17"/>
      <c r="Y17"/>
      <c r="Z17"/>
      <c r="AA17"/>
      <c r="AC17"/>
      <c r="AD17"/>
      <c r="AE17"/>
      <c r="AF17"/>
      <c r="AG17"/>
      <c r="AH17"/>
      <c r="AI17"/>
      <c r="AJ17"/>
      <c r="AK17" s="31"/>
      <c r="AN17" s="1">
        <f>AM17*$AS$1</f>
        <v>0</v>
      </c>
      <c r="AR17" s="1">
        <f>AQ17*$AS$1</f>
        <v>0</v>
      </c>
      <c r="AT17" s="45" t="s">
        <v>528</v>
      </c>
      <c r="AU17" s="44">
        <v>13</v>
      </c>
      <c r="AV17" s="35"/>
      <c r="AW17" s="45" t="s">
        <v>511</v>
      </c>
      <c r="AX17" s="44">
        <v>11.7</v>
      </c>
      <c r="AZ17" s="1" t="s">
        <v>529</v>
      </c>
      <c r="BA17" s="1">
        <v>5.96</v>
      </c>
      <c r="BB17" s="1" t="s">
        <v>430</v>
      </c>
    </row>
    <row r="18" spans="2:54">
      <c r="B18"/>
      <c r="C18"/>
      <c r="E18"/>
      <c r="F18"/>
      <c r="H18" t="s">
        <v>530</v>
      </c>
      <c r="I18">
        <v>1</v>
      </c>
      <c r="J18" s="1" t="e">
        <f>VLOOKUP(H:H,'2店'!$B:$B,1,0)</f>
        <v>#N/A</v>
      </c>
      <c r="K18"/>
      <c r="L18"/>
      <c r="M18"/>
      <c r="N18"/>
      <c r="O18"/>
      <c r="P18"/>
      <c r="Q18"/>
      <c r="R18"/>
      <c r="T18"/>
      <c r="U18"/>
      <c r="V18"/>
      <c r="W18"/>
      <c r="X18"/>
      <c r="Y18"/>
      <c r="Z18"/>
      <c r="AA18"/>
      <c r="AC18"/>
      <c r="AD18"/>
      <c r="AE18"/>
      <c r="AF18"/>
      <c r="AG18"/>
      <c r="AH18"/>
      <c r="AI18"/>
      <c r="AJ18"/>
      <c r="AK18" s="31"/>
      <c r="AN18" s="1">
        <f>AM18*$AS$1</f>
        <v>0</v>
      </c>
      <c r="AR18" s="1">
        <f>AQ18*$AS$1</f>
        <v>0</v>
      </c>
      <c r="AT18" s="45" t="s">
        <v>518</v>
      </c>
      <c r="AU18" s="44">
        <v>13</v>
      </c>
      <c r="AV18" s="35"/>
      <c r="AW18" s="45" t="s">
        <v>531</v>
      </c>
      <c r="AX18" s="44">
        <v>52.4</v>
      </c>
      <c r="AZ18" s="1" t="s">
        <v>521</v>
      </c>
      <c r="BA18" s="1">
        <v>5.998</v>
      </c>
      <c r="BB18" s="1" t="s">
        <v>430</v>
      </c>
    </row>
    <row r="19" spans="2:54">
      <c r="B19"/>
      <c r="C19"/>
      <c r="E19"/>
      <c r="F19"/>
      <c r="H19" t="s">
        <v>439</v>
      </c>
      <c r="I19">
        <v>43</v>
      </c>
      <c r="K19"/>
      <c r="L19"/>
      <c r="M19"/>
      <c r="N19"/>
      <c r="O19"/>
      <c r="P19"/>
      <c r="Q19"/>
      <c r="R19"/>
      <c r="T19"/>
      <c r="U19"/>
      <c r="V19"/>
      <c r="W19"/>
      <c r="X19"/>
      <c r="Y19"/>
      <c r="Z19"/>
      <c r="AA19"/>
      <c r="AC19"/>
      <c r="AD19"/>
      <c r="AE19"/>
      <c r="AF19"/>
      <c r="AG19"/>
      <c r="AH19"/>
      <c r="AI19"/>
      <c r="AJ19"/>
      <c r="AK19" s="31"/>
      <c r="AN19" s="1">
        <f>AM19*$AS$1</f>
        <v>0</v>
      </c>
      <c r="AR19" s="1">
        <f>AQ19*$AS$1</f>
        <v>0</v>
      </c>
      <c r="AT19" s="45" t="s">
        <v>498</v>
      </c>
      <c r="AU19" s="44">
        <v>26</v>
      </c>
      <c r="AV19" s="35"/>
      <c r="AW19" s="45" t="s">
        <v>532</v>
      </c>
      <c r="AX19" s="44">
        <v>0</v>
      </c>
      <c r="AZ19" s="1" t="s">
        <v>520</v>
      </c>
      <c r="BA19" s="1">
        <v>6.004</v>
      </c>
      <c r="BB19" s="1" t="s">
        <v>430</v>
      </c>
    </row>
    <row r="20" spans="2:54">
      <c r="B20"/>
      <c r="C20"/>
      <c r="E20"/>
      <c r="F20"/>
      <c r="H20"/>
      <c r="I20"/>
      <c r="K20"/>
      <c r="L20"/>
      <c r="M20"/>
      <c r="N20"/>
      <c r="O20"/>
      <c r="P20"/>
      <c r="Q20"/>
      <c r="R20"/>
      <c r="T20"/>
      <c r="U20"/>
      <c r="V20"/>
      <c r="W20"/>
      <c r="X20"/>
      <c r="Y20"/>
      <c r="Z20"/>
      <c r="AA20"/>
      <c r="AC20"/>
      <c r="AD20"/>
      <c r="AE20"/>
      <c r="AF20"/>
      <c r="AG20"/>
      <c r="AH20"/>
      <c r="AI20"/>
      <c r="AJ20"/>
      <c r="AK20" s="31"/>
      <c r="AN20" s="1">
        <f>AM20*$AS$1</f>
        <v>0</v>
      </c>
      <c r="AR20" s="1">
        <f>AQ20*$AS$1</f>
        <v>0</v>
      </c>
      <c r="AT20" s="45" t="s">
        <v>533</v>
      </c>
      <c r="AU20" s="44">
        <v>13</v>
      </c>
      <c r="AV20" s="35"/>
      <c r="AW20" s="45" t="s">
        <v>483</v>
      </c>
      <c r="AX20" s="44">
        <v>143</v>
      </c>
      <c r="AZ20" s="1" t="s">
        <v>525</v>
      </c>
      <c r="BA20" s="1">
        <v>6.025</v>
      </c>
      <c r="BB20" s="1" t="s">
        <v>430</v>
      </c>
    </row>
    <row r="21" spans="2:54">
      <c r="B21"/>
      <c r="C21"/>
      <c r="E21"/>
      <c r="F21"/>
      <c r="H21"/>
      <c r="I21"/>
      <c r="K21"/>
      <c r="L21"/>
      <c r="M21"/>
      <c r="N21"/>
      <c r="O21"/>
      <c r="P21"/>
      <c r="Q21"/>
      <c r="R21"/>
      <c r="T21"/>
      <c r="U21"/>
      <c r="V21"/>
      <c r="W21"/>
      <c r="X21"/>
      <c r="Y21"/>
      <c r="Z21"/>
      <c r="AA21"/>
      <c r="AC21"/>
      <c r="AD21"/>
      <c r="AE21"/>
      <c r="AF21"/>
      <c r="AG21"/>
      <c r="AH21"/>
      <c r="AI21"/>
      <c r="AJ21"/>
      <c r="AK21" s="31"/>
      <c r="AN21" s="1">
        <f>AM21*$AS$1</f>
        <v>0</v>
      </c>
      <c r="AR21" s="1">
        <f>AQ21*$AS$1</f>
        <v>0</v>
      </c>
      <c r="AT21" s="45" t="s">
        <v>501</v>
      </c>
      <c r="AU21" s="44">
        <v>3596.87</v>
      </c>
      <c r="AV21" s="35"/>
      <c r="AW21" s="45" t="s">
        <v>509</v>
      </c>
      <c r="AX21" s="44">
        <v>117</v>
      </c>
      <c r="AZ21" s="1" t="s">
        <v>531</v>
      </c>
      <c r="BA21" s="1">
        <v>6.771</v>
      </c>
      <c r="BB21" s="1" t="s">
        <v>430</v>
      </c>
    </row>
    <row r="22" spans="2:54">
      <c r="B22"/>
      <c r="C22"/>
      <c r="E22"/>
      <c r="F22"/>
      <c r="H22"/>
      <c r="I22"/>
      <c r="K22"/>
      <c r="L22"/>
      <c r="M22"/>
      <c r="N22"/>
      <c r="O22"/>
      <c r="P22"/>
      <c r="Q22"/>
      <c r="R22"/>
      <c r="T22"/>
      <c r="U22"/>
      <c r="V22"/>
      <c r="W22"/>
      <c r="X22"/>
      <c r="Y22"/>
      <c r="Z22"/>
      <c r="AA22"/>
      <c r="AC22"/>
      <c r="AD22"/>
      <c r="AE22"/>
      <c r="AF22"/>
      <c r="AG22"/>
      <c r="AH22"/>
      <c r="AI22"/>
      <c r="AJ22"/>
      <c r="AK22" s="31"/>
      <c r="AN22" s="1">
        <f>AM22*$AS$1</f>
        <v>0</v>
      </c>
      <c r="AR22" s="1">
        <f>AQ22*$AS$1</f>
        <v>0</v>
      </c>
      <c r="AT22" s="45"/>
      <c r="AU22" s="44"/>
      <c r="AV22" s="35"/>
      <c r="AW22" s="45" t="s">
        <v>486</v>
      </c>
      <c r="AX22" s="44">
        <v>130</v>
      </c>
      <c r="AZ22" s="1" t="s">
        <v>534</v>
      </c>
      <c r="BA22" s="1">
        <v>16.03</v>
      </c>
      <c r="BB22" s="1" t="s">
        <v>430</v>
      </c>
    </row>
    <row r="23" spans="2:54">
      <c r="B23"/>
      <c r="C23"/>
      <c r="E23"/>
      <c r="F23"/>
      <c r="H23"/>
      <c r="I23"/>
      <c r="K23"/>
      <c r="L23"/>
      <c r="M23"/>
      <c r="N23"/>
      <c r="O23"/>
      <c r="P23"/>
      <c r="Q23"/>
      <c r="R23"/>
      <c r="T23"/>
      <c r="U23"/>
      <c r="V23"/>
      <c r="W23"/>
      <c r="X23"/>
      <c r="Y23"/>
      <c r="Z23"/>
      <c r="AA23"/>
      <c r="AC23"/>
      <c r="AD23"/>
      <c r="AE23"/>
      <c r="AF23"/>
      <c r="AG23"/>
      <c r="AH23"/>
      <c r="AI23"/>
      <c r="AJ23"/>
      <c r="AK23" s="31"/>
      <c r="AN23" s="1">
        <f>AM23*$AS$1</f>
        <v>0</v>
      </c>
      <c r="AR23" s="1">
        <f>AQ23*$AS$1</f>
        <v>0</v>
      </c>
      <c r="AT23" s="45"/>
      <c r="AU23" s="44"/>
      <c r="AV23" s="35"/>
      <c r="AW23" s="45" t="s">
        <v>535</v>
      </c>
      <c r="AX23" s="44">
        <v>78</v>
      </c>
      <c r="AZ23" s="1" t="s">
        <v>536</v>
      </c>
      <c r="BA23" s="1">
        <v>14.62</v>
      </c>
      <c r="BB23" s="1" t="s">
        <v>430</v>
      </c>
    </row>
    <row r="24" spans="2:54">
      <c r="B24"/>
      <c r="C24"/>
      <c r="E24"/>
      <c r="F24"/>
      <c r="H24"/>
      <c r="I24"/>
      <c r="K24"/>
      <c r="L24"/>
      <c r="M24"/>
      <c r="N24"/>
      <c r="O24"/>
      <c r="P24"/>
      <c r="Q24"/>
      <c r="R24"/>
      <c r="T24"/>
      <c r="U24"/>
      <c r="V24"/>
      <c r="W24"/>
      <c r="X24"/>
      <c r="Y24"/>
      <c r="Z24"/>
      <c r="AA24"/>
      <c r="AC24"/>
      <c r="AD24"/>
      <c r="AE24"/>
      <c r="AF24"/>
      <c r="AG24"/>
      <c r="AH24"/>
      <c r="AI24"/>
      <c r="AJ24"/>
      <c r="AK24" s="1"/>
      <c r="AN24" s="1">
        <f>AM24*$AS$1</f>
        <v>0</v>
      </c>
      <c r="AR24" s="1">
        <f>AQ24*$AS$1</f>
        <v>0</v>
      </c>
      <c r="AT24" s="45"/>
      <c r="AU24" s="44"/>
      <c r="AV24" s="35"/>
      <c r="AW24" s="45" t="s">
        <v>506</v>
      </c>
      <c r="AX24" s="44">
        <v>78</v>
      </c>
      <c r="AZ24" s="1" t="s">
        <v>537</v>
      </c>
      <c r="BA24" s="1">
        <v>14.62</v>
      </c>
      <c r="BB24" s="1" t="s">
        <v>430</v>
      </c>
    </row>
    <row r="25" spans="2:54">
      <c r="B25"/>
      <c r="C25"/>
      <c r="E25"/>
      <c r="F25"/>
      <c r="H25"/>
      <c r="I25"/>
      <c r="K25"/>
      <c r="L25"/>
      <c r="M25"/>
      <c r="N25"/>
      <c r="O25"/>
      <c r="P25"/>
      <c r="Q25"/>
      <c r="R25"/>
      <c r="T25"/>
      <c r="U25"/>
      <c r="V25"/>
      <c r="W25"/>
      <c r="X25"/>
      <c r="Y25"/>
      <c r="Z25"/>
      <c r="AA25"/>
      <c r="AC25"/>
      <c r="AD25"/>
      <c r="AE25"/>
      <c r="AF25"/>
      <c r="AG25"/>
      <c r="AH25"/>
      <c r="AI25"/>
      <c r="AJ25"/>
      <c r="AK25" s="31"/>
      <c r="AN25" s="1">
        <f>AM25*$AS$1</f>
        <v>0</v>
      </c>
      <c r="AR25" s="1">
        <f>AQ25*$AS$1</f>
        <v>0</v>
      </c>
      <c r="AT25" s="45"/>
      <c r="AU25" s="44"/>
      <c r="AV25" s="35"/>
      <c r="AW25" s="45" t="s">
        <v>489</v>
      </c>
      <c r="AX25" s="44">
        <v>143</v>
      </c>
      <c r="AZ25" s="1" t="s">
        <v>538</v>
      </c>
      <c r="BA25" s="1">
        <v>14.62</v>
      </c>
      <c r="BB25" s="1" t="s">
        <v>430</v>
      </c>
    </row>
    <row r="26" spans="2:54">
      <c r="B26"/>
      <c r="C26"/>
      <c r="E26"/>
      <c r="F26"/>
      <c r="H26"/>
      <c r="I26"/>
      <c r="K26"/>
      <c r="L26"/>
      <c r="M26"/>
      <c r="N26"/>
      <c r="O26"/>
      <c r="P26"/>
      <c r="Q26"/>
      <c r="R26"/>
      <c r="T26"/>
      <c r="U26"/>
      <c r="V26"/>
      <c r="W26"/>
      <c r="X26"/>
      <c r="Y26"/>
      <c r="Z26"/>
      <c r="AA26"/>
      <c r="AC26"/>
      <c r="AD26"/>
      <c r="AE26"/>
      <c r="AF26"/>
      <c r="AG26"/>
      <c r="AH26"/>
      <c r="AI26"/>
      <c r="AJ26"/>
      <c r="AK26" s="31"/>
      <c r="AN26" s="1">
        <f>AM26*$AS$1</f>
        <v>0</v>
      </c>
      <c r="AR26" s="1">
        <f>AQ26*$AS$1</f>
        <v>0</v>
      </c>
      <c r="AT26" s="45"/>
      <c r="AU26" s="44"/>
      <c r="AV26" s="35"/>
      <c r="AW26" s="45" t="s">
        <v>492</v>
      </c>
      <c r="AX26" s="44">
        <v>104</v>
      </c>
      <c r="AZ26" s="1" t="s">
        <v>539</v>
      </c>
      <c r="BA26" s="1">
        <v>14.146</v>
      </c>
      <c r="BB26" s="1" t="s">
        <v>430</v>
      </c>
    </row>
    <row r="27" spans="2:54">
      <c r="B27"/>
      <c r="C27"/>
      <c r="E27"/>
      <c r="F27"/>
      <c r="H27"/>
      <c r="I27"/>
      <c r="K27"/>
      <c r="L27"/>
      <c r="M27"/>
      <c r="N27"/>
      <c r="O27"/>
      <c r="P27"/>
      <c r="Q27"/>
      <c r="R27"/>
      <c r="T27"/>
      <c r="U27"/>
      <c r="V27"/>
      <c r="W27"/>
      <c r="X27"/>
      <c r="Y27"/>
      <c r="Z27"/>
      <c r="AA27"/>
      <c r="AC27"/>
      <c r="AD27"/>
      <c r="AE27"/>
      <c r="AF27"/>
      <c r="AG27"/>
      <c r="AH27"/>
      <c r="AI27"/>
      <c r="AJ27"/>
      <c r="AK27" s="31"/>
      <c r="AN27" s="1">
        <f>AM27*$AS$1</f>
        <v>0</v>
      </c>
      <c r="AR27" s="1">
        <f>AQ27*$AS$1</f>
        <v>0</v>
      </c>
      <c r="AT27" s="45"/>
      <c r="AU27" s="44"/>
      <c r="AV27" s="35"/>
      <c r="AW27" s="45" t="s">
        <v>495</v>
      </c>
      <c r="AX27" s="44">
        <v>169</v>
      </c>
      <c r="AZ27" s="1" t="s">
        <v>540</v>
      </c>
      <c r="BA27" s="1">
        <v>11.639</v>
      </c>
      <c r="BB27" s="1" t="s">
        <v>430</v>
      </c>
    </row>
    <row r="28" spans="2:54">
      <c r="B28"/>
      <c r="C28"/>
      <c r="E28"/>
      <c r="F28"/>
      <c r="H28"/>
      <c r="I28"/>
      <c r="K28"/>
      <c r="L28"/>
      <c r="M28"/>
      <c r="N28"/>
      <c r="O28"/>
      <c r="P28"/>
      <c r="Q28"/>
      <c r="R28"/>
      <c r="T28"/>
      <c r="U28"/>
      <c r="V28"/>
      <c r="W28"/>
      <c r="X28"/>
      <c r="Y28"/>
      <c r="Z28"/>
      <c r="AA28"/>
      <c r="AC28"/>
      <c r="AD28"/>
      <c r="AE28"/>
      <c r="AF28"/>
      <c r="AG28"/>
      <c r="AH28"/>
      <c r="AI28"/>
      <c r="AJ28"/>
      <c r="AK28" s="31"/>
      <c r="AN28" s="1">
        <f>AM28*$AS$1</f>
        <v>0</v>
      </c>
      <c r="AR28" s="1">
        <f>AQ28*$AS$1</f>
        <v>0</v>
      </c>
      <c r="AT28" s="45"/>
      <c r="AU28" s="44"/>
      <c r="AV28" s="35"/>
      <c r="AW28" s="45" t="s">
        <v>528</v>
      </c>
      <c r="AX28" s="44">
        <v>0</v>
      </c>
      <c r="AZ28" s="1" t="s">
        <v>541</v>
      </c>
      <c r="BA28" s="1">
        <v>10.032</v>
      </c>
      <c r="BB28" s="1" t="s">
        <v>430</v>
      </c>
    </row>
    <row r="29" spans="2:54">
      <c r="B29"/>
      <c r="C29"/>
      <c r="E29"/>
      <c r="F29"/>
      <c r="H29"/>
      <c r="I29"/>
      <c r="K29"/>
      <c r="L29"/>
      <c r="M29"/>
      <c r="N29"/>
      <c r="O29"/>
      <c r="P29"/>
      <c r="Q29"/>
      <c r="R29"/>
      <c r="T29"/>
      <c r="U29"/>
      <c r="V29"/>
      <c r="W29"/>
      <c r="X29"/>
      <c r="Y29"/>
      <c r="Z29"/>
      <c r="AA29"/>
      <c r="AC29"/>
      <c r="AD29"/>
      <c r="AE29"/>
      <c r="AF29"/>
      <c r="AG29"/>
      <c r="AH29"/>
      <c r="AI29"/>
      <c r="AJ29"/>
      <c r="AK29" s="31"/>
      <c r="AN29" s="1">
        <f>AM29*$AS$1</f>
        <v>0</v>
      </c>
      <c r="AR29" s="1">
        <f>AQ29*$AS$1</f>
        <v>0</v>
      </c>
      <c r="AT29" s="45"/>
      <c r="AU29" s="44"/>
      <c r="AV29" s="35"/>
      <c r="AW29" s="45" t="s">
        <v>518</v>
      </c>
      <c r="AX29" s="44">
        <v>104</v>
      </c>
      <c r="AZ29" s="1" t="s">
        <v>542</v>
      </c>
      <c r="BA29" s="1">
        <v>13.6</v>
      </c>
      <c r="BB29" s="1" t="s">
        <v>430</v>
      </c>
    </row>
    <row r="30" spans="2:54">
      <c r="B30"/>
      <c r="C30"/>
      <c r="E30"/>
      <c r="F30"/>
      <c r="H30"/>
      <c r="I30"/>
      <c r="K30"/>
      <c r="L30"/>
      <c r="M30"/>
      <c r="N30"/>
      <c r="O30"/>
      <c r="P30"/>
      <c r="Q30"/>
      <c r="R30"/>
      <c r="T30"/>
      <c r="U30"/>
      <c r="V30"/>
      <c r="W30"/>
      <c r="X30"/>
      <c r="Y30"/>
      <c r="Z30"/>
      <c r="AA30"/>
      <c r="AC30"/>
      <c r="AD30"/>
      <c r="AE30"/>
      <c r="AF30"/>
      <c r="AG30"/>
      <c r="AH30"/>
      <c r="AI30"/>
      <c r="AJ30"/>
      <c r="AK30" s="31"/>
      <c r="AN30" s="1">
        <f>AM30*$AS$1</f>
        <v>0</v>
      </c>
      <c r="AR30" s="1">
        <f>AQ30*$AS$1</f>
        <v>0</v>
      </c>
      <c r="AT30" s="45"/>
      <c r="AU30" s="44"/>
      <c r="AV30" s="35"/>
      <c r="AW30" s="45" t="s">
        <v>530</v>
      </c>
      <c r="AX30" s="44">
        <v>78.642</v>
      </c>
      <c r="AZ30" s="1" t="s">
        <v>543</v>
      </c>
      <c r="BA30" s="1">
        <v>13.6</v>
      </c>
      <c r="BB30" s="1" t="s">
        <v>430</v>
      </c>
    </row>
    <row r="31" spans="2:54">
      <c r="B31"/>
      <c r="C31"/>
      <c r="E31"/>
      <c r="F31"/>
      <c r="H31"/>
      <c r="I31"/>
      <c r="K31"/>
      <c r="L31"/>
      <c r="M31"/>
      <c r="N31"/>
      <c r="O31"/>
      <c r="P31"/>
      <c r="Q31"/>
      <c r="R31"/>
      <c r="T31"/>
      <c r="U31"/>
      <c r="V31"/>
      <c r="W31"/>
      <c r="X31"/>
      <c r="Y31"/>
      <c r="Z31"/>
      <c r="AA31"/>
      <c r="AC31"/>
      <c r="AD31"/>
      <c r="AE31"/>
      <c r="AF31"/>
      <c r="AG31"/>
      <c r="AH31"/>
      <c r="AI31"/>
      <c r="AJ31"/>
      <c r="AK31" s="31"/>
      <c r="AN31" s="1">
        <f>AM31*$AS$1</f>
        <v>0</v>
      </c>
      <c r="AR31" s="1">
        <f>AQ31*$AS$1</f>
        <v>0</v>
      </c>
      <c r="AT31" s="45"/>
      <c r="AU31" s="44"/>
      <c r="AV31" s="35"/>
      <c r="AW31" s="45" t="s">
        <v>515</v>
      </c>
      <c r="AX31" s="44">
        <v>117</v>
      </c>
      <c r="AZ31" s="1" t="s">
        <v>544</v>
      </c>
      <c r="BA31" s="1">
        <v>5.545</v>
      </c>
      <c r="BB31" s="1" t="s">
        <v>430</v>
      </c>
    </row>
    <row r="32" spans="2:54">
      <c r="B32"/>
      <c r="C32"/>
      <c r="E32"/>
      <c r="F32"/>
      <c r="H32"/>
      <c r="I32"/>
      <c r="K32"/>
      <c r="L32"/>
      <c r="M32"/>
      <c r="N32"/>
      <c r="O32"/>
      <c r="P32"/>
      <c r="Q32"/>
      <c r="R32"/>
      <c r="T32"/>
      <c r="U32"/>
      <c r="V32"/>
      <c r="W32"/>
      <c r="X32"/>
      <c r="Y32"/>
      <c r="Z32"/>
      <c r="AA32"/>
      <c r="AC32"/>
      <c r="AD32"/>
      <c r="AE32"/>
      <c r="AF32"/>
      <c r="AG32"/>
      <c r="AH32"/>
      <c r="AI32"/>
      <c r="AJ32"/>
      <c r="AK32" s="31"/>
      <c r="AN32" s="1">
        <f>AM32*$AS$1</f>
        <v>0</v>
      </c>
      <c r="AR32" s="1">
        <f>AQ32*$AS$1</f>
        <v>0</v>
      </c>
      <c r="AT32" s="45"/>
      <c r="AU32" s="44"/>
      <c r="AV32" s="35"/>
      <c r="AW32" s="45" t="s">
        <v>545</v>
      </c>
      <c r="AX32" s="44">
        <v>78</v>
      </c>
      <c r="AZ32" s="1" t="s">
        <v>546</v>
      </c>
      <c r="BA32" s="1">
        <v>5.048</v>
      </c>
      <c r="BB32" s="1" t="s">
        <v>430</v>
      </c>
    </row>
    <row r="33" spans="2:54">
      <c r="B33"/>
      <c r="C33"/>
      <c r="E33"/>
      <c r="F33"/>
      <c r="H33"/>
      <c r="I33"/>
      <c r="K33"/>
      <c r="L33"/>
      <c r="M33"/>
      <c r="N33"/>
      <c r="O33"/>
      <c r="P33"/>
      <c r="Q33"/>
      <c r="R33"/>
      <c r="T33"/>
      <c r="U33"/>
      <c r="V33"/>
      <c r="W33"/>
      <c r="X33"/>
      <c r="Y33"/>
      <c r="Z33"/>
      <c r="AA33"/>
      <c r="AC33"/>
      <c r="AD33"/>
      <c r="AE33"/>
      <c r="AF33"/>
      <c r="AG33"/>
      <c r="AH33"/>
      <c r="AI33"/>
      <c r="AJ33"/>
      <c r="AK33" s="31"/>
      <c r="AN33" s="1">
        <f>AM33*$AS$1</f>
        <v>0</v>
      </c>
      <c r="AR33" s="1">
        <f>AQ33*$AS$1</f>
        <v>0</v>
      </c>
      <c r="AT33" s="45"/>
      <c r="AU33" s="44"/>
      <c r="AV33" s="35"/>
      <c r="AW33" s="45" t="s">
        <v>498</v>
      </c>
      <c r="AX33" s="44">
        <v>78</v>
      </c>
      <c r="AZ33" s="1" t="s">
        <v>547</v>
      </c>
      <c r="BA33" s="1">
        <v>5.651</v>
      </c>
      <c r="BB33" s="1" t="s">
        <v>430</v>
      </c>
    </row>
    <row r="34" spans="2:54">
      <c r="B34"/>
      <c r="C34"/>
      <c r="E34"/>
      <c r="F34"/>
      <c r="H34"/>
      <c r="I34"/>
      <c r="K34"/>
      <c r="L34"/>
      <c r="M34"/>
      <c r="N34"/>
      <c r="O34"/>
      <c r="P34"/>
      <c r="Q34"/>
      <c r="R34"/>
      <c r="T34"/>
      <c r="U34"/>
      <c r="V34"/>
      <c r="W34"/>
      <c r="X34"/>
      <c r="Y34"/>
      <c r="Z34"/>
      <c r="AA34"/>
      <c r="AC34"/>
      <c r="AD34"/>
      <c r="AE34"/>
      <c r="AF34"/>
      <c r="AG34"/>
      <c r="AH34"/>
      <c r="AI34"/>
      <c r="AJ34"/>
      <c r="AK34" s="31"/>
      <c r="AN34" s="1">
        <f>AM34*$AS$1</f>
        <v>0</v>
      </c>
      <c r="AR34" s="1">
        <f>AQ34*$AS$1</f>
        <v>0</v>
      </c>
      <c r="AT34" s="45"/>
      <c r="AU34" s="44"/>
      <c r="AV34" s="35"/>
      <c r="AW34" s="45" t="s">
        <v>533</v>
      </c>
      <c r="AX34" s="44">
        <v>26</v>
      </c>
      <c r="AZ34" s="1" t="s">
        <v>548</v>
      </c>
      <c r="BA34" s="1">
        <v>4.51</v>
      </c>
      <c r="BB34" s="1" t="s">
        <v>430</v>
      </c>
    </row>
    <row r="35" spans="2:54">
      <c r="B35"/>
      <c r="C35"/>
      <c r="E35"/>
      <c r="F35"/>
      <c r="H35"/>
      <c r="I35"/>
      <c r="K35"/>
      <c r="L35"/>
      <c r="M35"/>
      <c r="N35"/>
      <c r="O35"/>
      <c r="P35"/>
      <c r="Q35"/>
      <c r="R35"/>
      <c r="T35"/>
      <c r="U35"/>
      <c r="V35"/>
      <c r="W35"/>
      <c r="X35"/>
      <c r="Y35"/>
      <c r="Z35"/>
      <c r="AA35"/>
      <c r="AC35"/>
      <c r="AD35"/>
      <c r="AE35"/>
      <c r="AF35"/>
      <c r="AG35"/>
      <c r="AH35"/>
      <c r="AI35"/>
      <c r="AJ35"/>
      <c r="AK35" s="31"/>
      <c r="AN35" s="1">
        <f>AM35*$AS$1</f>
        <v>0</v>
      </c>
      <c r="AR35" s="1">
        <f>AQ35*$AS$1</f>
        <v>0</v>
      </c>
      <c r="AT35" s="45"/>
      <c r="AU35" s="44"/>
      <c r="AV35" s="35"/>
      <c r="AW35" s="45" t="s">
        <v>516</v>
      </c>
      <c r="AX35" s="44">
        <v>91</v>
      </c>
      <c r="AZ35" s="1" t="s">
        <v>549</v>
      </c>
      <c r="BA35" s="1">
        <v>5.249</v>
      </c>
      <c r="BB35" s="1" t="s">
        <v>430</v>
      </c>
    </row>
    <row r="36" spans="2:54">
      <c r="B36"/>
      <c r="C36"/>
      <c r="E36"/>
      <c r="F36"/>
      <c r="H36"/>
      <c r="I36"/>
      <c r="K36"/>
      <c r="L36"/>
      <c r="M36"/>
      <c r="N36"/>
      <c r="O36"/>
      <c r="P36"/>
      <c r="Q36"/>
      <c r="R36"/>
      <c r="T36"/>
      <c r="U36"/>
      <c r="V36"/>
      <c r="W36"/>
      <c r="X36"/>
      <c r="Y36"/>
      <c r="Z36"/>
      <c r="AA36"/>
      <c r="AC36"/>
      <c r="AD36"/>
      <c r="AE36"/>
      <c r="AF36"/>
      <c r="AG36"/>
      <c r="AH36"/>
      <c r="AI36"/>
      <c r="AJ36"/>
      <c r="AK36" s="31"/>
      <c r="AN36" s="1">
        <f>AM36*$AS$1</f>
        <v>0</v>
      </c>
      <c r="AR36" s="1">
        <f>AQ36*$AS$1</f>
        <v>0</v>
      </c>
      <c r="AT36" s="45"/>
      <c r="AU36" s="44"/>
      <c r="AV36" s="35"/>
      <c r="AW36" s="45" t="s">
        <v>550</v>
      </c>
      <c r="AX36" s="44">
        <v>26</v>
      </c>
      <c r="AZ36" s="1" t="s">
        <v>551</v>
      </c>
      <c r="BA36" s="1">
        <v>4.51</v>
      </c>
      <c r="BB36" s="1" t="s">
        <v>430</v>
      </c>
    </row>
    <row r="37" spans="2:54">
      <c r="B37"/>
      <c r="C37"/>
      <c r="E37"/>
      <c r="F37"/>
      <c r="H37"/>
      <c r="I37"/>
      <c r="K37"/>
      <c r="L37"/>
      <c r="M37"/>
      <c r="N37"/>
      <c r="O37"/>
      <c r="P37"/>
      <c r="Q37"/>
      <c r="R37"/>
      <c r="T37"/>
      <c r="U37"/>
      <c r="V37"/>
      <c r="W37"/>
      <c r="X37"/>
      <c r="Y37"/>
      <c r="Z37"/>
      <c r="AA37"/>
      <c r="AC37"/>
      <c r="AD37"/>
      <c r="AE37"/>
      <c r="AF37"/>
      <c r="AG37"/>
      <c r="AH37"/>
      <c r="AI37"/>
      <c r="AJ37"/>
      <c r="AK37" s="31"/>
      <c r="AN37" s="1">
        <f>AM37*$AS$1</f>
        <v>0</v>
      </c>
      <c r="AR37" s="1">
        <f>AQ37*$AS$1</f>
        <v>0</v>
      </c>
      <c r="AT37" s="45"/>
      <c r="AU37" s="44"/>
      <c r="AV37" s="35"/>
      <c r="AW37" s="45" t="s">
        <v>501</v>
      </c>
      <c r="AX37" s="44">
        <v>6697.62</v>
      </c>
      <c r="AZ37" s="1" t="s">
        <v>552</v>
      </c>
      <c r="BA37" s="1">
        <v>4.51</v>
      </c>
      <c r="BB37" s="1" t="s">
        <v>430</v>
      </c>
    </row>
    <row r="38" spans="2:54">
      <c r="B38"/>
      <c r="C38"/>
      <c r="E38"/>
      <c r="F38"/>
      <c r="H38"/>
      <c r="I38"/>
      <c r="K38"/>
      <c r="L38"/>
      <c r="M38"/>
      <c r="N38"/>
      <c r="O38"/>
      <c r="P38"/>
      <c r="Q38"/>
      <c r="R38"/>
      <c r="T38"/>
      <c r="U38"/>
      <c r="V38"/>
      <c r="W38"/>
      <c r="X38"/>
      <c r="Y38"/>
      <c r="Z38"/>
      <c r="AA38"/>
      <c r="AC38"/>
      <c r="AD38"/>
      <c r="AE38"/>
      <c r="AF38"/>
      <c r="AG38"/>
      <c r="AH38"/>
      <c r="AI38"/>
      <c r="AJ38"/>
      <c r="AK38" s="31"/>
      <c r="AN38" s="1">
        <f>AM38*$AS$1</f>
        <v>0</v>
      </c>
      <c r="AR38" s="1">
        <f>AQ38*$AS$1</f>
        <v>0</v>
      </c>
      <c r="AV38" s="35"/>
      <c r="AZ38" s="1" t="s">
        <v>553</v>
      </c>
      <c r="BA38" s="1">
        <v>3.848</v>
      </c>
      <c r="BB38" s="1" t="s">
        <v>430</v>
      </c>
    </row>
    <row r="39" spans="2:54">
      <c r="B39"/>
      <c r="C39"/>
      <c r="E39"/>
      <c r="F39"/>
      <c r="H39"/>
      <c r="I39"/>
      <c r="K39"/>
      <c r="L39"/>
      <c r="M39"/>
      <c r="N39"/>
      <c r="O39"/>
      <c r="P39"/>
      <c r="Q39"/>
      <c r="R39"/>
      <c r="T39"/>
      <c r="U39"/>
      <c r="V39"/>
      <c r="W39"/>
      <c r="X39"/>
      <c r="Y39"/>
      <c r="Z39"/>
      <c r="AA39"/>
      <c r="AC39"/>
      <c r="AD39"/>
      <c r="AE39"/>
      <c r="AF39"/>
      <c r="AG39"/>
      <c r="AH39"/>
      <c r="AI39"/>
      <c r="AJ39"/>
      <c r="AK39" s="31"/>
      <c r="AN39" s="1">
        <f>AM39*$AS$1</f>
        <v>0</v>
      </c>
      <c r="AR39" s="1">
        <f>AQ39*$AS$1</f>
        <v>0</v>
      </c>
      <c r="AV39" s="35"/>
      <c r="AZ39" s="1" t="s">
        <v>554</v>
      </c>
      <c r="BA39" s="1">
        <v>3.76</v>
      </c>
      <c r="BB39" s="1" t="s">
        <v>430</v>
      </c>
    </row>
    <row r="40" spans="2:54">
      <c r="B40"/>
      <c r="C40"/>
      <c r="E40"/>
      <c r="F40"/>
      <c r="H40"/>
      <c r="I40"/>
      <c r="K40"/>
      <c r="L40"/>
      <c r="M40"/>
      <c r="N40"/>
      <c r="O40"/>
      <c r="P40"/>
      <c r="Q40"/>
      <c r="R40"/>
      <c r="T40"/>
      <c r="U40"/>
      <c r="V40"/>
      <c r="W40"/>
      <c r="X40"/>
      <c r="Y40"/>
      <c r="Z40"/>
      <c r="AA40"/>
      <c r="AC40"/>
      <c r="AD40"/>
      <c r="AE40"/>
      <c r="AF40"/>
      <c r="AG40"/>
      <c r="AH40"/>
      <c r="AI40"/>
      <c r="AJ40"/>
      <c r="AK40" s="31"/>
      <c r="AN40" s="1">
        <f>AM40*$AS$1</f>
        <v>0</v>
      </c>
      <c r="AR40" s="1">
        <f>AQ40*$AS$1</f>
        <v>0</v>
      </c>
      <c r="AV40" s="35"/>
      <c r="AZ40" s="1" t="s">
        <v>555</v>
      </c>
      <c r="BA40" s="1">
        <v>3.76</v>
      </c>
      <c r="BB40" s="1" t="s">
        <v>430</v>
      </c>
    </row>
    <row r="41" spans="2:54">
      <c r="B41"/>
      <c r="C41"/>
      <c r="E41"/>
      <c r="F41"/>
      <c r="H41"/>
      <c r="I41"/>
      <c r="K41"/>
      <c r="L41"/>
      <c r="M41"/>
      <c r="N41"/>
      <c r="O41"/>
      <c r="P41"/>
      <c r="Q41"/>
      <c r="R41"/>
      <c r="T41"/>
      <c r="U41"/>
      <c r="V41"/>
      <c r="W41"/>
      <c r="X41"/>
      <c r="Y41"/>
      <c r="Z41"/>
      <c r="AA41"/>
      <c r="AC41"/>
      <c r="AD41"/>
      <c r="AE41"/>
      <c r="AF41"/>
      <c r="AG41"/>
      <c r="AH41"/>
      <c r="AI41"/>
      <c r="AJ41"/>
      <c r="AK41"/>
      <c r="AN41" s="1">
        <f>AM41*$AS$1</f>
        <v>0</v>
      </c>
      <c r="AR41" s="1">
        <f>AQ41*$AS$1</f>
        <v>0</v>
      </c>
      <c r="AV41" s="35"/>
      <c r="AZ41" s="1" t="s">
        <v>556</v>
      </c>
      <c r="BA41" s="1">
        <v>1.861</v>
      </c>
      <c r="BB41" s="1" t="s">
        <v>430</v>
      </c>
    </row>
    <row r="42" spans="2:54">
      <c r="B42"/>
      <c r="C42"/>
      <c r="E42"/>
      <c r="F42"/>
      <c r="H42"/>
      <c r="I42"/>
      <c r="K42"/>
      <c r="L42"/>
      <c r="M42"/>
      <c r="N42"/>
      <c r="O42"/>
      <c r="P42"/>
      <c r="Q42"/>
      <c r="R42"/>
      <c r="T42"/>
      <c r="U42"/>
      <c r="V42"/>
      <c r="W42"/>
      <c r="X42"/>
      <c r="Y42"/>
      <c r="Z42"/>
      <c r="AA42"/>
      <c r="AC42"/>
      <c r="AD42"/>
      <c r="AE42"/>
      <c r="AF42"/>
      <c r="AG42"/>
      <c r="AH42"/>
      <c r="AI42"/>
      <c r="AJ42"/>
      <c r="AK42"/>
      <c r="AN42" s="1">
        <f>AM42*$AS$1</f>
        <v>0</v>
      </c>
      <c r="AR42" s="1">
        <f>AQ42*$AS$1</f>
        <v>0</v>
      </c>
      <c r="AV42" s="35"/>
      <c r="AZ42" s="1" t="s">
        <v>557</v>
      </c>
      <c r="BA42" s="1">
        <v>3.112</v>
      </c>
      <c r="BB42" s="1" t="s">
        <v>430</v>
      </c>
    </row>
    <row r="43" spans="2:54">
      <c r="B43"/>
      <c r="C43"/>
      <c r="E43"/>
      <c r="F43"/>
      <c r="H43"/>
      <c r="I43"/>
      <c r="K43"/>
      <c r="L43"/>
      <c r="M43"/>
      <c r="N43"/>
      <c r="O43"/>
      <c r="P43"/>
      <c r="Q43"/>
      <c r="R43"/>
      <c r="T43"/>
      <c r="U43"/>
      <c r="V43"/>
      <c r="W43"/>
      <c r="X43"/>
      <c r="Y43"/>
      <c r="Z43"/>
      <c r="AA43"/>
      <c r="AC43"/>
      <c r="AD43"/>
      <c r="AE43"/>
      <c r="AF43"/>
      <c r="AG43"/>
      <c r="AH43"/>
      <c r="AI43"/>
      <c r="AJ43"/>
      <c r="AK43"/>
      <c r="AN43" s="1">
        <f>AM43*$AS$1</f>
        <v>0</v>
      </c>
      <c r="AR43" s="1">
        <f>AQ43*$AS$1</f>
        <v>0</v>
      </c>
      <c r="AV43" s="35"/>
      <c r="AZ43" s="1" t="s">
        <v>523</v>
      </c>
      <c r="BA43" s="1">
        <v>2.708</v>
      </c>
      <c r="BB43" s="1" t="s">
        <v>430</v>
      </c>
    </row>
    <row r="44" spans="2:54">
      <c r="B44"/>
      <c r="C44"/>
      <c r="E44"/>
      <c r="F44"/>
      <c r="H44"/>
      <c r="I44"/>
      <c r="K44"/>
      <c r="L44"/>
      <c r="M44"/>
      <c r="N44"/>
      <c r="O44"/>
      <c r="P44"/>
      <c r="Q44"/>
      <c r="R44"/>
      <c r="T44"/>
      <c r="U44"/>
      <c r="V44"/>
      <c r="W44"/>
      <c r="X44"/>
      <c r="Y44"/>
      <c r="Z44"/>
      <c r="AA44"/>
      <c r="AC44"/>
      <c r="AD44"/>
      <c r="AE44"/>
      <c r="AF44"/>
      <c r="AG44"/>
      <c r="AH44"/>
      <c r="AI44"/>
      <c r="AJ44"/>
      <c r="AK44"/>
      <c r="AN44" s="1">
        <f>AM44*$AS$1</f>
        <v>0</v>
      </c>
      <c r="AR44" s="1">
        <f>AQ44*$AS$1</f>
        <v>0</v>
      </c>
      <c r="AV44" s="35"/>
      <c r="AZ44" s="1" t="s">
        <v>558</v>
      </c>
      <c r="BA44" s="1">
        <v>2.255</v>
      </c>
      <c r="BB44" s="1" t="s">
        <v>430</v>
      </c>
    </row>
    <row r="45" spans="2:54">
      <c r="B45"/>
      <c r="C45"/>
      <c r="E45"/>
      <c r="F45"/>
      <c r="H45"/>
      <c r="I45"/>
      <c r="K45"/>
      <c r="L45"/>
      <c r="M45"/>
      <c r="N45"/>
      <c r="O45"/>
      <c r="P45"/>
      <c r="Q45"/>
      <c r="R45"/>
      <c r="T45"/>
      <c r="U45"/>
      <c r="V45"/>
      <c r="W45"/>
      <c r="X45"/>
      <c r="Y45"/>
      <c r="Z45"/>
      <c r="AA45"/>
      <c r="AC45"/>
      <c r="AD45"/>
      <c r="AE45"/>
      <c r="AF45"/>
      <c r="AG45"/>
      <c r="AH45"/>
      <c r="AI45"/>
      <c r="AJ45"/>
      <c r="AK45"/>
      <c r="AN45" s="1">
        <f>AM45*$AS$1</f>
        <v>0</v>
      </c>
      <c r="AR45" s="1">
        <f>AQ45*$AS$1</f>
        <v>0</v>
      </c>
      <c r="AV45" s="35"/>
      <c r="AZ45" s="1" t="s">
        <v>559</v>
      </c>
      <c r="BA45" s="1">
        <v>2.247</v>
      </c>
      <c r="BB45" s="1" t="s">
        <v>430</v>
      </c>
    </row>
    <row r="46" spans="2:54">
      <c r="B46"/>
      <c r="C46"/>
      <c r="E46"/>
      <c r="F46"/>
      <c r="H46"/>
      <c r="I46"/>
      <c r="K46"/>
      <c r="L46"/>
      <c r="M46"/>
      <c r="N46"/>
      <c r="O46"/>
      <c r="P46"/>
      <c r="Q46"/>
      <c r="R46"/>
      <c r="T46"/>
      <c r="U46"/>
      <c r="V46"/>
      <c r="W46"/>
      <c r="X46"/>
      <c r="Y46"/>
      <c r="Z46"/>
      <c r="AA46"/>
      <c r="AC46"/>
      <c r="AD46"/>
      <c r="AE46"/>
      <c r="AF46"/>
      <c r="AG46"/>
      <c r="AH46"/>
      <c r="AI46"/>
      <c r="AJ46"/>
      <c r="AK46"/>
      <c r="AN46" s="1">
        <f>AM46*$AS$1</f>
        <v>0</v>
      </c>
      <c r="AR46" s="1">
        <f>AQ46*$AS$1</f>
        <v>0</v>
      </c>
      <c r="AV46" s="35"/>
      <c r="AZ46" s="1" t="s">
        <v>560</v>
      </c>
      <c r="BA46" s="1">
        <v>2.273</v>
      </c>
      <c r="BB46" s="1" t="s">
        <v>430</v>
      </c>
    </row>
    <row r="47" spans="2:54">
      <c r="B47"/>
      <c r="C47"/>
      <c r="E47"/>
      <c r="F47"/>
      <c r="H47"/>
      <c r="I47"/>
      <c r="K47"/>
      <c r="L47"/>
      <c r="M47"/>
      <c r="N47"/>
      <c r="O47"/>
      <c r="P47"/>
      <c r="Q47"/>
      <c r="R47"/>
      <c r="T47"/>
      <c r="U47"/>
      <c r="V47"/>
      <c r="W47"/>
      <c r="X47"/>
      <c r="Y47"/>
      <c r="Z47"/>
      <c r="AA47"/>
      <c r="AC47"/>
      <c r="AD47"/>
      <c r="AE47"/>
      <c r="AF47"/>
      <c r="AG47"/>
      <c r="AH47"/>
      <c r="AI47"/>
      <c r="AJ47"/>
      <c r="AK47"/>
      <c r="AN47" s="1">
        <f>AM47*$AS$1</f>
        <v>0</v>
      </c>
      <c r="AR47" s="1">
        <f>AQ47*$AS$1</f>
        <v>0</v>
      </c>
      <c r="AV47" s="35"/>
      <c r="AZ47" s="1" t="s">
        <v>561</v>
      </c>
      <c r="BA47" s="1">
        <v>4.012</v>
      </c>
      <c r="BB47" s="1" t="s">
        <v>430</v>
      </c>
    </row>
    <row r="48" spans="2:54">
      <c r="B48"/>
      <c r="C48"/>
      <c r="E48"/>
      <c r="F48"/>
      <c r="H48"/>
      <c r="I48"/>
      <c r="K48"/>
      <c r="L48"/>
      <c r="M48"/>
      <c r="N48"/>
      <c r="O48"/>
      <c r="P48"/>
      <c r="Q48"/>
      <c r="R48"/>
      <c r="T48"/>
      <c r="U48"/>
      <c r="V48"/>
      <c r="W48"/>
      <c r="X48"/>
      <c r="Y48"/>
      <c r="Z48"/>
      <c r="AA48"/>
      <c r="AC48"/>
      <c r="AD48"/>
      <c r="AE48"/>
      <c r="AF48"/>
      <c r="AG48"/>
      <c r="AH48"/>
      <c r="AI48"/>
      <c r="AJ48"/>
      <c r="AK48"/>
      <c r="AN48" s="1">
        <f>AM48*$AS$1</f>
        <v>0</v>
      </c>
      <c r="AR48" s="1">
        <f>AQ48*$AS$1</f>
        <v>0</v>
      </c>
      <c r="AV48" s="35"/>
      <c r="AZ48" s="1" t="s">
        <v>562</v>
      </c>
      <c r="BA48" s="1">
        <v>3.644</v>
      </c>
      <c r="BB48" s="1" t="s">
        <v>430</v>
      </c>
    </row>
    <row r="49" spans="2:54">
      <c r="B49"/>
      <c r="C49"/>
      <c r="E49"/>
      <c r="F49"/>
      <c r="H49"/>
      <c r="I49"/>
      <c r="K49"/>
      <c r="L49"/>
      <c r="M49"/>
      <c r="N49"/>
      <c r="O49"/>
      <c r="P49"/>
      <c r="Q49"/>
      <c r="R49"/>
      <c r="T49"/>
      <c r="U49"/>
      <c r="V49"/>
      <c r="W49"/>
      <c r="X49"/>
      <c r="Y49"/>
      <c r="Z49"/>
      <c r="AA49"/>
      <c r="AC49"/>
      <c r="AD49"/>
      <c r="AE49"/>
      <c r="AF49"/>
      <c r="AG49"/>
      <c r="AH49"/>
      <c r="AI49"/>
      <c r="AJ49"/>
      <c r="AK49"/>
      <c r="AN49" s="1">
        <f>AM49*$AS$1</f>
        <v>0</v>
      </c>
      <c r="AR49" s="1">
        <f>AQ49*$AS$1</f>
        <v>0</v>
      </c>
      <c r="AV49" s="35"/>
      <c r="AZ49" s="1" t="s">
        <v>477</v>
      </c>
      <c r="BA49" s="1">
        <v>2.834</v>
      </c>
      <c r="BB49" s="1" t="s">
        <v>430</v>
      </c>
    </row>
    <row r="50" spans="2:54">
      <c r="B50"/>
      <c r="C50"/>
      <c r="E50"/>
      <c r="F50"/>
      <c r="H50"/>
      <c r="I50"/>
      <c r="K50"/>
      <c r="L50"/>
      <c r="M50"/>
      <c r="N50"/>
      <c r="O50"/>
      <c r="P50"/>
      <c r="Q50"/>
      <c r="R50"/>
      <c r="T50"/>
      <c r="U50"/>
      <c r="V50"/>
      <c r="W50"/>
      <c r="X50"/>
      <c r="Y50"/>
      <c r="Z50"/>
      <c r="AA50"/>
      <c r="AC50"/>
      <c r="AD50"/>
      <c r="AE50"/>
      <c r="AF50"/>
      <c r="AG50"/>
      <c r="AH50"/>
      <c r="AI50"/>
      <c r="AJ50"/>
      <c r="AK50"/>
      <c r="AN50" s="1">
        <f>AM50*$AS$1</f>
        <v>0</v>
      </c>
      <c r="AR50" s="1">
        <f>AQ50*$AS$1</f>
        <v>0</v>
      </c>
      <c r="AV50" s="35"/>
      <c r="AZ50" s="1" t="s">
        <v>563</v>
      </c>
      <c r="BA50" s="1">
        <v>3.031</v>
      </c>
      <c r="BB50" s="1" t="s">
        <v>430</v>
      </c>
    </row>
    <row r="51" spans="2:54">
      <c r="B51"/>
      <c r="C51"/>
      <c r="E51"/>
      <c r="F51"/>
      <c r="H51"/>
      <c r="I51"/>
      <c r="K51"/>
      <c r="L51"/>
      <c r="M51"/>
      <c r="N51"/>
      <c r="O51"/>
      <c r="P51"/>
      <c r="Q51"/>
      <c r="R51"/>
      <c r="T51"/>
      <c r="U51"/>
      <c r="V51"/>
      <c r="W51"/>
      <c r="X51"/>
      <c r="Y51"/>
      <c r="Z51"/>
      <c r="AA51"/>
      <c r="AC51"/>
      <c r="AD51"/>
      <c r="AE51"/>
      <c r="AF51"/>
      <c r="AG51"/>
      <c r="AH51"/>
      <c r="AI51"/>
      <c r="AJ51"/>
      <c r="AK51"/>
      <c r="AN51" s="1">
        <f>AM51*$AS$1</f>
        <v>0</v>
      </c>
      <c r="AR51" s="1">
        <f>AQ51*$AS$1</f>
        <v>0</v>
      </c>
      <c r="AV51" s="35"/>
      <c r="AZ51" s="1" t="s">
        <v>527</v>
      </c>
      <c r="BA51" s="1">
        <v>2.689</v>
      </c>
      <c r="BB51" s="1" t="s">
        <v>430</v>
      </c>
    </row>
    <row r="52" spans="2:54">
      <c r="B52"/>
      <c r="C52"/>
      <c r="E52"/>
      <c r="F52"/>
      <c r="H52"/>
      <c r="I52"/>
      <c r="K52"/>
      <c r="L52"/>
      <c r="M52"/>
      <c r="N52"/>
      <c r="O52"/>
      <c r="P52"/>
      <c r="Q52"/>
      <c r="R52"/>
      <c r="T52"/>
      <c r="U52"/>
      <c r="V52"/>
      <c r="W52"/>
      <c r="X52"/>
      <c r="Y52"/>
      <c r="Z52"/>
      <c r="AA52"/>
      <c r="AC52"/>
      <c r="AD52"/>
      <c r="AE52"/>
      <c r="AF52"/>
      <c r="AG52"/>
      <c r="AH52"/>
      <c r="AI52"/>
      <c r="AJ52"/>
      <c r="AK52"/>
      <c r="AN52" s="1">
        <f>AM52*$AS$1</f>
        <v>0</v>
      </c>
      <c r="AR52" s="1">
        <f>AQ52*$AS$1</f>
        <v>0</v>
      </c>
      <c r="AV52" s="35"/>
      <c r="AZ52" s="1" t="s">
        <v>564</v>
      </c>
      <c r="BA52" s="1">
        <v>2.937</v>
      </c>
      <c r="BB52" s="1" t="s">
        <v>430</v>
      </c>
    </row>
    <row r="53" spans="2:54">
      <c r="B53"/>
      <c r="C53"/>
      <c r="E53"/>
      <c r="F53"/>
      <c r="H53"/>
      <c r="I53"/>
      <c r="K53"/>
      <c r="L53"/>
      <c r="M53"/>
      <c r="N53"/>
      <c r="O53"/>
      <c r="P53"/>
      <c r="Q53"/>
      <c r="R53"/>
      <c r="T53"/>
      <c r="U53"/>
      <c r="V53"/>
      <c r="W53"/>
      <c r="X53"/>
      <c r="Y53"/>
      <c r="Z53"/>
      <c r="AA53"/>
      <c r="AC53"/>
      <c r="AD53"/>
      <c r="AE53"/>
      <c r="AF53"/>
      <c r="AG53"/>
      <c r="AH53"/>
      <c r="AI53"/>
      <c r="AJ53"/>
      <c r="AK53"/>
      <c r="AN53" s="1">
        <f>AM53*$AS$1</f>
        <v>0</v>
      </c>
      <c r="AR53" s="1">
        <f>AQ53*$AS$1</f>
        <v>0</v>
      </c>
      <c r="AV53" s="35"/>
      <c r="AZ53" s="1" t="s">
        <v>565</v>
      </c>
      <c r="BA53" s="1">
        <v>2.65</v>
      </c>
      <c r="BB53" s="1" t="s">
        <v>430</v>
      </c>
    </row>
    <row r="54" spans="2:54">
      <c r="B54"/>
      <c r="C54"/>
      <c r="E54"/>
      <c r="F54"/>
      <c r="H54"/>
      <c r="I54"/>
      <c r="K54"/>
      <c r="L54"/>
      <c r="M54"/>
      <c r="N54"/>
      <c r="O54"/>
      <c r="P54"/>
      <c r="Q54"/>
      <c r="R54"/>
      <c r="T54"/>
      <c r="U54"/>
      <c r="V54"/>
      <c r="W54"/>
      <c r="X54"/>
      <c r="Y54"/>
      <c r="Z54"/>
      <c r="AA54"/>
      <c r="AC54"/>
      <c r="AD54"/>
      <c r="AE54"/>
      <c r="AF54"/>
      <c r="AG54"/>
      <c r="AH54"/>
      <c r="AI54"/>
      <c r="AJ54"/>
      <c r="AK54"/>
      <c r="AN54" s="1">
        <f>AM54*$AS$1</f>
        <v>0</v>
      </c>
      <c r="AR54" s="1">
        <f>AQ54*$AS$1</f>
        <v>0</v>
      </c>
      <c r="AV54" s="35"/>
      <c r="AZ54" s="1" t="s">
        <v>566</v>
      </c>
      <c r="BA54" s="1">
        <v>6.12</v>
      </c>
      <c r="BB54" s="1" t="s">
        <v>430</v>
      </c>
    </row>
    <row r="55" spans="2:54">
      <c r="B55"/>
      <c r="C55"/>
      <c r="E55"/>
      <c r="F55"/>
      <c r="H55"/>
      <c r="I55"/>
      <c r="K55"/>
      <c r="L55"/>
      <c r="M55"/>
      <c r="N55"/>
      <c r="O55"/>
      <c r="P55"/>
      <c r="Q55"/>
      <c r="R55"/>
      <c r="T55"/>
      <c r="U55"/>
      <c r="V55"/>
      <c r="W55"/>
      <c r="X55"/>
      <c r="Y55"/>
      <c r="Z55"/>
      <c r="AA55"/>
      <c r="AC55"/>
      <c r="AD55"/>
      <c r="AE55"/>
      <c r="AF55"/>
      <c r="AG55"/>
      <c r="AH55"/>
      <c r="AI55"/>
      <c r="AJ55"/>
      <c r="AK55"/>
      <c r="AN55" s="1">
        <f>AM55*$AS$1</f>
        <v>0</v>
      </c>
      <c r="AR55" s="1">
        <f>AQ55*$AS$1</f>
        <v>0</v>
      </c>
      <c r="AV55" s="35"/>
      <c r="AZ55" s="1" t="s">
        <v>567</v>
      </c>
      <c r="BA55" s="1">
        <v>6.12</v>
      </c>
      <c r="BB55" s="1" t="s">
        <v>430</v>
      </c>
    </row>
    <row r="56" spans="2:54">
      <c r="B56"/>
      <c r="C56"/>
      <c r="E56"/>
      <c r="F56"/>
      <c r="H56"/>
      <c r="I56"/>
      <c r="K56"/>
      <c r="L56"/>
      <c r="M56"/>
      <c r="N56"/>
      <c r="O56"/>
      <c r="P56"/>
      <c r="Q56"/>
      <c r="R56"/>
      <c r="T56"/>
      <c r="U56"/>
      <c r="V56"/>
      <c r="W56"/>
      <c r="X56"/>
      <c r="Y56"/>
      <c r="Z56"/>
      <c r="AA56"/>
      <c r="AC56"/>
      <c r="AD56"/>
      <c r="AE56"/>
      <c r="AF56"/>
      <c r="AG56"/>
      <c r="AH56"/>
      <c r="AI56"/>
      <c r="AJ56"/>
      <c r="AK56"/>
      <c r="AN56" s="1">
        <f>AM56*$AS$1</f>
        <v>0</v>
      </c>
      <c r="AR56" s="1">
        <f>AQ56*$AS$1</f>
        <v>0</v>
      </c>
      <c r="AV56" s="35"/>
      <c r="AZ56" s="1" t="s">
        <v>480</v>
      </c>
      <c r="BA56" s="1">
        <v>6.12</v>
      </c>
      <c r="BB56" s="1" t="s">
        <v>430</v>
      </c>
    </row>
    <row r="57" spans="2:54">
      <c r="B57"/>
      <c r="C57"/>
      <c r="E57"/>
      <c r="F57"/>
      <c r="H57"/>
      <c r="I57"/>
      <c r="K57"/>
      <c r="L57"/>
      <c r="M57"/>
      <c r="N57"/>
      <c r="O57"/>
      <c r="P57"/>
      <c r="Q57"/>
      <c r="R57"/>
      <c r="T57"/>
      <c r="U57"/>
      <c r="V57"/>
      <c r="W57"/>
      <c r="X57"/>
      <c r="Y57"/>
      <c r="Z57"/>
      <c r="AA57"/>
      <c r="AC57"/>
      <c r="AD57"/>
      <c r="AE57"/>
      <c r="AF57"/>
      <c r="AG57"/>
      <c r="AH57"/>
      <c r="AI57"/>
      <c r="AJ57"/>
      <c r="AK57"/>
      <c r="AN57" s="1">
        <f>AM57*$AS$1</f>
        <v>0</v>
      </c>
      <c r="AR57" s="1">
        <f>AQ57*$AS$1</f>
        <v>0</v>
      </c>
      <c r="AV57" s="35"/>
      <c r="AZ57" s="1" t="s">
        <v>568</v>
      </c>
      <c r="BA57" s="1">
        <v>6.12</v>
      </c>
      <c r="BB57" s="1" t="s">
        <v>430</v>
      </c>
    </row>
    <row r="58" spans="2:54">
      <c r="B58"/>
      <c r="C58"/>
      <c r="E58"/>
      <c r="F58"/>
      <c r="H58"/>
      <c r="I58"/>
      <c r="K58"/>
      <c r="L58"/>
      <c r="M58"/>
      <c r="N58"/>
      <c r="O58"/>
      <c r="P58"/>
      <c r="Q58"/>
      <c r="R58"/>
      <c r="T58"/>
      <c r="U58"/>
      <c r="V58"/>
      <c r="W58"/>
      <c r="X58"/>
      <c r="Y58"/>
      <c r="Z58"/>
      <c r="AA58"/>
      <c r="AC58"/>
      <c r="AD58"/>
      <c r="AE58"/>
      <c r="AF58"/>
      <c r="AG58"/>
      <c r="AH58"/>
      <c r="AI58"/>
      <c r="AJ58"/>
      <c r="AK58"/>
      <c r="AN58" s="1">
        <f>AM58*$AS$1</f>
        <v>0</v>
      </c>
      <c r="AR58" s="1">
        <f>AQ58*$AS$1</f>
        <v>0</v>
      </c>
      <c r="AV58" s="35"/>
      <c r="AZ58" s="1" t="s">
        <v>569</v>
      </c>
      <c r="BA58" s="1">
        <v>6.12</v>
      </c>
      <c r="BB58" s="1" t="s">
        <v>430</v>
      </c>
    </row>
    <row r="59" spans="2:54">
      <c r="B59"/>
      <c r="C59"/>
      <c r="E59"/>
      <c r="F59"/>
      <c r="H59"/>
      <c r="I59"/>
      <c r="Q59" s="1"/>
      <c r="R59" s="1"/>
      <c r="T59"/>
      <c r="U59"/>
      <c r="V59"/>
      <c r="W59"/>
      <c r="X59"/>
      <c r="Y59"/>
      <c r="Z59"/>
      <c r="AA59"/>
      <c r="AC59"/>
      <c r="AD59"/>
      <c r="AE59"/>
      <c r="AF59"/>
      <c r="AG59"/>
      <c r="AH59"/>
      <c r="AI59"/>
      <c r="AJ59"/>
      <c r="AK59"/>
      <c r="AN59" s="1">
        <f>AM59*$AS$1</f>
        <v>0</v>
      </c>
      <c r="AR59" s="1">
        <f>AQ59*$AS$1</f>
        <v>0</v>
      </c>
      <c r="AV59" s="35"/>
      <c r="AZ59" s="1" t="s">
        <v>511</v>
      </c>
      <c r="BA59" s="1">
        <v>5.867</v>
      </c>
      <c r="BB59" s="1" t="s">
        <v>430</v>
      </c>
    </row>
    <row r="60" spans="2:54">
      <c r="B60"/>
      <c r="C60"/>
      <c r="E60"/>
      <c r="F60"/>
      <c r="H60"/>
      <c r="I60"/>
      <c r="Q60" s="1"/>
      <c r="R60" s="1"/>
      <c r="T60"/>
      <c r="U60"/>
      <c r="V60"/>
      <c r="W60"/>
      <c r="X60"/>
      <c r="Y60"/>
      <c r="Z60"/>
      <c r="AA60"/>
      <c r="AC60"/>
      <c r="AD60"/>
      <c r="AE60"/>
      <c r="AF60"/>
      <c r="AG60"/>
      <c r="AH60"/>
      <c r="AI60"/>
      <c r="AJ60"/>
      <c r="AK60"/>
      <c r="AN60" s="1">
        <f>AM60*$AS$1</f>
        <v>0</v>
      </c>
      <c r="AR60" s="1">
        <f>AQ60*$AS$1</f>
        <v>0</v>
      </c>
      <c r="AV60" s="35"/>
      <c r="AZ60" s="1" t="s">
        <v>570</v>
      </c>
      <c r="BA60" s="1">
        <v>5.391</v>
      </c>
      <c r="BB60" s="1" t="s">
        <v>430</v>
      </c>
    </row>
    <row r="61" spans="2:54">
      <c r="B61"/>
      <c r="C61"/>
      <c r="E61"/>
      <c r="F61"/>
      <c r="H61"/>
      <c r="I61"/>
      <c r="Q61" s="1"/>
      <c r="R61" s="1"/>
      <c r="T61"/>
      <c r="U61"/>
      <c r="V61"/>
      <c r="W61"/>
      <c r="X61"/>
      <c r="Y61"/>
      <c r="Z61"/>
      <c r="AA61"/>
      <c r="AC61"/>
      <c r="AD61"/>
      <c r="AE61"/>
      <c r="AF61"/>
      <c r="AG61"/>
      <c r="AH61"/>
      <c r="AI61"/>
      <c r="AJ61"/>
      <c r="AK61"/>
      <c r="AN61" s="1">
        <f>AM61*$AS$1</f>
        <v>0</v>
      </c>
      <c r="AR61" s="1">
        <f>AQ61*$AS$1</f>
        <v>0</v>
      </c>
      <c r="AV61" s="35"/>
      <c r="AZ61" s="1" t="s">
        <v>571</v>
      </c>
      <c r="BA61" s="1">
        <v>5.583</v>
      </c>
      <c r="BB61" s="1" t="s">
        <v>430</v>
      </c>
    </row>
    <row r="62" spans="2:54">
      <c r="B62"/>
      <c r="C62"/>
      <c r="E62"/>
      <c r="F62"/>
      <c r="H62"/>
      <c r="I62"/>
      <c r="Q62" s="1"/>
      <c r="R62" s="1"/>
      <c r="T62"/>
      <c r="U62"/>
      <c r="V62"/>
      <c r="W62"/>
      <c r="X62"/>
      <c r="Y62"/>
      <c r="Z62"/>
      <c r="AA62"/>
      <c r="AC62"/>
      <c r="AD62"/>
      <c r="AE62"/>
      <c r="AF62"/>
      <c r="AG62"/>
      <c r="AH62"/>
      <c r="AI62"/>
      <c r="AJ62"/>
      <c r="AK62"/>
      <c r="AN62" s="1">
        <f>AM62*$AS$1</f>
        <v>0</v>
      </c>
      <c r="AR62" s="1">
        <f>AQ62*$AS$1</f>
        <v>0</v>
      </c>
      <c r="AV62" s="35"/>
      <c r="AZ62" s="1" t="s">
        <v>572</v>
      </c>
      <c r="BA62" s="1">
        <v>5.528</v>
      </c>
      <c r="BB62" s="1" t="s">
        <v>430</v>
      </c>
    </row>
    <row r="63" spans="2:54">
      <c r="B63"/>
      <c r="C63"/>
      <c r="E63"/>
      <c r="F63"/>
      <c r="H63"/>
      <c r="I63"/>
      <c r="Q63" s="1"/>
      <c r="R63" s="1"/>
      <c r="Z63" s="1"/>
      <c r="AA63" s="1"/>
      <c r="AC63"/>
      <c r="AD63"/>
      <c r="AE63"/>
      <c r="AF63"/>
      <c r="AG63"/>
      <c r="AH63"/>
      <c r="AI63"/>
      <c r="AJ63"/>
      <c r="AK63"/>
      <c r="AN63" s="1">
        <f>AM63*$AS$1</f>
        <v>0</v>
      </c>
      <c r="AR63" s="1">
        <f>AQ63*$AS$1</f>
        <v>0</v>
      </c>
      <c r="AV63" s="35"/>
      <c r="AZ63" s="1" t="s">
        <v>573</v>
      </c>
      <c r="BA63" s="1">
        <v>6.459</v>
      </c>
      <c r="BB63" s="1" t="s">
        <v>430</v>
      </c>
    </row>
    <row r="64" spans="2:54">
      <c r="B64"/>
      <c r="C64"/>
      <c r="E64"/>
      <c r="F64"/>
      <c r="H64"/>
      <c r="I64"/>
      <c r="Q64" s="1"/>
      <c r="R64" s="1"/>
      <c r="Z64" s="1"/>
      <c r="AA64" s="1"/>
      <c r="AC64"/>
      <c r="AD64"/>
      <c r="AE64"/>
      <c r="AF64"/>
      <c r="AG64"/>
      <c r="AH64"/>
      <c r="AI64"/>
      <c r="AJ64"/>
      <c r="AK64"/>
      <c r="AN64" s="1">
        <f>AM64*$AS$1</f>
        <v>0</v>
      </c>
      <c r="AR64" s="1">
        <f>AQ64*$AS$1</f>
        <v>0</v>
      </c>
      <c r="AV64" s="35"/>
      <c r="AZ64" s="1" t="s">
        <v>574</v>
      </c>
      <c r="BA64" s="1">
        <v>4.901</v>
      </c>
      <c r="BB64" s="1" t="s">
        <v>430</v>
      </c>
    </row>
    <row r="65" spans="2:54">
      <c r="B65"/>
      <c r="C65"/>
      <c r="E65"/>
      <c r="F65"/>
      <c r="H65"/>
      <c r="I65"/>
      <c r="Q65" s="1"/>
      <c r="R65" s="1"/>
      <c r="Z65" s="1"/>
      <c r="AA65" s="1"/>
      <c r="AC65"/>
      <c r="AD65"/>
      <c r="AE65"/>
      <c r="AF65"/>
      <c r="AG65"/>
      <c r="AH65"/>
      <c r="AI65"/>
      <c r="AJ65"/>
      <c r="AK65"/>
      <c r="AN65" s="1">
        <f>AM65*$AS$1</f>
        <v>0</v>
      </c>
      <c r="AR65" s="1">
        <f>AQ65*$AS$1</f>
        <v>0</v>
      </c>
      <c r="AV65" s="35"/>
      <c r="AZ65" s="1" t="s">
        <v>575</v>
      </c>
      <c r="BA65" s="1">
        <v>4.901</v>
      </c>
      <c r="BB65" s="1" t="s">
        <v>430</v>
      </c>
    </row>
    <row r="66" spans="2:54">
      <c r="B66"/>
      <c r="C66"/>
      <c r="E66"/>
      <c r="F66"/>
      <c r="H66"/>
      <c r="I66"/>
      <c r="Q66" s="1"/>
      <c r="R66" s="1"/>
      <c r="Z66" s="1"/>
      <c r="AA66" s="1"/>
      <c r="AC66"/>
      <c r="AD66"/>
      <c r="AE66"/>
      <c r="AF66"/>
      <c r="AG66"/>
      <c r="AH66"/>
      <c r="AI66"/>
      <c r="AJ66"/>
      <c r="AK66"/>
      <c r="AN66" s="1">
        <f>AM66*$AS$1</f>
        <v>0</v>
      </c>
      <c r="AR66" s="1">
        <f>AQ66*$AS$1</f>
        <v>0</v>
      </c>
      <c r="AV66" s="35"/>
      <c r="AZ66" s="1" t="s">
        <v>576</v>
      </c>
      <c r="BA66" s="1">
        <v>4.901</v>
      </c>
      <c r="BB66" s="1" t="s">
        <v>430</v>
      </c>
    </row>
    <row r="67" spans="2:54">
      <c r="B67"/>
      <c r="C67"/>
      <c r="E67"/>
      <c r="F67"/>
      <c r="H67"/>
      <c r="I67"/>
      <c r="Z67" s="1"/>
      <c r="AA67" s="1"/>
      <c r="AC67"/>
      <c r="AD67"/>
      <c r="AE67"/>
      <c r="AF67"/>
      <c r="AG67"/>
      <c r="AH67"/>
      <c r="AI67"/>
      <c r="AJ67"/>
      <c r="AK67"/>
      <c r="AN67" s="1">
        <f>AM67*$AS$1</f>
        <v>0</v>
      </c>
      <c r="AR67" s="1">
        <f>AQ67*$AS$1</f>
        <v>0</v>
      </c>
      <c r="AV67" s="35"/>
      <c r="AZ67" s="1" t="s">
        <v>532</v>
      </c>
      <c r="BA67" s="1">
        <v>6.796</v>
      </c>
      <c r="BB67" s="1" t="s">
        <v>430</v>
      </c>
    </row>
    <row r="68" spans="2:54">
      <c r="B68"/>
      <c r="C68"/>
      <c r="E68"/>
      <c r="F68"/>
      <c r="H68"/>
      <c r="I68"/>
      <c r="Z68" s="1"/>
      <c r="AA68" s="1"/>
      <c r="AC68"/>
      <c r="AD68"/>
      <c r="AE68"/>
      <c r="AF68"/>
      <c r="AG68"/>
      <c r="AH68"/>
      <c r="AI68"/>
      <c r="AJ68"/>
      <c r="AK68"/>
      <c r="AN68" s="1">
        <f>AM68*$AS$1</f>
        <v>0</v>
      </c>
      <c r="AR68" s="1">
        <f>AQ68*$AS$1</f>
        <v>0</v>
      </c>
      <c r="AV68" s="35"/>
      <c r="AZ68" s="1" t="s">
        <v>577</v>
      </c>
      <c r="BA68" s="1">
        <v>4.87</v>
      </c>
      <c r="BB68" s="1" t="s">
        <v>430</v>
      </c>
    </row>
    <row r="69" spans="2:54">
      <c r="B69"/>
      <c r="C69"/>
      <c r="E69"/>
      <c r="F69"/>
      <c r="H69"/>
      <c r="I69"/>
      <c r="Z69" s="1"/>
      <c r="AA69" s="1"/>
      <c r="AC69"/>
      <c r="AD69"/>
      <c r="AE69"/>
      <c r="AF69"/>
      <c r="AG69"/>
      <c r="AH69"/>
      <c r="AI69"/>
      <c r="AJ69"/>
      <c r="AK69"/>
      <c r="AN69" s="1">
        <f>AM69*$AS$1</f>
        <v>0</v>
      </c>
      <c r="AR69" s="1">
        <f>AQ69*$AS$1</f>
        <v>0</v>
      </c>
      <c r="AV69" s="35"/>
      <c r="AZ69" s="1" t="s">
        <v>509</v>
      </c>
      <c r="BA69" s="1">
        <v>6.73</v>
      </c>
      <c r="BB69" s="1" t="s">
        <v>430</v>
      </c>
    </row>
    <row r="70" spans="2:54">
      <c r="B70"/>
      <c r="C70"/>
      <c r="E70"/>
      <c r="F70"/>
      <c r="H70"/>
      <c r="I70"/>
      <c r="AC70"/>
      <c r="AD70"/>
      <c r="AE70"/>
      <c r="AF70"/>
      <c r="AG70"/>
      <c r="AH70"/>
      <c r="AI70"/>
      <c r="AJ70"/>
      <c r="AK70"/>
      <c r="AN70" s="1">
        <f>AM70*$AS$1</f>
        <v>0</v>
      </c>
      <c r="AR70" s="1">
        <f>AQ70*$AS$1</f>
        <v>0</v>
      </c>
      <c r="AV70" s="35"/>
      <c r="AZ70" s="1" t="s">
        <v>486</v>
      </c>
      <c r="BA70" s="1">
        <v>4.908</v>
      </c>
      <c r="BB70" s="1" t="s">
        <v>430</v>
      </c>
    </row>
    <row r="71" spans="2:54">
      <c r="B71"/>
      <c r="C71"/>
      <c r="E71"/>
      <c r="F71"/>
      <c r="H71"/>
      <c r="I71"/>
      <c r="AC71"/>
      <c r="AD71"/>
      <c r="AE71"/>
      <c r="AF71"/>
      <c r="AG71"/>
      <c r="AH71"/>
      <c r="AI71"/>
      <c r="AJ71"/>
      <c r="AK71"/>
      <c r="AN71" s="1">
        <f>AM71*$AS$1</f>
        <v>0</v>
      </c>
      <c r="AR71" s="1">
        <f>AQ71*$AS$1</f>
        <v>0</v>
      </c>
      <c r="AV71" s="35"/>
      <c r="AZ71" s="1" t="s">
        <v>535</v>
      </c>
      <c r="BA71" s="1">
        <v>4.908</v>
      </c>
      <c r="BB71" s="1" t="s">
        <v>430</v>
      </c>
    </row>
    <row r="72" spans="2:54">
      <c r="B72"/>
      <c r="C72"/>
      <c r="E72"/>
      <c r="F72"/>
      <c r="H72"/>
      <c r="I72"/>
      <c r="AI72" s="1"/>
      <c r="AJ72" s="1"/>
      <c r="AK72" s="1"/>
      <c r="AN72" s="1">
        <f>AM72*$AS$1</f>
        <v>0</v>
      </c>
      <c r="AR72" s="1">
        <f>AQ72*$AS$1</f>
        <v>0</v>
      </c>
      <c r="AV72" s="35"/>
      <c r="AZ72" s="1" t="s">
        <v>483</v>
      </c>
      <c r="BA72" s="1">
        <v>4.908</v>
      </c>
      <c r="BB72" s="1" t="s">
        <v>430</v>
      </c>
    </row>
    <row r="73" spans="2:54">
      <c r="B73"/>
      <c r="C73"/>
      <c r="E73"/>
      <c r="F73"/>
      <c r="H73"/>
      <c r="I73"/>
      <c r="AI73" s="1"/>
      <c r="AJ73" s="1"/>
      <c r="AK73" s="1"/>
      <c r="AN73" s="1">
        <f>AM73*$AS$1</f>
        <v>0</v>
      </c>
      <c r="AR73" s="1">
        <f>AQ73*$AS$1</f>
        <v>0</v>
      </c>
      <c r="AV73" s="35"/>
      <c r="AZ73" s="1" t="s">
        <v>489</v>
      </c>
      <c r="BA73" s="1">
        <v>4.908</v>
      </c>
      <c r="BB73" s="1" t="s">
        <v>430</v>
      </c>
    </row>
    <row r="74" spans="2:54">
      <c r="B74"/>
      <c r="C74"/>
      <c r="E74"/>
      <c r="F74"/>
      <c r="H74"/>
      <c r="I74"/>
      <c r="AI74" s="1"/>
      <c r="AJ74" s="1"/>
      <c r="AK74" s="1"/>
      <c r="AN74" s="1">
        <f>AM74*$AS$1</f>
        <v>0</v>
      </c>
      <c r="AR74" s="1">
        <f>AQ74*$AS$1</f>
        <v>0</v>
      </c>
      <c r="AV74" s="35"/>
      <c r="AZ74" s="1" t="s">
        <v>506</v>
      </c>
      <c r="BA74" s="1">
        <v>6.806</v>
      </c>
      <c r="BB74" s="1" t="s">
        <v>430</v>
      </c>
    </row>
    <row r="75" spans="2:54">
      <c r="B75"/>
      <c r="C75"/>
      <c r="E75"/>
      <c r="F75"/>
      <c r="H75"/>
      <c r="I75"/>
      <c r="AI75" s="1"/>
      <c r="AJ75" s="1"/>
      <c r="AK75" s="1"/>
      <c r="AN75" s="1">
        <f>AM75*$AS$1</f>
        <v>0</v>
      </c>
      <c r="AR75" s="1">
        <f>AQ75*$AS$1</f>
        <v>0</v>
      </c>
      <c r="AV75" s="35"/>
      <c r="AZ75" s="1" t="s">
        <v>578</v>
      </c>
      <c r="BA75" s="1">
        <v>4.911</v>
      </c>
      <c r="BB75" s="1" t="s">
        <v>430</v>
      </c>
    </row>
    <row r="76" spans="2:54">
      <c r="B76"/>
      <c r="C76"/>
      <c r="E76"/>
      <c r="F76"/>
      <c r="H76"/>
      <c r="I76"/>
      <c r="AI76" s="1"/>
      <c r="AJ76" s="1"/>
      <c r="AK76" s="1"/>
      <c r="AN76" s="1">
        <f>AM76*$AS$1</f>
        <v>0</v>
      </c>
      <c r="AR76" s="1">
        <f>AQ76*$AS$1</f>
        <v>0</v>
      </c>
      <c r="AV76" s="35"/>
      <c r="AZ76" s="1" t="s">
        <v>495</v>
      </c>
      <c r="BA76" s="1">
        <v>4.908</v>
      </c>
      <c r="BB76" s="1" t="s">
        <v>430</v>
      </c>
    </row>
    <row r="77" spans="2:54">
      <c r="B77"/>
      <c r="C77"/>
      <c r="E77"/>
      <c r="F77"/>
      <c r="H77"/>
      <c r="I77"/>
      <c r="AI77" s="1"/>
      <c r="AJ77" s="1"/>
      <c r="AK77" s="1"/>
      <c r="AN77" s="1">
        <f>AM77*$AS$1</f>
        <v>0</v>
      </c>
      <c r="AR77" s="1">
        <f>AQ77*$AS$1</f>
        <v>0</v>
      </c>
      <c r="AV77" s="35"/>
      <c r="AZ77" s="1" t="s">
        <v>492</v>
      </c>
      <c r="BA77" s="1">
        <v>7.012</v>
      </c>
      <c r="BB77" s="1" t="s">
        <v>430</v>
      </c>
    </row>
    <row r="78" spans="2:54">
      <c r="B78"/>
      <c r="C78"/>
      <c r="E78"/>
      <c r="F78"/>
      <c r="H78"/>
      <c r="I78"/>
      <c r="AI78" s="1"/>
      <c r="AJ78" s="1"/>
      <c r="AK78" s="1"/>
      <c r="AN78" s="1">
        <f>AM78*$AS$1</f>
        <v>0</v>
      </c>
      <c r="AR78" s="1">
        <f>AQ78*$AS$1</f>
        <v>0</v>
      </c>
      <c r="AV78" s="35"/>
      <c r="AZ78" s="1" t="s">
        <v>579</v>
      </c>
      <c r="BA78" s="1">
        <v>4.955</v>
      </c>
      <c r="BB78" s="1" t="s">
        <v>430</v>
      </c>
    </row>
    <row r="79" spans="2:54">
      <c r="B79"/>
      <c r="C79"/>
      <c r="E79"/>
      <c r="F79"/>
      <c r="H79"/>
      <c r="I79"/>
      <c r="AN79" s="1">
        <f>AM79*$AS$1</f>
        <v>0</v>
      </c>
      <c r="AR79" s="1">
        <f>AQ79*$AS$1</f>
        <v>0</v>
      </c>
      <c r="AV79" s="35"/>
      <c r="AZ79" s="1" t="s">
        <v>580</v>
      </c>
      <c r="BA79" s="1">
        <v>6.73</v>
      </c>
      <c r="BB79" s="1" t="s">
        <v>430</v>
      </c>
    </row>
    <row r="80" spans="2:54">
      <c r="B80"/>
      <c r="C80"/>
      <c r="E80"/>
      <c r="F80"/>
      <c r="H80"/>
      <c r="I80"/>
      <c r="AN80" s="1">
        <f>AM80*$AS$1</f>
        <v>0</v>
      </c>
      <c r="AR80" s="1">
        <f>AQ80*$AS$1</f>
        <v>0</v>
      </c>
      <c r="AV80" s="35"/>
      <c r="AZ80" s="1" t="s">
        <v>581</v>
      </c>
      <c r="BA80" s="1">
        <v>4.908</v>
      </c>
      <c r="BB80" s="1" t="s">
        <v>430</v>
      </c>
    </row>
    <row r="81" spans="2:54">
      <c r="B81"/>
      <c r="C81"/>
      <c r="E81"/>
      <c r="F81"/>
      <c r="H81"/>
      <c r="I81"/>
      <c r="AN81" s="1">
        <f>AM81*$AS$1</f>
        <v>0</v>
      </c>
      <c r="AR81" s="1">
        <f>AQ81*$AS$1</f>
        <v>0</v>
      </c>
      <c r="AV81" s="35"/>
      <c r="AZ81" s="1" t="s">
        <v>582</v>
      </c>
      <c r="BA81" s="1">
        <v>4.666</v>
      </c>
      <c r="BB81" s="1" t="s">
        <v>430</v>
      </c>
    </row>
    <row r="82" spans="2:54">
      <c r="B82"/>
      <c r="C82"/>
      <c r="E82"/>
      <c r="F82"/>
      <c r="H82"/>
      <c r="I82"/>
      <c r="AN82" s="1">
        <f>AM82*$AS$1</f>
        <v>0</v>
      </c>
      <c r="AR82" s="1">
        <f>AQ82*$AS$1</f>
        <v>0</v>
      </c>
      <c r="AV82" s="35"/>
      <c r="AZ82" s="1" t="s">
        <v>583</v>
      </c>
      <c r="BA82" s="1">
        <v>4.908</v>
      </c>
      <c r="BB82" s="1" t="s">
        <v>430</v>
      </c>
    </row>
    <row r="83" spans="2:54">
      <c r="B83"/>
      <c r="C83"/>
      <c r="E83"/>
      <c r="F83"/>
      <c r="H83"/>
      <c r="I83"/>
      <c r="AN83" s="1">
        <f>AM83*$AS$1</f>
        <v>0</v>
      </c>
      <c r="AR83" s="1">
        <f>AQ83*$AS$1</f>
        <v>0</v>
      </c>
      <c r="AV83" s="35"/>
      <c r="AZ83" s="1" t="s">
        <v>584</v>
      </c>
      <c r="BA83" s="1">
        <v>7.012</v>
      </c>
      <c r="BB83" s="1" t="s">
        <v>430</v>
      </c>
    </row>
    <row r="84" spans="2:54">
      <c r="B84"/>
      <c r="C84"/>
      <c r="E84"/>
      <c r="F84"/>
      <c r="H84"/>
      <c r="I84"/>
      <c r="AN84" s="1">
        <f>AM84*$AS$1</f>
        <v>0</v>
      </c>
      <c r="AR84" s="1">
        <f>AQ84*$AS$1</f>
        <v>0</v>
      </c>
      <c r="AV84" s="35"/>
      <c r="AZ84" s="1" t="s">
        <v>528</v>
      </c>
      <c r="BA84" s="1">
        <v>7.239</v>
      </c>
      <c r="BB84" s="1" t="s">
        <v>430</v>
      </c>
    </row>
    <row r="85" spans="2:54">
      <c r="B85"/>
      <c r="C85"/>
      <c r="E85"/>
      <c r="F85"/>
      <c r="H85"/>
      <c r="I85"/>
      <c r="AN85" s="1">
        <f>AM85*$AS$1</f>
        <v>0</v>
      </c>
      <c r="AR85" s="1">
        <f>AQ85*$AS$1</f>
        <v>0</v>
      </c>
      <c r="AV85" s="35"/>
      <c r="AZ85" s="1" t="s">
        <v>518</v>
      </c>
      <c r="BA85" s="1">
        <v>5.067</v>
      </c>
      <c r="BB85" s="1" t="s">
        <v>430</v>
      </c>
    </row>
    <row r="86" spans="2:54">
      <c r="B86"/>
      <c r="C86"/>
      <c r="E86"/>
      <c r="F86"/>
      <c r="H86"/>
      <c r="I86"/>
      <c r="AN86" s="1">
        <f>AM86*$AS$1</f>
        <v>0</v>
      </c>
      <c r="AR86" s="1">
        <f>AQ86*$AS$1</f>
        <v>0</v>
      </c>
      <c r="AV86" s="35"/>
      <c r="AZ86" s="1" t="s">
        <v>530</v>
      </c>
      <c r="BA86" s="1">
        <v>4.78</v>
      </c>
      <c r="BB86" s="1" t="s">
        <v>430</v>
      </c>
    </row>
    <row r="87" spans="2:54">
      <c r="B87"/>
      <c r="C87"/>
      <c r="E87"/>
      <c r="F87"/>
      <c r="H87"/>
      <c r="I87"/>
      <c r="AN87" s="1">
        <f>AM87*$AS$1</f>
        <v>0</v>
      </c>
      <c r="AV87" s="35"/>
      <c r="AZ87" s="1" t="s">
        <v>515</v>
      </c>
      <c r="BA87" s="1">
        <v>7.228</v>
      </c>
      <c r="BB87" s="1" t="s">
        <v>430</v>
      </c>
    </row>
    <row r="88" spans="2:54">
      <c r="B88"/>
      <c r="C88"/>
      <c r="E88"/>
      <c r="F88"/>
      <c r="H88"/>
      <c r="I88"/>
      <c r="AN88" s="1">
        <f>AM88*$AS$1</f>
        <v>0</v>
      </c>
      <c r="AV88" s="35"/>
      <c r="AZ88" s="1" t="s">
        <v>585</v>
      </c>
      <c r="BA88" s="1">
        <v>4.886</v>
      </c>
      <c r="BB88" s="1" t="s">
        <v>430</v>
      </c>
    </row>
    <row r="89" spans="2:54">
      <c r="B89"/>
      <c r="C89"/>
      <c r="E89"/>
      <c r="F89"/>
      <c r="H89"/>
      <c r="I89"/>
      <c r="AN89" s="1">
        <f>AM89*$AS$1</f>
        <v>0</v>
      </c>
      <c r="AV89" s="35"/>
      <c r="AZ89" s="1" t="s">
        <v>501</v>
      </c>
      <c r="BA89" s="1">
        <v>25.574</v>
      </c>
      <c r="BB89" s="1" t="s">
        <v>430</v>
      </c>
    </row>
    <row r="90" spans="2:54">
      <c r="B90"/>
      <c r="C90"/>
      <c r="E90"/>
      <c r="F90"/>
      <c r="H90"/>
      <c r="I90"/>
      <c r="AN90" s="1">
        <f>AM90*$AS$1</f>
        <v>0</v>
      </c>
      <c r="AV90" s="35"/>
      <c r="AZ90" s="1" t="s">
        <v>586</v>
      </c>
      <c r="BA90" s="1">
        <v>21.154</v>
      </c>
      <c r="BB90" s="1" t="s">
        <v>430</v>
      </c>
    </row>
    <row r="91" spans="2:54">
      <c r="B91"/>
      <c r="C91"/>
      <c r="E91"/>
      <c r="F91"/>
      <c r="H91"/>
      <c r="I91"/>
      <c r="AN91" s="1">
        <f>AM91*$AS$1</f>
        <v>0</v>
      </c>
      <c r="AV91" s="35"/>
      <c r="AZ91" s="1" t="s">
        <v>505</v>
      </c>
      <c r="BA91" s="1">
        <v>21.154</v>
      </c>
      <c r="BB91" s="1" t="s">
        <v>430</v>
      </c>
    </row>
    <row r="92" spans="2:54">
      <c r="B92"/>
      <c r="C92"/>
      <c r="E92"/>
      <c r="F92"/>
      <c r="H92"/>
      <c r="I92"/>
      <c r="AN92" s="1">
        <f>AM92*$AS$1</f>
        <v>0</v>
      </c>
      <c r="AV92" s="35"/>
      <c r="AZ92" s="1" t="s">
        <v>459</v>
      </c>
      <c r="BA92" s="1">
        <v>6.575</v>
      </c>
      <c r="BB92" s="1" t="s">
        <v>430</v>
      </c>
    </row>
    <row r="93" spans="2:54">
      <c r="B93"/>
      <c r="C93"/>
      <c r="E93"/>
      <c r="F93"/>
      <c r="H93"/>
      <c r="I93"/>
      <c r="AN93" s="1">
        <f>AM93*$AS$1</f>
        <v>0</v>
      </c>
      <c r="AV93" s="35"/>
      <c r="AZ93" s="1" t="s">
        <v>462</v>
      </c>
      <c r="BA93" s="1">
        <v>5.329</v>
      </c>
      <c r="BB93" s="1" t="s">
        <v>430</v>
      </c>
    </row>
    <row r="94" spans="2:54">
      <c r="B94"/>
      <c r="C94"/>
      <c r="E94"/>
      <c r="F94"/>
      <c r="H94"/>
      <c r="I94"/>
      <c r="AN94" s="1">
        <f>AM94*$AS$1</f>
        <v>0</v>
      </c>
      <c r="AV94" s="35"/>
      <c r="AZ94" s="1" t="s">
        <v>474</v>
      </c>
      <c r="BA94" s="1">
        <v>4.867</v>
      </c>
      <c r="BB94" s="1" t="s">
        <v>430</v>
      </c>
    </row>
    <row r="95" spans="2:54">
      <c r="B95"/>
      <c r="C95"/>
      <c r="E95"/>
      <c r="F95"/>
      <c r="H95"/>
      <c r="I95"/>
      <c r="AN95" s="1">
        <f>AM95*$AS$1</f>
        <v>0</v>
      </c>
      <c r="AV95" s="35"/>
      <c r="AZ95" s="1" t="s">
        <v>545</v>
      </c>
      <c r="BA95" s="1">
        <v>11.57</v>
      </c>
      <c r="BB95" s="1" t="s">
        <v>430</v>
      </c>
    </row>
    <row r="96" spans="2:54">
      <c r="B96"/>
      <c r="C96"/>
      <c r="E96"/>
      <c r="F96"/>
      <c r="H96"/>
      <c r="I96"/>
      <c r="AN96" s="1">
        <f>AM96*$AS$1</f>
        <v>0</v>
      </c>
      <c r="AV96" s="35"/>
      <c r="AZ96" s="1" t="s">
        <v>498</v>
      </c>
      <c r="BA96" s="1">
        <v>11.57</v>
      </c>
      <c r="BB96" s="1" t="s">
        <v>430</v>
      </c>
    </row>
    <row r="97" spans="2:54">
      <c r="B97"/>
      <c r="C97"/>
      <c r="E97"/>
      <c r="F97"/>
      <c r="H97"/>
      <c r="I97"/>
      <c r="AN97" s="1">
        <f>AM97*$AS$1</f>
        <v>0</v>
      </c>
      <c r="AV97" s="35"/>
      <c r="AZ97" s="1" t="s">
        <v>533</v>
      </c>
      <c r="BA97" s="1">
        <v>11.57</v>
      </c>
      <c r="BB97" s="1" t="s">
        <v>430</v>
      </c>
    </row>
    <row r="98" spans="2:54">
      <c r="B98"/>
      <c r="C98"/>
      <c r="E98"/>
      <c r="F98"/>
      <c r="H98"/>
      <c r="I98"/>
      <c r="AN98" s="1">
        <f>AM98*$AS$1</f>
        <v>0</v>
      </c>
      <c r="AV98" s="35"/>
      <c r="AZ98" s="1" t="s">
        <v>516</v>
      </c>
      <c r="BA98" s="1">
        <v>11.57</v>
      </c>
      <c r="BB98" s="1" t="s">
        <v>430</v>
      </c>
    </row>
    <row r="99" spans="2:54">
      <c r="B99"/>
      <c r="C99"/>
      <c r="E99"/>
      <c r="F99"/>
      <c r="H99"/>
      <c r="I99"/>
      <c r="AN99" s="1">
        <f>AM99*$AS$1</f>
        <v>0</v>
      </c>
      <c r="AV99" s="35"/>
      <c r="AZ99" s="1" t="s">
        <v>550</v>
      </c>
      <c r="BA99" s="1">
        <v>11.57</v>
      </c>
      <c r="BB99" s="1" t="s">
        <v>430</v>
      </c>
    </row>
    <row r="100" spans="2:48">
      <c r="B100"/>
      <c r="C100"/>
      <c r="E100"/>
      <c r="F100"/>
      <c r="H100"/>
      <c r="I100"/>
      <c r="AN100" s="1">
        <f>AM100*$AS$1</f>
        <v>0</v>
      </c>
      <c r="AV100" s="35"/>
    </row>
    <row r="101" spans="2:48">
      <c r="B101"/>
      <c r="C101"/>
      <c r="E101"/>
      <c r="F101"/>
      <c r="H101"/>
      <c r="I101"/>
      <c r="AN101" s="1">
        <f>AM101*$AS$1</f>
        <v>0</v>
      </c>
      <c r="AV101" s="35"/>
    </row>
    <row r="102" spans="2:48">
      <c r="B102"/>
      <c r="C102"/>
      <c r="E102"/>
      <c r="F102"/>
      <c r="H102"/>
      <c r="I102"/>
      <c r="AN102" s="1">
        <f>AM102*$AS$1</f>
        <v>0</v>
      </c>
      <c r="AV102" s="35"/>
    </row>
    <row r="103" spans="2:48">
      <c r="B103"/>
      <c r="C103"/>
      <c r="E103"/>
      <c r="F103"/>
      <c r="H103"/>
      <c r="I103"/>
      <c r="AN103" s="1">
        <f>AM103*$AS$1</f>
        <v>0</v>
      </c>
      <c r="AV103" s="35"/>
    </row>
    <row r="104" spans="2:40">
      <c r="B104"/>
      <c r="C104"/>
      <c r="E104"/>
      <c r="F104"/>
      <c r="H104"/>
      <c r="I104"/>
      <c r="AN104" s="1">
        <f>AM104*$AS$1</f>
        <v>0</v>
      </c>
    </row>
    <row r="105" spans="2:40">
      <c r="B105"/>
      <c r="C105"/>
      <c r="E105"/>
      <c r="F105"/>
      <c r="H105"/>
      <c r="I105"/>
      <c r="AN105" s="1">
        <f>AM105*$AS$1</f>
        <v>0</v>
      </c>
    </row>
    <row r="106" spans="2:40">
      <c r="B106"/>
      <c r="C106"/>
      <c r="E106"/>
      <c r="F106"/>
      <c r="H106"/>
      <c r="I106"/>
      <c r="AN106" s="1">
        <f>AM106*$AS$1</f>
        <v>0</v>
      </c>
    </row>
    <row r="107" spans="2:40">
      <c r="B107"/>
      <c r="C107"/>
      <c r="E107"/>
      <c r="F107"/>
      <c r="H107"/>
      <c r="I107"/>
      <c r="AN107" s="1">
        <f>AM107*$AS$1</f>
        <v>0</v>
      </c>
    </row>
    <row r="108" spans="2:40">
      <c r="B108"/>
      <c r="C108"/>
      <c r="E108"/>
      <c r="F108"/>
      <c r="H108"/>
      <c r="I108"/>
      <c r="AN108" s="1">
        <f>AM108*$AS$1</f>
        <v>0</v>
      </c>
    </row>
    <row r="109" spans="2:40">
      <c r="B109"/>
      <c r="C109"/>
      <c r="E109"/>
      <c r="F109"/>
      <c r="H109"/>
      <c r="I109"/>
      <c r="AN109" s="1">
        <f>AM109*$AS$1</f>
        <v>0</v>
      </c>
    </row>
    <row r="110" spans="2:40">
      <c r="B110"/>
      <c r="C110"/>
      <c r="E110"/>
      <c r="F110"/>
      <c r="H110"/>
      <c r="I110"/>
      <c r="AN110" s="1">
        <f>AM110*$AS$1</f>
        <v>0</v>
      </c>
    </row>
    <row r="111" spans="2:40">
      <c r="B111"/>
      <c r="C111"/>
      <c r="E111"/>
      <c r="F111"/>
      <c r="H111"/>
      <c r="I111"/>
      <c r="AN111" s="1">
        <f>AM111*$AS$1</f>
        <v>0</v>
      </c>
    </row>
    <row r="112" spans="2:40">
      <c r="B112"/>
      <c r="C112"/>
      <c r="H112"/>
      <c r="I112"/>
      <c r="AN112" s="1">
        <f>AM112*$AS$1</f>
        <v>0</v>
      </c>
    </row>
    <row r="113" spans="2:52">
      <c r="B113"/>
      <c r="C113"/>
      <c r="H113"/>
      <c r="I113"/>
      <c r="AN113" s="1">
        <f>AM113*$AS$1</f>
        <v>0</v>
      </c>
      <c r="AZ113" s="147"/>
    </row>
    <row r="114" spans="2:52">
      <c r="B114"/>
      <c r="C114"/>
      <c r="H114"/>
      <c r="I114"/>
      <c r="AN114" s="1">
        <f>AM114*$AS$1</f>
        <v>0</v>
      </c>
      <c r="AZ114" s="147"/>
    </row>
    <row r="115" spans="2:52">
      <c r="B115"/>
      <c r="C115"/>
      <c r="H115"/>
      <c r="I115"/>
      <c r="AN115" s="1">
        <f>AM115*$AS$1</f>
        <v>0</v>
      </c>
      <c r="AZ115" s="147"/>
    </row>
    <row r="116" spans="2:52">
      <c r="B116"/>
      <c r="C116"/>
      <c r="H116"/>
      <c r="I116"/>
      <c r="AN116" s="1">
        <f>AM116*$AS$1</f>
        <v>0</v>
      </c>
      <c r="AZ116" s="147"/>
    </row>
    <row r="117" spans="2:40">
      <c r="B117"/>
      <c r="C117"/>
      <c r="H117"/>
      <c r="I117"/>
      <c r="AN117" s="1">
        <f>AM117*$AS$1</f>
        <v>0</v>
      </c>
    </row>
    <row r="118" spans="2:40">
      <c r="B118"/>
      <c r="C118"/>
      <c r="H118"/>
      <c r="I118"/>
      <c r="AN118" s="1">
        <f>AM118*$AS$1</f>
        <v>0</v>
      </c>
    </row>
    <row r="119" spans="2:40">
      <c r="B119"/>
      <c r="C119"/>
      <c r="H119"/>
      <c r="I119"/>
      <c r="AN119" s="1">
        <f>AM119*$AS$1</f>
        <v>0</v>
      </c>
    </row>
    <row r="120" spans="2:40">
      <c r="B120"/>
      <c r="C120"/>
      <c r="H120"/>
      <c r="I120"/>
      <c r="AN120" s="1">
        <f>AM120*$AS$1</f>
        <v>0</v>
      </c>
    </row>
    <row r="121" spans="2:40">
      <c r="B121"/>
      <c r="C121"/>
      <c r="H121"/>
      <c r="I121"/>
      <c r="AN121" s="1">
        <f>AM121*$AS$1</f>
        <v>0</v>
      </c>
    </row>
    <row r="122" spans="2:40">
      <c r="B122"/>
      <c r="C122"/>
      <c r="H122"/>
      <c r="I122"/>
      <c r="AN122" s="1">
        <f>AM122*$AS$1</f>
        <v>0</v>
      </c>
    </row>
    <row r="123" spans="2:9">
      <c r="B123"/>
      <c r="C123"/>
      <c r="H123"/>
      <c r="I123"/>
    </row>
    <row r="124" spans="2:9">
      <c r="B124"/>
      <c r="C124"/>
      <c r="H124"/>
      <c r="I124"/>
    </row>
    <row r="125" spans="2:9">
      <c r="B125"/>
      <c r="C125"/>
      <c r="H125"/>
      <c r="I125"/>
    </row>
    <row r="126" spans="2:9">
      <c r="B126"/>
      <c r="C126"/>
      <c r="H126"/>
      <c r="I126"/>
    </row>
    <row r="127" spans="2:9">
      <c r="B127"/>
      <c r="C127"/>
      <c r="H127"/>
      <c r="I127"/>
    </row>
    <row r="128" spans="2:9">
      <c r="B128"/>
      <c r="C128"/>
      <c r="H128"/>
      <c r="I128"/>
    </row>
    <row r="129" spans="2:9">
      <c r="B129"/>
      <c r="C129"/>
      <c r="H129"/>
      <c r="I129"/>
    </row>
    <row r="130" spans="2:3">
      <c r="B130"/>
      <c r="C130"/>
    </row>
    <row r="131" spans="2:3">
      <c r="B131"/>
      <c r="C131"/>
    </row>
    <row r="132" spans="2:3">
      <c r="B132"/>
      <c r="C132"/>
    </row>
    <row r="133" spans="2:3">
      <c r="B133"/>
      <c r="C133"/>
    </row>
    <row r="134" spans="2:3">
      <c r="B134"/>
      <c r="C134"/>
    </row>
    <row r="135" spans="2:3">
      <c r="B135"/>
      <c r="C135"/>
    </row>
    <row r="136" spans="2:3">
      <c r="B136"/>
      <c r="C136"/>
    </row>
    <row r="137" spans="2:3">
      <c r="B137"/>
      <c r="C137"/>
    </row>
    <row r="138" spans="2:3">
      <c r="B138"/>
      <c r="C138"/>
    </row>
    <row r="139" spans="2:3">
      <c r="B139"/>
      <c r="C139"/>
    </row>
    <row r="140" spans="2:3">
      <c r="B140"/>
      <c r="C140"/>
    </row>
    <row r="141" spans="2:3">
      <c r="B141"/>
      <c r="C141"/>
    </row>
    <row r="142" spans="2:3">
      <c r="B142"/>
      <c r="C142"/>
    </row>
    <row r="143" spans="2:3">
      <c r="B143"/>
      <c r="C143"/>
    </row>
    <row r="144" spans="2:3">
      <c r="B144"/>
      <c r="C144"/>
    </row>
    <row r="145" spans="2:3">
      <c r="B145"/>
      <c r="C145"/>
    </row>
    <row r="146" spans="2:3">
      <c r="B146"/>
      <c r="C146"/>
    </row>
    <row r="147" spans="2:3">
      <c r="B147"/>
      <c r="C147"/>
    </row>
    <row r="165" spans="52:53">
      <c r="AZ165" s="115"/>
      <c r="BA165" s="106"/>
    </row>
    <row r="166" spans="52:53">
      <c r="AZ166" s="115"/>
      <c r="BA166" s="106"/>
    </row>
    <row r="167" spans="52:53">
      <c r="AZ167" s="147"/>
      <c r="BA167" s="106"/>
    </row>
    <row r="168" spans="52:53">
      <c r="AZ168" s="147"/>
      <c r="BA168" s="106"/>
    </row>
    <row r="189" spans="53:53">
      <c r="BA189" s="167"/>
    </row>
    <row r="190" spans="53:53">
      <c r="BA190" s="167"/>
    </row>
    <row r="191" spans="53:53">
      <c r="BA191" s="167"/>
    </row>
    <row r="192" spans="53:53">
      <c r="BA192" s="167"/>
    </row>
    <row r="193" spans="53:53">
      <c r="BA193" s="167"/>
    </row>
    <row r="194" spans="53:53">
      <c r="BA194" s="167"/>
    </row>
    <row r="195" spans="53:53">
      <c r="BA195" s="106"/>
    </row>
    <row r="196" spans="53:53">
      <c r="BA196" s="167"/>
    </row>
    <row r="197" spans="53:53">
      <c r="BA197" s="167"/>
    </row>
    <row r="198" spans="53:53">
      <c r="BA198" s="167"/>
    </row>
    <row r="199" spans="53:53">
      <c r="BA199" s="167"/>
    </row>
    <row r="200" spans="53:53">
      <c r="BA200" s="167"/>
    </row>
    <row r="201" spans="53:53">
      <c r="BA201" s="167"/>
    </row>
    <row r="202" spans="53:53">
      <c r="BA202" s="167"/>
    </row>
    <row r="203" spans="53:53">
      <c r="BA203" s="167"/>
    </row>
    <row r="204" spans="53:53">
      <c r="BA204" s="167"/>
    </row>
    <row r="205" spans="53:53">
      <c r="BA205" s="167"/>
    </row>
    <row r="206" spans="53:53">
      <c r="BA206" s="167"/>
    </row>
    <row r="207" spans="53:53">
      <c r="BA207" s="167"/>
    </row>
    <row r="208" spans="53:53">
      <c r="BA208" s="167"/>
    </row>
    <row r="209" spans="53:53">
      <c r="BA209" s="167"/>
    </row>
    <row r="210" spans="53:53">
      <c r="BA210" s="167"/>
    </row>
    <row r="211" spans="53:53">
      <c r="BA211" s="167"/>
    </row>
    <row r="212" spans="53:53">
      <c r="BA212" s="167"/>
    </row>
    <row r="213" spans="53:53">
      <c r="BA213" s="167"/>
    </row>
    <row r="214" spans="53:53">
      <c r="BA214" s="167"/>
    </row>
    <row r="215" spans="53:53">
      <c r="BA215" s="167"/>
    </row>
    <row r="216" spans="53:53">
      <c r="BA216" s="168"/>
    </row>
    <row r="217" spans="53:53">
      <c r="BA217" s="168"/>
    </row>
    <row r="218" spans="53:53">
      <c r="BA218" s="106"/>
    </row>
    <row r="219" spans="53:53">
      <c r="BA219" s="106"/>
    </row>
    <row r="220" spans="53:53">
      <c r="BA220" s="106"/>
    </row>
    <row r="229" spans="53:53">
      <c r="BA229" s="106"/>
    </row>
    <row r="230" spans="53:53">
      <c r="BA230" s="106"/>
    </row>
    <row r="231" spans="53:53">
      <c r="BA231" s="106"/>
    </row>
    <row r="1046683" spans="52:53">
      <c r="AZ1046683" s="106"/>
      <c r="BA1046683" s="106"/>
    </row>
    <row r="1046684" spans="52:53">
      <c r="AZ1046684" s="106"/>
      <c r="BA1046684" s="106"/>
    </row>
    <row r="1046685" spans="52:53">
      <c r="AZ1046685" s="106"/>
      <c r="BA1046685" s="106"/>
    </row>
    <row r="1046686" spans="52:53">
      <c r="AZ1046686" s="106"/>
      <c r="BA1046686" s="106"/>
    </row>
    <row r="1046687" spans="52:53">
      <c r="AZ1046687" s="106"/>
      <c r="BA1046687" s="106"/>
    </row>
    <row r="1046688" spans="52:53">
      <c r="AZ1046688" s="106"/>
      <c r="BA1046688" s="106"/>
    </row>
    <row r="1046689" spans="52:53">
      <c r="AZ1046689" s="106"/>
      <c r="BA1046689" s="106"/>
    </row>
    <row r="1046690" spans="52:53">
      <c r="AZ1046690" s="106"/>
      <c r="BA1046690" s="106"/>
    </row>
    <row r="1046691" spans="52:53">
      <c r="AZ1046691" s="106"/>
      <c r="BA1046691" s="106"/>
    </row>
    <row r="1046692" spans="52:53">
      <c r="AZ1046692" s="106"/>
      <c r="BA1046692" s="106"/>
    </row>
    <row r="1046693" spans="52:53">
      <c r="AZ1046693" s="106"/>
      <c r="BA1046693" s="106"/>
    </row>
    <row r="1046694" spans="52:53">
      <c r="AZ1046694" s="106"/>
      <c r="BA1046694" s="106"/>
    </row>
    <row r="1046695" spans="52:53">
      <c r="AZ1046695" s="106"/>
      <c r="BA1046695" s="106"/>
    </row>
    <row r="1046696" spans="52:53">
      <c r="AZ1046696" s="106"/>
      <c r="BA1046696" s="106"/>
    </row>
    <row r="1046697" spans="52:53">
      <c r="AZ1046697" s="106"/>
      <c r="BA1046697" s="106"/>
    </row>
    <row r="1046698" spans="52:53">
      <c r="AZ1046698" s="106"/>
      <c r="BA1046698" s="106"/>
    </row>
    <row r="1046699" spans="52:53">
      <c r="AZ1046699" s="106"/>
      <c r="BA1046699" s="106"/>
    </row>
    <row r="1046700" spans="52:53">
      <c r="AZ1046700" s="106"/>
      <c r="BA1046700" s="106"/>
    </row>
    <row r="1046701" spans="52:53">
      <c r="AZ1046701" s="106"/>
      <c r="BA1046701" s="106"/>
    </row>
    <row r="1046702" spans="52:53">
      <c r="AZ1046702" s="106"/>
      <c r="BA1046702" s="106"/>
    </row>
    <row r="1046703" spans="52:53">
      <c r="AZ1046703" s="106"/>
      <c r="BA1046703" s="106"/>
    </row>
    <row r="1046704" spans="52:53">
      <c r="AZ1046704" s="106"/>
      <c r="BA1046704" s="106"/>
    </row>
    <row r="1046705" spans="52:53">
      <c r="AZ1046705" s="106"/>
      <c r="BA1046705" s="106"/>
    </row>
    <row r="1046706" spans="52:53">
      <c r="AZ1046706" s="106"/>
      <c r="BA1046706" s="106"/>
    </row>
    <row r="1046707" spans="52:53">
      <c r="AZ1046707" s="106"/>
      <c r="BA1046707" s="106"/>
    </row>
    <row r="1046708" spans="52:53">
      <c r="AZ1046708" s="106"/>
      <c r="BA1046708" s="106"/>
    </row>
    <row r="1046709" spans="52:53">
      <c r="AZ1046709" s="106"/>
      <c r="BA1046709" s="106"/>
    </row>
    <row r="1046710" spans="52:53">
      <c r="AZ1046710" s="106"/>
      <c r="BA1046710" s="106"/>
    </row>
    <row r="1046711" spans="52:53">
      <c r="AZ1046711" s="106"/>
      <c r="BA1046711" s="106"/>
    </row>
    <row r="1046712" spans="52:53">
      <c r="AZ1046712" s="106"/>
      <c r="BA1046712" s="106"/>
    </row>
    <row r="1046713" spans="52:53">
      <c r="AZ1046713" s="106"/>
      <c r="BA1046713" s="106"/>
    </row>
    <row r="1046714" spans="52:53">
      <c r="AZ1046714" s="106"/>
      <c r="BA1046714" s="106"/>
    </row>
    <row r="1046715" spans="52:53">
      <c r="AZ1046715" s="106"/>
      <c r="BA1046715" s="106"/>
    </row>
    <row r="1046716" spans="52:53">
      <c r="AZ1046716" s="106"/>
      <c r="BA1046716" s="106"/>
    </row>
    <row r="1046717" spans="52:53">
      <c r="AZ1046717" s="106"/>
      <c r="BA1046717" s="106"/>
    </row>
    <row r="1046718" spans="52:53">
      <c r="AZ1046718" s="106"/>
      <c r="BA1046718" s="106"/>
    </row>
    <row r="1046719" spans="52:53">
      <c r="AZ1046719" s="106"/>
      <c r="BA1046719" s="106"/>
    </row>
    <row r="1046720" spans="52:53">
      <c r="AZ1046720" s="106"/>
      <c r="BA1046720" s="106"/>
    </row>
    <row r="1046721" spans="52:53">
      <c r="AZ1046721" s="106"/>
      <c r="BA1046721" s="106"/>
    </row>
    <row r="1046722" spans="52:53">
      <c r="AZ1046722" s="106"/>
      <c r="BA1046722" s="106"/>
    </row>
    <row r="1046723" spans="52:53">
      <c r="AZ1046723" s="106"/>
      <c r="BA1046723" s="106"/>
    </row>
    <row r="1046724" spans="52:53">
      <c r="AZ1046724" s="106"/>
      <c r="BA1046724" s="106"/>
    </row>
    <row r="1046725" spans="52:53">
      <c r="AZ1046725" s="106"/>
      <c r="BA1046725" s="106"/>
    </row>
    <row r="1046726" spans="52:53">
      <c r="AZ1046726" s="106"/>
      <c r="BA1046726" s="106"/>
    </row>
    <row r="1046727" spans="52:53">
      <c r="AZ1046727" s="106"/>
      <c r="BA1046727" s="106"/>
    </row>
    <row r="1046728" spans="52:53">
      <c r="AZ1046728" s="106"/>
      <c r="BA1046728" s="106"/>
    </row>
    <row r="1046729" spans="52:53">
      <c r="AZ1046729" s="106"/>
      <c r="BA1046729" s="106"/>
    </row>
    <row r="1046730" spans="52:53">
      <c r="AZ1046730" s="106"/>
      <c r="BA1046730" s="106"/>
    </row>
    <row r="1046731" spans="52:53">
      <c r="AZ1046731" s="106"/>
      <c r="BA1046731" s="106"/>
    </row>
    <row r="1046732" spans="52:53">
      <c r="AZ1046732" s="106"/>
      <c r="BA1046732" s="106"/>
    </row>
    <row r="1046733" spans="52:53">
      <c r="AZ1046733" s="106"/>
      <c r="BA1046733" s="106"/>
    </row>
    <row r="1046734" spans="52:53">
      <c r="AZ1046734" s="106"/>
      <c r="BA1046734" s="106"/>
    </row>
    <row r="1046735" spans="52:53">
      <c r="AZ1046735" s="106"/>
      <c r="BA1046735" s="106"/>
    </row>
    <row r="1046736" spans="52:53">
      <c r="AZ1046736" s="106"/>
      <c r="BA1046736" s="106"/>
    </row>
    <row r="1046737" spans="52:53">
      <c r="AZ1046737" s="106"/>
      <c r="BA1046737" s="106"/>
    </row>
    <row r="1046738" spans="52:53">
      <c r="AZ1046738" s="106"/>
      <c r="BA1046738" s="106"/>
    </row>
    <row r="1046739" spans="52:53">
      <c r="AZ1046739" s="106"/>
      <c r="BA1046739" s="106"/>
    </row>
    <row r="1046740" spans="52:53">
      <c r="AZ1046740" s="106"/>
      <c r="BA1046740" s="106"/>
    </row>
    <row r="1046741" spans="52:53">
      <c r="AZ1046741" s="106"/>
      <c r="BA1046741" s="106"/>
    </row>
    <row r="1046742" spans="52:53">
      <c r="AZ1046742" s="106"/>
      <c r="BA1046742" s="106"/>
    </row>
    <row r="1046743" spans="52:53">
      <c r="AZ1046743" s="106"/>
      <c r="BA1046743" s="106"/>
    </row>
    <row r="1046744" spans="52:53">
      <c r="AZ1046744" s="106"/>
      <c r="BA1046744" s="106"/>
    </row>
    <row r="1046745" spans="52:53">
      <c r="AZ1046745" s="106"/>
      <c r="BA1046745" s="106"/>
    </row>
    <row r="1046746" spans="52:53">
      <c r="AZ1046746" s="106"/>
      <c r="BA1046746" s="106"/>
    </row>
    <row r="1046747" spans="52:53">
      <c r="AZ1046747" s="106"/>
      <c r="BA1046747" s="106"/>
    </row>
    <row r="1046748" spans="52:53">
      <c r="AZ1046748" s="106"/>
      <c r="BA1046748" s="106"/>
    </row>
    <row r="1046749" spans="52:53">
      <c r="AZ1046749" s="106"/>
      <c r="BA1046749" s="106"/>
    </row>
    <row r="1046750" spans="52:53">
      <c r="AZ1046750" s="106"/>
      <c r="BA1046750" s="106"/>
    </row>
    <row r="1046751" spans="52:53">
      <c r="AZ1046751" s="106"/>
      <c r="BA1046751" s="106"/>
    </row>
    <row r="1046752" spans="52:53">
      <c r="AZ1046752" s="106"/>
      <c r="BA1046752" s="106"/>
    </row>
    <row r="1046753" spans="52:53">
      <c r="AZ1046753" s="106"/>
      <c r="BA1046753" s="106"/>
    </row>
    <row r="1046754" spans="52:53">
      <c r="AZ1046754" s="106"/>
      <c r="BA1046754" s="106"/>
    </row>
    <row r="1046755" spans="52:53">
      <c r="AZ1046755" s="106"/>
      <c r="BA1046755" s="106"/>
    </row>
    <row r="1046756" spans="52:53">
      <c r="AZ1046756" s="106"/>
      <c r="BA1046756" s="106"/>
    </row>
    <row r="1046757" spans="52:53">
      <c r="AZ1046757" s="106"/>
      <c r="BA1046757" s="106"/>
    </row>
    <row r="1046758" spans="52:53">
      <c r="AZ1046758" s="106"/>
      <c r="BA1046758" s="106"/>
    </row>
    <row r="1046759" spans="52:53">
      <c r="AZ1046759" s="106"/>
      <c r="BA1046759" s="106"/>
    </row>
    <row r="1046760" spans="52:53">
      <c r="AZ1046760" s="106"/>
      <c r="BA1046760" s="106"/>
    </row>
    <row r="1046761" spans="52:53">
      <c r="AZ1046761" s="106"/>
      <c r="BA1046761" s="106"/>
    </row>
    <row r="1046762" spans="52:53">
      <c r="AZ1046762" s="106"/>
      <c r="BA1046762" s="106"/>
    </row>
    <row r="1046763" spans="52:53">
      <c r="AZ1046763" s="106"/>
      <c r="BA1046763" s="106"/>
    </row>
    <row r="1046764" spans="52:53">
      <c r="AZ1046764" s="106"/>
      <c r="BA1046764" s="106"/>
    </row>
    <row r="1046765" spans="52:53">
      <c r="AZ1046765" s="106"/>
      <c r="BA1046765" s="106"/>
    </row>
    <row r="1046766" spans="52:53">
      <c r="AZ1046766" s="106"/>
      <c r="BA1046766" s="106"/>
    </row>
    <row r="1046767" spans="52:53">
      <c r="AZ1046767" s="106"/>
      <c r="BA1046767" s="106"/>
    </row>
    <row r="1046768" spans="52:53">
      <c r="AZ1046768" s="106"/>
      <c r="BA1046768" s="106"/>
    </row>
    <row r="1046769" spans="52:53">
      <c r="AZ1046769" s="106"/>
      <c r="BA1046769" s="106"/>
    </row>
    <row r="1046770" spans="52:53">
      <c r="AZ1046770" s="106"/>
      <c r="BA1046770" s="106"/>
    </row>
    <row r="1046771" spans="52:53">
      <c r="AZ1046771" s="106"/>
      <c r="BA1046771" s="106"/>
    </row>
    <row r="1046772" spans="52:53">
      <c r="AZ1046772" s="106"/>
      <c r="BA1046772" s="106"/>
    </row>
    <row r="1046773" spans="52:53">
      <c r="AZ1046773" s="106"/>
      <c r="BA1046773" s="106"/>
    </row>
    <row r="1046774" spans="52:53">
      <c r="AZ1046774" s="106"/>
      <c r="BA1046774" s="106"/>
    </row>
    <row r="1046775" spans="52:53">
      <c r="AZ1046775" s="106"/>
      <c r="BA1046775" s="106"/>
    </row>
    <row r="1046776" spans="52:53">
      <c r="AZ1046776" s="106"/>
      <c r="BA1046776" s="106"/>
    </row>
    <row r="1046777" spans="52:53">
      <c r="AZ1046777" s="106"/>
      <c r="BA1046777" s="106"/>
    </row>
    <row r="1046778" spans="52:53">
      <c r="AZ1046778" s="106"/>
      <c r="BA1046778" s="106"/>
    </row>
    <row r="1046779" spans="52:53">
      <c r="AZ1046779" s="106"/>
      <c r="BA1046779" s="106"/>
    </row>
    <row r="1046780" spans="52:53">
      <c r="AZ1046780" s="106"/>
      <c r="BA1046780" s="106"/>
    </row>
    <row r="1046781" spans="52:53">
      <c r="AZ1046781" s="106"/>
      <c r="BA1046781" s="106"/>
    </row>
    <row r="1046782" spans="52:53">
      <c r="AZ1046782" s="106"/>
      <c r="BA1046782" s="106"/>
    </row>
    <row r="1046783" spans="52:53">
      <c r="AZ1046783" s="106"/>
      <c r="BA1046783" s="106"/>
    </row>
    <row r="1046784" spans="52:53">
      <c r="AZ1046784" s="106"/>
      <c r="BA1046784" s="106"/>
    </row>
    <row r="1046785" spans="52:53">
      <c r="AZ1046785" s="106"/>
      <c r="BA1046785" s="106"/>
    </row>
    <row r="1046786" spans="52:53">
      <c r="AZ1046786" s="106"/>
      <c r="BA1046786" s="106"/>
    </row>
    <row r="1046787" spans="52:53">
      <c r="AZ1046787" s="106"/>
      <c r="BA1046787" s="106"/>
    </row>
    <row r="1046788" spans="52:53">
      <c r="AZ1046788" s="106"/>
      <c r="BA1046788" s="106"/>
    </row>
    <row r="1046789" spans="52:53">
      <c r="AZ1046789" s="106"/>
      <c r="BA1046789" s="106"/>
    </row>
    <row r="1046790" spans="52:53">
      <c r="AZ1046790" s="106"/>
      <c r="BA1046790" s="106"/>
    </row>
    <row r="1046791" spans="52:53">
      <c r="AZ1046791" s="106"/>
      <c r="BA1046791" s="106"/>
    </row>
    <row r="1046792" spans="52:53">
      <c r="AZ1046792" s="106"/>
      <c r="BA1046792" s="106"/>
    </row>
    <row r="1046793" spans="52:53">
      <c r="AZ1046793" s="106"/>
      <c r="BA1046793" s="106"/>
    </row>
    <row r="1046794" spans="52:53">
      <c r="AZ1046794" s="106"/>
      <c r="BA1046794" s="106"/>
    </row>
    <row r="1046795" spans="52:53">
      <c r="AZ1046795" s="106"/>
      <c r="BA1046795" s="106"/>
    </row>
    <row r="1046796" spans="52:53">
      <c r="AZ1046796" s="106"/>
      <c r="BA1046796" s="106"/>
    </row>
    <row r="1046797" spans="52:53">
      <c r="AZ1046797" s="106"/>
      <c r="BA1046797" s="106"/>
    </row>
    <row r="1046798" spans="52:53">
      <c r="AZ1046798" s="106"/>
      <c r="BA1046798" s="106"/>
    </row>
    <row r="1046799" spans="52:53">
      <c r="AZ1046799" s="106"/>
      <c r="BA1046799" s="106"/>
    </row>
    <row r="1046800" spans="52:53">
      <c r="AZ1046800" s="106"/>
      <c r="BA1046800" s="106"/>
    </row>
    <row r="1046801" spans="52:53">
      <c r="AZ1046801" s="106"/>
      <c r="BA1046801" s="106"/>
    </row>
    <row r="1046802" spans="52:53">
      <c r="AZ1046802" s="106"/>
      <c r="BA1046802" s="106"/>
    </row>
    <row r="1046803" spans="52:53">
      <c r="AZ1046803" s="106"/>
      <c r="BA1046803" s="106"/>
    </row>
    <row r="1046804" spans="52:53">
      <c r="AZ1046804" s="106"/>
      <c r="BA1046804" s="106"/>
    </row>
    <row r="1046805" spans="52:53">
      <c r="AZ1046805" s="106"/>
      <c r="BA1046805" s="106"/>
    </row>
    <row r="1046806" spans="52:53">
      <c r="AZ1046806" s="106"/>
      <c r="BA1046806" s="106"/>
    </row>
    <row r="1046807" spans="52:53">
      <c r="AZ1046807" s="106"/>
      <c r="BA1046807" s="106"/>
    </row>
    <row r="1046808" spans="52:53">
      <c r="AZ1046808" s="106"/>
      <c r="BA1046808" s="106"/>
    </row>
    <row r="1046809" spans="52:53">
      <c r="AZ1046809" s="106"/>
      <c r="BA1046809" s="106"/>
    </row>
    <row r="1046810" spans="52:53">
      <c r="AZ1046810" s="106"/>
      <c r="BA1046810" s="106"/>
    </row>
    <row r="1046811" spans="52:53">
      <c r="AZ1046811" s="106"/>
      <c r="BA1046811" s="106"/>
    </row>
    <row r="1046812" spans="52:53">
      <c r="AZ1046812" s="106"/>
      <c r="BA1046812" s="106"/>
    </row>
    <row r="1046813" spans="52:53">
      <c r="AZ1046813" s="106"/>
      <c r="BA1046813" s="106"/>
    </row>
    <row r="1046814" spans="52:53">
      <c r="AZ1046814" s="106"/>
      <c r="BA1046814" s="106"/>
    </row>
    <row r="1046815" spans="52:53">
      <c r="AZ1046815" s="106"/>
      <c r="BA1046815" s="106"/>
    </row>
    <row r="1046816" spans="52:53">
      <c r="AZ1046816" s="106"/>
      <c r="BA1046816" s="106"/>
    </row>
    <row r="1046817" spans="52:53">
      <c r="AZ1046817" s="106"/>
      <c r="BA1046817" s="106"/>
    </row>
    <row r="1046818" spans="52:53">
      <c r="AZ1046818" s="106"/>
      <c r="BA1046818" s="106"/>
    </row>
    <row r="1046819" spans="52:53">
      <c r="AZ1046819" s="106"/>
      <c r="BA1046819" s="106"/>
    </row>
    <row r="1046820" spans="52:53">
      <c r="AZ1046820" s="106"/>
      <c r="BA1046820" s="106"/>
    </row>
    <row r="1046821" spans="52:53">
      <c r="AZ1046821" s="106"/>
      <c r="BA1046821" s="106"/>
    </row>
    <row r="1046822" spans="52:53">
      <c r="AZ1046822" s="106"/>
      <c r="BA1046822" s="106"/>
    </row>
    <row r="1046823" spans="52:53">
      <c r="AZ1046823" s="106"/>
      <c r="BA1046823" s="106"/>
    </row>
    <row r="1046824" spans="52:53">
      <c r="AZ1046824" s="106"/>
      <c r="BA1046824" s="106"/>
    </row>
    <row r="1046825" spans="52:53">
      <c r="AZ1046825" s="106"/>
      <c r="BA1046825" s="106"/>
    </row>
    <row r="1046826" spans="52:53">
      <c r="AZ1046826" s="106"/>
      <c r="BA1046826" s="106"/>
    </row>
    <row r="1046827" spans="52:53">
      <c r="AZ1046827" s="106"/>
      <c r="BA1046827" s="106"/>
    </row>
    <row r="1046828" spans="52:53">
      <c r="AZ1046828" s="106"/>
      <c r="BA1046828" s="106"/>
    </row>
    <row r="1046829" spans="52:53">
      <c r="AZ1046829" s="106"/>
      <c r="BA1046829" s="106"/>
    </row>
    <row r="1046830" spans="52:53">
      <c r="AZ1046830" s="106"/>
      <c r="BA1046830" s="106"/>
    </row>
    <row r="1046831" spans="52:53">
      <c r="AZ1046831" s="106"/>
      <c r="BA1046831" s="106"/>
    </row>
    <row r="1046832" spans="52:53">
      <c r="AZ1046832" s="106"/>
      <c r="BA1046832" s="106"/>
    </row>
    <row r="1046833" spans="52:53">
      <c r="AZ1046833" s="106"/>
      <c r="BA1046833" s="106"/>
    </row>
    <row r="1046834" spans="52:53">
      <c r="AZ1046834" s="106"/>
      <c r="BA1046834" s="106"/>
    </row>
    <row r="1046835" spans="52:53">
      <c r="AZ1046835" s="106"/>
      <c r="BA1046835" s="106"/>
    </row>
    <row r="1046836" spans="52:53">
      <c r="AZ1046836" s="106"/>
      <c r="BA1046836" s="106"/>
    </row>
    <row r="1046837" spans="52:53">
      <c r="AZ1046837" s="106"/>
      <c r="BA1046837" s="106"/>
    </row>
    <row r="1046838" spans="52:53">
      <c r="AZ1046838" s="106"/>
      <c r="BA1046838" s="106"/>
    </row>
    <row r="1046839" spans="52:53">
      <c r="AZ1046839" s="106"/>
      <c r="BA1046839" s="106"/>
    </row>
    <row r="1046840" spans="52:53">
      <c r="AZ1046840" s="106"/>
      <c r="BA1046840" s="106"/>
    </row>
    <row r="1046841" spans="52:53">
      <c r="AZ1046841" s="106"/>
      <c r="BA1046841" s="106"/>
    </row>
    <row r="1046842" spans="52:53">
      <c r="AZ1046842" s="106"/>
      <c r="BA1046842" s="106"/>
    </row>
    <row r="1046843" spans="52:53">
      <c r="AZ1046843" s="106"/>
      <c r="BA1046843" s="106"/>
    </row>
    <row r="1046844" spans="52:53">
      <c r="AZ1046844" s="106"/>
      <c r="BA1046844" s="106"/>
    </row>
    <row r="1046845" spans="52:53">
      <c r="AZ1046845" s="106"/>
      <c r="BA1046845" s="106"/>
    </row>
    <row r="1046846" spans="52:53">
      <c r="AZ1046846" s="106"/>
      <c r="BA1046846" s="106"/>
    </row>
    <row r="1046847" spans="52:53">
      <c r="AZ1046847" s="106"/>
      <c r="BA1046847" s="106"/>
    </row>
    <row r="1046848" spans="52:53">
      <c r="AZ1046848" s="106"/>
      <c r="BA1046848" s="106"/>
    </row>
    <row r="1046849" spans="52:53">
      <c r="AZ1046849" s="106"/>
      <c r="BA1046849" s="106"/>
    </row>
    <row r="1046850" spans="52:53">
      <c r="AZ1046850" s="106"/>
      <c r="BA1046850" s="106"/>
    </row>
    <row r="1046851" spans="52:53">
      <c r="AZ1046851" s="106"/>
      <c r="BA1046851" s="106"/>
    </row>
    <row r="1046852" spans="52:53">
      <c r="AZ1046852" s="106"/>
      <c r="BA1046852" s="106"/>
    </row>
    <row r="1046853" spans="52:53">
      <c r="AZ1046853" s="106"/>
      <c r="BA1046853" s="106"/>
    </row>
    <row r="1046854" spans="52:53">
      <c r="AZ1046854" s="106"/>
      <c r="BA1046854" s="106"/>
    </row>
    <row r="1046855" spans="52:53">
      <c r="AZ1046855" s="106"/>
      <c r="BA1046855" s="106"/>
    </row>
    <row r="1046856" spans="52:53">
      <c r="AZ1046856" s="106"/>
      <c r="BA1046856" s="106"/>
    </row>
    <row r="1046857" spans="52:53">
      <c r="AZ1046857" s="106"/>
      <c r="BA1046857" s="106"/>
    </row>
    <row r="1046858" spans="52:53">
      <c r="AZ1046858" s="106"/>
      <c r="BA1046858" s="106"/>
    </row>
    <row r="1046859" spans="52:53">
      <c r="AZ1046859" s="106"/>
      <c r="BA1046859" s="106"/>
    </row>
    <row r="1046860" spans="52:53">
      <c r="AZ1046860" s="106"/>
      <c r="BA1046860" s="106"/>
    </row>
    <row r="1046861" spans="52:53">
      <c r="AZ1046861" s="106"/>
      <c r="BA1046861" s="106"/>
    </row>
    <row r="1046862" spans="52:53">
      <c r="AZ1046862" s="106"/>
      <c r="BA1046862" s="106"/>
    </row>
    <row r="1046863" spans="52:53">
      <c r="AZ1046863" s="106"/>
      <c r="BA1046863" s="106"/>
    </row>
    <row r="1046864" spans="52:53">
      <c r="AZ1046864" s="106"/>
      <c r="BA1046864" s="106"/>
    </row>
    <row r="1046865" spans="52:53">
      <c r="AZ1046865" s="106"/>
      <c r="BA1046865" s="106"/>
    </row>
    <row r="1046866" spans="52:53">
      <c r="AZ1046866" s="106"/>
      <c r="BA1046866" s="106"/>
    </row>
    <row r="1046867" spans="52:53">
      <c r="AZ1046867" s="106"/>
      <c r="BA1046867" s="106"/>
    </row>
    <row r="1046868" spans="52:53">
      <c r="AZ1046868" s="106"/>
      <c r="BA1046868" s="106"/>
    </row>
    <row r="1046869" spans="52:53">
      <c r="AZ1046869" s="106"/>
      <c r="BA1046869" s="106"/>
    </row>
    <row r="1046870" spans="52:53">
      <c r="AZ1046870" s="106"/>
      <c r="BA1046870" s="106"/>
    </row>
    <row r="1046871" spans="52:53">
      <c r="AZ1046871" s="106"/>
      <c r="BA1046871" s="106"/>
    </row>
    <row r="1046872" spans="52:53">
      <c r="AZ1046872" s="106"/>
      <c r="BA1046872" s="106"/>
    </row>
    <row r="1046873" spans="52:53">
      <c r="AZ1046873" s="106"/>
      <c r="BA1046873" s="106"/>
    </row>
    <row r="1046874" spans="52:53">
      <c r="AZ1046874" s="106"/>
      <c r="BA1046874" s="106"/>
    </row>
    <row r="1046875" spans="52:53">
      <c r="AZ1046875" s="106"/>
      <c r="BA1046875" s="106"/>
    </row>
    <row r="1046876" spans="52:53">
      <c r="AZ1046876" s="106"/>
      <c r="BA1046876" s="106"/>
    </row>
    <row r="1046877" spans="52:53">
      <c r="AZ1046877" s="106"/>
      <c r="BA1046877" s="106"/>
    </row>
    <row r="1046878" spans="52:53">
      <c r="AZ1046878" s="106"/>
      <c r="BA1046878" s="106"/>
    </row>
    <row r="1046879" spans="52:53">
      <c r="AZ1046879" s="106"/>
      <c r="BA1046879" s="106"/>
    </row>
    <row r="1046880" spans="52:53">
      <c r="AZ1046880" s="106"/>
      <c r="BA1046880" s="106"/>
    </row>
    <row r="1046881" spans="52:53">
      <c r="AZ1046881" s="106"/>
      <c r="BA1046881" s="106"/>
    </row>
    <row r="1046882" spans="52:53">
      <c r="AZ1046882" s="106"/>
      <c r="BA1046882" s="106"/>
    </row>
    <row r="1046883" spans="52:53">
      <c r="AZ1046883" s="106"/>
      <c r="BA1046883" s="106"/>
    </row>
    <row r="1046884" spans="52:53">
      <c r="AZ1046884" s="106"/>
      <c r="BA1046884" s="106"/>
    </row>
    <row r="1046885" spans="52:53">
      <c r="AZ1046885" s="106"/>
      <c r="BA1046885" s="106"/>
    </row>
    <row r="1046886" spans="52:53">
      <c r="AZ1046886" s="106"/>
      <c r="BA1046886" s="106"/>
    </row>
    <row r="1046887" spans="52:53">
      <c r="AZ1046887" s="106"/>
      <c r="BA1046887" s="106"/>
    </row>
    <row r="1046888" spans="52:53">
      <c r="AZ1046888" s="106"/>
      <c r="BA1046888" s="106"/>
    </row>
    <row r="1046889" spans="52:53">
      <c r="AZ1046889" s="106"/>
      <c r="BA1046889" s="106"/>
    </row>
    <row r="1046890" spans="52:53">
      <c r="AZ1046890" s="106"/>
      <c r="BA1046890" s="106"/>
    </row>
    <row r="1046891" spans="52:53">
      <c r="AZ1046891" s="106"/>
      <c r="BA1046891" s="106"/>
    </row>
    <row r="1046892" spans="52:53">
      <c r="AZ1046892" s="106"/>
      <c r="BA1046892" s="106"/>
    </row>
    <row r="1046893" spans="52:53">
      <c r="AZ1046893" s="106"/>
      <c r="BA1046893" s="106"/>
    </row>
    <row r="1046894" spans="52:53">
      <c r="AZ1046894" s="106"/>
      <c r="BA1046894" s="106"/>
    </row>
    <row r="1046895" spans="52:53">
      <c r="AZ1046895" s="106"/>
      <c r="BA1046895" s="106"/>
    </row>
    <row r="1046896" spans="52:53">
      <c r="AZ1046896" s="106"/>
      <c r="BA1046896" s="106"/>
    </row>
    <row r="1046897" spans="52:53">
      <c r="AZ1046897" s="106"/>
      <c r="BA1046897" s="106"/>
    </row>
    <row r="1046898" spans="52:53">
      <c r="AZ1046898" s="106"/>
      <c r="BA1046898" s="106"/>
    </row>
    <row r="1046899" spans="52:53">
      <c r="AZ1046899" s="106"/>
      <c r="BA1046899" s="106"/>
    </row>
    <row r="1046900" spans="52:53">
      <c r="AZ1046900" s="106"/>
      <c r="BA1046900" s="106"/>
    </row>
    <row r="1046901" spans="52:53">
      <c r="AZ1046901" s="106"/>
      <c r="BA1046901" s="106"/>
    </row>
    <row r="1046902" spans="52:53">
      <c r="AZ1046902" s="106"/>
      <c r="BA1046902" s="106"/>
    </row>
    <row r="1046903" spans="52:53">
      <c r="AZ1046903" s="106"/>
      <c r="BA1046903" s="106"/>
    </row>
    <row r="1046904" spans="52:53">
      <c r="AZ1046904" s="106"/>
      <c r="BA1046904" s="106"/>
    </row>
    <row r="1046905" spans="52:53">
      <c r="AZ1046905" s="106"/>
      <c r="BA1046905" s="106"/>
    </row>
    <row r="1046906" spans="52:53">
      <c r="AZ1046906" s="106"/>
      <c r="BA1046906" s="106"/>
    </row>
    <row r="1046907" spans="52:53">
      <c r="AZ1046907" s="106"/>
      <c r="BA1046907" s="106"/>
    </row>
    <row r="1046908" spans="52:53">
      <c r="AZ1046908" s="106"/>
      <c r="BA1046908" s="106"/>
    </row>
    <row r="1046909" spans="52:53">
      <c r="AZ1046909" s="106"/>
      <c r="BA1046909" s="106"/>
    </row>
    <row r="1046910" spans="52:53">
      <c r="AZ1046910" s="106"/>
      <c r="BA1046910" s="106"/>
    </row>
    <row r="1046911" spans="52:53">
      <c r="AZ1046911" s="106"/>
      <c r="BA1046911" s="106"/>
    </row>
    <row r="1046912" spans="52:53">
      <c r="AZ1046912" s="106"/>
      <c r="BA1046912" s="106"/>
    </row>
    <row r="1046913" spans="52:53">
      <c r="AZ1046913" s="106"/>
      <c r="BA1046913" s="106"/>
    </row>
    <row r="1046914" spans="52:53">
      <c r="AZ1046914" s="106"/>
      <c r="BA1046914" s="106"/>
    </row>
    <row r="1046915" spans="52:53">
      <c r="AZ1046915" s="106"/>
      <c r="BA1046915" s="106"/>
    </row>
    <row r="1046916" spans="52:53">
      <c r="AZ1046916" s="106"/>
      <c r="BA1046916" s="106"/>
    </row>
    <row r="1046917" spans="52:53">
      <c r="AZ1046917" s="106"/>
      <c r="BA1046917" s="106"/>
    </row>
    <row r="1046918" spans="52:53">
      <c r="AZ1046918" s="106"/>
      <c r="BA1046918" s="106"/>
    </row>
    <row r="1046919" spans="52:53">
      <c r="AZ1046919" s="106"/>
      <c r="BA1046919" s="106"/>
    </row>
    <row r="1046920" spans="52:53">
      <c r="AZ1046920" s="106"/>
      <c r="BA1046920" s="106"/>
    </row>
    <row r="1046921" spans="52:53">
      <c r="AZ1046921" s="106"/>
      <c r="BA1046921" s="106"/>
    </row>
    <row r="1046922" spans="52:53">
      <c r="AZ1046922" s="106"/>
      <c r="BA1046922" s="106"/>
    </row>
    <row r="1046923" spans="52:53">
      <c r="AZ1046923" s="106"/>
      <c r="BA1046923" s="106"/>
    </row>
    <row r="1046924" spans="52:53">
      <c r="AZ1046924" s="106"/>
      <c r="BA1046924" s="106"/>
    </row>
    <row r="1046925" spans="52:53">
      <c r="AZ1046925" s="106"/>
      <c r="BA1046925" s="106"/>
    </row>
    <row r="1046926" spans="52:53">
      <c r="AZ1046926" s="106"/>
      <c r="BA1046926" s="106"/>
    </row>
    <row r="1046927" spans="52:53">
      <c r="AZ1046927" s="106"/>
      <c r="BA1046927" s="106"/>
    </row>
    <row r="1046928" spans="52:53">
      <c r="AZ1046928" s="106"/>
      <c r="BA1046928" s="106"/>
    </row>
    <row r="1046929" spans="52:53">
      <c r="AZ1046929" s="106"/>
      <c r="BA1046929" s="106"/>
    </row>
    <row r="1046930" spans="52:53">
      <c r="AZ1046930" s="106"/>
      <c r="BA1046930" s="106"/>
    </row>
    <row r="1046931" spans="52:53">
      <c r="AZ1046931" s="106"/>
      <c r="BA1046931" s="106"/>
    </row>
    <row r="1046932" spans="52:53">
      <c r="AZ1046932" s="106"/>
      <c r="BA1046932" s="106"/>
    </row>
    <row r="1046933" spans="52:53">
      <c r="AZ1046933" s="106"/>
      <c r="BA1046933" s="106"/>
    </row>
    <row r="1046934" spans="52:53">
      <c r="AZ1046934" s="106"/>
      <c r="BA1046934" s="106"/>
    </row>
    <row r="1046935" spans="52:53">
      <c r="AZ1046935" s="106"/>
      <c r="BA1046935" s="106"/>
    </row>
    <row r="1046936" spans="52:53">
      <c r="AZ1046936" s="106"/>
      <c r="BA1046936" s="106"/>
    </row>
    <row r="1046937" spans="52:53">
      <c r="AZ1046937" s="106"/>
      <c r="BA1046937" s="106"/>
    </row>
    <row r="1046938" spans="52:53">
      <c r="AZ1046938" s="106"/>
      <c r="BA1046938" s="106"/>
    </row>
    <row r="1046939" spans="52:53">
      <c r="AZ1046939" s="106"/>
      <c r="BA1046939" s="106"/>
    </row>
    <row r="1046940" spans="52:53">
      <c r="AZ1046940" s="106"/>
      <c r="BA1046940" s="106"/>
    </row>
    <row r="1046941" spans="52:53">
      <c r="AZ1046941" s="106"/>
      <c r="BA1046941" s="106"/>
    </row>
    <row r="1046942" spans="52:53">
      <c r="AZ1046942" s="106"/>
      <c r="BA1046942" s="106"/>
    </row>
    <row r="1046943" spans="52:53">
      <c r="AZ1046943" s="106"/>
      <c r="BA1046943" s="106"/>
    </row>
    <row r="1046944" spans="52:53">
      <c r="AZ1046944" s="106"/>
      <c r="BA1046944" s="106"/>
    </row>
    <row r="1046945" spans="52:53">
      <c r="AZ1046945" s="106"/>
      <c r="BA1046945" s="106"/>
    </row>
    <row r="1046946" spans="52:53">
      <c r="AZ1046946" s="106"/>
      <c r="BA1046946" s="106"/>
    </row>
    <row r="1046947" spans="52:53">
      <c r="AZ1046947" s="106"/>
      <c r="BA1046947" s="106"/>
    </row>
    <row r="1046948" spans="52:53">
      <c r="AZ1046948" s="106"/>
      <c r="BA1046948" s="106"/>
    </row>
    <row r="1046949" spans="52:53">
      <c r="AZ1046949" s="106"/>
      <c r="BA1046949" s="106"/>
    </row>
    <row r="1046950" spans="52:53">
      <c r="AZ1046950" s="106"/>
      <c r="BA1046950" s="106"/>
    </row>
    <row r="1046951" spans="52:53">
      <c r="AZ1046951" s="106"/>
      <c r="BA1046951" s="106"/>
    </row>
    <row r="1046952" spans="52:53">
      <c r="AZ1046952" s="106"/>
      <c r="BA1046952" s="106"/>
    </row>
    <row r="1046953" spans="52:53">
      <c r="AZ1046953" s="106"/>
      <c r="BA1046953" s="106"/>
    </row>
    <row r="1046954" spans="52:53">
      <c r="AZ1046954" s="106"/>
      <c r="BA1046954" s="106"/>
    </row>
    <row r="1046955" spans="52:53">
      <c r="AZ1046955" s="106"/>
      <c r="BA1046955" s="106"/>
    </row>
    <row r="1046956" spans="52:53">
      <c r="AZ1046956" s="106"/>
      <c r="BA1046956" s="106"/>
    </row>
    <row r="1046957" spans="52:53">
      <c r="AZ1046957" s="106"/>
      <c r="BA1046957" s="106"/>
    </row>
    <row r="1046958" spans="52:53">
      <c r="AZ1046958" s="106"/>
      <c r="BA1046958" s="106"/>
    </row>
    <row r="1046959" spans="52:53">
      <c r="AZ1046959" s="106"/>
      <c r="BA1046959" s="106"/>
    </row>
    <row r="1046960" spans="52:53">
      <c r="AZ1046960" s="106"/>
      <c r="BA1046960" s="106"/>
    </row>
    <row r="1046961" spans="52:53">
      <c r="AZ1046961" s="106"/>
      <c r="BA1046961" s="106"/>
    </row>
    <row r="1046962" spans="52:53">
      <c r="AZ1046962" s="106"/>
      <c r="BA1046962" s="106"/>
    </row>
    <row r="1046963" spans="52:53">
      <c r="AZ1046963" s="106"/>
      <c r="BA1046963" s="106"/>
    </row>
    <row r="1046964" spans="52:53">
      <c r="AZ1046964" s="106"/>
      <c r="BA1046964" s="106"/>
    </row>
    <row r="1046965" spans="52:53">
      <c r="AZ1046965" s="106"/>
      <c r="BA1046965" s="106"/>
    </row>
    <row r="1046966" spans="52:53">
      <c r="AZ1046966" s="106"/>
      <c r="BA1046966" s="106"/>
    </row>
    <row r="1046967" spans="52:53">
      <c r="AZ1046967" s="106"/>
      <c r="BA1046967" s="106"/>
    </row>
    <row r="1046968" spans="52:53">
      <c r="AZ1046968" s="106"/>
      <c r="BA1046968" s="106"/>
    </row>
    <row r="1046969" spans="52:53">
      <c r="AZ1046969" s="106"/>
      <c r="BA1046969" s="106"/>
    </row>
    <row r="1046970" spans="52:53">
      <c r="AZ1046970" s="106"/>
      <c r="BA1046970" s="106"/>
    </row>
    <row r="1046971" spans="52:53">
      <c r="AZ1046971" s="106"/>
      <c r="BA1046971" s="106"/>
    </row>
    <row r="1046972" spans="52:53">
      <c r="AZ1046972" s="106"/>
      <c r="BA1046972" s="106"/>
    </row>
    <row r="1046973" spans="52:53">
      <c r="AZ1046973" s="106"/>
      <c r="BA1046973" s="106"/>
    </row>
    <row r="1046974" spans="52:53">
      <c r="AZ1046974" s="106"/>
      <c r="BA1046974" s="106"/>
    </row>
    <row r="1046975" spans="52:53">
      <c r="AZ1046975" s="106"/>
      <c r="BA1046975" s="106"/>
    </row>
    <row r="1046976" spans="52:53">
      <c r="AZ1046976" s="106"/>
      <c r="BA1046976" s="106"/>
    </row>
    <row r="1046977" spans="52:53">
      <c r="AZ1046977" s="106"/>
      <c r="BA1046977" s="106"/>
    </row>
    <row r="1046978" spans="52:53">
      <c r="AZ1046978" s="106"/>
      <c r="BA1046978" s="106"/>
    </row>
    <row r="1046979" spans="52:53">
      <c r="AZ1046979" s="106"/>
      <c r="BA1046979" s="106"/>
    </row>
    <row r="1046980" spans="52:53">
      <c r="AZ1046980" s="106"/>
      <c r="BA1046980" s="106"/>
    </row>
    <row r="1046981" spans="52:53">
      <c r="AZ1046981" s="106"/>
      <c r="BA1046981" s="106"/>
    </row>
    <row r="1046982" spans="52:53">
      <c r="AZ1046982" s="106"/>
      <c r="BA1046982" s="106"/>
    </row>
    <row r="1046983" spans="52:53">
      <c r="AZ1046983" s="106"/>
      <c r="BA1046983" s="106"/>
    </row>
    <row r="1046984" spans="52:53">
      <c r="AZ1046984" s="106"/>
      <c r="BA1046984" s="106"/>
    </row>
    <row r="1046985" spans="52:53">
      <c r="AZ1046985" s="106"/>
      <c r="BA1046985" s="106"/>
    </row>
    <row r="1046986" spans="52:53">
      <c r="AZ1046986" s="106"/>
      <c r="BA1046986" s="106"/>
    </row>
    <row r="1046987" spans="52:53">
      <c r="AZ1046987" s="106"/>
      <c r="BA1046987" s="106"/>
    </row>
    <row r="1046988" spans="52:53">
      <c r="AZ1046988" s="106"/>
      <c r="BA1046988" s="106"/>
    </row>
    <row r="1046989" spans="52:53">
      <c r="AZ1046989" s="106"/>
      <c r="BA1046989" s="106"/>
    </row>
    <row r="1046990" spans="52:53">
      <c r="AZ1046990" s="106"/>
      <c r="BA1046990" s="106"/>
    </row>
    <row r="1046991" spans="52:53">
      <c r="AZ1046991" s="106"/>
      <c r="BA1046991" s="106"/>
    </row>
    <row r="1046992" spans="52:53">
      <c r="AZ1046992" s="106"/>
      <c r="BA1046992" s="106"/>
    </row>
    <row r="1046993" spans="52:53">
      <c r="AZ1046993" s="106"/>
      <c r="BA1046993" s="106"/>
    </row>
    <row r="1046994" spans="52:53">
      <c r="AZ1046994" s="106"/>
      <c r="BA1046994" s="106"/>
    </row>
    <row r="1046995" spans="52:53">
      <c r="AZ1046995" s="106"/>
      <c r="BA1046995" s="106"/>
    </row>
    <row r="1046996" spans="52:53">
      <c r="AZ1046996" s="106"/>
      <c r="BA1046996" s="106"/>
    </row>
    <row r="1046997" spans="52:53">
      <c r="AZ1046997" s="106"/>
      <c r="BA1046997" s="106"/>
    </row>
    <row r="1046998" spans="52:53">
      <c r="AZ1046998" s="106"/>
      <c r="BA1046998" s="106"/>
    </row>
    <row r="1046999" spans="52:53">
      <c r="AZ1046999" s="106"/>
      <c r="BA1046999" s="106"/>
    </row>
    <row r="1047000" spans="52:53">
      <c r="AZ1047000" s="106"/>
      <c r="BA1047000" s="106"/>
    </row>
    <row r="1047001" spans="52:53">
      <c r="AZ1047001" s="106"/>
      <c r="BA1047001" s="106"/>
    </row>
    <row r="1047002" spans="52:53">
      <c r="AZ1047002" s="106"/>
      <c r="BA1047002" s="106"/>
    </row>
    <row r="1047003" spans="52:53">
      <c r="AZ1047003" s="106"/>
      <c r="BA1047003" s="106"/>
    </row>
    <row r="1047004" spans="52:53">
      <c r="AZ1047004" s="106"/>
      <c r="BA1047004" s="106"/>
    </row>
    <row r="1047005" spans="52:53">
      <c r="AZ1047005" s="106"/>
      <c r="BA1047005" s="106"/>
    </row>
    <row r="1047006" spans="52:53">
      <c r="AZ1047006" s="106"/>
      <c r="BA1047006" s="106"/>
    </row>
    <row r="1047007" spans="52:53">
      <c r="AZ1047007" s="106"/>
      <c r="BA1047007" s="106"/>
    </row>
    <row r="1047008" spans="52:53">
      <c r="AZ1047008" s="106"/>
      <c r="BA1047008" s="106"/>
    </row>
    <row r="1047009" spans="52:53">
      <c r="AZ1047009" s="106"/>
      <c r="BA1047009" s="106"/>
    </row>
    <row r="1047010" spans="52:53">
      <c r="AZ1047010" s="106"/>
      <c r="BA1047010" s="106"/>
    </row>
    <row r="1047011" spans="52:53">
      <c r="AZ1047011" s="106"/>
      <c r="BA1047011" s="106"/>
    </row>
    <row r="1047012" spans="52:53">
      <c r="AZ1047012" s="106"/>
      <c r="BA1047012" s="106"/>
    </row>
    <row r="1047013" spans="52:53">
      <c r="AZ1047013" s="106"/>
      <c r="BA1047013" s="106"/>
    </row>
    <row r="1047014" spans="52:53">
      <c r="AZ1047014" s="106"/>
      <c r="BA1047014" s="106"/>
    </row>
    <row r="1047015" spans="52:53">
      <c r="AZ1047015" s="106"/>
      <c r="BA1047015" s="106"/>
    </row>
    <row r="1047016" spans="52:53">
      <c r="AZ1047016" s="106"/>
      <c r="BA1047016" s="106"/>
    </row>
    <row r="1047017" spans="52:53">
      <c r="AZ1047017" s="106"/>
      <c r="BA1047017" s="106"/>
    </row>
    <row r="1047018" spans="52:53">
      <c r="AZ1047018" s="106"/>
      <c r="BA1047018" s="106"/>
    </row>
    <row r="1047019" spans="52:53">
      <c r="AZ1047019" s="106"/>
      <c r="BA1047019" s="106"/>
    </row>
    <row r="1047020" spans="52:53">
      <c r="AZ1047020" s="106"/>
      <c r="BA1047020" s="106"/>
    </row>
    <row r="1047021" spans="52:53">
      <c r="AZ1047021" s="106"/>
      <c r="BA1047021" s="106"/>
    </row>
    <row r="1047022" spans="52:53">
      <c r="AZ1047022" s="106"/>
      <c r="BA1047022" s="106"/>
    </row>
    <row r="1047023" spans="52:53">
      <c r="AZ1047023" s="106"/>
      <c r="BA1047023" s="106"/>
    </row>
    <row r="1047024" spans="52:53">
      <c r="AZ1047024" s="106"/>
      <c r="BA1047024" s="106"/>
    </row>
    <row r="1047025" spans="52:53">
      <c r="AZ1047025" s="106"/>
      <c r="BA1047025" s="106"/>
    </row>
    <row r="1047026" spans="52:53">
      <c r="AZ1047026" s="106"/>
      <c r="BA1047026" s="106"/>
    </row>
    <row r="1047027" spans="52:53">
      <c r="AZ1047027" s="106"/>
      <c r="BA1047027" s="106"/>
    </row>
    <row r="1047028" spans="52:53">
      <c r="AZ1047028" s="106"/>
      <c r="BA1047028" s="106"/>
    </row>
    <row r="1047029" spans="52:53">
      <c r="AZ1047029" s="106"/>
      <c r="BA1047029" s="106"/>
    </row>
    <row r="1047030" spans="52:53">
      <c r="AZ1047030" s="106"/>
      <c r="BA1047030" s="106"/>
    </row>
    <row r="1047031" spans="52:53">
      <c r="AZ1047031" s="106"/>
      <c r="BA1047031" s="106"/>
    </row>
    <row r="1047032" spans="52:53">
      <c r="AZ1047032" s="106"/>
      <c r="BA1047032" s="106"/>
    </row>
    <row r="1047033" spans="52:53">
      <c r="AZ1047033" s="106"/>
      <c r="BA1047033" s="106"/>
    </row>
    <row r="1047034" spans="52:53">
      <c r="AZ1047034" s="106"/>
      <c r="BA1047034" s="106"/>
    </row>
    <row r="1047035" spans="52:53">
      <c r="AZ1047035" s="106"/>
      <c r="BA1047035" s="106"/>
    </row>
    <row r="1047036" spans="52:53">
      <c r="AZ1047036" s="106"/>
      <c r="BA1047036" s="106"/>
    </row>
    <row r="1047037" spans="52:53">
      <c r="AZ1047037" s="106"/>
      <c r="BA1047037" s="106"/>
    </row>
    <row r="1047038" spans="52:53">
      <c r="AZ1047038" s="106"/>
      <c r="BA1047038" s="106"/>
    </row>
    <row r="1047039" spans="52:53">
      <c r="AZ1047039" s="106"/>
      <c r="BA1047039" s="106"/>
    </row>
    <row r="1047040" spans="52:53">
      <c r="AZ1047040" s="106"/>
      <c r="BA1047040" s="106"/>
    </row>
    <row r="1047041" spans="52:53">
      <c r="AZ1047041" s="106"/>
      <c r="BA1047041" s="106"/>
    </row>
    <row r="1047042" spans="52:53">
      <c r="AZ1047042" s="106"/>
      <c r="BA1047042" s="106"/>
    </row>
    <row r="1047043" spans="52:53">
      <c r="AZ1047043" s="106"/>
      <c r="BA1047043" s="106"/>
    </row>
    <row r="1047044" spans="52:53">
      <c r="AZ1047044" s="106"/>
      <c r="BA1047044" s="106"/>
    </row>
    <row r="1047045" spans="52:53">
      <c r="AZ1047045" s="106"/>
      <c r="BA1047045" s="106"/>
    </row>
    <row r="1047046" spans="52:53">
      <c r="AZ1047046" s="106"/>
      <c r="BA1047046" s="106"/>
    </row>
    <row r="1047047" spans="52:53">
      <c r="AZ1047047" s="106"/>
      <c r="BA1047047" s="106"/>
    </row>
    <row r="1047048" spans="52:53">
      <c r="AZ1047048" s="106"/>
      <c r="BA1047048" s="106"/>
    </row>
    <row r="1047049" spans="52:53">
      <c r="AZ1047049" s="106"/>
      <c r="BA1047049" s="106"/>
    </row>
    <row r="1047050" spans="52:53">
      <c r="AZ1047050" s="106"/>
      <c r="BA1047050" s="106"/>
    </row>
    <row r="1047051" spans="52:53">
      <c r="AZ1047051" s="106"/>
      <c r="BA1047051" s="106"/>
    </row>
    <row r="1047052" spans="52:53">
      <c r="AZ1047052" s="106"/>
      <c r="BA1047052" s="106"/>
    </row>
    <row r="1047053" spans="52:53">
      <c r="AZ1047053" s="106"/>
      <c r="BA1047053" s="106"/>
    </row>
    <row r="1047054" spans="52:53">
      <c r="AZ1047054" s="106"/>
      <c r="BA1047054" s="106"/>
    </row>
    <row r="1047055" spans="52:53">
      <c r="AZ1047055" s="106"/>
      <c r="BA1047055" s="106"/>
    </row>
    <row r="1047056" spans="52:53">
      <c r="AZ1047056" s="106"/>
      <c r="BA1047056" s="106"/>
    </row>
    <row r="1047057" spans="52:53">
      <c r="AZ1047057" s="106"/>
      <c r="BA1047057" s="106"/>
    </row>
    <row r="1047058" spans="52:53">
      <c r="AZ1047058" s="106"/>
      <c r="BA1047058" s="106"/>
    </row>
    <row r="1047059" spans="52:53">
      <c r="AZ1047059" s="106"/>
      <c r="BA1047059" s="106"/>
    </row>
    <row r="1047060" spans="52:53">
      <c r="AZ1047060" s="106"/>
      <c r="BA1047060" s="106"/>
    </row>
    <row r="1047061" spans="52:53">
      <c r="AZ1047061" s="106"/>
      <c r="BA1047061" s="106"/>
    </row>
    <row r="1047062" spans="52:53">
      <c r="AZ1047062" s="106"/>
      <c r="BA1047062" s="106"/>
    </row>
    <row r="1047063" spans="52:53">
      <c r="AZ1047063" s="106"/>
      <c r="BA1047063" s="106"/>
    </row>
    <row r="1047064" spans="52:53">
      <c r="AZ1047064" s="106"/>
      <c r="BA1047064" s="106"/>
    </row>
    <row r="1047065" spans="52:53">
      <c r="AZ1047065" s="106"/>
      <c r="BA1047065" s="106"/>
    </row>
    <row r="1047066" spans="52:53">
      <c r="AZ1047066" s="106"/>
      <c r="BA1047066" s="106"/>
    </row>
    <row r="1047067" spans="52:53">
      <c r="AZ1047067" s="106"/>
      <c r="BA1047067" s="106"/>
    </row>
    <row r="1047068" spans="52:53">
      <c r="AZ1047068" s="106"/>
      <c r="BA1047068" s="106"/>
    </row>
    <row r="1047069" spans="52:53">
      <c r="AZ1047069" s="106"/>
      <c r="BA1047069" s="106"/>
    </row>
    <row r="1047070" spans="52:53">
      <c r="AZ1047070" s="106"/>
      <c r="BA1047070" s="106"/>
    </row>
    <row r="1047071" spans="52:53">
      <c r="AZ1047071" s="106"/>
      <c r="BA1047071" s="106"/>
    </row>
    <row r="1047072" spans="52:53">
      <c r="AZ1047072" s="106"/>
      <c r="BA1047072" s="106"/>
    </row>
    <row r="1047073" spans="52:53">
      <c r="AZ1047073" s="106"/>
      <c r="BA1047073" s="106"/>
    </row>
    <row r="1047074" spans="52:53">
      <c r="AZ1047074" s="106"/>
      <c r="BA1047074" s="106"/>
    </row>
    <row r="1047075" spans="52:53">
      <c r="AZ1047075" s="106"/>
      <c r="BA1047075" s="106"/>
    </row>
    <row r="1047076" spans="52:53">
      <c r="AZ1047076" s="106"/>
      <c r="BA1047076" s="106"/>
    </row>
    <row r="1047077" spans="52:53">
      <c r="AZ1047077" s="106"/>
      <c r="BA1047077" s="106"/>
    </row>
    <row r="1047078" spans="52:53">
      <c r="AZ1047078" s="106"/>
      <c r="BA1047078" s="106"/>
    </row>
    <row r="1047079" spans="52:53">
      <c r="AZ1047079" s="106"/>
      <c r="BA1047079" s="106"/>
    </row>
    <row r="1047080" spans="52:53">
      <c r="AZ1047080" s="106"/>
      <c r="BA1047080" s="106"/>
    </row>
    <row r="1047081" spans="52:53">
      <c r="AZ1047081" s="106"/>
      <c r="BA1047081" s="106"/>
    </row>
    <row r="1047082" spans="52:53">
      <c r="AZ1047082" s="106"/>
      <c r="BA1047082" s="106"/>
    </row>
    <row r="1047083" spans="52:53">
      <c r="AZ1047083" s="106"/>
      <c r="BA1047083" s="106"/>
    </row>
    <row r="1047084" spans="52:53">
      <c r="AZ1047084" s="106"/>
      <c r="BA1047084" s="106"/>
    </row>
    <row r="1047085" spans="52:53">
      <c r="AZ1047085" s="106"/>
      <c r="BA1047085" s="106"/>
    </row>
    <row r="1047086" spans="52:53">
      <c r="AZ1047086" s="106"/>
      <c r="BA1047086" s="106"/>
    </row>
    <row r="1047087" spans="52:53">
      <c r="AZ1047087" s="106"/>
      <c r="BA1047087" s="106"/>
    </row>
    <row r="1047088" spans="52:53">
      <c r="AZ1047088" s="106"/>
      <c r="BA1047088" s="106"/>
    </row>
    <row r="1047089" spans="52:53">
      <c r="AZ1047089" s="106"/>
      <c r="BA1047089" s="106"/>
    </row>
    <row r="1047090" spans="52:53">
      <c r="AZ1047090" s="106"/>
      <c r="BA1047090" s="106"/>
    </row>
    <row r="1047091" spans="52:53">
      <c r="AZ1047091" s="106"/>
      <c r="BA1047091" s="106"/>
    </row>
    <row r="1047092" spans="52:53">
      <c r="AZ1047092" s="106"/>
      <c r="BA1047092" s="106"/>
    </row>
    <row r="1047093" spans="52:53">
      <c r="AZ1047093" s="106"/>
      <c r="BA1047093" s="106"/>
    </row>
    <row r="1047094" spans="52:53">
      <c r="AZ1047094" s="106"/>
      <c r="BA1047094" s="106"/>
    </row>
    <row r="1047095" spans="52:53">
      <c r="AZ1047095" s="106"/>
      <c r="BA1047095" s="106"/>
    </row>
    <row r="1047096" spans="52:53">
      <c r="AZ1047096" s="106"/>
      <c r="BA1047096" s="106"/>
    </row>
    <row r="1047097" spans="52:53">
      <c r="AZ1047097" s="106"/>
      <c r="BA1047097" s="106"/>
    </row>
    <row r="1047098" spans="52:53">
      <c r="AZ1047098" s="106"/>
      <c r="BA1047098" s="106"/>
    </row>
    <row r="1047099" spans="52:53">
      <c r="AZ1047099" s="106"/>
      <c r="BA1047099" s="106"/>
    </row>
    <row r="1047100" spans="52:53">
      <c r="AZ1047100" s="106"/>
      <c r="BA1047100" s="106"/>
    </row>
    <row r="1047101" spans="52:53">
      <c r="AZ1047101" s="106"/>
      <c r="BA1047101" s="106"/>
    </row>
    <row r="1047102" spans="52:53">
      <c r="AZ1047102" s="106"/>
      <c r="BA1047102" s="106"/>
    </row>
    <row r="1047103" spans="52:53">
      <c r="AZ1047103" s="106"/>
      <c r="BA1047103" s="106"/>
    </row>
    <row r="1047104" spans="52:53">
      <c r="AZ1047104" s="106"/>
      <c r="BA1047104" s="106"/>
    </row>
    <row r="1047105" spans="52:53">
      <c r="AZ1047105" s="106"/>
      <c r="BA1047105" s="106"/>
    </row>
    <row r="1047106" spans="52:53">
      <c r="AZ1047106" s="106"/>
      <c r="BA1047106" s="106"/>
    </row>
    <row r="1047107" spans="52:53">
      <c r="AZ1047107" s="106"/>
      <c r="BA1047107" s="106"/>
    </row>
    <row r="1047108" spans="52:53">
      <c r="AZ1047108" s="106"/>
      <c r="BA1047108" s="106"/>
    </row>
    <row r="1047109" spans="52:53">
      <c r="AZ1047109" s="106"/>
      <c r="BA1047109" s="106"/>
    </row>
    <row r="1047110" spans="52:53">
      <c r="AZ1047110" s="106"/>
      <c r="BA1047110" s="106"/>
    </row>
    <row r="1047111" spans="52:53">
      <c r="AZ1047111" s="106"/>
      <c r="BA1047111" s="106"/>
    </row>
    <row r="1047112" spans="52:53">
      <c r="AZ1047112" s="106"/>
      <c r="BA1047112" s="106"/>
    </row>
    <row r="1047113" spans="52:53">
      <c r="AZ1047113" s="106"/>
      <c r="BA1047113" s="106"/>
    </row>
    <row r="1047114" spans="52:53">
      <c r="AZ1047114" s="106"/>
      <c r="BA1047114" s="106"/>
    </row>
    <row r="1047115" spans="52:53">
      <c r="AZ1047115" s="106"/>
      <c r="BA1047115" s="106"/>
    </row>
    <row r="1047116" spans="52:53">
      <c r="AZ1047116" s="106"/>
      <c r="BA1047116" s="106"/>
    </row>
    <row r="1047117" spans="52:53">
      <c r="AZ1047117" s="106"/>
      <c r="BA1047117" s="106"/>
    </row>
    <row r="1047118" spans="52:53">
      <c r="AZ1047118" s="106"/>
      <c r="BA1047118" s="106"/>
    </row>
    <row r="1047119" spans="52:53">
      <c r="AZ1047119" s="106"/>
      <c r="BA1047119" s="106"/>
    </row>
    <row r="1047120" spans="52:53">
      <c r="AZ1047120" s="106"/>
      <c r="BA1047120" s="106"/>
    </row>
    <row r="1047121" spans="52:53">
      <c r="AZ1047121" s="106"/>
      <c r="BA1047121" s="106"/>
    </row>
    <row r="1047122" spans="52:53">
      <c r="AZ1047122" s="106"/>
      <c r="BA1047122" s="106"/>
    </row>
    <row r="1047123" spans="52:53">
      <c r="AZ1047123" s="106"/>
      <c r="BA1047123" s="106"/>
    </row>
    <row r="1047124" spans="52:53">
      <c r="AZ1047124" s="106"/>
      <c r="BA1047124" s="106"/>
    </row>
    <row r="1047125" spans="52:53">
      <c r="AZ1047125" s="106"/>
      <c r="BA1047125" s="106"/>
    </row>
    <row r="1047126" spans="52:53">
      <c r="AZ1047126" s="106"/>
      <c r="BA1047126" s="106"/>
    </row>
    <row r="1047127" spans="52:53">
      <c r="AZ1047127" s="106"/>
      <c r="BA1047127" s="106"/>
    </row>
    <row r="1047128" spans="52:53">
      <c r="AZ1047128" s="106"/>
      <c r="BA1047128" s="106"/>
    </row>
    <row r="1047129" spans="52:53">
      <c r="AZ1047129" s="106"/>
      <c r="BA1047129" s="106"/>
    </row>
    <row r="1047130" spans="52:53">
      <c r="AZ1047130" s="106"/>
      <c r="BA1047130" s="106"/>
    </row>
    <row r="1047131" spans="52:53">
      <c r="AZ1047131" s="106"/>
      <c r="BA1047131" s="106"/>
    </row>
    <row r="1047132" spans="52:53">
      <c r="AZ1047132" s="106"/>
      <c r="BA1047132" s="106"/>
    </row>
    <row r="1047133" spans="52:53">
      <c r="AZ1047133" s="106"/>
      <c r="BA1047133" s="106"/>
    </row>
    <row r="1047134" spans="52:53">
      <c r="AZ1047134" s="106"/>
      <c r="BA1047134" s="106"/>
    </row>
    <row r="1047135" spans="52:53">
      <c r="AZ1047135" s="106"/>
      <c r="BA1047135" s="106"/>
    </row>
    <row r="1047136" spans="52:53">
      <c r="AZ1047136" s="106"/>
      <c r="BA1047136" s="106"/>
    </row>
    <row r="1047137" spans="52:53">
      <c r="AZ1047137" s="106"/>
      <c r="BA1047137" s="106"/>
    </row>
    <row r="1047138" spans="52:53">
      <c r="AZ1047138" s="106"/>
      <c r="BA1047138" s="106"/>
    </row>
    <row r="1047139" spans="52:53">
      <c r="AZ1047139" s="106"/>
      <c r="BA1047139" s="106"/>
    </row>
    <row r="1047140" spans="52:53">
      <c r="AZ1047140" s="106"/>
      <c r="BA1047140" s="106"/>
    </row>
    <row r="1047141" spans="52:53">
      <c r="AZ1047141" s="106"/>
      <c r="BA1047141" s="106"/>
    </row>
    <row r="1047142" spans="52:53">
      <c r="AZ1047142" s="106"/>
      <c r="BA1047142" s="106"/>
    </row>
    <row r="1047143" spans="52:53">
      <c r="AZ1047143" s="106"/>
      <c r="BA1047143" s="106"/>
    </row>
    <row r="1047144" spans="52:53">
      <c r="AZ1047144" s="106"/>
      <c r="BA1047144" s="106"/>
    </row>
    <row r="1047145" spans="52:53">
      <c r="AZ1047145" s="106"/>
      <c r="BA1047145" s="106"/>
    </row>
    <row r="1047146" spans="52:53">
      <c r="AZ1047146" s="106"/>
      <c r="BA1047146" s="106"/>
    </row>
    <row r="1047147" spans="52:53">
      <c r="AZ1047147" s="106"/>
      <c r="BA1047147" s="106"/>
    </row>
    <row r="1047148" spans="52:53">
      <c r="AZ1047148" s="106"/>
      <c r="BA1047148" s="106"/>
    </row>
    <row r="1047149" spans="52:53">
      <c r="AZ1047149" s="106"/>
      <c r="BA1047149" s="106"/>
    </row>
    <row r="1047150" spans="52:53">
      <c r="AZ1047150" s="106"/>
      <c r="BA1047150" s="106"/>
    </row>
    <row r="1047151" spans="52:53">
      <c r="AZ1047151" s="106"/>
      <c r="BA1047151" s="106"/>
    </row>
    <row r="1047152" spans="52:53">
      <c r="AZ1047152" s="106"/>
      <c r="BA1047152" s="106"/>
    </row>
    <row r="1047153" spans="52:53">
      <c r="AZ1047153" s="106"/>
      <c r="BA1047153" s="106"/>
    </row>
    <row r="1047154" spans="52:53">
      <c r="AZ1047154" s="106"/>
      <c r="BA1047154" s="106"/>
    </row>
    <row r="1047155" spans="52:53">
      <c r="AZ1047155" s="106"/>
      <c r="BA1047155" s="106"/>
    </row>
    <row r="1047156" spans="52:53">
      <c r="AZ1047156" s="106"/>
      <c r="BA1047156" s="106"/>
    </row>
    <row r="1047157" spans="52:53">
      <c r="AZ1047157" s="106"/>
      <c r="BA1047157" s="106"/>
    </row>
    <row r="1047158" spans="52:53">
      <c r="AZ1047158" s="106"/>
      <c r="BA1047158" s="106"/>
    </row>
    <row r="1047159" spans="52:53">
      <c r="AZ1047159" s="106"/>
      <c r="BA1047159" s="106"/>
    </row>
    <row r="1047160" spans="52:53">
      <c r="AZ1047160" s="106"/>
      <c r="BA1047160" s="106"/>
    </row>
    <row r="1047161" spans="52:53">
      <c r="AZ1047161" s="106"/>
      <c r="BA1047161" s="106"/>
    </row>
    <row r="1047162" spans="52:53">
      <c r="AZ1047162" s="106"/>
      <c r="BA1047162" s="106"/>
    </row>
    <row r="1047163" spans="52:53">
      <c r="AZ1047163" s="106"/>
      <c r="BA1047163" s="106"/>
    </row>
    <row r="1047164" spans="52:53">
      <c r="AZ1047164" s="106"/>
      <c r="BA1047164" s="106"/>
    </row>
    <row r="1047165" spans="52:53">
      <c r="AZ1047165" s="106"/>
      <c r="BA1047165" s="106"/>
    </row>
    <row r="1047166" spans="52:53">
      <c r="AZ1047166" s="106"/>
      <c r="BA1047166" s="106"/>
    </row>
    <row r="1047167" spans="52:53">
      <c r="AZ1047167" s="106"/>
      <c r="BA1047167" s="106"/>
    </row>
    <row r="1047168" spans="52:53">
      <c r="AZ1047168" s="106"/>
      <c r="BA1047168" s="106"/>
    </row>
    <row r="1047169" spans="52:53">
      <c r="AZ1047169" s="106"/>
      <c r="BA1047169" s="106"/>
    </row>
    <row r="1047170" spans="52:53">
      <c r="AZ1047170" s="106"/>
      <c r="BA1047170" s="106"/>
    </row>
    <row r="1047171" spans="52:53">
      <c r="AZ1047171" s="106"/>
      <c r="BA1047171" s="106"/>
    </row>
    <row r="1047172" spans="52:53">
      <c r="AZ1047172" s="106"/>
      <c r="BA1047172" s="106"/>
    </row>
    <row r="1047173" spans="52:53">
      <c r="AZ1047173" s="106"/>
      <c r="BA1047173" s="106"/>
    </row>
    <row r="1047174" spans="52:53">
      <c r="AZ1047174" s="106"/>
      <c r="BA1047174" s="106"/>
    </row>
    <row r="1047175" spans="52:53">
      <c r="AZ1047175" s="106"/>
      <c r="BA1047175" s="106"/>
    </row>
    <row r="1047176" spans="52:53">
      <c r="AZ1047176" s="106"/>
      <c r="BA1047176" s="106"/>
    </row>
    <row r="1047177" spans="52:53">
      <c r="AZ1047177" s="106"/>
      <c r="BA1047177" s="106"/>
    </row>
    <row r="1047178" spans="52:53">
      <c r="AZ1047178" s="106"/>
      <c r="BA1047178" s="106"/>
    </row>
    <row r="1047179" spans="52:53">
      <c r="AZ1047179" s="106"/>
      <c r="BA1047179" s="106"/>
    </row>
    <row r="1047180" spans="52:53">
      <c r="AZ1047180" s="106"/>
      <c r="BA1047180" s="106"/>
    </row>
    <row r="1047181" spans="52:53">
      <c r="AZ1047181" s="106"/>
      <c r="BA1047181" s="106"/>
    </row>
    <row r="1047182" spans="52:53">
      <c r="AZ1047182" s="106"/>
      <c r="BA1047182" s="106"/>
    </row>
    <row r="1047183" spans="52:53">
      <c r="AZ1047183" s="106"/>
      <c r="BA1047183" s="106"/>
    </row>
    <row r="1047184" spans="52:53">
      <c r="AZ1047184" s="106"/>
      <c r="BA1047184" s="106"/>
    </row>
    <row r="1047185" spans="52:53">
      <c r="AZ1047185" s="106"/>
      <c r="BA1047185" s="106"/>
    </row>
    <row r="1047186" spans="52:53">
      <c r="AZ1047186" s="106"/>
      <c r="BA1047186" s="106"/>
    </row>
    <row r="1047187" spans="52:53">
      <c r="AZ1047187" s="106"/>
      <c r="BA1047187" s="106"/>
    </row>
    <row r="1047188" spans="52:53">
      <c r="AZ1047188" s="106"/>
      <c r="BA1047188" s="106"/>
    </row>
    <row r="1047189" spans="52:53">
      <c r="AZ1047189" s="106"/>
      <c r="BA1047189" s="106"/>
    </row>
    <row r="1047190" spans="52:53">
      <c r="AZ1047190" s="106"/>
      <c r="BA1047190" s="106"/>
    </row>
    <row r="1047191" spans="52:53">
      <c r="AZ1047191" s="106"/>
      <c r="BA1047191" s="106"/>
    </row>
    <row r="1047192" spans="52:53">
      <c r="AZ1047192" s="106"/>
      <c r="BA1047192" s="106"/>
    </row>
    <row r="1047193" spans="52:53">
      <c r="AZ1047193" s="106"/>
      <c r="BA1047193" s="106"/>
    </row>
    <row r="1047194" spans="52:53">
      <c r="AZ1047194" s="106"/>
      <c r="BA1047194" s="106"/>
    </row>
    <row r="1047195" spans="52:53">
      <c r="AZ1047195" s="106"/>
      <c r="BA1047195" s="106"/>
    </row>
    <row r="1047196" spans="52:53">
      <c r="AZ1047196" s="106"/>
      <c r="BA1047196" s="106"/>
    </row>
    <row r="1047197" spans="52:53">
      <c r="AZ1047197" s="106"/>
      <c r="BA1047197" s="106"/>
    </row>
    <row r="1047198" spans="52:53">
      <c r="AZ1047198" s="106"/>
      <c r="BA1047198" s="106"/>
    </row>
    <row r="1047199" spans="52:53">
      <c r="AZ1047199" s="106"/>
      <c r="BA1047199" s="106"/>
    </row>
    <row r="1047200" spans="52:53">
      <c r="AZ1047200" s="106"/>
      <c r="BA1047200" s="106"/>
    </row>
    <row r="1047201" spans="52:53">
      <c r="AZ1047201" s="106"/>
      <c r="BA1047201" s="106"/>
    </row>
    <row r="1047202" spans="52:53">
      <c r="AZ1047202" s="106"/>
      <c r="BA1047202" s="106"/>
    </row>
    <row r="1047203" spans="52:53">
      <c r="AZ1047203" s="106"/>
      <c r="BA1047203" s="106"/>
    </row>
    <row r="1047204" spans="52:53">
      <c r="AZ1047204" s="106"/>
      <c r="BA1047204" s="106"/>
    </row>
    <row r="1047205" spans="52:53">
      <c r="AZ1047205" s="106"/>
      <c r="BA1047205" s="106"/>
    </row>
    <row r="1047206" spans="52:53">
      <c r="AZ1047206" s="106"/>
      <c r="BA1047206" s="106"/>
    </row>
    <row r="1047207" spans="52:53">
      <c r="AZ1047207" s="106"/>
      <c r="BA1047207" s="106"/>
    </row>
    <row r="1047208" spans="52:53">
      <c r="AZ1047208" s="106"/>
      <c r="BA1047208" s="106"/>
    </row>
    <row r="1047209" spans="52:53">
      <c r="AZ1047209" s="106"/>
      <c r="BA1047209" s="106"/>
    </row>
    <row r="1047210" spans="52:53">
      <c r="AZ1047210" s="106"/>
      <c r="BA1047210" s="106"/>
    </row>
    <row r="1047211" spans="52:53">
      <c r="AZ1047211" s="106"/>
      <c r="BA1047211" s="106"/>
    </row>
    <row r="1047212" spans="52:53">
      <c r="AZ1047212" s="106"/>
      <c r="BA1047212" s="106"/>
    </row>
    <row r="1047213" spans="52:53">
      <c r="AZ1047213" s="106"/>
      <c r="BA1047213" s="106"/>
    </row>
    <row r="1047214" spans="52:53">
      <c r="AZ1047214" s="106"/>
      <c r="BA1047214" s="106"/>
    </row>
    <row r="1047215" spans="52:53">
      <c r="AZ1047215" s="106"/>
      <c r="BA1047215" s="106"/>
    </row>
    <row r="1047216" spans="52:53">
      <c r="AZ1047216" s="106"/>
      <c r="BA1047216" s="106"/>
    </row>
    <row r="1047217" spans="52:53">
      <c r="AZ1047217" s="106"/>
      <c r="BA1047217" s="106"/>
    </row>
    <row r="1047218" spans="52:53">
      <c r="AZ1047218" s="106"/>
      <c r="BA1047218" s="106"/>
    </row>
    <row r="1047219" spans="52:53">
      <c r="AZ1047219" s="106"/>
      <c r="BA1047219" s="106"/>
    </row>
    <row r="1047220" spans="52:53">
      <c r="AZ1047220" s="106"/>
      <c r="BA1047220" s="106"/>
    </row>
    <row r="1047221" spans="52:53">
      <c r="AZ1047221" s="106"/>
      <c r="BA1047221" s="106"/>
    </row>
    <row r="1047222" spans="52:53">
      <c r="AZ1047222" s="106"/>
      <c r="BA1047222" s="106"/>
    </row>
    <row r="1047223" spans="52:53">
      <c r="AZ1047223" s="106"/>
      <c r="BA1047223" s="106"/>
    </row>
    <row r="1047224" spans="52:53">
      <c r="AZ1047224" s="106"/>
      <c r="BA1047224" s="106"/>
    </row>
    <row r="1047225" spans="52:53">
      <c r="AZ1047225" s="106"/>
      <c r="BA1047225" s="106"/>
    </row>
    <row r="1047226" spans="52:53">
      <c r="AZ1047226" s="106"/>
      <c r="BA1047226" s="106"/>
    </row>
    <row r="1047227" spans="52:53">
      <c r="AZ1047227" s="106"/>
      <c r="BA1047227" s="106"/>
    </row>
    <row r="1047228" spans="52:53">
      <c r="AZ1047228" s="106"/>
      <c r="BA1047228" s="106"/>
    </row>
    <row r="1047229" spans="52:53">
      <c r="AZ1047229" s="106"/>
      <c r="BA1047229" s="106"/>
    </row>
    <row r="1047230" spans="52:53">
      <c r="AZ1047230" s="106"/>
      <c r="BA1047230" s="106"/>
    </row>
    <row r="1047231" spans="52:53">
      <c r="AZ1047231" s="106"/>
      <c r="BA1047231" s="106"/>
    </row>
    <row r="1047232" spans="52:53">
      <c r="AZ1047232" s="106"/>
      <c r="BA1047232" s="106"/>
    </row>
    <row r="1047233" spans="52:53">
      <c r="AZ1047233" s="106"/>
      <c r="BA1047233" s="106"/>
    </row>
    <row r="1047234" spans="52:53">
      <c r="AZ1047234" s="106"/>
      <c r="BA1047234" s="106"/>
    </row>
    <row r="1047235" spans="52:53">
      <c r="AZ1047235" s="106"/>
      <c r="BA1047235" s="106"/>
    </row>
    <row r="1047236" spans="52:53">
      <c r="AZ1047236" s="106"/>
      <c r="BA1047236" s="106"/>
    </row>
    <row r="1047237" spans="52:53">
      <c r="AZ1047237" s="106"/>
      <c r="BA1047237" s="106"/>
    </row>
    <row r="1047238" spans="52:53">
      <c r="AZ1047238" s="106"/>
      <c r="BA1047238" s="106"/>
    </row>
    <row r="1047239" spans="52:53">
      <c r="AZ1047239" s="106"/>
      <c r="BA1047239" s="106"/>
    </row>
    <row r="1047240" spans="52:53">
      <c r="AZ1047240" s="106"/>
      <c r="BA1047240" s="106"/>
    </row>
    <row r="1047241" spans="52:53">
      <c r="AZ1047241" s="106"/>
      <c r="BA1047241" s="106"/>
    </row>
    <row r="1047242" spans="52:53">
      <c r="AZ1047242" s="106"/>
      <c r="BA1047242" s="106"/>
    </row>
    <row r="1047243" spans="52:53">
      <c r="AZ1047243" s="106"/>
      <c r="BA1047243" s="106"/>
    </row>
    <row r="1047244" spans="52:53">
      <c r="AZ1047244" s="106"/>
      <c r="BA1047244" s="106"/>
    </row>
    <row r="1047245" spans="52:53">
      <c r="AZ1047245" s="106"/>
      <c r="BA1047245" s="106"/>
    </row>
    <row r="1047246" spans="52:53">
      <c r="AZ1047246" s="106"/>
      <c r="BA1047246" s="106"/>
    </row>
    <row r="1047247" spans="52:53">
      <c r="AZ1047247" s="106"/>
      <c r="BA1047247" s="106"/>
    </row>
    <row r="1047248" spans="52:53">
      <c r="AZ1047248" s="106"/>
      <c r="BA1047248" s="106"/>
    </row>
    <row r="1047249" spans="52:53">
      <c r="AZ1047249" s="106"/>
      <c r="BA1047249" s="106"/>
    </row>
    <row r="1047250" spans="52:53">
      <c r="AZ1047250" s="106"/>
      <c r="BA1047250" s="106"/>
    </row>
    <row r="1047251" spans="52:53">
      <c r="AZ1047251" s="106"/>
      <c r="BA1047251" s="106"/>
    </row>
    <row r="1047252" spans="52:53">
      <c r="AZ1047252" s="106"/>
      <c r="BA1047252" s="106"/>
    </row>
    <row r="1047253" spans="52:53">
      <c r="AZ1047253" s="106"/>
      <c r="BA1047253" s="106"/>
    </row>
    <row r="1047254" spans="52:53">
      <c r="AZ1047254" s="106"/>
      <c r="BA1047254" s="106"/>
    </row>
    <row r="1047255" spans="52:53">
      <c r="AZ1047255" s="106"/>
      <c r="BA1047255" s="106"/>
    </row>
    <row r="1047256" spans="52:53">
      <c r="AZ1047256" s="106"/>
      <c r="BA1047256" s="106"/>
    </row>
    <row r="1047257" spans="52:53">
      <c r="AZ1047257" s="106"/>
      <c r="BA1047257" s="106"/>
    </row>
    <row r="1047258" spans="52:53">
      <c r="AZ1047258" s="106"/>
      <c r="BA1047258" s="106"/>
    </row>
    <row r="1047259" spans="52:53">
      <c r="AZ1047259" s="106"/>
      <c r="BA1047259" s="106"/>
    </row>
    <row r="1047260" spans="52:53">
      <c r="AZ1047260" s="106"/>
      <c r="BA1047260" s="106"/>
    </row>
    <row r="1047261" spans="52:53">
      <c r="AZ1047261" s="106"/>
      <c r="BA1047261" s="106"/>
    </row>
    <row r="1047262" spans="52:53">
      <c r="AZ1047262" s="106"/>
      <c r="BA1047262" s="106"/>
    </row>
    <row r="1047263" spans="52:53">
      <c r="AZ1047263" s="106"/>
      <c r="BA1047263" s="106"/>
    </row>
    <row r="1047264" spans="52:53">
      <c r="AZ1047264" s="106"/>
      <c r="BA1047264" s="106"/>
    </row>
    <row r="1047265" spans="52:53">
      <c r="AZ1047265" s="106"/>
      <c r="BA1047265" s="106"/>
    </row>
    <row r="1047266" spans="52:53">
      <c r="AZ1047266" s="106"/>
      <c r="BA1047266" s="106"/>
    </row>
    <row r="1047267" spans="52:53">
      <c r="AZ1047267" s="106"/>
      <c r="BA1047267" s="106"/>
    </row>
    <row r="1047268" spans="52:53">
      <c r="AZ1047268" s="106"/>
      <c r="BA1047268" s="106"/>
    </row>
    <row r="1047269" spans="52:53">
      <c r="AZ1047269" s="106"/>
      <c r="BA1047269" s="106"/>
    </row>
    <row r="1047270" spans="52:53">
      <c r="AZ1047270" s="106"/>
      <c r="BA1047270" s="106"/>
    </row>
    <row r="1047271" spans="52:53">
      <c r="AZ1047271" s="106"/>
      <c r="BA1047271" s="106"/>
    </row>
    <row r="1047272" spans="52:53">
      <c r="AZ1047272" s="106"/>
      <c r="BA1047272" s="106"/>
    </row>
    <row r="1047273" spans="52:53">
      <c r="AZ1047273" s="106"/>
      <c r="BA1047273" s="106"/>
    </row>
    <row r="1047274" spans="52:53">
      <c r="AZ1047274" s="106"/>
      <c r="BA1047274" s="106"/>
    </row>
    <row r="1047275" spans="52:53">
      <c r="AZ1047275" s="106"/>
      <c r="BA1047275" s="106"/>
    </row>
    <row r="1047276" spans="52:53">
      <c r="AZ1047276" s="106"/>
      <c r="BA1047276" s="106"/>
    </row>
    <row r="1047277" spans="52:53">
      <c r="AZ1047277" s="106"/>
      <c r="BA1047277" s="106"/>
    </row>
    <row r="1047278" spans="52:53">
      <c r="AZ1047278" s="106"/>
      <c r="BA1047278" s="106"/>
    </row>
    <row r="1047279" spans="52:53">
      <c r="AZ1047279" s="106"/>
      <c r="BA1047279" s="106"/>
    </row>
    <row r="1047280" spans="52:53">
      <c r="AZ1047280" s="106"/>
      <c r="BA1047280" s="106"/>
    </row>
    <row r="1047281" spans="52:53">
      <c r="AZ1047281" s="106"/>
      <c r="BA1047281" s="106"/>
    </row>
    <row r="1047282" spans="52:53">
      <c r="AZ1047282" s="106"/>
      <c r="BA1047282" s="106"/>
    </row>
    <row r="1047283" spans="52:53">
      <c r="AZ1047283" s="106"/>
      <c r="BA1047283" s="106"/>
    </row>
    <row r="1047284" spans="52:53">
      <c r="AZ1047284" s="106"/>
      <c r="BA1047284" s="106"/>
    </row>
    <row r="1047285" spans="52:53">
      <c r="AZ1047285" s="106"/>
      <c r="BA1047285" s="106"/>
    </row>
    <row r="1047286" spans="52:53">
      <c r="AZ1047286" s="106"/>
      <c r="BA1047286" s="106"/>
    </row>
    <row r="1047287" spans="52:53">
      <c r="AZ1047287" s="106"/>
      <c r="BA1047287" s="106"/>
    </row>
    <row r="1047288" spans="52:53">
      <c r="AZ1047288" s="106"/>
      <c r="BA1047288" s="106"/>
    </row>
    <row r="1047289" spans="52:53">
      <c r="AZ1047289" s="106"/>
      <c r="BA1047289" s="106"/>
    </row>
    <row r="1047290" spans="52:53">
      <c r="AZ1047290" s="106"/>
      <c r="BA1047290" s="106"/>
    </row>
    <row r="1047291" spans="52:53">
      <c r="AZ1047291" s="106"/>
      <c r="BA1047291" s="106"/>
    </row>
    <row r="1047292" spans="52:53">
      <c r="AZ1047292" s="106"/>
      <c r="BA1047292" s="106"/>
    </row>
    <row r="1047293" spans="52:53">
      <c r="AZ1047293" s="106"/>
      <c r="BA1047293" s="106"/>
    </row>
    <row r="1047294" spans="52:53">
      <c r="AZ1047294" s="106"/>
      <c r="BA1047294" s="106"/>
    </row>
    <row r="1047295" spans="52:53">
      <c r="AZ1047295" s="106"/>
      <c r="BA1047295" s="106"/>
    </row>
    <row r="1047296" spans="52:53">
      <c r="AZ1047296" s="106"/>
      <c r="BA1047296" s="106"/>
    </row>
    <row r="1047297" spans="52:53">
      <c r="AZ1047297" s="106"/>
      <c r="BA1047297" s="106"/>
    </row>
    <row r="1047298" spans="52:53">
      <c r="AZ1047298" s="106"/>
      <c r="BA1047298" s="106"/>
    </row>
    <row r="1047299" spans="52:53">
      <c r="AZ1047299" s="106"/>
      <c r="BA1047299" s="106"/>
    </row>
    <row r="1047300" spans="52:53">
      <c r="AZ1047300" s="106"/>
      <c r="BA1047300" s="106"/>
    </row>
    <row r="1047301" spans="52:53">
      <c r="AZ1047301" s="106"/>
      <c r="BA1047301" s="106"/>
    </row>
    <row r="1047302" spans="52:53">
      <c r="AZ1047302" s="106"/>
      <c r="BA1047302" s="106"/>
    </row>
    <row r="1047303" spans="52:53">
      <c r="AZ1047303" s="106"/>
      <c r="BA1047303" s="106"/>
    </row>
    <row r="1047304" spans="52:53">
      <c r="AZ1047304" s="106"/>
      <c r="BA1047304" s="106"/>
    </row>
    <row r="1047305" spans="52:53">
      <c r="AZ1047305" s="106"/>
      <c r="BA1047305" s="106"/>
    </row>
    <row r="1047306" spans="52:53">
      <c r="AZ1047306" s="106"/>
      <c r="BA1047306" s="106"/>
    </row>
    <row r="1047307" spans="52:53">
      <c r="AZ1047307" s="106"/>
      <c r="BA1047307" s="106"/>
    </row>
    <row r="1047308" spans="52:53">
      <c r="AZ1047308" s="106"/>
      <c r="BA1047308" s="106"/>
    </row>
    <row r="1047309" spans="52:53">
      <c r="AZ1047309" s="106"/>
      <c r="BA1047309" s="106"/>
    </row>
    <row r="1047310" spans="52:53">
      <c r="AZ1047310" s="106"/>
      <c r="BA1047310" s="106"/>
    </row>
    <row r="1047311" spans="52:53">
      <c r="AZ1047311" s="106"/>
      <c r="BA1047311" s="106"/>
    </row>
    <row r="1047312" spans="52:53">
      <c r="AZ1047312" s="106"/>
      <c r="BA1047312" s="106"/>
    </row>
    <row r="1047313" spans="52:53">
      <c r="AZ1047313" s="106"/>
      <c r="BA1047313" s="106"/>
    </row>
    <row r="1047314" spans="52:53">
      <c r="AZ1047314" s="106"/>
      <c r="BA1047314" s="106"/>
    </row>
    <row r="1047315" spans="52:53">
      <c r="AZ1047315" s="106"/>
      <c r="BA1047315" s="106"/>
    </row>
    <row r="1047316" spans="52:53">
      <c r="AZ1047316" s="106"/>
      <c r="BA1047316" s="106"/>
    </row>
    <row r="1047317" spans="52:53">
      <c r="AZ1047317" s="106"/>
      <c r="BA1047317" s="106"/>
    </row>
    <row r="1047318" spans="52:53">
      <c r="AZ1047318" s="106"/>
      <c r="BA1047318" s="106"/>
    </row>
    <row r="1047319" spans="52:53">
      <c r="AZ1047319" s="106"/>
      <c r="BA1047319" s="106"/>
    </row>
    <row r="1047320" spans="52:53">
      <c r="AZ1047320" s="106"/>
      <c r="BA1047320" s="106"/>
    </row>
    <row r="1047321" spans="52:53">
      <c r="AZ1047321" s="106"/>
      <c r="BA1047321" s="106"/>
    </row>
    <row r="1047322" spans="52:53">
      <c r="AZ1047322" s="106"/>
      <c r="BA1047322" s="106"/>
    </row>
    <row r="1047323" spans="52:53">
      <c r="AZ1047323" s="106"/>
      <c r="BA1047323" s="106"/>
    </row>
    <row r="1047324" spans="52:53">
      <c r="AZ1047324" s="106"/>
      <c r="BA1047324" s="106"/>
    </row>
    <row r="1047325" spans="52:53">
      <c r="AZ1047325" s="106"/>
      <c r="BA1047325" s="106"/>
    </row>
    <row r="1047326" spans="52:53">
      <c r="AZ1047326" s="106"/>
      <c r="BA1047326" s="106"/>
    </row>
    <row r="1047327" spans="52:53">
      <c r="AZ1047327" s="106"/>
      <c r="BA1047327" s="106"/>
    </row>
    <row r="1047328" spans="52:53">
      <c r="AZ1047328" s="106"/>
      <c r="BA1047328" s="106"/>
    </row>
    <row r="1047329" spans="52:53">
      <c r="AZ1047329" s="106"/>
      <c r="BA1047329" s="106"/>
    </row>
    <row r="1047330" spans="52:53">
      <c r="AZ1047330" s="106"/>
      <c r="BA1047330" s="106"/>
    </row>
    <row r="1047331" spans="52:53">
      <c r="AZ1047331" s="106"/>
      <c r="BA1047331" s="106"/>
    </row>
    <row r="1047332" spans="52:53">
      <c r="AZ1047332" s="106"/>
      <c r="BA1047332" s="106"/>
    </row>
    <row r="1047333" spans="52:53">
      <c r="AZ1047333" s="106"/>
      <c r="BA1047333" s="106"/>
    </row>
    <row r="1047334" spans="52:53">
      <c r="AZ1047334" s="106"/>
      <c r="BA1047334" s="106"/>
    </row>
    <row r="1047335" spans="52:53">
      <c r="AZ1047335" s="106"/>
      <c r="BA1047335" s="106"/>
    </row>
    <row r="1047336" spans="52:53">
      <c r="AZ1047336" s="106"/>
      <c r="BA1047336" s="106"/>
    </row>
    <row r="1047337" spans="52:53">
      <c r="AZ1047337" s="106"/>
      <c r="BA1047337" s="106"/>
    </row>
    <row r="1047338" spans="52:53">
      <c r="AZ1047338" s="106"/>
      <c r="BA1047338" s="106"/>
    </row>
    <row r="1047339" spans="52:53">
      <c r="AZ1047339" s="106"/>
      <c r="BA1047339" s="106"/>
    </row>
    <row r="1047340" spans="52:53">
      <c r="AZ1047340" s="106"/>
      <c r="BA1047340" s="106"/>
    </row>
    <row r="1047341" spans="52:53">
      <c r="AZ1047341" s="106"/>
      <c r="BA1047341" s="106"/>
    </row>
    <row r="1047342" spans="52:53">
      <c r="AZ1047342" s="106"/>
      <c r="BA1047342" s="106"/>
    </row>
    <row r="1047343" spans="52:53">
      <c r="AZ1047343" s="106"/>
      <c r="BA1047343" s="106"/>
    </row>
    <row r="1047344" spans="52:53">
      <c r="AZ1047344" s="106"/>
      <c r="BA1047344" s="106"/>
    </row>
    <row r="1047345" spans="52:53">
      <c r="AZ1047345" s="106"/>
      <c r="BA1047345" s="106"/>
    </row>
    <row r="1047346" spans="52:53">
      <c r="AZ1047346" s="106"/>
      <c r="BA1047346" s="106"/>
    </row>
    <row r="1047347" spans="52:53">
      <c r="AZ1047347" s="106"/>
      <c r="BA1047347" s="106"/>
    </row>
    <row r="1047348" spans="52:53">
      <c r="AZ1047348" s="106"/>
      <c r="BA1047348" s="106"/>
    </row>
    <row r="1047349" spans="52:53">
      <c r="AZ1047349" s="106"/>
      <c r="BA1047349" s="106"/>
    </row>
    <row r="1047350" spans="52:53">
      <c r="AZ1047350" s="106"/>
      <c r="BA1047350" s="106"/>
    </row>
    <row r="1047351" spans="52:53">
      <c r="AZ1047351" s="106"/>
      <c r="BA1047351" s="106"/>
    </row>
    <row r="1047352" spans="52:53">
      <c r="AZ1047352" s="106"/>
      <c r="BA1047352" s="106"/>
    </row>
    <row r="1047353" spans="52:53">
      <c r="AZ1047353" s="106"/>
      <c r="BA1047353" s="106"/>
    </row>
    <row r="1047354" spans="52:53">
      <c r="AZ1047354" s="106"/>
      <c r="BA1047354" s="106"/>
    </row>
    <row r="1047355" spans="52:53">
      <c r="AZ1047355" s="106"/>
      <c r="BA1047355" s="106"/>
    </row>
    <row r="1047356" spans="52:53">
      <c r="AZ1047356" s="106"/>
      <c r="BA1047356" s="106"/>
    </row>
    <row r="1047357" spans="52:53">
      <c r="AZ1047357" s="106"/>
      <c r="BA1047357" s="106"/>
    </row>
    <row r="1047358" spans="52:53">
      <c r="AZ1047358" s="106"/>
      <c r="BA1047358" s="106"/>
    </row>
    <row r="1047359" spans="52:53">
      <c r="AZ1047359" s="106"/>
      <c r="BA1047359" s="106"/>
    </row>
    <row r="1047360" spans="52:53">
      <c r="AZ1047360" s="106"/>
      <c r="BA1047360" s="106"/>
    </row>
    <row r="1047361" spans="52:53">
      <c r="AZ1047361" s="106"/>
      <c r="BA1047361" s="106"/>
    </row>
    <row r="1047362" spans="52:53">
      <c r="AZ1047362" s="106"/>
      <c r="BA1047362" s="106"/>
    </row>
    <row r="1047363" spans="52:53">
      <c r="AZ1047363" s="106"/>
      <c r="BA1047363" s="106"/>
    </row>
    <row r="1047364" spans="52:53">
      <c r="AZ1047364" s="106"/>
      <c r="BA1047364" s="106"/>
    </row>
    <row r="1047365" spans="52:53">
      <c r="AZ1047365" s="106"/>
      <c r="BA1047365" s="106"/>
    </row>
    <row r="1047366" spans="52:53">
      <c r="AZ1047366" s="106"/>
      <c r="BA1047366" s="106"/>
    </row>
    <row r="1047367" spans="52:53">
      <c r="AZ1047367" s="106"/>
      <c r="BA1047367" s="106"/>
    </row>
    <row r="1047368" spans="52:53">
      <c r="AZ1047368" s="106"/>
      <c r="BA1047368" s="106"/>
    </row>
    <row r="1047369" spans="52:53">
      <c r="AZ1047369" s="106"/>
      <c r="BA1047369" s="106"/>
    </row>
    <row r="1047370" spans="52:53">
      <c r="AZ1047370" s="106"/>
      <c r="BA1047370" s="106"/>
    </row>
    <row r="1047371" spans="52:53">
      <c r="AZ1047371" s="106"/>
      <c r="BA1047371" s="106"/>
    </row>
    <row r="1047372" spans="52:53">
      <c r="AZ1047372" s="106"/>
      <c r="BA1047372" s="106"/>
    </row>
    <row r="1047373" spans="52:53">
      <c r="AZ1047373" s="106"/>
      <c r="BA1047373" s="106"/>
    </row>
    <row r="1047374" spans="52:53">
      <c r="AZ1047374" s="106"/>
      <c r="BA1047374" s="106"/>
    </row>
    <row r="1047375" spans="52:53">
      <c r="AZ1047375" s="106"/>
      <c r="BA1047375" s="106"/>
    </row>
    <row r="1047376" spans="52:53">
      <c r="AZ1047376" s="106"/>
      <c r="BA1047376" s="106"/>
    </row>
    <row r="1047377" spans="52:53">
      <c r="AZ1047377" s="106"/>
      <c r="BA1047377" s="106"/>
    </row>
    <row r="1047378" spans="52:53">
      <c r="AZ1047378" s="106"/>
      <c r="BA1047378" s="106"/>
    </row>
    <row r="1047379" spans="52:53">
      <c r="AZ1047379" s="106"/>
      <c r="BA1047379" s="106"/>
    </row>
    <row r="1047380" spans="52:53">
      <c r="AZ1047380" s="106"/>
      <c r="BA1047380" s="106"/>
    </row>
    <row r="1047381" spans="52:53">
      <c r="AZ1047381" s="106"/>
      <c r="BA1047381" s="106"/>
    </row>
    <row r="1047382" spans="52:53">
      <c r="AZ1047382" s="106"/>
      <c r="BA1047382" s="106"/>
    </row>
    <row r="1047383" spans="52:53">
      <c r="AZ1047383" s="106"/>
      <c r="BA1047383" s="106"/>
    </row>
    <row r="1047384" spans="52:53">
      <c r="AZ1047384" s="106"/>
      <c r="BA1047384" s="106"/>
    </row>
    <row r="1047385" spans="52:53">
      <c r="AZ1047385" s="106"/>
      <c r="BA1047385" s="106"/>
    </row>
    <row r="1047386" spans="52:53">
      <c r="AZ1047386" s="106"/>
      <c r="BA1047386" s="106"/>
    </row>
    <row r="1047387" spans="52:53">
      <c r="AZ1047387" s="106"/>
      <c r="BA1047387" s="106"/>
    </row>
    <row r="1047388" spans="52:53">
      <c r="AZ1047388" s="106"/>
      <c r="BA1047388" s="106"/>
    </row>
    <row r="1047389" spans="52:53">
      <c r="AZ1047389" s="106"/>
      <c r="BA1047389" s="106"/>
    </row>
    <row r="1047390" spans="52:53">
      <c r="AZ1047390" s="106"/>
      <c r="BA1047390" s="106"/>
    </row>
    <row r="1047391" spans="52:53">
      <c r="AZ1047391" s="106"/>
      <c r="BA1047391" s="106"/>
    </row>
    <row r="1047392" spans="52:53">
      <c r="AZ1047392" s="106"/>
      <c r="BA1047392" s="106"/>
    </row>
    <row r="1047393" spans="52:53">
      <c r="AZ1047393" s="106"/>
      <c r="BA1047393" s="106"/>
    </row>
    <row r="1047394" spans="52:53">
      <c r="AZ1047394" s="106"/>
      <c r="BA1047394" s="106"/>
    </row>
    <row r="1047395" spans="52:53">
      <c r="AZ1047395" s="106"/>
      <c r="BA1047395" s="106"/>
    </row>
    <row r="1047396" spans="52:53">
      <c r="AZ1047396" s="106"/>
      <c r="BA1047396" s="106"/>
    </row>
    <row r="1047397" spans="52:53">
      <c r="AZ1047397" s="106"/>
      <c r="BA1047397" s="106"/>
    </row>
    <row r="1047398" spans="52:53">
      <c r="AZ1047398" s="106"/>
      <c r="BA1047398" s="106"/>
    </row>
    <row r="1047399" spans="52:53">
      <c r="AZ1047399" s="106"/>
      <c r="BA1047399" s="106"/>
    </row>
    <row r="1047400" spans="52:53">
      <c r="AZ1047400" s="106"/>
      <c r="BA1047400" s="106"/>
    </row>
    <row r="1047401" spans="52:53">
      <c r="AZ1047401" s="106"/>
      <c r="BA1047401" s="106"/>
    </row>
    <row r="1047402" spans="52:53">
      <c r="AZ1047402" s="106"/>
      <c r="BA1047402" s="106"/>
    </row>
    <row r="1047403" spans="52:53">
      <c r="AZ1047403" s="106"/>
      <c r="BA1047403" s="106"/>
    </row>
    <row r="1047404" spans="52:53">
      <c r="AZ1047404" s="106"/>
      <c r="BA1047404" s="106"/>
    </row>
    <row r="1047405" spans="52:53">
      <c r="AZ1047405" s="106"/>
      <c r="BA1047405" s="106"/>
    </row>
    <row r="1047406" spans="52:53">
      <c r="AZ1047406" s="106"/>
      <c r="BA1047406" s="106"/>
    </row>
    <row r="1047407" spans="52:53">
      <c r="AZ1047407" s="106"/>
      <c r="BA1047407" s="106"/>
    </row>
    <row r="1047408" spans="52:53">
      <c r="AZ1047408" s="106"/>
      <c r="BA1047408" s="106"/>
    </row>
    <row r="1047409" spans="52:53">
      <c r="AZ1047409" s="106"/>
      <c r="BA1047409" s="106"/>
    </row>
    <row r="1047410" spans="52:53">
      <c r="AZ1047410" s="106"/>
      <c r="BA1047410" s="106"/>
    </row>
    <row r="1047411" spans="52:53">
      <c r="AZ1047411" s="106"/>
      <c r="BA1047411" s="106"/>
    </row>
    <row r="1047412" spans="52:53">
      <c r="AZ1047412" s="106"/>
      <c r="BA1047412" s="106"/>
    </row>
    <row r="1047413" spans="52:53">
      <c r="AZ1047413" s="106"/>
      <c r="BA1047413" s="106"/>
    </row>
    <row r="1047414" spans="52:53">
      <c r="AZ1047414" s="106"/>
      <c r="BA1047414" s="106"/>
    </row>
    <row r="1047415" spans="52:53">
      <c r="AZ1047415" s="106"/>
      <c r="BA1047415" s="106"/>
    </row>
    <row r="1047416" spans="52:53">
      <c r="AZ1047416" s="106"/>
      <c r="BA1047416" s="106"/>
    </row>
    <row r="1047417" spans="52:53">
      <c r="AZ1047417" s="106"/>
      <c r="BA1047417" s="106"/>
    </row>
    <row r="1047418" spans="52:53">
      <c r="AZ1047418" s="106"/>
      <c r="BA1047418" s="106"/>
    </row>
    <row r="1047419" spans="52:53">
      <c r="AZ1047419" s="106"/>
      <c r="BA1047419" s="106"/>
    </row>
    <row r="1047420" spans="52:53">
      <c r="AZ1047420" s="106"/>
      <c r="BA1047420" s="106"/>
    </row>
    <row r="1047421" spans="52:53">
      <c r="AZ1047421" s="106"/>
      <c r="BA1047421" s="106"/>
    </row>
    <row r="1047422" spans="52:53">
      <c r="AZ1047422" s="106"/>
      <c r="BA1047422" s="106"/>
    </row>
    <row r="1047423" spans="52:53">
      <c r="AZ1047423" s="106"/>
      <c r="BA1047423" s="106"/>
    </row>
    <row r="1047424" spans="52:53">
      <c r="AZ1047424" s="106"/>
      <c r="BA1047424" s="106"/>
    </row>
    <row r="1047425" spans="52:53">
      <c r="AZ1047425" s="106"/>
      <c r="BA1047425" s="106"/>
    </row>
    <row r="1047426" spans="52:53">
      <c r="AZ1047426" s="106"/>
      <c r="BA1047426" s="106"/>
    </row>
    <row r="1047427" spans="52:53">
      <c r="AZ1047427" s="106"/>
      <c r="BA1047427" s="106"/>
    </row>
    <row r="1047428" spans="52:53">
      <c r="AZ1047428" s="106"/>
      <c r="BA1047428" s="106"/>
    </row>
    <row r="1047429" spans="52:53">
      <c r="AZ1047429" s="106"/>
      <c r="BA1047429" s="106"/>
    </row>
    <row r="1047430" spans="52:53">
      <c r="AZ1047430" s="106"/>
      <c r="BA1047430" s="106"/>
    </row>
    <row r="1047431" spans="52:53">
      <c r="AZ1047431" s="106"/>
      <c r="BA1047431" s="106"/>
    </row>
    <row r="1047432" spans="52:53">
      <c r="AZ1047432" s="106"/>
      <c r="BA1047432" s="106"/>
    </row>
    <row r="1047433" spans="52:53">
      <c r="AZ1047433" s="106"/>
      <c r="BA1047433" s="106"/>
    </row>
    <row r="1047434" spans="52:53">
      <c r="AZ1047434" s="106"/>
      <c r="BA1047434" s="106"/>
    </row>
    <row r="1047435" spans="52:53">
      <c r="AZ1047435" s="106"/>
      <c r="BA1047435" s="106"/>
    </row>
    <row r="1047436" spans="52:53">
      <c r="AZ1047436" s="106"/>
      <c r="BA1047436" s="106"/>
    </row>
    <row r="1047437" spans="52:53">
      <c r="AZ1047437" s="106"/>
      <c r="BA1047437" s="106"/>
    </row>
    <row r="1047438" spans="52:53">
      <c r="AZ1047438" s="106"/>
      <c r="BA1047438" s="106"/>
    </row>
    <row r="1047439" spans="52:53">
      <c r="AZ1047439" s="106"/>
      <c r="BA1047439" s="106"/>
    </row>
    <row r="1047440" spans="52:53">
      <c r="AZ1047440" s="106"/>
      <c r="BA1047440" s="106"/>
    </row>
    <row r="1047441" spans="52:53">
      <c r="AZ1047441" s="106"/>
      <c r="BA1047441" s="106"/>
    </row>
    <row r="1047442" spans="52:53">
      <c r="AZ1047442" s="106"/>
      <c r="BA1047442" s="106"/>
    </row>
    <row r="1047443" spans="52:53">
      <c r="AZ1047443" s="106"/>
      <c r="BA1047443" s="106"/>
    </row>
    <row r="1047444" spans="52:53">
      <c r="AZ1047444" s="106"/>
      <c r="BA1047444" s="106"/>
    </row>
    <row r="1047445" spans="52:53">
      <c r="AZ1047445" s="106"/>
      <c r="BA1047445" s="106"/>
    </row>
    <row r="1047446" spans="52:53">
      <c r="AZ1047446" s="106"/>
      <c r="BA1047446" s="106"/>
    </row>
    <row r="1047447" spans="52:53">
      <c r="AZ1047447" s="106"/>
      <c r="BA1047447" s="106"/>
    </row>
    <row r="1047448" spans="52:53">
      <c r="AZ1047448" s="106"/>
      <c r="BA1047448" s="106"/>
    </row>
    <row r="1047449" spans="52:53">
      <c r="AZ1047449" s="106"/>
      <c r="BA1047449" s="106"/>
    </row>
    <row r="1047450" spans="52:53">
      <c r="AZ1047450" s="106"/>
      <c r="BA1047450" s="106"/>
    </row>
    <row r="1047451" spans="52:53">
      <c r="AZ1047451" s="106"/>
      <c r="BA1047451" s="106"/>
    </row>
    <row r="1047452" spans="52:53">
      <c r="AZ1047452" s="106"/>
      <c r="BA1047452" s="106"/>
    </row>
    <row r="1047453" spans="52:53">
      <c r="AZ1047453" s="106"/>
      <c r="BA1047453" s="106"/>
    </row>
    <row r="1047454" spans="52:53">
      <c r="AZ1047454" s="106"/>
      <c r="BA1047454" s="106"/>
    </row>
    <row r="1047455" spans="52:53">
      <c r="AZ1047455" s="106"/>
      <c r="BA1047455" s="106"/>
    </row>
    <row r="1047456" spans="52:53">
      <c r="AZ1047456" s="106"/>
      <c r="BA1047456" s="106"/>
    </row>
    <row r="1047457" spans="52:53">
      <c r="AZ1047457" s="106"/>
      <c r="BA1047457" s="106"/>
    </row>
    <row r="1047458" spans="52:53">
      <c r="AZ1047458" s="106"/>
      <c r="BA1047458" s="106"/>
    </row>
    <row r="1047459" spans="52:53">
      <c r="AZ1047459" s="106"/>
      <c r="BA1047459" s="106"/>
    </row>
    <row r="1047460" spans="52:53">
      <c r="AZ1047460" s="106"/>
      <c r="BA1047460" s="106"/>
    </row>
    <row r="1047461" spans="52:53">
      <c r="AZ1047461" s="106"/>
      <c r="BA1047461" s="106"/>
    </row>
    <row r="1047462" spans="52:53">
      <c r="AZ1047462" s="106"/>
      <c r="BA1047462" s="106"/>
    </row>
    <row r="1047463" spans="52:53">
      <c r="AZ1047463" s="106"/>
      <c r="BA1047463" s="106"/>
    </row>
    <row r="1047464" spans="52:53">
      <c r="AZ1047464" s="106"/>
      <c r="BA1047464" s="106"/>
    </row>
    <row r="1047465" spans="52:53">
      <c r="AZ1047465" s="106"/>
      <c r="BA1047465" s="106"/>
    </row>
    <row r="1047466" spans="52:53">
      <c r="AZ1047466" s="106"/>
      <c r="BA1047466" s="106"/>
    </row>
    <row r="1047467" spans="52:53">
      <c r="AZ1047467" s="106"/>
      <c r="BA1047467" s="106"/>
    </row>
    <row r="1047468" spans="52:53">
      <c r="AZ1047468" s="106"/>
      <c r="BA1047468" s="106"/>
    </row>
    <row r="1047469" spans="52:53">
      <c r="AZ1047469" s="106"/>
      <c r="BA1047469" s="106"/>
    </row>
    <row r="1047470" spans="52:53">
      <c r="AZ1047470" s="106"/>
      <c r="BA1047470" s="106"/>
    </row>
    <row r="1047471" spans="52:53">
      <c r="AZ1047471" s="106"/>
      <c r="BA1047471" s="106"/>
    </row>
    <row r="1047472" spans="52:53">
      <c r="AZ1047472" s="106"/>
      <c r="BA1047472" s="106"/>
    </row>
    <row r="1047473" spans="52:53">
      <c r="AZ1047473" s="106"/>
      <c r="BA1047473" s="106"/>
    </row>
    <row r="1047474" spans="52:53">
      <c r="AZ1047474" s="106"/>
      <c r="BA1047474" s="106"/>
    </row>
    <row r="1047475" spans="52:53">
      <c r="AZ1047475" s="106"/>
      <c r="BA1047475" s="106"/>
    </row>
    <row r="1047476" spans="52:53">
      <c r="AZ1047476" s="106"/>
      <c r="BA1047476" s="106"/>
    </row>
    <row r="1047477" spans="52:53">
      <c r="AZ1047477" s="106"/>
      <c r="BA1047477" s="106"/>
    </row>
    <row r="1047478" spans="52:53">
      <c r="AZ1047478" s="106"/>
      <c r="BA1047478" s="106"/>
    </row>
    <row r="1047479" spans="52:53">
      <c r="AZ1047479" s="106"/>
      <c r="BA1047479" s="106"/>
    </row>
    <row r="1047480" spans="52:53">
      <c r="AZ1047480" s="106"/>
      <c r="BA1047480" s="106"/>
    </row>
    <row r="1047481" spans="52:53">
      <c r="AZ1047481" s="106"/>
      <c r="BA1047481" s="106"/>
    </row>
    <row r="1047482" spans="52:53">
      <c r="AZ1047482" s="106"/>
      <c r="BA1047482" s="106"/>
    </row>
    <row r="1047483" spans="52:53">
      <c r="AZ1047483" s="106"/>
      <c r="BA1047483" s="106"/>
    </row>
    <row r="1047484" spans="52:53">
      <c r="AZ1047484" s="106"/>
      <c r="BA1047484" s="106"/>
    </row>
    <row r="1047485" spans="52:53">
      <c r="AZ1047485" s="106"/>
      <c r="BA1047485" s="106"/>
    </row>
    <row r="1047486" spans="52:53">
      <c r="AZ1047486" s="106"/>
      <c r="BA1047486" s="106"/>
    </row>
    <row r="1047487" spans="52:53">
      <c r="AZ1047487" s="106"/>
      <c r="BA1047487" s="106"/>
    </row>
    <row r="1047488" spans="52:53">
      <c r="AZ1047488" s="106"/>
      <c r="BA1047488" s="106"/>
    </row>
    <row r="1047489" spans="52:53">
      <c r="AZ1047489" s="106"/>
      <c r="BA1047489" s="106"/>
    </row>
    <row r="1047490" spans="52:53">
      <c r="AZ1047490" s="106"/>
      <c r="BA1047490" s="106"/>
    </row>
    <row r="1047491" spans="52:53">
      <c r="AZ1047491" s="106"/>
      <c r="BA1047491" s="106"/>
    </row>
    <row r="1047492" spans="52:53">
      <c r="AZ1047492" s="106"/>
      <c r="BA1047492" s="106"/>
    </row>
    <row r="1047493" spans="52:53">
      <c r="AZ1047493" s="106"/>
      <c r="BA1047493" s="106"/>
    </row>
    <row r="1047494" spans="52:53">
      <c r="AZ1047494" s="106"/>
      <c r="BA1047494" s="106"/>
    </row>
    <row r="1047495" spans="52:53">
      <c r="AZ1047495" s="106"/>
      <c r="BA1047495" s="106"/>
    </row>
    <row r="1047496" spans="52:53">
      <c r="AZ1047496" s="106"/>
      <c r="BA1047496" s="106"/>
    </row>
    <row r="1047497" spans="52:53">
      <c r="AZ1047497" s="106"/>
      <c r="BA1047497" s="106"/>
    </row>
    <row r="1047498" spans="52:53">
      <c r="AZ1047498" s="106"/>
      <c r="BA1047498" s="106"/>
    </row>
    <row r="1047499" spans="52:53">
      <c r="AZ1047499" s="106"/>
      <c r="BA1047499" s="106"/>
    </row>
    <row r="1047500" spans="52:53">
      <c r="AZ1047500" s="106"/>
      <c r="BA1047500" s="106"/>
    </row>
    <row r="1047501" spans="52:53">
      <c r="AZ1047501" s="106"/>
      <c r="BA1047501" s="106"/>
    </row>
    <row r="1047502" spans="52:53">
      <c r="AZ1047502" s="106"/>
      <c r="BA1047502" s="106"/>
    </row>
    <row r="1047503" spans="52:53">
      <c r="AZ1047503" s="106"/>
      <c r="BA1047503" s="106"/>
    </row>
    <row r="1047504" spans="52:53">
      <c r="AZ1047504" s="106"/>
      <c r="BA1047504" s="106"/>
    </row>
    <row r="1047505" spans="52:53">
      <c r="AZ1047505" s="106"/>
      <c r="BA1047505" s="106"/>
    </row>
    <row r="1047506" spans="52:53">
      <c r="AZ1047506" s="106"/>
      <c r="BA1047506" s="106"/>
    </row>
    <row r="1047507" spans="52:53">
      <c r="AZ1047507" s="106"/>
      <c r="BA1047507" s="106"/>
    </row>
    <row r="1047508" spans="52:53">
      <c r="AZ1047508" s="106"/>
      <c r="BA1047508" s="106"/>
    </row>
    <row r="1047509" spans="52:53">
      <c r="AZ1047509" s="106"/>
      <c r="BA1047509" s="106"/>
    </row>
    <row r="1047510" spans="52:53">
      <c r="AZ1047510" s="106"/>
      <c r="BA1047510" s="106"/>
    </row>
    <row r="1047511" spans="52:53">
      <c r="AZ1047511" s="106"/>
      <c r="BA1047511" s="106"/>
    </row>
    <row r="1047512" spans="52:53">
      <c r="AZ1047512" s="106"/>
      <c r="BA1047512" s="106"/>
    </row>
    <row r="1047513" spans="52:53">
      <c r="AZ1047513" s="106"/>
      <c r="BA1047513" s="106"/>
    </row>
    <row r="1047514" spans="52:53">
      <c r="AZ1047514" s="106"/>
      <c r="BA1047514" s="106"/>
    </row>
    <row r="1047515" spans="52:53">
      <c r="AZ1047515" s="106"/>
      <c r="BA1047515" s="106"/>
    </row>
    <row r="1047516" spans="52:53">
      <c r="AZ1047516" s="106"/>
      <c r="BA1047516" s="106"/>
    </row>
    <row r="1047517" spans="52:53">
      <c r="AZ1047517" s="106"/>
      <c r="BA1047517" s="106"/>
    </row>
    <row r="1047518" spans="52:53">
      <c r="AZ1047518" s="106"/>
      <c r="BA1047518" s="106"/>
    </row>
    <row r="1047519" spans="52:53">
      <c r="AZ1047519" s="106"/>
      <c r="BA1047519" s="106"/>
    </row>
    <row r="1047520" spans="52:53">
      <c r="AZ1047520" s="106"/>
      <c r="BA1047520" s="106"/>
    </row>
    <row r="1047521" spans="52:53">
      <c r="AZ1047521" s="106"/>
      <c r="BA1047521" s="106"/>
    </row>
    <row r="1047522" spans="52:53">
      <c r="AZ1047522" s="106"/>
      <c r="BA1047522" s="106"/>
    </row>
    <row r="1047523" spans="52:53">
      <c r="AZ1047523" s="106"/>
      <c r="BA1047523" s="106"/>
    </row>
    <row r="1047524" spans="52:53">
      <c r="AZ1047524" s="106"/>
      <c r="BA1047524" s="106"/>
    </row>
    <row r="1047525" spans="52:53">
      <c r="AZ1047525" s="106"/>
      <c r="BA1047525" s="106"/>
    </row>
    <row r="1047526" spans="52:53">
      <c r="AZ1047526" s="106"/>
      <c r="BA1047526" s="106"/>
    </row>
    <row r="1047527" spans="52:53">
      <c r="AZ1047527" s="106"/>
      <c r="BA1047527" s="106"/>
    </row>
    <row r="1047528" spans="52:53">
      <c r="AZ1047528" s="106"/>
      <c r="BA1047528" s="106"/>
    </row>
    <row r="1047529" spans="52:53">
      <c r="AZ1047529" s="106"/>
      <c r="BA1047529" s="106"/>
    </row>
    <row r="1047530" spans="52:53">
      <c r="AZ1047530" s="106"/>
      <c r="BA1047530" s="106"/>
    </row>
    <row r="1047531" spans="52:53">
      <c r="AZ1047531" s="106"/>
      <c r="BA1047531" s="106"/>
    </row>
    <row r="1047532" spans="52:53">
      <c r="AZ1047532" s="106"/>
      <c r="BA1047532" s="106"/>
    </row>
    <row r="1047533" spans="52:53">
      <c r="AZ1047533" s="106"/>
      <c r="BA1047533" s="106"/>
    </row>
    <row r="1047534" spans="52:53">
      <c r="AZ1047534" s="106"/>
      <c r="BA1047534" s="106"/>
    </row>
    <row r="1047535" spans="52:53">
      <c r="AZ1047535" s="106"/>
      <c r="BA1047535" s="106"/>
    </row>
    <row r="1047536" spans="52:53">
      <c r="AZ1047536" s="106"/>
      <c r="BA1047536" s="106"/>
    </row>
    <row r="1047537" spans="52:53">
      <c r="AZ1047537" s="106"/>
      <c r="BA1047537" s="106"/>
    </row>
    <row r="1047538" spans="52:53">
      <c r="AZ1047538" s="106"/>
      <c r="BA1047538" s="106"/>
    </row>
    <row r="1047539" spans="52:53">
      <c r="AZ1047539" s="106"/>
      <c r="BA1047539" s="106"/>
    </row>
    <row r="1047540" spans="52:53">
      <c r="AZ1047540" s="106"/>
      <c r="BA1047540" s="106"/>
    </row>
    <row r="1047541" spans="52:53">
      <c r="AZ1047541" s="106"/>
      <c r="BA1047541" s="106"/>
    </row>
    <row r="1047542" spans="52:53">
      <c r="AZ1047542" s="106"/>
      <c r="BA1047542" s="106"/>
    </row>
    <row r="1047543" spans="52:53">
      <c r="AZ1047543" s="106"/>
      <c r="BA1047543" s="106"/>
    </row>
    <row r="1047544" spans="52:53">
      <c r="AZ1047544" s="106"/>
      <c r="BA1047544" s="106"/>
    </row>
    <row r="1047545" spans="52:53">
      <c r="AZ1047545" s="106"/>
      <c r="BA1047545" s="106"/>
    </row>
    <row r="1047546" spans="52:53">
      <c r="AZ1047546" s="106"/>
      <c r="BA1047546" s="106"/>
    </row>
    <row r="1047547" spans="52:53">
      <c r="AZ1047547" s="106"/>
      <c r="BA1047547" s="106"/>
    </row>
    <row r="1047548" spans="52:53">
      <c r="AZ1047548" s="106"/>
      <c r="BA1047548" s="106"/>
    </row>
    <row r="1047549" spans="52:53">
      <c r="AZ1047549" s="106"/>
      <c r="BA1047549" s="106"/>
    </row>
    <row r="1047550" spans="52:53">
      <c r="AZ1047550" s="106"/>
      <c r="BA1047550" s="106"/>
    </row>
    <row r="1047551" spans="52:53">
      <c r="AZ1047551" s="106"/>
      <c r="BA1047551" s="106"/>
    </row>
    <row r="1047552" spans="52:53">
      <c r="AZ1047552" s="106"/>
      <c r="BA1047552" s="106"/>
    </row>
    <row r="1047553" spans="52:53">
      <c r="AZ1047553" s="106"/>
      <c r="BA1047553" s="106"/>
    </row>
    <row r="1047554" spans="52:53">
      <c r="AZ1047554" s="106"/>
      <c r="BA1047554" s="106"/>
    </row>
    <row r="1047555" spans="52:53">
      <c r="AZ1047555" s="106"/>
      <c r="BA1047555" s="106"/>
    </row>
    <row r="1047556" spans="52:53">
      <c r="AZ1047556" s="106"/>
      <c r="BA1047556" s="106"/>
    </row>
    <row r="1047557" spans="52:53">
      <c r="AZ1047557" s="106"/>
      <c r="BA1047557" s="106"/>
    </row>
    <row r="1047558" spans="52:53">
      <c r="AZ1047558" s="106"/>
      <c r="BA1047558" s="106"/>
    </row>
    <row r="1047559" spans="52:53">
      <c r="AZ1047559" s="106"/>
      <c r="BA1047559" s="106"/>
    </row>
    <row r="1047560" spans="52:53">
      <c r="AZ1047560" s="106"/>
      <c r="BA1047560" s="106"/>
    </row>
    <row r="1047561" spans="52:53">
      <c r="AZ1047561" s="106"/>
      <c r="BA1047561" s="106"/>
    </row>
    <row r="1047562" spans="52:53">
      <c r="AZ1047562" s="106"/>
      <c r="BA1047562" s="106"/>
    </row>
    <row r="1047563" spans="52:53">
      <c r="AZ1047563" s="106"/>
      <c r="BA1047563" s="106"/>
    </row>
    <row r="1047564" spans="52:53">
      <c r="AZ1047564" s="106"/>
      <c r="BA1047564" s="106"/>
    </row>
    <row r="1047565" spans="52:53">
      <c r="AZ1047565" s="106"/>
      <c r="BA1047565" s="106"/>
    </row>
    <row r="1047566" spans="52:53">
      <c r="AZ1047566" s="106"/>
      <c r="BA1047566" s="106"/>
    </row>
    <row r="1047567" spans="52:53">
      <c r="AZ1047567" s="106"/>
      <c r="BA1047567" s="106"/>
    </row>
    <row r="1047568" spans="52:53">
      <c r="AZ1047568" s="106"/>
      <c r="BA1047568" s="106"/>
    </row>
    <row r="1047569" spans="52:53">
      <c r="AZ1047569" s="106"/>
      <c r="BA1047569" s="106"/>
    </row>
    <row r="1047570" spans="52:53">
      <c r="AZ1047570" s="106"/>
      <c r="BA1047570" s="106"/>
    </row>
    <row r="1047571" spans="52:53">
      <c r="AZ1047571" s="106"/>
      <c r="BA1047571" s="106"/>
    </row>
    <row r="1047572" spans="52:53">
      <c r="AZ1047572" s="106"/>
      <c r="BA1047572" s="106"/>
    </row>
    <row r="1047573" spans="52:53">
      <c r="AZ1047573" s="106"/>
      <c r="BA1047573" s="106"/>
    </row>
    <row r="1047574" spans="52:53">
      <c r="AZ1047574" s="106"/>
      <c r="BA1047574" s="106"/>
    </row>
    <row r="1047575" spans="52:53">
      <c r="AZ1047575" s="106"/>
      <c r="BA1047575" s="106"/>
    </row>
    <row r="1047576" spans="52:53">
      <c r="AZ1047576" s="106"/>
      <c r="BA1047576" s="106"/>
    </row>
    <row r="1047577" spans="52:53">
      <c r="AZ1047577" s="106"/>
      <c r="BA1047577" s="106"/>
    </row>
    <row r="1047578" spans="52:53">
      <c r="AZ1047578" s="106"/>
      <c r="BA1047578" s="106"/>
    </row>
    <row r="1047579" spans="52:53">
      <c r="AZ1047579" s="106"/>
      <c r="BA1047579" s="106"/>
    </row>
    <row r="1047580" spans="52:53">
      <c r="AZ1047580" s="106"/>
      <c r="BA1047580" s="106"/>
    </row>
    <row r="1047581" spans="52:53">
      <c r="AZ1047581" s="106"/>
      <c r="BA1047581" s="106"/>
    </row>
    <row r="1047582" spans="52:53">
      <c r="AZ1047582" s="106"/>
      <c r="BA1047582" s="106"/>
    </row>
    <row r="1047583" spans="52:53">
      <c r="AZ1047583" s="106"/>
      <c r="BA1047583" s="106"/>
    </row>
    <row r="1047584" spans="52:53">
      <c r="AZ1047584" s="106"/>
      <c r="BA1047584" s="106"/>
    </row>
    <row r="1047585" spans="52:53">
      <c r="AZ1047585" s="106"/>
      <c r="BA1047585" s="106"/>
    </row>
    <row r="1047586" spans="52:53">
      <c r="AZ1047586" s="106"/>
      <c r="BA1047586" s="106"/>
    </row>
    <row r="1047587" spans="52:53">
      <c r="AZ1047587" s="106"/>
      <c r="BA1047587" s="106"/>
    </row>
    <row r="1047588" spans="52:53">
      <c r="AZ1047588" s="106"/>
      <c r="BA1047588" s="106"/>
    </row>
    <row r="1047589" spans="52:53">
      <c r="AZ1047589" s="106"/>
      <c r="BA1047589" s="106"/>
    </row>
    <row r="1047590" spans="52:53">
      <c r="AZ1047590" s="106"/>
      <c r="BA1047590" s="106"/>
    </row>
    <row r="1047591" spans="52:53">
      <c r="AZ1047591" s="106"/>
      <c r="BA1047591" s="106"/>
    </row>
    <row r="1047592" spans="52:53">
      <c r="AZ1047592" s="106"/>
      <c r="BA1047592" s="106"/>
    </row>
    <row r="1047593" spans="52:53">
      <c r="AZ1047593" s="106"/>
      <c r="BA1047593" s="106"/>
    </row>
    <row r="1047594" spans="52:53">
      <c r="AZ1047594" s="106"/>
      <c r="BA1047594" s="106"/>
    </row>
    <row r="1047595" spans="52:53">
      <c r="AZ1047595" s="106"/>
      <c r="BA1047595" s="106"/>
    </row>
    <row r="1047596" spans="52:53">
      <c r="AZ1047596" s="106"/>
      <c r="BA1047596" s="106"/>
    </row>
    <row r="1047597" spans="52:53">
      <c r="AZ1047597" s="106"/>
      <c r="BA1047597" s="106"/>
    </row>
    <row r="1047598" spans="52:53">
      <c r="AZ1047598" s="106"/>
      <c r="BA1047598" s="106"/>
    </row>
    <row r="1047599" spans="52:53">
      <c r="AZ1047599" s="106"/>
      <c r="BA1047599" s="106"/>
    </row>
    <row r="1047600" spans="52:53">
      <c r="AZ1047600" s="106"/>
      <c r="BA1047600" s="106"/>
    </row>
    <row r="1047601" spans="52:53">
      <c r="AZ1047601" s="106"/>
      <c r="BA1047601" s="106"/>
    </row>
    <row r="1047602" spans="52:53">
      <c r="AZ1047602" s="106"/>
      <c r="BA1047602" s="106"/>
    </row>
    <row r="1047603" spans="52:53">
      <c r="AZ1047603" s="106"/>
      <c r="BA1047603" s="106"/>
    </row>
    <row r="1047604" spans="52:53">
      <c r="AZ1047604" s="106"/>
      <c r="BA1047604" s="106"/>
    </row>
    <row r="1047605" spans="52:53">
      <c r="AZ1047605" s="106"/>
      <c r="BA1047605" s="106"/>
    </row>
    <row r="1047606" spans="52:53">
      <c r="AZ1047606" s="106"/>
      <c r="BA1047606" s="106"/>
    </row>
    <row r="1047607" spans="52:53">
      <c r="AZ1047607" s="106"/>
      <c r="BA1047607" s="106"/>
    </row>
    <row r="1047608" spans="52:53">
      <c r="AZ1047608" s="106"/>
      <c r="BA1047608" s="106"/>
    </row>
    <row r="1047609" spans="52:53">
      <c r="AZ1047609" s="106"/>
      <c r="BA1047609" s="106"/>
    </row>
    <row r="1047610" spans="52:53">
      <c r="AZ1047610" s="106"/>
      <c r="BA1047610" s="106"/>
    </row>
    <row r="1047611" spans="52:53">
      <c r="AZ1047611" s="106"/>
      <c r="BA1047611" s="106"/>
    </row>
    <row r="1047612" spans="52:53">
      <c r="AZ1047612" s="106"/>
      <c r="BA1047612" s="106"/>
    </row>
    <row r="1047613" spans="52:53">
      <c r="AZ1047613" s="106"/>
      <c r="BA1047613" s="106"/>
    </row>
    <row r="1047614" spans="52:53">
      <c r="AZ1047614" s="106"/>
      <c r="BA1047614" s="106"/>
    </row>
    <row r="1047615" spans="52:53">
      <c r="AZ1047615" s="106"/>
      <c r="BA1047615" s="106"/>
    </row>
    <row r="1047616" spans="52:53">
      <c r="AZ1047616" s="106"/>
      <c r="BA1047616" s="106"/>
    </row>
    <row r="1047617" spans="52:53">
      <c r="AZ1047617" s="106"/>
      <c r="BA1047617" s="106"/>
    </row>
    <row r="1047618" spans="52:53">
      <c r="AZ1047618" s="106"/>
      <c r="BA1047618" s="106"/>
    </row>
    <row r="1047619" spans="52:53">
      <c r="AZ1047619" s="106"/>
      <c r="BA1047619" s="106"/>
    </row>
    <row r="1047620" spans="52:53">
      <c r="AZ1047620" s="106"/>
      <c r="BA1047620" s="106"/>
    </row>
    <row r="1047621" spans="52:53">
      <c r="AZ1047621" s="106"/>
      <c r="BA1047621" s="106"/>
    </row>
    <row r="1047622" spans="52:53">
      <c r="AZ1047622" s="106"/>
      <c r="BA1047622" s="106"/>
    </row>
    <row r="1047623" spans="52:53">
      <c r="AZ1047623" s="106"/>
      <c r="BA1047623" s="106"/>
    </row>
    <row r="1047624" spans="52:53">
      <c r="AZ1047624" s="106"/>
      <c r="BA1047624" s="106"/>
    </row>
    <row r="1047625" spans="52:53">
      <c r="AZ1047625" s="106"/>
      <c r="BA1047625" s="106"/>
    </row>
    <row r="1047626" spans="52:53">
      <c r="AZ1047626" s="106"/>
      <c r="BA1047626" s="106"/>
    </row>
    <row r="1047627" spans="52:53">
      <c r="AZ1047627" s="106"/>
      <c r="BA1047627" s="106"/>
    </row>
    <row r="1047628" spans="52:53">
      <c r="AZ1047628" s="106"/>
      <c r="BA1047628" s="106"/>
    </row>
    <row r="1047629" spans="52:53">
      <c r="AZ1047629" s="106"/>
      <c r="BA1047629" s="106"/>
    </row>
    <row r="1047630" spans="52:53">
      <c r="AZ1047630" s="106"/>
      <c r="BA1047630" s="106"/>
    </row>
    <row r="1047631" spans="52:53">
      <c r="AZ1047631" s="106"/>
      <c r="BA1047631" s="106"/>
    </row>
    <row r="1047632" spans="52:53">
      <c r="AZ1047632" s="106"/>
      <c r="BA1047632" s="106"/>
    </row>
    <row r="1047633" spans="52:53">
      <c r="AZ1047633" s="106"/>
      <c r="BA1047633" s="106"/>
    </row>
    <row r="1047634" spans="52:53">
      <c r="AZ1047634" s="106"/>
      <c r="BA1047634" s="106"/>
    </row>
    <row r="1047635" spans="52:53">
      <c r="AZ1047635" s="106"/>
      <c r="BA1047635" s="106"/>
    </row>
    <row r="1047636" spans="52:53">
      <c r="AZ1047636" s="106"/>
      <c r="BA1047636" s="106"/>
    </row>
    <row r="1047637" spans="52:53">
      <c r="AZ1047637" s="106"/>
      <c r="BA1047637" s="106"/>
    </row>
    <row r="1047638" spans="52:53">
      <c r="AZ1047638" s="106"/>
      <c r="BA1047638" s="106"/>
    </row>
    <row r="1047639" spans="52:53">
      <c r="AZ1047639" s="106"/>
      <c r="BA1047639" s="106"/>
    </row>
    <row r="1047640" spans="52:53">
      <c r="AZ1047640" s="106"/>
      <c r="BA1047640" s="106"/>
    </row>
    <row r="1047641" spans="52:53">
      <c r="AZ1047641" s="106"/>
      <c r="BA1047641" s="106"/>
    </row>
    <row r="1047642" spans="52:53">
      <c r="AZ1047642" s="106"/>
      <c r="BA1047642" s="106"/>
    </row>
    <row r="1047643" spans="52:53">
      <c r="AZ1047643" s="106"/>
      <c r="BA1047643" s="106"/>
    </row>
    <row r="1047644" spans="52:53">
      <c r="AZ1047644" s="106"/>
      <c r="BA1047644" s="106"/>
    </row>
    <row r="1047645" spans="52:53">
      <c r="AZ1047645" s="106"/>
      <c r="BA1047645" s="106"/>
    </row>
    <row r="1047646" spans="52:53">
      <c r="AZ1047646" s="106"/>
      <c r="BA1047646" s="106"/>
    </row>
    <row r="1047647" spans="52:53">
      <c r="AZ1047647" s="106"/>
      <c r="BA1047647" s="106"/>
    </row>
    <row r="1047648" spans="52:53">
      <c r="AZ1047648" s="106"/>
      <c r="BA1047648" s="106"/>
    </row>
    <row r="1047649" spans="52:53">
      <c r="AZ1047649" s="106"/>
      <c r="BA1047649" s="106"/>
    </row>
    <row r="1047650" spans="52:53">
      <c r="AZ1047650" s="106"/>
      <c r="BA1047650" s="106"/>
    </row>
    <row r="1047651" spans="52:53">
      <c r="AZ1047651" s="106"/>
      <c r="BA1047651" s="106"/>
    </row>
    <row r="1047652" spans="52:53">
      <c r="AZ1047652" s="106"/>
      <c r="BA1047652" s="106"/>
    </row>
    <row r="1047653" spans="52:53">
      <c r="AZ1047653" s="106"/>
      <c r="BA1047653" s="106"/>
    </row>
    <row r="1047654" spans="52:53">
      <c r="AZ1047654" s="106"/>
      <c r="BA1047654" s="106"/>
    </row>
    <row r="1047655" spans="52:53">
      <c r="AZ1047655" s="106"/>
      <c r="BA1047655" s="106"/>
    </row>
    <row r="1047656" spans="52:53">
      <c r="AZ1047656" s="106"/>
      <c r="BA1047656" s="106"/>
    </row>
    <row r="1047657" spans="52:53">
      <c r="AZ1047657" s="106"/>
      <c r="BA1047657" s="106"/>
    </row>
    <row r="1047658" spans="52:53">
      <c r="AZ1047658" s="106"/>
      <c r="BA1047658" s="106"/>
    </row>
    <row r="1047659" spans="52:53">
      <c r="AZ1047659" s="106"/>
      <c r="BA1047659" s="106"/>
    </row>
    <row r="1047660" spans="52:53">
      <c r="AZ1047660" s="106"/>
      <c r="BA1047660" s="106"/>
    </row>
    <row r="1047661" spans="52:53">
      <c r="AZ1047661" s="106"/>
      <c r="BA1047661" s="106"/>
    </row>
    <row r="1047662" spans="52:53">
      <c r="AZ1047662" s="106"/>
      <c r="BA1047662" s="106"/>
    </row>
    <row r="1047663" spans="52:53">
      <c r="AZ1047663" s="106"/>
      <c r="BA1047663" s="106"/>
    </row>
    <row r="1047664" spans="52:53">
      <c r="AZ1047664" s="106"/>
      <c r="BA1047664" s="106"/>
    </row>
    <row r="1047665" spans="52:53">
      <c r="AZ1047665" s="106"/>
      <c r="BA1047665" s="106"/>
    </row>
    <row r="1047666" spans="52:53">
      <c r="AZ1047666" s="106"/>
      <c r="BA1047666" s="106"/>
    </row>
    <row r="1047667" spans="52:53">
      <c r="AZ1047667" s="106"/>
      <c r="BA1047667" s="106"/>
    </row>
    <row r="1047668" spans="52:53">
      <c r="AZ1047668" s="106"/>
      <c r="BA1047668" s="106"/>
    </row>
    <row r="1047669" spans="52:53">
      <c r="AZ1047669" s="106"/>
      <c r="BA1047669" s="106"/>
    </row>
    <row r="1047670" spans="52:53">
      <c r="AZ1047670" s="106"/>
      <c r="BA1047670" s="106"/>
    </row>
    <row r="1047671" spans="52:53">
      <c r="AZ1047671" s="106"/>
      <c r="BA1047671" s="106"/>
    </row>
    <row r="1047672" spans="52:53">
      <c r="AZ1047672" s="106"/>
      <c r="BA1047672" s="106"/>
    </row>
    <row r="1047673" spans="52:53">
      <c r="AZ1047673" s="106"/>
      <c r="BA1047673" s="106"/>
    </row>
    <row r="1047674" spans="52:53">
      <c r="AZ1047674" s="106"/>
      <c r="BA1047674" s="106"/>
    </row>
    <row r="1047675" spans="52:53">
      <c r="AZ1047675" s="106"/>
      <c r="BA1047675" s="106"/>
    </row>
    <row r="1047676" spans="52:53">
      <c r="AZ1047676" s="106"/>
      <c r="BA1047676" s="106"/>
    </row>
    <row r="1047677" spans="52:53">
      <c r="AZ1047677" s="106"/>
      <c r="BA1047677" s="106"/>
    </row>
    <row r="1047678" spans="52:53">
      <c r="AZ1047678" s="106"/>
      <c r="BA1047678" s="106"/>
    </row>
    <row r="1047679" spans="52:53">
      <c r="AZ1047679" s="106"/>
      <c r="BA1047679" s="106"/>
    </row>
    <row r="1047680" spans="52:53">
      <c r="AZ1047680" s="106"/>
      <c r="BA1047680" s="106"/>
    </row>
    <row r="1047681" spans="52:53">
      <c r="AZ1047681" s="106"/>
      <c r="BA1047681" s="106"/>
    </row>
    <row r="1047682" spans="52:53">
      <c r="AZ1047682" s="106"/>
      <c r="BA1047682" s="106"/>
    </row>
    <row r="1047683" spans="52:53">
      <c r="AZ1047683" s="106"/>
      <c r="BA1047683" s="106"/>
    </row>
    <row r="1047684" spans="52:53">
      <c r="AZ1047684" s="106"/>
      <c r="BA1047684" s="106"/>
    </row>
    <row r="1047685" spans="52:53">
      <c r="AZ1047685" s="106"/>
      <c r="BA1047685" s="106"/>
    </row>
    <row r="1047686" spans="52:53">
      <c r="AZ1047686" s="106"/>
      <c r="BA1047686" s="106"/>
    </row>
    <row r="1047687" spans="52:53">
      <c r="AZ1047687" s="106"/>
      <c r="BA1047687" s="106"/>
    </row>
    <row r="1047688" spans="52:53">
      <c r="AZ1047688" s="106"/>
      <c r="BA1047688" s="106"/>
    </row>
    <row r="1047689" spans="52:53">
      <c r="AZ1047689" s="106"/>
      <c r="BA1047689" s="106"/>
    </row>
    <row r="1047690" spans="52:53">
      <c r="AZ1047690" s="106"/>
      <c r="BA1047690" s="106"/>
    </row>
    <row r="1047691" spans="52:53">
      <c r="AZ1047691" s="106"/>
      <c r="BA1047691" s="106"/>
    </row>
    <row r="1047692" spans="52:53">
      <c r="AZ1047692" s="106"/>
      <c r="BA1047692" s="106"/>
    </row>
    <row r="1047693" spans="52:53">
      <c r="AZ1047693" s="106"/>
      <c r="BA1047693" s="106"/>
    </row>
    <row r="1047694" spans="52:53">
      <c r="AZ1047694" s="106"/>
      <c r="BA1047694" s="106"/>
    </row>
    <row r="1047695" spans="52:53">
      <c r="AZ1047695" s="106"/>
      <c r="BA1047695" s="106"/>
    </row>
    <row r="1047696" spans="52:53">
      <c r="AZ1047696" s="106"/>
      <c r="BA1047696" s="106"/>
    </row>
    <row r="1047697" spans="52:53">
      <c r="AZ1047697" s="106"/>
      <c r="BA1047697" s="106"/>
    </row>
    <row r="1047698" spans="52:53">
      <c r="AZ1047698" s="106"/>
      <c r="BA1047698" s="106"/>
    </row>
    <row r="1047699" spans="52:53">
      <c r="AZ1047699" s="106"/>
      <c r="BA1047699" s="106"/>
    </row>
    <row r="1047700" spans="52:53">
      <c r="AZ1047700" s="106"/>
      <c r="BA1047700" s="106"/>
    </row>
    <row r="1047701" spans="52:53">
      <c r="AZ1047701" s="106"/>
      <c r="BA1047701" s="106"/>
    </row>
    <row r="1047702" spans="52:53">
      <c r="AZ1047702" s="106"/>
      <c r="BA1047702" s="106"/>
    </row>
    <row r="1047703" spans="52:53">
      <c r="AZ1047703" s="106"/>
      <c r="BA1047703" s="106"/>
    </row>
    <row r="1047704" spans="52:53">
      <c r="AZ1047704" s="106"/>
      <c r="BA1047704" s="106"/>
    </row>
    <row r="1047705" spans="52:53">
      <c r="AZ1047705" s="106"/>
      <c r="BA1047705" s="106"/>
    </row>
    <row r="1047706" spans="52:53">
      <c r="AZ1047706" s="106"/>
      <c r="BA1047706" s="106"/>
    </row>
    <row r="1047707" spans="52:53">
      <c r="AZ1047707" s="106"/>
      <c r="BA1047707" s="106"/>
    </row>
    <row r="1047708" spans="52:53">
      <c r="AZ1047708" s="106"/>
      <c r="BA1047708" s="106"/>
    </row>
    <row r="1047709" spans="52:53">
      <c r="AZ1047709" s="106"/>
      <c r="BA1047709" s="106"/>
    </row>
    <row r="1047710" spans="52:53">
      <c r="AZ1047710" s="106"/>
      <c r="BA1047710" s="106"/>
    </row>
    <row r="1047711" spans="52:53">
      <c r="AZ1047711" s="106"/>
      <c r="BA1047711" s="106"/>
    </row>
    <row r="1047712" spans="52:53">
      <c r="AZ1047712" s="106"/>
      <c r="BA1047712" s="106"/>
    </row>
    <row r="1047713" spans="52:53">
      <c r="AZ1047713" s="106"/>
      <c r="BA1047713" s="106"/>
    </row>
    <row r="1047714" spans="52:53">
      <c r="AZ1047714" s="106"/>
      <c r="BA1047714" s="106"/>
    </row>
    <row r="1047715" spans="52:53">
      <c r="AZ1047715" s="106"/>
      <c r="BA1047715" s="106"/>
    </row>
    <row r="1047716" spans="52:53">
      <c r="AZ1047716" s="106"/>
      <c r="BA1047716" s="106"/>
    </row>
    <row r="1047717" spans="52:53">
      <c r="AZ1047717" s="106"/>
      <c r="BA1047717" s="106"/>
    </row>
    <row r="1047718" spans="52:53">
      <c r="AZ1047718" s="106"/>
      <c r="BA1047718" s="106"/>
    </row>
    <row r="1047719" spans="52:53">
      <c r="AZ1047719" s="106"/>
      <c r="BA1047719" s="106"/>
    </row>
    <row r="1047720" spans="52:53">
      <c r="AZ1047720" s="106"/>
      <c r="BA1047720" s="106"/>
    </row>
    <row r="1047721" spans="52:53">
      <c r="AZ1047721" s="106"/>
      <c r="BA1047721" s="106"/>
    </row>
    <row r="1047722" spans="52:53">
      <c r="AZ1047722" s="106"/>
      <c r="BA1047722" s="106"/>
    </row>
    <row r="1047723" spans="52:53">
      <c r="AZ1047723" s="106"/>
      <c r="BA1047723" s="106"/>
    </row>
    <row r="1047724" spans="52:53">
      <c r="AZ1047724" s="106"/>
      <c r="BA1047724" s="106"/>
    </row>
    <row r="1047725" spans="52:53">
      <c r="AZ1047725" s="106"/>
      <c r="BA1047725" s="106"/>
    </row>
    <row r="1047726" spans="52:53">
      <c r="AZ1047726" s="106"/>
      <c r="BA1047726" s="106"/>
    </row>
    <row r="1047727" spans="52:53">
      <c r="AZ1047727" s="106"/>
      <c r="BA1047727" s="106"/>
    </row>
    <row r="1047728" spans="52:53">
      <c r="AZ1047728" s="106"/>
      <c r="BA1047728" s="106"/>
    </row>
    <row r="1047729" spans="52:53">
      <c r="AZ1047729" s="106"/>
      <c r="BA1047729" s="106"/>
    </row>
    <row r="1047730" spans="52:53">
      <c r="AZ1047730" s="106"/>
      <c r="BA1047730" s="106"/>
    </row>
    <row r="1047731" spans="52:53">
      <c r="AZ1047731" s="106"/>
      <c r="BA1047731" s="106"/>
    </row>
    <row r="1047732" spans="52:53">
      <c r="AZ1047732" s="106"/>
      <c r="BA1047732" s="106"/>
    </row>
    <row r="1047733" spans="52:53">
      <c r="AZ1047733" s="106"/>
      <c r="BA1047733" s="106"/>
    </row>
    <row r="1047734" spans="52:53">
      <c r="AZ1047734" s="106"/>
      <c r="BA1047734" s="106"/>
    </row>
    <row r="1047735" spans="52:53">
      <c r="AZ1047735" s="106"/>
      <c r="BA1047735" s="106"/>
    </row>
    <row r="1047736" spans="52:53">
      <c r="AZ1047736" s="106"/>
      <c r="BA1047736" s="106"/>
    </row>
    <row r="1047737" spans="52:53">
      <c r="AZ1047737" s="106"/>
      <c r="BA1047737" s="106"/>
    </row>
    <row r="1047738" spans="52:53">
      <c r="AZ1047738" s="106"/>
      <c r="BA1047738" s="106"/>
    </row>
    <row r="1047739" spans="52:53">
      <c r="AZ1047739" s="106"/>
      <c r="BA1047739" s="106"/>
    </row>
    <row r="1047740" spans="52:53">
      <c r="AZ1047740" s="106"/>
      <c r="BA1047740" s="106"/>
    </row>
    <row r="1047741" spans="52:53">
      <c r="AZ1047741" s="106"/>
      <c r="BA1047741" s="106"/>
    </row>
    <row r="1047742" spans="52:53">
      <c r="AZ1047742" s="106"/>
      <c r="BA1047742" s="106"/>
    </row>
    <row r="1047743" spans="52:53">
      <c r="AZ1047743" s="106"/>
      <c r="BA1047743" s="106"/>
    </row>
    <row r="1047744" spans="52:53">
      <c r="AZ1047744" s="106"/>
      <c r="BA1047744" s="106"/>
    </row>
    <row r="1047745" spans="52:53">
      <c r="AZ1047745" s="106"/>
      <c r="BA1047745" s="106"/>
    </row>
    <row r="1047746" spans="52:53">
      <c r="AZ1047746" s="106"/>
      <c r="BA1047746" s="106"/>
    </row>
    <row r="1047747" spans="52:53">
      <c r="AZ1047747" s="106"/>
      <c r="BA1047747" s="106"/>
    </row>
    <row r="1047748" spans="52:53">
      <c r="AZ1047748" s="106"/>
      <c r="BA1047748" s="106"/>
    </row>
    <row r="1047749" spans="52:53">
      <c r="AZ1047749" s="106"/>
      <c r="BA1047749" s="106"/>
    </row>
    <row r="1047750" spans="52:53">
      <c r="AZ1047750" s="106"/>
      <c r="BA1047750" s="106"/>
    </row>
    <row r="1047751" spans="52:53">
      <c r="AZ1047751" s="106"/>
      <c r="BA1047751" s="106"/>
    </row>
    <row r="1047752" spans="52:53">
      <c r="AZ1047752" s="106"/>
      <c r="BA1047752" s="106"/>
    </row>
    <row r="1047753" spans="52:53">
      <c r="AZ1047753" s="106"/>
      <c r="BA1047753" s="106"/>
    </row>
    <row r="1047754" spans="52:53">
      <c r="AZ1047754" s="106"/>
      <c r="BA1047754" s="106"/>
    </row>
    <row r="1047755" spans="52:53">
      <c r="AZ1047755" s="106"/>
      <c r="BA1047755" s="106"/>
    </row>
    <row r="1047756" spans="52:53">
      <c r="AZ1047756" s="106"/>
      <c r="BA1047756" s="106"/>
    </row>
    <row r="1047757" spans="52:53">
      <c r="AZ1047757" s="106"/>
      <c r="BA1047757" s="106"/>
    </row>
    <row r="1047758" spans="52:53">
      <c r="AZ1047758" s="106"/>
      <c r="BA1047758" s="106"/>
    </row>
    <row r="1047759" spans="52:53">
      <c r="AZ1047759" s="106"/>
      <c r="BA1047759" s="106"/>
    </row>
    <row r="1047760" spans="52:53">
      <c r="AZ1047760" s="106"/>
      <c r="BA1047760" s="106"/>
    </row>
    <row r="1047761" spans="52:53">
      <c r="AZ1047761" s="106"/>
      <c r="BA1047761" s="106"/>
    </row>
    <row r="1047762" spans="52:53">
      <c r="AZ1047762" s="106"/>
      <c r="BA1047762" s="106"/>
    </row>
    <row r="1047763" spans="52:53">
      <c r="AZ1047763" s="106"/>
      <c r="BA1047763" s="106"/>
    </row>
    <row r="1047764" spans="52:53">
      <c r="AZ1047764" s="106"/>
      <c r="BA1047764" s="106"/>
    </row>
    <row r="1047765" spans="52:53">
      <c r="AZ1047765" s="106"/>
      <c r="BA1047765" s="106"/>
    </row>
    <row r="1047766" spans="52:53">
      <c r="AZ1047766" s="106"/>
      <c r="BA1047766" s="106"/>
    </row>
    <row r="1047767" spans="52:53">
      <c r="AZ1047767" s="106"/>
      <c r="BA1047767" s="106"/>
    </row>
    <row r="1047768" spans="52:53">
      <c r="AZ1047768" s="106"/>
      <c r="BA1047768" s="106"/>
    </row>
    <row r="1047769" spans="52:53">
      <c r="AZ1047769" s="106"/>
      <c r="BA1047769" s="106"/>
    </row>
    <row r="1047770" spans="52:53">
      <c r="AZ1047770" s="106"/>
      <c r="BA1047770" s="106"/>
    </row>
    <row r="1047771" spans="52:53">
      <c r="AZ1047771" s="106"/>
      <c r="BA1047771" s="106"/>
    </row>
    <row r="1047772" spans="52:53">
      <c r="AZ1047772" s="106"/>
      <c r="BA1047772" s="106"/>
    </row>
    <row r="1047773" spans="52:53">
      <c r="AZ1047773" s="106"/>
      <c r="BA1047773" s="106"/>
    </row>
    <row r="1047774" spans="52:53">
      <c r="AZ1047774" s="106"/>
      <c r="BA1047774" s="106"/>
    </row>
    <row r="1047775" spans="52:53">
      <c r="AZ1047775" s="106"/>
      <c r="BA1047775" s="106"/>
    </row>
    <row r="1047776" spans="52:53">
      <c r="AZ1047776" s="106"/>
      <c r="BA1047776" s="106"/>
    </row>
    <row r="1047777" spans="52:53">
      <c r="AZ1047777" s="106"/>
      <c r="BA1047777" s="106"/>
    </row>
    <row r="1047778" spans="52:53">
      <c r="AZ1047778" s="106"/>
      <c r="BA1047778" s="106"/>
    </row>
    <row r="1047779" spans="52:53">
      <c r="AZ1047779" s="106"/>
      <c r="BA1047779" s="106"/>
    </row>
    <row r="1047780" spans="52:53">
      <c r="AZ1047780" s="106"/>
      <c r="BA1047780" s="106"/>
    </row>
    <row r="1047781" spans="52:53">
      <c r="AZ1047781" s="106"/>
      <c r="BA1047781" s="106"/>
    </row>
    <row r="1047782" spans="52:53">
      <c r="AZ1047782" s="106"/>
      <c r="BA1047782" s="106"/>
    </row>
    <row r="1047783" spans="52:53">
      <c r="AZ1047783" s="106"/>
      <c r="BA1047783" s="106"/>
    </row>
    <row r="1047784" spans="52:53">
      <c r="AZ1047784" s="106"/>
      <c r="BA1047784" s="106"/>
    </row>
    <row r="1047785" spans="52:53">
      <c r="AZ1047785" s="106"/>
      <c r="BA1047785" s="106"/>
    </row>
    <row r="1047786" spans="52:53">
      <c r="AZ1047786" s="106"/>
      <c r="BA1047786" s="106"/>
    </row>
    <row r="1047787" spans="52:53">
      <c r="AZ1047787" s="106"/>
      <c r="BA1047787" s="106"/>
    </row>
    <row r="1047788" spans="52:53">
      <c r="AZ1047788" s="106"/>
      <c r="BA1047788" s="106"/>
    </row>
    <row r="1047789" spans="52:53">
      <c r="AZ1047789" s="106"/>
      <c r="BA1047789" s="106"/>
    </row>
    <row r="1047790" spans="52:53">
      <c r="AZ1047790" s="106"/>
      <c r="BA1047790" s="106"/>
    </row>
    <row r="1047791" spans="52:53">
      <c r="AZ1047791" s="106"/>
      <c r="BA1047791" s="106"/>
    </row>
    <row r="1047792" spans="52:53">
      <c r="AZ1047792" s="106"/>
      <c r="BA1047792" s="106"/>
    </row>
    <row r="1047793" spans="52:53">
      <c r="AZ1047793" s="106"/>
      <c r="BA1047793" s="106"/>
    </row>
    <row r="1047794" spans="52:53">
      <c r="AZ1047794" s="106"/>
      <c r="BA1047794" s="106"/>
    </row>
    <row r="1047795" spans="52:53">
      <c r="AZ1047795" s="106"/>
      <c r="BA1047795" s="106"/>
    </row>
    <row r="1047796" spans="52:53">
      <c r="AZ1047796" s="106"/>
      <c r="BA1047796" s="106"/>
    </row>
    <row r="1047797" spans="52:53">
      <c r="AZ1047797" s="106"/>
      <c r="BA1047797" s="106"/>
    </row>
    <row r="1047798" spans="52:53">
      <c r="AZ1047798" s="106"/>
      <c r="BA1047798" s="106"/>
    </row>
    <row r="1047799" spans="52:53">
      <c r="AZ1047799" s="106"/>
      <c r="BA1047799" s="106"/>
    </row>
    <row r="1047800" spans="52:53">
      <c r="AZ1047800" s="106"/>
      <c r="BA1047800" s="106"/>
    </row>
    <row r="1047801" spans="52:53">
      <c r="AZ1047801" s="106"/>
      <c r="BA1047801" s="106"/>
    </row>
    <row r="1047802" spans="52:53">
      <c r="AZ1047802" s="106"/>
      <c r="BA1047802" s="106"/>
    </row>
    <row r="1047803" spans="52:53">
      <c r="AZ1047803" s="106"/>
      <c r="BA1047803" s="106"/>
    </row>
    <row r="1047804" spans="52:53">
      <c r="AZ1047804" s="106"/>
      <c r="BA1047804" s="106"/>
    </row>
    <row r="1047805" spans="52:53">
      <c r="AZ1047805" s="106"/>
      <c r="BA1047805" s="106"/>
    </row>
    <row r="1047806" spans="52:53">
      <c r="AZ1047806" s="106"/>
      <c r="BA1047806" s="106"/>
    </row>
    <row r="1047807" spans="52:53">
      <c r="AZ1047807" s="106"/>
      <c r="BA1047807" s="106"/>
    </row>
    <row r="1047808" spans="52:53">
      <c r="AZ1047808" s="106"/>
      <c r="BA1047808" s="106"/>
    </row>
    <row r="1047809" spans="52:53">
      <c r="AZ1047809" s="106"/>
      <c r="BA1047809" s="106"/>
    </row>
    <row r="1047810" spans="52:53">
      <c r="AZ1047810" s="106"/>
      <c r="BA1047810" s="106"/>
    </row>
    <row r="1047811" spans="52:53">
      <c r="AZ1047811" s="106"/>
      <c r="BA1047811" s="106"/>
    </row>
    <row r="1047812" spans="52:53">
      <c r="AZ1047812" s="106"/>
      <c r="BA1047812" s="106"/>
    </row>
    <row r="1047813" spans="52:53">
      <c r="AZ1047813" s="106"/>
      <c r="BA1047813" s="106"/>
    </row>
    <row r="1047814" spans="52:53">
      <c r="AZ1047814" s="106"/>
      <c r="BA1047814" s="106"/>
    </row>
    <row r="1047815" spans="52:53">
      <c r="AZ1047815" s="106"/>
      <c r="BA1047815" s="106"/>
    </row>
    <row r="1047816" spans="52:53">
      <c r="AZ1047816" s="106"/>
      <c r="BA1047816" s="106"/>
    </row>
    <row r="1047817" spans="52:53">
      <c r="AZ1047817" s="106"/>
      <c r="BA1047817" s="106"/>
    </row>
    <row r="1047818" spans="52:53">
      <c r="AZ1047818" s="106"/>
      <c r="BA1047818" s="106"/>
    </row>
    <row r="1047819" spans="52:53">
      <c r="AZ1047819" s="106"/>
      <c r="BA1047819" s="106"/>
    </row>
    <row r="1047820" spans="52:53">
      <c r="AZ1047820" s="106"/>
      <c r="BA1047820" s="106"/>
    </row>
    <row r="1047821" spans="52:53">
      <c r="AZ1047821" s="106"/>
      <c r="BA1047821" s="106"/>
    </row>
    <row r="1047822" spans="52:53">
      <c r="AZ1047822" s="106"/>
      <c r="BA1047822" s="106"/>
    </row>
    <row r="1047823" spans="52:53">
      <c r="AZ1047823" s="106"/>
      <c r="BA1047823" s="106"/>
    </row>
    <row r="1047824" spans="52:53">
      <c r="AZ1047824" s="106"/>
      <c r="BA1047824" s="106"/>
    </row>
    <row r="1047825" spans="52:53">
      <c r="AZ1047825" s="106"/>
      <c r="BA1047825" s="106"/>
    </row>
    <row r="1047826" spans="52:53">
      <c r="AZ1047826" s="106"/>
      <c r="BA1047826" s="106"/>
    </row>
    <row r="1047827" spans="52:53">
      <c r="AZ1047827" s="106"/>
      <c r="BA1047827" s="106"/>
    </row>
    <row r="1047828" spans="52:53">
      <c r="AZ1047828" s="106"/>
      <c r="BA1047828" s="106"/>
    </row>
    <row r="1047829" spans="52:53">
      <c r="AZ1047829" s="106"/>
      <c r="BA1047829" s="106"/>
    </row>
    <row r="1047830" spans="52:53">
      <c r="AZ1047830" s="106"/>
      <c r="BA1047830" s="106"/>
    </row>
    <row r="1047831" spans="52:53">
      <c r="AZ1047831" s="106"/>
      <c r="BA1047831" s="106"/>
    </row>
    <row r="1047832" spans="52:53">
      <c r="AZ1047832" s="106"/>
      <c r="BA1047832" s="106"/>
    </row>
    <row r="1047833" spans="52:53">
      <c r="AZ1047833" s="106"/>
      <c r="BA1047833" s="106"/>
    </row>
    <row r="1047834" spans="52:53">
      <c r="AZ1047834" s="106"/>
      <c r="BA1047834" s="106"/>
    </row>
    <row r="1047835" spans="52:53">
      <c r="AZ1047835" s="106"/>
      <c r="BA1047835" s="106"/>
    </row>
    <row r="1047836" spans="52:53">
      <c r="AZ1047836" s="106"/>
      <c r="BA1047836" s="106"/>
    </row>
    <row r="1047837" spans="52:53">
      <c r="AZ1047837" s="106"/>
      <c r="BA1047837" s="106"/>
    </row>
    <row r="1047838" spans="52:53">
      <c r="AZ1047838" s="106"/>
      <c r="BA1047838" s="106"/>
    </row>
    <row r="1047839" spans="52:53">
      <c r="AZ1047839" s="106"/>
      <c r="BA1047839" s="106"/>
    </row>
    <row r="1047840" spans="52:53">
      <c r="AZ1047840" s="106"/>
      <c r="BA1047840" s="106"/>
    </row>
    <row r="1047841" spans="52:53">
      <c r="AZ1047841" s="106"/>
      <c r="BA1047841" s="106"/>
    </row>
    <row r="1047842" spans="52:53">
      <c r="AZ1047842" s="106"/>
      <c r="BA1047842" s="106"/>
    </row>
    <row r="1047843" spans="52:53">
      <c r="AZ1047843" s="106"/>
      <c r="BA1047843" s="106"/>
    </row>
    <row r="1047844" spans="52:53">
      <c r="AZ1047844" s="106"/>
      <c r="BA1047844" s="106"/>
    </row>
    <row r="1047845" spans="52:53">
      <c r="AZ1047845" s="106"/>
      <c r="BA1047845" s="106"/>
    </row>
    <row r="1047846" spans="52:53">
      <c r="AZ1047846" s="106"/>
      <c r="BA1047846" s="106"/>
    </row>
    <row r="1047847" spans="52:53">
      <c r="AZ1047847" s="106"/>
      <c r="BA1047847" s="106"/>
    </row>
    <row r="1047848" spans="52:53">
      <c r="AZ1047848" s="106"/>
      <c r="BA1047848" s="106"/>
    </row>
    <row r="1047849" spans="52:53">
      <c r="AZ1047849" s="106"/>
      <c r="BA1047849" s="106"/>
    </row>
    <row r="1047850" spans="52:53">
      <c r="AZ1047850" s="106"/>
      <c r="BA1047850" s="106"/>
    </row>
    <row r="1047851" spans="52:53">
      <c r="AZ1047851" s="106"/>
      <c r="BA1047851" s="106"/>
    </row>
    <row r="1047852" spans="52:53">
      <c r="AZ1047852" s="106"/>
      <c r="BA1047852" s="106"/>
    </row>
    <row r="1047853" spans="52:53">
      <c r="AZ1047853" s="106"/>
      <c r="BA1047853" s="106"/>
    </row>
    <row r="1047854" spans="52:53">
      <c r="AZ1047854" s="106"/>
      <c r="BA1047854" s="106"/>
    </row>
    <row r="1047855" spans="52:53">
      <c r="AZ1047855" s="106"/>
      <c r="BA1047855" s="106"/>
    </row>
    <row r="1047856" spans="52:53">
      <c r="AZ1047856" s="106"/>
      <c r="BA1047856" s="106"/>
    </row>
    <row r="1047857" spans="52:53">
      <c r="AZ1047857" s="106"/>
      <c r="BA1047857" s="106"/>
    </row>
    <row r="1047858" spans="52:53">
      <c r="AZ1047858" s="106"/>
      <c r="BA1047858" s="106"/>
    </row>
    <row r="1047859" spans="52:53">
      <c r="AZ1047859" s="106"/>
      <c r="BA1047859" s="106"/>
    </row>
    <row r="1047860" spans="52:53">
      <c r="AZ1047860" s="106"/>
      <c r="BA1047860" s="106"/>
    </row>
    <row r="1047861" spans="52:53">
      <c r="AZ1047861" s="106"/>
      <c r="BA1047861" s="106"/>
    </row>
    <row r="1047862" spans="52:53">
      <c r="AZ1047862" s="106"/>
      <c r="BA1047862" s="106"/>
    </row>
    <row r="1047863" spans="52:53">
      <c r="AZ1047863" s="106"/>
      <c r="BA1047863" s="106"/>
    </row>
    <row r="1047864" spans="52:53">
      <c r="AZ1047864" s="106"/>
      <c r="BA1047864" s="106"/>
    </row>
    <row r="1047865" spans="52:53">
      <c r="AZ1047865" s="106"/>
      <c r="BA1047865" s="106"/>
    </row>
    <row r="1047866" spans="52:53">
      <c r="AZ1047866" s="106"/>
      <c r="BA1047866" s="106"/>
    </row>
    <row r="1047867" spans="52:53">
      <c r="AZ1047867" s="106"/>
      <c r="BA1047867" s="106"/>
    </row>
    <row r="1047868" spans="52:53">
      <c r="AZ1047868" s="106"/>
      <c r="BA1047868" s="106"/>
    </row>
    <row r="1047869" spans="52:53">
      <c r="AZ1047869" s="106"/>
      <c r="BA1047869" s="106"/>
    </row>
    <row r="1047870" spans="52:53">
      <c r="AZ1047870" s="106"/>
      <c r="BA1047870" s="106"/>
    </row>
    <row r="1047871" spans="52:53">
      <c r="AZ1047871" s="106"/>
      <c r="BA1047871" s="106"/>
    </row>
    <row r="1047872" spans="52:53">
      <c r="AZ1047872" s="106"/>
      <c r="BA1047872" s="106"/>
    </row>
    <row r="1047873" spans="52:53">
      <c r="AZ1047873" s="106"/>
      <c r="BA1047873" s="106"/>
    </row>
    <row r="1047874" spans="52:53">
      <c r="AZ1047874" s="106"/>
      <c r="BA1047874" s="106"/>
    </row>
    <row r="1047875" spans="52:53">
      <c r="AZ1047875" s="106"/>
      <c r="BA1047875" s="106"/>
    </row>
    <row r="1047876" spans="52:53">
      <c r="AZ1047876" s="106"/>
      <c r="BA1047876" s="106"/>
    </row>
    <row r="1047877" spans="52:53">
      <c r="AZ1047877" s="106"/>
      <c r="BA1047877" s="106"/>
    </row>
    <row r="1047878" spans="52:53">
      <c r="AZ1047878" s="106"/>
      <c r="BA1047878" s="106"/>
    </row>
    <row r="1047879" spans="52:53">
      <c r="AZ1047879" s="106"/>
      <c r="BA1047879" s="106"/>
    </row>
    <row r="1047880" spans="52:53">
      <c r="AZ1047880" s="106"/>
      <c r="BA1047880" s="106"/>
    </row>
    <row r="1047881" spans="52:53">
      <c r="AZ1047881" s="106"/>
      <c r="BA1047881" s="106"/>
    </row>
    <row r="1047882" spans="52:53">
      <c r="AZ1047882" s="106"/>
      <c r="BA1047882" s="106"/>
    </row>
    <row r="1047883" spans="52:53">
      <c r="AZ1047883" s="106"/>
      <c r="BA1047883" s="106"/>
    </row>
    <row r="1047884" spans="52:53">
      <c r="AZ1047884" s="106"/>
      <c r="BA1047884" s="106"/>
    </row>
    <row r="1047885" spans="52:53">
      <c r="AZ1047885" s="106"/>
      <c r="BA1047885" s="106"/>
    </row>
    <row r="1047886" spans="52:53">
      <c r="AZ1047886" s="106"/>
      <c r="BA1047886" s="106"/>
    </row>
    <row r="1047887" spans="52:53">
      <c r="AZ1047887" s="106"/>
      <c r="BA1047887" s="106"/>
    </row>
    <row r="1047888" spans="52:53">
      <c r="AZ1047888" s="106"/>
      <c r="BA1047888" s="106"/>
    </row>
    <row r="1047889" spans="52:53">
      <c r="AZ1047889" s="106"/>
      <c r="BA1047889" s="106"/>
    </row>
    <row r="1047890" spans="52:53">
      <c r="AZ1047890" s="106"/>
      <c r="BA1047890" s="106"/>
    </row>
    <row r="1047891" spans="52:53">
      <c r="AZ1047891" s="106"/>
      <c r="BA1047891" s="106"/>
    </row>
    <row r="1047892" spans="52:53">
      <c r="AZ1047892" s="106"/>
      <c r="BA1047892" s="106"/>
    </row>
    <row r="1047893" spans="52:53">
      <c r="AZ1047893" s="106"/>
      <c r="BA1047893" s="106"/>
    </row>
    <row r="1047894" spans="52:53">
      <c r="AZ1047894" s="106"/>
      <c r="BA1047894" s="106"/>
    </row>
    <row r="1047895" spans="52:53">
      <c r="AZ1047895" s="106"/>
      <c r="BA1047895" s="106"/>
    </row>
    <row r="1047896" spans="52:53">
      <c r="AZ1047896" s="106"/>
      <c r="BA1047896" s="106"/>
    </row>
    <row r="1047897" spans="52:53">
      <c r="AZ1047897" s="106"/>
      <c r="BA1047897" s="106"/>
    </row>
    <row r="1047898" spans="52:53">
      <c r="AZ1047898" s="106"/>
      <c r="BA1047898" s="106"/>
    </row>
    <row r="1047899" spans="52:53">
      <c r="AZ1047899" s="106"/>
      <c r="BA1047899" s="106"/>
    </row>
    <row r="1047900" spans="52:53">
      <c r="AZ1047900" s="106"/>
      <c r="BA1047900" s="106"/>
    </row>
    <row r="1047901" spans="52:53">
      <c r="AZ1047901" s="106"/>
      <c r="BA1047901" s="106"/>
    </row>
    <row r="1047902" spans="52:53">
      <c r="AZ1047902" s="106"/>
      <c r="BA1047902" s="106"/>
    </row>
    <row r="1047903" spans="52:53">
      <c r="AZ1047903" s="106"/>
      <c r="BA1047903" s="106"/>
    </row>
    <row r="1047904" spans="52:53">
      <c r="AZ1047904" s="106"/>
      <c r="BA1047904" s="106"/>
    </row>
    <row r="1047905" spans="52:53">
      <c r="AZ1047905" s="106"/>
      <c r="BA1047905" s="106"/>
    </row>
    <row r="1047906" spans="52:53">
      <c r="AZ1047906" s="106"/>
      <c r="BA1047906" s="106"/>
    </row>
    <row r="1047907" spans="52:53">
      <c r="AZ1047907" s="106"/>
      <c r="BA1047907" s="106"/>
    </row>
    <row r="1047908" spans="52:53">
      <c r="AZ1047908" s="106"/>
      <c r="BA1047908" s="106"/>
    </row>
    <row r="1047909" spans="52:53">
      <c r="AZ1047909" s="106"/>
      <c r="BA1047909" s="106"/>
    </row>
    <row r="1047910" spans="52:53">
      <c r="AZ1047910" s="106"/>
      <c r="BA1047910" s="106"/>
    </row>
    <row r="1047911" spans="52:53">
      <c r="AZ1047911" s="106"/>
      <c r="BA1047911" s="106"/>
    </row>
    <row r="1047912" spans="52:53">
      <c r="AZ1047912" s="106"/>
      <c r="BA1047912" s="106"/>
    </row>
    <row r="1047913" spans="52:53">
      <c r="AZ1047913" s="106"/>
      <c r="BA1047913" s="106"/>
    </row>
    <row r="1047914" spans="52:53">
      <c r="AZ1047914" s="106"/>
      <c r="BA1047914" s="106"/>
    </row>
    <row r="1047915" spans="52:53">
      <c r="AZ1047915" s="106"/>
      <c r="BA1047915" s="106"/>
    </row>
    <row r="1047916" spans="52:53">
      <c r="AZ1047916" s="106"/>
      <c r="BA1047916" s="106"/>
    </row>
    <row r="1047917" spans="52:53">
      <c r="AZ1047917" s="106"/>
      <c r="BA1047917" s="106"/>
    </row>
    <row r="1047918" spans="52:53">
      <c r="AZ1047918" s="106"/>
      <c r="BA1047918" s="106"/>
    </row>
    <row r="1047919" spans="52:53">
      <c r="AZ1047919" s="106"/>
      <c r="BA1047919" s="106"/>
    </row>
    <row r="1047920" spans="52:53">
      <c r="AZ1047920" s="106"/>
      <c r="BA1047920" s="106"/>
    </row>
    <row r="1047921" spans="52:53">
      <c r="AZ1047921" s="106"/>
      <c r="BA1047921" s="106"/>
    </row>
    <row r="1047922" spans="52:53">
      <c r="AZ1047922" s="106"/>
      <c r="BA1047922" s="106"/>
    </row>
    <row r="1047923" spans="52:53">
      <c r="AZ1047923" s="106"/>
      <c r="BA1047923" s="106"/>
    </row>
    <row r="1047924" spans="52:53">
      <c r="AZ1047924" s="106"/>
      <c r="BA1047924" s="106"/>
    </row>
    <row r="1047925" spans="52:53">
      <c r="AZ1047925" s="106"/>
      <c r="BA1047925" s="106"/>
    </row>
    <row r="1047926" spans="52:53">
      <c r="AZ1047926" s="106"/>
      <c r="BA1047926" s="106"/>
    </row>
    <row r="1047927" spans="52:53">
      <c r="AZ1047927" s="106"/>
      <c r="BA1047927" s="106"/>
    </row>
    <row r="1047928" spans="52:53">
      <c r="AZ1047928" s="106"/>
      <c r="BA1047928" s="106"/>
    </row>
    <row r="1047929" spans="52:53">
      <c r="AZ1047929" s="106"/>
      <c r="BA1047929" s="106"/>
    </row>
    <row r="1047930" spans="52:53">
      <c r="AZ1047930" s="106"/>
      <c r="BA1047930" s="106"/>
    </row>
    <row r="1047931" spans="52:53">
      <c r="AZ1047931" s="106"/>
      <c r="BA1047931" s="106"/>
    </row>
    <row r="1047932" spans="52:53">
      <c r="AZ1047932" s="106"/>
      <c r="BA1047932" s="106"/>
    </row>
    <row r="1047933" spans="52:53">
      <c r="AZ1047933" s="106"/>
      <c r="BA1047933" s="106"/>
    </row>
    <row r="1047934" spans="52:53">
      <c r="AZ1047934" s="106"/>
      <c r="BA1047934" s="106"/>
    </row>
    <row r="1047935" spans="52:53">
      <c r="AZ1047935" s="106"/>
      <c r="BA1047935" s="106"/>
    </row>
    <row r="1047936" spans="52:53">
      <c r="AZ1047936" s="106"/>
      <c r="BA1047936" s="106"/>
    </row>
    <row r="1047937" spans="52:53">
      <c r="AZ1047937" s="106"/>
      <c r="BA1047937" s="106"/>
    </row>
    <row r="1047938" spans="52:53">
      <c r="AZ1047938" s="106"/>
      <c r="BA1047938" s="106"/>
    </row>
    <row r="1047939" spans="52:53">
      <c r="AZ1047939" s="106"/>
      <c r="BA1047939" s="106"/>
    </row>
    <row r="1047940" spans="52:53">
      <c r="AZ1047940" s="106"/>
      <c r="BA1047940" s="106"/>
    </row>
    <row r="1047941" spans="52:53">
      <c r="AZ1047941" s="106"/>
      <c r="BA1047941" s="106"/>
    </row>
    <row r="1047942" spans="52:53">
      <c r="AZ1047942" s="106"/>
      <c r="BA1047942" s="106"/>
    </row>
    <row r="1047943" spans="52:53">
      <c r="AZ1047943" s="106"/>
      <c r="BA1047943" s="106"/>
    </row>
    <row r="1047944" spans="52:53">
      <c r="AZ1047944" s="106"/>
      <c r="BA1047944" s="106"/>
    </row>
    <row r="1047945" spans="52:53">
      <c r="AZ1047945" s="106"/>
      <c r="BA1047945" s="106"/>
    </row>
    <row r="1047946" spans="52:53">
      <c r="AZ1047946" s="106"/>
      <c r="BA1047946" s="106"/>
    </row>
    <row r="1047947" spans="52:53">
      <c r="AZ1047947" s="106"/>
      <c r="BA1047947" s="106"/>
    </row>
    <row r="1047948" spans="52:53">
      <c r="AZ1047948" s="106"/>
      <c r="BA1047948" s="106"/>
    </row>
    <row r="1047949" spans="52:53">
      <c r="AZ1047949" s="106"/>
      <c r="BA1047949" s="106"/>
    </row>
    <row r="1047950" spans="52:53">
      <c r="AZ1047950" s="106"/>
      <c r="BA1047950" s="106"/>
    </row>
    <row r="1047951" spans="52:53">
      <c r="AZ1047951" s="106"/>
      <c r="BA1047951" s="106"/>
    </row>
    <row r="1047952" spans="52:53">
      <c r="AZ1047952" s="106"/>
      <c r="BA1047952" s="106"/>
    </row>
    <row r="1047953" spans="52:53">
      <c r="AZ1047953" s="106"/>
      <c r="BA1047953" s="106"/>
    </row>
    <row r="1047954" spans="52:53">
      <c r="AZ1047954" s="106"/>
      <c r="BA1047954" s="106"/>
    </row>
    <row r="1047955" spans="52:53">
      <c r="AZ1047955" s="106"/>
      <c r="BA1047955" s="106"/>
    </row>
    <row r="1047956" spans="52:53">
      <c r="AZ1047956" s="106"/>
      <c r="BA1047956" s="106"/>
    </row>
    <row r="1047957" spans="52:53">
      <c r="AZ1047957" s="106"/>
      <c r="BA1047957" s="106"/>
    </row>
    <row r="1047958" spans="52:53">
      <c r="AZ1047958" s="106"/>
      <c r="BA1047958" s="106"/>
    </row>
    <row r="1047959" spans="52:53">
      <c r="AZ1047959" s="106"/>
      <c r="BA1047959" s="106"/>
    </row>
    <row r="1047960" spans="52:53">
      <c r="AZ1047960" s="106"/>
      <c r="BA1047960" s="106"/>
    </row>
    <row r="1047961" spans="52:53">
      <c r="AZ1047961" s="106"/>
      <c r="BA1047961" s="106"/>
    </row>
    <row r="1047962" spans="52:53">
      <c r="AZ1047962" s="106"/>
      <c r="BA1047962" s="106"/>
    </row>
    <row r="1047963" spans="52:53">
      <c r="AZ1047963" s="106"/>
      <c r="BA1047963" s="106"/>
    </row>
    <row r="1047964" spans="52:53">
      <c r="AZ1047964" s="106"/>
      <c r="BA1047964" s="106"/>
    </row>
    <row r="1047965" spans="52:53">
      <c r="AZ1047965" s="106"/>
      <c r="BA1047965" s="106"/>
    </row>
    <row r="1047966" spans="52:53">
      <c r="AZ1047966" s="106"/>
      <c r="BA1047966" s="106"/>
    </row>
    <row r="1047967" spans="52:53">
      <c r="AZ1047967" s="106"/>
      <c r="BA1047967" s="106"/>
    </row>
    <row r="1047968" spans="52:53">
      <c r="AZ1047968" s="106"/>
      <c r="BA1047968" s="106"/>
    </row>
    <row r="1047969" spans="52:53">
      <c r="AZ1047969" s="106"/>
      <c r="BA1047969" s="106"/>
    </row>
    <row r="1047970" spans="52:53">
      <c r="AZ1047970" s="106"/>
      <c r="BA1047970" s="106"/>
    </row>
    <row r="1047971" spans="52:53">
      <c r="AZ1047971" s="106"/>
      <c r="BA1047971" s="106"/>
    </row>
    <row r="1047972" spans="52:53">
      <c r="AZ1047972" s="106"/>
      <c r="BA1047972" s="106"/>
    </row>
    <row r="1047973" spans="52:53">
      <c r="AZ1047973" s="106"/>
      <c r="BA1047973" s="106"/>
    </row>
    <row r="1047974" spans="52:53">
      <c r="AZ1047974" s="106"/>
      <c r="BA1047974" s="106"/>
    </row>
    <row r="1047975" spans="52:53">
      <c r="AZ1047975" s="106"/>
      <c r="BA1047975" s="106"/>
    </row>
    <row r="1047976" spans="52:53">
      <c r="AZ1047976" s="106"/>
      <c r="BA1047976" s="106"/>
    </row>
    <row r="1047977" spans="52:53">
      <c r="AZ1047977" s="106"/>
      <c r="BA1047977" s="106"/>
    </row>
    <row r="1047978" spans="52:53">
      <c r="AZ1047978" s="106"/>
      <c r="BA1047978" s="106"/>
    </row>
    <row r="1047979" spans="52:53">
      <c r="AZ1047979" s="106"/>
      <c r="BA1047979" s="106"/>
    </row>
    <row r="1047980" spans="52:53">
      <c r="AZ1047980" s="106"/>
      <c r="BA1047980" s="106"/>
    </row>
    <row r="1047981" spans="52:53">
      <c r="AZ1047981" s="106"/>
      <c r="BA1047981" s="106"/>
    </row>
    <row r="1047982" spans="52:53">
      <c r="AZ1047982" s="106"/>
      <c r="BA1047982" s="106"/>
    </row>
    <row r="1047983" spans="52:53">
      <c r="AZ1047983" s="106"/>
      <c r="BA1047983" s="106"/>
    </row>
    <row r="1047984" spans="52:53">
      <c r="AZ1047984" s="106"/>
      <c r="BA1047984" s="106"/>
    </row>
    <row r="1047985" spans="52:53">
      <c r="AZ1047985" s="106"/>
      <c r="BA1047985" s="106"/>
    </row>
    <row r="1047986" spans="52:53">
      <c r="AZ1047986" s="106"/>
      <c r="BA1047986" s="106"/>
    </row>
    <row r="1047987" spans="52:53">
      <c r="AZ1047987" s="106"/>
      <c r="BA1047987" s="106"/>
    </row>
    <row r="1047988" spans="52:53">
      <c r="AZ1047988" s="106"/>
      <c r="BA1047988" s="106"/>
    </row>
    <row r="1047989" spans="52:53">
      <c r="AZ1047989" s="106"/>
      <c r="BA1047989" s="106"/>
    </row>
    <row r="1047990" spans="52:53">
      <c r="AZ1047990" s="106"/>
      <c r="BA1047990" s="106"/>
    </row>
    <row r="1047991" spans="52:53">
      <c r="AZ1047991" s="106"/>
      <c r="BA1047991" s="106"/>
    </row>
    <row r="1047992" spans="52:53">
      <c r="AZ1047992" s="106"/>
      <c r="BA1047992" s="106"/>
    </row>
    <row r="1047993" spans="52:53">
      <c r="AZ1047993" s="106"/>
      <c r="BA1047993" s="106"/>
    </row>
    <row r="1047994" spans="52:53">
      <c r="AZ1047994" s="106"/>
      <c r="BA1047994" s="106"/>
    </row>
    <row r="1047995" spans="52:53">
      <c r="AZ1047995" s="106"/>
      <c r="BA1047995" s="106"/>
    </row>
    <row r="1047996" spans="52:53">
      <c r="AZ1047996" s="106"/>
      <c r="BA1047996" s="106"/>
    </row>
    <row r="1047997" spans="52:53">
      <c r="AZ1047997" s="106"/>
      <c r="BA1047997" s="106"/>
    </row>
    <row r="1047998" spans="52:53">
      <c r="AZ1047998" s="106"/>
      <c r="BA1047998" s="106"/>
    </row>
    <row r="1047999" spans="52:53">
      <c r="AZ1047999" s="106"/>
      <c r="BA1047999" s="106"/>
    </row>
    <row r="1048000" spans="52:53">
      <c r="AZ1048000" s="106"/>
      <c r="BA1048000" s="106"/>
    </row>
    <row r="1048001" spans="52:53">
      <c r="AZ1048001" s="106"/>
      <c r="BA1048001" s="106"/>
    </row>
    <row r="1048002" spans="52:53">
      <c r="AZ1048002" s="106"/>
      <c r="BA1048002" s="106"/>
    </row>
    <row r="1048003" spans="52:53">
      <c r="AZ1048003" s="106"/>
      <c r="BA1048003" s="106"/>
    </row>
    <row r="1048004" spans="52:53">
      <c r="AZ1048004" s="106"/>
      <c r="BA1048004" s="106"/>
    </row>
    <row r="1048005" spans="52:53">
      <c r="AZ1048005" s="106"/>
      <c r="BA1048005" s="106"/>
    </row>
    <row r="1048006" spans="52:53">
      <c r="AZ1048006" s="106"/>
      <c r="BA1048006" s="106"/>
    </row>
    <row r="1048007" spans="52:53">
      <c r="AZ1048007" s="106"/>
      <c r="BA1048007" s="106"/>
    </row>
    <row r="1048008" spans="52:53">
      <c r="AZ1048008" s="106"/>
      <c r="BA1048008" s="106"/>
    </row>
    <row r="1048009" spans="52:53">
      <c r="AZ1048009" s="106"/>
      <c r="BA1048009" s="106"/>
    </row>
    <row r="1048010" spans="52:53">
      <c r="AZ1048010" s="106"/>
      <c r="BA1048010" s="106"/>
    </row>
    <row r="1048011" spans="52:53">
      <c r="AZ1048011" s="106"/>
      <c r="BA1048011" s="106"/>
    </row>
    <row r="1048012" spans="52:53">
      <c r="AZ1048012" s="106"/>
      <c r="BA1048012" s="106"/>
    </row>
    <row r="1048013" spans="52:53">
      <c r="AZ1048013" s="106"/>
      <c r="BA1048013" s="106"/>
    </row>
    <row r="1048014" spans="52:53">
      <c r="AZ1048014" s="106"/>
      <c r="BA1048014" s="106"/>
    </row>
    <row r="1048015" spans="52:53">
      <c r="AZ1048015" s="106"/>
      <c r="BA1048015" s="106"/>
    </row>
    <row r="1048016" spans="52:53">
      <c r="AZ1048016" s="106"/>
      <c r="BA1048016" s="106"/>
    </row>
    <row r="1048017" spans="52:53">
      <c r="AZ1048017" s="106"/>
      <c r="BA1048017" s="106"/>
    </row>
    <row r="1048018" spans="52:53">
      <c r="AZ1048018" s="106"/>
      <c r="BA1048018" s="106"/>
    </row>
    <row r="1048019" spans="52:53">
      <c r="AZ1048019" s="106"/>
      <c r="BA1048019" s="106"/>
    </row>
    <row r="1048020" spans="52:53">
      <c r="AZ1048020" s="106"/>
      <c r="BA1048020" s="106"/>
    </row>
    <row r="1048021" spans="52:53">
      <c r="AZ1048021" s="106"/>
      <c r="BA1048021" s="106"/>
    </row>
    <row r="1048022" spans="52:53">
      <c r="AZ1048022" s="106"/>
      <c r="BA1048022" s="106"/>
    </row>
    <row r="1048023" spans="52:53">
      <c r="AZ1048023" s="106"/>
      <c r="BA1048023" s="106"/>
    </row>
    <row r="1048024" spans="52:53">
      <c r="AZ1048024" s="106"/>
      <c r="BA1048024" s="106"/>
    </row>
    <row r="1048025" spans="52:53">
      <c r="AZ1048025" s="106"/>
      <c r="BA1048025" s="106"/>
    </row>
    <row r="1048026" spans="52:53">
      <c r="AZ1048026" s="106"/>
      <c r="BA1048026" s="106"/>
    </row>
    <row r="1048027" spans="52:53">
      <c r="AZ1048027" s="106"/>
      <c r="BA1048027" s="106"/>
    </row>
    <row r="1048028" spans="52:53">
      <c r="AZ1048028" s="106"/>
      <c r="BA1048028" s="106"/>
    </row>
    <row r="1048029" spans="52:53">
      <c r="AZ1048029" s="106"/>
      <c r="BA1048029" s="106"/>
    </row>
    <row r="1048030" spans="52:53">
      <c r="AZ1048030" s="106"/>
      <c r="BA1048030" s="106"/>
    </row>
    <row r="1048031" spans="52:53">
      <c r="AZ1048031" s="106"/>
      <c r="BA1048031" s="106"/>
    </row>
    <row r="1048032" spans="52:53">
      <c r="AZ1048032" s="106"/>
      <c r="BA1048032" s="106"/>
    </row>
    <row r="1048033" spans="52:53">
      <c r="AZ1048033" s="106"/>
      <c r="BA1048033" s="106"/>
    </row>
    <row r="1048034" spans="52:53">
      <c r="AZ1048034" s="106"/>
      <c r="BA1048034" s="106"/>
    </row>
    <row r="1048035" spans="52:53">
      <c r="AZ1048035" s="106"/>
      <c r="BA1048035" s="106"/>
    </row>
    <row r="1048036" spans="52:53">
      <c r="AZ1048036" s="106"/>
      <c r="BA1048036" s="106"/>
    </row>
    <row r="1048037" spans="52:53">
      <c r="AZ1048037" s="106"/>
      <c r="BA1048037" s="106"/>
    </row>
    <row r="1048038" spans="52:53">
      <c r="AZ1048038" s="106"/>
      <c r="BA1048038" s="106"/>
    </row>
    <row r="1048039" spans="52:53">
      <c r="AZ1048039" s="106"/>
      <c r="BA1048039" s="106"/>
    </row>
    <row r="1048040" spans="52:53">
      <c r="AZ1048040" s="106"/>
      <c r="BA1048040" s="106"/>
    </row>
    <row r="1048041" spans="52:53">
      <c r="AZ1048041" s="106"/>
      <c r="BA1048041" s="106"/>
    </row>
    <row r="1048042" spans="52:53">
      <c r="AZ1048042" s="106"/>
      <c r="BA1048042" s="106"/>
    </row>
    <row r="1048043" spans="52:53">
      <c r="AZ1048043" s="106"/>
      <c r="BA1048043" s="106"/>
    </row>
    <row r="1048044" spans="52:53">
      <c r="AZ1048044" s="106"/>
      <c r="BA1048044" s="106"/>
    </row>
    <row r="1048045" spans="52:53">
      <c r="AZ1048045" s="106"/>
      <c r="BA1048045" s="106"/>
    </row>
    <row r="1048046" spans="52:53">
      <c r="AZ1048046" s="106"/>
      <c r="BA1048046" s="106"/>
    </row>
    <row r="1048047" spans="52:53">
      <c r="AZ1048047" s="106"/>
      <c r="BA1048047" s="106"/>
    </row>
    <row r="1048048" spans="52:53">
      <c r="AZ1048048" s="106"/>
      <c r="BA1048048" s="106"/>
    </row>
    <row r="1048049" spans="52:53">
      <c r="AZ1048049" s="106"/>
      <c r="BA1048049" s="106"/>
    </row>
    <row r="1048050" spans="52:53">
      <c r="AZ1048050" s="106"/>
      <c r="BA1048050" s="106"/>
    </row>
    <row r="1048051" spans="52:53">
      <c r="AZ1048051" s="106"/>
      <c r="BA1048051" s="106"/>
    </row>
    <row r="1048052" spans="52:53">
      <c r="AZ1048052" s="106"/>
      <c r="BA1048052" s="106"/>
    </row>
    <row r="1048053" spans="52:53">
      <c r="AZ1048053" s="106"/>
      <c r="BA1048053" s="106"/>
    </row>
    <row r="1048054" spans="52:53">
      <c r="AZ1048054" s="106"/>
      <c r="BA1048054" s="106"/>
    </row>
    <row r="1048055" spans="52:53">
      <c r="AZ1048055" s="106"/>
      <c r="BA1048055" s="106"/>
    </row>
    <row r="1048056" spans="52:53">
      <c r="AZ1048056" s="106"/>
      <c r="BA1048056" s="106"/>
    </row>
    <row r="1048057" spans="52:53">
      <c r="AZ1048057" s="106"/>
      <c r="BA1048057" s="106"/>
    </row>
    <row r="1048058" spans="52:53">
      <c r="AZ1048058" s="106"/>
      <c r="BA1048058" s="106"/>
    </row>
    <row r="1048059" spans="52:53">
      <c r="AZ1048059" s="106"/>
      <c r="BA1048059" s="106"/>
    </row>
    <row r="1048060" spans="52:53">
      <c r="AZ1048060" s="106"/>
      <c r="BA1048060" s="106"/>
    </row>
    <row r="1048061" spans="52:53">
      <c r="AZ1048061" s="106"/>
      <c r="BA1048061" s="106"/>
    </row>
    <row r="1048062" spans="52:53">
      <c r="AZ1048062" s="106"/>
      <c r="BA1048062" s="106"/>
    </row>
    <row r="1048063" spans="52:53">
      <c r="AZ1048063" s="106"/>
      <c r="BA1048063" s="106"/>
    </row>
    <row r="1048064" spans="52:53">
      <c r="AZ1048064" s="106"/>
      <c r="BA1048064" s="106"/>
    </row>
    <row r="1048065" spans="52:53">
      <c r="AZ1048065" s="106"/>
      <c r="BA1048065" s="106"/>
    </row>
    <row r="1048066" spans="52:53">
      <c r="AZ1048066" s="106"/>
      <c r="BA1048066" s="106"/>
    </row>
    <row r="1048067" spans="52:53">
      <c r="AZ1048067" s="106"/>
      <c r="BA1048067" s="106"/>
    </row>
    <row r="1048068" spans="52:53">
      <c r="AZ1048068" s="106"/>
      <c r="BA1048068" s="106"/>
    </row>
    <row r="1048069" spans="52:53">
      <c r="AZ1048069" s="106"/>
      <c r="BA1048069" s="106"/>
    </row>
    <row r="1048070" spans="52:53">
      <c r="AZ1048070" s="106"/>
      <c r="BA1048070" s="106"/>
    </row>
    <row r="1048071" spans="52:53">
      <c r="AZ1048071" s="106"/>
      <c r="BA1048071" s="106"/>
    </row>
    <row r="1048072" spans="52:53">
      <c r="AZ1048072" s="106"/>
      <c r="BA1048072" s="106"/>
    </row>
    <row r="1048073" spans="52:53">
      <c r="AZ1048073" s="106"/>
      <c r="BA1048073" s="106"/>
    </row>
    <row r="1048074" spans="52:53">
      <c r="AZ1048074" s="106"/>
      <c r="BA1048074" s="106"/>
    </row>
    <row r="1048075" spans="52:53">
      <c r="AZ1048075" s="106"/>
      <c r="BA1048075" s="106"/>
    </row>
    <row r="1048076" spans="52:53">
      <c r="AZ1048076" s="106"/>
      <c r="BA1048076" s="106"/>
    </row>
    <row r="1048077" spans="52:53">
      <c r="AZ1048077" s="106"/>
      <c r="BA1048077" s="106"/>
    </row>
    <row r="1048078" spans="52:53">
      <c r="AZ1048078" s="106"/>
      <c r="BA1048078" s="106"/>
    </row>
    <row r="1048079" spans="52:53">
      <c r="AZ1048079" s="106"/>
      <c r="BA1048079" s="106"/>
    </row>
    <row r="1048080" spans="52:53">
      <c r="AZ1048080" s="106"/>
      <c r="BA1048080" s="106"/>
    </row>
    <row r="1048081" spans="52:53">
      <c r="AZ1048081" s="106"/>
      <c r="BA1048081" s="106"/>
    </row>
    <row r="1048082" spans="52:53">
      <c r="AZ1048082" s="106"/>
      <c r="BA1048082" s="106"/>
    </row>
    <row r="1048083" spans="52:53">
      <c r="AZ1048083" s="106"/>
      <c r="BA1048083" s="106"/>
    </row>
    <row r="1048084" spans="52:53">
      <c r="AZ1048084" s="106"/>
      <c r="BA1048084" s="106"/>
    </row>
    <row r="1048085" spans="52:53">
      <c r="AZ1048085" s="106"/>
      <c r="BA1048085" s="106"/>
    </row>
    <row r="1048086" spans="52:53">
      <c r="AZ1048086" s="106"/>
      <c r="BA1048086" s="106"/>
    </row>
    <row r="1048087" spans="52:53">
      <c r="AZ1048087" s="106"/>
      <c r="BA1048087" s="106"/>
    </row>
    <row r="1048088" spans="52:53">
      <c r="AZ1048088" s="106"/>
      <c r="BA1048088" s="106"/>
    </row>
    <row r="1048089" spans="52:53">
      <c r="AZ1048089" s="106"/>
      <c r="BA1048089" s="106"/>
    </row>
    <row r="1048090" spans="52:53">
      <c r="AZ1048090" s="106"/>
      <c r="BA1048090" s="106"/>
    </row>
    <row r="1048091" spans="52:53">
      <c r="AZ1048091" s="106"/>
      <c r="BA1048091" s="106"/>
    </row>
    <row r="1048092" spans="52:53">
      <c r="AZ1048092" s="106"/>
      <c r="BA1048092" s="106"/>
    </row>
    <row r="1048093" spans="52:53">
      <c r="AZ1048093" s="106"/>
      <c r="BA1048093" s="106"/>
    </row>
    <row r="1048094" spans="52:53">
      <c r="AZ1048094" s="106"/>
      <c r="BA1048094" s="106"/>
    </row>
    <row r="1048095" spans="52:53">
      <c r="AZ1048095" s="106"/>
      <c r="BA1048095" s="106"/>
    </row>
    <row r="1048096" spans="52:53">
      <c r="AZ1048096" s="106"/>
      <c r="BA1048096" s="106"/>
    </row>
    <row r="1048097" spans="52:53">
      <c r="AZ1048097" s="106"/>
      <c r="BA1048097" s="106"/>
    </row>
    <row r="1048098" spans="52:53">
      <c r="AZ1048098" s="106"/>
      <c r="BA1048098" s="106"/>
    </row>
    <row r="1048099" spans="52:53">
      <c r="AZ1048099" s="106"/>
      <c r="BA1048099" s="106"/>
    </row>
    <row r="1048100" spans="52:53">
      <c r="AZ1048100" s="106"/>
      <c r="BA1048100" s="106"/>
    </row>
    <row r="1048101" spans="52:53">
      <c r="AZ1048101" s="106"/>
      <c r="BA1048101" s="106"/>
    </row>
    <row r="1048102" spans="52:53">
      <c r="AZ1048102" s="106"/>
      <c r="BA1048102" s="106"/>
    </row>
    <row r="1048103" spans="52:53">
      <c r="AZ1048103" s="106"/>
      <c r="BA1048103" s="106"/>
    </row>
    <row r="1048104" spans="52:53">
      <c r="AZ1048104" s="106"/>
      <c r="BA1048104" s="106"/>
    </row>
    <row r="1048105" spans="52:53">
      <c r="AZ1048105" s="106"/>
      <c r="BA1048105" s="106"/>
    </row>
    <row r="1048106" spans="52:53">
      <c r="AZ1048106" s="106"/>
      <c r="BA1048106" s="106"/>
    </row>
    <row r="1048107" spans="52:53">
      <c r="AZ1048107" s="106"/>
      <c r="BA1048107" s="106"/>
    </row>
    <row r="1048108" spans="52:53">
      <c r="AZ1048108" s="106"/>
      <c r="BA1048108" s="106"/>
    </row>
    <row r="1048109" spans="52:53">
      <c r="AZ1048109" s="106"/>
      <c r="BA1048109" s="106"/>
    </row>
    <row r="1048110" spans="52:53">
      <c r="AZ1048110" s="106"/>
      <c r="BA1048110" s="106"/>
    </row>
    <row r="1048111" spans="52:53">
      <c r="AZ1048111" s="106"/>
      <c r="BA1048111" s="106"/>
    </row>
    <row r="1048112" spans="52:53">
      <c r="AZ1048112" s="106"/>
      <c r="BA1048112" s="106"/>
    </row>
    <row r="1048113" spans="52:53">
      <c r="AZ1048113" s="106"/>
      <c r="BA1048113" s="106"/>
    </row>
    <row r="1048114" spans="52:53">
      <c r="AZ1048114" s="106"/>
      <c r="BA1048114" s="106"/>
    </row>
    <row r="1048115" spans="52:53">
      <c r="AZ1048115" s="106"/>
      <c r="BA1048115" s="106"/>
    </row>
    <row r="1048116" spans="52:53">
      <c r="AZ1048116" s="106"/>
      <c r="BA1048116" s="106"/>
    </row>
    <row r="1048117" spans="52:53">
      <c r="AZ1048117" s="106"/>
      <c r="BA1048117" s="106"/>
    </row>
    <row r="1048118" spans="52:53">
      <c r="AZ1048118" s="106"/>
      <c r="BA1048118" s="106"/>
    </row>
    <row r="1048119" spans="52:53">
      <c r="AZ1048119" s="106"/>
      <c r="BA1048119" s="106"/>
    </row>
    <row r="1048120" spans="52:53">
      <c r="AZ1048120" s="106"/>
      <c r="BA1048120" s="106"/>
    </row>
    <row r="1048121" spans="52:53">
      <c r="AZ1048121" s="106"/>
      <c r="BA1048121" s="106"/>
    </row>
    <row r="1048122" spans="52:53">
      <c r="AZ1048122" s="106"/>
      <c r="BA1048122" s="106"/>
    </row>
    <row r="1048123" spans="52:53">
      <c r="AZ1048123" s="106"/>
      <c r="BA1048123" s="106"/>
    </row>
    <row r="1048124" spans="52:53">
      <c r="AZ1048124" s="106"/>
      <c r="BA1048124" s="106"/>
    </row>
    <row r="1048125" spans="52:53">
      <c r="AZ1048125" s="106"/>
      <c r="BA1048125" s="106"/>
    </row>
    <row r="1048126" spans="52:53">
      <c r="AZ1048126" s="106"/>
      <c r="BA1048126" s="106"/>
    </row>
    <row r="1048127" spans="52:53">
      <c r="AZ1048127" s="106"/>
      <c r="BA1048127" s="106"/>
    </row>
    <row r="1048128" spans="52:53">
      <c r="AZ1048128" s="106"/>
      <c r="BA1048128" s="106"/>
    </row>
    <row r="1048129" spans="52:53">
      <c r="AZ1048129" s="106"/>
      <c r="BA1048129" s="106"/>
    </row>
    <row r="1048130" spans="52:53">
      <c r="AZ1048130" s="106"/>
      <c r="BA1048130" s="106"/>
    </row>
    <row r="1048131" spans="52:53">
      <c r="AZ1048131" s="106"/>
      <c r="BA1048131" s="106"/>
    </row>
    <row r="1048132" spans="52:53">
      <c r="AZ1048132" s="106"/>
      <c r="BA1048132" s="106"/>
    </row>
    <row r="1048133" spans="52:53">
      <c r="AZ1048133" s="106"/>
      <c r="BA1048133" s="106"/>
    </row>
    <row r="1048134" spans="52:53">
      <c r="AZ1048134" s="106"/>
      <c r="BA1048134" s="106"/>
    </row>
    <row r="1048135" spans="52:53">
      <c r="AZ1048135" s="106"/>
      <c r="BA1048135" s="106"/>
    </row>
    <row r="1048136" spans="52:53">
      <c r="AZ1048136" s="106"/>
      <c r="BA1048136" s="106"/>
    </row>
    <row r="1048137" spans="52:53">
      <c r="AZ1048137" s="106"/>
      <c r="BA1048137" s="106"/>
    </row>
    <row r="1048138" spans="52:53">
      <c r="AZ1048138" s="106"/>
      <c r="BA1048138" s="106"/>
    </row>
    <row r="1048139" spans="52:53">
      <c r="AZ1048139" s="106"/>
      <c r="BA1048139" s="106"/>
    </row>
    <row r="1048140" spans="52:53">
      <c r="AZ1048140" s="106"/>
      <c r="BA1048140" s="106"/>
    </row>
    <row r="1048141" spans="52:53">
      <c r="AZ1048141" s="106"/>
      <c r="BA1048141" s="106"/>
    </row>
    <row r="1048142" spans="52:53">
      <c r="AZ1048142" s="106"/>
      <c r="BA1048142" s="106"/>
    </row>
    <row r="1048143" spans="52:53">
      <c r="AZ1048143" s="106"/>
      <c r="BA1048143" s="106"/>
    </row>
    <row r="1048144" spans="52:53">
      <c r="AZ1048144" s="106"/>
      <c r="BA1048144" s="106"/>
    </row>
    <row r="1048145" spans="52:53">
      <c r="AZ1048145" s="106"/>
      <c r="BA1048145" s="106"/>
    </row>
    <row r="1048146" spans="52:53">
      <c r="AZ1048146" s="106"/>
      <c r="BA1048146" s="106"/>
    </row>
    <row r="1048147" spans="52:53">
      <c r="AZ1048147" s="106"/>
      <c r="BA1048147" s="106"/>
    </row>
    <row r="1048148" spans="52:53">
      <c r="AZ1048148" s="106"/>
      <c r="BA1048148" s="106"/>
    </row>
    <row r="1048149" spans="52:53">
      <c r="AZ1048149" s="106"/>
      <c r="BA1048149" s="106"/>
    </row>
    <row r="1048150" spans="52:53">
      <c r="AZ1048150" s="106"/>
      <c r="BA1048150" s="106"/>
    </row>
    <row r="1048151" spans="52:53">
      <c r="AZ1048151" s="106"/>
      <c r="BA1048151" s="106"/>
    </row>
    <row r="1048152" spans="52:53">
      <c r="AZ1048152" s="106"/>
      <c r="BA1048152" s="106"/>
    </row>
    <row r="1048153" spans="52:53">
      <c r="AZ1048153" s="106"/>
      <c r="BA1048153" s="106"/>
    </row>
    <row r="1048154" spans="52:53">
      <c r="AZ1048154" s="106"/>
      <c r="BA1048154" s="106"/>
    </row>
    <row r="1048155" spans="52:53">
      <c r="AZ1048155" s="106"/>
      <c r="BA1048155" s="106"/>
    </row>
    <row r="1048156" spans="52:53">
      <c r="AZ1048156" s="106"/>
      <c r="BA1048156" s="106"/>
    </row>
    <row r="1048157" spans="52:53">
      <c r="AZ1048157" s="106"/>
      <c r="BA1048157" s="106"/>
    </row>
    <row r="1048158" spans="52:53">
      <c r="AZ1048158" s="106"/>
      <c r="BA1048158" s="106"/>
    </row>
    <row r="1048159" spans="52:53">
      <c r="AZ1048159" s="106"/>
      <c r="BA1048159" s="106"/>
    </row>
    <row r="1048160" spans="52:53">
      <c r="AZ1048160" s="106"/>
      <c r="BA1048160" s="106"/>
    </row>
    <row r="1048161" spans="52:53">
      <c r="AZ1048161" s="106"/>
      <c r="BA1048161" s="106"/>
    </row>
    <row r="1048162" spans="52:53">
      <c r="AZ1048162" s="106"/>
      <c r="BA1048162" s="106"/>
    </row>
    <row r="1048163" spans="52:53">
      <c r="AZ1048163" s="106"/>
      <c r="BA1048163" s="106"/>
    </row>
    <row r="1048164" spans="52:53">
      <c r="AZ1048164" s="106"/>
      <c r="BA1048164" s="106"/>
    </row>
    <row r="1048165" spans="52:53">
      <c r="AZ1048165" s="106"/>
      <c r="BA1048165" s="106"/>
    </row>
    <row r="1048166" spans="52:53">
      <c r="AZ1048166" s="106"/>
      <c r="BA1048166" s="106"/>
    </row>
    <row r="1048167" spans="52:53">
      <c r="AZ1048167" s="106"/>
      <c r="BA1048167" s="106"/>
    </row>
    <row r="1048168" spans="52:53">
      <c r="AZ1048168" s="106"/>
      <c r="BA1048168" s="106"/>
    </row>
    <row r="1048169" spans="52:53">
      <c r="AZ1048169" s="106"/>
      <c r="BA1048169" s="106"/>
    </row>
    <row r="1048170" spans="52:53">
      <c r="AZ1048170" s="106"/>
      <c r="BA1048170" s="106"/>
    </row>
    <row r="1048171" spans="52:53">
      <c r="AZ1048171" s="106"/>
      <c r="BA1048171" s="106"/>
    </row>
    <row r="1048172" spans="52:53">
      <c r="AZ1048172" s="106"/>
      <c r="BA1048172" s="106"/>
    </row>
    <row r="1048173" spans="52:53">
      <c r="AZ1048173" s="106"/>
      <c r="BA1048173" s="106"/>
    </row>
    <row r="1048174" spans="52:53">
      <c r="AZ1048174" s="106"/>
      <c r="BA1048174" s="106"/>
    </row>
    <row r="1048175" spans="52:53">
      <c r="AZ1048175" s="106"/>
      <c r="BA1048175" s="106"/>
    </row>
    <row r="1048176" spans="52:53">
      <c r="AZ1048176" s="106"/>
      <c r="BA1048176" s="106"/>
    </row>
    <row r="1048177" spans="52:53">
      <c r="AZ1048177" s="106"/>
      <c r="BA1048177" s="106"/>
    </row>
    <row r="1048178" spans="52:53">
      <c r="AZ1048178" s="106"/>
      <c r="BA1048178" s="106"/>
    </row>
    <row r="1048179" spans="52:53">
      <c r="AZ1048179" s="106"/>
      <c r="BA1048179" s="106"/>
    </row>
    <row r="1048180" spans="52:53">
      <c r="AZ1048180" s="106"/>
      <c r="BA1048180" s="106"/>
    </row>
    <row r="1048181" spans="52:53">
      <c r="AZ1048181" s="106"/>
      <c r="BA1048181" s="106"/>
    </row>
    <row r="1048182" spans="52:53">
      <c r="AZ1048182" s="106"/>
      <c r="BA1048182" s="106"/>
    </row>
    <row r="1048183" spans="52:53">
      <c r="AZ1048183" s="106"/>
      <c r="BA1048183" s="106"/>
    </row>
    <row r="1048184" spans="52:53">
      <c r="AZ1048184" s="106"/>
      <c r="BA1048184" s="106"/>
    </row>
    <row r="1048185" spans="52:53">
      <c r="AZ1048185" s="106"/>
      <c r="BA1048185" s="106"/>
    </row>
    <row r="1048186" spans="52:53">
      <c r="AZ1048186" s="106"/>
      <c r="BA1048186" s="106"/>
    </row>
    <row r="1048187" spans="52:53">
      <c r="AZ1048187" s="106"/>
      <c r="BA1048187" s="106"/>
    </row>
    <row r="1048188" spans="52:53">
      <c r="AZ1048188" s="106"/>
      <c r="BA1048188" s="106"/>
    </row>
    <row r="1048189" spans="52:53">
      <c r="AZ1048189" s="106"/>
      <c r="BA1048189" s="106"/>
    </row>
    <row r="1048190" spans="52:53">
      <c r="AZ1048190" s="106"/>
      <c r="BA1048190" s="106"/>
    </row>
    <row r="1048191" spans="52:53">
      <c r="AZ1048191" s="106"/>
      <c r="BA1048191" s="106"/>
    </row>
    <row r="1048192" spans="52:53">
      <c r="AZ1048192" s="106"/>
      <c r="BA1048192" s="106"/>
    </row>
    <row r="1048193" spans="52:53">
      <c r="AZ1048193" s="106"/>
      <c r="BA1048193" s="106"/>
    </row>
    <row r="1048194" spans="52:53">
      <c r="AZ1048194" s="106"/>
      <c r="BA1048194" s="106"/>
    </row>
    <row r="1048195" spans="52:53">
      <c r="AZ1048195" s="106"/>
      <c r="BA1048195" s="106"/>
    </row>
    <row r="1048196" spans="52:53">
      <c r="AZ1048196" s="106"/>
      <c r="BA1048196" s="106"/>
    </row>
    <row r="1048197" spans="52:53">
      <c r="AZ1048197" s="106"/>
      <c r="BA1048197" s="106"/>
    </row>
    <row r="1048198" spans="52:53">
      <c r="AZ1048198" s="106"/>
      <c r="BA1048198" s="106"/>
    </row>
    <row r="1048199" spans="52:53">
      <c r="AZ1048199" s="106"/>
      <c r="BA1048199" s="106"/>
    </row>
    <row r="1048200" spans="52:53">
      <c r="AZ1048200" s="106"/>
      <c r="BA1048200" s="106"/>
    </row>
    <row r="1048201" spans="52:53">
      <c r="AZ1048201" s="106"/>
      <c r="BA1048201" s="106"/>
    </row>
    <row r="1048202" spans="52:53">
      <c r="AZ1048202" s="106"/>
      <c r="BA1048202" s="106"/>
    </row>
    <row r="1048203" spans="52:53">
      <c r="AZ1048203" s="106"/>
      <c r="BA1048203" s="106"/>
    </row>
    <row r="1048204" spans="52:53">
      <c r="AZ1048204" s="106"/>
      <c r="BA1048204" s="106"/>
    </row>
    <row r="1048205" spans="52:53">
      <c r="AZ1048205" s="106"/>
      <c r="BA1048205" s="106"/>
    </row>
    <row r="1048206" spans="52:53">
      <c r="AZ1048206" s="106"/>
      <c r="BA1048206" s="106"/>
    </row>
    <row r="1048207" spans="52:53">
      <c r="AZ1048207" s="106"/>
      <c r="BA1048207" s="106"/>
    </row>
    <row r="1048208" spans="52:53">
      <c r="AZ1048208" s="106"/>
      <c r="BA1048208" s="106"/>
    </row>
    <row r="1048209" spans="52:53">
      <c r="AZ1048209" s="106"/>
      <c r="BA1048209" s="106"/>
    </row>
    <row r="1048210" spans="52:53">
      <c r="AZ1048210" s="106"/>
      <c r="BA1048210" s="106"/>
    </row>
    <row r="1048211" spans="52:53">
      <c r="AZ1048211" s="106"/>
      <c r="BA1048211" s="106"/>
    </row>
    <row r="1048212" spans="52:53">
      <c r="AZ1048212" s="106"/>
      <c r="BA1048212" s="106"/>
    </row>
    <row r="1048213" spans="52:53">
      <c r="AZ1048213" s="106"/>
      <c r="BA1048213" s="106"/>
    </row>
    <row r="1048214" spans="52:53">
      <c r="AZ1048214" s="106"/>
      <c r="BA1048214" s="106"/>
    </row>
    <row r="1048215" spans="52:53">
      <c r="AZ1048215" s="106"/>
      <c r="BA1048215" s="106"/>
    </row>
    <row r="1048216" spans="52:53">
      <c r="AZ1048216" s="106"/>
      <c r="BA1048216" s="106"/>
    </row>
    <row r="1048217" spans="52:53">
      <c r="AZ1048217" s="106"/>
      <c r="BA1048217" s="106"/>
    </row>
    <row r="1048218" spans="52:53">
      <c r="AZ1048218" s="106"/>
      <c r="BA1048218" s="106"/>
    </row>
    <row r="1048219" spans="52:53">
      <c r="AZ1048219" s="106"/>
      <c r="BA1048219" s="106"/>
    </row>
    <row r="1048220" spans="52:53">
      <c r="AZ1048220" s="106"/>
      <c r="BA1048220" s="106"/>
    </row>
    <row r="1048221" spans="52:53">
      <c r="AZ1048221" s="106"/>
      <c r="BA1048221" s="106"/>
    </row>
    <row r="1048222" spans="52:53">
      <c r="AZ1048222" s="106"/>
      <c r="BA1048222" s="106"/>
    </row>
    <row r="1048223" spans="52:53">
      <c r="AZ1048223" s="106"/>
      <c r="BA1048223" s="106"/>
    </row>
    <row r="1048224" spans="52:53">
      <c r="AZ1048224" s="106"/>
      <c r="BA1048224" s="106"/>
    </row>
    <row r="1048225" spans="52:53">
      <c r="AZ1048225" s="106"/>
      <c r="BA1048225" s="106"/>
    </row>
    <row r="1048226" spans="52:53">
      <c r="AZ1048226" s="106"/>
      <c r="BA1048226" s="106"/>
    </row>
    <row r="1048227" spans="52:53">
      <c r="AZ1048227" s="106"/>
      <c r="BA1048227" s="106"/>
    </row>
    <row r="1048228" spans="52:53">
      <c r="AZ1048228" s="106"/>
      <c r="BA1048228" s="106"/>
    </row>
    <row r="1048229" spans="52:53">
      <c r="AZ1048229" s="106"/>
      <c r="BA1048229" s="106"/>
    </row>
    <row r="1048230" spans="52:53">
      <c r="AZ1048230" s="106"/>
      <c r="BA1048230" s="106"/>
    </row>
    <row r="1048231" spans="52:53">
      <c r="AZ1048231" s="106"/>
      <c r="BA1048231" s="106"/>
    </row>
    <row r="1048232" spans="52:53">
      <c r="AZ1048232" s="106"/>
      <c r="BA1048232" s="106"/>
    </row>
    <row r="1048233" spans="52:53">
      <c r="AZ1048233" s="106"/>
      <c r="BA1048233" s="106"/>
    </row>
    <row r="1048234" spans="52:53">
      <c r="AZ1048234" s="106"/>
      <c r="BA1048234" s="106"/>
    </row>
    <row r="1048235" spans="52:53">
      <c r="AZ1048235" s="106"/>
      <c r="BA1048235" s="106"/>
    </row>
    <row r="1048236" spans="52:53">
      <c r="AZ1048236" s="106"/>
      <c r="BA1048236" s="106"/>
    </row>
    <row r="1048237" spans="52:53">
      <c r="AZ1048237" s="106"/>
      <c r="BA1048237" s="106"/>
    </row>
    <row r="1048238" spans="52:53">
      <c r="AZ1048238" s="106"/>
      <c r="BA1048238" s="106"/>
    </row>
    <row r="1048239" spans="52:53">
      <c r="AZ1048239" s="106"/>
      <c r="BA1048239" s="106"/>
    </row>
    <row r="1048240" spans="52:53">
      <c r="AZ1048240" s="106"/>
      <c r="BA1048240" s="106"/>
    </row>
    <row r="1048241" spans="52:53">
      <c r="AZ1048241" s="106"/>
      <c r="BA1048241" s="106"/>
    </row>
    <row r="1048242" spans="52:53">
      <c r="AZ1048242" s="106"/>
      <c r="BA1048242" s="106"/>
    </row>
    <row r="1048243" spans="52:53">
      <c r="AZ1048243" s="106"/>
      <c r="BA1048243" s="106"/>
    </row>
    <row r="1048244" spans="52:53">
      <c r="AZ1048244" s="106"/>
      <c r="BA1048244" s="106"/>
    </row>
    <row r="1048245" spans="52:53">
      <c r="AZ1048245" s="106"/>
      <c r="BA1048245" s="106"/>
    </row>
    <row r="1048246" spans="52:53">
      <c r="AZ1048246" s="106"/>
      <c r="BA1048246" s="106"/>
    </row>
    <row r="1048247" spans="52:53">
      <c r="AZ1048247" s="106"/>
      <c r="BA1048247" s="106"/>
    </row>
    <row r="1048248" spans="52:53">
      <c r="AZ1048248" s="106"/>
      <c r="BA1048248" s="106"/>
    </row>
    <row r="1048249" spans="52:53">
      <c r="AZ1048249" s="106"/>
      <c r="BA1048249" s="106"/>
    </row>
    <row r="1048250" spans="52:53">
      <c r="AZ1048250" s="106"/>
      <c r="BA1048250" s="106"/>
    </row>
    <row r="1048251" spans="52:53">
      <c r="AZ1048251" s="106"/>
      <c r="BA1048251" s="106"/>
    </row>
    <row r="1048252" spans="52:53">
      <c r="AZ1048252" s="106"/>
      <c r="BA1048252" s="106"/>
    </row>
    <row r="1048253" spans="52:53">
      <c r="AZ1048253" s="106"/>
      <c r="BA1048253" s="106"/>
    </row>
    <row r="1048254" spans="52:53">
      <c r="AZ1048254" s="106"/>
      <c r="BA1048254" s="106"/>
    </row>
    <row r="1048255" spans="52:53">
      <c r="AZ1048255" s="106"/>
      <c r="BA1048255" s="106"/>
    </row>
    <row r="1048256" spans="52:53">
      <c r="AZ1048256" s="106"/>
      <c r="BA1048256" s="106"/>
    </row>
    <row r="1048257" spans="52:53">
      <c r="AZ1048257" s="106"/>
      <c r="BA1048257" s="106"/>
    </row>
    <row r="1048258" spans="52:53">
      <c r="AZ1048258" s="106"/>
      <c r="BA1048258" s="106"/>
    </row>
    <row r="1048259" spans="52:53">
      <c r="AZ1048259" s="106"/>
      <c r="BA1048259" s="106"/>
    </row>
    <row r="1048260" spans="52:53">
      <c r="AZ1048260" s="106"/>
      <c r="BA1048260" s="106"/>
    </row>
    <row r="1048261" spans="52:53">
      <c r="AZ1048261" s="106"/>
      <c r="BA1048261" s="106"/>
    </row>
    <row r="1048262" spans="52:53">
      <c r="AZ1048262" s="106"/>
      <c r="BA1048262" s="106"/>
    </row>
    <row r="1048263" spans="52:53">
      <c r="AZ1048263" s="106"/>
      <c r="BA1048263" s="106"/>
    </row>
    <row r="1048264" spans="52:53">
      <c r="AZ1048264" s="106"/>
      <c r="BA1048264" s="106"/>
    </row>
    <row r="1048265" spans="52:53">
      <c r="AZ1048265" s="106"/>
      <c r="BA1048265" s="106"/>
    </row>
    <row r="1048266" spans="52:53">
      <c r="AZ1048266" s="106"/>
      <c r="BA1048266" s="106"/>
    </row>
    <row r="1048267" spans="52:53">
      <c r="AZ1048267" s="106"/>
      <c r="BA1048267" s="106"/>
    </row>
    <row r="1048268" spans="52:53">
      <c r="AZ1048268" s="106"/>
      <c r="BA1048268" s="106"/>
    </row>
    <row r="1048269" spans="52:53">
      <c r="AZ1048269" s="106"/>
      <c r="BA1048269" s="106"/>
    </row>
    <row r="1048270" spans="52:53">
      <c r="AZ1048270" s="106"/>
      <c r="BA1048270" s="106"/>
    </row>
    <row r="1048271" spans="52:53">
      <c r="AZ1048271" s="106"/>
      <c r="BA1048271" s="106"/>
    </row>
    <row r="1048272" spans="52:53">
      <c r="AZ1048272" s="106"/>
      <c r="BA1048272" s="106"/>
    </row>
    <row r="1048273" spans="52:53">
      <c r="AZ1048273" s="106"/>
      <c r="BA1048273" s="106"/>
    </row>
    <row r="1048274" spans="52:53">
      <c r="AZ1048274" s="106"/>
      <c r="BA1048274" s="106"/>
    </row>
    <row r="1048275" spans="52:53">
      <c r="AZ1048275" s="106"/>
      <c r="BA1048275" s="106"/>
    </row>
    <row r="1048276" spans="52:53">
      <c r="AZ1048276" s="106"/>
      <c r="BA1048276" s="106"/>
    </row>
    <row r="1048277" spans="52:53">
      <c r="AZ1048277" s="106"/>
      <c r="BA1048277" s="106"/>
    </row>
    <row r="1048278" spans="52:53">
      <c r="AZ1048278" s="106"/>
      <c r="BA1048278" s="106"/>
    </row>
    <row r="1048279" spans="52:53">
      <c r="AZ1048279" s="106"/>
      <c r="BA1048279" s="106"/>
    </row>
    <row r="1048280" spans="52:53">
      <c r="AZ1048280" s="106"/>
      <c r="BA1048280" s="106"/>
    </row>
    <row r="1048281" spans="52:53">
      <c r="AZ1048281" s="106"/>
      <c r="BA1048281" s="106"/>
    </row>
    <row r="1048282" spans="52:53">
      <c r="AZ1048282" s="106"/>
      <c r="BA1048282" s="106"/>
    </row>
    <row r="1048283" spans="52:53">
      <c r="AZ1048283" s="106"/>
      <c r="BA1048283" s="106"/>
    </row>
    <row r="1048284" spans="52:53">
      <c r="AZ1048284" s="106"/>
      <c r="BA1048284" s="106"/>
    </row>
    <row r="1048285" spans="52:53">
      <c r="AZ1048285" s="106"/>
      <c r="BA1048285" s="106"/>
    </row>
    <row r="1048286" spans="52:53">
      <c r="AZ1048286" s="106"/>
      <c r="BA1048286" s="106"/>
    </row>
    <row r="1048287" spans="52:53">
      <c r="AZ1048287" s="106"/>
      <c r="BA1048287" s="106"/>
    </row>
    <row r="1048288" spans="52:53">
      <c r="AZ1048288" s="106"/>
      <c r="BA1048288" s="106"/>
    </row>
    <row r="1048289" spans="52:53">
      <c r="AZ1048289" s="106"/>
      <c r="BA1048289" s="106"/>
    </row>
    <row r="1048290" spans="52:53">
      <c r="AZ1048290" s="106"/>
      <c r="BA1048290" s="106"/>
    </row>
    <row r="1048291" spans="52:53">
      <c r="AZ1048291" s="106"/>
      <c r="BA1048291" s="106"/>
    </row>
    <row r="1048292" spans="52:53">
      <c r="AZ1048292" s="106"/>
      <c r="BA1048292" s="106"/>
    </row>
    <row r="1048293" spans="52:53">
      <c r="AZ1048293" s="106"/>
      <c r="BA1048293" s="106"/>
    </row>
    <row r="1048294" spans="52:53">
      <c r="AZ1048294" s="106"/>
      <c r="BA1048294" s="106"/>
    </row>
    <row r="1048295" spans="52:53">
      <c r="AZ1048295" s="106"/>
      <c r="BA1048295" s="106"/>
    </row>
    <row r="1048296" spans="52:53">
      <c r="AZ1048296" s="106"/>
      <c r="BA1048296" s="106"/>
    </row>
    <row r="1048297" spans="52:53">
      <c r="AZ1048297" s="106"/>
      <c r="BA1048297" s="106"/>
    </row>
    <row r="1048298" spans="52:53">
      <c r="AZ1048298" s="106"/>
      <c r="BA1048298" s="106"/>
    </row>
    <row r="1048299" spans="52:53">
      <c r="AZ1048299" s="106"/>
      <c r="BA1048299" s="106"/>
    </row>
    <row r="1048300" spans="52:53">
      <c r="AZ1048300" s="106"/>
      <c r="BA1048300" s="106"/>
    </row>
    <row r="1048301" spans="52:53">
      <c r="AZ1048301" s="106"/>
      <c r="BA1048301" s="106"/>
    </row>
    <row r="1048302" spans="52:53">
      <c r="AZ1048302" s="106"/>
      <c r="BA1048302" s="106"/>
    </row>
    <row r="1048303" spans="52:53">
      <c r="AZ1048303" s="106"/>
      <c r="BA1048303" s="106"/>
    </row>
    <row r="1048304" spans="52:53">
      <c r="AZ1048304" s="106"/>
      <c r="BA1048304" s="106"/>
    </row>
    <row r="1048305" spans="52:53">
      <c r="AZ1048305" s="106"/>
      <c r="BA1048305" s="106"/>
    </row>
    <row r="1048306" spans="52:53">
      <c r="AZ1048306" s="106"/>
      <c r="BA1048306" s="106"/>
    </row>
    <row r="1048307" spans="52:53">
      <c r="AZ1048307" s="106"/>
      <c r="BA1048307" s="106"/>
    </row>
    <row r="1048308" spans="52:53">
      <c r="AZ1048308" s="106"/>
      <c r="BA1048308" s="106"/>
    </row>
    <row r="1048309" spans="52:53">
      <c r="AZ1048309" s="106"/>
      <c r="BA1048309" s="106"/>
    </row>
    <row r="1048310" spans="52:53">
      <c r="AZ1048310" s="106"/>
      <c r="BA1048310" s="106"/>
    </row>
    <row r="1048311" spans="52:53">
      <c r="AZ1048311" s="106"/>
      <c r="BA1048311" s="106"/>
    </row>
    <row r="1048312" spans="52:53">
      <c r="AZ1048312" s="106"/>
      <c r="BA1048312" s="106"/>
    </row>
    <row r="1048313" spans="52:53">
      <c r="AZ1048313" s="106"/>
      <c r="BA1048313" s="106"/>
    </row>
    <row r="1048314" spans="52:53">
      <c r="AZ1048314" s="106"/>
      <c r="BA1048314" s="106"/>
    </row>
    <row r="1048315" spans="52:53">
      <c r="AZ1048315" s="106"/>
      <c r="BA1048315" s="106"/>
    </row>
    <row r="1048316" spans="52:53">
      <c r="AZ1048316" s="106"/>
      <c r="BA1048316" s="106"/>
    </row>
    <row r="1048317" spans="52:53">
      <c r="AZ1048317" s="106"/>
      <c r="BA1048317" s="106"/>
    </row>
    <row r="1048318" spans="52:53">
      <c r="AZ1048318" s="106"/>
      <c r="BA1048318" s="106"/>
    </row>
    <row r="1048319" spans="52:53">
      <c r="AZ1048319" s="106"/>
      <c r="BA1048319" s="106"/>
    </row>
    <row r="1048320" spans="52:53">
      <c r="AZ1048320" s="106"/>
      <c r="BA1048320" s="106"/>
    </row>
    <row r="1048321" spans="52:53">
      <c r="AZ1048321" s="106"/>
      <c r="BA1048321" s="106"/>
    </row>
    <row r="1048322" spans="52:53">
      <c r="AZ1048322" s="106"/>
      <c r="BA1048322" s="106"/>
    </row>
    <row r="1048323" spans="52:53">
      <c r="AZ1048323" s="106"/>
      <c r="BA1048323" s="106"/>
    </row>
    <row r="1048324" spans="52:53">
      <c r="AZ1048324" s="106"/>
      <c r="BA1048324" s="106"/>
    </row>
    <row r="1048325" spans="52:53">
      <c r="AZ1048325" s="106"/>
      <c r="BA1048325" s="106"/>
    </row>
    <row r="1048326" spans="52:53">
      <c r="AZ1048326" s="106"/>
      <c r="BA1048326" s="106"/>
    </row>
    <row r="1048327" spans="52:53">
      <c r="AZ1048327" s="106"/>
      <c r="BA1048327" s="106"/>
    </row>
    <row r="1048328" spans="52:53">
      <c r="AZ1048328" s="106"/>
      <c r="BA1048328" s="106"/>
    </row>
    <row r="1048329" spans="52:53">
      <c r="AZ1048329" s="106"/>
      <c r="BA1048329" s="106"/>
    </row>
    <row r="1048330" spans="52:53">
      <c r="AZ1048330" s="106"/>
      <c r="BA1048330" s="106"/>
    </row>
    <row r="1048331" spans="52:53">
      <c r="AZ1048331" s="106"/>
      <c r="BA1048331" s="106"/>
    </row>
    <row r="1048332" spans="52:53">
      <c r="AZ1048332" s="106"/>
      <c r="BA1048332" s="106"/>
    </row>
    <row r="1048333" spans="52:53">
      <c r="AZ1048333" s="106"/>
      <c r="BA1048333" s="106"/>
    </row>
    <row r="1048334" spans="52:53">
      <c r="AZ1048334" s="106"/>
      <c r="BA1048334" s="106"/>
    </row>
    <row r="1048335" spans="52:53">
      <c r="AZ1048335" s="106"/>
      <c r="BA1048335" s="106"/>
    </row>
    <row r="1048336" spans="52:53">
      <c r="AZ1048336" s="106"/>
      <c r="BA1048336" s="106"/>
    </row>
    <row r="1048337" spans="52:53">
      <c r="AZ1048337" s="106"/>
      <c r="BA1048337" s="106"/>
    </row>
    <row r="1048338" spans="52:53">
      <c r="AZ1048338" s="106"/>
      <c r="BA1048338" s="106"/>
    </row>
    <row r="1048339" spans="52:53">
      <c r="AZ1048339" s="106"/>
      <c r="BA1048339" s="106"/>
    </row>
    <row r="1048340" spans="52:53">
      <c r="AZ1048340" s="106"/>
      <c r="BA1048340" s="106"/>
    </row>
    <row r="1048341" spans="52:53">
      <c r="AZ1048341" s="106"/>
      <c r="BA1048341" s="106"/>
    </row>
    <row r="1048342" spans="52:53">
      <c r="AZ1048342" s="106"/>
      <c r="BA1048342" s="106"/>
    </row>
    <row r="1048343" spans="52:53">
      <c r="AZ1048343" s="106"/>
      <c r="BA1048343" s="106"/>
    </row>
    <row r="1048344" spans="52:53">
      <c r="AZ1048344" s="106"/>
      <c r="BA1048344" s="106"/>
    </row>
    <row r="1048345" spans="52:53">
      <c r="AZ1048345" s="106"/>
      <c r="BA1048345" s="106"/>
    </row>
    <row r="1048346" spans="52:53">
      <c r="AZ1048346" s="106"/>
      <c r="BA1048346" s="106"/>
    </row>
    <row r="1048347" spans="52:53">
      <c r="AZ1048347" s="106"/>
      <c r="BA1048347" s="106"/>
    </row>
    <row r="1048348" spans="52:53">
      <c r="AZ1048348" s="106"/>
      <c r="BA1048348" s="106"/>
    </row>
    <row r="1048349" spans="52:53">
      <c r="AZ1048349" s="106"/>
      <c r="BA1048349" s="106"/>
    </row>
    <row r="1048350" spans="52:53">
      <c r="AZ1048350" s="106"/>
      <c r="BA1048350" s="106"/>
    </row>
    <row r="1048351" spans="52:53">
      <c r="AZ1048351" s="106"/>
      <c r="BA1048351" s="106"/>
    </row>
    <row r="1048352" spans="52:53">
      <c r="AZ1048352" s="106"/>
      <c r="BA1048352" s="106"/>
    </row>
    <row r="1048353" spans="52:53">
      <c r="AZ1048353" s="106"/>
      <c r="BA1048353" s="106"/>
    </row>
    <row r="1048354" spans="52:53">
      <c r="AZ1048354" s="106"/>
      <c r="BA1048354" s="106"/>
    </row>
    <row r="1048355" spans="52:53">
      <c r="AZ1048355" s="106"/>
      <c r="BA1048355" s="106"/>
    </row>
    <row r="1048356" spans="52:53">
      <c r="AZ1048356" s="106"/>
      <c r="BA1048356" s="106"/>
    </row>
    <row r="1048357" spans="52:53">
      <c r="AZ1048357" s="106"/>
      <c r="BA1048357" s="106"/>
    </row>
    <row r="1048358" spans="52:53">
      <c r="AZ1048358" s="106"/>
      <c r="BA1048358" s="106"/>
    </row>
    <row r="1048359" spans="52:53">
      <c r="AZ1048359" s="106"/>
      <c r="BA1048359" s="106"/>
    </row>
    <row r="1048360" spans="52:53">
      <c r="AZ1048360" s="106"/>
      <c r="BA1048360" s="106"/>
    </row>
    <row r="1048361" spans="52:53">
      <c r="AZ1048361" s="106"/>
      <c r="BA1048361" s="106"/>
    </row>
    <row r="1048362" spans="52:53">
      <c r="AZ1048362" s="106"/>
      <c r="BA1048362" s="106"/>
    </row>
    <row r="1048363" spans="52:53">
      <c r="AZ1048363" s="106"/>
      <c r="BA1048363" s="106"/>
    </row>
    <row r="1048364" spans="52:53">
      <c r="AZ1048364" s="106"/>
      <c r="BA1048364" s="106"/>
    </row>
    <row r="1048365" spans="52:53">
      <c r="AZ1048365" s="106"/>
      <c r="BA1048365" s="106"/>
    </row>
    <row r="1048366" spans="52:53">
      <c r="AZ1048366" s="106"/>
      <c r="BA1048366" s="106"/>
    </row>
    <row r="1048367" spans="52:53">
      <c r="AZ1048367" s="106"/>
      <c r="BA1048367" s="106"/>
    </row>
    <row r="1048368" spans="52:53">
      <c r="AZ1048368" s="106"/>
      <c r="BA1048368" s="106"/>
    </row>
    <row r="1048369" spans="52:53">
      <c r="AZ1048369" s="106"/>
      <c r="BA1048369" s="106"/>
    </row>
    <row r="1048370" spans="52:53">
      <c r="AZ1048370" s="106"/>
      <c r="BA1048370" s="106"/>
    </row>
    <row r="1048371" spans="52:53">
      <c r="AZ1048371" s="106"/>
      <c r="BA1048371" s="106"/>
    </row>
    <row r="1048372" spans="52:53">
      <c r="AZ1048372" s="106"/>
      <c r="BA1048372" s="106"/>
    </row>
    <row r="1048373" spans="52:53">
      <c r="AZ1048373" s="106"/>
      <c r="BA1048373" s="106"/>
    </row>
    <row r="1048374" spans="52:53">
      <c r="AZ1048374" s="106"/>
      <c r="BA1048374" s="106"/>
    </row>
    <row r="1048375" spans="52:53">
      <c r="AZ1048375" s="106"/>
      <c r="BA1048375" s="106"/>
    </row>
    <row r="1048376" spans="52:53">
      <c r="AZ1048376" s="106"/>
      <c r="BA1048376" s="106"/>
    </row>
    <row r="1048377" spans="52:53">
      <c r="AZ1048377" s="106"/>
      <c r="BA1048377" s="106"/>
    </row>
    <row r="1048378" spans="52:53">
      <c r="AZ1048378" s="106"/>
      <c r="BA1048378" s="106"/>
    </row>
    <row r="1048379" spans="52:53">
      <c r="AZ1048379" s="106"/>
      <c r="BA1048379" s="106"/>
    </row>
    <row r="1048380" spans="52:53">
      <c r="AZ1048380" s="106"/>
      <c r="BA1048380" s="106"/>
    </row>
    <row r="1048381" spans="52:53">
      <c r="AZ1048381" s="106"/>
      <c r="BA1048381" s="106"/>
    </row>
    <row r="1048382" spans="52:53">
      <c r="AZ1048382" s="106"/>
      <c r="BA1048382" s="106"/>
    </row>
    <row r="1048383" spans="52:53">
      <c r="AZ1048383" s="106"/>
      <c r="BA1048383" s="106"/>
    </row>
    <row r="1048384" spans="52:53">
      <c r="AZ1048384" s="106"/>
      <c r="BA1048384" s="106"/>
    </row>
    <row r="1048385" spans="52:53">
      <c r="AZ1048385" s="106"/>
      <c r="BA1048385" s="106"/>
    </row>
    <row r="1048386" spans="52:53">
      <c r="AZ1048386" s="106"/>
      <c r="BA1048386" s="106"/>
    </row>
    <row r="1048387" spans="52:53">
      <c r="AZ1048387" s="106"/>
      <c r="BA1048387" s="106"/>
    </row>
    <row r="1048388" spans="52:53">
      <c r="AZ1048388" s="106"/>
      <c r="BA1048388" s="106"/>
    </row>
    <row r="1048389" spans="52:53">
      <c r="AZ1048389" s="106"/>
      <c r="BA1048389" s="106"/>
    </row>
    <row r="1048390" spans="52:53">
      <c r="AZ1048390" s="106"/>
      <c r="BA1048390" s="106"/>
    </row>
    <row r="1048391" spans="52:53">
      <c r="AZ1048391" s="106"/>
      <c r="BA1048391" s="106"/>
    </row>
    <row r="1048392" spans="52:53">
      <c r="AZ1048392" s="106"/>
      <c r="BA1048392" s="106"/>
    </row>
    <row r="1048393" spans="52:53">
      <c r="AZ1048393" s="106"/>
      <c r="BA1048393" s="106"/>
    </row>
    <row r="1048394" spans="52:53">
      <c r="AZ1048394" s="106"/>
      <c r="BA1048394" s="106"/>
    </row>
    <row r="1048395" spans="52:53">
      <c r="AZ1048395" s="106"/>
      <c r="BA1048395" s="106"/>
    </row>
    <row r="1048396" spans="52:53">
      <c r="AZ1048396" s="106"/>
      <c r="BA1048396" s="106"/>
    </row>
    <row r="1048397" spans="52:53">
      <c r="AZ1048397" s="106"/>
      <c r="BA1048397" s="106"/>
    </row>
    <row r="1048398" spans="52:53">
      <c r="AZ1048398" s="106"/>
      <c r="BA1048398" s="106"/>
    </row>
    <row r="1048399" spans="52:53">
      <c r="AZ1048399" s="106"/>
      <c r="BA1048399" s="106"/>
    </row>
    <row r="1048400" spans="52:53">
      <c r="AZ1048400" s="106"/>
      <c r="BA1048400" s="106"/>
    </row>
    <row r="1048401" spans="52:53">
      <c r="AZ1048401" s="106"/>
      <c r="BA1048401" s="106"/>
    </row>
    <row r="1048402" spans="52:53">
      <c r="AZ1048402" s="106"/>
      <c r="BA1048402" s="106"/>
    </row>
    <row r="1048403" spans="52:53">
      <c r="AZ1048403" s="106"/>
      <c r="BA1048403" s="106"/>
    </row>
    <row r="1048404" spans="52:53">
      <c r="AZ1048404" s="106"/>
      <c r="BA1048404" s="106"/>
    </row>
    <row r="1048405" spans="52:53">
      <c r="AZ1048405" s="106"/>
      <c r="BA1048405" s="106"/>
    </row>
    <row r="1048406" spans="52:53">
      <c r="AZ1048406" s="106"/>
      <c r="BA1048406" s="106"/>
    </row>
    <row r="1048407" spans="52:53">
      <c r="AZ1048407" s="106"/>
      <c r="BA1048407" s="106"/>
    </row>
    <row r="1048408" spans="52:53">
      <c r="AZ1048408" s="106"/>
      <c r="BA1048408" s="106"/>
    </row>
    <row r="1048409" spans="52:53">
      <c r="AZ1048409" s="106"/>
      <c r="BA1048409" s="106"/>
    </row>
    <row r="1048410" spans="52:53">
      <c r="AZ1048410" s="106"/>
      <c r="BA1048410" s="106"/>
    </row>
    <row r="1048411" spans="52:53">
      <c r="AZ1048411" s="106"/>
      <c r="BA1048411" s="106"/>
    </row>
    <row r="1048412" spans="52:53">
      <c r="AZ1048412" s="106"/>
      <c r="BA1048412" s="106"/>
    </row>
    <row r="1048413" spans="52:53">
      <c r="AZ1048413" s="106"/>
      <c r="BA1048413" s="106"/>
    </row>
    <row r="1048414" spans="52:53">
      <c r="AZ1048414" s="106"/>
      <c r="BA1048414" s="106"/>
    </row>
    <row r="1048415" spans="52:53">
      <c r="AZ1048415" s="106"/>
      <c r="BA1048415" s="106"/>
    </row>
    <row r="1048416" spans="52:53">
      <c r="AZ1048416" s="106"/>
      <c r="BA1048416" s="106"/>
    </row>
    <row r="1048417" spans="52:53">
      <c r="AZ1048417" s="106"/>
      <c r="BA1048417" s="106"/>
    </row>
    <row r="1048418" spans="52:53">
      <c r="AZ1048418" s="106"/>
      <c r="BA1048418" s="106"/>
    </row>
    <row r="1048419" spans="52:53">
      <c r="AZ1048419" s="106"/>
      <c r="BA1048419" s="106"/>
    </row>
    <row r="1048420" spans="52:53">
      <c r="AZ1048420" s="106"/>
      <c r="BA1048420" s="106"/>
    </row>
    <row r="1048421" spans="52:53">
      <c r="AZ1048421" s="106"/>
      <c r="BA1048421" s="106"/>
    </row>
    <row r="1048422" spans="52:53">
      <c r="AZ1048422" s="106"/>
      <c r="BA1048422" s="106"/>
    </row>
    <row r="1048423" spans="52:53">
      <c r="AZ1048423" s="106"/>
      <c r="BA1048423" s="106"/>
    </row>
    <row r="1048424" spans="52:53">
      <c r="AZ1048424" s="106"/>
      <c r="BA1048424" s="106"/>
    </row>
    <row r="1048425" spans="52:53">
      <c r="AZ1048425" s="106"/>
      <c r="BA1048425" s="106"/>
    </row>
    <row r="1048426" spans="52:53">
      <c r="AZ1048426" s="106"/>
      <c r="BA1048426" s="106"/>
    </row>
    <row r="1048427" spans="52:53">
      <c r="AZ1048427" s="106"/>
      <c r="BA1048427" s="106"/>
    </row>
    <row r="1048428" spans="52:53">
      <c r="AZ1048428" s="106"/>
      <c r="BA1048428" s="106"/>
    </row>
    <row r="1048429" spans="52:53">
      <c r="AZ1048429" s="106"/>
      <c r="BA1048429" s="106"/>
    </row>
    <row r="1048430" spans="52:53">
      <c r="AZ1048430" s="106"/>
      <c r="BA1048430" s="106"/>
    </row>
    <row r="1048431" spans="52:53">
      <c r="AZ1048431" s="106"/>
      <c r="BA1048431" s="106"/>
    </row>
    <row r="1048432" spans="52:53">
      <c r="AZ1048432" s="106"/>
      <c r="BA1048432" s="106"/>
    </row>
    <row r="1048433" spans="52:53">
      <c r="AZ1048433" s="106"/>
      <c r="BA1048433" s="106"/>
    </row>
    <row r="1048434" spans="52:53">
      <c r="AZ1048434" s="106"/>
      <c r="BA1048434" s="106"/>
    </row>
    <row r="1048435" spans="52:53">
      <c r="AZ1048435" s="106"/>
      <c r="BA1048435" s="106"/>
    </row>
    <row r="1048436" spans="52:53">
      <c r="AZ1048436" s="106"/>
      <c r="BA1048436" s="106"/>
    </row>
    <row r="1048437" spans="52:53">
      <c r="AZ1048437" s="106"/>
      <c r="BA1048437" s="106"/>
    </row>
    <row r="1048438" spans="52:53">
      <c r="AZ1048438" s="106"/>
      <c r="BA1048438" s="106"/>
    </row>
    <row r="1048439" spans="52:53">
      <c r="AZ1048439" s="106"/>
      <c r="BA1048439" s="106"/>
    </row>
    <row r="1048440" spans="52:53">
      <c r="AZ1048440" s="106"/>
      <c r="BA1048440" s="106"/>
    </row>
    <row r="1048441" spans="52:53">
      <c r="AZ1048441" s="106"/>
      <c r="BA1048441" s="106"/>
    </row>
    <row r="1048442" spans="52:53">
      <c r="AZ1048442" s="106"/>
      <c r="BA1048442" s="106"/>
    </row>
    <row r="1048443" spans="52:53">
      <c r="AZ1048443" s="106"/>
      <c r="BA1048443" s="106"/>
    </row>
    <row r="1048444" spans="52:53">
      <c r="AZ1048444" s="106"/>
      <c r="BA1048444" s="106"/>
    </row>
    <row r="1048445" spans="52:53">
      <c r="AZ1048445" s="106"/>
      <c r="BA1048445" s="106"/>
    </row>
    <row r="1048446" spans="52:53">
      <c r="AZ1048446" s="106"/>
      <c r="BA1048446" s="106"/>
    </row>
    <row r="1048447" spans="52:53">
      <c r="AZ1048447" s="106"/>
      <c r="BA1048447" s="106"/>
    </row>
    <row r="1048448" spans="52:53">
      <c r="AZ1048448" s="106"/>
      <c r="BA1048448" s="106"/>
    </row>
    <row r="1048449" spans="52:53">
      <c r="AZ1048449" s="106"/>
      <c r="BA1048449" s="106"/>
    </row>
    <row r="1048450" spans="52:53">
      <c r="AZ1048450" s="106"/>
      <c r="BA1048450" s="106"/>
    </row>
    <row r="1048451" spans="52:53">
      <c r="AZ1048451" s="106"/>
      <c r="BA1048451" s="106"/>
    </row>
    <row r="1048452" spans="52:53">
      <c r="AZ1048452" s="106"/>
      <c r="BA1048452" s="106"/>
    </row>
    <row r="1048453" spans="52:53">
      <c r="AZ1048453" s="106"/>
      <c r="BA1048453" s="106"/>
    </row>
    <row r="1048454" spans="52:53">
      <c r="AZ1048454" s="106"/>
      <c r="BA1048454" s="106"/>
    </row>
    <row r="1048455" spans="52:53">
      <c r="AZ1048455" s="106"/>
      <c r="BA1048455" s="106"/>
    </row>
    <row r="1048456" spans="52:53">
      <c r="AZ1048456" s="106"/>
      <c r="BA1048456" s="106"/>
    </row>
    <row r="1048457" spans="52:53">
      <c r="AZ1048457" s="106"/>
      <c r="BA1048457" s="106"/>
    </row>
    <row r="1048458" spans="52:53">
      <c r="AZ1048458" s="106"/>
      <c r="BA1048458" s="106"/>
    </row>
    <row r="1048459" spans="52:53">
      <c r="AZ1048459" s="106"/>
      <c r="BA1048459" s="106"/>
    </row>
    <row r="1048460" spans="52:53">
      <c r="AZ1048460" s="106"/>
      <c r="BA1048460" s="106"/>
    </row>
    <row r="1048461" spans="52:53">
      <c r="AZ1048461" s="106"/>
      <c r="BA1048461" s="106"/>
    </row>
    <row r="1048462" spans="52:53">
      <c r="AZ1048462" s="106"/>
      <c r="BA1048462" s="106"/>
    </row>
    <row r="1048463" spans="52:53">
      <c r="AZ1048463" s="106"/>
      <c r="BA1048463" s="106"/>
    </row>
    <row r="1048464" spans="52:53">
      <c r="AZ1048464" s="106"/>
      <c r="BA1048464" s="106"/>
    </row>
    <row r="1048465" spans="52:53">
      <c r="AZ1048465" s="106"/>
      <c r="BA1048465" s="106"/>
    </row>
    <row r="1048466" spans="52:53">
      <c r="AZ1048466" s="106"/>
      <c r="BA1048466" s="106"/>
    </row>
    <row r="1048467" spans="52:53">
      <c r="AZ1048467" s="106"/>
      <c r="BA1048467" s="106"/>
    </row>
    <row r="1048468" spans="52:53">
      <c r="AZ1048468" s="106"/>
      <c r="BA1048468" s="106"/>
    </row>
    <row r="1048469" spans="52:53">
      <c r="AZ1048469" s="106"/>
      <c r="BA1048469" s="106"/>
    </row>
    <row r="1048470" spans="52:53">
      <c r="AZ1048470" s="106"/>
      <c r="BA1048470" s="106"/>
    </row>
    <row r="1048471" spans="52:53">
      <c r="AZ1048471" s="106"/>
      <c r="BA1048471" s="106"/>
    </row>
    <row r="1048472" spans="52:53">
      <c r="AZ1048472" s="106"/>
      <c r="BA1048472" s="106"/>
    </row>
    <row r="1048473" spans="52:53">
      <c r="AZ1048473" s="106"/>
      <c r="BA1048473" s="106"/>
    </row>
    <row r="1048474" spans="52:53">
      <c r="AZ1048474" s="106"/>
      <c r="BA1048474" s="106"/>
    </row>
    <row r="1048475" spans="52:53">
      <c r="AZ1048475" s="106"/>
      <c r="BA1048475" s="106"/>
    </row>
    <row r="1048476" spans="52:53">
      <c r="AZ1048476" s="106"/>
      <c r="BA1048476" s="106"/>
    </row>
    <row r="1048477" spans="52:53">
      <c r="AZ1048477" s="106"/>
      <c r="BA1048477" s="106"/>
    </row>
    <row r="1048478" spans="52:53">
      <c r="AZ1048478" s="106"/>
      <c r="BA1048478" s="106"/>
    </row>
    <row r="1048479" spans="52:53">
      <c r="AZ1048479" s="106"/>
      <c r="BA1048479" s="106"/>
    </row>
    <row r="1048480" spans="52:53">
      <c r="AZ1048480" s="106"/>
      <c r="BA1048480" s="106"/>
    </row>
    <row r="1048481" spans="52:53">
      <c r="AZ1048481" s="106"/>
      <c r="BA1048481" s="106"/>
    </row>
    <row r="1048482" spans="52:53">
      <c r="AZ1048482" s="106"/>
      <c r="BA1048482" s="106"/>
    </row>
    <row r="1048483" spans="52:53">
      <c r="AZ1048483" s="106"/>
      <c r="BA1048483" s="106"/>
    </row>
    <row r="1048484" spans="52:53">
      <c r="AZ1048484" s="106"/>
      <c r="BA1048484" s="106"/>
    </row>
    <row r="1048485" spans="52:53">
      <c r="AZ1048485" s="106"/>
      <c r="BA1048485" s="106"/>
    </row>
    <row r="1048486" spans="52:53">
      <c r="AZ1048486" s="106"/>
      <c r="BA1048486" s="106"/>
    </row>
    <row r="1048487" spans="52:53">
      <c r="AZ1048487" s="106"/>
      <c r="BA1048487" s="106"/>
    </row>
    <row r="1048488" spans="52:53">
      <c r="AZ1048488" s="106"/>
      <c r="BA1048488" s="106"/>
    </row>
    <row r="1048489" spans="52:53">
      <c r="AZ1048489" s="106"/>
      <c r="BA1048489" s="106"/>
    </row>
    <row r="1048490" spans="52:53">
      <c r="AZ1048490" s="106"/>
      <c r="BA1048490" s="106"/>
    </row>
    <row r="1048491" spans="52:53">
      <c r="AZ1048491" s="106"/>
      <c r="BA1048491" s="106"/>
    </row>
    <row r="1048492" spans="52:53">
      <c r="AZ1048492" s="106"/>
      <c r="BA1048492" s="106"/>
    </row>
    <row r="1048493" spans="52:53">
      <c r="AZ1048493" s="106"/>
      <c r="BA1048493" s="106"/>
    </row>
    <row r="1048494" spans="52:53">
      <c r="AZ1048494" s="106"/>
      <c r="BA1048494" s="106"/>
    </row>
    <row r="1048495" spans="52:53">
      <c r="AZ1048495" s="106"/>
      <c r="BA1048495" s="106"/>
    </row>
    <row r="1048496" spans="52:53">
      <c r="AZ1048496" s="106"/>
      <c r="BA1048496" s="106"/>
    </row>
    <row r="1048497" spans="52:53">
      <c r="AZ1048497" s="106"/>
      <c r="BA1048497" s="106"/>
    </row>
    <row r="1048498" spans="52:53">
      <c r="AZ1048498" s="106"/>
      <c r="BA1048498" s="106"/>
    </row>
    <row r="1048499" spans="52:53">
      <c r="AZ1048499" s="106"/>
      <c r="BA1048499" s="106"/>
    </row>
    <row r="1048500" spans="52:53">
      <c r="AZ1048500" s="106"/>
      <c r="BA1048500" s="106"/>
    </row>
    <row r="1048501" spans="52:53">
      <c r="AZ1048501" s="106"/>
      <c r="BA1048501" s="106"/>
    </row>
    <row r="1048502" spans="52:53">
      <c r="AZ1048502" s="106"/>
      <c r="BA1048502" s="106"/>
    </row>
    <row r="1048503" spans="52:53">
      <c r="AZ1048503" s="106"/>
      <c r="BA1048503" s="106"/>
    </row>
    <row r="1048504" spans="52:53">
      <c r="AZ1048504" s="106"/>
      <c r="BA1048504" s="106"/>
    </row>
    <row r="1048505" spans="52:53">
      <c r="AZ1048505" s="106"/>
      <c r="BA1048505" s="106"/>
    </row>
    <row r="1048506" spans="52:53">
      <c r="AZ1048506" s="106"/>
      <c r="BA1048506" s="106"/>
    </row>
    <row r="1048507" spans="52:53">
      <c r="AZ1048507" s="106"/>
      <c r="BA1048507" s="106"/>
    </row>
    <row r="1048508" spans="52:53">
      <c r="AZ1048508" s="106"/>
      <c r="BA1048508" s="106"/>
    </row>
    <row r="1048509" spans="52:53">
      <c r="AZ1048509" s="106"/>
      <c r="BA1048509" s="106"/>
    </row>
    <row r="1048510" spans="52:53">
      <c r="AZ1048510" s="106"/>
      <c r="BA1048510" s="106"/>
    </row>
    <row r="1048511" spans="52:53">
      <c r="AZ1048511" s="106"/>
      <c r="BA1048511" s="106"/>
    </row>
    <row r="1048512" spans="52:53">
      <c r="AZ1048512" s="106"/>
      <c r="BA1048512" s="106"/>
    </row>
    <row r="1048513" spans="52:53">
      <c r="AZ1048513" s="106"/>
      <c r="BA1048513" s="106"/>
    </row>
    <row r="1048514" spans="52:53">
      <c r="AZ1048514" s="106"/>
      <c r="BA1048514" s="106"/>
    </row>
    <row r="1048515" spans="52:53">
      <c r="AZ1048515" s="106"/>
      <c r="BA1048515" s="106"/>
    </row>
    <row r="1048516" spans="52:53">
      <c r="AZ1048516" s="106"/>
      <c r="BA1048516" s="106"/>
    </row>
    <row r="1048517" spans="52:53">
      <c r="AZ1048517" s="106"/>
      <c r="BA1048517" s="106"/>
    </row>
    <row r="1048518" spans="52:53">
      <c r="AZ1048518" s="106"/>
      <c r="BA1048518" s="106"/>
    </row>
    <row r="1048519" spans="52:53">
      <c r="AZ1048519" s="106"/>
      <c r="BA1048519" s="106"/>
    </row>
    <row r="1048520" spans="52:53">
      <c r="AZ1048520" s="106"/>
      <c r="BA1048520" s="106"/>
    </row>
    <row r="1048521" spans="52:53">
      <c r="AZ1048521" s="106"/>
      <c r="BA1048521" s="106"/>
    </row>
    <row r="1048522" spans="52:53">
      <c r="AZ1048522" s="106"/>
      <c r="BA1048522" s="106"/>
    </row>
    <row r="1048523" spans="52:53">
      <c r="AZ1048523" s="106"/>
      <c r="BA1048523" s="106"/>
    </row>
    <row r="1048524" spans="52:53">
      <c r="AZ1048524" s="106"/>
      <c r="BA1048524" s="106"/>
    </row>
    <row r="1048525" spans="52:53">
      <c r="AZ1048525" s="106"/>
      <c r="BA1048525" s="106"/>
    </row>
    <row r="1048526" spans="52:53">
      <c r="AZ1048526" s="106"/>
      <c r="BA1048526" s="106"/>
    </row>
    <row r="1048527" spans="52:53">
      <c r="AZ1048527" s="106"/>
      <c r="BA1048527" s="106"/>
    </row>
    <row r="1048528" spans="52:53">
      <c r="AZ1048528" s="106"/>
      <c r="BA1048528" s="106"/>
    </row>
    <row r="1048529" spans="52:53">
      <c r="AZ1048529" s="106"/>
      <c r="BA1048529" s="106"/>
    </row>
    <row r="1048530" spans="52:53">
      <c r="AZ1048530" s="106"/>
      <c r="BA1048530" s="106"/>
    </row>
    <row r="1048531" spans="52:53">
      <c r="AZ1048531" s="106"/>
      <c r="BA1048531" s="106"/>
    </row>
    <row r="1048532" spans="52:53">
      <c r="AZ1048532" s="106"/>
      <c r="BA1048532" s="106"/>
    </row>
    <row r="1048533" spans="52:53">
      <c r="AZ1048533" s="106"/>
      <c r="BA1048533" s="106"/>
    </row>
    <row r="1048534" spans="53:53">
      <c r="BA1048534" s="106"/>
    </row>
    <row r="1048535" spans="53:53">
      <c r="BA1048535" s="106"/>
    </row>
    <row r="1048536" spans="53:53">
      <c r="BA1048536" s="106"/>
    </row>
    <row r="1048537" spans="53:53">
      <c r="BA1048537" s="106"/>
    </row>
    <row r="1048538" spans="53:53">
      <c r="BA1048538" s="106"/>
    </row>
    <row r="1048539" spans="53:53">
      <c r="BA1048539" s="106"/>
    </row>
    <row r="1048540" spans="53:53">
      <c r="BA1048540" s="106"/>
    </row>
    <row r="1048541" spans="53:53">
      <c r="BA1048541" s="106"/>
    </row>
    <row r="1048542" spans="53:53">
      <c r="BA1048542" s="106"/>
    </row>
    <row r="1048543" spans="53:53">
      <c r="BA1048543" s="106"/>
    </row>
    <row r="1048544" spans="53:53">
      <c r="BA1048544" s="106"/>
    </row>
    <row r="1048545" spans="53:53">
      <c r="BA1048545" s="106"/>
    </row>
    <row r="1048546" spans="53:53">
      <c r="BA1048546" s="106"/>
    </row>
    <row r="1048547" spans="53:53">
      <c r="BA1048547" s="106"/>
    </row>
    <row r="1048548" spans="53:53">
      <c r="BA1048548" s="106"/>
    </row>
    <row r="1048549" spans="53:53">
      <c r="BA1048549" s="106"/>
    </row>
    <row r="1048550" spans="53:53">
      <c r="BA1048550" s="106"/>
    </row>
    <row r="1048551" spans="53:53">
      <c r="BA1048551" s="106"/>
    </row>
    <row r="1048552" spans="53:53">
      <c r="BA1048552" s="106"/>
    </row>
    <row r="1048553" spans="53:53">
      <c r="BA1048553" s="106"/>
    </row>
    <row r="1048554" spans="53:53">
      <c r="BA1048554" s="106"/>
    </row>
    <row r="1048555" spans="53:53">
      <c r="BA1048555" s="106"/>
    </row>
    <row r="1048556" spans="53:53">
      <c r="BA1048556" s="106"/>
    </row>
    <row r="1048557" spans="53:53">
      <c r="BA1048557" s="106"/>
    </row>
    <row r="1048558" spans="53:53">
      <c r="BA1048558" s="106"/>
    </row>
    <row r="1048559" spans="53:53">
      <c r="BA1048559" s="106"/>
    </row>
    <row r="1048560" spans="53:53">
      <c r="BA1048560" s="106"/>
    </row>
    <row r="1048561" spans="53:53">
      <c r="BA1048561" s="106"/>
    </row>
    <row r="1048562" spans="53:53">
      <c r="BA1048562" s="106"/>
    </row>
    <row r="1048563" spans="53:53">
      <c r="BA1048563" s="106"/>
    </row>
    <row r="1048564" spans="53:53">
      <c r="BA1048564" s="106"/>
    </row>
    <row r="1048565" spans="53:53">
      <c r="BA1048565" s="106"/>
    </row>
    <row r="1048566" spans="53:53">
      <c r="BA1048566" s="106"/>
    </row>
    <row r="1048567" spans="53:53">
      <c r="BA1048567" s="106"/>
    </row>
    <row r="1048568" spans="53:53">
      <c r="BA1048568" s="106"/>
    </row>
    <row r="1048569" spans="53:53">
      <c r="BA1048569" s="106"/>
    </row>
    <row r="1048570" spans="53:53">
      <c r="BA1048570" s="106"/>
    </row>
    <row r="1048571" spans="53:53">
      <c r="BA1048571" s="106"/>
    </row>
    <row r="1048572" spans="53:53">
      <c r="BA1048572" s="106"/>
    </row>
    <row r="1048573" spans="53:53">
      <c r="BA1048573" s="106"/>
    </row>
    <row r="1048574" spans="53:53">
      <c r="BA1048574" s="106"/>
    </row>
  </sheetData>
  <autoFilter ref="B1:BB122">
    <extLst/>
  </autoFilter>
  <conditionalFormatting sqref="AT3">
    <cfRule type="duplicateValues" dxfId="984" priority="6"/>
    <cfRule type="duplicateValues" dxfId="984" priority="5"/>
  </conditionalFormatting>
  <conditionalFormatting sqref="AW3">
    <cfRule type="duplicateValues" dxfId="984" priority="2"/>
    <cfRule type="duplicateValues" dxfId="984" priority="1"/>
  </conditionalFormatting>
  <conditionalFormatting sqref="AZ26">
    <cfRule type="duplicateValues" dxfId="984" priority="3"/>
  </conditionalFormatting>
  <conditionalFormatting sqref="BA181">
    <cfRule type="duplicateValues" dxfId="988" priority="68"/>
    <cfRule type="duplicateValues" dxfId="984" priority="67"/>
    <cfRule type="duplicateValues" dxfId="984" priority="66"/>
  </conditionalFormatting>
  <conditionalFormatting sqref="BA187">
    <cfRule type="duplicateValues" dxfId="984" priority="64"/>
  </conditionalFormatting>
  <conditionalFormatting sqref="BA188">
    <cfRule type="duplicateValues" dxfId="984" priority="63"/>
  </conditionalFormatting>
  <conditionalFormatting sqref="AZ92:AZ112">
    <cfRule type="duplicateValues" dxfId="984" priority="27"/>
  </conditionalFormatting>
  <conditionalFormatting sqref="AZ113:AZ159">
    <cfRule type="duplicateValues" dxfId="984" priority="45"/>
  </conditionalFormatting>
  <conditionalFormatting sqref="AZ160:AZ164">
    <cfRule type="duplicateValues" dxfId="984" priority="44"/>
  </conditionalFormatting>
  <conditionalFormatting sqref="BA169:BA180">
    <cfRule type="duplicateValues" dxfId="984" priority="69"/>
  </conditionalFormatting>
  <conditionalFormatting sqref="BA182:BA186">
    <cfRule type="duplicateValues" dxfId="984" priority="65"/>
  </conditionalFormatting>
  <conditionalFormatting sqref="BA189:BA194">
    <cfRule type="duplicateValues" dxfId="984" priority="62"/>
    <cfRule type="duplicateValues" dxfId="984" priority="61"/>
  </conditionalFormatting>
  <conditionalFormatting sqref="BA196:BA215">
    <cfRule type="duplicateValues" dxfId="984" priority="60"/>
    <cfRule type="duplicateValues" dxfId="984" priority="59"/>
  </conditionalFormatting>
  <conditionalFormatting sqref="BA1:BA2 BA221:BA228 BA232:BA1048576">
    <cfRule type="duplicateValues" dxfId="988" priority="72"/>
    <cfRule type="duplicateValues" dxfId="984" priority="71"/>
    <cfRule type="duplicateValues" dxfId="984" priority="70"/>
  </conditionalFormatting>
  <conditionalFormatting sqref="AZ3:AZ25 AZ27:AZ91">
    <cfRule type="duplicateValues" dxfId="984" priority="4"/>
  </conditionalFormatting>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rgb="FFFFFF00"/>
  </sheetPr>
  <dimension ref="A1:AN251"/>
  <sheetViews>
    <sheetView workbookViewId="0">
      <pane ySplit="3" topLeftCell="A74" activePane="bottomLeft" state="frozen"/>
      <selection/>
      <selection pane="bottomLeft" activeCell="M8" sqref="M8"/>
    </sheetView>
  </sheetViews>
  <sheetFormatPr defaultColWidth="9" defaultRowHeight="22" customHeight="1"/>
  <cols>
    <col min="1" max="1" width="5.34862385321101" customWidth="1"/>
    <col min="2" max="2" width="14.8256880733945" customWidth="1"/>
    <col min="3" max="3" width="13.6697247706422" customWidth="1"/>
    <col min="4" max="4" width="10.6330275229358" style="104" customWidth="1"/>
    <col min="5" max="5" width="10.5871559633028" customWidth="1"/>
    <col min="6" max="7" width="9" hidden="1" customWidth="1"/>
    <col min="8" max="8" width="8.97247706422018" hidden="1" customWidth="1"/>
    <col min="9" max="10" width="9" hidden="1" customWidth="1"/>
    <col min="11" max="11" width="9.96330275229358" customWidth="1"/>
    <col min="12" max="12" width="8.3302752293578" style="103" customWidth="1"/>
    <col min="13" max="13" width="11.5871559633028" customWidth="1"/>
    <col min="14" max="14" width="7.97247706422018" customWidth="1"/>
    <col min="22" max="22" width="9.22018348623853" customWidth="1"/>
    <col min="23" max="23" width="12.8807339449541" style="121" customWidth="1"/>
    <col min="24" max="24" width="12.8807339449541" customWidth="1"/>
    <col min="25" max="25" width="9.44036697247706"/>
    <col min="26" max="27" width="10.4495412844037"/>
    <col min="30" max="30" width="10.3761467889908" customWidth="1"/>
    <col min="35" max="35" width="12.5871559633028" customWidth="1"/>
    <col min="36" max="36" width="12.5045871559633" customWidth="1"/>
    <col min="37" max="37" width="12.7522935779817" customWidth="1"/>
    <col min="38" max="38" width="13.1100917431193"/>
    <col min="39" max="39" width="10.4954128440367"/>
    <col min="41" max="41" width="12.743119266055"/>
  </cols>
  <sheetData>
    <row r="1" s="1" customFormat="1" ht="150" customHeight="1" spans="2:37">
      <c r="B1" s="35">
        <f>COUNTA(B4:B1044352)</f>
        <v>248</v>
      </c>
      <c r="C1" s="51" t="s">
        <v>0</v>
      </c>
      <c r="D1" s="147"/>
      <c r="K1" s="164">
        <f>SUM(K4:K1044626)</f>
        <v>11491</v>
      </c>
      <c r="M1" s="36"/>
      <c r="T1" s="66" t="s">
        <v>1</v>
      </c>
      <c r="W1" s="67" t="s">
        <v>2</v>
      </c>
      <c r="X1" s="68" t="s">
        <v>3</v>
      </c>
      <c r="Y1" s="84" t="s">
        <v>4</v>
      </c>
      <c r="Z1" s="85"/>
      <c r="AA1" s="85"/>
      <c r="AB1" s="85"/>
      <c r="AC1" s="85"/>
      <c r="AD1" s="86"/>
      <c r="AE1" s="85"/>
      <c r="AF1" s="85"/>
      <c r="AG1" s="93" t="s">
        <v>587</v>
      </c>
      <c r="AH1" s="93"/>
      <c r="AI1" s="94" t="s">
        <v>6</v>
      </c>
      <c r="AJ1" s="94" t="s">
        <v>7</v>
      </c>
      <c r="AK1" s="95" t="s">
        <v>8</v>
      </c>
    </row>
    <row r="2" s="1" customFormat="1" ht="51.6" spans="1:40">
      <c r="A2" s="37" t="s">
        <v>9</v>
      </c>
      <c r="B2" s="37" t="s">
        <v>10</v>
      </c>
      <c r="C2" s="37" t="s">
        <v>11</v>
      </c>
      <c r="D2" s="122"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72" t="s">
        <v>30</v>
      </c>
      <c r="W2" s="73" t="s">
        <v>458</v>
      </c>
      <c r="X2" s="74" t="s">
        <v>32</v>
      </c>
      <c r="Y2" s="38" t="s">
        <v>33</v>
      </c>
      <c r="Z2" s="38" t="s">
        <v>34</v>
      </c>
      <c r="AA2" s="38" t="s">
        <v>35</v>
      </c>
      <c r="AB2" s="87" t="s">
        <v>36</v>
      </c>
      <c r="AC2" s="88" t="s">
        <v>37</v>
      </c>
      <c r="AD2" s="88" t="s">
        <v>38</v>
      </c>
      <c r="AE2" s="38" t="s">
        <v>39</v>
      </c>
      <c r="AF2" s="38" t="s">
        <v>40</v>
      </c>
      <c r="AG2" s="96" t="s">
        <v>41</v>
      </c>
      <c r="AH2" s="96" t="s">
        <v>42</v>
      </c>
      <c r="AI2" s="97" t="s">
        <v>43</v>
      </c>
      <c r="AJ2" s="97" t="s">
        <v>44</v>
      </c>
      <c r="AK2" s="38" t="s">
        <v>45</v>
      </c>
      <c r="AL2" s="38" t="s">
        <v>46</v>
      </c>
      <c r="AM2" s="24">
        <v>45200</v>
      </c>
      <c r="AN2" s="24" t="s">
        <v>47</v>
      </c>
    </row>
    <row r="3" s="49" customFormat="1" ht="20" customHeight="1" spans="2:38">
      <c r="B3" s="40" t="s">
        <v>48</v>
      </c>
      <c r="C3" s="54"/>
      <c r="D3" s="154"/>
      <c r="E3" s="56"/>
      <c r="F3" s="57"/>
      <c r="G3" s="57"/>
      <c r="H3" s="57"/>
      <c r="I3" s="57"/>
      <c r="J3" s="57"/>
      <c r="K3" s="57">
        <f>SUM(K4:K1044627)</f>
        <v>11491</v>
      </c>
      <c r="L3" s="41"/>
      <c r="M3" s="57">
        <f t="shared" ref="M3:R3" si="0">SUM(M4:M1044627)</f>
        <v>159355.045</v>
      </c>
      <c r="N3" s="57">
        <f t="shared" si="0"/>
        <v>1011</v>
      </c>
      <c r="O3" s="57">
        <f t="shared" si="0"/>
        <v>2078</v>
      </c>
      <c r="P3" s="57">
        <f t="shared" si="0"/>
        <v>4245</v>
      </c>
      <c r="Q3" s="57">
        <f t="shared" si="0"/>
        <v>946</v>
      </c>
      <c r="R3" s="57">
        <f t="shared" si="0"/>
        <v>65</v>
      </c>
      <c r="S3" s="75"/>
      <c r="T3" s="76"/>
      <c r="U3" s="77"/>
      <c r="V3" s="78"/>
      <c r="W3" s="76"/>
      <c r="X3" s="165"/>
      <c r="Y3" s="57">
        <f>SUM(Y4:Y1044627)</f>
        <v>943.48</v>
      </c>
      <c r="Z3" s="57">
        <f>SUM(Z4:Z1044627)</f>
        <v>2021.91</v>
      </c>
      <c r="AA3" s="57">
        <f>SUM(AA4:AA1044627)</f>
        <v>4063.4</v>
      </c>
      <c r="AB3" s="89"/>
      <c r="AC3" s="89"/>
      <c r="AD3" s="90"/>
      <c r="AE3" s="89"/>
      <c r="AF3" s="89"/>
      <c r="AG3" s="89"/>
      <c r="AH3" s="98"/>
      <c r="AI3" s="89"/>
      <c r="AJ3" s="89"/>
      <c r="AK3" s="41">
        <f>SUM(AK4:AK1044410)</f>
        <v>13856.009</v>
      </c>
      <c r="AL3" s="41">
        <f>SUM(AL4:AL1044627)</f>
        <v>28507.702</v>
      </c>
    </row>
    <row r="4" customHeight="1" spans="1:40">
      <c r="A4" s="58" t="str">
        <f>INDEX('[1]3店'!$A:$A,MATCH(B:B,'[1]3店'!$B:$B,0))</f>
        <v>欣彤</v>
      </c>
      <c r="B4" s="43" t="s">
        <v>588</v>
      </c>
      <c r="C4" s="43" t="s">
        <v>589</v>
      </c>
      <c r="D4" s="59"/>
      <c r="E4" s="43" t="s">
        <v>590</v>
      </c>
      <c r="F4" s="43">
        <v>19</v>
      </c>
      <c r="G4" s="43">
        <v>1</v>
      </c>
      <c r="H4" s="43">
        <v>0</v>
      </c>
      <c r="I4" s="43">
        <v>0</v>
      </c>
      <c r="J4" s="43">
        <v>56</v>
      </c>
      <c r="K4" s="63">
        <f t="shared" ref="K4:K43" si="1">F4+G4+H4+I4+J4</f>
        <v>76</v>
      </c>
      <c r="L4" s="124">
        <f>VLOOKUP($B:$B,'[1]3店'!$B:$L,11,0)</f>
        <v>13.7</v>
      </c>
      <c r="M4" s="44">
        <f t="shared" ref="M4:M43" si="2">K4*L4</f>
        <v>1041.2</v>
      </c>
      <c r="N4" s="65">
        <f>IFERROR(VLOOKUP(B:B,'3店辅助表'!B:C,2,FALSE),0)</f>
        <v>8</v>
      </c>
      <c r="O4" s="65">
        <f>IFERROR(VLOOKUP(B:B,'3店辅助表'!E:F,2,FALSE),0)</f>
        <v>23</v>
      </c>
      <c r="P4" s="65">
        <f>IFERROR(VLOOKUP(B:B,'3店辅助表'!H:I,2,FALSE),0)</f>
        <v>39</v>
      </c>
      <c r="Q4" s="65">
        <f>IFERROR(VLOOKUP(B:B,'[1]3店'!$B:$N,13,FALSE),0)</f>
        <v>16</v>
      </c>
      <c r="R4" s="79">
        <f>N4-Q4</f>
        <v>-8</v>
      </c>
      <c r="S4" s="80">
        <f>IFERROR(K4/((N4/7+O4/15+P4/30)/3),"-")</f>
        <v>57.3413173652695</v>
      </c>
      <c r="T4" s="44">
        <f>IFERROR(S4/30,"-")</f>
        <v>1.91137724550898</v>
      </c>
      <c r="U4" s="44">
        <f>IFERROR(VLOOKUP($B:$B,'[1]3店'!$B:$T,19,0),"-")</f>
        <v>1.68853974121996</v>
      </c>
      <c r="V4" s="81">
        <f>IFERROR(T4-U4,"-")</f>
        <v>0.22283750428902</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库存过高</v>
      </c>
      <c r="X4" s="83" t="str">
        <f>_xlfn.IFS(AND(D4&lt;&gt;0,D4-$AM$2&gt;=0,K4&gt;0,D4&lt;&gt;0),"本月刚到货",AND(T4="-",K4&gt;0),"有库存无销量",AND(T4="-",K4=0),"无库存无销量",AND(T4&lt;=0.5,K4=0),"无库存有销量",T4&lt;=0.5,"库存过低",T4&lt;=1.5,"正常",T4&gt;1.5,"库存过高")</f>
        <v>库存过高</v>
      </c>
      <c r="Y4" s="44">
        <f>IFERROR(SUMIF('3店辅助表'!K:K,B:B,'3店辅助表'!N:N),0)</f>
        <v>17.29</v>
      </c>
      <c r="Z4" s="44">
        <f>IFERROR(SUMIF('3店辅助表'!T:T,B:B,'3店辅助表'!W:W),0)</f>
        <v>37.85</v>
      </c>
      <c r="AA4" s="44">
        <f>IFERROR(SUMIF('3店辅助表'!AC:AC,B:B,'3店辅助表'!AF:AF),0)</f>
        <v>68.88</v>
      </c>
      <c r="AB4" s="91">
        <f>IFERROR(SUMIF('3店辅助表'!K:K,B:B,'3店辅助表'!N:N)/SUMIF('3店辅助表'!K:K,B:B,'3店辅助表'!O:O),"-")</f>
        <v>0.166377983063895</v>
      </c>
      <c r="AC4" s="91">
        <f>IFERROR(VLOOKUP(B:B,'[1]3店'!$B:$AB,27,0),"-")</f>
        <v>0.190247252747253</v>
      </c>
      <c r="AD4" s="92">
        <f>IFERROR(AB4-AC4,"-")</f>
        <v>-0.023869269683358</v>
      </c>
      <c r="AE4" s="91">
        <f>IFERROR(SUMIF('3店辅助表'!T:T,B:B,'3店辅助表'!W:W)/SUMIF('3店辅助表'!T:T,B:B,'3店辅助表'!X:X),"-")</f>
        <v>0.183880684026428</v>
      </c>
      <c r="AF4" s="91">
        <f>IFERROR(SUMIF('3店辅助表'!AC:AC,B:B,'3店辅助表'!AF:AF)/SUMIF('3店辅助表'!AC:AC,B:B,'3店辅助表'!AG:AG),"-")</f>
        <v>0.179613549245091</v>
      </c>
      <c r="AG4" s="99">
        <f>IFERROR(AK4/((SUMIF('3店辅助表'!AT:AT,B:B,'3店辅助表'!AU:AU)+M4)/2),"-")</f>
        <v>0.098159509202454</v>
      </c>
      <c r="AH4" s="99">
        <f>IFERROR(AL4/((SUMIF('3店辅助表'!AW:AW,B:B,'3店辅助表'!AX:AX)+M4)/2),"-")</f>
        <v>0.373983739837398</v>
      </c>
      <c r="AI4" s="100">
        <f>IFERROR((SUMIF('3店辅助表'!AP:AP,B:B,'3店辅助表'!AR:AR)-SUMIF('3店辅助表'!AP:AP,B:B,'3店辅助表'!AR:AR)*0.15-(L4+IFERROR(VLOOKUP(B:B,'3店辅助表'!AZ:BA,2,0),0))*O4-IF(AN:AN="US",6.85,4.9)*(Z4+4.27*O4))/SUMIF('3店辅助表'!AP:AP,B:B,'3店辅助表'!AR:AR),"-")</f>
        <v>0.164264748350823</v>
      </c>
      <c r="AJ4" s="100">
        <f>IFERROR(AH4*AI4,"-")</f>
        <v>0.0614323449116898</v>
      </c>
      <c r="AK4" s="101">
        <f t="shared" ref="AK4:AK43" si="3">N4*$L4</f>
        <v>109.6</v>
      </c>
      <c r="AL4" s="101">
        <f t="shared" ref="AL4:AL43" si="4">O4*$L4</f>
        <v>315.1</v>
      </c>
      <c r="AM4" s="1" t="str">
        <f>VLOOKUP(B:B,'3店辅助表'!AZ:AZ,1,FALSE)</f>
        <v>E03135-bl</v>
      </c>
      <c r="AN4" t="str">
        <f>VLOOKUP(B:B,'3店辅助表'!AZ:BB,3,FALSE)</f>
        <v>US</v>
      </c>
    </row>
    <row r="5" customHeight="1" spans="1:40">
      <c r="A5" s="58" t="str">
        <f>INDEX('[1]3店'!$A:$A,MATCH(B:B,'[1]3店'!$B:$B,0))</f>
        <v>欣彤</v>
      </c>
      <c r="B5" s="43" t="s">
        <v>591</v>
      </c>
      <c r="C5" s="43" t="s">
        <v>592</v>
      </c>
      <c r="D5" s="59"/>
      <c r="E5" s="43" t="s">
        <v>593</v>
      </c>
      <c r="F5" s="43">
        <v>18</v>
      </c>
      <c r="G5" s="43">
        <v>2</v>
      </c>
      <c r="H5" s="43">
        <v>47</v>
      </c>
      <c r="I5" s="43">
        <v>0</v>
      </c>
      <c r="J5" s="43">
        <v>0</v>
      </c>
      <c r="K5" s="63">
        <f t="shared" si="1"/>
        <v>67</v>
      </c>
      <c r="L5" s="124">
        <f>VLOOKUP($B:$B,'[1]3店'!$B:$L,11,0)</f>
        <v>13.7</v>
      </c>
      <c r="M5" s="44">
        <f t="shared" si="2"/>
        <v>917.9</v>
      </c>
      <c r="N5" s="65">
        <f>IFERROR(VLOOKUP(B:B,'3店辅助表'!B:C,2,FALSE),0)</f>
        <v>3</v>
      </c>
      <c r="O5" s="65">
        <f>IFERROR(VLOOKUP(B:B,'3店辅助表'!E:F,2,FALSE),0)</f>
        <v>6</v>
      </c>
      <c r="P5" s="65">
        <f>IFERROR(VLOOKUP(B:B,'3店辅助表'!H:I,2,FALSE),0)</f>
        <v>10</v>
      </c>
      <c r="Q5" s="65">
        <f>IFERROR(VLOOKUP(B:B,'[1]3店'!$B:$N,13,FALSE),0)</f>
        <v>3</v>
      </c>
      <c r="R5" s="79">
        <f t="shared" ref="R4:R43" si="5">N5-Q5</f>
        <v>0</v>
      </c>
      <c r="S5" s="80">
        <f t="shared" ref="S4:S43" si="6">IFERROR(K5/((N5/7+O5/15+P5/30)/3),"-")</f>
        <v>172.991803278689</v>
      </c>
      <c r="T5" s="44">
        <f t="shared" ref="T4:T43" si="7">IFERROR(S5/30,"-")</f>
        <v>5.76639344262295</v>
      </c>
      <c r="U5" s="44">
        <f>IFERROR(VLOOKUP($B:$B,'[1]3店'!$B:$T,19,0),"-")</f>
        <v>3.48430493273543</v>
      </c>
      <c r="V5" s="81">
        <f t="shared" ref="V4:V43" si="8">IFERROR(T5-U5,"-")</f>
        <v>2.28208850988752</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库存过高</v>
      </c>
      <c r="X5" s="83" t="str">
        <f>_xlfn.IFS(AND(D5&lt;&gt;0,D5-$AM$2&gt;=0,K5&gt;0,D5&lt;&gt;0),"本月刚到货",AND(T5="-",K5&gt;0),"有库存无销量",AND(T5="-",K5=0),"无库存无销量",AND(T5&lt;=0.5,K5=0),"无库存有销量",T5&lt;=0.5,"库存过低",T5&lt;=1.5,"正常",T5&gt;1.5,"库存过高")</f>
        <v>库存过高</v>
      </c>
      <c r="Y5" s="44">
        <f>IFERROR(SUMIF('3店辅助表'!K:K,B:B,'3店辅助表'!N:N),0)</f>
        <v>0</v>
      </c>
      <c r="Z5" s="44">
        <f>IFERROR(SUMIF('3店辅助表'!T:T,B:B,'3店辅助表'!W:W),0)</f>
        <v>0</v>
      </c>
      <c r="AA5" s="44">
        <f>IFERROR(SUMIF('3店辅助表'!AC:AC,B:B,'3店辅助表'!AF:AF),0)</f>
        <v>0</v>
      </c>
      <c r="AB5" s="91" t="str">
        <f>IFERROR(SUMIF('3店辅助表'!K:K,B:B,'3店辅助表'!N:N)/SUMIF('3店辅助表'!K:K,B:B,'3店辅助表'!O:O),"-")</f>
        <v>-</v>
      </c>
      <c r="AC5" s="91" t="str">
        <f>IFERROR(VLOOKUP(B:B,'[1]3店'!$B:$AB,27,0),"-")</f>
        <v>-</v>
      </c>
      <c r="AD5" s="92" t="str">
        <f t="shared" ref="AD4:AD43" si="9">IFERROR(AB5-AC5,"-")</f>
        <v>-</v>
      </c>
      <c r="AE5" s="91" t="str">
        <f>IFERROR(SUMIF('3店辅助表'!T:T,B:B,'3店辅助表'!W:W)/SUMIF('3店辅助表'!T:T,B:B,'3店辅助表'!X:X),"-")</f>
        <v>-</v>
      </c>
      <c r="AF5" s="91" t="str">
        <f>IFERROR(SUMIF('3店辅助表'!AC:AC,B:B,'3店辅助表'!AF:AF)/SUMIF('3店辅助表'!AC:AC,B:B,'3店辅助表'!AG:AG),"-")</f>
        <v>-</v>
      </c>
      <c r="AG5" s="99">
        <f>IFERROR(AK5/((SUMIF('3店辅助表'!AT:AT,B:B,'3店辅助表'!AU:AU)+M5)/2),"-")</f>
        <v>0.0576923076923077</v>
      </c>
      <c r="AH5" s="99">
        <f>IFERROR(AL5/((SUMIF('3店辅助表'!AW:AW,B:B,'3店辅助表'!AX:AX)+M5)/2),"-")</f>
        <v>0.110091743119266</v>
      </c>
      <c r="AI5" s="100">
        <f>IFERROR((SUMIF('3店辅助表'!AP:AP,B:B,'3店辅助表'!AR:AR)-SUMIF('3店辅助表'!AP:AP,B:B,'3店辅助表'!AR:AR)*0.15-(L5+IFERROR(VLOOKUP(B:B,'3店辅助表'!AZ:BA,2,0),0))*O5-IF(AN:AN="US",6.85,4.9)*(Z5+4.27*O5))/SUMIF('3店辅助表'!AP:AP,B:B,'3店辅助表'!AR:AR),"-")</f>
        <v>0.295238617015897</v>
      </c>
      <c r="AJ5" s="100">
        <f t="shared" ref="AJ4:AJ43" si="10">IFERROR(AH5*AI5,"-")</f>
        <v>0.0325033339834015</v>
      </c>
      <c r="AK5" s="101">
        <f t="shared" si="3"/>
        <v>41.1</v>
      </c>
      <c r="AL5" s="101">
        <f t="shared" si="4"/>
        <v>82.2</v>
      </c>
      <c r="AM5" s="1" t="str">
        <f>VLOOKUP(B:B,'3店辅助表'!AZ:AZ,1,FALSE)</f>
        <v>E03135-db</v>
      </c>
      <c r="AN5" t="str">
        <f>VLOOKUP(B:B,'3店辅助表'!AZ:BB,3,FALSE)</f>
        <v>US</v>
      </c>
    </row>
    <row r="6" customHeight="1" spans="1:40">
      <c r="A6" s="58" t="str">
        <f>INDEX('[1]3店'!$A:$A,MATCH(B:B,'[1]3店'!$B:$B,0))</f>
        <v>欣彤</v>
      </c>
      <c r="B6" s="43" t="s">
        <v>594</v>
      </c>
      <c r="C6" s="43" t="s">
        <v>595</v>
      </c>
      <c r="D6" s="59"/>
      <c r="E6" s="43" t="s">
        <v>596</v>
      </c>
      <c r="F6" s="43">
        <v>104</v>
      </c>
      <c r="G6" s="43">
        <v>0</v>
      </c>
      <c r="H6" s="43">
        <v>5</v>
      </c>
      <c r="I6" s="43">
        <v>0</v>
      </c>
      <c r="J6" s="43">
        <v>0</v>
      </c>
      <c r="K6" s="63">
        <f t="shared" si="1"/>
        <v>109</v>
      </c>
      <c r="L6" s="124">
        <f>VLOOKUP($B:$B,'[1]3店'!$B:$L,11,0)</f>
        <v>13.7</v>
      </c>
      <c r="M6" s="44">
        <f t="shared" si="2"/>
        <v>1493.3</v>
      </c>
      <c r="N6" s="65">
        <f>IFERROR(VLOOKUP(B:B,'3店辅助表'!B:C,2,FALSE),0)</f>
        <v>2</v>
      </c>
      <c r="O6" s="65">
        <f>IFERROR(VLOOKUP(B:B,'3店辅助表'!E:F,2,FALSE),0)</f>
        <v>5</v>
      </c>
      <c r="P6" s="65">
        <f>IFERROR(VLOOKUP(B:B,'3店辅助表'!H:I,2,FALSE),0)</f>
        <v>7</v>
      </c>
      <c r="Q6" s="65">
        <f>IFERROR(VLOOKUP(B:B,'[1]3店'!$B:$N,13,FALSE),0)</f>
        <v>2</v>
      </c>
      <c r="R6" s="79">
        <f t="shared" si="5"/>
        <v>0</v>
      </c>
      <c r="S6" s="80">
        <f t="shared" si="6"/>
        <v>383.631284916201</v>
      </c>
      <c r="T6" s="44">
        <f t="shared" si="7"/>
        <v>12.7877094972067</v>
      </c>
      <c r="U6" s="44">
        <f>IFERROR(VLOOKUP($B:$B,'[1]3店'!$B:$T,19,0),"-")</f>
        <v>14.1272727272727</v>
      </c>
      <c r="V6" s="81">
        <f t="shared" si="8"/>
        <v>-1.339563230066</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库存过高</v>
      </c>
      <c r="X6" s="83" t="str">
        <f>_xlfn.IFS(AND(D6&lt;&gt;0,D6-$AM$2&gt;=0,K6&gt;0,D6&lt;&gt;0),"本月刚到货",AND(T6="-",K6&gt;0),"有库存无销量",AND(T6="-",K6=0),"无库存无销量",AND(T6&lt;=0.5,K6=0),"无库存有销量",T6&lt;=0.5,"库存过低",T6&lt;=1.5,"正常",T6&gt;1.5,"库存过高")</f>
        <v>库存过高</v>
      </c>
      <c r="Y6" s="44">
        <f>IFERROR(SUMIF('3店辅助表'!K:K,B:B,'3店辅助表'!N:N),0)</f>
        <v>0</v>
      </c>
      <c r="Z6" s="44">
        <f>IFERROR(SUMIF('3店辅助表'!T:T,B:B,'3店辅助表'!W:W),0)</f>
        <v>0</v>
      </c>
      <c r="AA6" s="44">
        <f>IFERROR(SUMIF('3店辅助表'!AC:AC,B:B,'3店辅助表'!AF:AF),0)</f>
        <v>0</v>
      </c>
      <c r="AB6" s="91" t="str">
        <f>IFERROR(SUMIF('3店辅助表'!K:K,B:B,'3店辅助表'!N:N)/SUMIF('3店辅助表'!K:K,B:B,'3店辅助表'!O:O),"-")</f>
        <v>-</v>
      </c>
      <c r="AC6" s="91" t="str">
        <f>IFERROR(VLOOKUP(B:B,'[1]3店'!$B:$AB,27,0),"-")</f>
        <v>-</v>
      </c>
      <c r="AD6" s="92" t="str">
        <f t="shared" si="9"/>
        <v>-</v>
      </c>
      <c r="AE6" s="91" t="str">
        <f>IFERROR(SUMIF('3店辅助表'!T:T,B:B,'3店辅助表'!W:W)/SUMIF('3店辅助表'!T:T,B:B,'3店辅助表'!X:X),"-")</f>
        <v>-</v>
      </c>
      <c r="AF6" s="91" t="str">
        <f>IFERROR(SUMIF('3店辅助表'!AC:AC,B:B,'3店辅助表'!AF:AF)/SUMIF('3店辅助表'!AC:AC,B:B,'3店辅助表'!AG:AG),"-")</f>
        <v>-</v>
      </c>
      <c r="AG6" s="99">
        <f>IFERROR(AK6/((SUMIF('3店辅助表'!AT:AT,B:B,'3店辅助表'!AU:AU)+M6)/2),"-")</f>
        <v>0.0181818181818182</v>
      </c>
      <c r="AH6" s="99">
        <f>IFERROR(AL6/((SUMIF('3店辅助表'!AW:AW,B:B,'3店辅助表'!AX:AX)+M6)/2),"-")</f>
        <v>0.0446428571428571</v>
      </c>
      <c r="AI6" s="100">
        <f>IFERROR((SUMIF('3店辅助表'!AP:AP,B:B,'3店辅助表'!AR:AR)-SUMIF('3店辅助表'!AP:AP,B:B,'3店辅助表'!AR:AR)*0.15-(L6+IFERROR(VLOOKUP(B:B,'3店辅助表'!AZ:BA,2,0),0))*O6-IF(AN:AN="US",6.85,4.9)*(Z6+4.27*O6))/SUMIF('3店辅助表'!AP:AP,B:B,'3店辅助表'!AR:AR),"-")</f>
        <v>0.282579055466069</v>
      </c>
      <c r="AJ6" s="100">
        <f t="shared" si="10"/>
        <v>0.0126151364047352</v>
      </c>
      <c r="AK6" s="101">
        <f t="shared" si="3"/>
        <v>27.4</v>
      </c>
      <c r="AL6" s="101">
        <f t="shared" si="4"/>
        <v>68.5</v>
      </c>
      <c r="AM6" s="1" t="str">
        <f>VLOOKUP(B:B,'3店辅助表'!AZ:AZ,1,FALSE)</f>
        <v>E03135-or</v>
      </c>
      <c r="AN6" t="str">
        <f>VLOOKUP(B:B,'3店辅助表'!AZ:BB,3,FALSE)</f>
        <v>US</v>
      </c>
    </row>
    <row r="7" customHeight="1" spans="1:40">
      <c r="A7" s="58" t="str">
        <f>INDEX('[1]3店'!$A:$A,MATCH(B:B,'[1]3店'!$B:$B,0))</f>
        <v>欣彤</v>
      </c>
      <c r="B7" s="43" t="s">
        <v>597</v>
      </c>
      <c r="C7" s="43" t="s">
        <v>598</v>
      </c>
      <c r="D7" s="59"/>
      <c r="E7" s="43" t="s">
        <v>599</v>
      </c>
      <c r="F7" s="43">
        <v>755</v>
      </c>
      <c r="G7" s="43">
        <v>0</v>
      </c>
      <c r="H7" s="43">
        <v>10</v>
      </c>
      <c r="I7" s="43">
        <v>39</v>
      </c>
      <c r="J7" s="43">
        <v>0</v>
      </c>
      <c r="K7" s="63">
        <f t="shared" si="1"/>
        <v>804</v>
      </c>
      <c r="L7" s="124">
        <f>VLOOKUP($B:$B,'[1]3店'!$B:$L,11,0)</f>
        <v>13.7</v>
      </c>
      <c r="M7" s="44">
        <f t="shared" si="2"/>
        <v>11014.8</v>
      </c>
      <c r="N7" s="65">
        <f>IFERROR(VLOOKUP(B:B,'3店辅助表'!B:C,2,FALSE),0)</f>
        <v>68</v>
      </c>
      <c r="O7" s="65">
        <f>IFERROR(VLOOKUP(B:B,'3店辅助表'!E:F,2,FALSE),0)</f>
        <v>157</v>
      </c>
      <c r="P7" s="65">
        <f>IFERROR(VLOOKUP(B:B,'3店辅助表'!H:I,2,FALSE),0)</f>
        <v>251</v>
      </c>
      <c r="Q7" s="65">
        <f>IFERROR(VLOOKUP(B:B,'[1]3店'!$B:$N,13,FALSE),0)</f>
        <v>77</v>
      </c>
      <c r="R7" s="79">
        <f t="shared" si="5"/>
        <v>-9</v>
      </c>
      <c r="S7" s="80">
        <f t="shared" si="6"/>
        <v>84.4904086738949</v>
      </c>
      <c r="T7" s="44">
        <f t="shared" si="7"/>
        <v>2.8163469557965</v>
      </c>
      <c r="U7" s="44">
        <f>IFERROR(VLOOKUP($B:$B,'[1]3店'!$B:$T,19,0),"-")</f>
        <v>3.09574468085106</v>
      </c>
      <c r="V7" s="81">
        <f t="shared" si="8"/>
        <v>-0.27939772505456</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库存过高</v>
      </c>
      <c r="X7" s="83" t="str">
        <f>_xlfn.IFS(AND(D7&lt;&gt;0,D7-$AM$2&gt;=0,K7&gt;0,D7&lt;&gt;0),"本月刚到货",AND(T7="-",K7&gt;0),"有库存无销量",AND(T7="-",K7=0),"无库存无销量",AND(T7&lt;=0.5,K7=0),"无库存有销量",T7&lt;=0.5,"库存过低",T7&lt;=1.5,"正常",T7&gt;1.5,"库存过高")</f>
        <v>库存过高</v>
      </c>
      <c r="Y7" s="44">
        <f>IFERROR(SUMIF('3店辅助表'!K:K,B:B,'3店辅助表'!N:N),0)</f>
        <v>31.68</v>
      </c>
      <c r="Z7" s="44">
        <f>IFERROR(SUMIF('3店辅助表'!T:T,B:B,'3店辅助表'!W:W),0)</f>
        <v>75.75</v>
      </c>
      <c r="AA7" s="44">
        <f>IFERROR(SUMIF('3店辅助表'!AC:AC,B:B,'3店辅助表'!AF:AF),0)</f>
        <v>134.86</v>
      </c>
      <c r="AB7" s="91">
        <f>IFERROR(SUMIF('3店辅助表'!K:K,B:B,'3店辅助表'!N:N)/SUMIF('3店辅助表'!K:K,B:B,'3店辅助表'!O:O),"-")</f>
        <v>0.10603474244402</v>
      </c>
      <c r="AC7" s="91">
        <f>IFERROR(VLOOKUP(B:B,'[1]3店'!$B:$AB,27,0),"-")</f>
        <v>0.112303002415737</v>
      </c>
      <c r="AD7" s="92">
        <f t="shared" si="9"/>
        <v>-0.006268259971717</v>
      </c>
      <c r="AE7" s="91">
        <f>IFERROR(SUMIF('3店辅助表'!T:T,B:B,'3店辅助表'!W:W)/SUMIF('3店辅助表'!T:T,B:B,'3店辅助表'!X:X),"-")</f>
        <v>0.100944816833464</v>
      </c>
      <c r="AF7" s="91">
        <f>IFERROR(SUMIF('3店辅助表'!AC:AC,B:B,'3店辅助表'!AF:AF)/SUMIF('3店辅助表'!AC:AC,B:B,'3店辅助表'!AG:AG),"-")</f>
        <v>0.096059604535871</v>
      </c>
      <c r="AG7" s="99">
        <f>IFERROR(AK7/((SUMIF('3店辅助表'!AT:AT,B:B,'3店辅助表'!AU:AU)+M7)/2),"-")</f>
        <v>0.0810971973762671</v>
      </c>
      <c r="AH7" s="99">
        <f>IFERROR(AL7/((SUMIF('3店辅助表'!AW:AW,B:B,'3店辅助表'!AX:AX)+M7)/2),"-")</f>
        <v>0.367251461988304</v>
      </c>
      <c r="AI7" s="100">
        <f>IFERROR((SUMIF('3店辅助表'!AP:AP,B:B,'3店辅助表'!AR:AR)-SUMIF('3店辅助表'!AP:AP,B:B,'3店辅助表'!AR:AR)*0.15-(L7+IFERROR(VLOOKUP(B:B,'3店辅助表'!AZ:BA,2,0),0))*O7-IF(AN:AN="US",6.85,4.9)*(Z7+4.27*O7))/SUMIF('3店辅助表'!AP:AP,B:B,'3店辅助表'!AR:AR),"-")</f>
        <v>0.244753186188713</v>
      </c>
      <c r="AJ7" s="100">
        <f t="shared" si="10"/>
        <v>0.0898859654541006</v>
      </c>
      <c r="AK7" s="101">
        <f t="shared" si="3"/>
        <v>931.6</v>
      </c>
      <c r="AL7" s="101">
        <f t="shared" si="4"/>
        <v>2150.9</v>
      </c>
      <c r="AM7" s="1" t="str">
        <f>VLOOKUP(B:B,'3店辅助表'!AZ:AZ,1,FALSE)</f>
        <v>E03375-BL+E03380+E03397</v>
      </c>
      <c r="AN7" t="str">
        <f>VLOOKUP(B:B,'3店辅助表'!AZ:BB,3,FALSE)</f>
        <v>US</v>
      </c>
    </row>
    <row r="8" customHeight="1" spans="1:40">
      <c r="A8" s="58" t="str">
        <f>INDEX('[1]3店'!$A:$A,MATCH(B:B,'[1]3店'!$B:$B,0))</f>
        <v>欣彤</v>
      </c>
      <c r="B8" s="43" t="s">
        <v>600</v>
      </c>
      <c r="C8" s="43" t="s">
        <v>601</v>
      </c>
      <c r="D8" s="59"/>
      <c r="E8" s="43" t="s">
        <v>602</v>
      </c>
      <c r="F8" s="43">
        <v>40</v>
      </c>
      <c r="G8" s="43">
        <v>1</v>
      </c>
      <c r="H8" s="43">
        <v>0</v>
      </c>
      <c r="I8" s="43">
        <v>0</v>
      </c>
      <c r="J8" s="43">
        <v>0</v>
      </c>
      <c r="K8" s="63">
        <f t="shared" si="1"/>
        <v>41</v>
      </c>
      <c r="L8" s="124">
        <f>VLOOKUP($B:$B,'[1]3店'!$B:$L,11,0)</f>
        <v>13.7</v>
      </c>
      <c r="M8" s="44">
        <f t="shared" si="2"/>
        <v>561.7</v>
      </c>
      <c r="N8" s="65">
        <f>IFERROR(VLOOKUP(B:B,'3店辅助表'!B:C,2,FALSE),0)</f>
        <v>12</v>
      </c>
      <c r="O8" s="65">
        <f>IFERROR(VLOOKUP(B:B,'3店辅助表'!E:F,2,FALSE),0)</f>
        <v>24</v>
      </c>
      <c r="P8" s="65">
        <f>IFERROR(VLOOKUP(B:B,'3店辅助表'!H:I,2,FALSE),0)</f>
        <v>36</v>
      </c>
      <c r="Q8" s="65">
        <f>IFERROR(VLOOKUP(B:B,'[1]3店'!$B:$N,13,FALSE),0)</f>
        <v>12</v>
      </c>
      <c r="R8" s="79">
        <f t="shared" si="5"/>
        <v>0</v>
      </c>
      <c r="S8" s="80">
        <f t="shared" si="6"/>
        <v>27.246835443038</v>
      </c>
      <c r="T8" s="44">
        <f t="shared" si="7"/>
        <v>0.908227848101266</v>
      </c>
      <c r="U8" s="44">
        <f>IFERROR(VLOOKUP($B:$B,'[1]3店'!$B:$T,19,0),"-")</f>
        <v>1.31838565022422</v>
      </c>
      <c r="V8" s="81">
        <f t="shared" si="8"/>
        <v>-0.410157802122954</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正常</v>
      </c>
      <c r="X8" s="83" t="str">
        <f>_xlfn.IFS(AND(D8&lt;&gt;0,D8-$AM$2&gt;=0,K8&gt;0,D8&lt;&gt;0),"本月刚到货",AND(T8="-",K8&gt;0),"有库存无销量",AND(T8="-",K8=0),"无库存无销量",AND(T8&lt;=0.5,K8=0),"无库存有销量",T8&lt;=0.5,"库存过低",T8&lt;=1.5,"正常",T8&gt;1.5,"库存过高")</f>
        <v>正常</v>
      </c>
      <c r="Y8" s="44">
        <f>IFERROR(SUMIF('3店辅助表'!K:K,B:B,'3店辅助表'!N:N),0)</f>
        <v>0</v>
      </c>
      <c r="Z8" s="44">
        <f>IFERROR(SUMIF('3店辅助表'!T:T,B:B,'3店辅助表'!W:W),0)</f>
        <v>0</v>
      </c>
      <c r="AA8" s="44">
        <f>IFERROR(SUMIF('3店辅助表'!AC:AC,B:B,'3店辅助表'!AF:AF),0)</f>
        <v>0</v>
      </c>
      <c r="AB8" s="91" t="str">
        <f>IFERROR(SUMIF('3店辅助表'!K:K,B:B,'3店辅助表'!N:N)/SUMIF('3店辅助表'!K:K,B:B,'3店辅助表'!O:O),"-")</f>
        <v>-</v>
      </c>
      <c r="AC8" s="91" t="str">
        <f>IFERROR(VLOOKUP(B:B,'[1]3店'!$B:$AB,27,0),"-")</f>
        <v>-</v>
      </c>
      <c r="AD8" s="92" t="str">
        <f t="shared" si="9"/>
        <v>-</v>
      </c>
      <c r="AE8" s="91" t="str">
        <f>IFERROR(SUMIF('3店辅助表'!T:T,B:B,'3店辅助表'!W:W)/SUMIF('3店辅助表'!T:T,B:B,'3店辅助表'!X:X),"-")</f>
        <v>-</v>
      </c>
      <c r="AF8" s="91" t="str">
        <f>IFERROR(SUMIF('3店辅助表'!AC:AC,B:B,'3店辅助表'!AF:AF)/SUMIF('3店辅助表'!AC:AC,B:B,'3店辅助表'!AG:AG),"-")</f>
        <v>-</v>
      </c>
      <c r="AG8" s="99">
        <f>IFERROR(AK8/((SUMIF('3店辅助表'!AT:AT,B:B,'3店辅助表'!AU:AU)+M8)/2),"-")</f>
        <v>0.247422680412371</v>
      </c>
      <c r="AH8" s="99">
        <f>IFERROR(AL8/((SUMIF('3店辅助表'!AW:AW,B:B,'3店辅助表'!AX:AX)+M8)/2),"-")</f>
        <v>0.424778761061947</v>
      </c>
      <c r="AI8" s="100">
        <f>IFERROR((SUMIF('3店辅助表'!AP:AP,B:B,'3店辅助表'!AR:AR)-SUMIF('3店辅助表'!AP:AP,B:B,'3店辅助表'!AR:AR)*0.15-(L8+IFERROR(VLOOKUP(B:B,'3店辅助表'!AZ:BA,2,0),0))*O8-IF(AN:AN="US",6.85,4.9)*(Z8+4.27*O8))/SUMIF('3店辅助表'!AP:AP,B:B,'3店辅助表'!AR:AR),"-")</f>
        <v>0.295763910398392</v>
      </c>
      <c r="AJ8" s="100">
        <f t="shared" si="10"/>
        <v>0.125634227425866</v>
      </c>
      <c r="AK8" s="101">
        <f t="shared" si="3"/>
        <v>164.4</v>
      </c>
      <c r="AL8" s="101">
        <f t="shared" si="4"/>
        <v>328.8</v>
      </c>
      <c r="AM8" s="1" t="str">
        <f>VLOOKUP(B:B,'3店辅助表'!AZ:AZ,1,FALSE)</f>
        <v>E03375-DG+E03380+E03397</v>
      </c>
      <c r="AN8" t="str">
        <f>VLOOKUP(B:B,'3店辅助表'!AZ:BB,3,FALSE)</f>
        <v>US</v>
      </c>
    </row>
    <row r="9" customHeight="1" spans="1:40">
      <c r="A9" s="58" t="str">
        <f>INDEX('[1]3店'!$A:$A,MATCH(B:B,'[1]3店'!$B:$B,0))</f>
        <v>欣彤</v>
      </c>
      <c r="B9" s="43" t="s">
        <v>603</v>
      </c>
      <c r="C9" s="43" t="s">
        <v>604</v>
      </c>
      <c r="D9" s="59"/>
      <c r="E9" s="43" t="s">
        <v>605</v>
      </c>
      <c r="F9" s="43">
        <v>28</v>
      </c>
      <c r="G9" s="43">
        <v>1</v>
      </c>
      <c r="H9" s="43">
        <v>1</v>
      </c>
      <c r="I9" s="43">
        <v>58</v>
      </c>
      <c r="J9" s="43">
        <v>0</v>
      </c>
      <c r="K9" s="63">
        <f t="shared" si="1"/>
        <v>88</v>
      </c>
      <c r="L9" s="124">
        <f>VLOOKUP($B:$B,'[1]3店'!$B:$L,11,0)</f>
        <v>13.7</v>
      </c>
      <c r="M9" s="44">
        <f t="shared" si="2"/>
        <v>1205.6</v>
      </c>
      <c r="N9" s="65">
        <f>IFERROR(VLOOKUP(B:B,'3店辅助表'!B:C,2,FALSE),0)</f>
        <v>21</v>
      </c>
      <c r="O9" s="65">
        <f>IFERROR(VLOOKUP(B:B,'3店辅助表'!E:F,2,FALSE),0)</f>
        <v>40</v>
      </c>
      <c r="P9" s="65">
        <f>IFERROR(VLOOKUP(B:B,'3店辅助表'!H:I,2,FALSE),0)</f>
        <v>67</v>
      </c>
      <c r="Q9" s="65">
        <f>IFERROR(VLOOKUP(B:B,'[1]3店'!$B:$N,13,FALSE),0)</f>
        <v>13</v>
      </c>
      <c r="R9" s="79">
        <f t="shared" si="5"/>
        <v>8</v>
      </c>
      <c r="S9" s="80">
        <f t="shared" si="6"/>
        <v>33.4177215189873</v>
      </c>
      <c r="T9" s="44">
        <f t="shared" si="7"/>
        <v>1.11392405063291</v>
      </c>
      <c r="U9" s="44">
        <f>IFERROR(VLOOKUP($B:$B,'[1]3店'!$B:$T,19,0),"-")</f>
        <v>1.89790794979079</v>
      </c>
      <c r="V9" s="81">
        <f t="shared" si="8"/>
        <v>-0.78398389915788</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正常</v>
      </c>
      <c r="X9" s="83" t="str">
        <f>_xlfn.IFS(AND(D9&lt;&gt;0,D9-$AM$2&gt;=0,K9&gt;0,D9&lt;&gt;0),"本月刚到货",AND(T9="-",K9&gt;0),"有库存无销量",AND(T9="-",K9=0),"无库存无销量",AND(T9&lt;=0.5,K9=0),"无库存有销量",T9&lt;=0.5,"库存过低",T9&lt;=1.5,"正常",T9&gt;1.5,"库存过高")</f>
        <v>正常</v>
      </c>
      <c r="Y9" s="44">
        <f>IFERROR(SUMIF('3店辅助表'!K:K,B:B,'3店辅助表'!N:N),0)</f>
        <v>0</v>
      </c>
      <c r="Z9" s="44">
        <f>IFERROR(SUMIF('3店辅助表'!T:T,B:B,'3店辅助表'!W:W),0)</f>
        <v>0</v>
      </c>
      <c r="AA9" s="44">
        <f>IFERROR(SUMIF('3店辅助表'!AC:AC,B:B,'3店辅助表'!AF:AF),0)</f>
        <v>14.85</v>
      </c>
      <c r="AB9" s="91" t="str">
        <f>IFERROR(SUMIF('3店辅助表'!K:K,B:B,'3店辅助表'!N:N)/SUMIF('3店辅助表'!K:K,B:B,'3店辅助表'!O:O),"-")</f>
        <v>-</v>
      </c>
      <c r="AC9" s="91" t="str">
        <f>IFERROR(VLOOKUP(B:B,'[1]3店'!$B:$AB,27,0),"-")</f>
        <v>-</v>
      </c>
      <c r="AD9" s="92" t="str">
        <f t="shared" si="9"/>
        <v>-</v>
      </c>
      <c r="AE9" s="91" t="str">
        <f>IFERROR(SUMIF('3店辅助表'!T:T,B:B,'3店辅助表'!W:W)/SUMIF('3店辅助表'!T:T,B:B,'3店辅助表'!X:X),"-")</f>
        <v>-</v>
      </c>
      <c r="AF9" s="91">
        <f>IFERROR(SUMIF('3店辅助表'!AC:AC,B:B,'3店辅助表'!AF:AF)/SUMIF('3店辅助表'!AC:AC,B:B,'3店辅助表'!AG:AG),"-")</f>
        <v>0.0758659446204148</v>
      </c>
      <c r="AG9" s="99">
        <f>IFERROR(AK9/((SUMIF('3店辅助表'!AT:AT,B:B,'3店辅助表'!AU:AU)+M9)/2),"-")</f>
        <v>0.214285714285714</v>
      </c>
      <c r="AH9" s="99">
        <f>IFERROR(AL9/((SUMIF('3店辅助表'!AW:AW,B:B,'3店辅助表'!AX:AX)+M9)/2),"-")</f>
        <v>0.551724137931034</v>
      </c>
      <c r="AI9" s="100">
        <f>IFERROR((SUMIF('3店辅助表'!AP:AP,B:B,'3店辅助表'!AR:AR)-SUMIF('3店辅助表'!AP:AP,B:B,'3店辅助表'!AR:AR)*0.15-(L9+IFERROR(VLOOKUP(B:B,'3店辅助表'!AZ:BA,2,0),0))*O9-IF(AN:AN="US",6.85,4.9)*(Z9+4.27*O9))/SUMIF('3店辅助表'!AP:AP,B:B,'3店辅助表'!AR:AR),"-")</f>
        <v>0.278189019988458</v>
      </c>
      <c r="AJ9" s="100">
        <f t="shared" si="10"/>
        <v>0.153483597235011</v>
      </c>
      <c r="AK9" s="101">
        <f t="shared" si="3"/>
        <v>287.7</v>
      </c>
      <c r="AL9" s="101">
        <f t="shared" si="4"/>
        <v>548</v>
      </c>
      <c r="AM9" s="1" t="str">
        <f>VLOOKUP(B:B,'3店辅助表'!AZ:AZ,1,FALSE)</f>
        <v>E03375-NB+E03380+E03397</v>
      </c>
      <c r="AN9" t="str">
        <f>VLOOKUP(B:B,'3店辅助表'!AZ:BB,3,FALSE)</f>
        <v>US</v>
      </c>
    </row>
    <row r="10" customHeight="1" spans="1:40">
      <c r="A10" s="58" t="str">
        <f>INDEX('[1]3店'!$A:$A,MATCH(B:B,'[1]3店'!$B:$B,0))</f>
        <v>欣彤</v>
      </c>
      <c r="B10" s="43" t="s">
        <v>606</v>
      </c>
      <c r="C10" s="43" t="s">
        <v>607</v>
      </c>
      <c r="D10" s="59"/>
      <c r="E10" s="43" t="s">
        <v>608</v>
      </c>
      <c r="F10" s="43">
        <v>47</v>
      </c>
      <c r="G10" s="43">
        <v>6</v>
      </c>
      <c r="H10" s="43">
        <v>30</v>
      </c>
      <c r="I10" s="43">
        <v>0</v>
      </c>
      <c r="J10" s="43">
        <v>0</v>
      </c>
      <c r="K10" s="63">
        <f t="shared" si="1"/>
        <v>83</v>
      </c>
      <c r="L10" s="124">
        <f>VLOOKUP($B:$B,'[1]3店'!$B:$L,11,0)</f>
        <v>13.7</v>
      </c>
      <c r="M10" s="44">
        <f t="shared" si="2"/>
        <v>1137.1</v>
      </c>
      <c r="N10" s="65">
        <f>IFERROR(VLOOKUP(B:B,'3店辅助表'!B:C,2,FALSE),0)</f>
        <v>8</v>
      </c>
      <c r="O10" s="65">
        <f>IFERROR(VLOOKUP(B:B,'3店辅助表'!E:F,2,FALSE),0)</f>
        <v>11</v>
      </c>
      <c r="P10" s="65">
        <f>IFERROR(VLOOKUP(B:B,'3店辅助表'!H:I,2,FALSE),0)</f>
        <v>60</v>
      </c>
      <c r="Q10" s="65">
        <f>IFERROR(VLOOKUP(B:B,'[1]3店'!$B:$N,13,FALSE),0)</f>
        <v>2</v>
      </c>
      <c r="R10" s="79">
        <f t="shared" si="5"/>
        <v>6</v>
      </c>
      <c r="S10" s="80">
        <f t="shared" si="6"/>
        <v>64.2383292383292</v>
      </c>
      <c r="T10" s="44">
        <f t="shared" si="7"/>
        <v>2.14127764127764</v>
      </c>
      <c r="U10" s="44">
        <f>IFERROR(VLOOKUP($B:$B,'[1]3店'!$B:$T,19,0),"-")</f>
        <v>2.07920792079208</v>
      </c>
      <c r="V10" s="81">
        <f t="shared" si="8"/>
        <v>0.0620697204855598</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库存过高</v>
      </c>
      <c r="X10" s="83" t="str">
        <f>_xlfn.IFS(AND(D10&lt;&gt;0,D10-$AM$2&gt;=0,K10&gt;0,D10&lt;&gt;0),"本月刚到货",AND(T10="-",K10&gt;0),"有库存无销量",AND(T10="-",K10=0),"无库存无销量",AND(T10&lt;=0.5,K10=0),"无库存有销量",T10&lt;=0.5,"库存过低",T10&lt;=1.5,"正常",T10&gt;1.5,"库存过高")</f>
        <v>库存过高</v>
      </c>
      <c r="Y10" s="44">
        <f>IFERROR(SUMIF('3店辅助表'!K:K,B:B,'3店辅助表'!N:N),0)</f>
        <v>0</v>
      </c>
      <c r="Z10" s="44">
        <f>IFERROR(SUMIF('3店辅助表'!T:T,B:B,'3店辅助表'!W:W),0)</f>
        <v>0</v>
      </c>
      <c r="AA10" s="44">
        <f>IFERROR(SUMIF('3店辅助表'!AC:AC,B:B,'3店辅助表'!AF:AF),0)</f>
        <v>0</v>
      </c>
      <c r="AB10" s="91" t="str">
        <f>IFERROR(SUMIF('3店辅助表'!K:K,B:B,'3店辅助表'!N:N)/SUMIF('3店辅助表'!K:K,B:B,'3店辅助表'!O:O),"-")</f>
        <v>-</v>
      </c>
      <c r="AC10" s="91" t="str">
        <f>IFERROR(VLOOKUP(B:B,'[1]3店'!$B:$AB,27,0),"-")</f>
        <v>-</v>
      </c>
      <c r="AD10" s="92" t="str">
        <f t="shared" si="9"/>
        <v>-</v>
      </c>
      <c r="AE10" s="91" t="str">
        <f>IFERROR(SUMIF('3店辅助表'!T:T,B:B,'3店辅助表'!W:W)/SUMIF('3店辅助表'!T:T,B:B,'3店辅助表'!X:X),"-")</f>
        <v>-</v>
      </c>
      <c r="AF10" s="91" t="str">
        <f>IFERROR(SUMIF('3店辅助表'!AC:AC,B:B,'3店辅助表'!AF:AF)/SUMIF('3店辅助表'!AC:AC,B:B,'3店辅助表'!AG:AG),"-")</f>
        <v>-</v>
      </c>
      <c r="AG10" s="99">
        <f>IFERROR(AK10/((SUMIF('3店辅助表'!AT:AT,B:B,'3店辅助表'!AU:AU)+M10)/2),"-")</f>
        <v>0.111888111888112</v>
      </c>
      <c r="AH10" s="99">
        <f>IFERROR(AL10/((SUMIF('3店辅助表'!AW:AW,B:B,'3店辅助表'!AX:AX)+M10)/2),"-")</f>
        <v>0.118918918918919</v>
      </c>
      <c r="AI10" s="100">
        <f>IFERROR((SUMIF('3店辅助表'!AP:AP,B:B,'3店辅助表'!AR:AR)-SUMIF('3店辅助表'!AP:AP,B:B,'3店辅助表'!AR:AR)*0.15-(L10+IFERROR(VLOOKUP(B:B,'3店辅助表'!AZ:BA,2,0),0))*O10-IF(AN:AN="US",6.85,4.9)*(Z10+4.27*O10))/SUMIF('3店辅助表'!AP:AP,B:B,'3店辅助表'!AR:AR),"-")</f>
        <v>0.291580773958661</v>
      </c>
      <c r="AJ10" s="100">
        <f t="shared" si="10"/>
        <v>0.0346744704167056</v>
      </c>
      <c r="AK10" s="101">
        <f t="shared" si="3"/>
        <v>109.6</v>
      </c>
      <c r="AL10" s="101">
        <f t="shared" si="4"/>
        <v>150.7</v>
      </c>
      <c r="AM10" s="1" t="str">
        <f>VLOOKUP(B:B,'3店辅助表'!AZ:AZ,1,FALSE)</f>
        <v>E03375-OR+E03380+E03397</v>
      </c>
      <c r="AN10" t="str">
        <f>VLOOKUP(B:B,'3店辅助表'!AZ:BB,3,FALSE)</f>
        <v>US</v>
      </c>
    </row>
    <row r="11" customHeight="1" spans="1:40">
      <c r="A11" s="58" t="str">
        <f>INDEX('[1]3店'!$A:$A,MATCH(B:B,'[1]3店'!$B:$B,0))</f>
        <v>欣彤</v>
      </c>
      <c r="B11" s="43" t="s">
        <v>609</v>
      </c>
      <c r="C11" s="43" t="s">
        <v>610</v>
      </c>
      <c r="D11" s="59"/>
      <c r="E11" s="43" t="s">
        <v>611</v>
      </c>
      <c r="F11" s="43">
        <v>29</v>
      </c>
      <c r="G11" s="43">
        <v>0</v>
      </c>
      <c r="H11" s="43">
        <v>0</v>
      </c>
      <c r="I11" s="43">
        <v>0</v>
      </c>
      <c r="J11" s="43">
        <v>0</v>
      </c>
      <c r="K11" s="63">
        <f t="shared" si="1"/>
        <v>29</v>
      </c>
      <c r="L11" s="124">
        <f>VLOOKUP($B:$B,'[1]3店'!$B:$L,11,0)</f>
        <v>13.7</v>
      </c>
      <c r="M11" s="44">
        <f t="shared" si="2"/>
        <v>397.3</v>
      </c>
      <c r="N11" s="65">
        <f>IFERROR(VLOOKUP(B:B,'3店辅助表'!B:C,2,FALSE),0)</f>
        <v>5</v>
      </c>
      <c r="O11" s="65">
        <f>IFERROR(VLOOKUP(B:B,'3店辅助表'!E:F,2,FALSE),0)</f>
        <v>17</v>
      </c>
      <c r="P11" s="65">
        <f>IFERROR(VLOOKUP(B:B,'3店辅助表'!H:I,2,FALSE),0)</f>
        <v>23</v>
      </c>
      <c r="Q11" s="65">
        <f>IFERROR(VLOOKUP(B:B,'[1]3店'!$B:$N,13,FALSE),0)</f>
        <v>7</v>
      </c>
      <c r="R11" s="79">
        <f t="shared" si="5"/>
        <v>-2</v>
      </c>
      <c r="S11" s="80">
        <f t="shared" si="6"/>
        <v>33.2786885245902</v>
      </c>
      <c r="T11" s="44">
        <f t="shared" si="7"/>
        <v>1.10928961748634</v>
      </c>
      <c r="U11" s="44">
        <f>IFERROR(VLOOKUP($B:$B,'[1]3店'!$B:$T,19,0),"-")</f>
        <v>1.20731707317073</v>
      </c>
      <c r="V11" s="81">
        <f t="shared" si="8"/>
        <v>-0.0980274556843899</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正常</v>
      </c>
      <c r="X11" s="83" t="str">
        <f>_xlfn.IFS(AND(D11&lt;&gt;0,D11-$AM$2&gt;=0,K11&gt;0,D11&lt;&gt;0),"本月刚到货",AND(T11="-",K11&gt;0),"有库存无销量",AND(T11="-",K11=0),"无库存无销量",AND(T11&lt;=0.5,K11=0),"无库存有销量",T11&lt;=0.5,"库存过低",T11&lt;=1.5,"正常",T11&gt;1.5,"库存过高")</f>
        <v>正常</v>
      </c>
      <c r="Y11" s="44">
        <f>IFERROR(SUMIF('3店辅助表'!K:K,B:B,'3店辅助表'!N:N),0)</f>
        <v>0</v>
      </c>
      <c r="Z11" s="44">
        <f>IFERROR(SUMIF('3店辅助表'!T:T,B:B,'3店辅助表'!W:W),0)</f>
        <v>0</v>
      </c>
      <c r="AA11" s="44">
        <f>IFERROR(SUMIF('3店辅助表'!AC:AC,B:B,'3店辅助表'!AF:AF),0)</f>
        <v>0</v>
      </c>
      <c r="AB11" s="91" t="str">
        <f>IFERROR(SUMIF('3店辅助表'!K:K,B:B,'3店辅助表'!N:N)/SUMIF('3店辅助表'!K:K,B:B,'3店辅助表'!O:O),"-")</f>
        <v>-</v>
      </c>
      <c r="AC11" s="91" t="str">
        <f>IFERROR(VLOOKUP(B:B,'[1]3店'!$B:$AB,27,0),"-")</f>
        <v>-</v>
      </c>
      <c r="AD11" s="92" t="str">
        <f t="shared" si="9"/>
        <v>-</v>
      </c>
      <c r="AE11" s="91" t="str">
        <f>IFERROR(SUMIF('3店辅助表'!T:T,B:B,'3店辅助表'!W:W)/SUMIF('3店辅助表'!T:T,B:B,'3店辅助表'!X:X),"-")</f>
        <v>-</v>
      </c>
      <c r="AF11" s="91" t="str">
        <f>IFERROR(SUMIF('3店辅助表'!AC:AC,B:B,'3店辅助表'!AF:AF)/SUMIF('3店辅助表'!AC:AC,B:B,'3店辅助表'!AG:AG),"-")</f>
        <v>-</v>
      </c>
      <c r="AG11" s="99">
        <f>IFERROR(AK11/((SUMIF('3店辅助表'!AT:AT,B:B,'3店辅助表'!AU:AU)+M11)/2),"-")</f>
        <v>0.161290322580645</v>
      </c>
      <c r="AH11" s="99">
        <f>IFERROR(AL11/((SUMIF('3店辅助表'!AW:AW,B:B,'3店辅助表'!AX:AX)+M11)/2),"-")</f>
        <v>0.492753623188406</v>
      </c>
      <c r="AI11" s="100">
        <f>IFERROR((SUMIF('3店辅助表'!AP:AP,B:B,'3店辅助表'!AR:AR)-SUMIF('3店辅助表'!AP:AP,B:B,'3店辅助表'!AR:AR)*0.15-(L11+IFERROR(VLOOKUP(B:B,'3店辅助表'!AZ:BA,2,0),0))*O11-IF(AN:AN="US",6.85,4.9)*(Z11+4.27*O11))/SUMIF('3店辅助表'!AP:AP,B:B,'3店辅助表'!AR:AR),"-")</f>
        <v>0.271264352930867</v>
      </c>
      <c r="AJ11" s="100">
        <f t="shared" si="10"/>
        <v>0.133666492748543</v>
      </c>
      <c r="AK11" s="101">
        <f t="shared" si="3"/>
        <v>68.5</v>
      </c>
      <c r="AL11" s="101">
        <f t="shared" si="4"/>
        <v>232.9</v>
      </c>
      <c r="AM11" s="1" t="str">
        <f>VLOOKUP(B:B,'3店辅助表'!AZ:AZ,1,FALSE)</f>
        <v>E03375-TG+E03380+E03397</v>
      </c>
      <c r="AN11" t="str">
        <f>VLOOKUP(B:B,'3店辅助表'!AZ:BB,3,FALSE)</f>
        <v>US</v>
      </c>
    </row>
    <row r="12" customHeight="1" spans="1:40">
      <c r="A12" s="58" t="str">
        <f>INDEX('[1]3店'!$A:$A,MATCH(B:B,'[1]3店'!$B:$B,0))</f>
        <v>欣彤</v>
      </c>
      <c r="B12" s="43" t="s">
        <v>612</v>
      </c>
      <c r="C12" s="43" t="s">
        <v>613</v>
      </c>
      <c r="D12" s="59"/>
      <c r="E12" s="43" t="s">
        <v>614</v>
      </c>
      <c r="F12" s="43">
        <v>0</v>
      </c>
      <c r="G12" s="43">
        <v>0</v>
      </c>
      <c r="H12" s="43">
        <v>26</v>
      </c>
      <c r="I12" s="43">
        <v>0</v>
      </c>
      <c r="J12" s="43">
        <v>0</v>
      </c>
      <c r="K12" s="63">
        <f t="shared" si="1"/>
        <v>26</v>
      </c>
      <c r="L12" s="124">
        <f>VLOOKUP($B:$B,'[1]3店'!$B:$L,11,0)</f>
        <v>13.7</v>
      </c>
      <c r="M12" s="44">
        <f t="shared" si="2"/>
        <v>356.2</v>
      </c>
      <c r="N12" s="65">
        <f>IFERROR(VLOOKUP(B:B,'3店辅助表'!B:C,2,FALSE),0)</f>
        <v>3</v>
      </c>
      <c r="O12" s="65">
        <f>IFERROR(VLOOKUP(B:B,'3店辅助表'!E:F,2,FALSE),0)</f>
        <v>4</v>
      </c>
      <c r="P12" s="65">
        <f>IFERROR(VLOOKUP(B:B,'3店辅助表'!H:I,2,FALSE),0)</f>
        <v>8</v>
      </c>
      <c r="Q12" s="65">
        <f>IFERROR(VLOOKUP(B:B,'[1]3店'!$B:$N,13,FALSE),0)</f>
        <v>1</v>
      </c>
      <c r="R12" s="79">
        <f t="shared" si="5"/>
        <v>2</v>
      </c>
      <c r="S12" s="80">
        <f t="shared" si="6"/>
        <v>81.0891089108911</v>
      </c>
      <c r="T12" s="44">
        <f t="shared" si="7"/>
        <v>2.7029702970297</v>
      </c>
      <c r="U12" s="44">
        <f>IFERROR(VLOOKUP($B:$B,'[1]3店'!$B:$T,19,0),"-")</f>
        <v>0</v>
      </c>
      <c r="V12" s="81">
        <f t="shared" si="8"/>
        <v>2.7029702970297</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库存过高</v>
      </c>
      <c r="X12" s="83" t="str">
        <f>_xlfn.IFS(AND(D12&lt;&gt;0,D12-$AM$2&gt;=0,K12&gt;0,D12&lt;&gt;0),"本月刚到货",AND(T12="-",K12&gt;0),"有库存无销量",AND(T12="-",K12=0),"无库存无销量",AND(T12&lt;=0.5,K12=0),"无库存有销量",T12&lt;=0.5,"库存过低",T12&lt;=1.5,"正常",T12&gt;1.5,"库存过高")</f>
        <v>库存过高</v>
      </c>
      <c r="Y12" s="44">
        <f>IFERROR(SUMIF('3店辅助表'!K:K,B:B,'3店辅助表'!N:N),0)</f>
        <v>13.72</v>
      </c>
      <c r="Z12" s="44">
        <f>IFERROR(SUMIF('3店辅助表'!T:T,B:B,'3店辅助表'!W:W),0)</f>
        <v>16.76</v>
      </c>
      <c r="AA12" s="44">
        <f>IFERROR(SUMIF('3店辅助表'!AC:AC,B:B,'3店辅助表'!AF:AF),0)</f>
        <v>33.18</v>
      </c>
      <c r="AB12" s="91">
        <f>IFERROR(SUMIF('3店辅助表'!K:K,B:B,'3店辅助表'!N:N)/SUMIF('3店辅助表'!K:K,B:B,'3店辅助表'!O:O),"-")</f>
        <v>0.150885296381832</v>
      </c>
      <c r="AC12" s="91">
        <f>IFERROR(VLOOKUP(B:B,'[1]3店'!$B:$AB,27,0),"-")</f>
        <v>0.304304304304304</v>
      </c>
      <c r="AD12" s="92">
        <f t="shared" si="9"/>
        <v>-0.153419007922472</v>
      </c>
      <c r="AE12" s="91">
        <f>IFERROR(SUMIF('3店辅助表'!T:T,B:B,'3店辅助表'!W:W)/SUMIF('3店辅助表'!T:T,B:B,'3店辅助表'!X:X),"-")</f>
        <v>0.16607213634562</v>
      </c>
      <c r="AF12" s="91">
        <f>IFERROR(SUMIF('3店辅助表'!AC:AC,B:B,'3店辅助表'!AF:AF)/SUMIF('3店辅助表'!AC:AC,B:B,'3店辅助表'!AG:AG),"-")</f>
        <v>0.24238439623055</v>
      </c>
      <c r="AG12" s="99">
        <f>IFERROR(AK12/((SUMIF('3店辅助表'!AT:AT,B:B,'3店辅助表'!AU:AU)+M12)/2),"-")</f>
        <v>0.230769230769231</v>
      </c>
      <c r="AH12" s="99">
        <f>IFERROR(AL12/((SUMIF('3店辅助表'!AW:AW,B:B,'3店辅助表'!AX:AX)+M12)/2),"-")</f>
        <v>0.266666666666667</v>
      </c>
      <c r="AI12" s="100">
        <f>IFERROR((SUMIF('3店辅助表'!AP:AP,B:B,'3店辅助表'!AR:AR)-SUMIF('3店辅助表'!AP:AP,B:B,'3店辅助表'!AR:AR)*0.15-(L12+IFERROR(VLOOKUP(B:B,'3店辅助表'!AZ:BA,2,0),0))*O12-IF(AN:AN="US",6.85,4.9)*(Z12+4.27*O12))/SUMIF('3店辅助表'!AP:AP,B:B,'3店辅助表'!AR:AR),"-")</f>
        <v>-0.082767997710033</v>
      </c>
      <c r="AJ12" s="100">
        <f t="shared" si="10"/>
        <v>-0.0220714660560088</v>
      </c>
      <c r="AK12" s="101">
        <f t="shared" si="3"/>
        <v>41.1</v>
      </c>
      <c r="AL12" s="101">
        <f t="shared" si="4"/>
        <v>54.8</v>
      </c>
      <c r="AM12" s="1" t="str">
        <f>VLOOKUP(B:B,'3店辅助表'!AZ:AZ,1,FALSE)</f>
        <v>E03386-BL+E03268-02</v>
      </c>
      <c r="AN12" t="str">
        <f>VLOOKUP(B:B,'3店辅助表'!AZ:BB,3,FALSE)</f>
        <v>US</v>
      </c>
    </row>
    <row r="13" customHeight="1" spans="1:40">
      <c r="A13" s="58" t="str">
        <f>INDEX('[1]3店'!$A:$A,MATCH(B:B,'[1]3店'!$B:$B,0))</f>
        <v>欣彤</v>
      </c>
      <c r="B13" s="43" t="s">
        <v>615</v>
      </c>
      <c r="C13" s="43" t="s">
        <v>616</v>
      </c>
      <c r="D13" s="59"/>
      <c r="E13" s="43" t="s">
        <v>617</v>
      </c>
      <c r="F13" s="43">
        <v>0</v>
      </c>
      <c r="G13" s="43">
        <v>0</v>
      </c>
      <c r="H13" s="43">
        <v>15</v>
      </c>
      <c r="I13" s="43">
        <v>0</v>
      </c>
      <c r="J13" s="43">
        <v>0</v>
      </c>
      <c r="K13" s="63">
        <f t="shared" si="1"/>
        <v>15</v>
      </c>
      <c r="L13" s="124">
        <f>VLOOKUP($B:$B,'[1]3店'!$B:$L,11,0)</f>
        <v>13.7</v>
      </c>
      <c r="M13" s="44">
        <f t="shared" si="2"/>
        <v>205.5</v>
      </c>
      <c r="N13" s="65">
        <f>IFERROR(VLOOKUP(B:B,'3店辅助表'!B:C,2,FALSE),0)</f>
        <v>4</v>
      </c>
      <c r="O13" s="65">
        <f>IFERROR(VLOOKUP(B:B,'3店辅助表'!E:F,2,FALSE),0)</f>
        <v>8</v>
      </c>
      <c r="P13" s="65">
        <f>IFERROR(VLOOKUP(B:B,'3店辅助表'!H:I,2,FALSE),0)</f>
        <v>11</v>
      </c>
      <c r="Q13" s="65">
        <f>IFERROR(VLOOKUP(B:B,'[1]3店'!$B:$N,13,FALSE),0)</f>
        <v>2</v>
      </c>
      <c r="R13" s="79">
        <f t="shared" si="5"/>
        <v>2</v>
      </c>
      <c r="S13" s="80">
        <f t="shared" si="6"/>
        <v>30.5825242718447</v>
      </c>
      <c r="T13" s="44">
        <f t="shared" si="7"/>
        <v>1.01941747572816</v>
      </c>
      <c r="U13" s="44">
        <f>IFERROR(VLOOKUP($B:$B,'[1]3店'!$B:$T,19,0),"-")</f>
        <v>0.35195530726257</v>
      </c>
      <c r="V13" s="81">
        <f t="shared" si="8"/>
        <v>0.66746216846559</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正常</v>
      </c>
      <c r="X13" s="83" t="str">
        <f>_xlfn.IFS(AND(D13&lt;&gt;0,D13-$AM$2&gt;=0,K13&gt;0,D13&lt;&gt;0),"本月刚到货",AND(T13="-",K13&gt;0),"有库存无销量",AND(T13="-",K13=0),"无库存无销量",AND(T13&lt;=0.5,K13=0),"无库存有销量",T13&lt;=0.5,"库存过低",T13&lt;=1.5,"正常",T13&gt;1.5,"库存过高")</f>
        <v>正常</v>
      </c>
      <c r="Y13" s="44">
        <f>IFERROR(SUMIF('3店辅助表'!K:K,B:B,'3店辅助表'!N:N),0)</f>
        <v>7.77</v>
      </c>
      <c r="Z13" s="44">
        <f>IFERROR(SUMIF('3店辅助表'!T:T,B:B,'3店辅助表'!W:W),0)</f>
        <v>14.97</v>
      </c>
      <c r="AA13" s="44">
        <f>IFERROR(SUMIF('3店辅助表'!AC:AC,B:B,'3店辅助表'!AF:AF),0)</f>
        <v>21.24</v>
      </c>
      <c r="AB13" s="91">
        <f>IFERROR(SUMIF('3店辅助表'!K:K,B:B,'3店辅助表'!N:N)/SUMIF('3店辅助表'!K:K,B:B,'3店辅助表'!O:O),"-")</f>
        <v>0.598152424942263</v>
      </c>
      <c r="AC13" s="91">
        <f>IFERROR(VLOOKUP(B:B,'[1]3店'!$B:$AB,27,0),"-")</f>
        <v>0.248957464553795</v>
      </c>
      <c r="AD13" s="92">
        <f t="shared" si="9"/>
        <v>0.349194960388468</v>
      </c>
      <c r="AE13" s="91">
        <f>IFERROR(SUMIF('3店辅助表'!T:T,B:B,'3店辅助表'!W:W)/SUMIF('3店辅助表'!T:T,B:B,'3店辅助表'!X:X),"-")</f>
        <v>0.404922910467947</v>
      </c>
      <c r="AF13" s="91">
        <f>IFERROR(SUMIF('3店辅助表'!AC:AC,B:B,'3店辅助表'!AF:AF)/SUMIF('3店辅助表'!AC:AC,B:B,'3店辅助表'!AG:AG),"-")</f>
        <v>0.287259940492291</v>
      </c>
      <c r="AG13" s="99">
        <f>IFERROR(AK13/((SUMIF('3店辅助表'!AT:AT,B:B,'3店辅助表'!AU:AU)+M13)/2),"-")</f>
        <v>0.444444444444444</v>
      </c>
      <c r="AH13" s="99">
        <f>IFERROR(AL13/((SUMIF('3店辅助表'!AW:AW,B:B,'3店辅助表'!AX:AX)+M13)/2),"-")</f>
        <v>0.64</v>
      </c>
      <c r="AI13" s="100">
        <f>IFERROR((SUMIF('3店辅助表'!AP:AP,B:B,'3店辅助表'!AR:AR)-SUMIF('3店辅助表'!AP:AP,B:B,'3店辅助表'!AR:AR)*0.15-(L13+IFERROR(VLOOKUP(B:B,'3店辅助表'!AZ:BA,2,0),0))*O13-IF(AN:AN="US",6.85,4.9)*(Z13+4.27*O13))/SUMIF('3店辅助表'!AP:AP,B:B,'3店辅助表'!AR:AR),"-")</f>
        <v>0.114023627661253</v>
      </c>
      <c r="AJ13" s="100">
        <f t="shared" si="10"/>
        <v>0.0729751217032021</v>
      </c>
      <c r="AK13" s="101">
        <f t="shared" si="3"/>
        <v>54.8</v>
      </c>
      <c r="AL13" s="101">
        <f t="shared" si="4"/>
        <v>109.6</v>
      </c>
      <c r="AM13" s="1" t="str">
        <f>VLOOKUP(B:B,'3店辅助表'!AZ:AZ,1,FALSE)</f>
        <v>E03386-NB+E03268-02</v>
      </c>
      <c r="AN13" t="str">
        <f>VLOOKUP(B:B,'3店辅助表'!AZ:BB,3,FALSE)</f>
        <v>US</v>
      </c>
    </row>
    <row r="14" customHeight="1" spans="1:40">
      <c r="A14" s="58" t="str">
        <f>INDEX('[1]3店'!$A:$A,MATCH(B:B,'[1]3店'!$B:$B,0))</f>
        <v>欣彤</v>
      </c>
      <c r="B14" s="43" t="s">
        <v>618</v>
      </c>
      <c r="C14" s="43" t="s">
        <v>619</v>
      </c>
      <c r="D14" s="59"/>
      <c r="E14" s="43" t="s">
        <v>620</v>
      </c>
      <c r="F14" s="43">
        <v>10</v>
      </c>
      <c r="G14" s="43">
        <v>0</v>
      </c>
      <c r="H14" s="43">
        <v>14</v>
      </c>
      <c r="I14" s="43">
        <v>0</v>
      </c>
      <c r="J14" s="43">
        <v>0</v>
      </c>
      <c r="K14" s="63">
        <f t="shared" si="1"/>
        <v>24</v>
      </c>
      <c r="L14" s="124">
        <f>VLOOKUP($B:$B,'[1]3店'!$B:$L,11,0)</f>
        <v>13.7</v>
      </c>
      <c r="M14" s="44">
        <f t="shared" si="2"/>
        <v>328.8</v>
      </c>
      <c r="N14" s="65">
        <f>IFERROR(VLOOKUP(B:B,'3店辅助表'!B:C,2,FALSE),0)</f>
        <v>0</v>
      </c>
      <c r="O14" s="65">
        <f>IFERROR(VLOOKUP(B:B,'3店辅助表'!E:F,2,FALSE),0)</f>
        <v>1</v>
      </c>
      <c r="P14" s="65">
        <f>IFERROR(VLOOKUP(B:B,'3店辅助表'!H:I,2,FALSE),0)</f>
        <v>6</v>
      </c>
      <c r="Q14" s="65">
        <f>IFERROR(VLOOKUP(B:B,'[1]3店'!$B:$N,13,FALSE),0)</f>
        <v>1</v>
      </c>
      <c r="R14" s="79">
        <f t="shared" si="5"/>
        <v>-1</v>
      </c>
      <c r="S14" s="80">
        <f t="shared" si="6"/>
        <v>270</v>
      </c>
      <c r="T14" s="44">
        <f t="shared" si="7"/>
        <v>9</v>
      </c>
      <c r="U14" s="44">
        <f>IFERROR(VLOOKUP($B:$B,'[1]3店'!$B:$T,19,0),"-")</f>
        <v>1.73553719008264</v>
      </c>
      <c r="V14" s="81">
        <f t="shared" si="8"/>
        <v>7.26446280991736</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有库存无销量</v>
      </c>
      <c r="X14" s="83" t="str">
        <f>_xlfn.IFS(AND(D14&lt;&gt;0,D14-$AM$2&gt;=0,K14&gt;0,D14&lt;&gt;0),"本月刚到货",AND(T14="-",K14&gt;0),"有库存无销量",AND(T14="-",K14=0),"无库存无销量",AND(T14&lt;=0.5,K14=0),"无库存有销量",T14&lt;=0.5,"库存过低",T14&lt;=1.5,"正常",T14&gt;1.5,"库存过高")</f>
        <v>库存过高</v>
      </c>
      <c r="Y14" s="44">
        <f>IFERROR(SUMIF('3店辅助表'!K:K,B:B,'3店辅助表'!N:N),0)</f>
        <v>1.73</v>
      </c>
      <c r="Z14" s="44">
        <f>IFERROR(SUMIF('3店辅助表'!T:T,B:B,'3店辅助表'!W:W),0)</f>
        <v>6.08</v>
      </c>
      <c r="AA14" s="44">
        <f>IFERROR(SUMIF('3店辅助表'!AC:AC,B:B,'3店辅助表'!AF:AF),0)</f>
        <v>15.01</v>
      </c>
      <c r="AB14" s="91" t="str">
        <f>IFERROR(SUMIF('3店辅助表'!K:K,B:B,'3店辅助表'!N:N)/SUMIF('3店辅助表'!K:K,B:B,'3店辅助表'!O:O),"-")</f>
        <v>-</v>
      </c>
      <c r="AC14" s="91">
        <f>IFERROR(VLOOKUP(B:B,'[1]3店'!$B:$AB,27,0),"-")</f>
        <v>0.329441201000834</v>
      </c>
      <c r="AD14" s="92" t="str">
        <f t="shared" si="9"/>
        <v>-</v>
      </c>
      <c r="AE14" s="91">
        <f>IFERROR(SUMIF('3店辅助表'!T:T,B:B,'3店辅助表'!W:W)/SUMIF('3店辅助表'!T:T,B:B,'3店辅助表'!X:X),"-")</f>
        <v>0.507089241034195</v>
      </c>
      <c r="AF14" s="91">
        <f>IFERROR(SUMIF('3店辅助表'!AC:AC,B:B,'3店辅助表'!AF:AF)/SUMIF('3店辅助表'!AC:AC,B:B,'3店辅助表'!AG:AG),"-")</f>
        <v>0.625938281901585</v>
      </c>
      <c r="AG14" s="99">
        <f>IFERROR(AK14/((SUMIF('3店辅助表'!AT:AT,B:B,'3店辅助表'!AU:AU)+M14)/2),"-")</f>
        <v>0</v>
      </c>
      <c r="AH14" s="99">
        <f>IFERROR(AL14/((SUMIF('3店辅助表'!AW:AW,B:B,'3店辅助表'!AX:AX)+M14)/2),"-")</f>
        <v>0.05</v>
      </c>
      <c r="AI14" s="100">
        <f>IFERROR((SUMIF('3店辅助表'!AP:AP,B:B,'3店辅助表'!AR:AR)-SUMIF('3店辅助表'!AP:AP,B:B,'3店辅助表'!AR:AR)*0.15-(L14+IFERROR(VLOOKUP(B:B,'3店辅助表'!AZ:BA,2,0),0))*O14-IF(AN:AN="US",6.85,4.9)*(Z14+4.27*O14))/SUMIF('3店辅助表'!AP:AP,B:B,'3店辅助表'!AR:AR),"-")</f>
        <v>-0.259434260910856</v>
      </c>
      <c r="AJ14" s="100">
        <f t="shared" si="10"/>
        <v>-0.0129717130455428</v>
      </c>
      <c r="AK14" s="101">
        <f t="shared" si="3"/>
        <v>0</v>
      </c>
      <c r="AL14" s="101">
        <f t="shared" si="4"/>
        <v>13.7</v>
      </c>
      <c r="AM14" s="1" t="str">
        <f>VLOOKUP(B:B,'3店辅助表'!AZ:AZ,1,FALSE)</f>
        <v>E03386-OR+E03268-02</v>
      </c>
      <c r="AN14" t="str">
        <f>VLOOKUP(B:B,'3店辅助表'!AZ:BB,3,FALSE)</f>
        <v>US</v>
      </c>
    </row>
    <row r="15" customHeight="1" spans="1:40">
      <c r="A15" s="58" t="str">
        <f>INDEX('[1]3店'!$A:$A,MATCH(B:B,'[1]3店'!$B:$B,0))</f>
        <v>欣彤</v>
      </c>
      <c r="B15" s="43" t="s">
        <v>621</v>
      </c>
      <c r="C15" s="43" t="s">
        <v>622</v>
      </c>
      <c r="D15" s="59"/>
      <c r="E15" s="43" t="s">
        <v>623</v>
      </c>
      <c r="F15" s="43">
        <v>34</v>
      </c>
      <c r="G15" s="43">
        <v>1</v>
      </c>
      <c r="H15" s="43">
        <v>0</v>
      </c>
      <c r="I15" s="43">
        <v>1</v>
      </c>
      <c r="J15" s="43">
        <v>0</v>
      </c>
      <c r="K15" s="63">
        <f t="shared" si="1"/>
        <v>36</v>
      </c>
      <c r="L15" s="124">
        <f>VLOOKUP($B:$B,'[1]3店'!$B:$L,11,0)</f>
        <v>13.7</v>
      </c>
      <c r="M15" s="44">
        <f t="shared" si="2"/>
        <v>493.2</v>
      </c>
      <c r="N15" s="65">
        <f>IFERROR(VLOOKUP(B:B,'3店辅助表'!B:C,2,FALSE),0)</f>
        <v>4</v>
      </c>
      <c r="O15" s="65">
        <f>IFERROR(VLOOKUP(B:B,'3店辅助表'!E:F,2,FALSE),0)</f>
        <v>9</v>
      </c>
      <c r="P15" s="65">
        <f>IFERROR(VLOOKUP(B:B,'3店辅助表'!H:I,2,FALSE),0)</f>
        <v>21</v>
      </c>
      <c r="Q15" s="65">
        <f>IFERROR(VLOOKUP(B:B,'[1]3店'!$B:$N,13,FALSE),0)</f>
        <v>5</v>
      </c>
      <c r="R15" s="79">
        <f t="shared" si="5"/>
        <v>-1</v>
      </c>
      <c r="S15" s="80">
        <f t="shared" si="6"/>
        <v>57.7099236641221</v>
      </c>
      <c r="T15" s="44">
        <f t="shared" si="7"/>
        <v>1.9236641221374</v>
      </c>
      <c r="U15" s="44">
        <f>IFERROR(VLOOKUP($B:$B,'[1]3店'!$B:$T,19,0),"-")</f>
        <v>2.08108108108108</v>
      </c>
      <c r="V15" s="81">
        <f t="shared" si="8"/>
        <v>-0.15741695894368</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库存过高</v>
      </c>
      <c r="X15" s="83" t="str">
        <f>_xlfn.IFS(AND(D15&lt;&gt;0,D15-$AM$2&gt;=0,K15&gt;0,D15&lt;&gt;0),"本月刚到货",AND(T15="-",K15&gt;0),"有库存无销量",AND(T15="-",K15=0),"无库存无销量",AND(T15&lt;=0.5,K15=0),"无库存有销量",T15&lt;=0.5,"库存过低",T15&lt;=1.5,"正常",T15&gt;1.5,"库存过高")</f>
        <v>库存过高</v>
      </c>
      <c r="Y15" s="44">
        <f>IFERROR(SUMIF('3店辅助表'!K:K,B:B,'3店辅助表'!N:N),0)</f>
        <v>10.26</v>
      </c>
      <c r="Z15" s="44">
        <f>IFERROR(SUMIF('3店辅助表'!T:T,B:B,'3店辅助表'!W:W),0)</f>
        <v>22.81</v>
      </c>
      <c r="AA15" s="44">
        <f>IFERROR(SUMIF('3店辅助表'!AC:AC,B:B,'3店辅助表'!AF:AF),0)</f>
        <v>42.55</v>
      </c>
      <c r="AB15" s="91" t="str">
        <f>IFERROR(SUMIF('3店辅助表'!K:K,B:B,'3店辅助表'!N:N)/SUMIF('3店辅助表'!K:K,B:B,'3店辅助表'!O:O),"-")</f>
        <v>-</v>
      </c>
      <c r="AC15" s="91">
        <f>IFERROR(VLOOKUP(B:B,'[1]3店'!$B:$AB,27,0),"-")</f>
        <v>0.278101000698162</v>
      </c>
      <c r="AD15" s="92" t="str">
        <f t="shared" si="9"/>
        <v>-</v>
      </c>
      <c r="AE15" s="91">
        <f>IFERROR(SUMIF('3店辅助表'!T:T,B:B,'3店辅助表'!W:W)/SUMIF('3店辅助表'!T:T,B:B,'3店辅助表'!X:X),"-")</f>
        <v>0.330819434372734</v>
      </c>
      <c r="AF15" s="91">
        <f>IFERROR(SUMIF('3店辅助表'!AC:AC,B:B,'3店辅助表'!AF:AF)/SUMIF('3店辅助表'!AC:AC,B:B,'3店辅助表'!AG:AG),"-")</f>
        <v>0.317774458551158</v>
      </c>
      <c r="AG15" s="99">
        <f>IFERROR(AK15/((SUMIF('3店辅助表'!AT:AT,B:B,'3店辅助表'!AU:AU)+M15)/2),"-")</f>
        <v>0.1</v>
      </c>
      <c r="AH15" s="99">
        <f>IFERROR(AL15/((SUMIF('3店辅助表'!AW:AW,B:B,'3店辅助表'!AX:AX)+M15)/2),"-")</f>
        <v>0.169811320754717</v>
      </c>
      <c r="AI15" s="100">
        <f>IFERROR((SUMIF('3店辅助表'!AP:AP,B:B,'3店辅助表'!AR:AR)-SUMIF('3店辅助表'!AP:AP,B:B,'3店辅助表'!AR:AR)*0.15-(L15+IFERROR(VLOOKUP(B:B,'3店辅助表'!AZ:BA,2,0),0))*O15-IF(AN:AN="US",6.85,4.9)*(Z15+4.27*O15))/SUMIF('3店辅助表'!AP:AP,B:B,'3店辅助表'!AR:AR),"-")</f>
        <v>0.11184156881549</v>
      </c>
      <c r="AJ15" s="100">
        <f t="shared" si="10"/>
        <v>0.018991964515838</v>
      </c>
      <c r="AK15" s="101">
        <f t="shared" si="3"/>
        <v>54.8</v>
      </c>
      <c r="AL15" s="101">
        <f t="shared" si="4"/>
        <v>123.3</v>
      </c>
      <c r="AM15" s="1" t="str">
        <f>VLOOKUP(B:B,'3店辅助表'!AZ:AZ,1,FALSE)</f>
        <v>E03388-BL+E03267</v>
      </c>
      <c r="AN15" t="str">
        <f>VLOOKUP(B:B,'3店辅助表'!AZ:BB,3,FALSE)</f>
        <v>US</v>
      </c>
    </row>
    <row r="16" customHeight="1" spans="1:40">
      <c r="A16" s="58" t="str">
        <f>INDEX('[1]3店'!$A:$A,MATCH(B:B,'[1]3店'!$B:$B,0))</f>
        <v>欣彤</v>
      </c>
      <c r="B16" s="43" t="s">
        <v>624</v>
      </c>
      <c r="C16" s="43" t="s">
        <v>625</v>
      </c>
      <c r="D16" s="59"/>
      <c r="E16" s="43" t="s">
        <v>626</v>
      </c>
      <c r="F16" s="43">
        <v>5</v>
      </c>
      <c r="G16" s="43">
        <v>0</v>
      </c>
      <c r="H16" s="43">
        <v>0</v>
      </c>
      <c r="I16" s="43">
        <v>0</v>
      </c>
      <c r="J16" s="43">
        <v>0</v>
      </c>
      <c r="K16" s="63">
        <f t="shared" si="1"/>
        <v>5</v>
      </c>
      <c r="L16" s="124">
        <f>VLOOKUP($B:$B,'[1]3店'!$B:$L,11,0)</f>
        <v>13.7</v>
      </c>
      <c r="M16" s="44">
        <f t="shared" si="2"/>
        <v>68.5</v>
      </c>
      <c r="N16" s="65">
        <f>IFERROR(VLOOKUP(B:B,'3店辅助表'!B:C,2,FALSE),0)</f>
        <v>1</v>
      </c>
      <c r="O16" s="65">
        <f>IFERROR(VLOOKUP(B:B,'3店辅助表'!E:F,2,FALSE),0)</f>
        <v>3</v>
      </c>
      <c r="P16" s="65">
        <f>IFERROR(VLOOKUP(B:B,'3店辅助表'!H:I,2,FALSE),0)</f>
        <v>10</v>
      </c>
      <c r="Q16" s="65">
        <f>IFERROR(VLOOKUP(B:B,'[1]3店'!$B:$N,13,FALSE),0)</f>
        <v>2</v>
      </c>
      <c r="R16" s="79">
        <f t="shared" si="5"/>
        <v>-1</v>
      </c>
      <c r="S16" s="80">
        <f t="shared" si="6"/>
        <v>22.1830985915493</v>
      </c>
      <c r="T16" s="44">
        <f t="shared" si="7"/>
        <v>0.73943661971831</v>
      </c>
      <c r="U16" s="44">
        <f>IFERROR(VLOOKUP($B:$B,'[1]3店'!$B:$T,19,0),"-")</f>
        <v>0.686915887850467</v>
      </c>
      <c r="V16" s="81">
        <f t="shared" si="8"/>
        <v>0.052520731867843</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正常</v>
      </c>
      <c r="X16" s="83" t="str">
        <f>_xlfn.IFS(AND(D16&lt;&gt;0,D16-$AM$2&gt;=0,K16&gt;0,D16&lt;&gt;0),"本月刚到货",AND(T16="-",K16&gt;0),"有库存无销量",AND(T16="-",K16=0),"无库存无销量",AND(T16&lt;=0.5,K16=0),"无库存有销量",T16&lt;=0.5,"库存过低",T16&lt;=1.5,"正常",T16&gt;1.5,"库存过高")</f>
        <v>正常</v>
      </c>
      <c r="Y16" s="44">
        <f>IFERROR(SUMIF('3店辅助表'!K:K,B:B,'3店辅助表'!N:N),0)</f>
        <v>0</v>
      </c>
      <c r="Z16" s="44">
        <f>IFERROR(SUMIF('3店辅助表'!T:T,B:B,'3店辅助表'!W:W),0)</f>
        <v>0</v>
      </c>
      <c r="AA16" s="44">
        <f>IFERROR(SUMIF('3店辅助表'!AC:AC,B:B,'3店辅助表'!AF:AF),0)</f>
        <v>0</v>
      </c>
      <c r="AB16" s="91" t="str">
        <f>IFERROR(SUMIF('3店辅助表'!K:K,B:B,'3店辅助表'!N:N)/SUMIF('3店辅助表'!K:K,B:B,'3店辅助表'!O:O),"-")</f>
        <v>-</v>
      </c>
      <c r="AC16" s="91" t="str">
        <f>IFERROR(VLOOKUP(B:B,'[1]3店'!$B:$AB,27,0),"-")</f>
        <v>-</v>
      </c>
      <c r="AD16" s="92" t="str">
        <f t="shared" si="9"/>
        <v>-</v>
      </c>
      <c r="AE16" s="91" t="str">
        <f>IFERROR(SUMIF('3店辅助表'!T:T,B:B,'3店辅助表'!W:W)/SUMIF('3店辅助表'!T:T,B:B,'3店辅助表'!X:X),"-")</f>
        <v>-</v>
      </c>
      <c r="AF16" s="91" t="str">
        <f>IFERROR(SUMIF('3店辅助表'!AC:AC,B:B,'3店辅助表'!AF:AF)/SUMIF('3店辅助表'!AC:AC,B:B,'3店辅助表'!AG:AG),"-")</f>
        <v>-</v>
      </c>
      <c r="AG16" s="99">
        <f>IFERROR(AK16/((SUMIF('3店辅助表'!AT:AT,B:B,'3店辅助表'!AU:AU)+M16)/2),"-")</f>
        <v>0.166666666666667</v>
      </c>
      <c r="AH16" s="99">
        <f>IFERROR(AL16/((SUMIF('3店辅助表'!AW:AW,B:B,'3店辅助表'!AX:AX)+M16)/2),"-")</f>
        <v>0.285714285714286</v>
      </c>
      <c r="AI16" s="100">
        <f>IFERROR((SUMIF('3店辅助表'!AP:AP,B:B,'3店辅助表'!AR:AR)-SUMIF('3店辅助表'!AP:AP,B:B,'3店辅助表'!AR:AR)*0.15-(L16+IFERROR(VLOOKUP(B:B,'3店辅助表'!AZ:BA,2,0),0))*O16-IF(AN:AN="US",6.85,4.9)*(Z16+4.27*O16))/SUMIF('3店辅助表'!AP:AP,B:B,'3店辅助表'!AR:AR),"-")</f>
        <v>0.316205466346214</v>
      </c>
      <c r="AJ16" s="100">
        <f t="shared" si="10"/>
        <v>0.0903444189560611</v>
      </c>
      <c r="AK16" s="101">
        <f t="shared" si="3"/>
        <v>13.7</v>
      </c>
      <c r="AL16" s="101">
        <f t="shared" si="4"/>
        <v>41.1</v>
      </c>
      <c r="AM16" s="1" t="str">
        <f>VLOOKUP(B:B,'3店辅助表'!AZ:AZ,1,FALSE)</f>
        <v>E03388-NB+E03267</v>
      </c>
      <c r="AN16" t="str">
        <f>VLOOKUP(B:B,'3店辅助表'!AZ:BB,3,FALSE)</f>
        <v>US</v>
      </c>
    </row>
    <row r="17" customHeight="1" spans="1:40">
      <c r="A17" s="58" t="str">
        <f>INDEX('[1]3店'!$A:$A,MATCH(B:B,'[1]3店'!$B:$B,0))</f>
        <v>欣彤</v>
      </c>
      <c r="B17" s="43" t="s">
        <v>627</v>
      </c>
      <c r="C17" s="43" t="s">
        <v>628</v>
      </c>
      <c r="D17" s="59"/>
      <c r="E17" s="43" t="s">
        <v>629</v>
      </c>
      <c r="F17" s="43">
        <v>43</v>
      </c>
      <c r="G17" s="43">
        <v>0</v>
      </c>
      <c r="H17" s="43">
        <v>0</v>
      </c>
      <c r="I17" s="43">
        <v>0</v>
      </c>
      <c r="J17" s="43">
        <v>0</v>
      </c>
      <c r="K17" s="63">
        <f t="shared" si="1"/>
        <v>43</v>
      </c>
      <c r="L17" s="124">
        <f>VLOOKUP($B:$B,'[1]3店'!$B:$L,11,0)</f>
        <v>13.7</v>
      </c>
      <c r="M17" s="44">
        <f t="shared" si="2"/>
        <v>589.1</v>
      </c>
      <c r="N17" s="65">
        <f>IFERROR(VLOOKUP(B:B,'3店辅助表'!B:C,2,FALSE),0)</f>
        <v>0</v>
      </c>
      <c r="O17" s="65">
        <f>IFERROR(VLOOKUP(B:B,'3店辅助表'!E:F,2,FALSE),0)</f>
        <v>5</v>
      </c>
      <c r="P17" s="65">
        <f>IFERROR(VLOOKUP(B:B,'3店辅助表'!H:I,2,FALSE),0)</f>
        <v>10</v>
      </c>
      <c r="Q17" s="65">
        <f>IFERROR(VLOOKUP(B:B,'[1]3店'!$B:$N,13,FALSE),0)</f>
        <v>4</v>
      </c>
      <c r="R17" s="79">
        <f t="shared" si="5"/>
        <v>-4</v>
      </c>
      <c r="S17" s="80">
        <f t="shared" si="6"/>
        <v>193.5</v>
      </c>
      <c r="T17" s="44">
        <f t="shared" si="7"/>
        <v>6.45</v>
      </c>
      <c r="U17" s="44">
        <f>IFERROR(VLOOKUP($B:$B,'[1]3店'!$B:$T,19,0),"-")</f>
        <v>3.28825622775801</v>
      </c>
      <c r="V17" s="81">
        <f t="shared" si="8"/>
        <v>3.16174377224199</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有库存无销量</v>
      </c>
      <c r="X17" s="83" t="str">
        <f>_xlfn.IFS(AND(D17&lt;&gt;0,D17-$AM$2&gt;=0,K17&gt;0,D17&lt;&gt;0),"本月刚到货",AND(T17="-",K17&gt;0),"有库存无销量",AND(T17="-",K17=0),"无库存无销量",AND(T17&lt;=0.5,K17=0),"无库存有销量",T17&lt;=0.5,"库存过低",T17&lt;=1.5,"正常",T17&gt;1.5,"库存过高")</f>
        <v>库存过高</v>
      </c>
      <c r="Y17" s="44">
        <f>IFERROR(SUMIF('3店辅助表'!K:K,B:B,'3店辅助表'!N:N),0)</f>
        <v>0</v>
      </c>
      <c r="Z17" s="44">
        <f>IFERROR(SUMIF('3店辅助表'!T:T,B:B,'3店辅助表'!W:W),0)</f>
        <v>0</v>
      </c>
      <c r="AA17" s="44">
        <f>IFERROR(SUMIF('3店辅助表'!AC:AC,B:B,'3店辅助表'!AF:AF),0)</f>
        <v>0</v>
      </c>
      <c r="AB17" s="91" t="str">
        <f>IFERROR(SUMIF('3店辅助表'!K:K,B:B,'3店辅助表'!N:N)/SUMIF('3店辅助表'!K:K,B:B,'3店辅助表'!O:O),"-")</f>
        <v>-</v>
      </c>
      <c r="AC17" s="91" t="str">
        <f>IFERROR(VLOOKUP(B:B,'[1]3店'!$B:$AB,27,0),"-")</f>
        <v>-</v>
      </c>
      <c r="AD17" s="92" t="str">
        <f t="shared" si="9"/>
        <v>-</v>
      </c>
      <c r="AE17" s="91" t="str">
        <f>IFERROR(SUMIF('3店辅助表'!T:T,B:B,'3店辅助表'!W:W)/SUMIF('3店辅助表'!T:T,B:B,'3店辅助表'!X:X),"-")</f>
        <v>-</v>
      </c>
      <c r="AF17" s="91" t="str">
        <f>IFERROR(SUMIF('3店辅助表'!AC:AC,B:B,'3店辅助表'!AF:AF)/SUMIF('3店辅助表'!AC:AC,B:B,'3店辅助表'!AG:AG),"-")</f>
        <v>-</v>
      </c>
      <c r="AG17" s="99">
        <f>IFERROR(AK17/((SUMIF('3店辅助表'!AT:AT,B:B,'3店辅助表'!AU:AU)+M17)/2),"-")</f>
        <v>0</v>
      </c>
      <c r="AH17" s="99">
        <f>IFERROR(AL17/((SUMIF('3店辅助表'!AW:AW,B:B,'3店辅助表'!AX:AX)+M17)/2),"-")</f>
        <v>0.105263157894737</v>
      </c>
      <c r="AI17" s="100">
        <f>IFERROR((SUMIF('3店辅助表'!AP:AP,B:B,'3店辅助表'!AR:AR)-SUMIF('3店辅助表'!AP:AP,B:B,'3店辅助表'!AR:AR)*0.15-(L17+IFERROR(VLOOKUP(B:B,'3店辅助表'!AZ:BA,2,0),0))*O17-IF(AN:AN="US",6.85,4.9)*(Z17+4.27*O17))/SUMIF('3店辅助表'!AP:AP,B:B,'3店辅助表'!AR:AR),"-")</f>
        <v>0.278424830273128</v>
      </c>
      <c r="AJ17" s="100">
        <f t="shared" si="10"/>
        <v>0.0293078768708556</v>
      </c>
      <c r="AK17" s="101">
        <f t="shared" si="3"/>
        <v>0</v>
      </c>
      <c r="AL17" s="101">
        <f t="shared" si="4"/>
        <v>68.5</v>
      </c>
      <c r="AM17" s="1" t="str">
        <f>VLOOKUP(B:B,'3店辅助表'!AZ:AZ,1,FALSE)</f>
        <v>E03388-OR+E03267</v>
      </c>
      <c r="AN17" t="str">
        <f>VLOOKUP(B:B,'3店辅助表'!AZ:BB,3,FALSE)</f>
        <v>US</v>
      </c>
    </row>
    <row r="18" customHeight="1" spans="1:40">
      <c r="A18" s="58" t="str">
        <f>INDEX('[1]3店'!$A:$A,MATCH(B:B,'[1]3店'!$B:$B,0))</f>
        <v>欣彤</v>
      </c>
      <c r="B18" s="43" t="s">
        <v>630</v>
      </c>
      <c r="C18" s="43" t="s">
        <v>631</v>
      </c>
      <c r="D18" s="59"/>
      <c r="E18" s="43" t="s">
        <v>632</v>
      </c>
      <c r="F18" s="43">
        <v>200</v>
      </c>
      <c r="G18" s="43">
        <v>2</v>
      </c>
      <c r="H18" s="43">
        <v>106</v>
      </c>
      <c r="I18" s="43">
        <v>34</v>
      </c>
      <c r="J18" s="43">
        <v>0</v>
      </c>
      <c r="K18" s="63">
        <f t="shared" si="1"/>
        <v>342</v>
      </c>
      <c r="L18" s="124">
        <f>VLOOKUP($B:$B,'[1]3店'!$B:$L,11,0)</f>
        <v>13.7</v>
      </c>
      <c r="M18" s="44">
        <f t="shared" si="2"/>
        <v>4685.4</v>
      </c>
      <c r="N18" s="65">
        <f>IFERROR(VLOOKUP(B:B,'3店辅助表'!B:C,2,FALSE),0)</f>
        <v>25</v>
      </c>
      <c r="O18" s="65">
        <f>IFERROR(VLOOKUP(B:B,'3店辅助表'!E:F,2,FALSE),0)</f>
        <v>55</v>
      </c>
      <c r="P18" s="65">
        <f>IFERROR(VLOOKUP(B:B,'3店辅助表'!H:I,2,FALSE),0)</f>
        <v>101</v>
      </c>
      <c r="Q18" s="65">
        <f>IFERROR(VLOOKUP(B:B,'[1]3店'!$B:$N,13,FALSE),0)</f>
        <v>29</v>
      </c>
      <c r="R18" s="79">
        <f t="shared" si="5"/>
        <v>-4</v>
      </c>
      <c r="S18" s="80">
        <f t="shared" si="6"/>
        <v>96.7489896722048</v>
      </c>
      <c r="T18" s="44">
        <f t="shared" si="7"/>
        <v>3.22496632240683</v>
      </c>
      <c r="U18" s="44">
        <f>IFERROR(VLOOKUP($B:$B,'[1]3店'!$B:$T,19,0),"-")</f>
        <v>2.13951353832033</v>
      </c>
      <c r="V18" s="81">
        <f t="shared" si="8"/>
        <v>1.0854527840865</v>
      </c>
      <c r="W18" s="82" t="str">
        <f>_xlfn.IFS(AND(D18&lt;&gt;0,D18-$AM$2&gt;=0,B18&gt;0,D18&lt;&gt;0),"本月刚到货",AND(IFERROR((K18/(N18/7))/30,"-")="-",K18&gt;0),"有库存无销量",AND(IFERROR((K18/(N18/7))/30,"-")="-",K18=0),"无库存无销量",AND(IFERROR((K18/(N18/7))/30,"-")&lt;=0.5,K18=0),"无库存有销量",IFERROR((K18/(N18/7))/30,"-")&lt;=0.5,"库存过低",IFERROR((K18/(N18/7))/30,"-")&lt;=1.5,"正常",IFERROR((K18/(N18/7))/30,"-")&gt;1.5,"库存过高")</f>
        <v>库存过高</v>
      </c>
      <c r="X18" s="83" t="str">
        <f>_xlfn.IFS(AND(D18&lt;&gt;0,D18-$AM$2&gt;=0,K18&gt;0,D18&lt;&gt;0),"本月刚到货",AND(T18="-",K18&gt;0),"有库存无销量",AND(T18="-",K18=0),"无库存无销量",AND(T18&lt;=0.5,K18=0),"无库存有销量",T18&lt;=0.5,"库存过低",T18&lt;=1.5,"正常",T18&gt;1.5,"库存过高")</f>
        <v>库存过高</v>
      </c>
      <c r="Y18" s="44">
        <f>IFERROR(SUMIF('3店辅助表'!K:K,B:B,'3店辅助表'!N:N),0)</f>
        <v>42.7</v>
      </c>
      <c r="Z18" s="44">
        <f>IFERROR(SUMIF('3店辅助表'!T:T,B:B,'3店辅助表'!W:W),0)</f>
        <v>97.35</v>
      </c>
      <c r="AA18" s="44">
        <f>IFERROR(SUMIF('3店辅助表'!AC:AC,B:B,'3店辅助表'!AF:AF),0)</f>
        <v>195.1</v>
      </c>
      <c r="AB18" s="91">
        <f>IFERROR(SUMIF('3店辅助表'!K:K,B:B,'3店辅助表'!N:N)/SUMIF('3店辅助表'!K:K,B:B,'3店辅助表'!O:O),"-")</f>
        <v>0.173789173789174</v>
      </c>
      <c r="AC18" s="91">
        <f>IFERROR(VLOOKUP(B:B,'[1]3店'!$B:$AB,27,0),"-")</f>
        <v>0.189888413329257</v>
      </c>
      <c r="AD18" s="92">
        <f t="shared" si="9"/>
        <v>-0.016099239540083</v>
      </c>
      <c r="AE18" s="91">
        <f>IFERROR(SUMIF('3店辅助表'!T:T,B:B,'3店辅助表'!W:W)/SUMIF('3店辅助表'!T:T,B:B,'3店辅助表'!X:X),"-")</f>
        <v>0.191868027908077</v>
      </c>
      <c r="AF18" s="91">
        <f>IFERROR(SUMIF('3店辅助表'!AC:AC,B:B,'3店辅助表'!AF:AF)/SUMIF('3店辅助表'!AC:AC,B:B,'3店辅助表'!AG:AG),"-")</f>
        <v>0.217267837455594</v>
      </c>
      <c r="AG18" s="99">
        <f>IFERROR(AK18/((SUMIF('3店辅助表'!AT:AT,B:B,'3店辅助表'!AU:AU)+M18)/2),"-")</f>
        <v>0.0886524822695035</v>
      </c>
      <c r="AH18" s="99">
        <f>IFERROR(AL18/((SUMIF('3店辅助表'!AW:AW,B:B,'3店辅助表'!AX:AX)+M18)/2),"-")</f>
        <v>0.239130434782609</v>
      </c>
      <c r="AI18" s="100">
        <f>IFERROR((SUMIF('3店辅助表'!AP:AP,B:B,'3店辅助表'!AR:AR)-SUMIF('3店辅助表'!AP:AP,B:B,'3店辅助表'!AR:AR)*0.15-(L18+IFERROR(VLOOKUP(B:B,'3店辅助表'!AZ:BA,2,0),0))*O18-IF(AN:AN="US",6.85,4.9)*(Z18+4.27*O18))/SUMIF('3店辅助表'!AP:AP,B:B,'3店辅助表'!AR:AR),"-")</f>
        <v>0.152429231553057</v>
      </c>
      <c r="AJ18" s="100">
        <f t="shared" si="10"/>
        <v>0.0364504684148615</v>
      </c>
      <c r="AK18" s="101">
        <f t="shared" si="3"/>
        <v>342.5</v>
      </c>
      <c r="AL18" s="101">
        <f t="shared" si="4"/>
        <v>753.5</v>
      </c>
      <c r="AM18" s="1" t="str">
        <f>VLOOKUP(B:B,'3店辅助表'!AZ:AZ,1,FALSE)</f>
        <v>E03390-BL+E03240</v>
      </c>
      <c r="AN18" t="str">
        <f>VLOOKUP(B:B,'3店辅助表'!AZ:BB,3,FALSE)</f>
        <v>US</v>
      </c>
    </row>
    <row r="19" customHeight="1" spans="1:40">
      <c r="A19" s="58" t="str">
        <f>INDEX('[1]3店'!$A:$A,MATCH(B:B,'[1]3店'!$B:$B,0))</f>
        <v>欣彤</v>
      </c>
      <c r="B19" s="43" t="s">
        <v>633</v>
      </c>
      <c r="C19" s="43" t="s">
        <v>634</v>
      </c>
      <c r="D19" s="59"/>
      <c r="E19" s="43" t="s">
        <v>635</v>
      </c>
      <c r="F19" s="43">
        <v>0</v>
      </c>
      <c r="G19" s="43">
        <v>0</v>
      </c>
      <c r="H19" s="43">
        <v>14</v>
      </c>
      <c r="I19" s="43">
        <v>0</v>
      </c>
      <c r="J19" s="43">
        <v>30</v>
      </c>
      <c r="K19" s="63">
        <f t="shared" si="1"/>
        <v>44</v>
      </c>
      <c r="L19" s="124">
        <f>VLOOKUP($B:$B,'[1]3店'!$B:$L,11,0)</f>
        <v>13.7</v>
      </c>
      <c r="M19" s="44">
        <f t="shared" si="2"/>
        <v>602.8</v>
      </c>
      <c r="N19" s="65">
        <f>IFERROR(VLOOKUP(B:B,'3店辅助表'!B:C,2,FALSE),0)</f>
        <v>7</v>
      </c>
      <c r="O19" s="65">
        <f>IFERROR(VLOOKUP(B:B,'3店辅助表'!E:F,2,FALSE),0)</f>
        <v>17</v>
      </c>
      <c r="P19" s="65">
        <f>IFERROR(VLOOKUP(B:B,'3店辅助表'!H:I,2,FALSE),0)</f>
        <v>37</v>
      </c>
      <c r="Q19" s="65">
        <f>IFERROR(VLOOKUP(B:B,'[1]3店'!$B:$N,13,FALSE),0)</f>
        <v>7</v>
      </c>
      <c r="R19" s="79">
        <f t="shared" si="5"/>
        <v>0</v>
      </c>
      <c r="S19" s="80">
        <f t="shared" si="6"/>
        <v>39.2079207920792</v>
      </c>
      <c r="T19" s="44">
        <f t="shared" si="7"/>
        <v>1.30693069306931</v>
      </c>
      <c r="U19" s="44">
        <f>IFERROR(VLOOKUP($B:$B,'[1]3店'!$B:$T,19,0),"-")</f>
        <v>1.44230769230769</v>
      </c>
      <c r="V19" s="81">
        <f t="shared" si="8"/>
        <v>-0.13537699923838</v>
      </c>
      <c r="W19" s="82" t="str">
        <f>_xlfn.IFS(AND(D19&lt;&gt;0,D19-$AM$2&gt;=0,B19&gt;0,D19&lt;&gt;0),"本月刚到货",AND(IFERROR((K19/(N19/7))/30,"-")="-",K19&gt;0),"有库存无销量",AND(IFERROR((K19/(N19/7))/30,"-")="-",K19=0),"无库存无销量",AND(IFERROR((K19/(N19/7))/30,"-")&lt;=0.5,K19=0),"无库存有销量",IFERROR((K19/(N19/7))/30,"-")&lt;=0.5,"库存过低",IFERROR((K19/(N19/7))/30,"-")&lt;=1.5,"正常",IFERROR((K19/(N19/7))/30,"-")&gt;1.5,"库存过高")</f>
        <v>正常</v>
      </c>
      <c r="X19" s="83" t="str">
        <f>_xlfn.IFS(AND(D19&lt;&gt;0,D19-$AM$2&gt;=0,K19&gt;0,D19&lt;&gt;0),"本月刚到货",AND(T19="-",K19&gt;0),"有库存无销量",AND(T19="-",K19=0),"无库存无销量",AND(T19&lt;=0.5,K19=0),"无库存有销量",T19&lt;=0.5,"库存过低",T19&lt;=1.5,"正常",T19&gt;1.5,"库存过高")</f>
        <v>正常</v>
      </c>
      <c r="Y19" s="44">
        <f>IFERROR(SUMIF('3店辅助表'!K:K,B:B,'3店辅助表'!N:N),0)</f>
        <v>0</v>
      </c>
      <c r="Z19" s="44">
        <f>IFERROR(SUMIF('3店辅助表'!T:T,B:B,'3店辅助表'!W:W),0)</f>
        <v>0</v>
      </c>
      <c r="AA19" s="44">
        <f>IFERROR(SUMIF('3店辅助表'!AC:AC,B:B,'3店辅助表'!AF:AF),0)</f>
        <v>0</v>
      </c>
      <c r="AB19" s="91" t="str">
        <f>IFERROR(SUMIF('3店辅助表'!K:K,B:B,'3店辅助表'!N:N)/SUMIF('3店辅助表'!K:K,B:B,'3店辅助表'!O:O),"-")</f>
        <v>-</v>
      </c>
      <c r="AC19" s="91" t="str">
        <f>IFERROR(VLOOKUP(B:B,'[1]3店'!$B:$AB,27,0),"-")</f>
        <v>-</v>
      </c>
      <c r="AD19" s="92" t="str">
        <f t="shared" si="9"/>
        <v>-</v>
      </c>
      <c r="AE19" s="91" t="str">
        <f>IFERROR(SUMIF('3店辅助表'!T:T,B:B,'3店辅助表'!W:W)/SUMIF('3店辅助表'!T:T,B:B,'3店辅助表'!X:X),"-")</f>
        <v>-</v>
      </c>
      <c r="AF19" s="91" t="str">
        <f>IFERROR(SUMIF('3店辅助表'!AC:AC,B:B,'3店辅助表'!AF:AF)/SUMIF('3店辅助表'!AC:AC,B:B,'3店辅助表'!AG:AG),"-")</f>
        <v>-</v>
      </c>
      <c r="AG19" s="99">
        <f>IFERROR(AK19/((SUMIF('3店辅助表'!AT:AT,B:B,'3店辅助表'!AU:AU)+M19)/2),"-")</f>
        <v>0.148936170212766</v>
      </c>
      <c r="AH19" s="99">
        <f>IFERROR(AL19/((SUMIF('3店辅助表'!AW:AW,B:B,'3店辅助表'!AX:AX)+M19)/2),"-")</f>
        <v>0.365591397849462</v>
      </c>
      <c r="AI19" s="100">
        <f>IFERROR((SUMIF('3店辅助表'!AP:AP,B:B,'3店辅助表'!AR:AR)-SUMIF('3店辅助表'!AP:AP,B:B,'3店辅助表'!AR:AR)*0.15-(L19+IFERROR(VLOOKUP(B:B,'3店辅助表'!AZ:BA,2,0),0))*O19-IF(AN:AN="US",6.85,4.9)*(Z19+4.27*O19))/SUMIF('3店辅助表'!AP:AP,B:B,'3店辅助表'!AR:AR),"-")</f>
        <v>0.296603905966585</v>
      </c>
      <c r="AJ19" s="100">
        <f t="shared" si="10"/>
        <v>0.108435836589934</v>
      </c>
      <c r="AK19" s="101">
        <f t="shared" si="3"/>
        <v>95.9</v>
      </c>
      <c r="AL19" s="101">
        <f t="shared" si="4"/>
        <v>232.9</v>
      </c>
      <c r="AM19" s="1" t="str">
        <f>VLOOKUP(B:B,'3店辅助表'!AZ:AZ,1,FALSE)</f>
        <v>E03390-NB+E03240</v>
      </c>
      <c r="AN19" t="str">
        <f>VLOOKUP(B:B,'3店辅助表'!AZ:BB,3,FALSE)</f>
        <v>US</v>
      </c>
    </row>
    <row r="20" customHeight="1" spans="1:40">
      <c r="A20" s="58" t="str">
        <f>INDEX('[1]3店'!$A:$A,MATCH(B:B,'[1]3店'!$B:$B,0))</f>
        <v>欣彤</v>
      </c>
      <c r="B20" s="43" t="s">
        <v>636</v>
      </c>
      <c r="C20" s="43" t="s">
        <v>637</v>
      </c>
      <c r="D20" s="59"/>
      <c r="E20" s="43" t="s">
        <v>638</v>
      </c>
      <c r="F20" s="43">
        <v>24</v>
      </c>
      <c r="G20" s="43">
        <v>1</v>
      </c>
      <c r="H20" s="43">
        <v>23</v>
      </c>
      <c r="I20" s="43">
        <v>2</v>
      </c>
      <c r="J20" s="43">
        <v>0</v>
      </c>
      <c r="K20" s="63">
        <f t="shared" si="1"/>
        <v>50</v>
      </c>
      <c r="L20" s="124">
        <f>VLOOKUP($B:$B,'[1]3店'!$B:$L,11,0)</f>
        <v>13.7</v>
      </c>
      <c r="M20" s="44">
        <f t="shared" si="2"/>
        <v>685</v>
      </c>
      <c r="N20" s="65">
        <f>IFERROR(VLOOKUP(B:B,'3店辅助表'!B:C,2,FALSE),0)</f>
        <v>4</v>
      </c>
      <c r="O20" s="65">
        <f>IFERROR(VLOOKUP(B:B,'3店辅助表'!E:F,2,FALSE),0)</f>
        <v>9</v>
      </c>
      <c r="P20" s="65">
        <f>IFERROR(VLOOKUP(B:B,'3店辅助表'!H:I,2,FALSE),0)</f>
        <v>18</v>
      </c>
      <c r="Q20" s="65">
        <f>IFERROR(VLOOKUP(B:B,'[1]3店'!$B:$N,13,FALSE),0)</f>
        <v>5</v>
      </c>
      <c r="R20" s="79">
        <f t="shared" si="5"/>
        <v>-1</v>
      </c>
      <c r="S20" s="80">
        <f t="shared" si="6"/>
        <v>84.6774193548387</v>
      </c>
      <c r="T20" s="44">
        <f t="shared" si="7"/>
        <v>2.82258064516129</v>
      </c>
      <c r="U20" s="44">
        <f>IFERROR(VLOOKUP($B:$B,'[1]3店'!$B:$T,19,0),"-")</f>
        <v>1.54495912806539</v>
      </c>
      <c r="V20" s="81">
        <f t="shared" si="8"/>
        <v>1.2776215170959</v>
      </c>
      <c r="W20" s="82" t="str">
        <f>_xlfn.IFS(AND(D20&lt;&gt;0,D20-$AM$2&gt;=0,B20&gt;0,D20&lt;&gt;0),"本月刚到货",AND(IFERROR((K20/(N20/7))/30,"-")="-",K20&gt;0),"有库存无销量",AND(IFERROR((K20/(N20/7))/30,"-")="-",K20=0),"无库存无销量",AND(IFERROR((K20/(N20/7))/30,"-")&lt;=0.5,K20=0),"无库存有销量",IFERROR((K20/(N20/7))/30,"-")&lt;=0.5,"库存过低",IFERROR((K20/(N20/7))/30,"-")&lt;=1.5,"正常",IFERROR((K20/(N20/7))/30,"-")&gt;1.5,"库存过高")</f>
        <v>库存过高</v>
      </c>
      <c r="X20" s="83" t="str">
        <f>_xlfn.IFS(AND(D20&lt;&gt;0,D20-$AM$2&gt;=0,K20&gt;0,D20&lt;&gt;0),"本月刚到货",AND(T20="-",K20&gt;0),"有库存无销量",AND(T20="-",K20=0),"无库存无销量",AND(T20&lt;=0.5,K20=0),"无库存有销量",T20&lt;=0.5,"库存过低",T20&lt;=1.5,"正常",T20&gt;1.5,"库存过高")</f>
        <v>库存过高</v>
      </c>
      <c r="Y20" s="44">
        <f>IFERROR(SUMIF('3店辅助表'!K:K,B:B,'3店辅助表'!N:N),0)</f>
        <v>0</v>
      </c>
      <c r="Z20" s="44">
        <f>IFERROR(SUMIF('3店辅助表'!T:T,B:B,'3店辅助表'!W:W),0)</f>
        <v>0</v>
      </c>
      <c r="AA20" s="44">
        <f>IFERROR(SUMIF('3店辅助表'!AC:AC,B:B,'3店辅助表'!AF:AF),0)</f>
        <v>0</v>
      </c>
      <c r="AB20" s="91" t="str">
        <f>IFERROR(SUMIF('3店辅助表'!K:K,B:B,'3店辅助表'!N:N)/SUMIF('3店辅助表'!K:K,B:B,'3店辅助表'!O:O),"-")</f>
        <v>-</v>
      </c>
      <c r="AC20" s="91" t="str">
        <f>IFERROR(VLOOKUP(B:B,'[1]3店'!$B:$AB,27,0),"-")</f>
        <v>-</v>
      </c>
      <c r="AD20" s="92" t="str">
        <f t="shared" si="9"/>
        <v>-</v>
      </c>
      <c r="AE20" s="91" t="str">
        <f>IFERROR(SUMIF('3店辅助表'!T:T,B:B,'3店辅助表'!W:W)/SUMIF('3店辅助表'!T:T,B:B,'3店辅助表'!X:X),"-")</f>
        <v>-</v>
      </c>
      <c r="AF20" s="91" t="str">
        <f>IFERROR(SUMIF('3店辅助表'!AC:AC,B:B,'3店辅助表'!AF:AF)/SUMIF('3店辅助表'!AC:AC,B:B,'3店辅助表'!AG:AG),"-")</f>
        <v>-</v>
      </c>
      <c r="AG20" s="99">
        <f>IFERROR(AK20/((SUMIF('3店辅助表'!AT:AT,B:B,'3店辅助表'!AU:AU)+M20)/2),"-")</f>
        <v>0.103896103896104</v>
      </c>
      <c r="AH20" s="99">
        <f>IFERROR(AL20/((SUMIF('3店辅助表'!AW:AW,B:B,'3店辅助表'!AX:AX)+M20)/2),"-")</f>
        <v>0.264705882352941</v>
      </c>
      <c r="AI20" s="100">
        <f>IFERROR((SUMIF('3店辅助表'!AP:AP,B:B,'3店辅助表'!AR:AR)-SUMIF('3店辅助表'!AP:AP,B:B,'3店辅助表'!AR:AR)*0.15-(L20+IFERROR(VLOOKUP(B:B,'3店辅助表'!AZ:BA,2,0),0))*O20-IF(AN:AN="US",6.85,4.9)*(Z20+4.27*O20))/SUMIF('3店辅助表'!AP:AP,B:B,'3店辅助表'!AR:AR),"-")</f>
        <v>0.269415512108175</v>
      </c>
      <c r="AJ20" s="100">
        <f t="shared" si="10"/>
        <v>0.071315870852164</v>
      </c>
      <c r="AK20" s="101">
        <f t="shared" si="3"/>
        <v>54.8</v>
      </c>
      <c r="AL20" s="101">
        <f t="shared" si="4"/>
        <v>123.3</v>
      </c>
      <c r="AM20" s="1" t="str">
        <f>VLOOKUP(B:B,'3店辅助表'!AZ:AZ,1,FALSE)</f>
        <v>E03390-OR+E03240</v>
      </c>
      <c r="AN20" t="str">
        <f>VLOOKUP(B:B,'3店辅助表'!AZ:BB,3,FALSE)</f>
        <v>US</v>
      </c>
    </row>
    <row r="21" customHeight="1" spans="1:40">
      <c r="A21" s="58" t="str">
        <f>INDEX('[1]3店'!$A:$A,MATCH(B:B,'[1]3店'!$B:$B,0))</f>
        <v>欣彤</v>
      </c>
      <c r="B21" s="43" t="s">
        <v>639</v>
      </c>
      <c r="C21" s="43" t="s">
        <v>640</v>
      </c>
      <c r="D21" s="59"/>
      <c r="E21" s="43" t="s">
        <v>641</v>
      </c>
      <c r="F21" s="43">
        <v>154</v>
      </c>
      <c r="G21" s="43">
        <v>3</v>
      </c>
      <c r="H21" s="43">
        <v>72</v>
      </c>
      <c r="I21" s="43">
        <v>2</v>
      </c>
      <c r="J21" s="43">
        <v>0</v>
      </c>
      <c r="K21" s="63">
        <f t="shared" si="1"/>
        <v>231</v>
      </c>
      <c r="L21" s="124">
        <f>VLOOKUP($B:$B,'[1]3店'!$B:$L,11,0)</f>
        <v>13.647</v>
      </c>
      <c r="M21" s="44">
        <f t="shared" si="2"/>
        <v>3152.457</v>
      </c>
      <c r="N21" s="65">
        <f>IFERROR(VLOOKUP(B:B,'3店辅助表'!B:C,2,FALSE),0)</f>
        <v>22</v>
      </c>
      <c r="O21" s="65">
        <f>IFERROR(VLOOKUP(B:B,'3店辅助表'!E:F,2,FALSE),0)</f>
        <v>35</v>
      </c>
      <c r="P21" s="65">
        <f>IFERROR(VLOOKUP(B:B,'3店辅助表'!H:I,2,FALSE),0)</f>
        <v>61</v>
      </c>
      <c r="Q21" s="65">
        <f>IFERROR(VLOOKUP(B:B,'[1]3店'!$B:$N,13,FALSE),0)</f>
        <v>12</v>
      </c>
      <c r="R21" s="79">
        <f t="shared" si="5"/>
        <v>10</v>
      </c>
      <c r="S21" s="80">
        <f t="shared" si="6"/>
        <v>92.282815472416</v>
      </c>
      <c r="T21" s="44">
        <f t="shared" si="7"/>
        <v>3.07609384908053</v>
      </c>
      <c r="U21" s="44">
        <f>IFERROR(VLOOKUP($B:$B,'[1]3店'!$B:$T,19,0),"-")</f>
        <v>4.36782786885246</v>
      </c>
      <c r="V21" s="81">
        <f t="shared" si="8"/>
        <v>-1.29173401977193</v>
      </c>
      <c r="W21" s="82" t="str">
        <f>_xlfn.IFS(AND(D21&lt;&gt;0,D21-$AM$2&gt;=0,B21&gt;0,D21&lt;&gt;0),"本月刚到货",AND(IFERROR((K21/(N21/7))/30,"-")="-",K21&gt;0),"有库存无销量",AND(IFERROR((K21/(N21/7))/30,"-")="-",K21=0),"无库存无销量",AND(IFERROR((K21/(N21/7))/30,"-")&lt;=0.5,K21=0),"无库存有销量",IFERROR((K21/(N21/7))/30,"-")&lt;=0.5,"库存过低",IFERROR((K21/(N21/7))/30,"-")&lt;=1.5,"正常",IFERROR((K21/(N21/7))/30,"-")&gt;1.5,"库存过高")</f>
        <v>库存过高</v>
      </c>
      <c r="X21" s="83" t="str">
        <f>_xlfn.IFS(AND(D21&lt;&gt;0,D21-$AM$2&gt;=0,K21&gt;0,D21&lt;&gt;0),"本月刚到货",AND(T21="-",K21&gt;0),"有库存无销量",AND(T21="-",K21=0),"无库存无销量",AND(T21&lt;=0.5,K21=0),"无库存有销量",T21&lt;=0.5,"库存过低",T21&lt;=1.5,"正常",T21&gt;1.5,"库存过高")</f>
        <v>库存过高</v>
      </c>
      <c r="Y21" s="44">
        <f>IFERROR(SUMIF('3店辅助表'!K:K,B:B,'3店辅助表'!N:N),0)</f>
        <v>15.12</v>
      </c>
      <c r="Z21" s="44">
        <f>IFERROR(SUMIF('3店辅助表'!T:T,B:B,'3店辅助表'!W:W),0)</f>
        <v>33.87</v>
      </c>
      <c r="AA21" s="44">
        <f>IFERROR(SUMIF('3店辅助表'!AC:AC,B:B,'3店辅助表'!AF:AF),0)</f>
        <v>64.35</v>
      </c>
      <c r="AB21" s="91">
        <f>IFERROR(SUMIF('3店辅助表'!K:K,B:B,'3店辅助表'!N:N)/SUMIF('3店辅助表'!K:K,B:B,'3店辅助表'!O:O),"-")</f>
        <v>0.145496535796767</v>
      </c>
      <c r="AC21" s="91">
        <f>IFERROR(VLOOKUP(B:B,'[1]3店'!$B:$AB,27,0),"-")</f>
        <v>0.151520572450805</v>
      </c>
      <c r="AD21" s="92">
        <f t="shared" si="9"/>
        <v>-0.006024036654038</v>
      </c>
      <c r="AE21" s="91">
        <f>IFERROR(SUMIF('3店辅助表'!T:T,B:B,'3店辅助表'!W:W)/SUMIF('3店辅助表'!T:T,B:B,'3店辅助表'!X:X),"-")</f>
        <v>0.140132395531651</v>
      </c>
      <c r="AF21" s="91">
        <f>IFERROR(SUMIF('3店辅助表'!AC:AC,B:B,'3店辅助表'!AF:AF)/SUMIF('3店辅助表'!AC:AC,B:B,'3店辅助表'!AG:AG),"-")</f>
        <v>0.14740579544153</v>
      </c>
      <c r="AG21" s="99">
        <f>IFERROR(AK21/((SUMIF('3店辅助表'!AT:AT,B:B,'3店辅助表'!AU:AU)+M21)/2),"-")</f>
        <v>0.101382488479263</v>
      </c>
      <c r="AH21" s="99">
        <f>IFERROR(AL21/((SUMIF('3店辅助表'!AW:AW,B:B,'3店辅助表'!AX:AX)+M21)/2),"-")</f>
        <v>0.181818181818182</v>
      </c>
      <c r="AI21" s="100">
        <f>IFERROR((SUMIF('3店辅助表'!AP:AP,B:B,'3店辅助表'!AR:AR)-SUMIF('3店辅助表'!AP:AP,B:B,'3店辅助表'!AR:AR)*0.15-(L21+IFERROR(VLOOKUP(B:B,'3店辅助表'!AZ:BA,2,0),0))*O21-IF(AN:AN="US",6.85,4.9)*(Z21+4.27*O21))/SUMIF('3店辅助表'!AP:AP,B:B,'3店辅助表'!AR:AR),"-")</f>
        <v>0.247750312232667</v>
      </c>
      <c r="AJ21" s="100">
        <f t="shared" si="10"/>
        <v>0.0450455113150304</v>
      </c>
      <c r="AK21" s="101">
        <f t="shared" si="3"/>
        <v>300.234</v>
      </c>
      <c r="AL21" s="101">
        <f t="shared" si="4"/>
        <v>477.645</v>
      </c>
      <c r="AM21" s="1" t="str">
        <f>VLOOKUP(B:B,'3店辅助表'!AZ:AZ,1,FALSE)</f>
        <v>E03391-BL+E03271</v>
      </c>
      <c r="AN21" t="str">
        <f>VLOOKUP(B:B,'3店辅助表'!AZ:BB,3,FALSE)</f>
        <v>US</v>
      </c>
    </row>
    <row r="22" customHeight="1" spans="1:40">
      <c r="A22" s="58" t="str">
        <f>INDEX('[1]3店'!$A:$A,MATCH(B:B,'[1]3店'!$B:$B,0))</f>
        <v>欣彤</v>
      </c>
      <c r="B22" s="43" t="s">
        <v>642</v>
      </c>
      <c r="C22" s="43" t="s">
        <v>643</v>
      </c>
      <c r="D22" s="59"/>
      <c r="E22" s="43" t="s">
        <v>644</v>
      </c>
      <c r="F22" s="43">
        <v>14</v>
      </c>
      <c r="G22" s="43">
        <v>0</v>
      </c>
      <c r="H22" s="43">
        <v>32</v>
      </c>
      <c r="I22" s="43">
        <v>1</v>
      </c>
      <c r="J22" s="43">
        <v>0</v>
      </c>
      <c r="K22" s="63">
        <f t="shared" si="1"/>
        <v>47</v>
      </c>
      <c r="L22" s="124">
        <f>VLOOKUP($B:$B,'[1]3店'!$B:$L,11,0)</f>
        <v>13.7</v>
      </c>
      <c r="M22" s="44">
        <f t="shared" si="2"/>
        <v>643.9</v>
      </c>
      <c r="N22" s="65">
        <f>IFERROR(VLOOKUP(B:B,'3店辅助表'!B:C,2,FALSE),0)</f>
        <v>6</v>
      </c>
      <c r="O22" s="65">
        <f>IFERROR(VLOOKUP(B:B,'3店辅助表'!E:F,2,FALSE),0)</f>
        <v>9</v>
      </c>
      <c r="P22" s="65">
        <f>IFERROR(VLOOKUP(B:B,'3店辅助表'!H:I,2,FALSE),0)</f>
        <v>15</v>
      </c>
      <c r="Q22" s="65">
        <f>IFERROR(VLOOKUP(B:B,'[1]3店'!$B:$N,13,FALSE),0)</f>
        <v>2</v>
      </c>
      <c r="R22" s="79">
        <f t="shared" si="5"/>
        <v>4</v>
      </c>
      <c r="S22" s="80">
        <f t="shared" si="6"/>
        <v>72.043795620438</v>
      </c>
      <c r="T22" s="44">
        <f t="shared" si="7"/>
        <v>2.4014598540146</v>
      </c>
      <c r="U22" s="44">
        <f>IFERROR(VLOOKUP($B:$B,'[1]3店'!$B:$T,19,0),"-")</f>
        <v>8.86311787072243</v>
      </c>
      <c r="V22" s="81">
        <f t="shared" si="8"/>
        <v>-6.46165801670783</v>
      </c>
      <c r="W22" s="82" t="str">
        <f>_xlfn.IFS(AND(D22&lt;&gt;0,D22-$AM$2&gt;=0,B22&gt;0,D22&lt;&gt;0),"本月刚到货",AND(IFERROR((K22/(N22/7))/30,"-")="-",K22&gt;0),"有库存无销量",AND(IFERROR((K22/(N22/7))/30,"-")="-",K22=0),"无库存无销量",AND(IFERROR((K22/(N22/7))/30,"-")&lt;=0.5,K22=0),"无库存有销量",IFERROR((K22/(N22/7))/30,"-")&lt;=0.5,"库存过低",IFERROR((K22/(N22/7))/30,"-")&lt;=1.5,"正常",IFERROR((K22/(N22/7))/30,"-")&gt;1.5,"库存过高")</f>
        <v>库存过高</v>
      </c>
      <c r="X22" s="83" t="str">
        <f>_xlfn.IFS(AND(D22&lt;&gt;0,D22-$AM$2&gt;=0,K22&gt;0,D22&lt;&gt;0),"本月刚到货",AND(T22="-",K22&gt;0),"有库存无销量",AND(T22="-",K22=0),"无库存无销量",AND(T22&lt;=0.5,K22=0),"无库存有销量",T22&lt;=0.5,"库存过低",T22&lt;=1.5,"正常",T22&gt;1.5,"库存过高")</f>
        <v>库存过高</v>
      </c>
      <c r="Y22" s="44">
        <f>IFERROR(SUMIF('3店辅助表'!K:K,B:B,'3店辅助表'!N:N),0)</f>
        <v>0</v>
      </c>
      <c r="Z22" s="44">
        <f>IFERROR(SUMIF('3店辅助表'!T:T,B:B,'3店辅助表'!W:W),0)</f>
        <v>0</v>
      </c>
      <c r="AA22" s="44">
        <f>IFERROR(SUMIF('3店辅助表'!AC:AC,B:B,'3店辅助表'!AF:AF),0)</f>
        <v>0</v>
      </c>
      <c r="AB22" s="91" t="str">
        <f>IFERROR(SUMIF('3店辅助表'!K:K,B:B,'3店辅助表'!N:N)/SUMIF('3店辅助表'!K:K,B:B,'3店辅助表'!O:O),"-")</f>
        <v>-</v>
      </c>
      <c r="AC22" s="91" t="str">
        <f>IFERROR(VLOOKUP(B:B,'[1]3店'!$B:$AB,27,0),"-")</f>
        <v>-</v>
      </c>
      <c r="AD22" s="92" t="str">
        <f t="shared" si="9"/>
        <v>-</v>
      </c>
      <c r="AE22" s="91" t="str">
        <f>IFERROR(SUMIF('3店辅助表'!T:T,B:B,'3店辅助表'!W:W)/SUMIF('3店辅助表'!T:T,B:B,'3店辅助表'!X:X),"-")</f>
        <v>-</v>
      </c>
      <c r="AF22" s="91" t="str">
        <f>IFERROR(SUMIF('3店辅助表'!AC:AC,B:B,'3店辅助表'!AF:AF)/SUMIF('3店辅助表'!AC:AC,B:B,'3店辅助表'!AG:AG),"-")</f>
        <v>-</v>
      </c>
      <c r="AG22" s="99">
        <f>IFERROR(AK22/((SUMIF('3店辅助表'!AT:AT,B:B,'3店辅助表'!AU:AU)+M22)/2),"-")</f>
        <v>0.0759493670886076</v>
      </c>
      <c r="AH22" s="99">
        <f>IFERROR(AL22/((SUMIF('3店辅助表'!AW:AW,B:B,'3店辅助表'!AX:AX)+M22)/2),"-")</f>
        <v>0.222222222222222</v>
      </c>
      <c r="AI22" s="100">
        <f>IFERROR((SUMIF('3店辅助表'!AP:AP,B:B,'3店辅助表'!AR:AR)-SUMIF('3店辅助表'!AP:AP,B:B,'3店辅助表'!AR:AR)*0.15-(L22+IFERROR(VLOOKUP(B:B,'3店辅助表'!AZ:BA,2,0),0))*O22-IF(AN:AN="US",6.85,4.9)*(Z22+4.27*O22))/SUMIF('3店辅助表'!AP:AP,B:B,'3店辅助表'!AR:AR),"-")</f>
        <v>0.295381882488803</v>
      </c>
      <c r="AJ22" s="100">
        <f t="shared" si="10"/>
        <v>0.0656404183308451</v>
      </c>
      <c r="AK22" s="101">
        <f t="shared" si="3"/>
        <v>82.2</v>
      </c>
      <c r="AL22" s="101">
        <f t="shared" si="4"/>
        <v>123.3</v>
      </c>
      <c r="AM22" s="1" t="str">
        <f>VLOOKUP(B:B,'3店辅助表'!AZ:AZ,1,FALSE)</f>
        <v>E03391-NB+E03271</v>
      </c>
      <c r="AN22" t="str">
        <f>VLOOKUP(B:B,'3店辅助表'!AZ:BB,3,FALSE)</f>
        <v>US</v>
      </c>
    </row>
    <row r="23" customHeight="1" spans="1:40">
      <c r="A23" s="58" t="str">
        <f>INDEX('[1]3店'!$A:$A,MATCH(B:B,'[1]3店'!$B:$B,0))</f>
        <v>欣彤</v>
      </c>
      <c r="B23" s="43" t="s">
        <v>645</v>
      </c>
      <c r="C23" s="43" t="s">
        <v>646</v>
      </c>
      <c r="D23" s="59"/>
      <c r="E23" s="43" t="s">
        <v>647</v>
      </c>
      <c r="F23" s="43">
        <v>6</v>
      </c>
      <c r="G23" s="43">
        <v>0</v>
      </c>
      <c r="H23" s="43">
        <v>10</v>
      </c>
      <c r="I23" s="43">
        <v>10</v>
      </c>
      <c r="J23" s="43">
        <v>0</v>
      </c>
      <c r="K23" s="63">
        <f t="shared" si="1"/>
        <v>26</v>
      </c>
      <c r="L23" s="124">
        <f>VLOOKUP($B:$B,'[1]3店'!$B:$L,11,0)</f>
        <v>13.7</v>
      </c>
      <c r="M23" s="44">
        <f t="shared" si="2"/>
        <v>356.2</v>
      </c>
      <c r="N23" s="65">
        <f>IFERROR(VLOOKUP(B:B,'3店辅助表'!B:C,2,FALSE),0)</f>
        <v>4</v>
      </c>
      <c r="O23" s="65">
        <f>IFERROR(VLOOKUP(B:B,'3店辅助表'!E:F,2,FALSE),0)</f>
        <v>7</v>
      </c>
      <c r="P23" s="65">
        <f>IFERROR(VLOOKUP(B:B,'3店辅助表'!H:I,2,FALSE),0)</f>
        <v>13</v>
      </c>
      <c r="Q23" s="65">
        <f>IFERROR(VLOOKUP(B:B,'[1]3店'!$B:$N,13,FALSE),0)</f>
        <v>3</v>
      </c>
      <c r="R23" s="79">
        <f t="shared" si="5"/>
        <v>1</v>
      </c>
      <c r="S23" s="80">
        <f t="shared" si="6"/>
        <v>53.0097087378641</v>
      </c>
      <c r="T23" s="44">
        <f t="shared" si="7"/>
        <v>1.76699029126214</v>
      </c>
      <c r="U23" s="44">
        <f>IFERROR(VLOOKUP($B:$B,'[1]3店'!$B:$T,19,0),"-")</f>
        <v>1.68354430379747</v>
      </c>
      <c r="V23" s="81">
        <f t="shared" si="8"/>
        <v>0.08344598746467</v>
      </c>
      <c r="W23" s="82" t="str">
        <f>_xlfn.IFS(AND(D23&lt;&gt;0,D23-$AM$2&gt;=0,B23&gt;0,D23&lt;&gt;0),"本月刚到货",AND(IFERROR((K23/(N23/7))/30,"-")="-",K23&gt;0),"有库存无销量",AND(IFERROR((K23/(N23/7))/30,"-")="-",K23=0),"无库存无销量",AND(IFERROR((K23/(N23/7))/30,"-")&lt;=0.5,K23=0),"无库存有销量",IFERROR((K23/(N23/7))/30,"-")&lt;=0.5,"库存过低",IFERROR((K23/(N23/7))/30,"-")&lt;=1.5,"正常",IFERROR((K23/(N23/7))/30,"-")&gt;1.5,"库存过高")</f>
        <v>库存过高</v>
      </c>
      <c r="X23" s="83" t="str">
        <f>_xlfn.IFS(AND(D23&lt;&gt;0,D23-$AM$2&gt;=0,K23&gt;0,D23&lt;&gt;0),"本月刚到货",AND(T23="-",K23&gt;0),"有库存无销量",AND(T23="-",K23=0),"无库存无销量",AND(T23&lt;=0.5,K23=0),"无库存有销量",T23&lt;=0.5,"库存过低",T23&lt;=1.5,"正常",T23&gt;1.5,"库存过高")</f>
        <v>库存过高</v>
      </c>
      <c r="Y23" s="44">
        <f>IFERROR(SUMIF('3店辅助表'!K:K,B:B,'3店辅助表'!N:N),0)</f>
        <v>0</v>
      </c>
      <c r="Z23" s="44">
        <f>IFERROR(SUMIF('3店辅助表'!T:T,B:B,'3店辅助表'!W:W),0)</f>
        <v>0</v>
      </c>
      <c r="AA23" s="44">
        <f>IFERROR(SUMIF('3店辅助表'!AC:AC,B:B,'3店辅助表'!AF:AF),0)</f>
        <v>0</v>
      </c>
      <c r="AB23" s="91" t="str">
        <f>IFERROR(SUMIF('3店辅助表'!K:K,B:B,'3店辅助表'!N:N)/SUMIF('3店辅助表'!K:K,B:B,'3店辅助表'!O:O),"-")</f>
        <v>-</v>
      </c>
      <c r="AC23" s="91" t="str">
        <f>IFERROR(VLOOKUP(B:B,'[1]3店'!$B:$AB,27,0),"-")</f>
        <v>-</v>
      </c>
      <c r="AD23" s="92" t="str">
        <f t="shared" si="9"/>
        <v>-</v>
      </c>
      <c r="AE23" s="91" t="str">
        <f>IFERROR(SUMIF('3店辅助表'!T:T,B:B,'3店辅助表'!W:W)/SUMIF('3店辅助表'!T:T,B:B,'3店辅助表'!X:X),"-")</f>
        <v>-</v>
      </c>
      <c r="AF23" s="91" t="str">
        <f>IFERROR(SUMIF('3店辅助表'!AC:AC,B:B,'3店辅助表'!AF:AF)/SUMIF('3店辅助表'!AC:AC,B:B,'3店辅助表'!AG:AG),"-")</f>
        <v>-</v>
      </c>
      <c r="AG23" s="99">
        <f>IFERROR(AK23/((SUMIF('3店辅助表'!AT:AT,B:B,'3店辅助表'!AU:AU)+M23)/2),"-")</f>
        <v>0.177777777777778</v>
      </c>
      <c r="AH23" s="99">
        <f>IFERROR(AL23/((SUMIF('3店辅助表'!AW:AW,B:B,'3店辅助表'!AX:AX)+M23)/2),"-")</f>
        <v>0.311111111111111</v>
      </c>
      <c r="AI23" s="100">
        <f>IFERROR((SUMIF('3店辅助表'!AP:AP,B:B,'3店辅助表'!AR:AR)-SUMIF('3店辅助表'!AP:AP,B:B,'3店辅助表'!AR:AR)*0.15-(L23+IFERROR(VLOOKUP(B:B,'3店辅助表'!AZ:BA,2,0),0))*O23-IF(AN:AN="US",6.85,4.9)*(Z23+4.27*O23))/SUMIF('3店辅助表'!AP:AP,B:B,'3店辅助表'!AR:AR),"-")</f>
        <v>0.292330727960381</v>
      </c>
      <c r="AJ23" s="100">
        <f t="shared" si="10"/>
        <v>0.0909473375876742</v>
      </c>
      <c r="AK23" s="101">
        <f t="shared" si="3"/>
        <v>54.8</v>
      </c>
      <c r="AL23" s="101">
        <f t="shared" si="4"/>
        <v>95.9</v>
      </c>
      <c r="AM23" s="1" t="str">
        <f>VLOOKUP(B:B,'3店辅助表'!AZ:AZ,1,FALSE)</f>
        <v>E03391-OR+E03271</v>
      </c>
      <c r="AN23" t="str">
        <f>VLOOKUP(B:B,'3店辅助表'!AZ:BB,3,FALSE)</f>
        <v>US</v>
      </c>
    </row>
    <row r="24" customHeight="1" spans="1:40">
      <c r="A24" s="58" t="str">
        <f>INDEX('[1]3店'!$A:$A,MATCH(B:B,'[1]3店'!$B:$B,0))</f>
        <v>欣彤</v>
      </c>
      <c r="B24" s="43" t="s">
        <v>648</v>
      </c>
      <c r="C24" s="43" t="s">
        <v>649</v>
      </c>
      <c r="D24" s="59"/>
      <c r="E24" s="43" t="s">
        <v>650</v>
      </c>
      <c r="F24" s="43">
        <v>0</v>
      </c>
      <c r="G24" s="43">
        <v>3</v>
      </c>
      <c r="H24" s="43">
        <v>184</v>
      </c>
      <c r="I24" s="43">
        <v>6</v>
      </c>
      <c r="J24" s="43">
        <v>20</v>
      </c>
      <c r="K24" s="63">
        <f t="shared" si="1"/>
        <v>213</v>
      </c>
      <c r="L24" s="124">
        <f>VLOOKUP($B:$B,'[1]3店'!$B:$L,11,0)</f>
        <v>13.7</v>
      </c>
      <c r="M24" s="44">
        <f t="shared" si="2"/>
        <v>2918.1</v>
      </c>
      <c r="N24" s="65">
        <f>IFERROR(VLOOKUP(B:B,'3店辅助表'!B:C,2,FALSE),0)</f>
        <v>176</v>
      </c>
      <c r="O24" s="65">
        <f>IFERROR(VLOOKUP(B:B,'3店辅助表'!E:F,2,FALSE),0)</f>
        <v>269</v>
      </c>
      <c r="P24" s="65">
        <f>IFERROR(VLOOKUP(B:B,'3店辅助表'!H:I,2,FALSE),0)</f>
        <v>563</v>
      </c>
      <c r="Q24" s="65">
        <f>IFERROR(VLOOKUP(B:B,'[1]3店'!$B:$N,13,FALSE),0)</f>
        <v>88</v>
      </c>
      <c r="R24" s="79">
        <f t="shared" si="5"/>
        <v>88</v>
      </c>
      <c r="S24" s="80">
        <f t="shared" si="6"/>
        <v>10.3326403326403</v>
      </c>
      <c r="T24" s="44">
        <f t="shared" si="7"/>
        <v>0.344421344421344</v>
      </c>
      <c r="U24" s="44">
        <f>IFERROR(VLOOKUP($B:$B,'[1]3店'!$B:$T,19,0),"-")</f>
        <v>0.477841315225161</v>
      </c>
      <c r="V24" s="81">
        <f t="shared" si="8"/>
        <v>-0.133419970803817</v>
      </c>
      <c r="W24" s="82" t="str">
        <f>_xlfn.IFS(AND(D24&lt;&gt;0,D24-$AM$2&gt;=0,B24&gt;0,D24&lt;&gt;0),"本月刚到货",AND(IFERROR((K24/(N24/7))/30,"-")="-",K24&gt;0),"有库存无销量",AND(IFERROR((K24/(N24/7))/30,"-")="-",K24=0),"无库存无销量",AND(IFERROR((K24/(N24/7))/30,"-")&lt;=0.5,K24=0),"无库存有销量",IFERROR((K24/(N24/7))/30,"-")&lt;=0.5,"库存过低",IFERROR((K24/(N24/7))/30,"-")&lt;=1.5,"正常",IFERROR((K24/(N24/7))/30,"-")&gt;1.5,"库存过高")</f>
        <v>库存过低</v>
      </c>
      <c r="X24" s="83" t="str">
        <f>_xlfn.IFS(AND(D24&lt;&gt;0,D24-$AM$2&gt;=0,K24&gt;0,D24&lt;&gt;0),"本月刚到货",AND(T24="-",K24&gt;0),"有库存无销量",AND(T24="-",K24=0),"无库存无销量",AND(T24&lt;=0.5,K24=0),"无库存有销量",T24&lt;=0.5,"库存过低",T24&lt;=1.5,"正常",T24&gt;1.5,"库存过高")</f>
        <v>库存过低</v>
      </c>
      <c r="Y24" s="44">
        <f>IFERROR(SUMIF('3店辅助表'!K:K,B:B,'3店辅助表'!N:N),0)</f>
        <v>50.72</v>
      </c>
      <c r="Z24" s="44">
        <f>IFERROR(SUMIF('3店辅助表'!T:T,B:B,'3店辅助表'!W:W),0)</f>
        <v>107.94</v>
      </c>
      <c r="AA24" s="44">
        <f>IFERROR(SUMIF('3店辅助表'!AC:AC,B:B,'3店辅助表'!AF:AF),0)</f>
        <v>183.2</v>
      </c>
      <c r="AB24" s="91">
        <f>IFERROR(SUMIF('3店辅助表'!K:K,B:B,'3店辅助表'!N:N)/SUMIF('3店辅助表'!K:K,B:B,'3店辅助表'!O:O),"-")</f>
        <v>0.139874796613441</v>
      </c>
      <c r="AC24" s="91">
        <f>IFERROR(VLOOKUP(B:B,'[1]3店'!$B:$AB,27,0),"-")</f>
        <v>0.160627001516939</v>
      </c>
      <c r="AD24" s="92">
        <f t="shared" si="9"/>
        <v>-0.020752204903498</v>
      </c>
      <c r="AE24" s="91">
        <f>IFERROR(SUMIF('3店辅助表'!T:T,B:B,'3店辅助表'!W:W)/SUMIF('3店辅助表'!T:T,B:B,'3店辅助表'!X:X),"-")</f>
        <v>0.151767385619077</v>
      </c>
      <c r="AF24" s="91">
        <f>IFERROR(SUMIF('3店辅助表'!AC:AC,B:B,'3店辅助表'!AF:AF)/SUMIF('3店辅助表'!AC:AC,B:B,'3店辅助表'!AG:AG),"-")</f>
        <v>0.151064128041691</v>
      </c>
      <c r="AG24" s="99">
        <f>IFERROR(AK24/((SUMIF('3店辅助表'!AT:AT,B:B,'3店辅助表'!AU:AU)+M24)/2),"-")</f>
        <v>0.871287128712871</v>
      </c>
      <c r="AH24" s="99">
        <f>IFERROR(AL24/((SUMIF('3店辅助表'!AW:AW,B:B,'3店辅助表'!AX:AX)+M24)/2),"-")</f>
        <v>1.00749063670412</v>
      </c>
      <c r="AI24" s="100">
        <f>IFERROR((SUMIF('3店辅助表'!AP:AP,B:B,'3店辅助表'!AR:AR)-SUMIF('3店辅助表'!AP:AP,B:B,'3店辅助表'!AR:AR)*0.15-(L24+IFERROR(VLOOKUP(B:B,'3店辅助表'!AZ:BA,2,0),0))*O24-IF(AN:AN="US",6.85,4.9)*(Z24+4.27*O24))/SUMIF('3店辅助表'!AP:AP,B:B,'3店辅助表'!AR:AR),"-")</f>
        <v>0.237471803450039</v>
      </c>
      <c r="AJ24" s="100">
        <f t="shared" si="10"/>
        <v>0.239250618457155</v>
      </c>
      <c r="AK24" s="101">
        <f t="shared" si="3"/>
        <v>2411.2</v>
      </c>
      <c r="AL24" s="101">
        <f t="shared" si="4"/>
        <v>3685.3</v>
      </c>
      <c r="AM24" s="1" t="str">
        <f>VLOOKUP(B:B,'3店辅助表'!AZ:AZ,1,FALSE)</f>
        <v>Y03449-BL+Y03476</v>
      </c>
      <c r="AN24" t="str">
        <f>VLOOKUP(B:B,'3店辅助表'!AZ:BB,3,FALSE)</f>
        <v>US</v>
      </c>
    </row>
    <row r="25" customHeight="1" spans="1:40">
      <c r="A25" s="58" t="str">
        <f>INDEX('[1]3店'!$A:$A,MATCH(B:B,'[1]3店'!$B:$B,0))</f>
        <v>欣彤</v>
      </c>
      <c r="B25" s="43" t="s">
        <v>651</v>
      </c>
      <c r="C25" s="43" t="s">
        <v>652</v>
      </c>
      <c r="D25" s="59"/>
      <c r="E25" s="43" t="s">
        <v>653</v>
      </c>
      <c r="F25" s="43">
        <v>10</v>
      </c>
      <c r="G25" s="43">
        <v>0</v>
      </c>
      <c r="H25" s="43">
        <v>106</v>
      </c>
      <c r="I25" s="43">
        <v>0</v>
      </c>
      <c r="J25" s="43">
        <v>0</v>
      </c>
      <c r="K25" s="63">
        <f t="shared" si="1"/>
        <v>116</v>
      </c>
      <c r="L25" s="124">
        <f>VLOOKUP($B:$B,'[1]3店'!$B:$L,11,0)</f>
        <v>13.7</v>
      </c>
      <c r="M25" s="44">
        <f t="shared" si="2"/>
        <v>1589.2</v>
      </c>
      <c r="N25" s="65">
        <f>IFERROR(VLOOKUP(B:B,'3店辅助表'!B:C,2,FALSE),0)</f>
        <v>6</v>
      </c>
      <c r="O25" s="65">
        <f>IFERROR(VLOOKUP(B:B,'3店辅助表'!E:F,2,FALSE),0)</f>
        <v>9</v>
      </c>
      <c r="P25" s="65">
        <f>IFERROR(VLOOKUP(B:B,'3店辅助表'!H:I,2,FALSE),0)</f>
        <v>37</v>
      </c>
      <c r="Q25" s="65">
        <f>IFERROR(VLOOKUP(B:B,'[1]3店'!$B:$N,13,FALSE),0)</f>
        <v>2</v>
      </c>
      <c r="R25" s="79">
        <f t="shared" si="5"/>
        <v>4</v>
      </c>
      <c r="S25" s="80">
        <f t="shared" si="6"/>
        <v>129.345132743363</v>
      </c>
      <c r="T25" s="44">
        <f t="shared" si="7"/>
        <v>4.31150442477876</v>
      </c>
      <c r="U25" s="44">
        <f>IFERROR(VLOOKUP($B:$B,'[1]3店'!$B:$T,19,0),"-")</f>
        <v>0.411764705882353</v>
      </c>
      <c r="V25" s="81">
        <f t="shared" si="8"/>
        <v>3.89973971889641</v>
      </c>
      <c r="W25" s="82" t="str">
        <f>_xlfn.IFS(AND(D25&lt;&gt;0,D25-$AM$2&gt;=0,B25&gt;0,D25&lt;&gt;0),"本月刚到货",AND(IFERROR((K25/(N25/7))/30,"-")="-",K25&gt;0),"有库存无销量",AND(IFERROR((K25/(N25/7))/30,"-")="-",K25=0),"无库存无销量",AND(IFERROR((K25/(N25/7))/30,"-")&lt;=0.5,K25=0),"无库存有销量",IFERROR((K25/(N25/7))/30,"-")&lt;=0.5,"库存过低",IFERROR((K25/(N25/7))/30,"-")&lt;=1.5,"正常",IFERROR((K25/(N25/7))/30,"-")&gt;1.5,"库存过高")</f>
        <v>库存过高</v>
      </c>
      <c r="X25" s="83" t="str">
        <f>_xlfn.IFS(AND(D25&lt;&gt;0,D25-$AM$2&gt;=0,K25&gt;0,D25&lt;&gt;0),"本月刚到货",AND(T25="-",K25&gt;0),"有库存无销量",AND(T25="-",K25=0),"无库存无销量",AND(T25&lt;=0.5,K25=0),"无库存有销量",T25&lt;=0.5,"库存过低",T25&lt;=1.5,"正常",T25&gt;1.5,"库存过高")</f>
        <v>库存过高</v>
      </c>
      <c r="Y25" s="44">
        <f>IFERROR(SUMIF('3店辅助表'!K:K,B:B,'3店辅助表'!N:N),0)</f>
        <v>0</v>
      </c>
      <c r="Z25" s="44">
        <f>IFERROR(SUMIF('3店辅助表'!T:T,B:B,'3店辅助表'!W:W),0)</f>
        <v>0</v>
      </c>
      <c r="AA25" s="44">
        <f>IFERROR(SUMIF('3店辅助表'!AC:AC,B:B,'3店辅助表'!AF:AF),0)</f>
        <v>0</v>
      </c>
      <c r="AB25" s="91" t="str">
        <f>IFERROR(SUMIF('3店辅助表'!K:K,B:B,'3店辅助表'!N:N)/SUMIF('3店辅助表'!K:K,B:B,'3店辅助表'!O:O),"-")</f>
        <v>-</v>
      </c>
      <c r="AC25" s="91" t="str">
        <f>IFERROR(VLOOKUP(B:B,'[1]3店'!$B:$AB,27,0),"-")</f>
        <v>-</v>
      </c>
      <c r="AD25" s="92" t="str">
        <f t="shared" si="9"/>
        <v>-</v>
      </c>
      <c r="AE25" s="91" t="str">
        <f>IFERROR(SUMIF('3店辅助表'!T:T,B:B,'3店辅助表'!W:W)/SUMIF('3店辅助表'!T:T,B:B,'3店辅助表'!X:X),"-")</f>
        <v>-</v>
      </c>
      <c r="AF25" s="91" t="str">
        <f>IFERROR(SUMIF('3店辅助表'!AC:AC,B:B,'3店辅助表'!AF:AF)/SUMIF('3店辅助表'!AC:AC,B:B,'3店辅助表'!AG:AG),"-")</f>
        <v>-</v>
      </c>
      <c r="AG25" s="99">
        <f>IFERROR(AK25/((SUMIF('3店辅助表'!AT:AT,B:B,'3店辅助表'!AU:AU)+M25)/2),"-")</f>
        <v>0.096</v>
      </c>
      <c r="AH25" s="99">
        <f>IFERROR(AL25/((SUMIF('3店辅助表'!AW:AW,B:B,'3店辅助表'!AX:AX)+M25)/2),"-")</f>
        <v>0.100558659217877</v>
      </c>
      <c r="AI25" s="100">
        <f>IFERROR((SUMIF('3店辅助表'!AP:AP,B:B,'3店辅助表'!AR:AR)-SUMIF('3店辅助表'!AP:AP,B:B,'3店辅助表'!AR:AR)*0.15-(L25+IFERROR(VLOOKUP(B:B,'3店辅助表'!AZ:BA,2,0),0))*O25-IF(AN:AN="US",6.85,4.9)*(Z25+4.27*O25))/SUMIF('3店辅助表'!AP:AP,B:B,'3店辅助表'!AR:AR),"-")</f>
        <v>0.297681396830858</v>
      </c>
      <c r="AJ25" s="100">
        <f t="shared" si="10"/>
        <v>0.0299344421394159</v>
      </c>
      <c r="AK25" s="101">
        <f t="shared" si="3"/>
        <v>82.2</v>
      </c>
      <c r="AL25" s="101">
        <f t="shared" si="4"/>
        <v>123.3</v>
      </c>
      <c r="AM25" s="1" t="str">
        <f>VLOOKUP(B:B,'3店辅助表'!AZ:AZ,1,FALSE)</f>
        <v>Y03449-DG+Y03476</v>
      </c>
      <c r="AN25" t="str">
        <f>VLOOKUP(B:B,'3店辅助表'!AZ:BB,3,FALSE)</f>
        <v>US</v>
      </c>
    </row>
    <row r="26" customHeight="1" spans="1:40">
      <c r="A26" s="58" t="str">
        <f>INDEX('[1]3店'!$A:$A,MATCH(B:B,'[1]3店'!$B:$B,0))</f>
        <v>欣彤</v>
      </c>
      <c r="B26" s="43" t="s">
        <v>654</v>
      </c>
      <c r="C26" s="43" t="s">
        <v>655</v>
      </c>
      <c r="D26" s="59"/>
      <c r="E26" s="43" t="s">
        <v>656</v>
      </c>
      <c r="F26" s="43">
        <v>0</v>
      </c>
      <c r="G26" s="43">
        <v>0</v>
      </c>
      <c r="H26" s="43">
        <v>51</v>
      </c>
      <c r="I26" s="43">
        <v>1</v>
      </c>
      <c r="J26" s="43">
        <v>1</v>
      </c>
      <c r="K26" s="63">
        <f t="shared" si="1"/>
        <v>53</v>
      </c>
      <c r="L26" s="124">
        <f>VLOOKUP($B:$B,'[1]3店'!$B:$L,11,0)</f>
        <v>13.7</v>
      </c>
      <c r="M26" s="44">
        <f t="shared" si="2"/>
        <v>726.1</v>
      </c>
      <c r="N26" s="65">
        <f>IFERROR(VLOOKUP(B:B,'3店辅助表'!B:C,2,FALSE),0)</f>
        <v>10</v>
      </c>
      <c r="O26" s="65">
        <f>IFERROR(VLOOKUP(B:B,'3店辅助表'!E:F,2,FALSE),0)</f>
        <v>23</v>
      </c>
      <c r="P26" s="65">
        <f>IFERROR(VLOOKUP(B:B,'3店辅助表'!H:I,2,FALSE),0)</f>
        <v>57</v>
      </c>
      <c r="Q26" s="65">
        <f>IFERROR(VLOOKUP(B:B,'[1]3店'!$B:$N,13,FALSE),0)</f>
        <v>11</v>
      </c>
      <c r="R26" s="79">
        <f t="shared" si="5"/>
        <v>-1</v>
      </c>
      <c r="S26" s="80">
        <f t="shared" si="6"/>
        <v>32.7032321253673</v>
      </c>
      <c r="T26" s="44">
        <f t="shared" si="7"/>
        <v>1.09010773751224</v>
      </c>
      <c r="U26" s="44">
        <f>IFERROR(VLOOKUP($B:$B,'[1]3店'!$B:$T,19,0),"-")</f>
        <v>1.45565749235474</v>
      </c>
      <c r="V26" s="81">
        <f t="shared" si="8"/>
        <v>-0.3655497548425</v>
      </c>
      <c r="W26" s="82" t="str">
        <f>_xlfn.IFS(AND(D26&lt;&gt;0,D26-$AM$2&gt;=0,B26&gt;0,D26&lt;&gt;0),"本月刚到货",AND(IFERROR((K26/(N26/7))/30,"-")="-",K26&gt;0),"有库存无销量",AND(IFERROR((K26/(N26/7))/30,"-")="-",K26=0),"无库存无销量",AND(IFERROR((K26/(N26/7))/30,"-")&lt;=0.5,K26=0),"无库存有销量",IFERROR((K26/(N26/7))/30,"-")&lt;=0.5,"库存过低",IFERROR((K26/(N26/7))/30,"-")&lt;=1.5,"正常",IFERROR((K26/(N26/7))/30,"-")&gt;1.5,"库存过高")</f>
        <v>正常</v>
      </c>
      <c r="X26" s="83" t="str">
        <f>_xlfn.IFS(AND(D26&lt;&gt;0,D26-$AM$2&gt;=0,K26&gt;0,D26&lt;&gt;0),"本月刚到货",AND(T26="-",K26&gt;0),"有库存无销量",AND(T26="-",K26=0),"无库存无销量",AND(T26&lt;=0.5,K26=0),"无库存有销量",T26&lt;=0.5,"库存过低",T26&lt;=1.5,"正常",T26&gt;1.5,"库存过高")</f>
        <v>正常</v>
      </c>
      <c r="Y26" s="44">
        <f>IFERROR(SUMIF('3店辅助表'!K:K,B:B,'3店辅助表'!N:N),0)</f>
        <v>0</v>
      </c>
      <c r="Z26" s="44">
        <f>IFERROR(SUMIF('3店辅助表'!T:T,B:B,'3店辅助表'!W:W),0)</f>
        <v>0</v>
      </c>
      <c r="AA26" s="44">
        <f>IFERROR(SUMIF('3店辅助表'!AC:AC,B:B,'3店辅助表'!AF:AF),0)</f>
        <v>0</v>
      </c>
      <c r="AB26" s="91" t="str">
        <f>IFERROR(SUMIF('3店辅助表'!K:K,B:B,'3店辅助表'!N:N)/SUMIF('3店辅助表'!K:K,B:B,'3店辅助表'!O:O),"-")</f>
        <v>-</v>
      </c>
      <c r="AC26" s="91" t="str">
        <f>IFERROR(VLOOKUP(B:B,'[1]3店'!$B:$AB,27,0),"-")</f>
        <v>-</v>
      </c>
      <c r="AD26" s="92" t="str">
        <f t="shared" si="9"/>
        <v>-</v>
      </c>
      <c r="AE26" s="91" t="str">
        <f>IFERROR(SUMIF('3店辅助表'!T:T,B:B,'3店辅助表'!W:W)/SUMIF('3店辅助表'!T:T,B:B,'3店辅助表'!X:X),"-")</f>
        <v>-</v>
      </c>
      <c r="AF26" s="91" t="str">
        <f>IFERROR(SUMIF('3店辅助表'!AC:AC,B:B,'3店辅助表'!AF:AF)/SUMIF('3店辅助表'!AC:AC,B:B,'3店辅助表'!AG:AG),"-")</f>
        <v>-</v>
      </c>
      <c r="AG26" s="99">
        <f>IFERROR(AK26/((SUMIF('3店辅助表'!AT:AT,B:B,'3店辅助表'!AU:AU)+M26)/2),"-")</f>
        <v>0.165289256198347</v>
      </c>
      <c r="AH26" s="99">
        <f>IFERROR(AL26/((SUMIF('3店辅助表'!AW:AW,B:B,'3店辅助表'!AX:AX)+M26)/2),"-")</f>
        <v>0.308724832214765</v>
      </c>
      <c r="AI26" s="100">
        <f>IFERROR((SUMIF('3店辅助表'!AP:AP,B:B,'3店辅助表'!AR:AR)-SUMIF('3店辅助表'!AP:AP,B:B,'3店辅助表'!AR:AR)*0.15-(L26+IFERROR(VLOOKUP(B:B,'3店辅助表'!AZ:BA,2,0),0))*O26-IF(AN:AN="US",6.85,4.9)*(Z26+4.27*O26))/SUMIF('3店辅助表'!AP:AP,B:B,'3店辅助表'!AR:AR),"-")</f>
        <v>0.296357081135996</v>
      </c>
      <c r="AJ26" s="100">
        <f t="shared" si="10"/>
        <v>0.0914927901493678</v>
      </c>
      <c r="AK26" s="101">
        <f t="shared" si="3"/>
        <v>137</v>
      </c>
      <c r="AL26" s="101">
        <f t="shared" si="4"/>
        <v>315.1</v>
      </c>
      <c r="AM26" s="1" t="str">
        <f>VLOOKUP(B:B,'3店辅助表'!AZ:AZ,1,FALSE)</f>
        <v>Y03449-NB+Y03476</v>
      </c>
      <c r="AN26" t="str">
        <f>VLOOKUP(B:B,'3店辅助表'!AZ:BB,3,FALSE)</f>
        <v>US</v>
      </c>
    </row>
    <row r="27" customHeight="1" spans="1:40">
      <c r="A27" s="58" t="str">
        <f>INDEX('[1]3店'!$A:$A,MATCH(B:B,'[1]3店'!$B:$B,0))</f>
        <v>欣彤</v>
      </c>
      <c r="B27" s="43" t="s">
        <v>657</v>
      </c>
      <c r="C27" s="43" t="s">
        <v>658</v>
      </c>
      <c r="D27" s="59"/>
      <c r="E27" s="43" t="s">
        <v>659</v>
      </c>
      <c r="F27" s="43">
        <v>3</v>
      </c>
      <c r="G27" s="43">
        <v>0</v>
      </c>
      <c r="H27" s="43">
        <v>97</v>
      </c>
      <c r="I27" s="43">
        <v>1</v>
      </c>
      <c r="J27" s="43">
        <v>0</v>
      </c>
      <c r="K27" s="63">
        <f t="shared" si="1"/>
        <v>101</v>
      </c>
      <c r="L27" s="124">
        <f>VLOOKUP($B:$B,'[1]3店'!$B:$L,11,0)</f>
        <v>13.7</v>
      </c>
      <c r="M27" s="44">
        <f t="shared" si="2"/>
        <v>1383.7</v>
      </c>
      <c r="N27" s="65">
        <f>IFERROR(VLOOKUP(B:B,'3店辅助表'!B:C,2,FALSE),0)</f>
        <v>5</v>
      </c>
      <c r="O27" s="65">
        <f>IFERROR(VLOOKUP(B:B,'3店辅助表'!E:F,2,FALSE),0)</f>
        <v>11</v>
      </c>
      <c r="P27" s="65">
        <f>IFERROR(VLOOKUP(B:B,'3店辅助表'!H:I,2,FALSE),0)</f>
        <v>18</v>
      </c>
      <c r="Q27" s="65">
        <f>IFERROR(VLOOKUP(B:B,'[1]3店'!$B:$N,13,FALSE),0)</f>
        <v>1</v>
      </c>
      <c r="R27" s="79">
        <f t="shared" si="5"/>
        <v>4</v>
      </c>
      <c r="S27" s="80">
        <f t="shared" si="6"/>
        <v>147.976744186047</v>
      </c>
      <c r="T27" s="44">
        <f t="shared" si="7"/>
        <v>4.93255813953489</v>
      </c>
      <c r="U27" s="44">
        <f>IFERROR(VLOOKUP($B:$B,'[1]3店'!$B:$T,19,0),"-")</f>
        <v>3.87234042553191</v>
      </c>
      <c r="V27" s="81">
        <f t="shared" si="8"/>
        <v>1.06021771400298</v>
      </c>
      <c r="W27" s="82" t="str">
        <f>_xlfn.IFS(AND(D27&lt;&gt;0,D27-$AM$2&gt;=0,B27&gt;0,D27&lt;&gt;0),"本月刚到货",AND(IFERROR((K27/(N27/7))/30,"-")="-",K27&gt;0),"有库存无销量",AND(IFERROR((K27/(N27/7))/30,"-")="-",K27=0),"无库存无销量",AND(IFERROR((K27/(N27/7))/30,"-")&lt;=0.5,K27=0),"无库存有销量",IFERROR((K27/(N27/7))/30,"-")&lt;=0.5,"库存过低",IFERROR((K27/(N27/7))/30,"-")&lt;=1.5,"正常",IFERROR((K27/(N27/7))/30,"-")&gt;1.5,"库存过高")</f>
        <v>库存过高</v>
      </c>
      <c r="X27" s="83" t="str">
        <f>_xlfn.IFS(AND(D27&lt;&gt;0,D27-$AM$2&gt;=0,K27&gt;0,D27&lt;&gt;0),"本月刚到货",AND(T27="-",K27&gt;0),"有库存无销量",AND(T27="-",K27=0),"无库存无销量",AND(T27&lt;=0.5,K27=0),"无库存有销量",T27&lt;=0.5,"库存过低",T27&lt;=1.5,"正常",T27&gt;1.5,"库存过高")</f>
        <v>库存过高</v>
      </c>
      <c r="Y27" s="44">
        <f>IFERROR(SUMIF('3店辅助表'!K:K,B:B,'3店辅助表'!N:N),0)</f>
        <v>0</v>
      </c>
      <c r="Z27" s="44">
        <f>IFERROR(SUMIF('3店辅助表'!T:T,B:B,'3店辅助表'!W:W),0)</f>
        <v>0</v>
      </c>
      <c r="AA27" s="44">
        <f>IFERROR(SUMIF('3店辅助表'!AC:AC,B:B,'3店辅助表'!AF:AF),0)</f>
        <v>0</v>
      </c>
      <c r="AB27" s="91" t="str">
        <f>IFERROR(SUMIF('3店辅助表'!K:K,B:B,'3店辅助表'!N:N)/SUMIF('3店辅助表'!K:K,B:B,'3店辅助表'!O:O),"-")</f>
        <v>-</v>
      </c>
      <c r="AC27" s="91" t="str">
        <f>IFERROR(VLOOKUP(B:B,'[1]3店'!$B:$AB,27,0),"-")</f>
        <v>-</v>
      </c>
      <c r="AD27" s="92" t="str">
        <f t="shared" si="9"/>
        <v>-</v>
      </c>
      <c r="AE27" s="91" t="str">
        <f>IFERROR(SUMIF('3店辅助表'!T:T,B:B,'3店辅助表'!W:W)/SUMIF('3店辅助表'!T:T,B:B,'3店辅助表'!X:X),"-")</f>
        <v>-</v>
      </c>
      <c r="AF27" s="91" t="str">
        <f>IFERROR(SUMIF('3店辅助表'!AC:AC,B:B,'3店辅助表'!AF:AF)/SUMIF('3店辅助表'!AC:AC,B:B,'3店辅助表'!AG:AG),"-")</f>
        <v>-</v>
      </c>
      <c r="AG27" s="99">
        <f>IFERROR(AK27/((SUMIF('3店辅助表'!AT:AT,B:B,'3店辅助表'!AU:AU)+M27)/2),"-")</f>
        <v>0.065359477124183</v>
      </c>
      <c r="AH27" s="99">
        <f>IFERROR(AL27/((SUMIF('3店辅助表'!AW:AW,B:B,'3店辅助表'!AX:AX)+M27)/2),"-")</f>
        <v>0.134146341463415</v>
      </c>
      <c r="AI27" s="100">
        <f>IFERROR((SUMIF('3店辅助表'!AP:AP,B:B,'3店辅助表'!AR:AR)-SUMIF('3店辅助表'!AP:AP,B:B,'3店辅助表'!AR:AR)*0.15-(L27+IFERROR(VLOOKUP(B:B,'3店辅助表'!AZ:BA,2,0),0))*O27-IF(AN:AN="US",6.85,4.9)*(Z27+4.27*O27))/SUMIF('3店辅助表'!AP:AP,B:B,'3店辅助表'!AR:AR),"-")</f>
        <v>0.277633894058834</v>
      </c>
      <c r="AJ27" s="100">
        <f t="shared" si="10"/>
        <v>0.0372435711542338</v>
      </c>
      <c r="AK27" s="101">
        <f t="shared" si="3"/>
        <v>68.5</v>
      </c>
      <c r="AL27" s="101">
        <f t="shared" si="4"/>
        <v>150.7</v>
      </c>
      <c r="AM27" s="1" t="str">
        <f>VLOOKUP(B:B,'3店辅助表'!AZ:AZ,1,FALSE)</f>
        <v>Y03449-OR+Y03476</v>
      </c>
      <c r="AN27" t="str">
        <f>VLOOKUP(B:B,'3店辅助表'!AZ:BB,3,FALSE)</f>
        <v>US</v>
      </c>
    </row>
    <row r="28" customHeight="1" spans="1:40">
      <c r="A28" s="58" t="str">
        <f>INDEX('[1]3店'!$A:$A,MATCH(B:B,'[1]3店'!$B:$B,0))</f>
        <v>欣彤</v>
      </c>
      <c r="B28" s="43" t="s">
        <v>660</v>
      </c>
      <c r="C28" s="43" t="s">
        <v>661</v>
      </c>
      <c r="D28" s="59"/>
      <c r="E28" s="43" t="s">
        <v>662</v>
      </c>
      <c r="F28" s="43">
        <v>10</v>
      </c>
      <c r="G28" s="43">
        <v>0</v>
      </c>
      <c r="H28" s="43">
        <v>0</v>
      </c>
      <c r="I28" s="43">
        <v>0</v>
      </c>
      <c r="J28" s="43">
        <v>0</v>
      </c>
      <c r="K28" s="63">
        <f t="shared" si="1"/>
        <v>10</v>
      </c>
      <c r="L28" s="124">
        <f>VLOOKUP($B:$B,'[1]3店'!$B:$L,11,0)</f>
        <v>13.7</v>
      </c>
      <c r="M28" s="44">
        <f t="shared" si="2"/>
        <v>137</v>
      </c>
      <c r="N28" s="65">
        <f>IFERROR(VLOOKUP(B:B,'3店辅助表'!B:C,2,FALSE),0)</f>
        <v>4</v>
      </c>
      <c r="O28" s="65">
        <f>IFERROR(VLOOKUP(B:B,'3店辅助表'!E:F,2,FALSE),0)</f>
        <v>7</v>
      </c>
      <c r="P28" s="65">
        <f>IFERROR(VLOOKUP(B:B,'3店辅助表'!H:I,2,FALSE),0)</f>
        <v>17</v>
      </c>
      <c r="Q28" s="65">
        <f>IFERROR(VLOOKUP(B:B,'[1]3店'!$B:$N,13,FALSE),0)</f>
        <v>2</v>
      </c>
      <c r="R28" s="79">
        <f t="shared" si="5"/>
        <v>2</v>
      </c>
      <c r="S28" s="80">
        <f t="shared" si="6"/>
        <v>18.6943620178042</v>
      </c>
      <c r="T28" s="44">
        <f t="shared" si="7"/>
        <v>0.623145400593472</v>
      </c>
      <c r="U28" s="44">
        <f>IFERROR(VLOOKUP($B:$B,'[1]3店'!$B:$T,19,0),"-")</f>
        <v>0.865979381443299</v>
      </c>
      <c r="V28" s="81">
        <f t="shared" si="8"/>
        <v>-0.242833980849827</v>
      </c>
      <c r="W28" s="82" t="str">
        <f>_xlfn.IFS(AND(D28&lt;&gt;0,D28-$AM$2&gt;=0,B28&gt;0,D28&lt;&gt;0),"本月刚到货",AND(IFERROR((K28/(N28/7))/30,"-")="-",K28&gt;0),"有库存无销量",AND(IFERROR((K28/(N28/7))/30,"-")="-",K28=0),"无库存无销量",AND(IFERROR((K28/(N28/7))/30,"-")&lt;=0.5,K28=0),"无库存有销量",IFERROR((K28/(N28/7))/30,"-")&lt;=0.5,"库存过低",IFERROR((K28/(N28/7))/30,"-")&lt;=1.5,"正常",IFERROR((K28/(N28/7))/30,"-")&gt;1.5,"库存过高")</f>
        <v>正常</v>
      </c>
      <c r="X28" s="83" t="str">
        <f>_xlfn.IFS(AND(D28&lt;&gt;0,D28-$AM$2&gt;=0,K28&gt;0,D28&lt;&gt;0),"本月刚到货",AND(T28="-",K28&gt;0),"有库存无销量",AND(T28="-",K28=0),"无库存无销量",AND(T28&lt;=0.5,K28=0),"无库存有销量",T28&lt;=0.5,"库存过低",T28&lt;=1.5,"正常",T28&gt;1.5,"库存过高")</f>
        <v>正常</v>
      </c>
      <c r="Y28" s="44">
        <f>IFERROR(SUMIF('3店辅助表'!K:K,B:B,'3店辅助表'!N:N),0)</f>
        <v>0</v>
      </c>
      <c r="Z28" s="44">
        <f>IFERROR(SUMIF('3店辅助表'!T:T,B:B,'3店辅助表'!W:W),0)</f>
        <v>0</v>
      </c>
      <c r="AA28" s="44">
        <f>IFERROR(SUMIF('3店辅助表'!AC:AC,B:B,'3店辅助表'!AF:AF),0)</f>
        <v>0</v>
      </c>
      <c r="AB28" s="91" t="str">
        <f>IFERROR(SUMIF('3店辅助表'!K:K,B:B,'3店辅助表'!N:N)/SUMIF('3店辅助表'!K:K,B:B,'3店辅助表'!O:O),"-")</f>
        <v>-</v>
      </c>
      <c r="AC28" s="91" t="str">
        <f>IFERROR(VLOOKUP(B:B,'[1]3店'!$B:$AB,27,0),"-")</f>
        <v>-</v>
      </c>
      <c r="AD28" s="92" t="str">
        <f t="shared" si="9"/>
        <v>-</v>
      </c>
      <c r="AE28" s="91" t="str">
        <f>IFERROR(SUMIF('3店辅助表'!T:T,B:B,'3店辅助表'!W:W)/SUMIF('3店辅助表'!T:T,B:B,'3店辅助表'!X:X),"-")</f>
        <v>-</v>
      </c>
      <c r="AF28" s="91" t="str">
        <f>IFERROR(SUMIF('3店辅助表'!AC:AC,B:B,'3店辅助表'!AF:AF)/SUMIF('3店辅助表'!AC:AC,B:B,'3店辅助表'!AG:AG),"-")</f>
        <v>-</v>
      </c>
      <c r="AG28" s="99">
        <f>IFERROR(AK28/((SUMIF('3店辅助表'!AT:AT,B:B,'3店辅助表'!AU:AU)+M28)/2),"-")</f>
        <v>0.363636363636364</v>
      </c>
      <c r="AH28" s="99">
        <f>IFERROR(AL28/((SUMIF('3店辅助表'!AW:AW,B:B,'3店辅助表'!AX:AX)+M28)/2),"-")</f>
        <v>0.4</v>
      </c>
      <c r="AI28" s="100">
        <f>IFERROR((SUMIF('3店辅助表'!AP:AP,B:B,'3店辅助表'!AR:AR)-SUMIF('3店辅助表'!AP:AP,B:B,'3店辅助表'!AR:AR)*0.15-(L28+IFERROR(VLOOKUP(B:B,'3店辅助表'!AZ:BA,2,0),0))*O28-IF(AN:AN="US",6.85,4.9)*(Z28+4.27*O28))/SUMIF('3店辅助表'!AP:AP,B:B,'3店辅助表'!AR:AR),"-")</f>
        <v>0.311374935260325</v>
      </c>
      <c r="AJ28" s="100">
        <f t="shared" si="10"/>
        <v>0.12454997410413</v>
      </c>
      <c r="AK28" s="101">
        <f t="shared" si="3"/>
        <v>54.8</v>
      </c>
      <c r="AL28" s="101">
        <f t="shared" si="4"/>
        <v>95.9</v>
      </c>
      <c r="AM28" s="1" t="str">
        <f>VLOOKUP(B:B,'3店辅助表'!AZ:AZ,1,FALSE)</f>
        <v>Y03449-TG+Y03476</v>
      </c>
      <c r="AN28" t="str">
        <f>VLOOKUP(B:B,'3店辅助表'!AZ:BB,3,FALSE)</f>
        <v>US</v>
      </c>
    </row>
    <row r="29" customHeight="1" spans="1:40">
      <c r="A29" s="58" t="str">
        <f>INDEX('[1]3店'!$A:$A,MATCH(B:B,'[1]3店'!$B:$B,0))</f>
        <v>欣彤</v>
      </c>
      <c r="B29" s="43" t="s">
        <v>663</v>
      </c>
      <c r="C29" s="43" t="s">
        <v>664</v>
      </c>
      <c r="D29" s="59"/>
      <c r="E29" s="43" t="s">
        <v>665</v>
      </c>
      <c r="F29" s="43">
        <v>7</v>
      </c>
      <c r="G29" s="43">
        <v>0</v>
      </c>
      <c r="H29" s="43">
        <v>1</v>
      </c>
      <c r="I29" s="43">
        <v>0</v>
      </c>
      <c r="J29" s="43">
        <v>0</v>
      </c>
      <c r="K29" s="63">
        <f t="shared" si="1"/>
        <v>8</v>
      </c>
      <c r="L29" s="124">
        <f>VLOOKUP($B:$B,'[1]3店'!$B:$L,11,0)</f>
        <v>13.7</v>
      </c>
      <c r="M29" s="44">
        <f t="shared" si="2"/>
        <v>109.6</v>
      </c>
      <c r="N29" s="65">
        <f>IFERROR(VLOOKUP(B:B,'3店辅助表'!B:C,2,FALSE),0)</f>
        <v>1</v>
      </c>
      <c r="O29" s="65">
        <f>IFERROR(VLOOKUP(B:B,'3店辅助表'!E:F,2,FALSE),0)</f>
        <v>1</v>
      </c>
      <c r="P29" s="65">
        <f>IFERROR(VLOOKUP(B:B,'3店辅助表'!H:I,2,FALSE),0)</f>
        <v>4</v>
      </c>
      <c r="Q29" s="65">
        <f>IFERROR(VLOOKUP(B:B,'[1]3店'!$B:$N,13,FALSE),0)</f>
        <v>0</v>
      </c>
      <c r="R29" s="79">
        <f t="shared" si="5"/>
        <v>1</v>
      </c>
      <c r="S29" s="80">
        <f t="shared" si="6"/>
        <v>70</v>
      </c>
      <c r="T29" s="44">
        <f t="shared" si="7"/>
        <v>2.33333333333333</v>
      </c>
      <c r="U29" s="44">
        <f>IFERROR(VLOOKUP($B:$B,'[1]3店'!$B:$T,19,0),"-")</f>
        <v>8</v>
      </c>
      <c r="V29" s="81">
        <f t="shared" si="8"/>
        <v>-5.66666666666667</v>
      </c>
      <c r="W29" s="82" t="str">
        <f>_xlfn.IFS(AND(D29&lt;&gt;0,D29-$AM$2&gt;=0,B29&gt;0,D29&lt;&gt;0),"本月刚到货",AND(IFERROR((K29/(N29/7))/30,"-")="-",K29&gt;0),"有库存无销量",AND(IFERROR((K29/(N29/7))/30,"-")="-",K29=0),"无库存无销量",AND(IFERROR((K29/(N29/7))/30,"-")&lt;=0.5,K29=0),"无库存有销量",IFERROR((K29/(N29/7))/30,"-")&lt;=0.5,"库存过低",IFERROR((K29/(N29/7))/30,"-")&lt;=1.5,"正常",IFERROR((K29/(N29/7))/30,"-")&gt;1.5,"库存过高")</f>
        <v>库存过高</v>
      </c>
      <c r="X29" s="83" t="str">
        <f>_xlfn.IFS(AND(D29&lt;&gt;0,D29-$AM$2&gt;=0,K29&gt;0,D29&lt;&gt;0),"本月刚到货",AND(T29="-",K29&gt;0),"有库存无销量",AND(T29="-",K29=0),"无库存无销量",AND(T29&lt;=0.5,K29=0),"无库存有销量",T29&lt;=0.5,"库存过低",T29&lt;=1.5,"正常",T29&gt;1.5,"库存过高")</f>
        <v>库存过高</v>
      </c>
      <c r="Y29" s="44">
        <f>IFERROR(SUMIF('3店辅助表'!K:K,B:B,'3店辅助表'!N:N),0)</f>
        <v>1.69</v>
      </c>
      <c r="Z29" s="44">
        <f>IFERROR(SUMIF('3店辅助表'!T:T,B:B,'3店辅助表'!W:W),0)</f>
        <v>3.27</v>
      </c>
      <c r="AA29" s="44">
        <f>IFERROR(SUMIF('3店辅助表'!AC:AC,B:B,'3店辅助表'!AF:AF),0)</f>
        <v>5.75</v>
      </c>
      <c r="AB29" s="91">
        <f>IFERROR(SUMIF('3店辅助表'!K:K,B:B,'3店辅助表'!N:N)/SUMIF('3店辅助表'!K:K,B:B,'3店辅助表'!O:O),"-")</f>
        <v>0.130100076982294</v>
      </c>
      <c r="AC29" s="91" t="str">
        <f>IFERROR(VLOOKUP(B:B,'[1]3店'!$B:$AB,27,0),"-")</f>
        <v>-</v>
      </c>
      <c r="AD29" s="92" t="str">
        <f t="shared" si="9"/>
        <v>-</v>
      </c>
      <c r="AE29" s="91">
        <f>IFERROR(SUMIF('3店辅助表'!T:T,B:B,'3店辅助表'!W:W)/SUMIF('3店辅助表'!T:T,B:B,'3店辅助表'!X:X),"-")</f>
        <v>0.251732101616628</v>
      </c>
      <c r="AF29" s="91">
        <f>IFERROR(SUMIF('3店辅助表'!AC:AC,B:B,'3店辅助表'!AF:AF)/SUMIF('3店辅助表'!AC:AC,B:B,'3店辅助表'!AG:AG),"-")</f>
        <v>0.092816787732042</v>
      </c>
      <c r="AG29" s="99">
        <f>IFERROR(AK29/((SUMIF('3店辅助表'!AT:AT,B:B,'3店辅助表'!AU:AU)+M29)/2),"-")</f>
        <v>0.125</v>
      </c>
      <c r="AH29" s="99">
        <f>IFERROR(AL29/((SUMIF('3店辅助表'!AW:AW,B:B,'3店辅助表'!AX:AX)+M29)/2),"-")</f>
        <v>0.105263157894737</v>
      </c>
      <c r="AI29" s="100">
        <f>IFERROR((SUMIF('3店辅助表'!AP:AP,B:B,'3店辅助表'!AR:AR)-SUMIF('3店辅助表'!AP:AP,B:B,'3店辅助表'!AR:AR)*0.15-(L29+IFERROR(VLOOKUP(B:B,'3店辅助表'!AZ:BA,2,0),0))*O29-IF(AN:AN="US",6.85,4.9)*(Z29+4.27*O29))/SUMIF('3店辅助表'!AP:AP,B:B,'3店辅助表'!AR:AR),"-")</f>
        <v>0.019782482875654</v>
      </c>
      <c r="AJ29" s="100">
        <f t="shared" si="10"/>
        <v>0.0020823666184899</v>
      </c>
      <c r="AK29" s="101">
        <f t="shared" si="3"/>
        <v>13.7</v>
      </c>
      <c r="AL29" s="101">
        <f t="shared" si="4"/>
        <v>13.7</v>
      </c>
      <c r="AM29" s="1" t="str">
        <f>VLOOKUP(B:B,'3店辅助表'!AZ:AZ,1,FALSE)</f>
        <v>Y03450-NB+Y03477</v>
      </c>
      <c r="AN29" t="str">
        <f>VLOOKUP(B:B,'3店辅助表'!AZ:BB,3,FALSE)</f>
        <v>US</v>
      </c>
    </row>
    <row r="30" customHeight="1" spans="1:40">
      <c r="A30" s="58" t="str">
        <f>INDEX('[1]3店'!$A:$A,MATCH(B:B,'[1]3店'!$B:$B,0))</f>
        <v>欣彤</v>
      </c>
      <c r="B30" s="43" t="s">
        <v>666</v>
      </c>
      <c r="C30" s="43" t="s">
        <v>667</v>
      </c>
      <c r="D30" s="59"/>
      <c r="E30" s="43" t="s">
        <v>668</v>
      </c>
      <c r="F30" s="43">
        <v>121</v>
      </c>
      <c r="G30" s="43">
        <v>0</v>
      </c>
      <c r="H30" s="43">
        <v>4</v>
      </c>
      <c r="I30" s="43">
        <v>11</v>
      </c>
      <c r="J30" s="43">
        <v>0</v>
      </c>
      <c r="K30" s="63">
        <f t="shared" si="1"/>
        <v>136</v>
      </c>
      <c r="L30" s="124">
        <f>VLOOKUP($B:$B,'[1]3店'!$B:$L,11,0)</f>
        <v>13.491</v>
      </c>
      <c r="M30" s="44">
        <f t="shared" si="2"/>
        <v>1834.776</v>
      </c>
      <c r="N30" s="65">
        <f>IFERROR(VLOOKUP(B:B,'3店辅助表'!B:C,2,FALSE),0)</f>
        <v>6</v>
      </c>
      <c r="O30" s="65">
        <f>IFERROR(VLOOKUP(B:B,'3店辅助表'!E:F,2,FALSE),0)</f>
        <v>13</v>
      </c>
      <c r="P30" s="65">
        <f>IFERROR(VLOOKUP(B:B,'3店辅助表'!H:I,2,FALSE),0)</f>
        <v>15</v>
      </c>
      <c r="Q30" s="65">
        <f>IFERROR(VLOOKUP(B:B,'[1]3店'!$B:$N,13,FALSE),0)</f>
        <v>6</v>
      </c>
      <c r="R30" s="79">
        <f t="shared" si="5"/>
        <v>0</v>
      </c>
      <c r="S30" s="80">
        <f t="shared" si="6"/>
        <v>183.468950749465</v>
      </c>
      <c r="T30" s="44">
        <f t="shared" si="7"/>
        <v>6.11563169164882</v>
      </c>
      <c r="U30" s="44">
        <f>IFERROR(VLOOKUP($B:$B,'[1]3店'!$B:$T,19,0),"-")</f>
        <v>6.02608695652174</v>
      </c>
      <c r="V30" s="81">
        <f t="shared" si="8"/>
        <v>0.0895447351270793</v>
      </c>
      <c r="W30" s="82" t="str">
        <f>_xlfn.IFS(AND(D30&lt;&gt;0,D30-$AM$2&gt;=0,B30&gt;0,D30&lt;&gt;0),"本月刚到货",AND(IFERROR((K30/(N30/7))/30,"-")="-",K30&gt;0),"有库存无销量",AND(IFERROR((K30/(N30/7))/30,"-")="-",K30=0),"无库存无销量",AND(IFERROR((K30/(N30/7))/30,"-")&lt;=0.5,K30=0),"无库存有销量",IFERROR((K30/(N30/7))/30,"-")&lt;=0.5,"库存过低",IFERROR((K30/(N30/7))/30,"-")&lt;=1.5,"正常",IFERROR((K30/(N30/7))/30,"-")&gt;1.5,"库存过高")</f>
        <v>库存过高</v>
      </c>
      <c r="X30" s="83" t="str">
        <f>_xlfn.IFS(AND(D30&lt;&gt;0,D30-$AM$2&gt;=0,K30&gt;0,D30&lt;&gt;0),"本月刚到货",AND(T30="-",K30&gt;0),"有库存无销量",AND(T30="-",K30=0),"无库存无销量",AND(T30&lt;=0.5,K30=0),"无库存有销量",T30&lt;=0.5,"库存过低",T30&lt;=1.5,"正常",T30&gt;1.5,"库存过高")</f>
        <v>库存过高</v>
      </c>
      <c r="Y30" s="44">
        <f>IFERROR(SUMIF('3店辅助表'!K:K,B:B,'3店辅助表'!N:N),0)</f>
        <v>0.85</v>
      </c>
      <c r="Z30" s="44">
        <f>IFERROR(SUMIF('3店辅助表'!T:T,B:B,'3店辅助表'!W:W),0)</f>
        <v>0.85</v>
      </c>
      <c r="AA30" s="44">
        <f>IFERROR(SUMIF('3店辅助表'!AC:AC,B:B,'3店辅助表'!AF:AF),0)</f>
        <v>0.85</v>
      </c>
      <c r="AB30" s="91" t="str">
        <f>IFERROR(SUMIF('3店辅助表'!K:K,B:B,'3店辅助表'!N:N)/SUMIF('3店辅助表'!K:K,B:B,'3店辅助表'!O:O),"-")</f>
        <v>-</v>
      </c>
      <c r="AC30" s="91" t="str">
        <f>IFERROR(VLOOKUP(B:B,'[1]3店'!$B:$AB,27,0),"-")</f>
        <v>-</v>
      </c>
      <c r="AD30" s="92" t="str">
        <f t="shared" si="9"/>
        <v>-</v>
      </c>
      <c r="AE30" s="91" t="str">
        <f>IFERROR(SUMIF('3店辅助表'!T:T,B:B,'3店辅助表'!W:W)/SUMIF('3店辅助表'!T:T,B:B,'3店辅助表'!X:X),"-")</f>
        <v>-</v>
      </c>
      <c r="AF30" s="91" t="str">
        <f>IFERROR(SUMIF('3店辅助表'!AC:AC,B:B,'3店辅助表'!AF:AF)/SUMIF('3店辅助表'!AC:AC,B:B,'3店辅助表'!AG:AG),"-")</f>
        <v>-</v>
      </c>
      <c r="AG30" s="99">
        <f>IFERROR(AK30/((SUMIF('3店辅助表'!AT:AT,B:B,'3店辅助表'!AU:AU)+M30)/2),"-")</f>
        <v>0.0447761194029851</v>
      </c>
      <c r="AH30" s="99">
        <f>IFERROR(AL30/((SUMIF('3店辅助表'!AW:AW,B:B,'3店辅助表'!AX:AX)+M30)/2),"-")</f>
        <v>0.166666666666667</v>
      </c>
      <c r="AI30" s="100">
        <f>IFERROR((SUMIF('3店辅助表'!AP:AP,B:B,'3店辅助表'!AR:AR)-SUMIF('3店辅助表'!AP:AP,B:B,'3店辅助表'!AR:AR)*0.15-(L30+IFERROR(VLOOKUP(B:B,'3店辅助表'!AZ:BA,2,0),0))*O30-IF(AN:AN="US",6.85,4.9)*(Z30+4.27*O30))/SUMIF('3店辅助表'!AP:AP,B:B,'3店辅助表'!AR:AR),"-")</f>
        <v>0.292190026039977</v>
      </c>
      <c r="AJ30" s="100">
        <f t="shared" si="10"/>
        <v>0.0486983376733295</v>
      </c>
      <c r="AK30" s="101">
        <f t="shared" si="3"/>
        <v>80.946</v>
      </c>
      <c r="AL30" s="101">
        <f t="shared" si="4"/>
        <v>175.383</v>
      </c>
      <c r="AM30" s="1" t="str">
        <f>VLOOKUP(B:B,'3店辅助表'!AZ:AZ,1,FALSE)</f>
        <v>Y03451-BL+Y03478</v>
      </c>
      <c r="AN30" t="str">
        <f>VLOOKUP(B:B,'3店辅助表'!AZ:BB,3,FALSE)</f>
        <v>US</v>
      </c>
    </row>
    <row r="31" customHeight="1" spans="1:40">
      <c r="A31" s="58" t="str">
        <f>INDEX('[1]3店'!$A:$A,MATCH(B:B,'[1]3店'!$B:$B,0))</f>
        <v>欣彤</v>
      </c>
      <c r="B31" s="43" t="s">
        <v>669</v>
      </c>
      <c r="C31" s="43" t="s">
        <v>670</v>
      </c>
      <c r="D31" s="59"/>
      <c r="E31" s="43" t="s">
        <v>671</v>
      </c>
      <c r="F31" s="43">
        <v>11</v>
      </c>
      <c r="G31" s="43">
        <v>2</v>
      </c>
      <c r="H31" s="43">
        <v>0</v>
      </c>
      <c r="I31" s="43">
        <v>1</v>
      </c>
      <c r="J31" s="43">
        <v>0</v>
      </c>
      <c r="K31" s="63">
        <f t="shared" si="1"/>
        <v>14</v>
      </c>
      <c r="L31" s="124">
        <f>VLOOKUP($B:$B,'[1]3店'!$B:$L,11,0)</f>
        <v>13.297</v>
      </c>
      <c r="M31" s="44">
        <f t="shared" si="2"/>
        <v>186.158</v>
      </c>
      <c r="N31" s="65">
        <f>IFERROR(VLOOKUP(B:B,'3店辅助表'!B:C,2,FALSE),0)</f>
        <v>3</v>
      </c>
      <c r="O31" s="65">
        <f>IFERROR(VLOOKUP(B:B,'3店辅助表'!E:F,2,FALSE),0)</f>
        <v>4</v>
      </c>
      <c r="P31" s="65">
        <f>IFERROR(VLOOKUP(B:B,'3店辅助表'!H:I,2,FALSE),0)</f>
        <v>6</v>
      </c>
      <c r="Q31" s="65">
        <f>IFERROR(VLOOKUP(B:B,'[1]3店'!$B:$N,13,FALSE),0)</f>
        <v>1</v>
      </c>
      <c r="R31" s="79">
        <f t="shared" si="5"/>
        <v>2</v>
      </c>
      <c r="S31" s="80">
        <f t="shared" si="6"/>
        <v>46.9148936170213</v>
      </c>
      <c r="T31" s="44">
        <f t="shared" si="7"/>
        <v>1.56382978723404</v>
      </c>
      <c r="U31" s="44">
        <f>IFERROR(VLOOKUP($B:$B,'[1]3店'!$B:$T,19,0),"-")</f>
        <v>4.51898734177215</v>
      </c>
      <c r="V31" s="81">
        <f t="shared" si="8"/>
        <v>-2.95515755453811</v>
      </c>
      <c r="W31" s="82" t="str">
        <f>_xlfn.IFS(AND(D31&lt;&gt;0,D31-$AM$2&gt;=0,B31&gt;0,D31&lt;&gt;0),"本月刚到货",AND(IFERROR((K31/(N31/7))/30,"-")="-",K31&gt;0),"有库存无销量",AND(IFERROR((K31/(N31/7))/30,"-")="-",K31=0),"无库存无销量",AND(IFERROR((K31/(N31/7))/30,"-")&lt;=0.5,K31=0),"无库存有销量",IFERROR((K31/(N31/7))/30,"-")&lt;=0.5,"库存过低",IFERROR((K31/(N31/7))/30,"-")&lt;=1.5,"正常",IFERROR((K31/(N31/7))/30,"-")&gt;1.5,"库存过高")</f>
        <v>正常</v>
      </c>
      <c r="X31" s="83" t="str">
        <f>_xlfn.IFS(AND(D31&lt;&gt;0,D31-$AM$2&gt;=0,K31&gt;0,D31&lt;&gt;0),"本月刚到货",AND(T31="-",K31&gt;0),"有库存无销量",AND(T31="-",K31=0),"无库存无销量",AND(T31&lt;=0.5,K31=0),"无库存有销量",T31&lt;=0.5,"库存过低",T31&lt;=1.5,"正常",T31&gt;1.5,"库存过高")</f>
        <v>库存过高</v>
      </c>
      <c r="Y31" s="44">
        <f>IFERROR(SUMIF('3店辅助表'!K:K,B:B,'3店辅助表'!N:N),0)</f>
        <v>0</v>
      </c>
      <c r="Z31" s="44">
        <f>IFERROR(SUMIF('3店辅助表'!T:T,B:B,'3店辅助表'!W:W),0)</f>
        <v>0</v>
      </c>
      <c r="AA31" s="44">
        <f>IFERROR(SUMIF('3店辅助表'!AC:AC,B:B,'3店辅助表'!AF:AF),0)</f>
        <v>0</v>
      </c>
      <c r="AB31" s="91" t="str">
        <f>IFERROR(SUMIF('3店辅助表'!K:K,B:B,'3店辅助表'!N:N)/SUMIF('3店辅助表'!K:K,B:B,'3店辅助表'!O:O),"-")</f>
        <v>-</v>
      </c>
      <c r="AC31" s="91" t="str">
        <f>IFERROR(VLOOKUP(B:B,'[1]3店'!$B:$AB,27,0),"-")</f>
        <v>-</v>
      </c>
      <c r="AD31" s="92" t="str">
        <f t="shared" si="9"/>
        <v>-</v>
      </c>
      <c r="AE31" s="91" t="str">
        <f>IFERROR(SUMIF('3店辅助表'!T:T,B:B,'3店辅助表'!W:W)/SUMIF('3店辅助表'!T:T,B:B,'3店辅助表'!X:X),"-")</f>
        <v>-</v>
      </c>
      <c r="AF31" s="91" t="str">
        <f>IFERROR(SUMIF('3店辅助表'!AC:AC,B:B,'3店辅助表'!AF:AF)/SUMIF('3店辅助表'!AC:AC,B:B,'3店辅助表'!AG:AG),"-")</f>
        <v>-</v>
      </c>
      <c r="AG31" s="99">
        <f>IFERROR(AK31/((SUMIF('3店辅助表'!AT:AT,B:B,'3店辅助表'!AU:AU)+M31)/2),"-")</f>
        <v>0.193548387096774</v>
      </c>
      <c r="AH31" s="99">
        <f>IFERROR(AL31/((SUMIF('3店辅助表'!AW:AW,B:B,'3店辅助表'!AX:AX)+M31)/2),"-")</f>
        <v>0.242424242424242</v>
      </c>
      <c r="AI31" s="100">
        <f>IFERROR((SUMIF('3店辅助表'!AP:AP,B:B,'3店辅助表'!AR:AR)-SUMIF('3店辅助表'!AP:AP,B:B,'3店辅助表'!AR:AR)*0.15-(L31+IFERROR(VLOOKUP(B:B,'3店辅助表'!AZ:BA,2,0),0))*O31-IF(AN:AN="US",6.85,4.9)*(Z31+4.27*O31))/SUMIF('3店辅助表'!AP:AP,B:B,'3店辅助表'!AR:AR),"-")</f>
        <v>0.325312284014093</v>
      </c>
      <c r="AJ31" s="100">
        <f t="shared" si="10"/>
        <v>0.0788635840034164</v>
      </c>
      <c r="AK31" s="101">
        <f t="shared" si="3"/>
        <v>39.891</v>
      </c>
      <c r="AL31" s="101">
        <f t="shared" si="4"/>
        <v>53.188</v>
      </c>
      <c r="AM31" s="1" t="str">
        <f>VLOOKUP(B:B,'3店辅助表'!AZ:AZ,1,FALSE)</f>
        <v>Y03451-DG+Y03478</v>
      </c>
      <c r="AN31" t="str">
        <f>VLOOKUP(B:B,'3店辅助表'!AZ:BB,3,FALSE)</f>
        <v>US</v>
      </c>
    </row>
    <row r="32" customHeight="1" spans="1:40">
      <c r="A32" s="58" t="str">
        <f>INDEX('[1]3店'!$A:$A,MATCH(B:B,'[1]3店'!$B:$B,0))</f>
        <v>欣彤</v>
      </c>
      <c r="B32" s="43" t="s">
        <v>672</v>
      </c>
      <c r="C32" s="43" t="s">
        <v>673</v>
      </c>
      <c r="D32" s="59"/>
      <c r="E32" s="43" t="s">
        <v>674</v>
      </c>
      <c r="F32" s="43">
        <v>3</v>
      </c>
      <c r="G32" s="43">
        <v>0</v>
      </c>
      <c r="H32" s="43">
        <v>4</v>
      </c>
      <c r="I32" s="43">
        <v>2</v>
      </c>
      <c r="J32" s="43">
        <v>0</v>
      </c>
      <c r="K32" s="63">
        <f t="shared" si="1"/>
        <v>9</v>
      </c>
      <c r="L32" s="124">
        <f>VLOOKUP($B:$B,'[1]3店'!$B:$L,11,0)</f>
        <v>13.7</v>
      </c>
      <c r="M32" s="44">
        <f t="shared" si="2"/>
        <v>123.3</v>
      </c>
      <c r="N32" s="65">
        <f>IFERROR(VLOOKUP(B:B,'3店辅助表'!B:C,2,FALSE),0)</f>
        <v>6</v>
      </c>
      <c r="O32" s="65">
        <f>IFERROR(VLOOKUP(B:B,'3店辅助表'!E:F,2,FALSE),0)</f>
        <v>19</v>
      </c>
      <c r="P32" s="65">
        <f>IFERROR(VLOOKUP(B:B,'3店辅助表'!H:I,2,FALSE),0)</f>
        <v>21</v>
      </c>
      <c r="Q32" s="65">
        <f>IFERROR(VLOOKUP(B:B,'[1]3店'!$B:$N,13,FALSE),0)</f>
        <v>13</v>
      </c>
      <c r="R32" s="79">
        <f t="shared" si="5"/>
        <v>-7</v>
      </c>
      <c r="S32" s="80">
        <f t="shared" si="6"/>
        <v>9.56155143338955</v>
      </c>
      <c r="T32" s="44">
        <f t="shared" si="7"/>
        <v>0.318718381112985</v>
      </c>
      <c r="U32" s="44">
        <f>IFERROR(VLOOKUP($B:$B,'[1]3店'!$B:$T,19,0),"-")</f>
        <v>0.729377713458755</v>
      </c>
      <c r="V32" s="81">
        <f t="shared" si="8"/>
        <v>-0.41065933234577</v>
      </c>
      <c r="W32" s="82" t="str">
        <f>_xlfn.IFS(AND(D32&lt;&gt;0,D32-$AM$2&gt;=0,B32&gt;0,D32&lt;&gt;0),"本月刚到货",AND(IFERROR((K32/(N32/7))/30,"-")="-",K32&gt;0),"有库存无销量",AND(IFERROR((K32/(N32/7))/30,"-")="-",K32=0),"无库存无销量",AND(IFERROR((K32/(N32/7))/30,"-")&lt;=0.5,K32=0),"无库存有销量",IFERROR((K32/(N32/7))/30,"-")&lt;=0.5,"库存过低",IFERROR((K32/(N32/7))/30,"-")&lt;=1.5,"正常",IFERROR((K32/(N32/7))/30,"-")&gt;1.5,"库存过高")</f>
        <v>库存过低</v>
      </c>
      <c r="X32" s="83" t="str">
        <f>_xlfn.IFS(AND(D32&lt;&gt;0,D32-$AM$2&gt;=0,K32&gt;0,D32&lt;&gt;0),"本月刚到货",AND(T32="-",K32&gt;0),"有库存无销量",AND(T32="-",K32=0),"无库存无销量",AND(T32&lt;=0.5,K32=0),"无库存有销量",T32&lt;=0.5,"库存过低",T32&lt;=1.5,"正常",T32&gt;1.5,"库存过高")</f>
        <v>库存过低</v>
      </c>
      <c r="Y32" s="44">
        <f>IFERROR(SUMIF('3店辅助表'!K:K,B:B,'3店辅助表'!N:N),0)</f>
        <v>11.04</v>
      </c>
      <c r="Z32" s="44">
        <f>IFERROR(SUMIF('3店辅助表'!T:T,B:B,'3店辅助表'!W:W),0)</f>
        <v>18.99</v>
      </c>
      <c r="AA32" s="44">
        <f>IFERROR(SUMIF('3店辅助表'!AC:AC,B:B,'3店辅助表'!AF:AF),0)</f>
        <v>26.01</v>
      </c>
      <c r="AB32" s="91">
        <f>IFERROR(SUMIF('3店辅助表'!K:K,B:B,'3店辅助表'!N:N)/SUMIF('3店辅助表'!K:K,B:B,'3店辅助表'!O:O),"-")</f>
        <v>0.141647421093149</v>
      </c>
      <c r="AC32" s="91">
        <f>IFERROR(VLOOKUP(B:B,'[1]3店'!$B:$AB,27,0),"-")</f>
        <v>0.291492910758966</v>
      </c>
      <c r="AD32" s="92">
        <f t="shared" si="9"/>
        <v>-0.149845489665817</v>
      </c>
      <c r="AE32" s="91">
        <f>IFERROR(SUMIF('3店辅助表'!T:T,B:B,'3店辅助表'!W:W)/SUMIF('3店辅助表'!T:T,B:B,'3店辅助表'!X:X),"-")</f>
        <v>0.186322605965463</v>
      </c>
      <c r="AF32" s="91">
        <f>IFERROR(SUMIF('3店辅助表'!AC:AC,B:B,'3店辅助表'!AF:AF)/SUMIF('3店辅助表'!AC:AC,B:B,'3店辅助表'!AG:AG),"-")</f>
        <v>0.169027813880946</v>
      </c>
      <c r="AG32" s="99">
        <f>IFERROR(AK32/((SUMIF('3店辅助表'!AT:AT,B:B,'3店辅助表'!AU:AU)+M32)/2),"-")</f>
        <v>0.363636363636364</v>
      </c>
      <c r="AH32" s="99">
        <f>IFERROR(AL32/((SUMIF('3店辅助表'!AW:AW,B:B,'3店辅助表'!AX:AX)+M32)/2),"-")</f>
        <v>0.95</v>
      </c>
      <c r="AI32" s="100">
        <f>IFERROR((SUMIF('3店辅助表'!AP:AP,B:B,'3店辅助表'!AR:AR)-SUMIF('3店辅助表'!AP:AP,B:B,'3店辅助表'!AR:AR)*0.15-(L32+IFERROR(VLOOKUP(B:B,'3店辅助表'!AZ:BA,2,0),0))*O32-IF(AN:AN="US",6.85,4.9)*(Z32+4.27*O32))/SUMIF('3店辅助表'!AP:AP,B:B,'3店辅助表'!AR:AR),"-")</f>
        <v>0.161698463087102</v>
      </c>
      <c r="AJ32" s="100">
        <f t="shared" si="10"/>
        <v>0.153613539932747</v>
      </c>
      <c r="AK32" s="101">
        <f t="shared" si="3"/>
        <v>82.2</v>
      </c>
      <c r="AL32" s="101">
        <f t="shared" si="4"/>
        <v>260.3</v>
      </c>
      <c r="AM32" s="1" t="str">
        <f>VLOOKUP(B:B,'3店辅助表'!AZ:AZ,1,FALSE)</f>
        <v>Y03451-NB+Y03478</v>
      </c>
      <c r="AN32" t="str">
        <f>VLOOKUP(B:B,'3店辅助表'!AZ:BB,3,FALSE)</f>
        <v>US</v>
      </c>
    </row>
    <row r="33" customHeight="1" spans="1:40">
      <c r="A33" s="58" t="str">
        <f>INDEX('[1]3店'!$A:$A,MATCH(B:B,'[1]3店'!$B:$B,0))</f>
        <v>欣彤</v>
      </c>
      <c r="B33" s="43" t="s">
        <v>675</v>
      </c>
      <c r="C33" s="43" t="s">
        <v>676</v>
      </c>
      <c r="D33" s="59"/>
      <c r="E33" s="43" t="s">
        <v>677</v>
      </c>
      <c r="F33" s="43">
        <v>37</v>
      </c>
      <c r="G33" s="43">
        <v>0</v>
      </c>
      <c r="H33" s="43">
        <v>0</v>
      </c>
      <c r="I33" s="43">
        <v>0</v>
      </c>
      <c r="J33" s="43">
        <v>0</v>
      </c>
      <c r="K33" s="63">
        <f t="shared" si="1"/>
        <v>37</v>
      </c>
      <c r="L33" s="124">
        <f>VLOOKUP($B:$B,'[1]3店'!$B:$L,11,0)</f>
        <v>13.542</v>
      </c>
      <c r="M33" s="44">
        <f t="shared" si="2"/>
        <v>501.054</v>
      </c>
      <c r="N33" s="65">
        <f>IFERROR(VLOOKUP(B:B,'3店辅助表'!B:C,2,FALSE),0)</f>
        <v>1</v>
      </c>
      <c r="O33" s="65">
        <f>IFERROR(VLOOKUP(B:B,'3店辅助表'!E:F,2,FALSE),0)</f>
        <v>3</v>
      </c>
      <c r="P33" s="65">
        <f>IFERROR(VLOOKUP(B:B,'3店辅助表'!H:I,2,FALSE),0)</f>
        <v>6</v>
      </c>
      <c r="Q33" s="65">
        <f>IFERROR(VLOOKUP(B:B,'[1]3店'!$B:$N,13,FALSE),0)</f>
        <v>2</v>
      </c>
      <c r="R33" s="79">
        <f t="shared" si="5"/>
        <v>-1</v>
      </c>
      <c r="S33" s="80">
        <f t="shared" si="6"/>
        <v>204.473684210526</v>
      </c>
      <c r="T33" s="44">
        <f t="shared" si="7"/>
        <v>6.81578947368421</v>
      </c>
      <c r="U33" s="44">
        <f>IFERROR(VLOOKUP($B:$B,'[1]3店'!$B:$T,19,0),"-")</f>
        <v>5.00662251655629</v>
      </c>
      <c r="V33" s="81">
        <f t="shared" si="8"/>
        <v>1.80916695712792</v>
      </c>
      <c r="W33" s="82" t="str">
        <f>_xlfn.IFS(AND(D33&lt;&gt;0,D33-$AM$2&gt;=0,B33&gt;0,D33&lt;&gt;0),"本月刚到货",AND(IFERROR((K33/(N33/7))/30,"-")="-",K33&gt;0),"有库存无销量",AND(IFERROR((K33/(N33/7))/30,"-")="-",K33=0),"无库存无销量",AND(IFERROR((K33/(N33/7))/30,"-")&lt;=0.5,K33=0),"无库存有销量",IFERROR((K33/(N33/7))/30,"-")&lt;=0.5,"库存过低",IFERROR((K33/(N33/7))/30,"-")&lt;=1.5,"正常",IFERROR((K33/(N33/7))/30,"-")&gt;1.5,"库存过高")</f>
        <v>库存过高</v>
      </c>
      <c r="X33" s="83" t="str">
        <f>_xlfn.IFS(AND(D33&lt;&gt;0,D33-$AM$2&gt;=0,K33&gt;0,D33&lt;&gt;0),"本月刚到货",AND(T33="-",K33&gt;0),"有库存无销量",AND(T33="-",K33=0),"无库存无销量",AND(T33&lt;=0.5,K33=0),"无库存有销量",T33&lt;=0.5,"库存过低",T33&lt;=1.5,"正常",T33&gt;1.5,"库存过高")</f>
        <v>库存过高</v>
      </c>
      <c r="Y33" s="44">
        <f>IFERROR(SUMIF('3店辅助表'!K:K,B:B,'3店辅助表'!N:N),0)</f>
        <v>0</v>
      </c>
      <c r="Z33" s="44">
        <f>IFERROR(SUMIF('3店辅助表'!T:T,B:B,'3店辅助表'!W:W),0)</f>
        <v>0</v>
      </c>
      <c r="AA33" s="44">
        <f>IFERROR(SUMIF('3店辅助表'!AC:AC,B:B,'3店辅助表'!AF:AF),0)</f>
        <v>0</v>
      </c>
      <c r="AB33" s="91" t="str">
        <f>IFERROR(SUMIF('3店辅助表'!K:K,B:B,'3店辅助表'!N:N)/SUMIF('3店辅助表'!K:K,B:B,'3店辅助表'!O:O),"-")</f>
        <v>-</v>
      </c>
      <c r="AC33" s="91" t="str">
        <f>IFERROR(VLOOKUP(B:B,'[1]3店'!$B:$AB,27,0),"-")</f>
        <v>-</v>
      </c>
      <c r="AD33" s="92" t="str">
        <f t="shared" si="9"/>
        <v>-</v>
      </c>
      <c r="AE33" s="91" t="str">
        <f>IFERROR(SUMIF('3店辅助表'!T:T,B:B,'3店辅助表'!W:W)/SUMIF('3店辅助表'!T:T,B:B,'3店辅助表'!X:X),"-")</f>
        <v>-</v>
      </c>
      <c r="AF33" s="91" t="str">
        <f>IFERROR(SUMIF('3店辅助表'!AC:AC,B:B,'3店辅助表'!AF:AF)/SUMIF('3店辅助表'!AC:AC,B:B,'3店辅助表'!AG:AG),"-")</f>
        <v>-</v>
      </c>
      <c r="AG33" s="99">
        <f>IFERROR(AK33/((SUMIF('3店辅助表'!AT:AT,B:B,'3店辅助表'!AU:AU)+M33)/2),"-")</f>
        <v>0.0273972602739726</v>
      </c>
      <c r="AH33" s="99">
        <f>IFERROR(AL33/((SUMIF('3店辅助表'!AW:AW,B:B,'3店辅助表'!AX:AX)+M33)/2),"-")</f>
        <v>0.0759493670886076</v>
      </c>
      <c r="AI33" s="100">
        <f>IFERROR((SUMIF('3店辅助表'!AP:AP,B:B,'3店辅助表'!AR:AR)-SUMIF('3店辅助表'!AP:AP,B:B,'3店辅助表'!AR:AR)*0.15-(L33+IFERROR(VLOOKUP(B:B,'3店辅助表'!AZ:BA,2,0),0))*O33-IF(AN:AN="US",6.85,4.9)*(Z33+4.27*O33))/SUMIF('3店辅助表'!AP:AP,B:B,'3店辅助表'!AR:AR),"-")</f>
        <v>0.270107840446683</v>
      </c>
      <c r="AJ33" s="100">
        <f t="shared" si="10"/>
        <v>0.0205145195275962</v>
      </c>
      <c r="AK33" s="101">
        <f t="shared" si="3"/>
        <v>13.542</v>
      </c>
      <c r="AL33" s="101">
        <f t="shared" si="4"/>
        <v>40.626</v>
      </c>
      <c r="AM33" s="1" t="str">
        <f>VLOOKUP(B:B,'3店辅助表'!AZ:AZ,1,FALSE)</f>
        <v>Y03451-OR+Y03478</v>
      </c>
      <c r="AN33" t="str">
        <f>VLOOKUP(B:B,'3店辅助表'!AZ:BB,3,FALSE)</f>
        <v>US</v>
      </c>
    </row>
    <row r="34" customHeight="1" spans="1:40">
      <c r="A34" s="58" t="str">
        <f>INDEX('[1]3店'!$A:$A,MATCH(B:B,'[1]3店'!$B:$B,0))</f>
        <v>欣彤</v>
      </c>
      <c r="B34" s="43" t="s">
        <v>678</v>
      </c>
      <c r="C34" s="43" t="s">
        <v>679</v>
      </c>
      <c r="D34" s="59"/>
      <c r="E34" s="43" t="s">
        <v>680</v>
      </c>
      <c r="F34" s="43">
        <v>10</v>
      </c>
      <c r="G34" s="43">
        <v>0</v>
      </c>
      <c r="H34" s="43">
        <v>0</v>
      </c>
      <c r="I34" s="43">
        <v>1</v>
      </c>
      <c r="J34" s="43">
        <v>0</v>
      </c>
      <c r="K34" s="63">
        <f t="shared" si="1"/>
        <v>11</v>
      </c>
      <c r="L34" s="124">
        <f>VLOOKUP($B:$B,'[1]3店'!$B:$L,11,0)</f>
        <v>13.7</v>
      </c>
      <c r="M34" s="44">
        <f t="shared" si="2"/>
        <v>150.7</v>
      </c>
      <c r="N34" s="65">
        <f>IFERROR(VLOOKUP(B:B,'3店辅助表'!B:C,2,FALSE),0)</f>
        <v>1</v>
      </c>
      <c r="O34" s="65">
        <f>IFERROR(VLOOKUP(B:B,'3店辅助表'!E:F,2,FALSE),0)</f>
        <v>11</v>
      </c>
      <c r="P34" s="65">
        <f>IFERROR(VLOOKUP(B:B,'3店辅助表'!H:I,2,FALSE),0)</f>
        <v>13</v>
      </c>
      <c r="Q34" s="65">
        <f>IFERROR(VLOOKUP(B:B,'[1]3店'!$B:$N,13,FALSE),0)</f>
        <v>10</v>
      </c>
      <c r="R34" s="79">
        <f t="shared" si="5"/>
        <v>-9</v>
      </c>
      <c r="S34" s="80">
        <f t="shared" si="6"/>
        <v>25.2</v>
      </c>
      <c r="T34" s="44">
        <f t="shared" si="7"/>
        <v>0.84</v>
      </c>
      <c r="U34" s="44">
        <f>IFERROR(VLOOKUP($B:$B,'[1]3店'!$B:$T,19,0),"-")</f>
        <v>0.798913043478261</v>
      </c>
      <c r="V34" s="81">
        <f t="shared" si="8"/>
        <v>0.041086956521739</v>
      </c>
      <c r="W34" s="82" t="str">
        <f>_xlfn.IFS(AND(D34&lt;&gt;0,D34-$AM$2&gt;=0,B34&gt;0,D34&lt;&gt;0),"本月刚到货",AND(IFERROR((K34/(N34/7))/30,"-")="-",K34&gt;0),"有库存无销量",AND(IFERROR((K34/(N34/7))/30,"-")="-",K34=0),"无库存无销量",AND(IFERROR((K34/(N34/7))/30,"-")&lt;=0.5,K34=0),"无库存有销量",IFERROR((K34/(N34/7))/30,"-")&lt;=0.5,"库存过低",IFERROR((K34/(N34/7))/30,"-")&lt;=1.5,"正常",IFERROR((K34/(N34/7))/30,"-")&gt;1.5,"库存过高")</f>
        <v>库存过高</v>
      </c>
      <c r="X34" s="83" t="str">
        <f>_xlfn.IFS(AND(D34&lt;&gt;0,D34-$AM$2&gt;=0,K34&gt;0,D34&lt;&gt;0),"本月刚到货",AND(T34="-",K34&gt;0),"有库存无销量",AND(T34="-",K34=0),"无库存无销量",AND(T34&lt;=0.5,K34=0),"无库存有销量",T34&lt;=0.5,"库存过低",T34&lt;=1.5,"正常",T34&gt;1.5,"库存过高")</f>
        <v>正常</v>
      </c>
      <c r="Y34" s="44">
        <f>IFERROR(SUMIF('3店辅助表'!K:K,B:B,'3店辅助表'!N:N),0)</f>
        <v>0</v>
      </c>
      <c r="Z34" s="44">
        <f>IFERROR(SUMIF('3店辅助表'!T:T,B:B,'3店辅助表'!W:W),0)</f>
        <v>0</v>
      </c>
      <c r="AA34" s="44">
        <f>IFERROR(SUMIF('3店辅助表'!AC:AC,B:B,'3店辅助表'!AF:AF),0)</f>
        <v>0</v>
      </c>
      <c r="AB34" s="91" t="str">
        <f>IFERROR(SUMIF('3店辅助表'!K:K,B:B,'3店辅助表'!N:N)/SUMIF('3店辅助表'!K:K,B:B,'3店辅助表'!O:O),"-")</f>
        <v>-</v>
      </c>
      <c r="AC34" s="91" t="str">
        <f>IFERROR(VLOOKUP(B:B,'[1]3店'!$B:$AB,27,0),"-")</f>
        <v>-</v>
      </c>
      <c r="AD34" s="92" t="str">
        <f t="shared" si="9"/>
        <v>-</v>
      </c>
      <c r="AE34" s="91" t="str">
        <f>IFERROR(SUMIF('3店辅助表'!T:T,B:B,'3店辅助表'!W:W)/SUMIF('3店辅助表'!T:T,B:B,'3店辅助表'!X:X),"-")</f>
        <v>-</v>
      </c>
      <c r="AF34" s="91" t="str">
        <f>IFERROR(SUMIF('3店辅助表'!AC:AC,B:B,'3店辅助表'!AF:AF)/SUMIF('3店辅助表'!AC:AC,B:B,'3店辅助表'!AG:AG),"-")</f>
        <v>-</v>
      </c>
      <c r="AG34" s="99">
        <f>IFERROR(AK34/((SUMIF('3店辅助表'!AT:AT,B:B,'3店辅助表'!AU:AU)+M34)/2),"-")</f>
        <v>0.0625</v>
      </c>
      <c r="AH34" s="99">
        <f>IFERROR(AL34/((SUMIF('3店辅助表'!AW:AW,B:B,'3店辅助表'!AX:AX)+M34)/2),"-")</f>
        <v>0.647058823529412</v>
      </c>
      <c r="AI34" s="100">
        <f>IFERROR((SUMIF('3店辅助表'!AP:AP,B:B,'3店辅助表'!AR:AR)-SUMIF('3店辅助表'!AP:AP,B:B,'3店辅助表'!AR:AR)*0.15-(L34+IFERROR(VLOOKUP(B:B,'3店辅助表'!AZ:BA,2,0),0))*O34-IF(AN:AN="US",6.85,4.9)*(Z34+4.27*O34))/SUMIF('3店辅助表'!AP:AP,B:B,'3店辅助表'!AR:AR),"-")</f>
        <v>0.239829608093243</v>
      </c>
      <c r="AJ34" s="100">
        <f t="shared" si="10"/>
        <v>0.155183864060333</v>
      </c>
      <c r="AK34" s="101">
        <f t="shared" si="3"/>
        <v>13.7</v>
      </c>
      <c r="AL34" s="101">
        <f t="shared" si="4"/>
        <v>150.7</v>
      </c>
      <c r="AM34" s="1" t="str">
        <f>VLOOKUP(B:B,'3店辅助表'!AZ:AZ,1,FALSE)</f>
        <v>Y03451-TG+Y03478</v>
      </c>
      <c r="AN34" t="str">
        <f>VLOOKUP(B:B,'3店辅助表'!AZ:BB,3,FALSE)</f>
        <v>US</v>
      </c>
    </row>
    <row r="35" customHeight="1" spans="1:40">
      <c r="A35" s="58" t="str">
        <f>INDEX('[1]3店'!$A:$A,MATCH(B:B,'[1]3店'!$B:$B,0))</f>
        <v>欣彤</v>
      </c>
      <c r="B35" s="43" t="s">
        <v>681</v>
      </c>
      <c r="C35" s="43" t="s">
        <v>682</v>
      </c>
      <c r="D35" s="59"/>
      <c r="E35" s="43" t="s">
        <v>683</v>
      </c>
      <c r="F35" s="43">
        <v>118</v>
      </c>
      <c r="G35" s="43">
        <v>3</v>
      </c>
      <c r="H35" s="43">
        <v>13</v>
      </c>
      <c r="I35" s="43">
        <v>1</v>
      </c>
      <c r="J35" s="43">
        <v>0</v>
      </c>
      <c r="K35" s="63">
        <f t="shared" si="1"/>
        <v>135</v>
      </c>
      <c r="L35" s="124">
        <f>VLOOKUP($B:$B,'[1]3店'!$B:$L,11,0)</f>
        <v>13.7</v>
      </c>
      <c r="M35" s="44">
        <f t="shared" si="2"/>
        <v>1849.5</v>
      </c>
      <c r="N35" s="65">
        <f>IFERROR(VLOOKUP(B:B,'3店辅助表'!B:C,2,FALSE),0)</f>
        <v>13</v>
      </c>
      <c r="O35" s="65">
        <f>IFERROR(VLOOKUP(B:B,'3店辅助表'!E:F,2,FALSE),0)</f>
        <v>37</v>
      </c>
      <c r="P35" s="65">
        <f>IFERROR(VLOOKUP(B:B,'3店辅助表'!H:I,2,FALSE),0)</f>
        <v>70</v>
      </c>
      <c r="Q35" s="65">
        <f>IFERROR(VLOOKUP(B:B,'[1]3店'!$B:$N,13,FALSE),0)</f>
        <v>18</v>
      </c>
      <c r="R35" s="79">
        <f t="shared" si="5"/>
        <v>-5</v>
      </c>
      <c r="S35" s="80">
        <f t="shared" si="6"/>
        <v>60.8369098712446</v>
      </c>
      <c r="T35" s="44">
        <f t="shared" si="7"/>
        <v>2.02789699570815</v>
      </c>
      <c r="U35" s="44">
        <f>IFERROR(VLOOKUP($B:$B,'[1]3店'!$B:$T,19,0),"-")</f>
        <v>1.71508728179551</v>
      </c>
      <c r="V35" s="81">
        <f t="shared" si="8"/>
        <v>0.31280971391264</v>
      </c>
      <c r="W35" s="82" t="str">
        <f>_xlfn.IFS(AND(D35&lt;&gt;0,D35-$AM$2&gt;=0,B35&gt;0,D35&lt;&gt;0),"本月刚到货",AND(IFERROR((K35/(N35/7))/30,"-")="-",K35&gt;0),"有库存无销量",AND(IFERROR((K35/(N35/7))/30,"-")="-",K35=0),"无库存无销量",AND(IFERROR((K35/(N35/7))/30,"-")&lt;=0.5,K35=0),"无库存有销量",IFERROR((K35/(N35/7))/30,"-")&lt;=0.5,"库存过低",IFERROR((K35/(N35/7))/30,"-")&lt;=1.5,"正常",IFERROR((K35/(N35/7))/30,"-")&gt;1.5,"库存过高")</f>
        <v>库存过高</v>
      </c>
      <c r="X35" s="83" t="str">
        <f>_xlfn.IFS(AND(D35&lt;&gt;0,D35-$AM$2&gt;=0,K35&gt;0,D35&lt;&gt;0),"本月刚到货",AND(T35="-",K35&gt;0),"有库存无销量",AND(T35="-",K35=0),"无库存无销量",AND(T35&lt;=0.5,K35=0),"无库存有销量",T35&lt;=0.5,"库存过低",T35&lt;=1.5,"正常",T35&gt;1.5,"库存过高")</f>
        <v>库存过高</v>
      </c>
      <c r="Y35" s="44">
        <f>IFERROR(SUMIF('3店辅助表'!K:K,B:B,'3店辅助表'!N:N),0)</f>
        <v>14.11</v>
      </c>
      <c r="Z35" s="44">
        <f>IFERROR(SUMIF('3店辅助表'!T:T,B:B,'3店辅助表'!W:W),0)</f>
        <v>39.16</v>
      </c>
      <c r="AA35" s="44">
        <f>IFERROR(SUMIF('3店辅助表'!AC:AC,B:B,'3店辅助表'!AF:AF),0)</f>
        <v>68.47</v>
      </c>
      <c r="AB35" s="91">
        <f>IFERROR(SUMIF('3店辅助表'!K:K,B:B,'3店辅助表'!N:N)/SUMIF('3店辅助表'!K:K,B:B,'3店辅助表'!O:O),"-")</f>
        <v>0.135777521170131</v>
      </c>
      <c r="AC35" s="91">
        <f>IFERROR(VLOOKUP(B:B,'[1]3店'!$B:$AB,27,0),"-")</f>
        <v>0.184193804606831</v>
      </c>
      <c r="AD35" s="92">
        <f t="shared" si="9"/>
        <v>-0.0484162834367</v>
      </c>
      <c r="AE35" s="91">
        <f>IFERROR(SUMIF('3店辅助表'!T:T,B:B,'3店辅助表'!W:W)/SUMIF('3店辅助表'!T:T,B:B,'3店辅助表'!X:X),"-")</f>
        <v>0.145689943822315</v>
      </c>
      <c r="AF35" s="91">
        <f>IFERROR(SUMIF('3店辅助表'!AC:AC,B:B,'3店辅助表'!AF:AF)/SUMIF('3店辅助表'!AC:AC,B:B,'3店辅助表'!AG:AG),"-")</f>
        <v>0.151936092311106</v>
      </c>
      <c r="AG35" s="99">
        <f>IFERROR(AK35/((SUMIF('3店辅助表'!AT:AT,B:B,'3店辅助表'!AU:AU)+M35)/2),"-")</f>
        <v>0.0977443609022556</v>
      </c>
      <c r="AH35" s="99">
        <f>IFERROR(AL35/((SUMIF('3店辅助表'!AW:AW,B:B,'3店辅助表'!AX:AX)+M35)/2),"-")</f>
        <v>0.305785123966942</v>
      </c>
      <c r="AI35" s="100">
        <f>IFERROR((SUMIF('3店辅助表'!AP:AP,B:B,'3店辅助表'!AR:AR)-SUMIF('3店辅助表'!AP:AP,B:B,'3店辅助表'!AR:AR)*0.15-(L35+IFERROR(VLOOKUP(B:B,'3店辅助表'!AZ:BA,2,0),0))*O35-IF(AN:AN="US",6.85,4.9)*(Z35+4.27*O35))/SUMIF('3店辅助表'!AP:AP,B:B,'3店辅助表'!AR:AR),"-")</f>
        <v>0.231778837276821</v>
      </c>
      <c r="AJ35" s="100">
        <f t="shared" si="10"/>
        <v>0.0708745204896064</v>
      </c>
      <c r="AK35" s="101">
        <f t="shared" si="3"/>
        <v>178.1</v>
      </c>
      <c r="AL35" s="101">
        <f t="shared" si="4"/>
        <v>506.9</v>
      </c>
      <c r="AM35" s="1" t="str">
        <f>VLOOKUP(B:B,'3店辅助表'!AZ:AZ,1,FALSE)</f>
        <v>Y03466-BL+E03063</v>
      </c>
      <c r="AN35" t="str">
        <f>VLOOKUP(B:B,'3店辅助表'!AZ:BB,3,FALSE)</f>
        <v>US</v>
      </c>
    </row>
    <row r="36" customHeight="1" spans="1:40">
      <c r="A36" s="58" t="str">
        <f>INDEX('[1]3店'!$A:$A,MATCH(B:B,'[1]3店'!$B:$B,0))</f>
        <v>欣彤</v>
      </c>
      <c r="B36" s="43" t="s">
        <v>684</v>
      </c>
      <c r="C36" s="43" t="s">
        <v>685</v>
      </c>
      <c r="D36" s="59"/>
      <c r="E36" s="43" t="s">
        <v>686</v>
      </c>
      <c r="F36" s="43">
        <v>0</v>
      </c>
      <c r="G36" s="43">
        <v>0</v>
      </c>
      <c r="H36" s="43">
        <v>0</v>
      </c>
      <c r="I36" s="43">
        <v>25</v>
      </c>
      <c r="J36" s="43">
        <v>0</v>
      </c>
      <c r="K36" s="63">
        <f t="shared" si="1"/>
        <v>25</v>
      </c>
      <c r="L36" s="124">
        <f>VLOOKUP($B:$B,'[1]3店'!$B:$L,11,0)</f>
        <v>13.7</v>
      </c>
      <c r="M36" s="44">
        <f t="shared" si="2"/>
        <v>342.5</v>
      </c>
      <c r="N36" s="65">
        <f>IFERROR(VLOOKUP(B:B,'3店辅助表'!B:C,2,FALSE),0)</f>
        <v>3</v>
      </c>
      <c r="O36" s="65">
        <f>IFERROR(VLOOKUP(B:B,'3店辅助表'!E:F,2,FALSE),0)</f>
        <v>4</v>
      </c>
      <c r="P36" s="65">
        <f>IFERROR(VLOOKUP(B:B,'3店辅助表'!H:I,2,FALSE),0)</f>
        <v>10</v>
      </c>
      <c r="Q36" s="65">
        <f>IFERROR(VLOOKUP(B:B,'[1]3店'!$B:$N,13,FALSE),0)</f>
        <v>1</v>
      </c>
      <c r="R36" s="79">
        <f t="shared" si="5"/>
        <v>2</v>
      </c>
      <c r="S36" s="80">
        <f t="shared" si="6"/>
        <v>72.9166666666667</v>
      </c>
      <c r="T36" s="44">
        <f t="shared" si="7"/>
        <v>2.43055555555556</v>
      </c>
      <c r="U36" s="44">
        <f>IFERROR(VLOOKUP($B:$B,'[1]3店'!$B:$T,19,0),"-")</f>
        <v>4.14084507042254</v>
      </c>
      <c r="V36" s="81">
        <f t="shared" si="8"/>
        <v>-1.71028951486698</v>
      </c>
      <c r="W36" s="82" t="str">
        <f>_xlfn.IFS(AND(D36&lt;&gt;0,D36-$AM$2&gt;=0,B36&gt;0,D36&lt;&gt;0),"本月刚到货",AND(IFERROR((K36/(N36/7))/30,"-")="-",K36&gt;0),"有库存无销量",AND(IFERROR((K36/(N36/7))/30,"-")="-",K36=0),"无库存无销量",AND(IFERROR((K36/(N36/7))/30,"-")&lt;=0.5,K36=0),"无库存有销量",IFERROR((K36/(N36/7))/30,"-")&lt;=0.5,"库存过低",IFERROR((K36/(N36/7))/30,"-")&lt;=1.5,"正常",IFERROR((K36/(N36/7))/30,"-")&gt;1.5,"库存过高")</f>
        <v>库存过高</v>
      </c>
      <c r="X36" s="83" t="str">
        <f>_xlfn.IFS(AND(D36&lt;&gt;0,D36-$AM$2&gt;=0,K36&gt;0,D36&lt;&gt;0),"本月刚到货",AND(T36="-",K36&gt;0),"有库存无销量",AND(T36="-",K36=0),"无库存无销量",AND(T36&lt;=0.5,K36=0),"无库存有销量",T36&lt;=0.5,"库存过低",T36&lt;=1.5,"正常",T36&gt;1.5,"库存过高")</f>
        <v>库存过高</v>
      </c>
      <c r="Y36" s="44">
        <f>IFERROR(SUMIF('3店辅助表'!K:K,B:B,'3店辅助表'!N:N),0)</f>
        <v>0</v>
      </c>
      <c r="Z36" s="44">
        <f>IFERROR(SUMIF('3店辅助表'!T:T,B:B,'3店辅助表'!W:W),0)</f>
        <v>0</v>
      </c>
      <c r="AA36" s="44">
        <f>IFERROR(SUMIF('3店辅助表'!AC:AC,B:B,'3店辅助表'!AF:AF),0)</f>
        <v>0</v>
      </c>
      <c r="AB36" s="91" t="str">
        <f>IFERROR(SUMIF('3店辅助表'!K:K,B:B,'3店辅助表'!N:N)/SUMIF('3店辅助表'!K:K,B:B,'3店辅助表'!O:O),"-")</f>
        <v>-</v>
      </c>
      <c r="AC36" s="91" t="str">
        <f>IFERROR(VLOOKUP(B:B,'[1]3店'!$B:$AB,27,0),"-")</f>
        <v>-</v>
      </c>
      <c r="AD36" s="92" t="str">
        <f t="shared" si="9"/>
        <v>-</v>
      </c>
      <c r="AE36" s="91" t="str">
        <f>IFERROR(SUMIF('3店辅助表'!T:T,B:B,'3店辅助表'!W:W)/SUMIF('3店辅助表'!T:T,B:B,'3店辅助表'!X:X),"-")</f>
        <v>-</v>
      </c>
      <c r="AF36" s="91" t="str">
        <f>IFERROR(SUMIF('3店辅助表'!AC:AC,B:B,'3店辅助表'!AF:AF)/SUMIF('3店辅助表'!AC:AC,B:B,'3店辅助表'!AG:AG),"-")</f>
        <v>-</v>
      </c>
      <c r="AG36" s="99">
        <f>IFERROR(AK36/((SUMIF('3店辅助表'!AT:AT,B:B,'3店辅助表'!AU:AU)+M36)/2),"-")</f>
        <v>0.113207547169811</v>
      </c>
      <c r="AH36" s="99">
        <f>IFERROR(AL36/((SUMIF('3店辅助表'!AW:AW,B:B,'3店辅助表'!AX:AX)+M36)/2),"-")</f>
        <v>0.228571428571429</v>
      </c>
      <c r="AI36" s="100">
        <f>IFERROR((SUMIF('3店辅助表'!AP:AP,B:B,'3店辅助表'!AR:AR)-SUMIF('3店辅助表'!AP:AP,B:B,'3店辅助表'!AR:AR)*0.15-(L36+IFERROR(VLOOKUP(B:B,'3店辅助表'!AZ:BA,2,0),0))*O36-IF(AN:AN="US",6.85,4.9)*(Z36+4.27*O36))/SUMIF('3店辅助表'!AP:AP,B:B,'3店辅助表'!AR:AR),"-")</f>
        <v>0.323323106488428</v>
      </c>
      <c r="AJ36" s="100">
        <f t="shared" si="10"/>
        <v>0.073902424340212</v>
      </c>
      <c r="AK36" s="101">
        <f t="shared" si="3"/>
        <v>41.1</v>
      </c>
      <c r="AL36" s="101">
        <f t="shared" si="4"/>
        <v>54.8</v>
      </c>
      <c r="AM36" s="1" t="str">
        <f>VLOOKUP(B:B,'3店辅助表'!AZ:AZ,1,FALSE)</f>
        <v>Y03466-DG+E03063</v>
      </c>
      <c r="AN36" t="str">
        <f>VLOOKUP(B:B,'3店辅助表'!AZ:BB,3,FALSE)</f>
        <v>US</v>
      </c>
    </row>
    <row r="37" customHeight="1" spans="1:40">
      <c r="A37" s="58" t="str">
        <f>INDEX('[1]3店'!$A:$A,MATCH(B:B,'[1]3店'!$B:$B,0))</f>
        <v>欣彤</v>
      </c>
      <c r="B37" s="43" t="s">
        <v>687</v>
      </c>
      <c r="C37" s="43" t="s">
        <v>688</v>
      </c>
      <c r="D37" s="59"/>
      <c r="E37" s="43" t="s">
        <v>689</v>
      </c>
      <c r="F37" s="43">
        <v>9</v>
      </c>
      <c r="G37" s="43">
        <v>1</v>
      </c>
      <c r="H37" s="43">
        <v>0</v>
      </c>
      <c r="I37" s="43">
        <v>0</v>
      </c>
      <c r="J37" s="43">
        <v>32</v>
      </c>
      <c r="K37" s="63">
        <f t="shared" si="1"/>
        <v>42</v>
      </c>
      <c r="L37" s="124">
        <f>VLOOKUP($B:$B,'[1]3店'!$B:$L,11,0)</f>
        <v>13.7</v>
      </c>
      <c r="M37" s="44">
        <f t="shared" si="2"/>
        <v>575.4</v>
      </c>
      <c r="N37" s="65">
        <f>IFERROR(VLOOKUP(B:B,'3店辅助表'!B:C,2,FALSE),0)</f>
        <v>3</v>
      </c>
      <c r="O37" s="65">
        <f>IFERROR(VLOOKUP(B:B,'3店辅助表'!E:F,2,FALSE),0)</f>
        <v>7</v>
      </c>
      <c r="P37" s="65">
        <f>IFERROR(VLOOKUP(B:B,'3店辅助表'!H:I,2,FALSE),0)</f>
        <v>23</v>
      </c>
      <c r="Q37" s="65">
        <f>IFERROR(VLOOKUP(B:B,'[1]3店'!$B:$N,13,FALSE),0)</f>
        <v>4</v>
      </c>
      <c r="R37" s="79">
        <f t="shared" si="5"/>
        <v>-1</v>
      </c>
      <c r="S37" s="80">
        <f t="shared" si="6"/>
        <v>75.8166189111748</v>
      </c>
      <c r="T37" s="44">
        <f t="shared" si="7"/>
        <v>2.52722063037249</v>
      </c>
      <c r="U37" s="44">
        <f>IFERROR(VLOOKUP($B:$B,'[1]3店'!$B:$T,19,0),"-")</f>
        <v>2.33333333333333</v>
      </c>
      <c r="V37" s="81">
        <f t="shared" si="8"/>
        <v>0.19388729703916</v>
      </c>
      <c r="W37" s="82" t="str">
        <f>_xlfn.IFS(AND(D37&lt;&gt;0,D37-$AM$2&gt;=0,B37&gt;0,D37&lt;&gt;0),"本月刚到货",AND(IFERROR((K37/(N37/7))/30,"-")="-",K37&gt;0),"有库存无销量",AND(IFERROR((K37/(N37/7))/30,"-")="-",K37=0),"无库存无销量",AND(IFERROR((K37/(N37/7))/30,"-")&lt;=0.5,K37=0),"无库存有销量",IFERROR((K37/(N37/7))/30,"-")&lt;=0.5,"库存过低",IFERROR((K37/(N37/7))/30,"-")&lt;=1.5,"正常",IFERROR((K37/(N37/7))/30,"-")&gt;1.5,"库存过高")</f>
        <v>库存过高</v>
      </c>
      <c r="X37" s="83" t="str">
        <f>_xlfn.IFS(AND(D37&lt;&gt;0,D37-$AM$2&gt;=0,K37&gt;0,D37&lt;&gt;0),"本月刚到货",AND(T37="-",K37&gt;0),"有库存无销量",AND(T37="-",K37=0),"无库存无销量",AND(T37&lt;=0.5,K37=0),"无库存有销量",T37&lt;=0.5,"库存过低",T37&lt;=1.5,"正常",T37&gt;1.5,"库存过高")</f>
        <v>库存过高</v>
      </c>
      <c r="Y37" s="44">
        <f>IFERROR(SUMIF('3店辅助表'!K:K,B:B,'3店辅助表'!N:N),0)</f>
        <v>0</v>
      </c>
      <c r="Z37" s="44">
        <f>IFERROR(SUMIF('3店辅助表'!T:T,B:B,'3店辅助表'!W:W),0)</f>
        <v>0</v>
      </c>
      <c r="AA37" s="44">
        <f>IFERROR(SUMIF('3店辅助表'!AC:AC,B:B,'3店辅助表'!AF:AF),0)</f>
        <v>0</v>
      </c>
      <c r="AB37" s="91" t="str">
        <f>IFERROR(SUMIF('3店辅助表'!K:K,B:B,'3店辅助表'!N:N)/SUMIF('3店辅助表'!K:K,B:B,'3店辅助表'!O:O),"-")</f>
        <v>-</v>
      </c>
      <c r="AC37" s="91" t="str">
        <f>IFERROR(VLOOKUP(B:B,'[1]3店'!$B:$AB,27,0),"-")</f>
        <v>-</v>
      </c>
      <c r="AD37" s="92" t="str">
        <f t="shared" si="9"/>
        <v>-</v>
      </c>
      <c r="AE37" s="91" t="str">
        <f>IFERROR(SUMIF('3店辅助表'!T:T,B:B,'3店辅助表'!W:W)/SUMIF('3店辅助表'!T:T,B:B,'3店辅助表'!X:X),"-")</f>
        <v>-</v>
      </c>
      <c r="AF37" s="91" t="str">
        <f>IFERROR(SUMIF('3店辅助表'!AC:AC,B:B,'3店辅助表'!AF:AF)/SUMIF('3店辅助表'!AC:AC,B:B,'3店辅助表'!AG:AG),"-")</f>
        <v>-</v>
      </c>
      <c r="AG37" s="99">
        <f>IFERROR(AK37/((SUMIF('3店辅助表'!AT:AT,B:B,'3店辅助表'!AU:AU)+M37)/2),"-")</f>
        <v>0.0681818181818182</v>
      </c>
      <c r="AH37" s="99">
        <f>IFERROR(AL37/((SUMIF('3店辅助表'!AW:AW,B:B,'3店辅助表'!AX:AX)+M37)/2),"-")</f>
        <v>0.17283950617284</v>
      </c>
      <c r="AI37" s="100">
        <f>IFERROR((SUMIF('3店辅助表'!AP:AP,B:B,'3店辅助表'!AR:AR)-SUMIF('3店辅助表'!AP:AP,B:B,'3店辅助表'!AR:AR)*0.15-(L37+IFERROR(VLOOKUP(B:B,'3店辅助表'!AZ:BA,2,0),0))*O37-IF(AN:AN="US",6.85,4.9)*(Z37+4.27*O37))/SUMIF('3店辅助表'!AP:AP,B:B,'3店辅助表'!AR:AR),"-")</f>
        <v>0.326020296353737</v>
      </c>
      <c r="AJ37" s="100">
        <f t="shared" si="10"/>
        <v>0.0563491870241026</v>
      </c>
      <c r="AK37" s="101">
        <f t="shared" si="3"/>
        <v>41.1</v>
      </c>
      <c r="AL37" s="101">
        <f t="shared" si="4"/>
        <v>95.9</v>
      </c>
      <c r="AM37" s="1" t="str">
        <f>VLOOKUP(B:B,'3店辅助表'!AZ:AZ,1,FALSE)</f>
        <v>Y03466-NB+E03063</v>
      </c>
      <c r="AN37" t="str">
        <f>VLOOKUP(B:B,'3店辅助表'!AZ:BB,3,FALSE)</f>
        <v>US</v>
      </c>
    </row>
    <row r="38" customHeight="1" spans="1:40">
      <c r="A38" s="58" t="str">
        <f>INDEX('[1]3店'!$A:$A,MATCH(B:B,'[1]3店'!$B:$B,0))</f>
        <v>欣彤</v>
      </c>
      <c r="B38" s="43" t="s">
        <v>690</v>
      </c>
      <c r="C38" s="43" t="s">
        <v>691</v>
      </c>
      <c r="D38" s="59"/>
      <c r="E38" s="43" t="s">
        <v>692</v>
      </c>
      <c r="F38" s="43">
        <v>14</v>
      </c>
      <c r="G38" s="43">
        <v>0</v>
      </c>
      <c r="H38" s="43">
        <v>0</v>
      </c>
      <c r="I38" s="43">
        <v>0</v>
      </c>
      <c r="J38" s="43">
        <v>0</v>
      </c>
      <c r="K38" s="63">
        <f t="shared" si="1"/>
        <v>14</v>
      </c>
      <c r="L38" s="124">
        <f>VLOOKUP($B:$B,'[1]3店'!$B:$L,11,0)</f>
        <v>13.7</v>
      </c>
      <c r="M38" s="44">
        <f t="shared" si="2"/>
        <v>191.8</v>
      </c>
      <c r="N38" s="65">
        <f>IFERROR(VLOOKUP(B:B,'3店辅助表'!B:C,2,FALSE),0)</f>
        <v>1</v>
      </c>
      <c r="O38" s="65">
        <f>IFERROR(VLOOKUP(B:B,'3店辅助表'!E:F,2,FALSE),0)</f>
        <v>4</v>
      </c>
      <c r="P38" s="65">
        <f>IFERROR(VLOOKUP(B:B,'3店辅助表'!H:I,2,FALSE),0)</f>
        <v>6</v>
      </c>
      <c r="Q38" s="65">
        <f>IFERROR(VLOOKUP(B:B,'[1]3店'!$B:$N,13,FALSE),0)</f>
        <v>3</v>
      </c>
      <c r="R38" s="79">
        <f t="shared" si="5"/>
        <v>-2</v>
      </c>
      <c r="S38" s="80">
        <f t="shared" si="6"/>
        <v>68.90625</v>
      </c>
      <c r="T38" s="44">
        <f t="shared" si="7"/>
        <v>2.296875</v>
      </c>
      <c r="U38" s="44">
        <f>IFERROR(VLOOKUP($B:$B,'[1]3店'!$B:$T,19,0),"-")</f>
        <v>1.55217391304348</v>
      </c>
      <c r="V38" s="81">
        <f t="shared" si="8"/>
        <v>0.74470108695652</v>
      </c>
      <c r="W38" s="82" t="str">
        <f>_xlfn.IFS(AND(D38&lt;&gt;0,D38-$AM$2&gt;=0,B38&gt;0,D38&lt;&gt;0),"本月刚到货",AND(IFERROR((K38/(N38/7))/30,"-")="-",K38&gt;0),"有库存无销量",AND(IFERROR((K38/(N38/7))/30,"-")="-",K38=0),"无库存无销量",AND(IFERROR((K38/(N38/7))/30,"-")&lt;=0.5,K38=0),"无库存有销量",IFERROR((K38/(N38/7))/30,"-")&lt;=0.5,"库存过低",IFERROR((K38/(N38/7))/30,"-")&lt;=1.5,"正常",IFERROR((K38/(N38/7))/30,"-")&gt;1.5,"库存过高")</f>
        <v>库存过高</v>
      </c>
      <c r="X38" s="83" t="str">
        <f>_xlfn.IFS(AND(D38&lt;&gt;0,D38-$AM$2&gt;=0,K38&gt;0,D38&lt;&gt;0),"本月刚到货",AND(T38="-",K38&gt;0),"有库存无销量",AND(T38="-",K38=0),"无库存无销量",AND(T38&lt;=0.5,K38=0),"无库存有销量",T38&lt;=0.5,"库存过低",T38&lt;=1.5,"正常",T38&gt;1.5,"库存过高")</f>
        <v>库存过高</v>
      </c>
      <c r="Y38" s="44">
        <f>IFERROR(SUMIF('3店辅助表'!K:K,B:B,'3店辅助表'!N:N),0)</f>
        <v>0</v>
      </c>
      <c r="Z38" s="44">
        <f>IFERROR(SUMIF('3店辅助表'!T:T,B:B,'3店辅助表'!W:W),0)</f>
        <v>0</v>
      </c>
      <c r="AA38" s="44">
        <f>IFERROR(SUMIF('3店辅助表'!AC:AC,B:B,'3店辅助表'!AF:AF),0)</f>
        <v>0</v>
      </c>
      <c r="AB38" s="91" t="str">
        <f>IFERROR(SUMIF('3店辅助表'!K:K,B:B,'3店辅助表'!N:N)/SUMIF('3店辅助表'!K:K,B:B,'3店辅助表'!O:O),"-")</f>
        <v>-</v>
      </c>
      <c r="AC38" s="91" t="str">
        <f>IFERROR(VLOOKUP(B:B,'[1]3店'!$B:$AB,27,0),"-")</f>
        <v>-</v>
      </c>
      <c r="AD38" s="92" t="str">
        <f t="shared" si="9"/>
        <v>-</v>
      </c>
      <c r="AE38" s="91" t="str">
        <f>IFERROR(SUMIF('3店辅助表'!T:T,B:B,'3店辅助表'!W:W)/SUMIF('3店辅助表'!T:T,B:B,'3店辅助表'!X:X),"-")</f>
        <v>-</v>
      </c>
      <c r="AF38" s="91" t="str">
        <f>IFERROR(SUMIF('3店辅助表'!AC:AC,B:B,'3店辅助表'!AF:AF)/SUMIF('3店辅助表'!AC:AC,B:B,'3店辅助表'!AG:AG),"-")</f>
        <v>-</v>
      </c>
      <c r="AG38" s="99">
        <f>IFERROR(AK38/((SUMIF('3店辅助表'!AT:AT,B:B,'3店辅助表'!AU:AU)+M38)/2),"-")</f>
        <v>0.0645161290322581</v>
      </c>
      <c r="AH38" s="99">
        <f>IFERROR(AL38/((SUMIF('3店辅助表'!AW:AW,B:B,'3店辅助表'!AX:AX)+M38)/2),"-")</f>
        <v>0.235294117647059</v>
      </c>
      <c r="AI38" s="100">
        <f>IFERROR((SUMIF('3店辅助表'!AP:AP,B:B,'3店辅助表'!AR:AR)-SUMIF('3店辅助表'!AP:AP,B:B,'3店辅助表'!AR:AR)*0.15-(L38+IFERROR(VLOOKUP(B:B,'3店辅助表'!AZ:BA,2,0),0))*O38-IF(AN:AN="US",6.85,4.9)*(Z38+4.27*O38))/SUMIF('3店辅助表'!AP:AP,B:B,'3店辅助表'!AR:AR),"-")</f>
        <v>0.257772900774977</v>
      </c>
      <c r="AJ38" s="100">
        <f t="shared" si="10"/>
        <v>0.060652447241171</v>
      </c>
      <c r="AK38" s="101">
        <f t="shared" si="3"/>
        <v>13.7</v>
      </c>
      <c r="AL38" s="101">
        <f t="shared" si="4"/>
        <v>54.8</v>
      </c>
      <c r="AM38" s="1" t="str">
        <f>VLOOKUP(B:B,'3店辅助表'!AZ:AZ,1,FALSE)</f>
        <v>Y03466-OR+E03063</v>
      </c>
      <c r="AN38" t="str">
        <f>VLOOKUP(B:B,'3店辅助表'!AZ:BB,3,FALSE)</f>
        <v>US</v>
      </c>
    </row>
    <row r="39" customHeight="1" spans="1:40">
      <c r="A39" s="58" t="str">
        <f>INDEX('[1]3店'!$A:$A,MATCH(B:B,'[1]3店'!$B:$B,0))</f>
        <v>欣彤</v>
      </c>
      <c r="B39" s="43" t="s">
        <v>693</v>
      </c>
      <c r="C39" s="43" t="s">
        <v>694</v>
      </c>
      <c r="D39" s="59"/>
      <c r="E39" s="43" t="s">
        <v>695</v>
      </c>
      <c r="F39" s="43">
        <v>6</v>
      </c>
      <c r="G39" s="43">
        <v>0</v>
      </c>
      <c r="H39" s="43">
        <v>20</v>
      </c>
      <c r="I39" s="43">
        <v>0</v>
      </c>
      <c r="J39" s="43">
        <v>0</v>
      </c>
      <c r="K39" s="63">
        <f t="shared" si="1"/>
        <v>26</v>
      </c>
      <c r="L39" s="124">
        <f>VLOOKUP($B:$B,'[1]3店'!$B:$L,11,0)</f>
        <v>13.7</v>
      </c>
      <c r="M39" s="44">
        <f t="shared" si="2"/>
        <v>356.2</v>
      </c>
      <c r="N39" s="65">
        <f>IFERROR(VLOOKUP(B:B,'3店辅助表'!B:C,2,FALSE),0)</f>
        <v>2</v>
      </c>
      <c r="O39" s="65">
        <f>IFERROR(VLOOKUP(B:B,'3店辅助表'!E:F,2,FALSE),0)</f>
        <v>4</v>
      </c>
      <c r="P39" s="65">
        <f>IFERROR(VLOOKUP(B:B,'3店辅助表'!H:I,2,FALSE),0)</f>
        <v>9</v>
      </c>
      <c r="Q39" s="65">
        <f>IFERROR(VLOOKUP(B:B,'[1]3店'!$B:$N,13,FALSE),0)</f>
        <v>2</v>
      </c>
      <c r="R39" s="79">
        <f t="shared" si="5"/>
        <v>0</v>
      </c>
      <c r="S39" s="80">
        <f t="shared" si="6"/>
        <v>91.5083798882681</v>
      </c>
      <c r="T39" s="44">
        <f t="shared" si="7"/>
        <v>3.05027932960894</v>
      </c>
      <c r="U39" s="44">
        <f>IFERROR(VLOOKUP($B:$B,'[1]3店'!$B:$T,19,0),"-")</f>
        <v>1.0880829015544</v>
      </c>
      <c r="V39" s="81">
        <f t="shared" si="8"/>
        <v>1.96219642805454</v>
      </c>
      <c r="W39" s="82" t="str">
        <f>_xlfn.IFS(AND(D39&lt;&gt;0,D39-$AM$2&gt;=0,B39&gt;0,D39&lt;&gt;0),"本月刚到货",AND(IFERROR((K39/(N39/7))/30,"-")="-",K39&gt;0),"有库存无销量",AND(IFERROR((K39/(N39/7))/30,"-")="-",K39=0),"无库存无销量",AND(IFERROR((K39/(N39/7))/30,"-")&lt;=0.5,K39=0),"无库存有销量",IFERROR((K39/(N39/7))/30,"-")&lt;=0.5,"库存过低",IFERROR((K39/(N39/7))/30,"-")&lt;=1.5,"正常",IFERROR((K39/(N39/7))/30,"-")&gt;1.5,"库存过高")</f>
        <v>库存过高</v>
      </c>
      <c r="X39" s="83" t="str">
        <f>_xlfn.IFS(AND(D39&lt;&gt;0,D39-$AM$2&gt;=0,K39&gt;0,D39&lt;&gt;0),"本月刚到货",AND(T39="-",K39&gt;0),"有库存无销量",AND(T39="-",K39=0),"无库存无销量",AND(T39&lt;=0.5,K39=0),"无库存有销量",T39&lt;=0.5,"库存过低",T39&lt;=1.5,"正常",T39&gt;1.5,"库存过高")</f>
        <v>库存过高</v>
      </c>
      <c r="Y39" s="44">
        <f>IFERROR(SUMIF('3店辅助表'!K:K,B:B,'3店辅助表'!N:N),0)</f>
        <v>0</v>
      </c>
      <c r="Z39" s="44">
        <f>IFERROR(SUMIF('3店辅助表'!T:T,B:B,'3店辅助表'!W:W),0)</f>
        <v>0</v>
      </c>
      <c r="AA39" s="44">
        <f>IFERROR(SUMIF('3店辅助表'!AC:AC,B:B,'3店辅助表'!AF:AF),0)</f>
        <v>0</v>
      </c>
      <c r="AB39" s="91" t="str">
        <f>IFERROR(SUMIF('3店辅助表'!K:K,B:B,'3店辅助表'!N:N)/SUMIF('3店辅助表'!K:K,B:B,'3店辅助表'!O:O),"-")</f>
        <v>-</v>
      </c>
      <c r="AC39" s="91" t="str">
        <f>IFERROR(VLOOKUP(B:B,'[1]3店'!$B:$AB,27,0),"-")</f>
        <v>-</v>
      </c>
      <c r="AD39" s="92" t="str">
        <f t="shared" si="9"/>
        <v>-</v>
      </c>
      <c r="AE39" s="91" t="str">
        <f>IFERROR(SUMIF('3店辅助表'!T:T,B:B,'3店辅助表'!W:W)/SUMIF('3店辅助表'!T:T,B:B,'3店辅助表'!X:X),"-")</f>
        <v>-</v>
      </c>
      <c r="AF39" s="91" t="str">
        <f>IFERROR(SUMIF('3店辅助表'!AC:AC,B:B,'3店辅助表'!AF:AF)/SUMIF('3店辅助表'!AC:AC,B:B,'3店辅助表'!AG:AG),"-")</f>
        <v>-</v>
      </c>
      <c r="AG39" s="99">
        <f>IFERROR(AK39/((SUMIF('3店辅助表'!AT:AT,B:B,'3店辅助表'!AU:AU)+M39)/2),"-")</f>
        <v>0.111111111111111</v>
      </c>
      <c r="AH39" s="99">
        <f>IFERROR(AL39/((SUMIF('3店辅助表'!AW:AW,B:B,'3店辅助表'!AX:AX)+M39)/2),"-")</f>
        <v>0.205128205128205</v>
      </c>
      <c r="AI39" s="100">
        <f>IFERROR((SUMIF('3店辅助表'!AP:AP,B:B,'3店辅助表'!AR:AR)-SUMIF('3店辅助表'!AP:AP,B:B,'3店辅助表'!AR:AR)*0.15-(L39+IFERROR(VLOOKUP(B:B,'3店辅助表'!AZ:BA,2,0),0))*O39-IF(AN:AN="US",6.85,4.9)*(Z39+4.27*O39))/SUMIF('3店辅助表'!AP:AP,B:B,'3店辅助表'!AR:AR),"-")</f>
        <v>0.28410871590072</v>
      </c>
      <c r="AJ39" s="100">
        <f t="shared" si="10"/>
        <v>0.0582787109539939</v>
      </c>
      <c r="AK39" s="101">
        <f t="shared" si="3"/>
        <v>27.4</v>
      </c>
      <c r="AL39" s="101">
        <f t="shared" si="4"/>
        <v>54.8</v>
      </c>
      <c r="AM39" s="1" t="str">
        <f>VLOOKUP(B:B,'3店辅助表'!AZ:AZ,1,FALSE)</f>
        <v>Y03466-TG+E03063</v>
      </c>
      <c r="AN39" t="str">
        <f>VLOOKUP(B:B,'3店辅助表'!AZ:BB,3,FALSE)</f>
        <v>US</v>
      </c>
    </row>
    <row r="40" customHeight="1" spans="1:40">
      <c r="A40" s="58" t="str">
        <f>INDEX('[1]3店'!$A:$A,MATCH(B:B,'[1]3店'!$B:$B,0))</f>
        <v>欣彤</v>
      </c>
      <c r="B40" s="43" t="s">
        <v>696</v>
      </c>
      <c r="C40" s="43" t="s">
        <v>697</v>
      </c>
      <c r="D40" s="59"/>
      <c r="E40" s="43" t="s">
        <v>698</v>
      </c>
      <c r="F40" s="43">
        <v>137</v>
      </c>
      <c r="G40" s="43">
        <v>10</v>
      </c>
      <c r="H40" s="43">
        <v>14</v>
      </c>
      <c r="I40" s="43">
        <v>88</v>
      </c>
      <c r="J40" s="43">
        <v>0</v>
      </c>
      <c r="K40" s="63">
        <f t="shared" si="1"/>
        <v>249</v>
      </c>
      <c r="L40" s="124">
        <f>VLOOKUP($B:$B,'[1]3店'!$B:$L,11,0)</f>
        <v>13.9</v>
      </c>
      <c r="M40" s="44">
        <f t="shared" si="2"/>
        <v>3461.1</v>
      </c>
      <c r="N40" s="65">
        <f>IFERROR(VLOOKUP(B:B,'3店辅助表'!B:C,2,FALSE),0)</f>
        <v>27</v>
      </c>
      <c r="O40" s="65">
        <f>IFERROR(VLOOKUP(B:B,'3店辅助表'!E:F,2,FALSE),0)</f>
        <v>53</v>
      </c>
      <c r="P40" s="65">
        <f>IFERROR(VLOOKUP(B:B,'3店辅助表'!H:I,2,FALSE),0)</f>
        <v>107</v>
      </c>
      <c r="Q40" s="65">
        <f>IFERROR(VLOOKUP(B:B,'[1]3店'!$B:$N,13,FALSE),0)</f>
        <v>26</v>
      </c>
      <c r="R40" s="79">
        <f t="shared" si="5"/>
        <v>1</v>
      </c>
      <c r="S40" s="80">
        <f t="shared" si="6"/>
        <v>68.1747066492829</v>
      </c>
      <c r="T40" s="44">
        <f t="shared" si="7"/>
        <v>2.27249022164276</v>
      </c>
      <c r="U40" s="44">
        <f>IFERROR(VLOOKUP($B:$B,'[1]3店'!$B:$T,19,0),"-")</f>
        <v>3.81385869565217</v>
      </c>
      <c r="V40" s="81">
        <f t="shared" si="8"/>
        <v>-1.54136847400941</v>
      </c>
      <c r="W40" s="82" t="str">
        <f>_xlfn.IFS(AND(D40&lt;&gt;0,D40-$AM$2&gt;=0,B40&gt;0,D40&lt;&gt;0),"本月刚到货",AND(IFERROR((K40/(N40/7))/30,"-")="-",K40&gt;0),"有库存无销量",AND(IFERROR((K40/(N40/7))/30,"-")="-",K40=0),"无库存无销量",AND(IFERROR((K40/(N40/7))/30,"-")&lt;=0.5,K40=0),"无库存有销量",IFERROR((K40/(N40/7))/30,"-")&lt;=0.5,"库存过低",IFERROR((K40/(N40/7))/30,"-")&lt;=1.5,"正常",IFERROR((K40/(N40/7))/30,"-")&gt;1.5,"库存过高")</f>
        <v>库存过高</v>
      </c>
      <c r="X40" s="83" t="str">
        <f>_xlfn.IFS(AND(D40&lt;&gt;0,D40-$AM$2&gt;=0,K40&gt;0,D40&lt;&gt;0),"本月刚到货",AND(T40="-",K40&gt;0),"有库存无销量",AND(T40="-",K40=0),"无库存无销量",AND(T40&lt;=0.5,K40=0),"无库存有销量",T40&lt;=0.5,"库存过低",T40&lt;=1.5,"正常",T40&gt;1.5,"库存过高")</f>
        <v>库存过高</v>
      </c>
      <c r="Y40" s="44">
        <f>IFERROR(SUMIF('3店辅助表'!K:K,B:B,'3店辅助表'!N:N),0)</f>
        <v>40.36</v>
      </c>
      <c r="Z40" s="44">
        <f>IFERROR(SUMIF('3店辅助表'!T:T,B:B,'3店辅助表'!W:W),0)</f>
        <v>87.83</v>
      </c>
      <c r="AA40" s="44">
        <f>IFERROR(SUMIF('3店辅助表'!AC:AC,B:B,'3店辅助表'!AF:AF),0)</f>
        <v>163.63</v>
      </c>
      <c r="AB40" s="91">
        <f>IFERROR(SUMIF('3店辅助表'!K:K,B:B,'3店辅助表'!N:N)/SUMIF('3店辅助表'!K:K,B:B,'3店辅助表'!O:O),"-")</f>
        <v>0.194187836797537</v>
      </c>
      <c r="AC40" s="91">
        <f>IFERROR(VLOOKUP(B:B,'[1]3店'!$B:$AB,27,0),"-")</f>
        <v>0.216860702614379</v>
      </c>
      <c r="AD40" s="92">
        <f t="shared" si="9"/>
        <v>-0.022672865816842</v>
      </c>
      <c r="AE40" s="91">
        <f>IFERROR(SUMIF('3店辅助表'!T:T,B:B,'3店辅助表'!W:W)/SUMIF('3店辅助表'!T:T,B:B,'3店辅助表'!X:X),"-")</f>
        <v>0.217573325406262</v>
      </c>
      <c r="AF40" s="91">
        <f>IFERROR(SUMIF('3店辅助表'!AC:AC,B:B,'3店辅助表'!AF:AF)/SUMIF('3店辅助表'!AC:AC,B:B,'3店辅助表'!AG:AG),"-")</f>
        <v>0.21689797325062</v>
      </c>
      <c r="AG40" s="99">
        <f>IFERROR(AK40/((SUMIF('3店辅助表'!AT:AT,B:B,'3店辅助表'!AU:AU)+M40)/2),"-")</f>
        <v>0.0830769230769231</v>
      </c>
      <c r="AH40" s="99">
        <f>IFERROR(AL40/((SUMIF('3店辅助表'!AW:AW,B:B,'3店辅助表'!AX:AX)+M40)/2),"-")</f>
        <v>0.29041095890411</v>
      </c>
      <c r="AI40" s="100">
        <f>IFERROR((SUMIF('3店辅助表'!AP:AP,B:B,'3店辅助表'!AR:AR)-SUMIF('3店辅助表'!AP:AP,B:B,'3店辅助表'!AR:AR)*0.15-(L40+IFERROR(VLOOKUP(B:B,'3店辅助表'!AZ:BA,2,0),0))*O40-IF(AN:AN="US",6.85,4.9)*(Z40+4.27*O40))/SUMIF('3店辅助表'!AP:AP,B:B,'3店辅助表'!AR:AR),"-")</f>
        <v>0.148646831012115</v>
      </c>
      <c r="AJ40" s="100">
        <f t="shared" si="10"/>
        <v>0.0431686687322853</v>
      </c>
      <c r="AK40" s="101">
        <f t="shared" si="3"/>
        <v>375.3</v>
      </c>
      <c r="AL40" s="101">
        <f t="shared" si="4"/>
        <v>736.7</v>
      </c>
      <c r="AM40" s="1" t="str">
        <f>VLOOKUP(B:B,'3店辅助表'!AZ:AZ,1,FALSE)</f>
        <v>Y03507-BL+Y03508+Y03509</v>
      </c>
      <c r="AN40" t="str">
        <f>VLOOKUP(B:B,'3店辅助表'!AZ:BB,3,FALSE)</f>
        <v>US</v>
      </c>
    </row>
    <row r="41" customHeight="1" spans="1:40">
      <c r="A41" s="58" t="str">
        <f>INDEX('[1]3店'!$A:$A,MATCH(B:B,'[1]3店'!$B:$B,0))</f>
        <v>欣彤</v>
      </c>
      <c r="B41" s="43" t="s">
        <v>699</v>
      </c>
      <c r="C41" s="43" t="s">
        <v>700</v>
      </c>
      <c r="D41" s="59"/>
      <c r="E41" s="43" t="s">
        <v>701</v>
      </c>
      <c r="F41" s="43">
        <v>24</v>
      </c>
      <c r="G41" s="43">
        <v>0</v>
      </c>
      <c r="H41" s="43">
        <v>0</v>
      </c>
      <c r="I41" s="43">
        <v>0</v>
      </c>
      <c r="J41" s="43">
        <v>1</v>
      </c>
      <c r="K41" s="63">
        <f t="shared" si="1"/>
        <v>25</v>
      </c>
      <c r="L41" s="124">
        <f>VLOOKUP($B:$B,'[1]3店'!$B:$L,11,0)</f>
        <v>13.9</v>
      </c>
      <c r="M41" s="44">
        <f t="shared" si="2"/>
        <v>347.5</v>
      </c>
      <c r="N41" s="65">
        <f>IFERROR(VLOOKUP(B:B,'3店辅助表'!B:C,2,FALSE),0)</f>
        <v>2</v>
      </c>
      <c r="O41" s="65">
        <f>IFERROR(VLOOKUP(B:B,'3店辅助表'!E:F,2,FALSE),0)</f>
        <v>3</v>
      </c>
      <c r="P41" s="65">
        <f>IFERROR(VLOOKUP(B:B,'3店辅助表'!H:I,2,FALSE),0)</f>
        <v>4</v>
      </c>
      <c r="Q41" s="65">
        <f>IFERROR(VLOOKUP(B:B,'[1]3店'!$B:$N,13,FALSE),0)</f>
        <v>1</v>
      </c>
      <c r="R41" s="79">
        <f t="shared" si="5"/>
        <v>1</v>
      </c>
      <c r="S41" s="80">
        <f t="shared" si="6"/>
        <v>121.153846153846</v>
      </c>
      <c r="T41" s="44">
        <f t="shared" si="7"/>
        <v>4.03846153846154</v>
      </c>
      <c r="U41" s="44">
        <f>IFERROR(VLOOKUP($B:$B,'[1]3店'!$B:$T,19,0),"-")</f>
        <v>8.16666666666667</v>
      </c>
      <c r="V41" s="81">
        <f t="shared" si="8"/>
        <v>-4.12820512820513</v>
      </c>
      <c r="W41" s="82" t="str">
        <f>_xlfn.IFS(AND(D41&lt;&gt;0,D41-$AM$2&gt;=0,B41&gt;0,D41&lt;&gt;0),"本月刚到货",AND(IFERROR((K41/(N41/7))/30,"-")="-",K41&gt;0),"有库存无销量",AND(IFERROR((K41/(N41/7))/30,"-")="-",K41=0),"无库存无销量",AND(IFERROR((K41/(N41/7))/30,"-")&lt;=0.5,K41=0),"无库存有销量",IFERROR((K41/(N41/7))/30,"-")&lt;=0.5,"库存过低",IFERROR((K41/(N41/7))/30,"-")&lt;=1.5,"正常",IFERROR((K41/(N41/7))/30,"-")&gt;1.5,"库存过高")</f>
        <v>库存过高</v>
      </c>
      <c r="X41" s="83" t="str">
        <f>_xlfn.IFS(AND(D41&lt;&gt;0,D41-$AM$2&gt;=0,K41&gt;0,D41&lt;&gt;0),"本月刚到货",AND(T41="-",K41&gt;0),"有库存无销量",AND(T41="-",K41=0),"无库存无销量",AND(T41&lt;=0.5,K41=0),"无库存有销量",T41&lt;=0.5,"库存过低",T41&lt;=1.5,"正常",T41&gt;1.5,"库存过高")</f>
        <v>库存过高</v>
      </c>
      <c r="Y41" s="44">
        <f>IFERROR(SUMIF('3店辅助表'!K:K,B:B,'3店辅助表'!N:N),0)</f>
        <v>0</v>
      </c>
      <c r="Z41" s="44">
        <f>IFERROR(SUMIF('3店辅助表'!T:T,B:B,'3店辅助表'!W:W),0)</f>
        <v>0</v>
      </c>
      <c r="AA41" s="44">
        <f>IFERROR(SUMIF('3店辅助表'!AC:AC,B:B,'3店辅助表'!AF:AF),0)</f>
        <v>0</v>
      </c>
      <c r="AB41" s="91" t="str">
        <f>IFERROR(SUMIF('3店辅助表'!K:K,B:B,'3店辅助表'!N:N)/SUMIF('3店辅助表'!K:K,B:B,'3店辅助表'!O:O),"-")</f>
        <v>-</v>
      </c>
      <c r="AC41" s="91" t="str">
        <f>IFERROR(VLOOKUP(B:B,'[1]3店'!$B:$AB,27,0),"-")</f>
        <v>-</v>
      </c>
      <c r="AD41" s="92" t="str">
        <f t="shared" si="9"/>
        <v>-</v>
      </c>
      <c r="AE41" s="91" t="str">
        <f>IFERROR(SUMIF('3店辅助表'!T:T,B:B,'3店辅助表'!W:W)/SUMIF('3店辅助表'!T:T,B:B,'3店辅助表'!X:X),"-")</f>
        <v>-</v>
      </c>
      <c r="AF41" s="91" t="str">
        <f>IFERROR(SUMIF('3店辅助表'!AC:AC,B:B,'3店辅助表'!AF:AF)/SUMIF('3店辅助表'!AC:AC,B:B,'3店辅助表'!AG:AG),"-")</f>
        <v>-</v>
      </c>
      <c r="AG41" s="99">
        <f>IFERROR(AK41/((SUMIF('3店辅助表'!AT:AT,B:B,'3店辅助表'!AU:AU)+M41)/2),"-")</f>
        <v>0.0754716981132075</v>
      </c>
      <c r="AH41" s="99">
        <f>IFERROR(AL41/((SUMIF('3店辅助表'!AW:AW,B:B,'3店辅助表'!AX:AX)+M41)/2),"-")</f>
        <v>0.24</v>
      </c>
      <c r="AI41" s="100">
        <f>IFERROR((SUMIF('3店辅助表'!AP:AP,B:B,'3店辅助表'!AR:AR)-SUMIF('3店辅助表'!AP:AP,B:B,'3店辅助表'!AR:AR)*0.15-(L41+IFERROR(VLOOKUP(B:B,'3店辅助表'!AZ:BA,2,0),0))*O41-IF(AN:AN="US",6.85,4.9)*(Z41+4.27*O41))/SUMIF('3店辅助表'!AP:AP,B:B,'3店辅助表'!AR:AR),"-")</f>
        <v>0.258190503643712</v>
      </c>
      <c r="AJ41" s="100">
        <f t="shared" si="10"/>
        <v>0.0619657208744909</v>
      </c>
      <c r="AK41" s="101">
        <f t="shared" si="3"/>
        <v>27.8</v>
      </c>
      <c r="AL41" s="101">
        <f t="shared" si="4"/>
        <v>41.7</v>
      </c>
      <c r="AM41" s="1" t="str">
        <f>VLOOKUP(B:B,'3店辅助表'!AZ:AZ,1,FALSE)</f>
        <v>Y03507-GR+Y03508+Y03509</v>
      </c>
      <c r="AN41" t="str">
        <f>VLOOKUP(B:B,'3店辅助表'!AZ:BB,3,FALSE)</f>
        <v>US</v>
      </c>
    </row>
    <row r="42" customHeight="1" spans="1:40">
      <c r="A42" s="58" t="str">
        <f>INDEX('[1]3店'!$A:$A,MATCH(B:B,'[1]3店'!$B:$B,0))</f>
        <v>欣彤</v>
      </c>
      <c r="B42" s="43" t="s">
        <v>702</v>
      </c>
      <c r="C42" s="43" t="s">
        <v>703</v>
      </c>
      <c r="D42" s="59"/>
      <c r="E42" s="43" t="s">
        <v>704</v>
      </c>
      <c r="F42" s="43">
        <v>11</v>
      </c>
      <c r="G42" s="43">
        <v>2</v>
      </c>
      <c r="H42" s="43">
        <v>45</v>
      </c>
      <c r="I42" s="43">
        <v>0</v>
      </c>
      <c r="J42" s="43">
        <v>0</v>
      </c>
      <c r="K42" s="63">
        <f t="shared" si="1"/>
        <v>58</v>
      </c>
      <c r="L42" s="124">
        <f>VLOOKUP($B:$B,'[1]3店'!$B:$L,11,0)</f>
        <v>13.9</v>
      </c>
      <c r="M42" s="44">
        <f t="shared" si="2"/>
        <v>806.2</v>
      </c>
      <c r="N42" s="65">
        <f>IFERROR(VLOOKUP(B:B,'3店辅助表'!B:C,2,FALSE),0)</f>
        <v>9</v>
      </c>
      <c r="O42" s="65">
        <f>IFERROR(VLOOKUP(B:B,'3店辅助表'!E:F,2,FALSE),0)</f>
        <v>16</v>
      </c>
      <c r="P42" s="65">
        <f>IFERROR(VLOOKUP(B:B,'3店辅助表'!H:I,2,FALSE),0)</f>
        <v>26</v>
      </c>
      <c r="Q42" s="65">
        <f>IFERROR(VLOOKUP(B:B,'[1]3店'!$B:$N,13,FALSE),0)</f>
        <v>6</v>
      </c>
      <c r="R42" s="79">
        <f t="shared" si="5"/>
        <v>3</v>
      </c>
      <c r="S42" s="80">
        <f t="shared" si="6"/>
        <v>54.0532544378698</v>
      </c>
      <c r="T42" s="44">
        <f t="shared" si="7"/>
        <v>1.80177514792899</v>
      </c>
      <c r="U42" s="44">
        <f>IFERROR(VLOOKUP($B:$B,'[1]3店'!$B:$T,19,0),"-")</f>
        <v>0.930379746835443</v>
      </c>
      <c r="V42" s="81">
        <f t="shared" si="8"/>
        <v>0.871395401093547</v>
      </c>
      <c r="W42" s="82" t="str">
        <f>_xlfn.IFS(AND(D42&lt;&gt;0,D42-$AM$2&gt;=0,B42&gt;0,D42&lt;&gt;0),"本月刚到货",AND(IFERROR((K42/(N42/7))/30,"-")="-",K42&gt;0),"有库存无销量",AND(IFERROR((K42/(N42/7))/30,"-")="-",K42=0),"无库存无销量",AND(IFERROR((K42/(N42/7))/30,"-")&lt;=0.5,K42=0),"无库存有销量",IFERROR((K42/(N42/7))/30,"-")&lt;=0.5,"库存过低",IFERROR((K42/(N42/7))/30,"-")&lt;=1.5,"正常",IFERROR((K42/(N42/7))/30,"-")&gt;1.5,"库存过高")</f>
        <v>库存过高</v>
      </c>
      <c r="X42" s="83" t="str">
        <f>_xlfn.IFS(AND(D42&lt;&gt;0,D42-$AM$2&gt;=0,K42&gt;0,D42&lt;&gt;0),"本月刚到货",AND(T42="-",K42&gt;0),"有库存无销量",AND(T42="-",K42=0),"无库存无销量",AND(T42&lt;=0.5,K42=0),"无库存有销量",T42&lt;=0.5,"库存过低",T42&lt;=1.5,"正常",T42&gt;1.5,"库存过高")</f>
        <v>库存过高</v>
      </c>
      <c r="Y42" s="44">
        <f>IFERROR(SUMIF('3店辅助表'!K:K,B:B,'3店辅助表'!N:N),0)</f>
        <v>0</v>
      </c>
      <c r="Z42" s="44">
        <f>IFERROR(SUMIF('3店辅助表'!T:T,B:B,'3店辅助表'!W:W),0)</f>
        <v>0</v>
      </c>
      <c r="AA42" s="44">
        <f>IFERROR(SUMIF('3店辅助表'!AC:AC,B:B,'3店辅助表'!AF:AF),0)</f>
        <v>0</v>
      </c>
      <c r="AB42" s="91" t="str">
        <f>IFERROR(SUMIF('3店辅助表'!K:K,B:B,'3店辅助表'!N:N)/SUMIF('3店辅助表'!K:K,B:B,'3店辅助表'!O:O),"-")</f>
        <v>-</v>
      </c>
      <c r="AC42" s="91" t="str">
        <f>IFERROR(VLOOKUP(B:B,'[1]3店'!$B:$AB,27,0),"-")</f>
        <v>-</v>
      </c>
      <c r="AD42" s="92" t="str">
        <f t="shared" si="9"/>
        <v>-</v>
      </c>
      <c r="AE42" s="91" t="str">
        <f>IFERROR(SUMIF('3店辅助表'!T:T,B:B,'3店辅助表'!W:W)/SUMIF('3店辅助表'!T:T,B:B,'3店辅助表'!X:X),"-")</f>
        <v>-</v>
      </c>
      <c r="AF42" s="91" t="str">
        <f>IFERROR(SUMIF('3店辅助表'!AC:AC,B:B,'3店辅助表'!AF:AF)/SUMIF('3店辅助表'!AC:AC,B:B,'3店辅助表'!AG:AG),"-")</f>
        <v>-</v>
      </c>
      <c r="AG42" s="99">
        <f>IFERROR(AK42/((SUMIF('3店辅助表'!AT:AT,B:B,'3店辅助表'!AU:AU)+M42)/2),"-")</f>
        <v>0.227848101265823</v>
      </c>
      <c r="AH42" s="99">
        <f>IFERROR(AL42/((SUMIF('3店辅助表'!AW:AW,B:B,'3店辅助表'!AX:AX)+M42)/2),"-")</f>
        <v>0.421052631578947</v>
      </c>
      <c r="AI42" s="100">
        <f>IFERROR((SUMIF('3店辅助表'!AP:AP,B:B,'3店辅助表'!AR:AR)-SUMIF('3店辅助表'!AP:AP,B:B,'3店辅助表'!AR:AR)*0.15-(L42+IFERROR(VLOOKUP(B:B,'3店辅助表'!AZ:BA,2,0),0))*O42-IF(AN:AN="US",6.85,4.9)*(Z42+4.27*O42))/SUMIF('3店辅助表'!AP:AP,B:B,'3店辅助表'!AR:AR),"-")</f>
        <v>0.267402659445008</v>
      </c>
      <c r="AJ42" s="100">
        <f t="shared" si="10"/>
        <v>0.11259059345053</v>
      </c>
      <c r="AK42" s="101">
        <f t="shared" si="3"/>
        <v>125.1</v>
      </c>
      <c r="AL42" s="101">
        <f t="shared" si="4"/>
        <v>222.4</v>
      </c>
      <c r="AM42" s="1" t="str">
        <f>VLOOKUP(B:B,'3店辅助表'!AZ:AZ,1,FALSE)</f>
        <v>Y03507-NB+Y03508+Y03509</v>
      </c>
      <c r="AN42" t="str">
        <f>VLOOKUP(B:B,'3店辅助表'!AZ:BB,3,FALSE)</f>
        <v>US</v>
      </c>
    </row>
    <row r="43" customHeight="1" spans="1:40">
      <c r="A43" s="58" t="str">
        <f>INDEX('[1]3店'!$A:$A,MATCH(B:B,'[1]3店'!$B:$B,0))</f>
        <v>欣彤</v>
      </c>
      <c r="B43" s="43" t="s">
        <v>705</v>
      </c>
      <c r="C43" s="43" t="s">
        <v>706</v>
      </c>
      <c r="D43" s="59"/>
      <c r="E43" s="43" t="s">
        <v>707</v>
      </c>
      <c r="F43" s="43">
        <v>15</v>
      </c>
      <c r="G43" s="43">
        <v>2</v>
      </c>
      <c r="H43" s="43">
        <v>50</v>
      </c>
      <c r="I43" s="43">
        <v>0</v>
      </c>
      <c r="J43" s="43">
        <v>0</v>
      </c>
      <c r="K43" s="63">
        <f t="shared" ref="K43:K53" si="11">F43+G43+H43+I43+J43</f>
        <v>67</v>
      </c>
      <c r="L43" s="124">
        <f>VLOOKUP($B:$B,'[1]3店'!$B:$L,11,0)</f>
        <v>13.9</v>
      </c>
      <c r="M43" s="44">
        <f t="shared" ref="M43:M87" si="12">K43*L43</f>
        <v>931.3</v>
      </c>
      <c r="N43" s="65">
        <f>IFERROR(VLOOKUP(B:B,'3店辅助表'!B:C,2,FALSE),0)</f>
        <v>3</v>
      </c>
      <c r="O43" s="65">
        <f>IFERROR(VLOOKUP(B:B,'3店辅助表'!E:F,2,FALSE),0)</f>
        <v>6</v>
      </c>
      <c r="P43" s="65">
        <f>IFERROR(VLOOKUP(B:B,'3店辅助表'!H:I,2,FALSE),0)</f>
        <v>11</v>
      </c>
      <c r="Q43" s="65">
        <f>IFERROR(VLOOKUP(B:B,'[1]3店'!$B:$N,13,FALSE),0)</f>
        <v>3</v>
      </c>
      <c r="R43" s="79">
        <f t="shared" ref="R43:R55" si="13">N43-Q43</f>
        <v>0</v>
      </c>
      <c r="S43" s="80">
        <f t="shared" ref="S43:S55" si="14">IFERROR(K43/((N43/7+O43/15+P43/30)/3),"-")</f>
        <v>168.167330677291</v>
      </c>
      <c r="T43" s="44">
        <f t="shared" ref="T43:T55" si="15">IFERROR(S43/30,"-")</f>
        <v>5.60557768924303</v>
      </c>
      <c r="U43" s="44">
        <f>IFERROR(VLOOKUP($B:$B,'[1]3店'!$B:$T,19,0),"-")</f>
        <v>1.78923766816143</v>
      </c>
      <c r="V43" s="81">
        <f t="shared" ref="V43:V55" si="16">IFERROR(T43-U43,"-")</f>
        <v>3.8163400210816</v>
      </c>
      <c r="W43" s="82" t="str">
        <f t="shared" ref="W43:W55" si="17">_xlfn.IFS(AND(D43&lt;&gt;0,D43-$AM$2&gt;=0,B43&gt;0,D43&lt;&gt;0),"本月刚到货",AND(IFERROR((K43/(N43/7))/30,"-")="-",K43&gt;0),"有库存无销量",AND(IFERROR((K43/(N43/7))/30,"-")="-",K43=0),"无库存无销量",AND(IFERROR((K43/(N43/7))/30,"-")&lt;=0.5,K43=0),"无库存有销量",IFERROR((K43/(N43/7))/30,"-")&lt;=0.5,"库存过低",IFERROR((K43/(N43/7))/30,"-")&lt;=1.5,"正常",IFERROR((K43/(N43/7))/30,"-")&gt;1.5,"库存过高")</f>
        <v>库存过高</v>
      </c>
      <c r="X43" s="83" t="str">
        <f t="shared" ref="X43:X55" si="18">_xlfn.IFS(AND(D43&lt;&gt;0,D43-$AM$2&gt;=0,K43&gt;0,D43&lt;&gt;0),"本月刚到货",AND(T43="-",K43&gt;0),"有库存无销量",AND(T43="-",K43=0),"无库存无销量",AND(T43&lt;=0.5,K43=0),"无库存有销量",T43&lt;=0.5,"库存过低",T43&lt;=1.5,"正常",T43&gt;1.5,"库存过高")</f>
        <v>库存过高</v>
      </c>
      <c r="Y43" s="44">
        <f>IFERROR(SUMIF('3店辅助表'!K:K,B:B,'3店辅助表'!N:N),0)</f>
        <v>0</v>
      </c>
      <c r="Z43" s="44">
        <f>IFERROR(SUMIF('3店辅助表'!T:T,B:B,'3店辅助表'!W:W),0)</f>
        <v>0</v>
      </c>
      <c r="AA43" s="44">
        <f>IFERROR(SUMIF('3店辅助表'!AC:AC,B:B,'3店辅助表'!AF:AF),0)</f>
        <v>0</v>
      </c>
      <c r="AB43" s="91" t="str">
        <f>IFERROR(SUMIF('3店辅助表'!K:K,B:B,'3店辅助表'!N:N)/SUMIF('3店辅助表'!K:K,B:B,'3店辅助表'!O:O),"-")</f>
        <v>-</v>
      </c>
      <c r="AC43" s="91" t="str">
        <f>IFERROR(VLOOKUP(B:B,'[1]3店'!$B:$AB,27,0),"-")</f>
        <v>-</v>
      </c>
      <c r="AD43" s="92" t="str">
        <f t="shared" ref="AD43:AD55" si="19">IFERROR(AB43-AC43,"-")</f>
        <v>-</v>
      </c>
      <c r="AE43" s="91" t="str">
        <f>IFERROR(SUMIF('3店辅助表'!T:T,B:B,'3店辅助表'!W:W)/SUMIF('3店辅助表'!T:T,B:B,'3店辅助表'!X:X),"-")</f>
        <v>-</v>
      </c>
      <c r="AF43" s="91" t="str">
        <f>IFERROR(SUMIF('3店辅助表'!AC:AC,B:B,'3店辅助表'!AF:AF)/SUMIF('3店辅助表'!AC:AC,B:B,'3店辅助表'!AG:AG),"-")</f>
        <v>-</v>
      </c>
      <c r="AG43" s="99">
        <f>IFERROR(AK43/((SUMIF('3店辅助表'!AT:AT,B:B,'3店辅助表'!AU:AU)+M43)/2),"-")</f>
        <v>0.0697674418604651</v>
      </c>
      <c r="AH43" s="99">
        <f>IFERROR(AL43/((SUMIF('3店辅助表'!AW:AW,B:B,'3店辅助表'!AX:AX)+M43)/2),"-")</f>
        <v>0.171428571428571</v>
      </c>
      <c r="AI43" s="100">
        <f>IFERROR((SUMIF('3店辅助表'!AP:AP,B:B,'3店辅助表'!AR:AR)-SUMIF('3店辅助表'!AP:AP,B:B,'3店辅助表'!AR:AR)*0.15-(L43+IFERROR(VLOOKUP(B:B,'3店辅助表'!AZ:BA,2,0),0))*O43-IF(AN:AN="US",6.85,4.9)*(Z43+4.27*O43))/SUMIF('3店辅助表'!AP:AP,B:B,'3店辅助表'!AR:AR),"-")</f>
        <v>0.328720354134214</v>
      </c>
      <c r="AJ43" s="100">
        <f t="shared" ref="AJ43:AJ55" si="20">IFERROR(AH43*AI43,"-")</f>
        <v>0.0563520607087224</v>
      </c>
      <c r="AK43" s="101">
        <f t="shared" ref="AK43:AK55" si="21">N43*$L43</f>
        <v>41.7</v>
      </c>
      <c r="AL43" s="101">
        <f t="shared" ref="AL43:AL55" si="22">O43*$L43</f>
        <v>83.4</v>
      </c>
      <c r="AM43" s="1" t="str">
        <f>VLOOKUP(B:B,'3店辅助表'!AZ:AZ,1,FALSE)</f>
        <v>Y03507-OR+Y03508+Y03509</v>
      </c>
      <c r="AN43" t="str">
        <f>VLOOKUP(B:B,'3店辅助表'!AZ:BB,3,FALSE)</f>
        <v>US</v>
      </c>
    </row>
    <row r="44" customHeight="1" spans="1:40">
      <c r="A44" s="58" t="str">
        <f>INDEX('[1]3店'!$A:$A,MATCH(B:B,'[1]3店'!$B:$B,0))</f>
        <v>欣彤</v>
      </c>
      <c r="B44" s="43" t="s">
        <v>708</v>
      </c>
      <c r="C44" s="43" t="s">
        <v>709</v>
      </c>
      <c r="D44" s="59"/>
      <c r="E44" s="43" t="s">
        <v>710</v>
      </c>
      <c r="F44" s="43">
        <v>0</v>
      </c>
      <c r="G44" s="43">
        <v>0</v>
      </c>
      <c r="H44" s="43">
        <v>17</v>
      </c>
      <c r="I44" s="43">
        <v>0</v>
      </c>
      <c r="J44" s="43">
        <v>0</v>
      </c>
      <c r="K44" s="63">
        <f t="shared" si="11"/>
        <v>17</v>
      </c>
      <c r="L44" s="124">
        <f>VLOOKUP($B:$B,'[1]3店'!$B:$L,11,0)</f>
        <v>13.9</v>
      </c>
      <c r="M44" s="44">
        <f t="shared" si="12"/>
        <v>236.3</v>
      </c>
      <c r="N44" s="65">
        <f>IFERROR(VLOOKUP(B:B,'3店辅助表'!B:C,2,FALSE),0)</f>
        <v>4</v>
      </c>
      <c r="O44" s="65">
        <f>IFERROR(VLOOKUP(B:B,'3店辅助表'!E:F,2,FALSE),0)</f>
        <v>5</v>
      </c>
      <c r="P44" s="65">
        <f>IFERROR(VLOOKUP(B:B,'3店辅助表'!H:I,2,FALSE),0)</f>
        <v>27</v>
      </c>
      <c r="Q44" s="65">
        <f>IFERROR(VLOOKUP(B:B,'[1]3店'!$B:$N,13,FALSE),0)</f>
        <v>0</v>
      </c>
      <c r="R44" s="79">
        <f t="shared" si="13"/>
        <v>4</v>
      </c>
      <c r="S44" s="80">
        <f t="shared" si="14"/>
        <v>28.2585751978892</v>
      </c>
      <c r="T44" s="44">
        <f t="shared" si="15"/>
        <v>0.941952506596306</v>
      </c>
      <c r="U44" s="44">
        <f>IFERROR(VLOOKUP($B:$B,'[1]3店'!$B:$T,19,0),"-")</f>
        <v>0.0588235294117647</v>
      </c>
      <c r="V44" s="81">
        <f t="shared" si="16"/>
        <v>0.883128977184541</v>
      </c>
      <c r="W44" s="82" t="str">
        <f t="shared" si="17"/>
        <v>正常</v>
      </c>
      <c r="X44" s="83" t="str">
        <f t="shared" si="18"/>
        <v>正常</v>
      </c>
      <c r="Y44" s="44">
        <f>IFERROR(SUMIF('3店辅助表'!K:K,B:B,'3店辅助表'!N:N),0)</f>
        <v>5.28</v>
      </c>
      <c r="Z44" s="44">
        <f>IFERROR(SUMIF('3店辅助表'!T:T,B:B,'3店辅助表'!W:W),0)</f>
        <v>11.38</v>
      </c>
      <c r="AA44" s="44">
        <f>IFERROR(SUMIF('3店辅助表'!AC:AC,B:B,'3店辅助表'!AF:AF),0)</f>
        <v>27.19</v>
      </c>
      <c r="AB44" s="91">
        <f>IFERROR(SUMIF('3店辅助表'!K:K,B:B,'3店辅助表'!N:N)/SUMIF('3店辅助表'!K:K,B:B,'3店辅助表'!O:O),"-")</f>
        <v>0.10161662817552</v>
      </c>
      <c r="AC44" s="91">
        <f>IFERROR(VLOOKUP(B:B,'[1]3店'!$B:$AB,27,0),"-")</f>
        <v>0.245204336947456</v>
      </c>
      <c r="AD44" s="92">
        <f t="shared" si="19"/>
        <v>-0.143587708771936</v>
      </c>
      <c r="AE44" s="91">
        <f>IFERROR(SUMIF('3店辅助表'!T:T,B:B,'3店辅助表'!W:W)/SUMIF('3店辅助表'!T:T,B:B,'3店辅助表'!X:X),"-")</f>
        <v>0.149855148801686</v>
      </c>
      <c r="AF44" s="91">
        <f>IFERROR(SUMIF('3店辅助表'!AC:AC,B:B,'3店辅助表'!AF:AF)/SUMIF('3店辅助表'!AC:AC,B:B,'3店辅助表'!AG:AG),"-")</f>
        <v>0.132809065598593</v>
      </c>
      <c r="AG44" s="99">
        <f>IFERROR(AK44/((SUMIF('3店辅助表'!AT:AT,B:B,'3店辅助表'!AU:AU)+M44)/2),"-")</f>
        <v>0.444444444444444</v>
      </c>
      <c r="AH44" s="99">
        <f>IFERROR(AL44/((SUMIF('3店辅助表'!AW:AW,B:B,'3店辅助表'!AX:AX)+M44)/2),"-")</f>
        <v>0.25</v>
      </c>
      <c r="AI44" s="100">
        <f>IFERROR((SUMIF('3店辅助表'!AP:AP,B:B,'3店辅助表'!AR:AR)-SUMIF('3店辅助表'!AP:AP,B:B,'3店辅助表'!AR:AR)*0.15-(L44+IFERROR(VLOOKUP(B:B,'3店辅助表'!AZ:BA,2,0),0))*O44-IF(AN:AN="US",6.85,4.9)*(Z44+4.27*O44))/SUMIF('3店辅助表'!AP:AP,B:B,'3店辅助表'!AR:AR),"-")</f>
        <v>0.128028578974281</v>
      </c>
      <c r="AJ44" s="100">
        <f t="shared" si="20"/>
        <v>0.0320071447435703</v>
      </c>
      <c r="AK44" s="101">
        <f t="shared" si="21"/>
        <v>55.6</v>
      </c>
      <c r="AL44" s="101">
        <f t="shared" si="22"/>
        <v>69.5</v>
      </c>
      <c r="AM44" s="1" t="str">
        <f>VLOOKUP(B:B,'3店辅助表'!AZ:AZ,1,FALSE)</f>
        <v>Y03561-BL+Y03562+Y03565</v>
      </c>
      <c r="AN44" t="str">
        <f>VLOOKUP(B:B,'3店辅助表'!AZ:BB,3,FALSE)</f>
        <v>US</v>
      </c>
    </row>
    <row r="45" customHeight="1" spans="1:40">
      <c r="A45" s="58" t="str">
        <f>INDEX('[1]3店'!$A:$A,MATCH(B:B,'[1]3店'!$B:$B,0))</f>
        <v>欣彤</v>
      </c>
      <c r="B45" s="43" t="s">
        <v>711</v>
      </c>
      <c r="C45" s="43" t="s">
        <v>712</v>
      </c>
      <c r="D45" s="59"/>
      <c r="E45" s="43" t="s">
        <v>713</v>
      </c>
      <c r="F45" s="43">
        <v>4</v>
      </c>
      <c r="G45" s="43">
        <v>0</v>
      </c>
      <c r="H45" s="43">
        <v>0</v>
      </c>
      <c r="I45" s="43">
        <v>0</v>
      </c>
      <c r="J45" s="43">
        <v>0</v>
      </c>
      <c r="K45" s="63">
        <f t="shared" si="11"/>
        <v>4</v>
      </c>
      <c r="L45" s="124">
        <f>VLOOKUP($B:$B,'[1]3店'!$B:$L,11,0)</f>
        <v>13.9</v>
      </c>
      <c r="M45" s="44">
        <f t="shared" si="12"/>
        <v>55.6</v>
      </c>
      <c r="N45" s="65">
        <f>IFERROR(VLOOKUP(B:B,'3店辅助表'!B:C,2,FALSE),0)</f>
        <v>6</v>
      </c>
      <c r="O45" s="65">
        <f>IFERROR(VLOOKUP(B:B,'3店辅助表'!E:F,2,FALSE),0)</f>
        <v>11</v>
      </c>
      <c r="P45" s="65">
        <f>IFERROR(VLOOKUP(B:B,'3店辅助表'!H:I,2,FALSE),0)</f>
        <v>15</v>
      </c>
      <c r="Q45" s="65">
        <f>IFERROR(VLOOKUP(B:B,'[1]3店'!$B:$N,13,FALSE),0)</f>
        <v>5</v>
      </c>
      <c r="R45" s="79">
        <f t="shared" si="13"/>
        <v>1</v>
      </c>
      <c r="S45" s="80">
        <f t="shared" si="14"/>
        <v>5.74031890660592</v>
      </c>
      <c r="T45" s="44">
        <f t="shared" si="15"/>
        <v>0.191343963553531</v>
      </c>
      <c r="U45" s="44">
        <f>IFERROR(VLOOKUP($B:$B,'[1]3店'!$B:$T,19,0),"-")</f>
        <v>0.475920679886686</v>
      </c>
      <c r="V45" s="81">
        <f t="shared" si="16"/>
        <v>-0.284576716333155</v>
      </c>
      <c r="W45" s="82" t="str">
        <f t="shared" si="17"/>
        <v>库存过低</v>
      </c>
      <c r="X45" s="83" t="str">
        <f t="shared" si="18"/>
        <v>库存过低</v>
      </c>
      <c r="Y45" s="44">
        <f>IFERROR(SUMIF('3店辅助表'!K:K,B:B,'3店辅助表'!N:N),0)</f>
        <v>0</v>
      </c>
      <c r="Z45" s="44">
        <f>IFERROR(SUMIF('3店辅助表'!T:T,B:B,'3店辅助表'!W:W),0)</f>
        <v>0</v>
      </c>
      <c r="AA45" s="44">
        <f>IFERROR(SUMIF('3店辅助表'!AC:AC,B:B,'3店辅助表'!AF:AF),0)</f>
        <v>0</v>
      </c>
      <c r="AB45" s="91" t="str">
        <f>IFERROR(SUMIF('3店辅助表'!K:K,B:B,'3店辅助表'!N:N)/SUMIF('3店辅助表'!K:K,B:B,'3店辅助表'!O:O),"-")</f>
        <v>-</v>
      </c>
      <c r="AC45" s="91" t="str">
        <f>IFERROR(VLOOKUP(B:B,'[1]3店'!$B:$AB,27,0),"-")</f>
        <v>-</v>
      </c>
      <c r="AD45" s="92" t="str">
        <f t="shared" si="19"/>
        <v>-</v>
      </c>
      <c r="AE45" s="91" t="str">
        <f>IFERROR(SUMIF('3店辅助表'!T:T,B:B,'3店辅助表'!W:W)/SUMIF('3店辅助表'!T:T,B:B,'3店辅助表'!X:X),"-")</f>
        <v>-</v>
      </c>
      <c r="AF45" s="91" t="str">
        <f>IFERROR(SUMIF('3店辅助表'!AC:AC,B:B,'3店辅助表'!AF:AF)/SUMIF('3店辅助表'!AC:AC,B:B,'3店辅助表'!AG:AG),"-")</f>
        <v>-</v>
      </c>
      <c r="AG45" s="99">
        <f>IFERROR(AK45/((SUMIF('3店辅助表'!AT:AT,B:B,'3店辅助表'!AU:AU)+M45)/2),"-")</f>
        <v>1</v>
      </c>
      <c r="AH45" s="99">
        <f>IFERROR(AL45/((SUMIF('3店辅助表'!AW:AW,B:B,'3店辅助表'!AX:AX)+M45)/2),"-")</f>
        <v>1.1</v>
      </c>
      <c r="AI45" s="100">
        <f>IFERROR((SUMIF('3店辅助表'!AP:AP,B:B,'3店辅助表'!AR:AR)-SUMIF('3店辅助表'!AP:AP,B:B,'3店辅助表'!AR:AR)*0.15-(L45+IFERROR(VLOOKUP(B:B,'3店辅助表'!AZ:BA,2,0),0))*O45-IF(AN:AN="US",6.85,4.9)*(Z45+4.27*O45))/SUMIF('3店辅助表'!AP:AP,B:B,'3店辅助表'!AR:AR),"-")</f>
        <v>0.289586439512863</v>
      </c>
      <c r="AJ45" s="100">
        <f t="shared" si="20"/>
        <v>0.31854508346415</v>
      </c>
      <c r="AK45" s="101">
        <f t="shared" si="21"/>
        <v>83.4</v>
      </c>
      <c r="AL45" s="101">
        <f t="shared" si="22"/>
        <v>152.9</v>
      </c>
      <c r="AM45" s="1" t="str">
        <f>VLOOKUP(B:B,'3店辅助表'!AZ:AZ,1,FALSE)</f>
        <v>Y03561-NB+Y03562+Y03565</v>
      </c>
      <c r="AN45" t="str">
        <f>VLOOKUP(B:B,'3店辅助表'!AZ:BB,3,FALSE)</f>
        <v>US</v>
      </c>
    </row>
    <row r="46" customHeight="1" spans="1:40">
      <c r="A46" s="58" t="str">
        <f>INDEX('[1]3店'!$A:$A,MATCH(B:B,'[1]3店'!$B:$B,0))</f>
        <v>欣彤</v>
      </c>
      <c r="B46" s="43" t="s">
        <v>714</v>
      </c>
      <c r="C46" s="43" t="s">
        <v>715</v>
      </c>
      <c r="D46" s="59"/>
      <c r="E46" s="43" t="s">
        <v>716</v>
      </c>
      <c r="F46" s="43">
        <v>0</v>
      </c>
      <c r="G46" s="43">
        <v>0</v>
      </c>
      <c r="H46" s="43">
        <v>19</v>
      </c>
      <c r="I46" s="43">
        <v>0</v>
      </c>
      <c r="J46" s="43">
        <v>0</v>
      </c>
      <c r="K46" s="63">
        <f t="shared" si="11"/>
        <v>19</v>
      </c>
      <c r="L46" s="124">
        <f>VLOOKUP($B:$B,'[1]3店'!$B:$L,11,0)</f>
        <v>13.9</v>
      </c>
      <c r="M46" s="44">
        <f t="shared" si="12"/>
        <v>264.1</v>
      </c>
      <c r="N46" s="65">
        <f>IFERROR(VLOOKUP(B:B,'3店辅助表'!B:C,2,FALSE),0)</f>
        <v>1</v>
      </c>
      <c r="O46" s="65">
        <f>IFERROR(VLOOKUP(B:B,'3店辅助表'!E:F,2,FALSE),0)</f>
        <v>2</v>
      </c>
      <c r="P46" s="65">
        <f>IFERROR(VLOOKUP(B:B,'3店辅助表'!H:I,2,FALSE),0)</f>
        <v>4</v>
      </c>
      <c r="Q46" s="65">
        <f>IFERROR(VLOOKUP(B:B,'[1]3店'!$B:$N,13,FALSE),0)</f>
        <v>1</v>
      </c>
      <c r="R46" s="79">
        <f t="shared" si="13"/>
        <v>0</v>
      </c>
      <c r="S46" s="80">
        <f t="shared" si="14"/>
        <v>139.186046511628</v>
      </c>
      <c r="T46" s="44">
        <f t="shared" si="15"/>
        <v>4.63953488372093</v>
      </c>
      <c r="U46" s="44">
        <f>IFERROR(VLOOKUP($B:$B,'[1]3店'!$B:$T,19,0),"-")</f>
        <v>0.451612903225806</v>
      </c>
      <c r="V46" s="81">
        <f t="shared" si="16"/>
        <v>4.18792198049512</v>
      </c>
      <c r="W46" s="82" t="str">
        <f t="shared" si="17"/>
        <v>库存过高</v>
      </c>
      <c r="X46" s="83" t="str">
        <f t="shared" si="18"/>
        <v>库存过高</v>
      </c>
      <c r="Y46" s="44">
        <f>IFERROR(SUMIF('3店辅助表'!K:K,B:B,'3店辅助表'!N:N),0)</f>
        <v>13.4</v>
      </c>
      <c r="Z46" s="44">
        <f>IFERROR(SUMIF('3店辅助表'!T:T,B:B,'3店辅助表'!W:W),0)</f>
        <v>17.38</v>
      </c>
      <c r="AA46" s="44">
        <f>IFERROR(SUMIF('3店辅助表'!AC:AC,B:B,'3店辅助表'!AF:AF),0)</f>
        <v>26.13</v>
      </c>
      <c r="AB46" s="91">
        <f>IFERROR(SUMIF('3店辅助表'!K:K,B:B,'3店辅助表'!N:N)/SUMIF('3店辅助表'!K:K,B:B,'3店辅助表'!O:O),"-")</f>
        <v>0.257890685142417</v>
      </c>
      <c r="AC46" s="91" t="str">
        <f>IFERROR(VLOOKUP(B:B,'[1]3店'!$B:$AB,27,0),"-")</f>
        <v>-</v>
      </c>
      <c r="AD46" s="92" t="str">
        <f t="shared" si="19"/>
        <v>-</v>
      </c>
      <c r="AE46" s="91">
        <f>IFERROR(SUMIF('3店辅助表'!T:T,B:B,'3店辅助表'!W:W)/SUMIF('3店辅助表'!T:T,B:B,'3店辅助表'!X:X),"-")</f>
        <v>0.334488067744419</v>
      </c>
      <c r="AF46" s="91">
        <f>IFERROR(SUMIF('3店辅助表'!AC:AC,B:B,'3店辅助表'!AF:AF)/SUMIF('3店辅助表'!AC:AC,B:B,'3店辅助表'!AG:AG),"-")</f>
        <v>0.335257890685142</v>
      </c>
      <c r="AG46" s="99">
        <f>IFERROR(AK46/((SUMIF('3店辅助表'!AT:AT,B:B,'3店辅助表'!AU:AU)+M46)/2),"-")</f>
        <v>0.0952380952380952</v>
      </c>
      <c r="AH46" s="99">
        <f>IFERROR(AL46/((SUMIF('3店辅助表'!AW:AW,B:B,'3店辅助表'!AX:AX)+M46)/2),"-")</f>
        <v>0.181818181818182</v>
      </c>
      <c r="AI46" s="100">
        <f>IFERROR((SUMIF('3店辅助表'!AP:AP,B:B,'3店辅助表'!AR:AR)-SUMIF('3店辅助表'!AP:AP,B:B,'3店辅助表'!AR:AR)*0.15-(L46+IFERROR(VLOOKUP(B:B,'3店辅助表'!AZ:BA,2,0),0))*O46-IF(AN:AN="US",6.85,4.9)*(Z46+4.27*O46))/SUMIF('3店辅助表'!AP:AP,B:B,'3店辅助表'!AR:AR),"-")</f>
        <v>-0.463783383963522</v>
      </c>
      <c r="AJ46" s="100">
        <f t="shared" si="20"/>
        <v>-0.0843242516297312</v>
      </c>
      <c r="AK46" s="101">
        <f t="shared" si="21"/>
        <v>13.9</v>
      </c>
      <c r="AL46" s="101">
        <f t="shared" si="22"/>
        <v>27.8</v>
      </c>
      <c r="AM46" s="1" t="str">
        <f>VLOOKUP(B:B,'3店辅助表'!AZ:AZ,1,FALSE)</f>
        <v>Y03561-OR+Y03562+Y03565</v>
      </c>
      <c r="AN46" t="str">
        <f>VLOOKUP(B:B,'3店辅助表'!AZ:BB,3,FALSE)</f>
        <v>US</v>
      </c>
    </row>
    <row r="47" customHeight="1" spans="1:40">
      <c r="A47" s="58" t="str">
        <f>INDEX('[1]3店'!$A:$A,MATCH(B:B,'[1]3店'!$B:$B,0))</f>
        <v>欣彤</v>
      </c>
      <c r="B47" s="43" t="s">
        <v>717</v>
      </c>
      <c r="C47" s="43" t="s">
        <v>718</v>
      </c>
      <c r="D47" s="59"/>
      <c r="E47" s="43" t="s">
        <v>719</v>
      </c>
      <c r="F47" s="43">
        <v>44</v>
      </c>
      <c r="G47" s="43">
        <v>2</v>
      </c>
      <c r="H47" s="43">
        <v>188</v>
      </c>
      <c r="I47" s="43">
        <v>1</v>
      </c>
      <c r="J47" s="43">
        <v>0</v>
      </c>
      <c r="K47" s="63">
        <f t="shared" si="11"/>
        <v>235</v>
      </c>
      <c r="L47" s="124">
        <f>VLOOKUP($B:$B,'[1]3店'!$B:$L,11,0)</f>
        <v>13.9</v>
      </c>
      <c r="M47" s="44">
        <f t="shared" si="12"/>
        <v>3266.5</v>
      </c>
      <c r="N47" s="65">
        <f>IFERROR(VLOOKUP(B:B,'3店辅助表'!B:C,2,FALSE),0)</f>
        <v>10</v>
      </c>
      <c r="O47" s="65">
        <f>IFERROR(VLOOKUP(B:B,'3店辅助表'!E:F,2,FALSE),0)</f>
        <v>16</v>
      </c>
      <c r="P47" s="65">
        <f>IFERROR(VLOOKUP(B:B,'3店辅助表'!H:I,2,FALSE),0)</f>
        <v>29</v>
      </c>
      <c r="Q47" s="65">
        <f>IFERROR(VLOOKUP(B:B,'[1]3店'!$B:$N,13,FALSE),0)</f>
        <v>6</v>
      </c>
      <c r="R47" s="79">
        <f t="shared" si="13"/>
        <v>4</v>
      </c>
      <c r="S47" s="80">
        <f t="shared" si="14"/>
        <v>203.645116918845</v>
      </c>
      <c r="T47" s="44">
        <f t="shared" si="15"/>
        <v>6.78817056396148</v>
      </c>
      <c r="U47" s="44">
        <f>IFERROR(VLOOKUP($B:$B,'[1]3店'!$B:$T,19,0),"-")</f>
        <v>7.1505376344086</v>
      </c>
      <c r="V47" s="81">
        <f t="shared" si="16"/>
        <v>-0.36236707044712</v>
      </c>
      <c r="W47" s="82" t="str">
        <f t="shared" si="17"/>
        <v>库存过高</v>
      </c>
      <c r="X47" s="83" t="str">
        <f t="shared" si="18"/>
        <v>库存过高</v>
      </c>
      <c r="Y47" s="44">
        <f>IFERROR(SUMIF('3店辅助表'!K:K,B:B,'3店辅助表'!N:N),0)</f>
        <v>22.04</v>
      </c>
      <c r="Z47" s="44">
        <f>IFERROR(SUMIF('3店辅助表'!T:T,B:B,'3店辅助表'!W:W),0)</f>
        <v>46.36</v>
      </c>
      <c r="AA47" s="44">
        <f>IFERROR(SUMIF('3店辅助表'!AC:AC,B:B,'3店辅助表'!AF:AF),0)</f>
        <v>105.79</v>
      </c>
      <c r="AB47" s="91">
        <f>IFERROR(SUMIF('3店辅助表'!K:K,B:B,'3店辅助表'!N:N)/SUMIF('3店辅助表'!K:K,B:B,'3店辅助表'!O:O),"-")</f>
        <v>0.424172440338722</v>
      </c>
      <c r="AC47" s="91">
        <f>IFERROR(VLOOKUP(B:B,'[1]3店'!$B:$AB,27,0),"-")</f>
        <v>0.314984709480122</v>
      </c>
      <c r="AD47" s="92">
        <f t="shared" si="19"/>
        <v>0.1091877308586</v>
      </c>
      <c r="AE47" s="91">
        <f>IFERROR(SUMIF('3店辅助表'!T:T,B:B,'3店辅助表'!W:W)/SUMIF('3店辅助表'!T:T,B:B,'3店辅助表'!X:X),"-")</f>
        <v>0.338666082255826</v>
      </c>
      <c r="AF47" s="91">
        <f>IFERROR(SUMIF('3店辅助表'!AC:AC,B:B,'3店辅助表'!AF:AF)/SUMIF('3店辅助表'!AC:AC,B:B,'3店辅助表'!AG:AG),"-")</f>
        <v>0.250948856627764</v>
      </c>
      <c r="AG47" s="99">
        <f>IFERROR(AK47/((SUMIF('3店辅助表'!AT:AT,B:B,'3店辅助表'!AU:AU)+M47)/2),"-")</f>
        <v>0.0470588235294118</v>
      </c>
      <c r="AH47" s="99">
        <f>IFERROR(AL47/((SUMIF('3店辅助表'!AW:AW,B:B,'3店辅助表'!AX:AX)+M47)/2),"-")</f>
        <v>0.0898876404494382</v>
      </c>
      <c r="AI47" s="100">
        <f>IFERROR((SUMIF('3店辅助表'!AP:AP,B:B,'3店辅助表'!AR:AR)-SUMIF('3店辅助表'!AP:AP,B:B,'3店辅助表'!AR:AR)*0.15-(L47+IFERROR(VLOOKUP(B:B,'3店辅助表'!AZ:BA,2,0),0))*O47-IF(AN:AN="US",6.85,4.9)*(Z47+4.27*O47))/SUMIF('3店辅助表'!AP:AP,B:B,'3店辅助表'!AR:AR),"-")</f>
        <v>0.0251313849688404</v>
      </c>
      <c r="AJ47" s="100">
        <f t="shared" si="20"/>
        <v>0.00225900089607554</v>
      </c>
      <c r="AK47" s="101">
        <f t="shared" si="21"/>
        <v>139</v>
      </c>
      <c r="AL47" s="101">
        <f t="shared" si="22"/>
        <v>222.4</v>
      </c>
      <c r="AM47" s="1" t="str">
        <f>VLOOKUP(B:B,'3店辅助表'!AZ:AZ,1,FALSE)</f>
        <v>Y03564-BL+Y03565+Y03566</v>
      </c>
      <c r="AN47" t="str">
        <f>VLOOKUP(B:B,'3店辅助表'!AZ:BB,3,FALSE)</f>
        <v>US</v>
      </c>
    </row>
    <row r="48" customHeight="1" spans="1:40">
      <c r="A48" s="58" t="str">
        <f>INDEX('[1]3店'!$A:$A,MATCH(B:B,'[1]3店'!$B:$B,0))</f>
        <v>欣彤</v>
      </c>
      <c r="B48" s="43" t="s">
        <v>720</v>
      </c>
      <c r="C48" s="43" t="s">
        <v>721</v>
      </c>
      <c r="D48" s="59"/>
      <c r="E48" s="43" t="s">
        <v>722</v>
      </c>
      <c r="F48" s="43">
        <v>49</v>
      </c>
      <c r="G48" s="43">
        <v>1</v>
      </c>
      <c r="H48" s="43">
        <v>3</v>
      </c>
      <c r="I48" s="43">
        <v>1</v>
      </c>
      <c r="J48" s="43">
        <v>0</v>
      </c>
      <c r="K48" s="63">
        <f t="shared" si="11"/>
        <v>54</v>
      </c>
      <c r="L48" s="124">
        <f>VLOOKUP($B:$B,'[1]3店'!$B:$L,11,0)</f>
        <v>13.9</v>
      </c>
      <c r="M48" s="44">
        <f t="shared" si="12"/>
        <v>750.6</v>
      </c>
      <c r="N48" s="65">
        <f>IFERROR(VLOOKUP(B:B,'3店辅助表'!B:C,2,FALSE),0)</f>
        <v>2</v>
      </c>
      <c r="O48" s="65">
        <f>IFERROR(VLOOKUP(B:B,'3店辅助表'!E:F,2,FALSE),0)</f>
        <v>6</v>
      </c>
      <c r="P48" s="65">
        <f>IFERROR(VLOOKUP(B:B,'3店辅助表'!H:I,2,FALSE),0)</f>
        <v>16</v>
      </c>
      <c r="Q48" s="65">
        <f>IFERROR(VLOOKUP(B:B,'[1]3店'!$B:$N,13,FALSE),0)</f>
        <v>3</v>
      </c>
      <c r="R48" s="79">
        <f t="shared" si="13"/>
        <v>-1</v>
      </c>
      <c r="S48" s="80">
        <f t="shared" si="14"/>
        <v>132.890625</v>
      </c>
      <c r="T48" s="44">
        <f t="shared" si="15"/>
        <v>4.4296875</v>
      </c>
      <c r="U48" s="44">
        <f>IFERROR(VLOOKUP($B:$B,'[1]3店'!$B:$T,19,0),"-")</f>
        <v>4.37785016286645</v>
      </c>
      <c r="V48" s="81">
        <f t="shared" si="16"/>
        <v>0.0518373371335503</v>
      </c>
      <c r="W48" s="82" t="str">
        <f t="shared" si="17"/>
        <v>库存过高</v>
      </c>
      <c r="X48" s="83" t="str">
        <f t="shared" si="18"/>
        <v>库存过高</v>
      </c>
      <c r="Y48" s="44">
        <f>IFERROR(SUMIF('3店辅助表'!K:K,B:B,'3店辅助表'!N:N),0)</f>
        <v>0</v>
      </c>
      <c r="Z48" s="44">
        <f>IFERROR(SUMIF('3店辅助表'!T:T,B:B,'3店辅助表'!W:W),0)</f>
        <v>0</v>
      </c>
      <c r="AA48" s="44">
        <f>IFERROR(SUMIF('3店辅助表'!AC:AC,B:B,'3店辅助表'!AF:AF),0)</f>
        <v>0</v>
      </c>
      <c r="AB48" s="91" t="str">
        <f>IFERROR(SUMIF('3店辅助表'!K:K,B:B,'3店辅助表'!N:N)/SUMIF('3店辅助表'!K:K,B:B,'3店辅助表'!O:O),"-")</f>
        <v>-</v>
      </c>
      <c r="AC48" s="91" t="str">
        <f>IFERROR(VLOOKUP(B:B,'[1]3店'!$B:$AB,27,0),"-")</f>
        <v>-</v>
      </c>
      <c r="AD48" s="92" t="str">
        <f t="shared" si="19"/>
        <v>-</v>
      </c>
      <c r="AE48" s="91" t="str">
        <f>IFERROR(SUMIF('3店辅助表'!T:T,B:B,'3店辅助表'!W:W)/SUMIF('3店辅助表'!T:T,B:B,'3店辅助表'!X:X),"-")</f>
        <v>-</v>
      </c>
      <c r="AF48" s="91" t="str">
        <f>IFERROR(SUMIF('3店辅助表'!AC:AC,B:B,'3店辅助表'!AF:AF)/SUMIF('3店辅助表'!AC:AC,B:B,'3店辅助表'!AG:AG),"-")</f>
        <v>-</v>
      </c>
      <c r="AG48" s="99">
        <f>IFERROR(AK48/((SUMIF('3店辅助表'!AT:AT,B:B,'3店辅助表'!AU:AU)+M48)/2),"-")</f>
        <v>0.0338983050847458</v>
      </c>
      <c r="AH48" s="99">
        <f>IFERROR(AL48/((SUMIF('3店辅助表'!AW:AW,B:B,'3店辅助表'!AX:AX)+M48)/2),"-")</f>
        <v>0.133333333333333</v>
      </c>
      <c r="AI48" s="100">
        <f>IFERROR((SUMIF('3店辅助表'!AP:AP,B:B,'3店辅助表'!AR:AR)-SUMIF('3店辅助表'!AP:AP,B:B,'3店辅助表'!AR:AR)*0.15-(L48+IFERROR(VLOOKUP(B:B,'3店辅助表'!AZ:BA,2,0),0))*O48-IF(AN:AN="US",6.85,4.9)*(Z48+4.27*O48))/SUMIF('3店辅助表'!AP:AP,B:B,'3店辅助表'!AR:AR),"-")</f>
        <v>0.295265086343617</v>
      </c>
      <c r="AJ48" s="100">
        <f t="shared" si="20"/>
        <v>0.039368678179149</v>
      </c>
      <c r="AK48" s="101">
        <f t="shared" si="21"/>
        <v>27.8</v>
      </c>
      <c r="AL48" s="101">
        <f t="shared" si="22"/>
        <v>83.4</v>
      </c>
      <c r="AM48" s="1" t="str">
        <f>VLOOKUP(B:B,'3店辅助表'!AZ:AZ,1,FALSE)</f>
        <v>Y03564-NB+Y03565+Y03566</v>
      </c>
      <c r="AN48" t="str">
        <f>VLOOKUP(B:B,'3店辅助表'!AZ:BB,3,FALSE)</f>
        <v>US</v>
      </c>
    </row>
    <row r="49" customHeight="1" spans="1:40">
      <c r="A49" s="58" t="str">
        <f>INDEX('[1]3店'!$A:$A,MATCH(B:B,'[1]3店'!$B:$B,0))</f>
        <v>欣彤</v>
      </c>
      <c r="B49" s="43" t="s">
        <v>723</v>
      </c>
      <c r="C49" s="43" t="s">
        <v>724</v>
      </c>
      <c r="D49" s="59"/>
      <c r="E49" s="43" t="s">
        <v>725</v>
      </c>
      <c r="F49" s="43">
        <v>32</v>
      </c>
      <c r="G49" s="43">
        <v>0</v>
      </c>
      <c r="H49" s="43">
        <v>0</v>
      </c>
      <c r="I49" s="43">
        <v>0</v>
      </c>
      <c r="J49" s="43">
        <v>0</v>
      </c>
      <c r="K49" s="63">
        <f t="shared" si="11"/>
        <v>32</v>
      </c>
      <c r="L49" s="124">
        <f>VLOOKUP($B:$B,'[1]3店'!$B:$L,11,0)</f>
        <v>13.9</v>
      </c>
      <c r="M49" s="44">
        <f t="shared" si="12"/>
        <v>444.8</v>
      </c>
      <c r="N49" s="65">
        <f>IFERROR(VLOOKUP(B:B,'3店辅助表'!B:C,2,FALSE),0)</f>
        <v>0</v>
      </c>
      <c r="O49" s="65">
        <f>IFERROR(VLOOKUP(B:B,'3店辅助表'!E:F,2,FALSE),0)</f>
        <v>5</v>
      </c>
      <c r="P49" s="65">
        <f>IFERROR(VLOOKUP(B:B,'3店辅助表'!H:I,2,FALSE),0)</f>
        <v>7</v>
      </c>
      <c r="Q49" s="65">
        <f>IFERROR(VLOOKUP(B:B,'[1]3店'!$B:$N,13,FALSE),0)</f>
        <v>6</v>
      </c>
      <c r="R49" s="79">
        <f t="shared" si="13"/>
        <v>-6</v>
      </c>
      <c r="S49" s="80">
        <f t="shared" si="14"/>
        <v>169.411764705882</v>
      </c>
      <c r="T49" s="44">
        <f t="shared" si="15"/>
        <v>5.64705882352941</v>
      </c>
      <c r="U49" s="44">
        <f>IFERROR(VLOOKUP($B:$B,'[1]3店'!$B:$T,19,0),"-")</f>
        <v>1.97067448680352</v>
      </c>
      <c r="V49" s="81">
        <f t="shared" si="16"/>
        <v>3.67638433672589</v>
      </c>
      <c r="W49" s="82" t="str">
        <f t="shared" si="17"/>
        <v>有库存无销量</v>
      </c>
      <c r="X49" s="83" t="str">
        <f t="shared" si="18"/>
        <v>库存过高</v>
      </c>
      <c r="Y49" s="44">
        <f>IFERROR(SUMIF('3店辅助表'!K:K,B:B,'3店辅助表'!N:N),0)</f>
        <v>0</v>
      </c>
      <c r="Z49" s="44">
        <f>IFERROR(SUMIF('3店辅助表'!T:T,B:B,'3店辅助表'!W:W),0)</f>
        <v>0</v>
      </c>
      <c r="AA49" s="44">
        <f>IFERROR(SUMIF('3店辅助表'!AC:AC,B:B,'3店辅助表'!AF:AF),0)</f>
        <v>0</v>
      </c>
      <c r="AB49" s="91" t="str">
        <f>IFERROR(SUMIF('3店辅助表'!K:K,B:B,'3店辅助表'!N:N)/SUMIF('3店辅助表'!K:K,B:B,'3店辅助表'!O:O),"-")</f>
        <v>-</v>
      </c>
      <c r="AC49" s="91" t="str">
        <f>IFERROR(VLOOKUP(B:B,'[1]3店'!$B:$AB,27,0),"-")</f>
        <v>-</v>
      </c>
      <c r="AD49" s="92" t="str">
        <f t="shared" si="19"/>
        <v>-</v>
      </c>
      <c r="AE49" s="91" t="str">
        <f>IFERROR(SUMIF('3店辅助表'!T:T,B:B,'3店辅助表'!W:W)/SUMIF('3店辅助表'!T:T,B:B,'3店辅助表'!X:X),"-")</f>
        <v>-</v>
      </c>
      <c r="AF49" s="91" t="str">
        <f>IFERROR(SUMIF('3店辅助表'!AC:AC,B:B,'3店辅助表'!AF:AF)/SUMIF('3店辅助表'!AC:AC,B:B,'3店辅助表'!AG:AG),"-")</f>
        <v>-</v>
      </c>
      <c r="AG49" s="99">
        <f>IFERROR(AK49/((SUMIF('3店辅助表'!AT:AT,B:B,'3店辅助表'!AU:AU)+M49)/2),"-")</f>
        <v>0</v>
      </c>
      <c r="AH49" s="99">
        <f>IFERROR(AL49/((SUMIF('3店辅助表'!AW:AW,B:B,'3店辅助表'!AX:AX)+M49)/2),"-")</f>
        <v>0.140845070422535</v>
      </c>
      <c r="AI49" s="100">
        <f>IFERROR((SUMIF('3店辅助表'!AP:AP,B:B,'3店辅助表'!AR:AR)-SUMIF('3店辅助表'!AP:AP,B:B,'3店辅助表'!AR:AR)*0.15-(L49+IFERROR(VLOOKUP(B:B,'3店辅助表'!AZ:BA,2,0),0))*O49-IF(AN:AN="US",6.85,4.9)*(Z49+4.27*O49))/SUMIF('3店辅助表'!AP:AP,B:B,'3店辅助表'!AR:AR),"-")</f>
        <v>0.270004431058125</v>
      </c>
      <c r="AJ49" s="100">
        <f t="shared" si="20"/>
        <v>0.0380287931067781</v>
      </c>
      <c r="AK49" s="101">
        <f t="shared" si="21"/>
        <v>0</v>
      </c>
      <c r="AL49" s="101">
        <f t="shared" si="22"/>
        <v>69.5</v>
      </c>
      <c r="AM49" s="1" t="str">
        <f>VLOOKUP(B:B,'3店辅助表'!AZ:AZ,1,FALSE)</f>
        <v>Y03564-OR+Y03565+Y03566</v>
      </c>
      <c r="AN49" t="str">
        <f>VLOOKUP(B:B,'3店辅助表'!AZ:BB,3,FALSE)</f>
        <v>US</v>
      </c>
    </row>
    <row r="50" customHeight="1" spans="1:40">
      <c r="A50" s="58" t="str">
        <f>INDEX('[1]3店'!$A:$A,MATCH(B:B,'[1]3店'!$B:$B,0))</f>
        <v>欣彤</v>
      </c>
      <c r="B50" s="43" t="s">
        <v>726</v>
      </c>
      <c r="C50" s="43" t="s">
        <v>727</v>
      </c>
      <c r="D50" s="59"/>
      <c r="E50" s="43" t="s">
        <v>728</v>
      </c>
      <c r="F50" s="43">
        <v>100</v>
      </c>
      <c r="G50" s="43">
        <v>4</v>
      </c>
      <c r="H50" s="43">
        <v>13</v>
      </c>
      <c r="I50" s="43">
        <v>10</v>
      </c>
      <c r="J50" s="43">
        <v>0</v>
      </c>
      <c r="K50" s="63">
        <f t="shared" si="11"/>
        <v>127</v>
      </c>
      <c r="L50" s="124">
        <f>VLOOKUP($B:$B,'[1]3店'!$B:$L,11,0)</f>
        <v>13.9</v>
      </c>
      <c r="M50" s="44">
        <f t="shared" si="12"/>
        <v>1765.3</v>
      </c>
      <c r="N50" s="65">
        <f>IFERROR(VLOOKUP(B:B,'3店辅助表'!B:C,2,FALSE),0)</f>
        <v>28</v>
      </c>
      <c r="O50" s="65">
        <f>IFERROR(VLOOKUP(B:B,'3店辅助表'!E:F,2,FALSE),0)</f>
        <v>81</v>
      </c>
      <c r="P50" s="65">
        <f>IFERROR(VLOOKUP(B:B,'3店辅助表'!H:I,2,FALSE),0)</f>
        <v>150</v>
      </c>
      <c r="Q50" s="65">
        <f>IFERROR(VLOOKUP(B:B,'[1]3店'!$B:$N,13,FALSE),0)</f>
        <v>41</v>
      </c>
      <c r="R50" s="79">
        <f t="shared" si="13"/>
        <v>-13</v>
      </c>
      <c r="S50" s="80">
        <f t="shared" si="14"/>
        <v>26.4583333333333</v>
      </c>
      <c r="T50" s="44">
        <f t="shared" si="15"/>
        <v>0.881944444444445</v>
      </c>
      <c r="U50" s="44">
        <f>IFERROR(VLOOKUP($B:$B,'[1]3店'!$B:$T,19,0),"-")</f>
        <v>0.806334080717489</v>
      </c>
      <c r="V50" s="81">
        <f t="shared" si="16"/>
        <v>0.075610363726956</v>
      </c>
      <c r="W50" s="82" t="str">
        <f t="shared" si="17"/>
        <v>正常</v>
      </c>
      <c r="X50" s="83" t="str">
        <f t="shared" si="18"/>
        <v>正常</v>
      </c>
      <c r="Y50" s="44">
        <f>IFERROR(SUMIF('3店辅助表'!K:K,B:B,'3店辅助表'!N:N),0)</f>
        <v>22.87</v>
      </c>
      <c r="Z50" s="44">
        <f>IFERROR(SUMIF('3店辅助表'!T:T,B:B,'3店辅助表'!W:W),0)</f>
        <v>51.49</v>
      </c>
      <c r="AA50" s="44">
        <f>IFERROR(SUMIF('3店辅助表'!AC:AC,B:B,'3店辅助表'!AF:AF),0)</f>
        <v>102.99</v>
      </c>
      <c r="AB50" s="91">
        <f>IFERROR(SUMIF('3店辅助表'!K:K,B:B,'3店辅助表'!N:N)/SUMIF('3店辅助表'!K:K,B:B,'3店辅助表'!O:O),"-")</f>
        <v>0.195620562826106</v>
      </c>
      <c r="AC50" s="91">
        <f>IFERROR(VLOOKUP(B:B,'[1]3店'!$B:$AB,27,0),"-")</f>
        <v>0.0630565100704808</v>
      </c>
      <c r="AD50" s="92">
        <f t="shared" si="19"/>
        <v>0.132564052755625</v>
      </c>
      <c r="AE50" s="91">
        <f>IFERROR(SUMIF('3店辅助表'!T:T,B:B,'3店辅助表'!W:W)/SUMIF('3店辅助表'!T:T,B:B,'3店辅助表'!X:X),"-")</f>
        <v>0.0954260721301753</v>
      </c>
      <c r="AF50" s="91">
        <f>IFERROR(SUMIF('3店辅助表'!AC:AC,B:B,'3店辅助表'!AF:AF)/SUMIF('3店辅助表'!AC:AC,B:B,'3店辅助表'!AG:AG),"-")</f>
        <v>0.126777207430112</v>
      </c>
      <c r="AG50" s="99">
        <f>IFERROR(AK50/((SUMIF('3店辅助表'!AT:AT,B:B,'3店辅助表'!AU:AU)+M50)/2),"-")</f>
        <v>0.212121212121212</v>
      </c>
      <c r="AH50" s="99">
        <f>IFERROR(AL50/((SUMIF('3店辅助表'!AW:AW,B:B,'3店辅助表'!AX:AX)+M50)/2),"-")</f>
        <v>0.364044943820225</v>
      </c>
      <c r="AI50" s="100">
        <f>IFERROR((SUMIF('3店辅助表'!AP:AP,B:B,'3店辅助表'!AR:AR)-SUMIF('3店辅助表'!AP:AP,B:B,'3店辅助表'!AR:AR)*0.15-(L50+IFERROR(VLOOKUP(B:B,'3店辅助表'!AZ:BA,2,0),0))*O50-IF(AN:AN="US",6.85,4.9)*(Z50+4.27*O50))/SUMIF('3店辅助表'!AP:AP,B:B,'3店辅助表'!AR:AR),"-")</f>
        <v>0.262030203953234</v>
      </c>
      <c r="AJ50" s="100">
        <f t="shared" si="20"/>
        <v>0.0953907708773569</v>
      </c>
      <c r="AK50" s="101">
        <f t="shared" si="21"/>
        <v>389.2</v>
      </c>
      <c r="AL50" s="101">
        <f t="shared" si="22"/>
        <v>1125.9</v>
      </c>
      <c r="AM50" s="1" t="str">
        <f>VLOOKUP(B:B,'3店辅助表'!AZ:AZ,1,FALSE)</f>
        <v>Y03652-BL+Y03653+Y03654</v>
      </c>
      <c r="AN50" t="str">
        <f>VLOOKUP(B:B,'3店辅助表'!AZ:BB,3,FALSE)</f>
        <v>US</v>
      </c>
    </row>
    <row r="51" customHeight="1" spans="1:40">
      <c r="A51" s="58" t="str">
        <f>INDEX('[1]3店'!$A:$A,MATCH(B:B,'[1]3店'!$B:$B,0))</f>
        <v>欣彤</v>
      </c>
      <c r="B51" s="43" t="s">
        <v>729</v>
      </c>
      <c r="C51" s="43" t="s">
        <v>730</v>
      </c>
      <c r="D51" s="59"/>
      <c r="E51" s="43" t="s">
        <v>731</v>
      </c>
      <c r="F51" s="43">
        <v>54</v>
      </c>
      <c r="G51" s="43">
        <v>2</v>
      </c>
      <c r="H51" s="43">
        <v>0</v>
      </c>
      <c r="I51" s="43">
        <v>2</v>
      </c>
      <c r="J51" s="43">
        <v>0</v>
      </c>
      <c r="K51" s="63">
        <f t="shared" si="11"/>
        <v>58</v>
      </c>
      <c r="L51" s="124">
        <f>VLOOKUP($B:$B,'[1]3店'!$B:$L,11,0)</f>
        <v>13.9</v>
      </c>
      <c r="M51" s="44">
        <f t="shared" si="12"/>
        <v>806.2</v>
      </c>
      <c r="N51" s="65">
        <f>IFERROR(VLOOKUP(B:B,'3店辅助表'!B:C,2,FALSE),0)</f>
        <v>7</v>
      </c>
      <c r="O51" s="65">
        <f>IFERROR(VLOOKUP(B:B,'3店辅助表'!E:F,2,FALSE),0)</f>
        <v>20</v>
      </c>
      <c r="P51" s="65">
        <f>IFERROR(VLOOKUP(B:B,'3店辅助表'!H:I,2,FALSE),0)</f>
        <v>43</v>
      </c>
      <c r="Q51" s="65">
        <f>IFERROR(VLOOKUP(B:B,'[1]3店'!$B:$N,13,FALSE),0)</f>
        <v>13</v>
      </c>
      <c r="R51" s="79">
        <f t="shared" si="13"/>
        <v>-6</v>
      </c>
      <c r="S51" s="80">
        <f t="shared" si="14"/>
        <v>46.1946902654867</v>
      </c>
      <c r="T51" s="44">
        <f t="shared" si="15"/>
        <v>1.53982300884956</v>
      </c>
      <c r="U51" s="44">
        <f>IFERROR(VLOOKUP($B:$B,'[1]3店'!$B:$T,19,0),"-")</f>
        <v>1.35882352941176</v>
      </c>
      <c r="V51" s="81">
        <f t="shared" si="16"/>
        <v>0.1809994794378</v>
      </c>
      <c r="W51" s="82" t="str">
        <f t="shared" si="17"/>
        <v>库存过高</v>
      </c>
      <c r="X51" s="83" t="str">
        <f t="shared" si="18"/>
        <v>库存过高</v>
      </c>
      <c r="Y51" s="44">
        <f>IFERROR(SUMIF('3店辅助表'!K:K,B:B,'3店辅助表'!N:N),0)</f>
        <v>0</v>
      </c>
      <c r="Z51" s="44">
        <f>IFERROR(SUMIF('3店辅助表'!T:T,B:B,'3店辅助表'!W:W),0)</f>
        <v>0</v>
      </c>
      <c r="AA51" s="44">
        <f>IFERROR(SUMIF('3店辅助表'!AC:AC,B:B,'3店辅助表'!AF:AF),0)</f>
        <v>0</v>
      </c>
      <c r="AB51" s="91" t="str">
        <f>IFERROR(SUMIF('3店辅助表'!K:K,B:B,'3店辅助表'!N:N)/SUMIF('3店辅助表'!K:K,B:B,'3店辅助表'!O:O),"-")</f>
        <v>-</v>
      </c>
      <c r="AC51" s="91" t="str">
        <f>IFERROR(VLOOKUP(B:B,'[1]3店'!$B:$AB,27,0),"-")</f>
        <v>-</v>
      </c>
      <c r="AD51" s="92" t="str">
        <f t="shared" si="19"/>
        <v>-</v>
      </c>
      <c r="AE51" s="91" t="str">
        <f>IFERROR(SUMIF('3店辅助表'!T:T,B:B,'3店辅助表'!W:W)/SUMIF('3店辅助表'!T:T,B:B,'3店辅助表'!X:X),"-")</f>
        <v>-</v>
      </c>
      <c r="AF51" s="91" t="str">
        <f>IFERROR(SUMIF('3店辅助表'!AC:AC,B:B,'3店辅助表'!AF:AF)/SUMIF('3店辅助表'!AC:AC,B:B,'3店辅助表'!AG:AG),"-")</f>
        <v>-</v>
      </c>
      <c r="AG51" s="99">
        <f>IFERROR(AK51/((SUMIF('3店辅助表'!AT:AT,B:B,'3店辅助表'!AU:AU)+M51)/2),"-")</f>
        <v>0.112903225806452</v>
      </c>
      <c r="AH51" s="99">
        <f>IFERROR(AL51/((SUMIF('3店辅助表'!AW:AW,B:B,'3店辅助表'!AX:AX)+M51)/2),"-")</f>
        <v>0.256410256410256</v>
      </c>
      <c r="AI51" s="100">
        <f>IFERROR((SUMIF('3店辅助表'!AP:AP,B:B,'3店辅助表'!AR:AR)-SUMIF('3店辅助表'!AP:AP,B:B,'3店辅助表'!AR:AR)*0.15-(L51+IFERROR(VLOOKUP(B:B,'3店辅助表'!AZ:BA,2,0),0))*O51-IF(AN:AN="US",6.85,4.9)*(Z51+4.27*O51))/SUMIF('3店辅助表'!AP:AP,B:B,'3店辅助表'!AR:AR),"-")</f>
        <v>0.28257964035462</v>
      </c>
      <c r="AJ51" s="100">
        <f t="shared" si="20"/>
        <v>0.072456318039646</v>
      </c>
      <c r="AK51" s="101">
        <f t="shared" si="21"/>
        <v>97.3</v>
      </c>
      <c r="AL51" s="101">
        <f t="shared" si="22"/>
        <v>278</v>
      </c>
      <c r="AM51" s="1" t="str">
        <f>VLOOKUP(B:B,'3店辅助表'!AZ:AZ,1,FALSE)</f>
        <v>Y03652-DB+Y03653+Y03654</v>
      </c>
      <c r="AN51" t="str">
        <f>VLOOKUP(B:B,'3店辅助表'!AZ:BB,3,FALSE)</f>
        <v>US</v>
      </c>
    </row>
    <row r="52" customHeight="1" spans="1:40">
      <c r="A52" s="58" t="str">
        <f>INDEX('[1]3店'!$A:$A,MATCH(B:B,'[1]3店'!$B:$B,0))</f>
        <v>欣彤</v>
      </c>
      <c r="B52" s="43" t="s">
        <v>732</v>
      </c>
      <c r="C52" s="43" t="s">
        <v>733</v>
      </c>
      <c r="D52" s="59"/>
      <c r="E52" s="43" t="s">
        <v>734</v>
      </c>
      <c r="F52" s="43">
        <v>34</v>
      </c>
      <c r="G52" s="43">
        <v>0</v>
      </c>
      <c r="H52" s="43">
        <v>0</v>
      </c>
      <c r="I52" s="43">
        <v>20</v>
      </c>
      <c r="J52" s="43">
        <v>0</v>
      </c>
      <c r="K52" s="63">
        <f t="shared" si="11"/>
        <v>54</v>
      </c>
      <c r="L52" s="124">
        <f>VLOOKUP($B:$B,'[1]3店'!$B:$L,11,0)</f>
        <v>13.9</v>
      </c>
      <c r="M52" s="44">
        <f t="shared" si="12"/>
        <v>750.6</v>
      </c>
      <c r="N52" s="65">
        <f>IFERROR(VLOOKUP(B:B,'3店辅助表'!B:C,2,FALSE),0)</f>
        <v>3</v>
      </c>
      <c r="O52" s="65">
        <f>IFERROR(VLOOKUP(B:B,'3店辅助表'!E:F,2,FALSE),0)</f>
        <v>5</v>
      </c>
      <c r="P52" s="65">
        <f>IFERROR(VLOOKUP(B:B,'3店辅助表'!H:I,2,FALSE),0)</f>
        <v>13</v>
      </c>
      <c r="Q52" s="65">
        <f>IFERROR(VLOOKUP(B:B,'[1]3店'!$B:$N,13,FALSE),0)</f>
        <v>3</v>
      </c>
      <c r="R52" s="79">
        <f t="shared" si="13"/>
        <v>0</v>
      </c>
      <c r="S52" s="80">
        <f t="shared" si="14"/>
        <v>135.537848605578</v>
      </c>
      <c r="T52" s="44">
        <f t="shared" si="15"/>
        <v>4.51792828685259</v>
      </c>
      <c r="U52" s="44">
        <f>IFERROR(VLOOKUP($B:$B,'[1]3店'!$B:$T,19,0),"-")</f>
        <v>5.0199203187251</v>
      </c>
      <c r="V52" s="81">
        <f t="shared" si="16"/>
        <v>-0.50199203187251</v>
      </c>
      <c r="W52" s="82" t="str">
        <f t="shared" si="17"/>
        <v>库存过高</v>
      </c>
      <c r="X52" s="83" t="str">
        <f t="shared" si="18"/>
        <v>库存过高</v>
      </c>
      <c r="Y52" s="44">
        <f>IFERROR(SUMIF('3店辅助表'!K:K,B:B,'3店辅助表'!N:N),0)</f>
        <v>0</v>
      </c>
      <c r="Z52" s="44">
        <f>IFERROR(SUMIF('3店辅助表'!T:T,B:B,'3店辅助表'!W:W),0)</f>
        <v>0</v>
      </c>
      <c r="AA52" s="44">
        <f>IFERROR(SUMIF('3店辅助表'!AC:AC,B:B,'3店辅助表'!AF:AF),0)</f>
        <v>0</v>
      </c>
      <c r="AB52" s="91" t="str">
        <f>IFERROR(SUMIF('3店辅助表'!K:K,B:B,'3店辅助表'!N:N)/SUMIF('3店辅助表'!K:K,B:B,'3店辅助表'!O:O),"-")</f>
        <v>-</v>
      </c>
      <c r="AC52" s="91" t="str">
        <f>IFERROR(VLOOKUP(B:B,'[1]3店'!$B:$AB,27,0),"-")</f>
        <v>-</v>
      </c>
      <c r="AD52" s="92" t="str">
        <f t="shared" si="19"/>
        <v>-</v>
      </c>
      <c r="AE52" s="91" t="str">
        <f>IFERROR(SUMIF('3店辅助表'!T:T,B:B,'3店辅助表'!W:W)/SUMIF('3店辅助表'!T:T,B:B,'3店辅助表'!X:X),"-")</f>
        <v>-</v>
      </c>
      <c r="AF52" s="91" t="str">
        <f>IFERROR(SUMIF('3店辅助表'!AC:AC,B:B,'3店辅助表'!AF:AF)/SUMIF('3店辅助表'!AC:AC,B:B,'3店辅助表'!AG:AG),"-")</f>
        <v>-</v>
      </c>
      <c r="AG52" s="99">
        <f>IFERROR(AK52/((SUMIF('3店辅助表'!AT:AT,B:B,'3店辅助表'!AU:AU)+M52)/2),"-")</f>
        <v>0.0526315789473684</v>
      </c>
      <c r="AH52" s="99">
        <f>IFERROR(AL52/((SUMIF('3店辅助表'!AW:AW,B:B,'3店辅助表'!AX:AX)+M52)/2),"-")</f>
        <v>0.123456790123457</v>
      </c>
      <c r="AI52" s="100">
        <f>IFERROR((SUMIF('3店辅助表'!AP:AP,B:B,'3店辅助表'!AR:AR)-SUMIF('3店辅助表'!AP:AP,B:B,'3店辅助表'!AR:AR)*0.15-(L52+IFERROR(VLOOKUP(B:B,'3店辅助表'!AZ:BA,2,0),0))*O52-IF(AN:AN="US",6.85,4.9)*(Z52+4.27*O52))/SUMIF('3店辅助表'!AP:AP,B:B,'3店辅助表'!AR:AR),"-")</f>
        <v>0.291063757007937</v>
      </c>
      <c r="AJ52" s="100">
        <f t="shared" si="20"/>
        <v>0.0359337971614737</v>
      </c>
      <c r="AK52" s="101">
        <f t="shared" si="21"/>
        <v>41.7</v>
      </c>
      <c r="AL52" s="101">
        <f t="shared" si="22"/>
        <v>69.5</v>
      </c>
      <c r="AM52" s="1" t="str">
        <f>VLOOKUP(B:B,'3店辅助表'!AZ:AZ,1,FALSE)</f>
        <v>Y03652-OR+Y03653+Y03654</v>
      </c>
      <c r="AN52" t="str">
        <f>VLOOKUP(B:B,'3店辅助表'!AZ:BB,3,FALSE)</f>
        <v>US</v>
      </c>
    </row>
    <row r="53" customHeight="1" spans="1:40">
      <c r="A53" s="58" t="str">
        <f>INDEX('[1]3店'!$A:$A,MATCH(B:B,'[1]3店'!$B:$B,0))</f>
        <v>欣彤</v>
      </c>
      <c r="B53" s="43" t="s">
        <v>735</v>
      </c>
      <c r="C53" s="43" t="s">
        <v>736</v>
      </c>
      <c r="D53" s="59"/>
      <c r="E53" s="43" t="s">
        <v>737</v>
      </c>
      <c r="F53" s="43">
        <v>0</v>
      </c>
      <c r="G53" s="43">
        <v>1</v>
      </c>
      <c r="H53" s="43">
        <v>0</v>
      </c>
      <c r="I53" s="43">
        <v>0</v>
      </c>
      <c r="J53" s="43">
        <v>0</v>
      </c>
      <c r="K53" s="63">
        <f t="shared" si="11"/>
        <v>1</v>
      </c>
      <c r="L53" s="124">
        <f>VLOOKUP($B:$B,'[1]3店'!$B:$L,11,0)</f>
        <v>13.7</v>
      </c>
      <c r="M53" s="44">
        <f t="shared" si="12"/>
        <v>13.7</v>
      </c>
      <c r="N53" s="65">
        <f>IFERROR(VLOOKUP(B:B,'3店辅助表'!B:C,2,FALSE),0)</f>
        <v>0</v>
      </c>
      <c r="O53" s="65">
        <f>IFERROR(VLOOKUP(B:B,'3店辅助表'!E:F,2,FALSE),0)</f>
        <v>0</v>
      </c>
      <c r="P53" s="65">
        <f>IFERROR(VLOOKUP(B:B,'3店辅助表'!H:I,2,FALSE),0)</f>
        <v>0</v>
      </c>
      <c r="Q53" s="65">
        <f>IFERROR(VLOOKUP(B:B,'[1]3店'!$B:$N,13,FALSE),0)</f>
        <v>0</v>
      </c>
      <c r="R53" s="79">
        <f t="shared" si="13"/>
        <v>0</v>
      </c>
      <c r="S53" s="80" t="str">
        <f t="shared" si="14"/>
        <v>-</v>
      </c>
      <c r="T53" s="44" t="str">
        <f t="shared" si="15"/>
        <v>-</v>
      </c>
      <c r="U53" s="44" t="str">
        <f>IFERROR(VLOOKUP($B:$B,'[1]3店'!$B:$T,19,0),"-")</f>
        <v>-</v>
      </c>
      <c r="V53" s="81" t="str">
        <f t="shared" si="16"/>
        <v>-</v>
      </c>
      <c r="W53" s="82" t="str">
        <f t="shared" si="17"/>
        <v>有库存无销量</v>
      </c>
      <c r="X53" s="83" t="str">
        <f t="shared" si="18"/>
        <v>有库存无销量</v>
      </c>
      <c r="Y53" s="44">
        <f>IFERROR(SUMIF('3店辅助表'!K:K,B:B,'3店辅助表'!N:N),0)</f>
        <v>0</v>
      </c>
      <c r="Z53" s="44">
        <f>IFERROR(SUMIF('3店辅助表'!T:T,B:B,'3店辅助表'!W:W),0)</f>
        <v>0</v>
      </c>
      <c r="AA53" s="44">
        <f>IFERROR(SUMIF('3店辅助表'!AC:AC,B:B,'3店辅助表'!AF:AF),0)</f>
        <v>0</v>
      </c>
      <c r="AB53" s="91" t="str">
        <f>IFERROR(SUMIF('3店辅助表'!K:K,B:B,'3店辅助表'!N:N)/SUMIF('3店辅助表'!K:K,B:B,'3店辅助表'!O:O),"-")</f>
        <v>-</v>
      </c>
      <c r="AC53" s="91" t="str">
        <f>IFERROR(VLOOKUP(B:B,'[1]3店'!$B:$AB,27,0),"-")</f>
        <v>-</v>
      </c>
      <c r="AD53" s="92" t="str">
        <f t="shared" si="19"/>
        <v>-</v>
      </c>
      <c r="AE53" s="91" t="str">
        <f>IFERROR(SUMIF('3店辅助表'!T:T,B:B,'3店辅助表'!W:W)/SUMIF('3店辅助表'!T:T,B:B,'3店辅助表'!X:X),"-")</f>
        <v>-</v>
      </c>
      <c r="AF53" s="91" t="str">
        <f>IFERROR(SUMIF('3店辅助表'!AC:AC,B:B,'3店辅助表'!AF:AF)/SUMIF('3店辅助表'!AC:AC,B:B,'3店辅助表'!AG:AG),"-")</f>
        <v>-</v>
      </c>
      <c r="AG53" s="99">
        <f>IFERROR(AK53/((SUMIF('3店辅助表'!AT:AT,B:B,'3店辅助表'!AU:AU)+M53)/2),"-")</f>
        <v>0</v>
      </c>
      <c r="AH53" s="99">
        <f>IFERROR(AL53/((SUMIF('3店辅助表'!AW:AW,B:B,'3店辅助表'!AX:AX)+M53)/2),"-")</f>
        <v>0</v>
      </c>
      <c r="AI53" s="100" t="str">
        <f>IFERROR((SUMIF('3店辅助表'!AP:AP,B:B,'3店辅助表'!AR:AR)-SUMIF('3店辅助表'!AP:AP,B:B,'3店辅助表'!AR:AR)*0.15-(L53+IFERROR(VLOOKUP(B:B,'3店辅助表'!AZ:BA,2,0),0))*O53-IF(AN:AN="US",6.85,4.9)*(Z53+4.27*O53))/SUMIF('3店辅助表'!AP:AP,B:B,'3店辅助表'!AR:AR),"-")</f>
        <v>-</v>
      </c>
      <c r="AJ53" s="100" t="str">
        <f t="shared" si="20"/>
        <v>-</v>
      </c>
      <c r="AK53" s="101">
        <f t="shared" si="21"/>
        <v>0</v>
      </c>
      <c r="AL53" s="101">
        <f t="shared" si="22"/>
        <v>0</v>
      </c>
      <c r="AM53" s="1" t="str">
        <f>VLOOKUP(B:B,'3店辅助表'!AZ:AZ,1,FALSE)</f>
        <v>Y3006-NB+Y3008</v>
      </c>
      <c r="AN53" t="str">
        <f>VLOOKUP(B:B,'3店辅助表'!AZ:BB,3,FALSE)</f>
        <v>US</v>
      </c>
    </row>
    <row r="54" customHeight="1" spans="1:40">
      <c r="A54" s="58" t="str">
        <f>INDEX('[1]3店'!$A:$A,MATCH(B:B,'[1]3店'!$B:$B,0))</f>
        <v>欣彤</v>
      </c>
      <c r="B54" s="43" t="s">
        <v>738</v>
      </c>
      <c r="C54" s="43" t="s">
        <v>739</v>
      </c>
      <c r="D54" s="59"/>
      <c r="E54" s="43" t="s">
        <v>740</v>
      </c>
      <c r="F54" s="43">
        <v>3</v>
      </c>
      <c r="G54" s="43">
        <v>0</v>
      </c>
      <c r="H54" s="43">
        <v>0</v>
      </c>
      <c r="I54" s="43">
        <v>1</v>
      </c>
      <c r="J54" s="43">
        <v>0</v>
      </c>
      <c r="K54" s="63">
        <f t="shared" ref="K54:K65" si="23">F54+G54+H54+I54+J54</f>
        <v>4</v>
      </c>
      <c r="L54" s="124">
        <f>VLOOKUP($B:$B,'[1]3店'!$B:$L,11,0)</f>
        <v>13.7</v>
      </c>
      <c r="M54" s="44">
        <f t="shared" si="12"/>
        <v>54.8</v>
      </c>
      <c r="N54" s="65">
        <f>IFERROR(VLOOKUP(B:B,'3店辅助表'!B:C,2,FALSE),0)</f>
        <v>0</v>
      </c>
      <c r="O54" s="65">
        <f>IFERROR(VLOOKUP(B:B,'3店辅助表'!E:F,2,FALSE),0)</f>
        <v>1</v>
      </c>
      <c r="P54" s="65">
        <f>IFERROR(VLOOKUP(B:B,'3店辅助表'!H:I,2,FALSE),0)</f>
        <v>5</v>
      </c>
      <c r="Q54" s="65">
        <f>IFERROR(VLOOKUP(B:B,'[1]3店'!$B:$N,13,FALSE),0)</f>
        <v>1</v>
      </c>
      <c r="R54" s="79">
        <f t="shared" si="13"/>
        <v>-1</v>
      </c>
      <c r="S54" s="80">
        <f t="shared" si="14"/>
        <v>51.4285714285714</v>
      </c>
      <c r="T54" s="44">
        <f t="shared" si="15"/>
        <v>1.71428571428571</v>
      </c>
      <c r="U54" s="44">
        <f>IFERROR(VLOOKUP($B:$B,'[1]3店'!$B:$T,19,0),"-")</f>
        <v>0.552631578947368</v>
      </c>
      <c r="V54" s="81">
        <f t="shared" si="16"/>
        <v>1.16165413533834</v>
      </c>
      <c r="W54" s="82" t="str">
        <f t="shared" si="17"/>
        <v>有库存无销量</v>
      </c>
      <c r="X54" s="83" t="str">
        <f t="shared" si="18"/>
        <v>库存过高</v>
      </c>
      <c r="Y54" s="44">
        <f>IFERROR(SUMIF('3店辅助表'!K:K,B:B,'3店辅助表'!N:N),0)</f>
        <v>0</v>
      </c>
      <c r="Z54" s="44">
        <f>IFERROR(SUMIF('3店辅助表'!T:T,B:B,'3店辅助表'!W:W),0)</f>
        <v>0</v>
      </c>
      <c r="AA54" s="44">
        <f>IFERROR(SUMIF('3店辅助表'!AC:AC,B:B,'3店辅助表'!AF:AF),0)</f>
        <v>0</v>
      </c>
      <c r="AB54" s="91" t="str">
        <f>IFERROR(SUMIF('3店辅助表'!K:K,B:B,'3店辅助表'!N:N)/SUMIF('3店辅助表'!K:K,B:B,'3店辅助表'!O:O),"-")</f>
        <v>-</v>
      </c>
      <c r="AC54" s="91" t="str">
        <f>IFERROR(VLOOKUP(B:B,'[1]3店'!$B:$AB,27,0),"-")</f>
        <v>-</v>
      </c>
      <c r="AD54" s="92" t="str">
        <f t="shared" si="19"/>
        <v>-</v>
      </c>
      <c r="AE54" s="91" t="str">
        <f>IFERROR(SUMIF('3店辅助表'!T:T,B:B,'3店辅助表'!W:W)/SUMIF('3店辅助表'!T:T,B:B,'3店辅助表'!X:X),"-")</f>
        <v>-</v>
      </c>
      <c r="AF54" s="91" t="str">
        <f>IFERROR(SUMIF('3店辅助表'!AC:AC,B:B,'3店辅助表'!AF:AF)/SUMIF('3店辅助表'!AC:AC,B:B,'3店辅助表'!AG:AG),"-")</f>
        <v>-</v>
      </c>
      <c r="AG54" s="99">
        <f>IFERROR(AK54/((SUMIF('3店辅助表'!AT:AT,B:B,'3店辅助表'!AU:AU)+M54)/2),"-")</f>
        <v>0</v>
      </c>
      <c r="AH54" s="99">
        <f>IFERROR(AL54/((SUMIF('3店辅助表'!AW:AW,B:B,'3店辅助表'!AX:AX)+M54)/2),"-")</f>
        <v>0.166666666666667</v>
      </c>
      <c r="AI54" s="100" t="str">
        <f>IFERROR((SUMIF('3店辅助表'!AP:AP,B:B,'3店辅助表'!AR:AR)-SUMIF('3店辅助表'!AP:AP,B:B,'3店辅助表'!AR:AR)*0.15-(L54+IFERROR(VLOOKUP(B:B,'3店辅助表'!AZ:BA,2,0),0))*O54-IF(AN:AN="US",6.85,4.9)*(Z54+4.27*O54))/SUMIF('3店辅助表'!AP:AP,B:B,'3店辅助表'!AR:AR),"-")</f>
        <v>-</v>
      </c>
      <c r="AJ54" s="100" t="str">
        <f t="shared" si="20"/>
        <v>-</v>
      </c>
      <c r="AK54" s="101">
        <f t="shared" si="21"/>
        <v>0</v>
      </c>
      <c r="AL54" s="101">
        <f t="shared" si="22"/>
        <v>13.7</v>
      </c>
      <c r="AM54" s="1" t="str">
        <f>VLOOKUP(B:B,'3店辅助表'!AZ:AZ,1,FALSE)</f>
        <v>Y3007-OR+Y3009</v>
      </c>
      <c r="AN54" t="str">
        <f>VLOOKUP(B:B,'3店辅助表'!AZ:BB,3,FALSE)</f>
        <v>US</v>
      </c>
    </row>
    <row r="55" customHeight="1" spans="1:40">
      <c r="A55" s="58" t="str">
        <f>INDEX('[1]3店'!$A:$A,MATCH(B:B,'[1]3店'!$B:$B,0))</f>
        <v>欣彤</v>
      </c>
      <c r="B55" s="43" t="s">
        <v>741</v>
      </c>
      <c r="C55" s="43" t="s">
        <v>742</v>
      </c>
      <c r="D55" s="59"/>
      <c r="E55" s="43" t="s">
        <v>743</v>
      </c>
      <c r="F55" s="43">
        <v>5</v>
      </c>
      <c r="G55" s="43">
        <v>0</v>
      </c>
      <c r="H55" s="43">
        <v>0</v>
      </c>
      <c r="I55" s="43">
        <v>0</v>
      </c>
      <c r="J55" s="43">
        <v>0</v>
      </c>
      <c r="K55" s="63">
        <f t="shared" si="23"/>
        <v>5</v>
      </c>
      <c r="L55" s="124">
        <f>VLOOKUP($B:$B,'[1]3店'!$B:$L,11,0)</f>
        <v>13.7</v>
      </c>
      <c r="M55" s="44">
        <f t="shared" si="12"/>
        <v>68.5</v>
      </c>
      <c r="N55" s="65">
        <f>IFERROR(VLOOKUP(B:B,'3店辅助表'!B:C,2,FALSE),0)</f>
        <v>0</v>
      </c>
      <c r="O55" s="65">
        <f>IFERROR(VLOOKUP(B:B,'3店辅助表'!E:F,2,FALSE),0)</f>
        <v>1</v>
      </c>
      <c r="P55" s="65">
        <f>IFERROR(VLOOKUP(B:B,'3店辅助表'!H:I,2,FALSE),0)</f>
        <v>1</v>
      </c>
      <c r="Q55" s="65">
        <f>IFERROR(VLOOKUP(B:B,'[1]3店'!$B:$N,13,FALSE),0)</f>
        <v>1</v>
      </c>
      <c r="R55" s="79">
        <f t="shared" si="13"/>
        <v>-1</v>
      </c>
      <c r="S55" s="80">
        <f t="shared" si="14"/>
        <v>150</v>
      </c>
      <c r="T55" s="44">
        <f t="shared" si="15"/>
        <v>5</v>
      </c>
      <c r="U55" s="44">
        <f>IFERROR(VLOOKUP($B:$B,'[1]3店'!$B:$T,19,0),"-")</f>
        <v>2.05882352941176</v>
      </c>
      <c r="V55" s="81">
        <f t="shared" si="16"/>
        <v>2.94117647058824</v>
      </c>
      <c r="W55" s="82" t="str">
        <f t="shared" si="17"/>
        <v>有库存无销量</v>
      </c>
      <c r="X55" s="83" t="str">
        <f t="shared" si="18"/>
        <v>库存过高</v>
      </c>
      <c r="Y55" s="44">
        <f>IFERROR(SUMIF('3店辅助表'!K:K,B:B,'3店辅助表'!N:N),0)</f>
        <v>0</v>
      </c>
      <c r="Z55" s="44">
        <f>IFERROR(SUMIF('3店辅助表'!T:T,B:B,'3店辅助表'!W:W),0)</f>
        <v>0</v>
      </c>
      <c r="AA55" s="44">
        <f>IFERROR(SUMIF('3店辅助表'!AC:AC,B:B,'3店辅助表'!AF:AF),0)</f>
        <v>0</v>
      </c>
      <c r="AB55" s="91" t="str">
        <f>IFERROR(SUMIF('3店辅助表'!K:K,B:B,'3店辅助表'!N:N)/SUMIF('3店辅助表'!K:K,B:B,'3店辅助表'!O:O),"-")</f>
        <v>-</v>
      </c>
      <c r="AC55" s="91" t="str">
        <f>IFERROR(VLOOKUP(B:B,'[1]3店'!$B:$AB,27,0),"-")</f>
        <v>-</v>
      </c>
      <c r="AD55" s="92" t="str">
        <f t="shared" si="19"/>
        <v>-</v>
      </c>
      <c r="AE55" s="91" t="str">
        <f>IFERROR(SUMIF('3店辅助表'!T:T,B:B,'3店辅助表'!W:W)/SUMIF('3店辅助表'!T:T,B:B,'3店辅助表'!X:X),"-")</f>
        <v>-</v>
      </c>
      <c r="AF55" s="91" t="str">
        <f>IFERROR(SUMIF('3店辅助表'!AC:AC,B:B,'3店辅助表'!AF:AF)/SUMIF('3店辅助表'!AC:AC,B:B,'3店辅助表'!AG:AG),"-")</f>
        <v>-</v>
      </c>
      <c r="AG55" s="99">
        <f>IFERROR(AK55/((SUMIF('3店辅助表'!AT:AT,B:B,'3店辅助表'!AU:AU)+M55)/2),"-")</f>
        <v>0</v>
      </c>
      <c r="AH55" s="99">
        <f>IFERROR(AL55/((SUMIF('3店辅助表'!AW:AW,B:B,'3店辅助表'!AX:AX)+M55)/2),"-")</f>
        <v>0.181818181818182</v>
      </c>
      <c r="AI55" s="100">
        <f>IFERROR((SUMIF('3店辅助表'!AP:AP,B:B,'3店辅助表'!AR:AR)-SUMIF('3店辅助表'!AP:AP,B:B,'3店辅助表'!AR:AR)*0.15-(L55+IFERROR(VLOOKUP(B:B,'3店辅助表'!AZ:BA,2,0),0))*O55-IF(AN:AN="US",6.85,4.9)*(Z55+4.27*O55))/SUMIF('3店辅助表'!AP:AP,B:B,'3店辅助表'!AR:AR),"-")</f>
        <v>0.0699795025856472</v>
      </c>
      <c r="AJ55" s="100">
        <f t="shared" si="20"/>
        <v>0.0127235459246631</v>
      </c>
      <c r="AK55" s="101">
        <f t="shared" si="21"/>
        <v>0</v>
      </c>
      <c r="AL55" s="101">
        <f t="shared" si="22"/>
        <v>13.7</v>
      </c>
      <c r="AM55" s="1" t="str">
        <f>VLOOKUP(B:B,'3店辅助表'!AZ:AZ,1,FALSE)</f>
        <v>Y3007-TG+Y3009</v>
      </c>
      <c r="AN55" t="str">
        <f>VLOOKUP(B:B,'3店辅助表'!AZ:BB,3,FALSE)</f>
        <v>US</v>
      </c>
    </row>
    <row r="56" customHeight="1" spans="1:40">
      <c r="A56" s="58" t="str">
        <f>INDEX('[1]3店'!$A:$A,MATCH(B:B,'[1]3店'!$B:$B,0))</f>
        <v>欣彤</v>
      </c>
      <c r="B56" s="43" t="s">
        <v>744</v>
      </c>
      <c r="C56" s="43" t="s">
        <v>745</v>
      </c>
      <c r="D56" s="59"/>
      <c r="E56" s="43" t="s">
        <v>746</v>
      </c>
      <c r="F56" s="43">
        <v>281</v>
      </c>
      <c r="G56" s="43">
        <v>9</v>
      </c>
      <c r="H56" s="43">
        <v>4</v>
      </c>
      <c r="I56" s="43">
        <v>11</v>
      </c>
      <c r="J56" s="43">
        <v>23</v>
      </c>
      <c r="K56" s="63">
        <f t="shared" si="23"/>
        <v>328</v>
      </c>
      <c r="L56" s="124">
        <f>VLOOKUP($B:$B,'[1]3店'!$B:$L,11,0)</f>
        <v>13.7</v>
      </c>
      <c r="M56" s="44">
        <f t="shared" si="12"/>
        <v>4493.6</v>
      </c>
      <c r="N56" s="65">
        <f>IFERROR(VLOOKUP(B:B,'3店辅助表'!B:C,2,FALSE),0)</f>
        <v>75</v>
      </c>
      <c r="O56" s="65">
        <f>IFERROR(VLOOKUP(B:B,'3店辅助表'!E:F,2,FALSE),0)</f>
        <v>151</v>
      </c>
      <c r="P56" s="65">
        <f>IFERROR(VLOOKUP(B:B,'3店辅助表'!H:I,2,FALSE),0)</f>
        <v>323</v>
      </c>
      <c r="Q56" s="65">
        <f>IFERROR(VLOOKUP(B:B,'[1]3店'!$B:$N,13,FALSE),0)</f>
        <v>66</v>
      </c>
      <c r="R56" s="79">
        <f t="shared" ref="R56:R78" si="24">N56-Q56</f>
        <v>9</v>
      </c>
      <c r="S56" s="80">
        <f t="shared" ref="S56:S78" si="25">IFERROR(K56/((N56/7+O56/15+P56/30)/3),"-")</f>
        <v>31.1909433962264</v>
      </c>
      <c r="T56" s="44">
        <f t="shared" ref="T56:T78" si="26">IFERROR(S56/30,"-")</f>
        <v>1.03969811320755</v>
      </c>
      <c r="U56" s="44">
        <f>IFERROR(VLOOKUP($B:$B,'[1]3店'!$B:$T,19,0),"-")</f>
        <v>1.50023144576454</v>
      </c>
      <c r="V56" s="81">
        <f t="shared" ref="V56:V78" si="27">IFERROR(T56-U56,"-")</f>
        <v>-0.46053333255699</v>
      </c>
      <c r="W56" s="82" t="str">
        <f t="shared" ref="W56:W78" si="28">_xlfn.IFS(AND(D56&lt;&gt;0,D56-$AM$2&gt;=0,B56&gt;0,D56&lt;&gt;0),"本月刚到货",AND(IFERROR((K56/(N56/7))/30,"-")="-",K56&gt;0),"有库存无销量",AND(IFERROR((K56/(N56/7))/30,"-")="-",K56=0),"无库存无销量",AND(IFERROR((K56/(N56/7))/30,"-")&lt;=0.5,K56=0),"无库存有销量",IFERROR((K56/(N56/7))/30,"-")&lt;=0.5,"库存过低",IFERROR((K56/(N56/7))/30,"-")&lt;=1.5,"正常",IFERROR((K56/(N56/7))/30,"-")&gt;1.5,"库存过高")</f>
        <v>正常</v>
      </c>
      <c r="X56" s="83" t="str">
        <f t="shared" ref="X56:X78" si="29">_xlfn.IFS(AND(D56&lt;&gt;0,D56-$AM$2&gt;=0,K56&gt;0,D56&lt;&gt;0),"本月刚到货",AND(T56="-",K56&gt;0),"有库存无销量",AND(T56="-",K56=0),"无库存无销量",AND(T56&lt;=0.5,K56=0),"无库存有销量",T56&lt;=0.5,"库存过低",T56&lt;=1.5,"正常",T56&gt;1.5,"库存过高")</f>
        <v>正常</v>
      </c>
      <c r="Y56" s="44">
        <f>IFERROR(SUMIF('3店辅助表'!K:K,B:B,'3店辅助表'!N:N),0)</f>
        <v>50.03</v>
      </c>
      <c r="Z56" s="44">
        <f>IFERROR(SUMIF('3店辅助表'!T:T,B:B,'3店辅助表'!W:W),0)</f>
        <v>103.47</v>
      </c>
      <c r="AA56" s="44">
        <f>IFERROR(SUMIF('3店辅助表'!AC:AC,B:B,'3店辅助表'!AF:AF),0)</f>
        <v>209.89</v>
      </c>
      <c r="AB56" s="91">
        <f>IFERROR(SUMIF('3店辅助表'!K:K,B:B,'3店辅助表'!N:N)/SUMIF('3店辅助表'!K:K,B:B,'3店辅助表'!O:O),"-")</f>
        <v>0.120357005388761</v>
      </c>
      <c r="AC56" s="91">
        <f>IFERROR(VLOOKUP(B:B,'[1]3店'!$B:$AB,27,0),"-")</f>
        <v>0.238649137383315</v>
      </c>
      <c r="AD56" s="92">
        <f t="shared" ref="AD56:AD78" si="30">IFERROR(AB56-AC56,"-")</f>
        <v>-0.118292131994554</v>
      </c>
      <c r="AE56" s="91">
        <f>IFERROR(SUMIF('3店辅助表'!T:T,B:B,'3店辅助表'!W:W)/SUMIF('3店辅助表'!T:T,B:B,'3店辅助表'!X:X),"-")</f>
        <v>0.151440196709795</v>
      </c>
      <c r="AF56" s="91">
        <f>IFERROR(SUMIF('3店辅助表'!AC:AC,B:B,'3店辅助表'!AF:AF)/SUMIF('3店辅助表'!AC:AC,B:B,'3店辅助表'!AG:AG),"-")</f>
        <v>0.160755179412553</v>
      </c>
      <c r="AG56" s="99">
        <f>IFERROR(AK56/((SUMIF('3店辅助表'!AT:AT,B:B,'3店辅助表'!AU:AU)+M56)/2),"-")</f>
        <v>0.189633375474083</v>
      </c>
      <c r="AH56" s="99">
        <f>IFERROR(AL56/((SUMIF('3店辅助表'!AW:AW,B:B,'3店辅助表'!AX:AX)+M56)/2),"-")</f>
        <v>0.425952045133992</v>
      </c>
      <c r="AI56" s="100">
        <f>IFERROR((SUMIF('3店辅助表'!AP:AP,B:B,'3店辅助表'!AR:AR)-SUMIF('3店辅助表'!AP:AP,B:B,'3店辅助表'!AR:AR)*0.15-(L56+IFERROR(VLOOKUP(B:B,'3店辅助表'!AZ:BA,2,0),0))*O56-IF(AN:AN="US",6.85,4.9)*(Z56+4.27*O56))/SUMIF('3店辅助表'!AP:AP,B:B,'3店辅助表'!AR:AR),"-")</f>
        <v>0.259140629673444</v>
      </c>
      <c r="AJ56" s="100">
        <f t="shared" ref="AJ56:AJ78" si="31">IFERROR(AH56*AI56,"-")</f>
        <v>0.110381481186714</v>
      </c>
      <c r="AK56" s="101">
        <f t="shared" ref="AK56:AK78" si="32">N56*$L56</f>
        <v>1027.5</v>
      </c>
      <c r="AL56" s="101">
        <f t="shared" ref="AL56:AL78" si="33">O56*$L56</f>
        <v>2068.7</v>
      </c>
      <c r="AM56" s="1" t="str">
        <f>VLOOKUP(B:B,'3店辅助表'!AZ:AZ,1,FALSE)</f>
        <v>Y3013-BL+Y3014</v>
      </c>
      <c r="AN56" t="str">
        <f>VLOOKUP(B:B,'3店辅助表'!AZ:BB,3,FALSE)</f>
        <v>US</v>
      </c>
    </row>
    <row r="57" customHeight="1" spans="1:40">
      <c r="A57" s="58" t="str">
        <f>INDEX('[1]3店'!$A:$A,MATCH(B:B,'[1]3店'!$B:$B,0))</f>
        <v>欣彤</v>
      </c>
      <c r="B57" s="43" t="s">
        <v>747</v>
      </c>
      <c r="C57" s="43" t="s">
        <v>748</v>
      </c>
      <c r="D57" s="59"/>
      <c r="E57" s="43" t="s">
        <v>749</v>
      </c>
      <c r="F57" s="43">
        <v>59</v>
      </c>
      <c r="G57" s="43">
        <v>0</v>
      </c>
      <c r="H57" s="43">
        <v>89</v>
      </c>
      <c r="I57" s="43">
        <v>18</v>
      </c>
      <c r="J57" s="43">
        <v>0</v>
      </c>
      <c r="K57" s="63">
        <f t="shared" si="23"/>
        <v>166</v>
      </c>
      <c r="L57" s="124">
        <f>VLOOKUP($B:$B,'[1]3店'!$B:$L,11,0)</f>
        <v>13.7</v>
      </c>
      <c r="M57" s="44">
        <f t="shared" si="12"/>
        <v>2274.2</v>
      </c>
      <c r="N57" s="65">
        <f>IFERROR(VLOOKUP(B:B,'3店辅助表'!B:C,2,FALSE),0)</f>
        <v>6</v>
      </c>
      <c r="O57" s="65">
        <f>IFERROR(VLOOKUP(B:B,'3店辅助表'!E:F,2,FALSE),0)</f>
        <v>13</v>
      </c>
      <c r="P57" s="65">
        <f>IFERROR(VLOOKUP(B:B,'3店辅助表'!H:I,2,FALSE),0)</f>
        <v>30</v>
      </c>
      <c r="Q57" s="65">
        <f>IFERROR(VLOOKUP(B:B,'[1]3店'!$B:$N,13,FALSE),0)</f>
        <v>8</v>
      </c>
      <c r="R57" s="79">
        <f t="shared" si="24"/>
        <v>-2</v>
      </c>
      <c r="S57" s="80">
        <f t="shared" si="25"/>
        <v>182.832167832168</v>
      </c>
      <c r="T57" s="44">
        <f t="shared" si="26"/>
        <v>6.0944055944056</v>
      </c>
      <c r="U57" s="44">
        <f>IFERROR(VLOOKUP($B:$B,'[1]3店'!$B:$T,19,0),"-")</f>
        <v>2.38174273858921</v>
      </c>
      <c r="V57" s="81">
        <f t="shared" si="27"/>
        <v>3.71266285581639</v>
      </c>
      <c r="W57" s="82" t="str">
        <f t="shared" si="28"/>
        <v>库存过高</v>
      </c>
      <c r="X57" s="83" t="str">
        <f t="shared" si="29"/>
        <v>库存过高</v>
      </c>
      <c r="Y57" s="44">
        <f>IFERROR(SUMIF('3店辅助表'!K:K,B:B,'3店辅助表'!N:N),0)</f>
        <v>0</v>
      </c>
      <c r="Z57" s="44">
        <f>IFERROR(SUMIF('3店辅助表'!T:T,B:B,'3店辅助表'!W:W),0)</f>
        <v>0</v>
      </c>
      <c r="AA57" s="44">
        <f>IFERROR(SUMIF('3店辅助表'!AC:AC,B:B,'3店辅助表'!AF:AF),0)</f>
        <v>0</v>
      </c>
      <c r="AB57" s="91" t="str">
        <f>IFERROR(SUMIF('3店辅助表'!K:K,B:B,'3店辅助表'!N:N)/SUMIF('3店辅助表'!K:K,B:B,'3店辅助表'!O:O),"-")</f>
        <v>-</v>
      </c>
      <c r="AC57" s="91" t="str">
        <f>IFERROR(VLOOKUP(B:B,'[1]3店'!$B:$AB,27,0),"-")</f>
        <v>-</v>
      </c>
      <c r="AD57" s="92" t="str">
        <f t="shared" si="30"/>
        <v>-</v>
      </c>
      <c r="AE57" s="91" t="str">
        <f>IFERROR(SUMIF('3店辅助表'!T:T,B:B,'3店辅助表'!W:W)/SUMIF('3店辅助表'!T:T,B:B,'3店辅助表'!X:X),"-")</f>
        <v>-</v>
      </c>
      <c r="AF57" s="91" t="str">
        <f>IFERROR(SUMIF('3店辅助表'!AC:AC,B:B,'3店辅助表'!AF:AF)/SUMIF('3店辅助表'!AC:AC,B:B,'3店辅助表'!AG:AG),"-")</f>
        <v>-</v>
      </c>
      <c r="AG57" s="99">
        <f>IFERROR(AK57/((SUMIF('3店辅助表'!AT:AT,B:B,'3店辅助表'!AU:AU)+M57)/2),"-")</f>
        <v>0.0483870967741935</v>
      </c>
      <c r="AH57" s="99">
        <f>IFERROR(AL57/((SUMIF('3店辅助表'!AW:AW,B:B,'3店辅助表'!AX:AX)+M57)/2),"-")</f>
        <v>0.123809523809524</v>
      </c>
      <c r="AI57" s="100">
        <f>IFERROR((SUMIF('3店辅助表'!AP:AP,B:B,'3店辅助表'!AR:AR)-SUMIF('3店辅助表'!AP:AP,B:B,'3店辅助表'!AR:AR)*0.15-(L57+IFERROR(VLOOKUP(B:B,'3店辅助表'!AZ:BA,2,0),0))*O57-IF(AN:AN="US",6.85,4.9)*(Z57+4.27*O57))/SUMIF('3店辅助表'!AP:AP,B:B,'3店辅助表'!AR:AR),"-")</f>
        <v>0.304156537400181</v>
      </c>
      <c r="AJ57" s="100">
        <f t="shared" si="31"/>
        <v>0.0376574760590701</v>
      </c>
      <c r="AK57" s="101">
        <f t="shared" si="32"/>
        <v>82.2</v>
      </c>
      <c r="AL57" s="101">
        <f t="shared" si="33"/>
        <v>178.1</v>
      </c>
      <c r="AM57" s="1" t="str">
        <f>VLOOKUP(B:B,'3店辅助表'!AZ:AZ,1,FALSE)</f>
        <v>Y3013-DG+Y3014</v>
      </c>
      <c r="AN57" t="str">
        <f>VLOOKUP(B:B,'3店辅助表'!AZ:BB,3,FALSE)</f>
        <v>US</v>
      </c>
    </row>
    <row r="58" customHeight="1" spans="1:40">
      <c r="A58" s="58" t="str">
        <f>INDEX('[1]3店'!$A:$A,MATCH(B:B,'[1]3店'!$B:$B,0))</f>
        <v>欣彤</v>
      </c>
      <c r="B58" s="43" t="s">
        <v>750</v>
      </c>
      <c r="C58" s="43" t="s">
        <v>751</v>
      </c>
      <c r="D58" s="59"/>
      <c r="E58" s="43" t="s">
        <v>752</v>
      </c>
      <c r="F58" s="43">
        <v>113</v>
      </c>
      <c r="G58" s="43">
        <v>0</v>
      </c>
      <c r="H58" s="43">
        <v>193</v>
      </c>
      <c r="I58" s="43">
        <v>131</v>
      </c>
      <c r="J58" s="43">
        <v>0</v>
      </c>
      <c r="K58" s="63">
        <f t="shared" si="23"/>
        <v>437</v>
      </c>
      <c r="L58" s="124">
        <f>VLOOKUP($B:$B,'[1]3店'!$B:$L,11,0)</f>
        <v>13.7</v>
      </c>
      <c r="M58" s="44">
        <f t="shared" si="12"/>
        <v>5986.9</v>
      </c>
      <c r="N58" s="65">
        <f>IFERROR(VLOOKUP(B:B,'3店辅助表'!B:C,2,FALSE),0)</f>
        <v>22</v>
      </c>
      <c r="O58" s="65">
        <f>IFERROR(VLOOKUP(B:B,'3店辅助表'!E:F,2,FALSE),0)</f>
        <v>31</v>
      </c>
      <c r="P58" s="65">
        <f>IFERROR(VLOOKUP(B:B,'3店辅助表'!H:I,2,FALSE),0)</f>
        <v>55</v>
      </c>
      <c r="Q58" s="65">
        <f>IFERROR(VLOOKUP(B:B,'[1]3店'!$B:$N,13,FALSE),0)</f>
        <v>7</v>
      </c>
      <c r="R58" s="79">
        <f t="shared" si="24"/>
        <v>15</v>
      </c>
      <c r="S58" s="80">
        <f t="shared" si="25"/>
        <v>186.146044624746</v>
      </c>
      <c r="T58" s="44">
        <f t="shared" si="26"/>
        <v>6.20486815415822</v>
      </c>
      <c r="U58" s="44">
        <f>IFERROR(VLOOKUP($B:$B,'[1]3店'!$B:$T,19,0),"-")</f>
        <v>6.62068965517241</v>
      </c>
      <c r="V58" s="81">
        <f t="shared" si="27"/>
        <v>-0.41582150101419</v>
      </c>
      <c r="W58" s="82" t="str">
        <f t="shared" si="28"/>
        <v>库存过高</v>
      </c>
      <c r="X58" s="83" t="str">
        <f t="shared" si="29"/>
        <v>库存过高</v>
      </c>
      <c r="Y58" s="44">
        <f>IFERROR(SUMIF('3店辅助表'!K:K,B:B,'3店辅助表'!N:N),0)</f>
        <v>0</v>
      </c>
      <c r="Z58" s="44">
        <f>IFERROR(SUMIF('3店辅助表'!T:T,B:B,'3店辅助表'!W:W),0)</f>
        <v>0</v>
      </c>
      <c r="AA58" s="44">
        <f>IFERROR(SUMIF('3店辅助表'!AC:AC,B:B,'3店辅助表'!AF:AF),0)</f>
        <v>0</v>
      </c>
      <c r="AB58" s="91" t="str">
        <f>IFERROR(SUMIF('3店辅助表'!K:K,B:B,'3店辅助表'!N:N)/SUMIF('3店辅助表'!K:K,B:B,'3店辅助表'!O:O),"-")</f>
        <v>-</v>
      </c>
      <c r="AC58" s="91" t="str">
        <f>IFERROR(VLOOKUP(B:B,'[1]3店'!$B:$AB,27,0),"-")</f>
        <v>-</v>
      </c>
      <c r="AD58" s="92" t="str">
        <f t="shared" si="30"/>
        <v>-</v>
      </c>
      <c r="AE58" s="91" t="str">
        <f>IFERROR(SUMIF('3店辅助表'!T:T,B:B,'3店辅助表'!W:W)/SUMIF('3店辅助表'!T:T,B:B,'3店辅助表'!X:X),"-")</f>
        <v>-</v>
      </c>
      <c r="AF58" s="91" t="str">
        <f>IFERROR(SUMIF('3店辅助表'!AC:AC,B:B,'3店辅助表'!AF:AF)/SUMIF('3店辅助表'!AC:AC,B:B,'3店辅助表'!AG:AG),"-")</f>
        <v>-</v>
      </c>
      <c r="AG58" s="99">
        <f>IFERROR(AK58/((SUMIF('3店辅助表'!AT:AT,B:B,'3店辅助表'!AU:AU)+M58)/2),"-")</f>
        <v>0.0634920634920635</v>
      </c>
      <c r="AH58" s="99">
        <f>IFERROR(AL58/((SUMIF('3店辅助表'!AW:AW,B:B,'3店辅助表'!AX:AX)+M58)/2),"-")</f>
        <v>0.135667396061269</v>
      </c>
      <c r="AI58" s="100">
        <f>IFERROR((SUMIF('3店辅助表'!AP:AP,B:B,'3店辅助表'!AR:AR)-SUMIF('3店辅助表'!AP:AP,B:B,'3店辅助表'!AR:AR)*0.15-(L58+IFERROR(VLOOKUP(B:B,'3店辅助表'!AZ:BA,2,0),0))*O58-IF(AN:AN="US",6.85,4.9)*(Z58+4.27*O58))/SUMIF('3店辅助表'!AP:AP,B:B,'3店辅助表'!AR:AR),"-")</f>
        <v>0.307434237585828</v>
      </c>
      <c r="AJ58" s="100">
        <f t="shared" si="31"/>
        <v>0.0417088024733508</v>
      </c>
      <c r="AK58" s="101">
        <f t="shared" si="32"/>
        <v>301.4</v>
      </c>
      <c r="AL58" s="101">
        <f t="shared" si="33"/>
        <v>424.7</v>
      </c>
      <c r="AM58" s="1" t="str">
        <f>VLOOKUP(B:B,'3店辅助表'!AZ:AZ,1,FALSE)</f>
        <v>Y3013-NB+Y3014</v>
      </c>
      <c r="AN58" t="str">
        <f>VLOOKUP(B:B,'3店辅助表'!AZ:BB,3,FALSE)</f>
        <v>US</v>
      </c>
    </row>
    <row r="59" customHeight="1" spans="1:40">
      <c r="A59" s="58" t="str">
        <f>INDEX('[1]3店'!$A:$A,MATCH(B:B,'[1]3店'!$B:$B,0))</f>
        <v>欣彤</v>
      </c>
      <c r="B59" s="43" t="s">
        <v>753</v>
      </c>
      <c r="C59" s="43" t="s">
        <v>754</v>
      </c>
      <c r="D59" s="59"/>
      <c r="E59" s="43" t="s">
        <v>755</v>
      </c>
      <c r="F59" s="43">
        <v>25</v>
      </c>
      <c r="G59" s="43">
        <v>1</v>
      </c>
      <c r="H59" s="43">
        <v>0</v>
      </c>
      <c r="I59" s="43">
        <v>64</v>
      </c>
      <c r="J59" s="43">
        <v>0</v>
      </c>
      <c r="K59" s="63">
        <f t="shared" si="23"/>
        <v>90</v>
      </c>
      <c r="L59" s="124">
        <f>VLOOKUP($B:$B,'[1]3店'!$B:$L,11,0)</f>
        <v>13.7</v>
      </c>
      <c r="M59" s="44">
        <f t="shared" si="12"/>
        <v>1233</v>
      </c>
      <c r="N59" s="65">
        <f>IFERROR(VLOOKUP(B:B,'3店辅助表'!B:C,2,FALSE),0)</f>
        <v>5</v>
      </c>
      <c r="O59" s="65">
        <f>IFERROR(VLOOKUP(B:B,'3店辅助表'!E:F,2,FALSE),0)</f>
        <v>11</v>
      </c>
      <c r="P59" s="65">
        <f>IFERROR(VLOOKUP(B:B,'3店辅助表'!H:I,2,FALSE),0)</f>
        <v>31</v>
      </c>
      <c r="Q59" s="65">
        <f>IFERROR(VLOOKUP(B:B,'[1]3店'!$B:$N,13,FALSE),0)</f>
        <v>6</v>
      </c>
      <c r="R59" s="79">
        <f t="shared" si="24"/>
        <v>-1</v>
      </c>
      <c r="S59" s="80">
        <f t="shared" si="25"/>
        <v>108.829174664107</v>
      </c>
      <c r="T59" s="44">
        <f t="shared" si="26"/>
        <v>3.62763915547025</v>
      </c>
      <c r="U59" s="44">
        <f>IFERROR(VLOOKUP($B:$B,'[1]3店'!$B:$T,19,0),"-")</f>
        <v>4.54885993485342</v>
      </c>
      <c r="V59" s="81">
        <f t="shared" si="27"/>
        <v>-0.92122077938317</v>
      </c>
      <c r="W59" s="82" t="str">
        <f t="shared" si="28"/>
        <v>库存过高</v>
      </c>
      <c r="X59" s="83" t="str">
        <f t="shared" si="29"/>
        <v>库存过高</v>
      </c>
      <c r="Y59" s="44">
        <f>IFERROR(SUMIF('3店辅助表'!K:K,B:B,'3店辅助表'!N:N),0)</f>
        <v>0</v>
      </c>
      <c r="Z59" s="44">
        <f>IFERROR(SUMIF('3店辅助表'!T:T,B:B,'3店辅助表'!W:W),0)</f>
        <v>0</v>
      </c>
      <c r="AA59" s="44">
        <f>IFERROR(SUMIF('3店辅助表'!AC:AC,B:B,'3店辅助表'!AF:AF),0)</f>
        <v>0</v>
      </c>
      <c r="AB59" s="91" t="str">
        <f>IFERROR(SUMIF('3店辅助表'!K:K,B:B,'3店辅助表'!N:N)/SUMIF('3店辅助表'!K:K,B:B,'3店辅助表'!O:O),"-")</f>
        <v>-</v>
      </c>
      <c r="AC59" s="91" t="str">
        <f>IFERROR(VLOOKUP(B:B,'[1]3店'!$B:$AB,27,0),"-")</f>
        <v>-</v>
      </c>
      <c r="AD59" s="92" t="str">
        <f t="shared" si="30"/>
        <v>-</v>
      </c>
      <c r="AE59" s="91" t="str">
        <f>IFERROR(SUMIF('3店辅助表'!T:T,B:B,'3店辅助表'!W:W)/SUMIF('3店辅助表'!T:T,B:B,'3店辅助表'!X:X),"-")</f>
        <v>-</v>
      </c>
      <c r="AF59" s="91" t="str">
        <f>IFERROR(SUMIF('3店辅助表'!AC:AC,B:B,'3店辅助表'!AF:AF)/SUMIF('3店辅助表'!AC:AC,B:B,'3店辅助表'!AG:AG),"-")</f>
        <v>-</v>
      </c>
      <c r="AG59" s="99">
        <f>IFERROR(AK59/((SUMIF('3店辅助表'!AT:AT,B:B,'3店辅助表'!AU:AU)+M59)/2),"-")</f>
        <v>0.0448430493273543</v>
      </c>
      <c r="AH59" s="99">
        <f>IFERROR(AL59/((SUMIF('3店辅助表'!AW:AW,B:B,'3店辅助表'!AX:AX)+M59)/2),"-")</f>
        <v>0.121546961325967</v>
      </c>
      <c r="AI59" s="100">
        <f>IFERROR((SUMIF('3店辅助表'!AP:AP,B:B,'3店辅助表'!AR:AR)-SUMIF('3店辅助表'!AP:AP,B:B,'3店辅助表'!AR:AR)*0.15-(L59+IFERROR(VLOOKUP(B:B,'3店辅助表'!AZ:BA,2,0),0))*O59-IF(AN:AN="US",6.85,4.9)*(Z59+4.27*O59))/SUMIF('3店辅助表'!AP:AP,B:B,'3店辅助表'!AR:AR),"-")</f>
        <v>0.312972640380304</v>
      </c>
      <c r="AJ59" s="100">
        <f t="shared" si="31"/>
        <v>0.0380408734163905</v>
      </c>
      <c r="AK59" s="101">
        <f t="shared" si="32"/>
        <v>68.5</v>
      </c>
      <c r="AL59" s="101">
        <f t="shared" si="33"/>
        <v>150.7</v>
      </c>
      <c r="AM59" s="1" t="str">
        <f>VLOOKUP(B:B,'3店辅助表'!AZ:AZ,1,FALSE)</f>
        <v>Y3013-OR+Y3014</v>
      </c>
      <c r="AN59" t="str">
        <f>VLOOKUP(B:B,'3店辅助表'!AZ:BB,3,FALSE)</f>
        <v>US</v>
      </c>
    </row>
    <row r="60" customHeight="1" spans="1:40">
      <c r="A60" s="58" t="str">
        <f>INDEX('[1]3店'!$A:$A,MATCH(B:B,'[1]3店'!$B:$B,0))</f>
        <v>欣彤</v>
      </c>
      <c r="B60" s="43" t="s">
        <v>756</v>
      </c>
      <c r="C60" s="43" t="s">
        <v>757</v>
      </c>
      <c r="D60" s="59"/>
      <c r="E60" s="43" t="s">
        <v>758</v>
      </c>
      <c r="F60" s="43">
        <v>26</v>
      </c>
      <c r="G60" s="43">
        <v>0</v>
      </c>
      <c r="H60" s="43">
        <v>0</v>
      </c>
      <c r="I60" s="43">
        <v>1</v>
      </c>
      <c r="J60" s="43">
        <v>24</v>
      </c>
      <c r="K60" s="63">
        <f t="shared" si="23"/>
        <v>51</v>
      </c>
      <c r="L60" s="124">
        <f>VLOOKUP($B:$B,'[1]3店'!$B:$L,11,0)</f>
        <v>13.7</v>
      </c>
      <c r="M60" s="44">
        <f t="shared" si="12"/>
        <v>698.7</v>
      </c>
      <c r="N60" s="65">
        <f>IFERROR(VLOOKUP(B:B,'3店辅助表'!B:C,2,FALSE),0)</f>
        <v>8</v>
      </c>
      <c r="O60" s="65">
        <f>IFERROR(VLOOKUP(B:B,'3店辅助表'!E:F,2,FALSE),0)</f>
        <v>20</v>
      </c>
      <c r="P60" s="65">
        <f>IFERROR(VLOOKUP(B:B,'3店辅助表'!H:I,2,FALSE),0)</f>
        <v>36</v>
      </c>
      <c r="Q60" s="65">
        <f>IFERROR(VLOOKUP(B:B,'[1]3店'!$B:$N,13,FALSE),0)</f>
        <v>11</v>
      </c>
      <c r="R60" s="79">
        <f t="shared" si="24"/>
        <v>-3</v>
      </c>
      <c r="S60" s="80">
        <f t="shared" si="25"/>
        <v>41.619170984456</v>
      </c>
      <c r="T60" s="44">
        <f t="shared" si="26"/>
        <v>1.38730569948187</v>
      </c>
      <c r="U60" s="44">
        <f>IFERROR(VLOOKUP($B:$B,'[1]3店'!$B:$T,19,0),"-")</f>
        <v>1.28752642706131</v>
      </c>
      <c r="V60" s="81">
        <f t="shared" si="27"/>
        <v>0.0997792724205599</v>
      </c>
      <c r="W60" s="82" t="str">
        <f t="shared" si="28"/>
        <v>正常</v>
      </c>
      <c r="X60" s="83" t="str">
        <f t="shared" si="29"/>
        <v>正常</v>
      </c>
      <c r="Y60" s="44">
        <f>IFERROR(SUMIF('3店辅助表'!K:K,B:B,'3店辅助表'!N:N),0)</f>
        <v>0</v>
      </c>
      <c r="Z60" s="44">
        <f>IFERROR(SUMIF('3店辅助表'!T:T,B:B,'3店辅助表'!W:W),0)</f>
        <v>0</v>
      </c>
      <c r="AA60" s="44">
        <f>IFERROR(SUMIF('3店辅助表'!AC:AC,B:B,'3店辅助表'!AF:AF),0)</f>
        <v>0</v>
      </c>
      <c r="AB60" s="91" t="str">
        <f>IFERROR(SUMIF('3店辅助表'!K:K,B:B,'3店辅助表'!N:N)/SUMIF('3店辅助表'!K:K,B:B,'3店辅助表'!O:O),"-")</f>
        <v>-</v>
      </c>
      <c r="AC60" s="91" t="str">
        <f>IFERROR(VLOOKUP(B:B,'[1]3店'!$B:$AB,27,0),"-")</f>
        <v>-</v>
      </c>
      <c r="AD60" s="92" t="str">
        <f t="shared" si="30"/>
        <v>-</v>
      </c>
      <c r="AE60" s="91" t="str">
        <f>IFERROR(SUMIF('3店辅助表'!T:T,B:B,'3店辅助表'!W:W)/SUMIF('3店辅助表'!T:T,B:B,'3店辅助表'!X:X),"-")</f>
        <v>-</v>
      </c>
      <c r="AF60" s="91" t="str">
        <f>IFERROR(SUMIF('3店辅助表'!AC:AC,B:B,'3店辅助表'!AF:AF)/SUMIF('3店辅助表'!AC:AC,B:B,'3店辅助表'!AG:AG),"-")</f>
        <v>-</v>
      </c>
      <c r="AG60" s="99">
        <f>IFERROR(AK60/((SUMIF('3店辅助表'!AT:AT,B:B,'3店辅助表'!AU:AU)+M60)/2),"-")</f>
        <v>0.146788990825688</v>
      </c>
      <c r="AH60" s="99">
        <f>IFERROR(AL60/((SUMIF('3店辅助表'!AW:AW,B:B,'3店辅助表'!AX:AX)+M60)/2),"-")</f>
        <v>0.454545454545455</v>
      </c>
      <c r="AI60" s="100">
        <f>IFERROR((SUMIF('3店辅助表'!AP:AP,B:B,'3店辅助表'!AR:AR)-SUMIF('3店辅助表'!AP:AP,B:B,'3店辅助表'!AR:AR)*0.15-(L60+IFERROR(VLOOKUP(B:B,'3店辅助表'!AZ:BA,2,0),0))*O60-IF(AN:AN="US",6.85,4.9)*(Z60+4.27*O60))/SUMIF('3店辅助表'!AP:AP,B:B,'3店辅助表'!AR:AR),"-")</f>
        <v>0.299006568763299</v>
      </c>
      <c r="AJ60" s="100">
        <f t="shared" si="31"/>
        <v>0.13591207671059</v>
      </c>
      <c r="AK60" s="101">
        <f t="shared" si="32"/>
        <v>109.6</v>
      </c>
      <c r="AL60" s="101">
        <f t="shared" si="33"/>
        <v>274</v>
      </c>
      <c r="AM60" s="1" t="str">
        <f>VLOOKUP(B:B,'3店辅助表'!AZ:AZ,1,FALSE)</f>
        <v>Y3013-TG+Y3014</v>
      </c>
      <c r="AN60" t="str">
        <f>VLOOKUP(B:B,'3店辅助表'!AZ:BB,3,FALSE)</f>
        <v>US</v>
      </c>
    </row>
    <row r="61" customHeight="1" spans="1:40">
      <c r="A61" s="58" t="str">
        <f>INDEX('[1]3店'!$A:$A,MATCH(B:B,'[1]3店'!$B:$B,0))</f>
        <v>欣彤</v>
      </c>
      <c r="B61" s="43" t="s">
        <v>759</v>
      </c>
      <c r="C61" s="43" t="s">
        <v>760</v>
      </c>
      <c r="D61" s="59"/>
      <c r="E61" s="43" t="s">
        <v>761</v>
      </c>
      <c r="F61" s="43">
        <v>108</v>
      </c>
      <c r="G61" s="43">
        <v>2</v>
      </c>
      <c r="H61" s="43">
        <v>0</v>
      </c>
      <c r="I61" s="43">
        <v>1</v>
      </c>
      <c r="J61" s="43">
        <v>0</v>
      </c>
      <c r="K61" s="63">
        <f t="shared" si="23"/>
        <v>111</v>
      </c>
      <c r="L61" s="124">
        <f>VLOOKUP($B:$B,'[1]3店'!$B:$L,11,0)</f>
        <v>13.9</v>
      </c>
      <c r="M61" s="44">
        <f t="shared" si="12"/>
        <v>1542.9</v>
      </c>
      <c r="N61" s="65">
        <f>IFERROR(VLOOKUP(B:B,'3店辅助表'!B:C,2,FALSE),0)</f>
        <v>1</v>
      </c>
      <c r="O61" s="65">
        <f>IFERROR(VLOOKUP(B:B,'3店辅助表'!E:F,2,FALSE),0)</f>
        <v>12</v>
      </c>
      <c r="P61" s="65">
        <f>IFERROR(VLOOKUP(B:B,'3店辅助表'!H:I,2,FALSE),0)</f>
        <v>35</v>
      </c>
      <c r="Q61" s="65">
        <f>IFERROR(VLOOKUP(B:B,'[1]3店'!$B:$N,13,FALSE),0)</f>
        <v>9</v>
      </c>
      <c r="R61" s="79">
        <f t="shared" si="24"/>
        <v>-8</v>
      </c>
      <c r="S61" s="80">
        <f t="shared" si="25"/>
        <v>157.855530474041</v>
      </c>
      <c r="T61" s="44">
        <f t="shared" si="26"/>
        <v>5.26185101580135</v>
      </c>
      <c r="U61" s="44">
        <f>IFERROR(VLOOKUP($B:$B,'[1]3店'!$B:$T,19,0),"-")</f>
        <v>2.59628008752735</v>
      </c>
      <c r="V61" s="81">
        <f t="shared" si="27"/>
        <v>2.665570928274</v>
      </c>
      <c r="W61" s="82" t="str">
        <f t="shared" si="28"/>
        <v>库存过高</v>
      </c>
      <c r="X61" s="83" t="str">
        <f t="shared" si="29"/>
        <v>库存过高</v>
      </c>
      <c r="Y61" s="44">
        <f>IFERROR(SUMIF('3店辅助表'!K:K,B:B,'3店辅助表'!N:N),0)</f>
        <v>13.41</v>
      </c>
      <c r="Z61" s="44">
        <f>IFERROR(SUMIF('3店辅助表'!T:T,B:B,'3店辅助表'!W:W),0)</f>
        <v>34.31</v>
      </c>
      <c r="AA61" s="44">
        <f>IFERROR(SUMIF('3店辅助表'!AC:AC,B:B,'3店辅助表'!AF:AF),0)</f>
        <v>79.28</v>
      </c>
      <c r="AB61" s="91">
        <f>IFERROR(SUMIF('3店辅助表'!K:K,B:B,'3店辅助表'!N:N)/SUMIF('3店辅助表'!K:K,B:B,'3店辅助表'!O:O),"-")</f>
        <v>0.258083140877598</v>
      </c>
      <c r="AC61" s="91">
        <f>IFERROR(VLOOKUP(B:B,'[1]3店'!$B:$AB,27,0),"-")</f>
        <v>0.244666842243877</v>
      </c>
      <c r="AD61" s="92">
        <f t="shared" si="30"/>
        <v>0.013416298633721</v>
      </c>
      <c r="AE61" s="91">
        <f>IFERROR(SUMIF('3店辅助表'!T:T,B:B,'3店辅助表'!W:W)/SUMIF('3店辅助表'!T:T,B:B,'3店辅助表'!X:X),"-")</f>
        <v>0.243523316062176</v>
      </c>
      <c r="AF61" s="91">
        <f>IFERROR(SUMIF('3店辅助表'!AC:AC,B:B,'3店辅助表'!AF:AF)/SUMIF('3店辅助表'!AC:AC,B:B,'3店辅助表'!AG:AG),"-")</f>
        <v>0.204488006190353</v>
      </c>
      <c r="AG61" s="99">
        <f>IFERROR(AK61/((SUMIF('3店辅助表'!AT:AT,B:B,'3店辅助表'!AU:AU)+M61)/2),"-")</f>
        <v>0.00892857142857143</v>
      </c>
      <c r="AH61" s="99">
        <f>IFERROR(AL61/((SUMIF('3店辅助表'!AW:AW,B:B,'3店辅助表'!AX:AX)+M61)/2),"-")</f>
        <v>0.096</v>
      </c>
      <c r="AI61" s="100">
        <f>IFERROR((SUMIF('3店辅助表'!AP:AP,B:B,'3店辅助表'!AR:AR)-SUMIF('3店辅助表'!AP:AP,B:B,'3店辅助表'!AR:AR)*0.15-(L61+IFERROR(VLOOKUP(B:B,'3店辅助表'!AZ:BA,2,0),0))*O61-IF(AN:AN="US",6.85,4.9)*(Z61+4.27*O61))/SUMIF('3店辅助表'!AP:AP,B:B,'3店辅助表'!AR:AR),"-")</f>
        <v>0.0842867122661709</v>
      </c>
      <c r="AJ61" s="100">
        <f t="shared" si="31"/>
        <v>0.00809152437755241</v>
      </c>
      <c r="AK61" s="101">
        <f t="shared" si="32"/>
        <v>13.9</v>
      </c>
      <c r="AL61" s="101">
        <f t="shared" si="33"/>
        <v>166.8</v>
      </c>
      <c r="AM61" s="1" t="str">
        <f>VLOOKUP(B:B,'3店辅助表'!AZ:AZ,1,FALSE)</f>
        <v>Y3015-BL+Y3016+Y3017</v>
      </c>
      <c r="AN61" t="str">
        <f>VLOOKUP(B:B,'3店辅助表'!AZ:BB,3,FALSE)</f>
        <v>US</v>
      </c>
    </row>
    <row r="62" customHeight="1" spans="1:40">
      <c r="A62" s="58" t="str">
        <f>INDEX('[1]3店'!$A:$A,MATCH(B:B,'[1]3店'!$B:$B,0))</f>
        <v>欣彤</v>
      </c>
      <c r="B62" s="43" t="s">
        <v>762</v>
      </c>
      <c r="C62" s="43" t="s">
        <v>763</v>
      </c>
      <c r="D62" s="59"/>
      <c r="E62" s="43" t="s">
        <v>764</v>
      </c>
      <c r="F62" s="43">
        <v>40</v>
      </c>
      <c r="G62" s="43">
        <v>0</v>
      </c>
      <c r="H62" s="43">
        <v>0</v>
      </c>
      <c r="I62" s="43">
        <v>0</v>
      </c>
      <c r="J62" s="43">
        <v>0</v>
      </c>
      <c r="K62" s="63">
        <f t="shared" si="23"/>
        <v>40</v>
      </c>
      <c r="L62" s="124">
        <f>VLOOKUP($B:$B,'[1]3店'!$B:$L,11,0)</f>
        <v>13.9</v>
      </c>
      <c r="M62" s="44">
        <f t="shared" si="12"/>
        <v>556</v>
      </c>
      <c r="N62" s="65">
        <f>IFERROR(VLOOKUP(B:B,'3店辅助表'!B:C,2,FALSE),0)</f>
        <v>0</v>
      </c>
      <c r="O62" s="65">
        <f>IFERROR(VLOOKUP(B:B,'3店辅助表'!E:F,2,FALSE),0)</f>
        <v>2</v>
      </c>
      <c r="P62" s="65">
        <f>IFERROR(VLOOKUP(B:B,'3店辅助表'!H:I,2,FALSE),0)</f>
        <v>9</v>
      </c>
      <c r="Q62" s="65">
        <f>IFERROR(VLOOKUP(B:B,'[1]3店'!$B:$N,13,FALSE),0)</f>
        <v>2</v>
      </c>
      <c r="R62" s="79">
        <f t="shared" si="24"/>
        <v>-2</v>
      </c>
      <c r="S62" s="80">
        <f t="shared" si="25"/>
        <v>276.923076923077</v>
      </c>
      <c r="T62" s="44">
        <f t="shared" si="26"/>
        <v>9.23076923076923</v>
      </c>
      <c r="U62" s="44">
        <f>IFERROR(VLOOKUP($B:$B,'[1]3店'!$B:$T,19,0),"-")</f>
        <v>4.05797101449275</v>
      </c>
      <c r="V62" s="81">
        <f t="shared" si="27"/>
        <v>5.17279821627648</v>
      </c>
      <c r="W62" s="82" t="str">
        <f t="shared" si="28"/>
        <v>有库存无销量</v>
      </c>
      <c r="X62" s="83" t="str">
        <f t="shared" si="29"/>
        <v>库存过高</v>
      </c>
      <c r="Y62" s="44">
        <f>IFERROR(SUMIF('3店辅助表'!K:K,B:B,'3店辅助表'!N:N),0)</f>
        <v>0</v>
      </c>
      <c r="Z62" s="44">
        <f>IFERROR(SUMIF('3店辅助表'!T:T,B:B,'3店辅助表'!W:W),0)</f>
        <v>0</v>
      </c>
      <c r="AA62" s="44">
        <f>IFERROR(SUMIF('3店辅助表'!AC:AC,B:B,'3店辅助表'!AF:AF),0)</f>
        <v>0</v>
      </c>
      <c r="AB62" s="91" t="str">
        <f>IFERROR(SUMIF('3店辅助表'!K:K,B:B,'3店辅助表'!N:N)/SUMIF('3店辅助表'!K:K,B:B,'3店辅助表'!O:O),"-")</f>
        <v>-</v>
      </c>
      <c r="AC62" s="91" t="str">
        <f>IFERROR(VLOOKUP(B:B,'[1]3店'!$B:$AB,27,0),"-")</f>
        <v>-</v>
      </c>
      <c r="AD62" s="92" t="str">
        <f t="shared" si="30"/>
        <v>-</v>
      </c>
      <c r="AE62" s="91" t="str">
        <f>IFERROR(SUMIF('3店辅助表'!T:T,B:B,'3店辅助表'!W:W)/SUMIF('3店辅助表'!T:T,B:B,'3店辅助表'!X:X),"-")</f>
        <v>-</v>
      </c>
      <c r="AF62" s="91" t="str">
        <f>IFERROR(SUMIF('3店辅助表'!AC:AC,B:B,'3店辅助表'!AF:AF)/SUMIF('3店辅助表'!AC:AC,B:B,'3店辅助表'!AG:AG),"-")</f>
        <v>-</v>
      </c>
      <c r="AG62" s="99">
        <f>IFERROR(AK62/((SUMIF('3店辅助表'!AT:AT,B:B,'3店辅助表'!AU:AU)+M62)/2),"-")</f>
        <v>0</v>
      </c>
      <c r="AH62" s="99">
        <f>IFERROR(AL62/((SUMIF('3店辅助表'!AW:AW,B:B,'3店辅助表'!AX:AX)+M62)/2),"-")</f>
        <v>0.0449438202247191</v>
      </c>
      <c r="AI62" s="100">
        <f>IFERROR((SUMIF('3店辅助表'!AP:AP,B:B,'3店辅助表'!AR:AR)-SUMIF('3店辅助表'!AP:AP,B:B,'3店辅助表'!AR:AR)*0.15-(L62+IFERROR(VLOOKUP(B:B,'3店辅助表'!AZ:BA,2,0),0))*O62-IF(AN:AN="US",6.85,4.9)*(Z62+4.27*O62))/SUMIF('3店辅助表'!AP:AP,B:B,'3店辅助表'!AR:AR),"-")</f>
        <v>0.269644107315707</v>
      </c>
      <c r="AJ62" s="100">
        <f t="shared" si="31"/>
        <v>0.012118836283852</v>
      </c>
      <c r="AK62" s="101">
        <f t="shared" si="32"/>
        <v>0</v>
      </c>
      <c r="AL62" s="101">
        <f t="shared" si="33"/>
        <v>27.8</v>
      </c>
      <c r="AM62" s="1" t="str">
        <f>VLOOKUP(B:B,'3店辅助表'!AZ:AZ,1,FALSE)</f>
        <v>Y3015-NB+Y3016+Y3017</v>
      </c>
      <c r="AN62" t="str">
        <f>VLOOKUP(B:B,'3店辅助表'!AZ:BB,3,FALSE)</f>
        <v>US</v>
      </c>
    </row>
    <row r="63" customHeight="1" spans="1:40">
      <c r="A63" s="58" t="str">
        <f>INDEX('[1]3店'!$A:$A,MATCH(B:B,'[1]3店'!$B:$B,0))</f>
        <v>欣彤</v>
      </c>
      <c r="B63" s="43" t="s">
        <v>765</v>
      </c>
      <c r="C63" s="43" t="s">
        <v>766</v>
      </c>
      <c r="D63" s="59"/>
      <c r="E63" s="43" t="s">
        <v>767</v>
      </c>
      <c r="F63" s="43">
        <v>21</v>
      </c>
      <c r="G63" s="43">
        <v>1</v>
      </c>
      <c r="H63" s="43">
        <v>0</v>
      </c>
      <c r="I63" s="43">
        <v>0</v>
      </c>
      <c r="J63" s="43">
        <v>0</v>
      </c>
      <c r="K63" s="63">
        <f t="shared" si="23"/>
        <v>22</v>
      </c>
      <c r="L63" s="124">
        <f>VLOOKUP($B:$B,'[1]3店'!$B:$L,11,0)</f>
        <v>13.9</v>
      </c>
      <c r="M63" s="44">
        <f t="shared" si="12"/>
        <v>305.8</v>
      </c>
      <c r="N63" s="65">
        <f>IFERROR(VLOOKUP(B:B,'3店辅助表'!B:C,2,FALSE),0)</f>
        <v>3</v>
      </c>
      <c r="O63" s="65">
        <f>IFERROR(VLOOKUP(B:B,'3店辅助表'!E:F,2,FALSE),0)</f>
        <v>6</v>
      </c>
      <c r="P63" s="65">
        <f>IFERROR(VLOOKUP(B:B,'3店辅助表'!H:I,2,FALSE),0)</f>
        <v>9</v>
      </c>
      <c r="Q63" s="65">
        <f>IFERROR(VLOOKUP(B:B,'[1]3店'!$B:$N,13,FALSE),0)</f>
        <v>3</v>
      </c>
      <c r="R63" s="79">
        <f t="shared" si="24"/>
        <v>0</v>
      </c>
      <c r="S63" s="80">
        <f t="shared" si="25"/>
        <v>58.4810126582278</v>
      </c>
      <c r="T63" s="44">
        <f t="shared" si="26"/>
        <v>1.94936708860759</v>
      </c>
      <c r="U63" s="44">
        <f>IFERROR(VLOOKUP($B:$B,'[1]3店'!$B:$T,19,0),"-")</f>
        <v>3.01657458563536</v>
      </c>
      <c r="V63" s="81">
        <f t="shared" si="27"/>
        <v>-1.06720749702777</v>
      </c>
      <c r="W63" s="82" t="str">
        <f t="shared" si="28"/>
        <v>库存过高</v>
      </c>
      <c r="X63" s="83" t="str">
        <f t="shared" si="29"/>
        <v>库存过高</v>
      </c>
      <c r="Y63" s="44">
        <f>IFERROR(SUMIF('3店辅助表'!K:K,B:B,'3店辅助表'!N:N),0)</f>
        <v>0</v>
      </c>
      <c r="Z63" s="44">
        <f>IFERROR(SUMIF('3店辅助表'!T:T,B:B,'3店辅助表'!W:W),0)</f>
        <v>0</v>
      </c>
      <c r="AA63" s="44">
        <f>IFERROR(SUMIF('3店辅助表'!AC:AC,B:B,'3店辅助表'!AF:AF),0)</f>
        <v>0</v>
      </c>
      <c r="AB63" s="91" t="str">
        <f>IFERROR(SUMIF('3店辅助表'!K:K,B:B,'3店辅助表'!N:N)/SUMIF('3店辅助表'!K:K,B:B,'3店辅助表'!O:O),"-")</f>
        <v>-</v>
      </c>
      <c r="AC63" s="91" t="str">
        <f>IFERROR(VLOOKUP(B:B,'[1]3店'!$B:$AB,27,0),"-")</f>
        <v>-</v>
      </c>
      <c r="AD63" s="92" t="str">
        <f t="shared" si="30"/>
        <v>-</v>
      </c>
      <c r="AE63" s="91" t="str">
        <f>IFERROR(SUMIF('3店辅助表'!T:T,B:B,'3店辅助表'!W:W)/SUMIF('3店辅助表'!T:T,B:B,'3店辅助表'!X:X),"-")</f>
        <v>-</v>
      </c>
      <c r="AF63" s="91" t="str">
        <f>IFERROR(SUMIF('3店辅助表'!AC:AC,B:B,'3店辅助表'!AF:AF)/SUMIF('3店辅助表'!AC:AC,B:B,'3店辅助表'!AG:AG),"-")</f>
        <v>-</v>
      </c>
      <c r="AG63" s="99">
        <f>IFERROR(AK63/((SUMIF('3店辅助表'!AT:AT,B:B,'3店辅助表'!AU:AU)+M63)/2),"-")</f>
        <v>0.125</v>
      </c>
      <c r="AH63" s="99">
        <f>IFERROR(AL63/((SUMIF('3店辅助表'!AW:AW,B:B,'3店辅助表'!AX:AX)+M63)/2),"-")</f>
        <v>0.222222222222222</v>
      </c>
      <c r="AI63" s="100">
        <f>IFERROR((SUMIF('3店辅助表'!AP:AP,B:B,'3店辅助表'!AR:AR)-SUMIF('3店辅助表'!AP:AP,B:B,'3店辅助表'!AR:AR)*0.15-(L63+IFERROR(VLOOKUP(B:B,'3店辅助表'!AZ:BA,2,0),0))*O63-IF(AN:AN="US",6.85,4.9)*(Z63+4.27*O63))/SUMIF('3店辅助表'!AP:AP,B:B,'3店辅助表'!AR:AR),"-")</f>
        <v>0.328346622612566</v>
      </c>
      <c r="AJ63" s="100">
        <f t="shared" si="31"/>
        <v>0.0729659161361257</v>
      </c>
      <c r="AK63" s="101">
        <f t="shared" si="32"/>
        <v>41.7</v>
      </c>
      <c r="AL63" s="101">
        <f t="shared" si="33"/>
        <v>83.4</v>
      </c>
      <c r="AM63" s="1" t="str">
        <f>VLOOKUP(B:B,'3店辅助表'!AZ:AZ,1,FALSE)</f>
        <v>Y3015-OR+Y3016+Y3017</v>
      </c>
      <c r="AN63" t="str">
        <f>VLOOKUP(B:B,'3店辅助表'!AZ:BB,3,FALSE)</f>
        <v>US</v>
      </c>
    </row>
    <row r="64" customHeight="1" spans="1:40">
      <c r="A64" s="58" t="str">
        <f>INDEX('[1]3店'!$A:$A,MATCH(B:B,'[1]3店'!$B:$B,0))</f>
        <v>欣彤</v>
      </c>
      <c r="B64" s="43" t="s">
        <v>768</v>
      </c>
      <c r="C64" s="43" t="s">
        <v>769</v>
      </c>
      <c r="D64" s="59"/>
      <c r="E64" s="43" t="s">
        <v>770</v>
      </c>
      <c r="F64" s="43">
        <v>37</v>
      </c>
      <c r="G64" s="43">
        <v>1</v>
      </c>
      <c r="H64" s="43">
        <v>3</v>
      </c>
      <c r="I64" s="43">
        <v>5</v>
      </c>
      <c r="J64" s="43">
        <v>9</v>
      </c>
      <c r="K64" s="63">
        <f t="shared" si="23"/>
        <v>55</v>
      </c>
      <c r="L64" s="124">
        <f>VLOOKUP($B:$B,'[1]3店'!$B:$L,11,0)</f>
        <v>13.7</v>
      </c>
      <c r="M64" s="44">
        <f t="shared" si="12"/>
        <v>753.5</v>
      </c>
      <c r="N64" s="65">
        <f>IFERROR(VLOOKUP(B:B,'3店辅助表'!B:C,2,FALSE),0)</f>
        <v>12</v>
      </c>
      <c r="O64" s="65">
        <f>IFERROR(VLOOKUP(B:B,'3店辅助表'!E:F,2,FALSE),0)</f>
        <v>22</v>
      </c>
      <c r="P64" s="65">
        <f>IFERROR(VLOOKUP(B:B,'3店辅助表'!H:I,2,FALSE),0)</f>
        <v>42</v>
      </c>
      <c r="Q64" s="65">
        <f>IFERROR(VLOOKUP(B:B,'[1]3店'!$B:$N,13,FALSE),0)</f>
        <v>10</v>
      </c>
      <c r="R64" s="79">
        <f t="shared" si="24"/>
        <v>2</v>
      </c>
      <c r="S64" s="80">
        <f t="shared" si="25"/>
        <v>36.018711018711</v>
      </c>
      <c r="T64" s="44">
        <f t="shared" si="26"/>
        <v>1.2006237006237</v>
      </c>
      <c r="U64" s="44">
        <f>IFERROR(VLOOKUP($B:$B,'[1]3店'!$B:$T,19,0),"-")</f>
        <v>1.48986486486486</v>
      </c>
      <c r="V64" s="81">
        <f t="shared" si="27"/>
        <v>-0.28924116424116</v>
      </c>
      <c r="W64" s="82" t="str">
        <f t="shared" si="28"/>
        <v>正常</v>
      </c>
      <c r="X64" s="83" t="str">
        <f t="shared" si="29"/>
        <v>正常</v>
      </c>
      <c r="Y64" s="44">
        <f>IFERROR(SUMIF('3店辅助表'!K:K,B:B,'3店辅助表'!N:N),0)</f>
        <v>21.9</v>
      </c>
      <c r="Z64" s="44">
        <f>IFERROR(SUMIF('3店辅助表'!T:T,B:B,'3店辅助表'!W:W),0)</f>
        <v>41.69</v>
      </c>
      <c r="AA64" s="44">
        <f>IFERROR(SUMIF('3店辅助表'!AC:AC,B:B,'3店辅助表'!AF:AF),0)</f>
        <v>67.33</v>
      </c>
      <c r="AB64" s="91">
        <f>IFERROR(SUMIF('3店辅助表'!K:K,B:B,'3店辅助表'!N:N)/SUMIF('3店辅助表'!K:K,B:B,'3店辅助表'!O:O),"-")</f>
        <v>0.337182448036951</v>
      </c>
      <c r="AC64" s="91">
        <f>IFERROR(VLOOKUP(B:B,'[1]3店'!$B:$AB,27,0),"-")</f>
        <v>0.161862917398946</v>
      </c>
      <c r="AD64" s="92">
        <f t="shared" si="30"/>
        <v>0.175319530638005</v>
      </c>
      <c r="AE64" s="91">
        <f>IFERROR(SUMIF('3店辅助表'!T:T,B:B,'3店辅助表'!W:W)/SUMIF('3店辅助表'!T:T,B:B,'3店辅助表'!X:X),"-")</f>
        <v>0.233230769230769</v>
      </c>
      <c r="AF64" s="91">
        <f>IFERROR(SUMIF('3店辅助表'!AC:AC,B:B,'3店辅助表'!AF:AF)/SUMIF('3店辅助表'!AC:AC,B:B,'3店辅助表'!AG:AG),"-")</f>
        <v>0.227727795440709</v>
      </c>
      <c r="AG64" s="99">
        <f>IFERROR(AK64/((SUMIF('3店辅助表'!AT:AT,B:B,'3店辅助表'!AU:AU)+M64)/2),"-")</f>
        <v>0.203389830508475</v>
      </c>
      <c r="AH64" s="99">
        <f>IFERROR(AL64/((SUMIF('3店辅助表'!AW:AW,B:B,'3店辅助表'!AX:AX)+M64)/2),"-")</f>
        <v>0.458333333333333</v>
      </c>
      <c r="AI64" s="100">
        <f>IFERROR((SUMIF('3店辅助表'!AP:AP,B:B,'3店辅助表'!AR:AR)-SUMIF('3店辅助表'!AP:AP,B:B,'3店辅助表'!AR:AR)*0.15-(L64+IFERROR(VLOOKUP(B:B,'3店辅助表'!AZ:BA,2,0),0))*O64-IF(AN:AN="US",6.85,4.9)*(Z64+4.27*O64))/SUMIF('3店辅助表'!AP:AP,B:B,'3店辅助表'!AR:AR),"-")</f>
        <v>0.163857950436118</v>
      </c>
      <c r="AJ64" s="100">
        <f t="shared" si="31"/>
        <v>0.0751015606165539</v>
      </c>
      <c r="AK64" s="101">
        <f t="shared" si="32"/>
        <v>164.4</v>
      </c>
      <c r="AL64" s="101">
        <f t="shared" si="33"/>
        <v>301.4</v>
      </c>
      <c r="AM64" s="1" t="str">
        <f>VLOOKUP(B:B,'3店辅助表'!AZ:AZ,1,FALSE)</f>
        <v>Y3018-BL+Y3019</v>
      </c>
      <c r="AN64" t="str">
        <f>VLOOKUP(B:B,'3店辅助表'!AZ:BB,3,FALSE)</f>
        <v>US</v>
      </c>
    </row>
    <row r="65" customHeight="1" spans="1:40">
      <c r="A65" s="58" t="str">
        <f>INDEX('[1]3店'!$A:$A,MATCH(B:B,'[1]3店'!$B:$B,0))</f>
        <v>欣彤</v>
      </c>
      <c r="B65" s="43" t="s">
        <v>771</v>
      </c>
      <c r="C65" s="43" t="s">
        <v>772</v>
      </c>
      <c r="D65" s="59"/>
      <c r="E65" s="43" t="s">
        <v>773</v>
      </c>
      <c r="F65" s="43">
        <v>3</v>
      </c>
      <c r="G65" s="43">
        <v>0</v>
      </c>
      <c r="H65" s="43">
        <v>0</v>
      </c>
      <c r="I65" s="43">
        <v>10</v>
      </c>
      <c r="J65" s="43">
        <v>0</v>
      </c>
      <c r="K65" s="63">
        <f t="shared" si="23"/>
        <v>13</v>
      </c>
      <c r="L65" s="124">
        <f>VLOOKUP($B:$B,'[1]3店'!$B:$L,11,0)</f>
        <v>13.7</v>
      </c>
      <c r="M65" s="44">
        <f t="shared" si="12"/>
        <v>178.1</v>
      </c>
      <c r="N65" s="65">
        <f>IFERROR(VLOOKUP(B:B,'3店辅助表'!B:C,2,FALSE),0)</f>
        <v>0</v>
      </c>
      <c r="O65" s="65">
        <f>IFERROR(VLOOKUP(B:B,'3店辅助表'!E:F,2,FALSE),0)</f>
        <v>1</v>
      </c>
      <c r="P65" s="65">
        <f>IFERROR(VLOOKUP(B:B,'3店辅助表'!H:I,2,FALSE),0)</f>
        <v>6</v>
      </c>
      <c r="Q65" s="65">
        <f>IFERROR(VLOOKUP(B:B,'[1]3店'!$B:$N,13,FALSE),0)</f>
        <v>1</v>
      </c>
      <c r="R65" s="79">
        <f t="shared" si="24"/>
        <v>-1</v>
      </c>
      <c r="S65" s="80">
        <f t="shared" si="25"/>
        <v>146.25</v>
      </c>
      <c r="T65" s="44">
        <f t="shared" si="26"/>
        <v>4.875</v>
      </c>
      <c r="U65" s="44">
        <f>IFERROR(VLOOKUP($B:$B,'[1]3店'!$B:$T,19,0),"-")</f>
        <v>2.39473684210526</v>
      </c>
      <c r="V65" s="81">
        <f t="shared" si="27"/>
        <v>2.48026315789474</v>
      </c>
      <c r="W65" s="82" t="str">
        <f t="shared" si="28"/>
        <v>有库存无销量</v>
      </c>
      <c r="X65" s="83" t="str">
        <f t="shared" si="29"/>
        <v>库存过高</v>
      </c>
      <c r="Y65" s="44">
        <f>IFERROR(SUMIF('3店辅助表'!K:K,B:B,'3店辅助表'!N:N),0)</f>
        <v>0</v>
      </c>
      <c r="Z65" s="44">
        <f>IFERROR(SUMIF('3店辅助表'!T:T,B:B,'3店辅助表'!W:W),0)</f>
        <v>0</v>
      </c>
      <c r="AA65" s="44">
        <f>IFERROR(SUMIF('3店辅助表'!AC:AC,B:B,'3店辅助表'!AF:AF),0)</f>
        <v>0</v>
      </c>
      <c r="AB65" s="91" t="str">
        <f>IFERROR(SUMIF('3店辅助表'!K:K,B:B,'3店辅助表'!N:N)/SUMIF('3店辅助表'!K:K,B:B,'3店辅助表'!O:O),"-")</f>
        <v>-</v>
      </c>
      <c r="AC65" s="91" t="str">
        <f>IFERROR(VLOOKUP(B:B,'[1]3店'!$B:$AB,27,0),"-")</f>
        <v>-</v>
      </c>
      <c r="AD65" s="92" t="str">
        <f t="shared" si="30"/>
        <v>-</v>
      </c>
      <c r="AE65" s="91" t="str">
        <f>IFERROR(SUMIF('3店辅助表'!T:T,B:B,'3店辅助表'!W:W)/SUMIF('3店辅助表'!T:T,B:B,'3店辅助表'!X:X),"-")</f>
        <v>-</v>
      </c>
      <c r="AF65" s="91" t="str">
        <f>IFERROR(SUMIF('3店辅助表'!AC:AC,B:B,'3店辅助表'!AF:AF)/SUMIF('3店辅助表'!AC:AC,B:B,'3店辅助表'!AG:AG),"-")</f>
        <v>-</v>
      </c>
      <c r="AG65" s="99">
        <f>IFERROR(AK65/((SUMIF('3店辅助表'!AT:AT,B:B,'3店辅助表'!AU:AU)+M65)/2),"-")</f>
        <v>0</v>
      </c>
      <c r="AH65" s="99">
        <f>IFERROR(AL65/((SUMIF('3店辅助表'!AW:AW,B:B,'3店辅助表'!AX:AX)+M65)/2),"-")</f>
        <v>0.0909090909090909</v>
      </c>
      <c r="AI65" s="100">
        <f>IFERROR((SUMIF('3店辅助表'!AP:AP,B:B,'3店辅助表'!AR:AR)-SUMIF('3店辅助表'!AP:AP,B:B,'3店辅助表'!AR:AR)*0.15-(L65+IFERROR(VLOOKUP(B:B,'3店辅助表'!AZ:BA,2,0),0))*O65-IF(AN:AN="US",6.85,4.9)*(Z65+4.27*O65))/SUMIF('3店辅助表'!AP:AP,B:B,'3店辅助表'!AR:AR),"-")</f>
        <v>0.318086062833286</v>
      </c>
      <c r="AJ65" s="100">
        <f t="shared" si="31"/>
        <v>0.028916914803026</v>
      </c>
      <c r="AK65" s="101">
        <f t="shared" si="32"/>
        <v>0</v>
      </c>
      <c r="AL65" s="101">
        <f t="shared" si="33"/>
        <v>13.7</v>
      </c>
      <c r="AM65" s="1" t="str">
        <f>VLOOKUP(B:B,'3店辅助表'!AZ:AZ,1,FALSE)</f>
        <v>Y3018-DG+Y3019</v>
      </c>
      <c r="AN65" t="str">
        <f>VLOOKUP(B:B,'3店辅助表'!AZ:BB,3,FALSE)</f>
        <v>US</v>
      </c>
    </row>
    <row r="66" customHeight="1" spans="1:40">
      <c r="A66" s="58" t="str">
        <f>INDEX('[1]3店'!$A:$A,MATCH(B:B,'[1]3店'!$B:$B,0))</f>
        <v>欣彤</v>
      </c>
      <c r="B66" s="43" t="s">
        <v>774</v>
      </c>
      <c r="C66" s="43" t="s">
        <v>775</v>
      </c>
      <c r="D66" s="59"/>
      <c r="E66" s="43" t="s">
        <v>776</v>
      </c>
      <c r="F66" s="43">
        <v>24</v>
      </c>
      <c r="G66" s="43">
        <v>0</v>
      </c>
      <c r="H66" s="43">
        <v>0</v>
      </c>
      <c r="I66" s="43">
        <v>0</v>
      </c>
      <c r="J66" s="43">
        <v>0</v>
      </c>
      <c r="K66" s="63">
        <f t="shared" ref="K66:K122" si="34">F66+G66+H66+I66+J66</f>
        <v>24</v>
      </c>
      <c r="L66" s="124">
        <f>VLOOKUP($B:$B,'[1]3店'!$B:$L,11,0)</f>
        <v>13.7</v>
      </c>
      <c r="M66" s="44">
        <f t="shared" si="12"/>
        <v>328.8</v>
      </c>
      <c r="N66" s="65">
        <f>IFERROR(VLOOKUP(B:B,'3店辅助表'!B:C,2,FALSE),0)</f>
        <v>1</v>
      </c>
      <c r="O66" s="65">
        <f>IFERROR(VLOOKUP(B:B,'3店辅助表'!E:F,2,FALSE),0)</f>
        <v>2</v>
      </c>
      <c r="P66" s="65">
        <f>IFERROR(VLOOKUP(B:B,'3店辅助表'!H:I,2,FALSE),0)</f>
        <v>4</v>
      </c>
      <c r="Q66" s="65">
        <f>IFERROR(VLOOKUP(B:B,'[1]3店'!$B:$N,13,FALSE),0)</f>
        <v>1</v>
      </c>
      <c r="R66" s="79">
        <f t="shared" si="24"/>
        <v>0</v>
      </c>
      <c r="S66" s="80">
        <f t="shared" si="25"/>
        <v>175.813953488372</v>
      </c>
      <c r="T66" s="44">
        <f t="shared" si="26"/>
        <v>5.86046511627907</v>
      </c>
      <c r="U66" s="44">
        <f>IFERROR(VLOOKUP($B:$B,'[1]3店'!$B:$T,19,0),"-")</f>
        <v>7.58333333333333</v>
      </c>
      <c r="V66" s="81">
        <f t="shared" si="27"/>
        <v>-1.72286821705426</v>
      </c>
      <c r="W66" s="82" t="str">
        <f t="shared" si="28"/>
        <v>库存过高</v>
      </c>
      <c r="X66" s="83" t="str">
        <f t="shared" si="29"/>
        <v>库存过高</v>
      </c>
      <c r="Y66" s="44">
        <f>IFERROR(SUMIF('3店辅助表'!K:K,B:B,'3店辅助表'!N:N),0)</f>
        <v>0</v>
      </c>
      <c r="Z66" s="44">
        <f>IFERROR(SUMIF('3店辅助表'!T:T,B:B,'3店辅助表'!W:W),0)</f>
        <v>0</v>
      </c>
      <c r="AA66" s="44">
        <f>IFERROR(SUMIF('3店辅助表'!AC:AC,B:B,'3店辅助表'!AF:AF),0)</f>
        <v>0</v>
      </c>
      <c r="AB66" s="91" t="str">
        <f>IFERROR(SUMIF('3店辅助表'!K:K,B:B,'3店辅助表'!N:N)/SUMIF('3店辅助表'!K:K,B:B,'3店辅助表'!O:O),"-")</f>
        <v>-</v>
      </c>
      <c r="AC66" s="91" t="str">
        <f>IFERROR(VLOOKUP(B:B,'[1]3店'!$B:$AB,27,0),"-")</f>
        <v>-</v>
      </c>
      <c r="AD66" s="92" t="str">
        <f t="shared" si="30"/>
        <v>-</v>
      </c>
      <c r="AE66" s="91" t="str">
        <f>IFERROR(SUMIF('3店辅助表'!T:T,B:B,'3店辅助表'!W:W)/SUMIF('3店辅助表'!T:T,B:B,'3店辅助表'!X:X),"-")</f>
        <v>-</v>
      </c>
      <c r="AF66" s="91" t="str">
        <f>IFERROR(SUMIF('3店辅助表'!AC:AC,B:B,'3店辅助表'!AF:AF)/SUMIF('3店辅助表'!AC:AC,B:B,'3店辅助表'!AG:AG),"-")</f>
        <v>-</v>
      </c>
      <c r="AG66" s="99">
        <f>IFERROR(AK66/((SUMIF('3店辅助表'!AT:AT,B:B,'3店辅助表'!AU:AU)+M66)/2),"-")</f>
        <v>0.04</v>
      </c>
      <c r="AH66" s="99">
        <f>IFERROR(AL66/((SUMIF('3店辅助表'!AW:AW,B:B,'3店辅助表'!AX:AX)+M66)/2),"-")</f>
        <v>0.0769230769230769</v>
      </c>
      <c r="AI66" s="100">
        <f>IFERROR((SUMIF('3店辅助表'!AP:AP,B:B,'3店辅助表'!AR:AR)-SUMIF('3店辅助表'!AP:AP,B:B,'3店辅助表'!AR:AR)*0.15-(L66+IFERROR(VLOOKUP(B:B,'3店辅助表'!AZ:BA,2,0),0))*O66-IF(AN:AN="US",6.85,4.9)*(Z66+4.27*O66))/SUMIF('3店辅助表'!AP:AP,B:B,'3店辅助表'!AR:AR),"-")</f>
        <v>0.270545101453157</v>
      </c>
      <c r="AJ66" s="100">
        <f t="shared" si="31"/>
        <v>0.0208111616502429</v>
      </c>
      <c r="AK66" s="101">
        <f t="shared" si="32"/>
        <v>13.7</v>
      </c>
      <c r="AL66" s="101">
        <f t="shared" si="33"/>
        <v>27.4</v>
      </c>
      <c r="AM66" s="1" t="str">
        <f>VLOOKUP(B:B,'3店辅助表'!AZ:AZ,1,FALSE)</f>
        <v>Y3018-NB+Y3019</v>
      </c>
      <c r="AN66" t="str">
        <f>VLOOKUP(B:B,'3店辅助表'!AZ:BB,3,FALSE)</f>
        <v>US</v>
      </c>
    </row>
    <row r="67" customHeight="1" spans="1:40">
      <c r="A67" s="58" t="str">
        <f>INDEX('[1]3店'!$A:$A,MATCH(B:B,'[1]3店'!$B:$B,0))</f>
        <v>欣彤</v>
      </c>
      <c r="B67" s="43" t="s">
        <v>777</v>
      </c>
      <c r="C67" s="43" t="s">
        <v>778</v>
      </c>
      <c r="D67" s="59"/>
      <c r="E67" s="43" t="s">
        <v>779</v>
      </c>
      <c r="F67" s="43">
        <v>5</v>
      </c>
      <c r="G67" s="43">
        <v>0</v>
      </c>
      <c r="H67" s="43">
        <v>0</v>
      </c>
      <c r="I67" s="43">
        <v>0</v>
      </c>
      <c r="J67" s="43">
        <v>0</v>
      </c>
      <c r="K67" s="63">
        <f t="shared" si="34"/>
        <v>5</v>
      </c>
      <c r="L67" s="124">
        <f>VLOOKUP($B:$B,'[1]3店'!$B:$L,11,0)</f>
        <v>13.7</v>
      </c>
      <c r="M67" s="44">
        <f t="shared" si="12"/>
        <v>68.5</v>
      </c>
      <c r="N67" s="65">
        <f>IFERROR(VLOOKUP(B:B,'3店辅助表'!B:C,2,FALSE),0)</f>
        <v>1</v>
      </c>
      <c r="O67" s="65">
        <f>IFERROR(VLOOKUP(B:B,'3店辅助表'!E:F,2,FALSE),0)</f>
        <v>1</v>
      </c>
      <c r="P67" s="65">
        <f>IFERROR(VLOOKUP(B:B,'3店辅助表'!H:I,2,FALSE),0)</f>
        <v>5</v>
      </c>
      <c r="Q67" s="65">
        <f>IFERROR(VLOOKUP(B:B,'[1]3店'!$B:$N,13,FALSE),0)</f>
        <v>0</v>
      </c>
      <c r="R67" s="79">
        <f t="shared" si="24"/>
        <v>1</v>
      </c>
      <c r="S67" s="80">
        <f t="shared" si="25"/>
        <v>39.873417721519</v>
      </c>
      <c r="T67" s="44">
        <f t="shared" si="26"/>
        <v>1.32911392405063</v>
      </c>
      <c r="U67" s="44">
        <f>IFERROR(VLOOKUP($B:$B,'[1]3店'!$B:$T,19,0),"-")</f>
        <v>2.25</v>
      </c>
      <c r="V67" s="81">
        <f t="shared" si="27"/>
        <v>-0.92088607594937</v>
      </c>
      <c r="W67" s="82" t="str">
        <f t="shared" si="28"/>
        <v>正常</v>
      </c>
      <c r="X67" s="83" t="str">
        <f t="shared" si="29"/>
        <v>正常</v>
      </c>
      <c r="Y67" s="44">
        <f>IFERROR(SUMIF('3店辅助表'!K:K,B:B,'3店辅助表'!N:N),0)</f>
        <v>0</v>
      </c>
      <c r="Z67" s="44">
        <f>IFERROR(SUMIF('3店辅助表'!T:T,B:B,'3店辅助表'!W:W),0)</f>
        <v>0</v>
      </c>
      <c r="AA67" s="44">
        <f>IFERROR(SUMIF('3店辅助表'!AC:AC,B:B,'3店辅助表'!AF:AF),0)</f>
        <v>0</v>
      </c>
      <c r="AB67" s="91" t="str">
        <f>IFERROR(SUMIF('3店辅助表'!K:K,B:B,'3店辅助表'!N:N)/SUMIF('3店辅助表'!K:K,B:B,'3店辅助表'!O:O),"-")</f>
        <v>-</v>
      </c>
      <c r="AC67" s="91" t="str">
        <f>IFERROR(VLOOKUP(B:B,'[1]3店'!$B:$AB,27,0),"-")</f>
        <v>-</v>
      </c>
      <c r="AD67" s="92" t="str">
        <f t="shared" si="30"/>
        <v>-</v>
      </c>
      <c r="AE67" s="91" t="str">
        <f>IFERROR(SUMIF('3店辅助表'!T:T,B:B,'3店辅助表'!W:W)/SUMIF('3店辅助表'!T:T,B:B,'3店辅助表'!X:X),"-")</f>
        <v>-</v>
      </c>
      <c r="AF67" s="91" t="str">
        <f>IFERROR(SUMIF('3店辅助表'!AC:AC,B:B,'3店辅助表'!AF:AF)/SUMIF('3店辅助表'!AC:AC,B:B,'3店辅助表'!AG:AG),"-")</f>
        <v>-</v>
      </c>
      <c r="AG67" s="99">
        <f>IFERROR(AK67/((SUMIF('3店辅助表'!AT:AT,B:B,'3店辅助表'!AU:AU)+M67)/2),"-")</f>
        <v>0.181818181818182</v>
      </c>
      <c r="AH67" s="99">
        <f>IFERROR(AL67/((SUMIF('3店辅助表'!AW:AW,B:B,'3店辅助表'!AX:AX)+M67)/2),"-")</f>
        <v>0.133333333333333</v>
      </c>
      <c r="AI67" s="100">
        <f>IFERROR((SUMIF('3店辅助表'!AP:AP,B:B,'3店辅助表'!AR:AR)-SUMIF('3店辅助表'!AP:AP,B:B,'3店辅助表'!AR:AR)*0.15-(L67+IFERROR(VLOOKUP(B:B,'3店辅助表'!AZ:BA,2,0),0))*O67-IF(AN:AN="US",6.85,4.9)*(Z67+4.27*O67))/SUMIF('3店辅助表'!AP:AP,B:B,'3店辅助表'!AR:AR),"-")</f>
        <v>0.32301967262858</v>
      </c>
      <c r="AJ67" s="100">
        <f t="shared" si="31"/>
        <v>0.0430692896838107</v>
      </c>
      <c r="AK67" s="101">
        <f t="shared" si="32"/>
        <v>13.7</v>
      </c>
      <c r="AL67" s="101">
        <f t="shared" si="33"/>
        <v>13.7</v>
      </c>
      <c r="AM67" s="1" t="str">
        <f>VLOOKUP(B:B,'3店辅助表'!AZ:AZ,1,FALSE)</f>
        <v>Y3018-OR+Y3019</v>
      </c>
      <c r="AN67" t="str">
        <f>VLOOKUP(B:B,'3店辅助表'!AZ:BB,3,FALSE)</f>
        <v>US</v>
      </c>
    </row>
    <row r="68" customHeight="1" spans="1:40">
      <c r="A68" s="58" t="str">
        <f>INDEX('[1]3店'!$A:$A,MATCH(B:B,'[1]3店'!$B:$B,0))</f>
        <v>欣彤</v>
      </c>
      <c r="B68" s="43" t="s">
        <v>780</v>
      </c>
      <c r="C68" s="43" t="s">
        <v>781</v>
      </c>
      <c r="D68" s="59"/>
      <c r="E68" s="43" t="s">
        <v>782</v>
      </c>
      <c r="F68" s="43">
        <v>17</v>
      </c>
      <c r="G68" s="43">
        <v>0</v>
      </c>
      <c r="H68" s="43">
        <v>0</v>
      </c>
      <c r="I68" s="43">
        <v>0</v>
      </c>
      <c r="J68" s="43">
        <v>0</v>
      </c>
      <c r="K68" s="63">
        <f t="shared" si="34"/>
        <v>17</v>
      </c>
      <c r="L68" s="124">
        <f>VLOOKUP($B:$B,'[1]3店'!$B:$L,11,0)</f>
        <v>13.7</v>
      </c>
      <c r="M68" s="44">
        <f t="shared" si="12"/>
        <v>232.9</v>
      </c>
      <c r="N68" s="65">
        <f>IFERROR(VLOOKUP(B:B,'3店辅助表'!B:C,2,FALSE),0)</f>
        <v>2</v>
      </c>
      <c r="O68" s="65">
        <f>IFERROR(VLOOKUP(B:B,'3店辅助表'!E:F,2,FALSE),0)</f>
        <v>4</v>
      </c>
      <c r="P68" s="65">
        <f>IFERROR(VLOOKUP(B:B,'3店辅助表'!H:I,2,FALSE),0)</f>
        <v>4</v>
      </c>
      <c r="Q68" s="65">
        <f>IFERROR(VLOOKUP(B:B,'[1]3店'!$B:$N,13,FALSE),0)</f>
        <v>2</v>
      </c>
      <c r="R68" s="79">
        <f t="shared" si="24"/>
        <v>0</v>
      </c>
      <c r="S68" s="80">
        <f t="shared" si="25"/>
        <v>74.375</v>
      </c>
      <c r="T68" s="44">
        <f t="shared" si="26"/>
        <v>2.47916666666667</v>
      </c>
      <c r="U68" s="44">
        <f>IFERROR(VLOOKUP($B:$B,'[1]3店'!$B:$T,19,0),"-")</f>
        <v>3.25862068965517</v>
      </c>
      <c r="V68" s="81">
        <f t="shared" si="27"/>
        <v>-0.7794540229885</v>
      </c>
      <c r="W68" s="82" t="str">
        <f t="shared" si="28"/>
        <v>库存过高</v>
      </c>
      <c r="X68" s="83" t="str">
        <f t="shared" si="29"/>
        <v>库存过高</v>
      </c>
      <c r="Y68" s="44">
        <f>IFERROR(SUMIF('3店辅助表'!K:K,B:B,'3店辅助表'!N:N),0)</f>
        <v>0</v>
      </c>
      <c r="Z68" s="44">
        <f>IFERROR(SUMIF('3店辅助表'!T:T,B:B,'3店辅助表'!W:W),0)</f>
        <v>0</v>
      </c>
      <c r="AA68" s="44">
        <f>IFERROR(SUMIF('3店辅助表'!AC:AC,B:B,'3店辅助表'!AF:AF),0)</f>
        <v>0</v>
      </c>
      <c r="AB68" s="91" t="str">
        <f>IFERROR(SUMIF('3店辅助表'!K:K,B:B,'3店辅助表'!N:N)/SUMIF('3店辅助表'!K:K,B:B,'3店辅助表'!O:O),"-")</f>
        <v>-</v>
      </c>
      <c r="AC68" s="91" t="str">
        <f>IFERROR(VLOOKUP(B:B,'[1]3店'!$B:$AB,27,0),"-")</f>
        <v>-</v>
      </c>
      <c r="AD68" s="92" t="str">
        <f t="shared" si="30"/>
        <v>-</v>
      </c>
      <c r="AE68" s="91" t="str">
        <f>IFERROR(SUMIF('3店辅助表'!T:T,B:B,'3店辅助表'!W:W)/SUMIF('3店辅助表'!T:T,B:B,'3店辅助表'!X:X),"-")</f>
        <v>-</v>
      </c>
      <c r="AF68" s="91" t="str">
        <f>IFERROR(SUMIF('3店辅助表'!AC:AC,B:B,'3店辅助表'!AF:AF)/SUMIF('3店辅助表'!AC:AC,B:B,'3店辅助表'!AG:AG),"-")</f>
        <v>-</v>
      </c>
      <c r="AG68" s="99">
        <f>IFERROR(AK68/((SUMIF('3店辅助表'!AT:AT,B:B,'3店辅助表'!AU:AU)+M68)/2),"-")</f>
        <v>0.114285714285714</v>
      </c>
      <c r="AH68" s="99">
        <f>IFERROR(AL68/((SUMIF('3店辅助表'!AW:AW,B:B,'3店辅助表'!AX:AX)+M68)/2),"-")</f>
        <v>0.210526315789474</v>
      </c>
      <c r="AI68" s="100">
        <f>IFERROR((SUMIF('3店辅助表'!AP:AP,B:B,'3店辅助表'!AR:AR)-SUMIF('3店辅助表'!AP:AP,B:B,'3店辅助表'!AR:AR)*0.15-(L68+IFERROR(VLOOKUP(B:B,'3店辅助表'!AZ:BA,2,0),0))*O68-IF(AN:AN="US",6.85,4.9)*(Z68+4.27*O68))/SUMIF('3店辅助表'!AP:AP,B:B,'3店辅助表'!AR:AR),"-")</f>
        <v>0.316804897647264</v>
      </c>
      <c r="AJ68" s="100">
        <f t="shared" si="31"/>
        <v>0.0666957679257398</v>
      </c>
      <c r="AK68" s="101">
        <f t="shared" si="32"/>
        <v>27.4</v>
      </c>
      <c r="AL68" s="101">
        <f t="shared" si="33"/>
        <v>54.8</v>
      </c>
      <c r="AM68" s="1" t="str">
        <f>VLOOKUP(B:B,'3店辅助表'!AZ:AZ,1,FALSE)</f>
        <v>Y3018-TG+Y3019</v>
      </c>
      <c r="AN68" t="str">
        <f>VLOOKUP(B:B,'3店辅助表'!AZ:BB,3,FALSE)</f>
        <v>US</v>
      </c>
    </row>
    <row r="69" customHeight="1" spans="1:40">
      <c r="A69" s="58" t="str">
        <f>INDEX('[1]3店'!$A:$A,MATCH(B:B,'[1]3店'!$B:$B,0))</f>
        <v>欣彤</v>
      </c>
      <c r="B69" s="43" t="s">
        <v>783</v>
      </c>
      <c r="C69" s="43" t="s">
        <v>784</v>
      </c>
      <c r="D69" s="59">
        <f>VLOOKUP(B:B,'[1]3店'!$B:$L,3,0)</f>
        <v>44840</v>
      </c>
      <c r="E69" s="43" t="s">
        <v>785</v>
      </c>
      <c r="F69" s="43">
        <v>26</v>
      </c>
      <c r="G69" s="43">
        <v>0</v>
      </c>
      <c r="H69" s="43">
        <v>0</v>
      </c>
      <c r="I69" s="43">
        <v>0</v>
      </c>
      <c r="J69" s="43">
        <v>0</v>
      </c>
      <c r="K69" s="63">
        <f t="shared" si="34"/>
        <v>26</v>
      </c>
      <c r="L69" s="124">
        <f>VLOOKUP($B:$B,'[1]3店'!$B:$L,11,0)</f>
        <v>13.9</v>
      </c>
      <c r="M69" s="44">
        <f t="shared" si="12"/>
        <v>361.4</v>
      </c>
      <c r="N69" s="65">
        <f>IFERROR(VLOOKUP(B:B,'3店辅助表'!B:C,2,FALSE),0)</f>
        <v>0</v>
      </c>
      <c r="O69" s="65">
        <f>IFERROR(VLOOKUP(B:B,'3店辅助表'!E:F,2,FALSE),0)</f>
        <v>2</v>
      </c>
      <c r="P69" s="65">
        <f>IFERROR(VLOOKUP(B:B,'3店辅助表'!H:I,2,FALSE),0)</f>
        <v>4</v>
      </c>
      <c r="Q69" s="65">
        <f>IFERROR(VLOOKUP(B:B,'[1]3店'!$B:$N,13,FALSE),0)</f>
        <v>2</v>
      </c>
      <c r="R69" s="79">
        <f t="shared" si="24"/>
        <v>-2</v>
      </c>
      <c r="S69" s="80">
        <f t="shared" si="25"/>
        <v>292.5</v>
      </c>
      <c r="T69" s="44">
        <f t="shared" si="26"/>
        <v>9.75</v>
      </c>
      <c r="U69" s="44">
        <f>IFERROR(VLOOKUP($B:$B,'[1]3店'!$B:$T,19,0),"-")</f>
        <v>5.97413793103448</v>
      </c>
      <c r="V69" s="81">
        <f t="shared" si="27"/>
        <v>3.77586206896552</v>
      </c>
      <c r="W69" s="82" t="str">
        <f t="shared" si="28"/>
        <v>有库存无销量</v>
      </c>
      <c r="X69" s="83" t="str">
        <f t="shared" si="29"/>
        <v>库存过高</v>
      </c>
      <c r="Y69" s="44">
        <f>IFERROR(SUMIF('3店辅助表'!K:K,B:B,'3店辅助表'!N:N),0)</f>
        <v>0</v>
      </c>
      <c r="Z69" s="44">
        <f>IFERROR(SUMIF('3店辅助表'!T:T,B:B,'3店辅助表'!W:W),0)</f>
        <v>0</v>
      </c>
      <c r="AA69" s="44">
        <f>IFERROR(SUMIF('3店辅助表'!AC:AC,B:B,'3店辅助表'!AF:AF),0)</f>
        <v>0</v>
      </c>
      <c r="AB69" s="91" t="str">
        <f>IFERROR(SUMIF('3店辅助表'!K:K,B:B,'3店辅助表'!N:N)/SUMIF('3店辅助表'!K:K,B:B,'3店辅助表'!O:O),"-")</f>
        <v>-</v>
      </c>
      <c r="AC69" s="91" t="str">
        <f>IFERROR(VLOOKUP(B:B,'[1]3店'!$B:$AB,27,0),"-")</f>
        <v>-</v>
      </c>
      <c r="AD69" s="92" t="str">
        <f t="shared" si="30"/>
        <v>-</v>
      </c>
      <c r="AE69" s="91" t="str">
        <f>IFERROR(SUMIF('3店辅助表'!T:T,B:B,'3店辅助表'!W:W)/SUMIF('3店辅助表'!T:T,B:B,'3店辅助表'!X:X),"-")</f>
        <v>-</v>
      </c>
      <c r="AF69" s="91" t="str">
        <f>IFERROR(SUMIF('3店辅助表'!AC:AC,B:B,'3店辅助表'!AF:AF)/SUMIF('3店辅助表'!AC:AC,B:B,'3店辅助表'!AG:AG),"-")</f>
        <v>-</v>
      </c>
      <c r="AG69" s="99">
        <f>IFERROR(AK69/((SUMIF('3店辅助表'!AT:AT,B:B,'3店辅助表'!AU:AU)+M69)/2),"-")</f>
        <v>0</v>
      </c>
      <c r="AH69" s="99">
        <f>IFERROR(AL69/((SUMIF('3店辅助表'!AW:AW,B:B,'3店辅助表'!AX:AX)+M69)/2),"-")</f>
        <v>0.153846153846154</v>
      </c>
      <c r="AI69" s="100">
        <f>IFERROR((SUMIF('3店辅助表'!AP:AP,B:B,'3店辅助表'!AR:AR)-SUMIF('3店辅助表'!AP:AP,B:B,'3店辅助表'!AR:AR)*0.15-(L69+IFERROR(VLOOKUP(B:B,'3店辅助表'!AZ:BA,2,0),0))*O69-IF(AN:AN="US",6.85,4.9)*(Z69+4.27*O69))/SUMIF('3店辅助表'!AP:AP,B:B,'3店辅助表'!AR:AR),"-")</f>
        <v>0.186390746730604</v>
      </c>
      <c r="AJ69" s="100">
        <f t="shared" si="31"/>
        <v>0.0286754994970161</v>
      </c>
      <c r="AK69" s="101">
        <f t="shared" si="32"/>
        <v>0</v>
      </c>
      <c r="AL69" s="101">
        <f t="shared" si="33"/>
        <v>27.8</v>
      </c>
      <c r="AM69" s="1" t="str">
        <f>VLOOKUP(B:B,'3店辅助表'!AZ:AZ,1,FALSE)</f>
        <v>Y03507-DN+Y03508+Y03509</v>
      </c>
      <c r="AN69" t="str">
        <f>VLOOKUP(B:B,'3店辅助表'!AZ:BB,3,FALSE)</f>
        <v>US</v>
      </c>
    </row>
    <row r="70" customHeight="1" spans="1:40">
      <c r="A70" s="58" t="str">
        <f>INDEX('[1]3店'!$A:$A,MATCH(B:B,'[1]3店'!$B:$B,0))</f>
        <v>欣彤</v>
      </c>
      <c r="B70" s="43" t="s">
        <v>786</v>
      </c>
      <c r="C70" s="43" t="s">
        <v>787</v>
      </c>
      <c r="D70" s="59"/>
      <c r="E70" s="43" t="s">
        <v>788</v>
      </c>
      <c r="F70" s="43">
        <v>109</v>
      </c>
      <c r="G70" s="43">
        <v>3</v>
      </c>
      <c r="H70" s="43">
        <v>48</v>
      </c>
      <c r="I70" s="43">
        <v>9</v>
      </c>
      <c r="J70" s="43">
        <v>1</v>
      </c>
      <c r="K70" s="63">
        <f t="shared" si="34"/>
        <v>170</v>
      </c>
      <c r="L70" s="124">
        <f>VLOOKUP($B:$B,'[1]3店'!$B:$L,11,0)</f>
        <v>13.727</v>
      </c>
      <c r="M70" s="44">
        <f t="shared" si="12"/>
        <v>2333.59</v>
      </c>
      <c r="N70" s="65">
        <f>IFERROR(VLOOKUP(B:B,'3店辅助表'!B:C,2,FALSE),0)</f>
        <v>37</v>
      </c>
      <c r="O70" s="65">
        <f>IFERROR(VLOOKUP(B:B,'3店辅助表'!E:F,2,FALSE),0)</f>
        <v>57</v>
      </c>
      <c r="P70" s="65">
        <f>IFERROR(VLOOKUP(B:B,'3店辅助表'!H:I,2,FALSE),0)</f>
        <v>86</v>
      </c>
      <c r="Q70" s="65">
        <f>IFERROR(VLOOKUP(B:B,'[1]3店'!$B:$N,13,FALSE),0)</f>
        <v>18</v>
      </c>
      <c r="R70" s="79">
        <f t="shared" si="24"/>
        <v>19</v>
      </c>
      <c r="S70" s="80">
        <f t="shared" si="25"/>
        <v>42.6693227091633</v>
      </c>
      <c r="T70" s="44">
        <f t="shared" si="26"/>
        <v>1.42231075697211</v>
      </c>
      <c r="U70" s="44">
        <f>IFERROR(VLOOKUP($B:$B,'[1]3店'!$B:$T,19,0),"-")</f>
        <v>2.70543175487465</v>
      </c>
      <c r="V70" s="81">
        <f t="shared" si="27"/>
        <v>-1.28312099790254</v>
      </c>
      <c r="W70" s="82" t="str">
        <f t="shared" si="28"/>
        <v>正常</v>
      </c>
      <c r="X70" s="83" t="str">
        <f t="shared" si="29"/>
        <v>正常</v>
      </c>
      <c r="Y70" s="44">
        <f>IFERROR(SUMIF('3店辅助表'!K:K,B:B,'3店辅助表'!N:N),0)</f>
        <v>31.11</v>
      </c>
      <c r="Z70" s="44">
        <f>IFERROR(SUMIF('3店辅助表'!T:T,B:B,'3店辅助表'!W:W),0)</f>
        <v>72.88</v>
      </c>
      <c r="AA70" s="44">
        <f>IFERROR(SUMIF('3店辅助表'!AC:AC,B:B,'3店辅助表'!AF:AF),0)</f>
        <v>152</v>
      </c>
      <c r="AB70" s="91">
        <f>IFERROR(SUMIF('3店辅助表'!K:K,B:B,'3店辅助表'!N:N)/SUMIF('3店辅助表'!K:K,B:B,'3店辅助表'!O:O),"-")</f>
        <v>0.268652849740933</v>
      </c>
      <c r="AC70" s="91">
        <f>IFERROR(VLOOKUP(B:B,'[1]3店'!$B:$AB,27,0),"-")</f>
        <v>0.312637828668363</v>
      </c>
      <c r="AD70" s="92">
        <f t="shared" si="30"/>
        <v>-0.04398497892743</v>
      </c>
      <c r="AE70" s="91">
        <f>IFERROR(SUMIF('3店辅助表'!T:T,B:B,'3店辅助表'!W:W)/SUMIF('3店辅助表'!T:T,B:B,'3店辅助表'!X:X),"-")</f>
        <v>0.267282796053838</v>
      </c>
      <c r="AF70" s="91">
        <f>IFERROR(SUMIF('3店辅助表'!AC:AC,B:B,'3店辅助表'!AF:AF)/SUMIF('3店辅助表'!AC:AC,B:B,'3店辅助表'!AG:AG),"-")</f>
        <v>0.265994680106398</v>
      </c>
      <c r="AG70" s="99">
        <f>IFERROR(AK70/((SUMIF('3店辅助表'!AT:AT,B:B,'3店辅助表'!AU:AU)+M70)/2),"-")</f>
        <v>0.208450704225352</v>
      </c>
      <c r="AH70" s="99">
        <f>IFERROR(AL70/((SUMIF('3店辅助表'!AW:AW,B:B,'3店辅助表'!AX:AX)+M70)/2),"-")</f>
        <v>0.481012658227848</v>
      </c>
      <c r="AI70" s="100">
        <f>IFERROR((SUMIF('3店辅助表'!AP:AP,B:B,'3店辅助表'!AR:AR)-SUMIF('3店辅助表'!AP:AP,B:B,'3店辅助表'!AR:AR)*0.15-(L70+IFERROR(VLOOKUP(B:B,'3店辅助表'!AZ:BA,2,0),0))*O70-IF(AN:AN="US",6.85,4.9)*(Z70+4.27*O70))/SUMIF('3店辅助表'!AP:AP,B:B,'3店辅助表'!AR:AR),"-")</f>
        <v>0.212635006408016</v>
      </c>
      <c r="AJ70" s="100">
        <f t="shared" si="31"/>
        <v>0.102280129664615</v>
      </c>
      <c r="AK70" s="101">
        <f t="shared" si="32"/>
        <v>507.899</v>
      </c>
      <c r="AL70" s="101">
        <f t="shared" si="33"/>
        <v>782.439</v>
      </c>
      <c r="AM70" s="1" t="str">
        <f>VLOOKUP(B:B,'3店辅助表'!AZ:AZ,1,FALSE)</f>
        <v>Y03742-BL+Y03743</v>
      </c>
      <c r="AN70" t="str">
        <f>VLOOKUP(B:B,'3店辅助表'!AZ:BB,3,FALSE)</f>
        <v>US</v>
      </c>
    </row>
    <row r="71" customHeight="1" spans="1:40">
      <c r="A71" s="58" t="str">
        <f>INDEX('[1]3店'!$A:$A,MATCH(B:B,'[1]3店'!$B:$B,0))</f>
        <v>欣彤</v>
      </c>
      <c r="B71" s="43" t="s">
        <v>789</v>
      </c>
      <c r="C71" s="43" t="s">
        <v>790</v>
      </c>
      <c r="D71" s="59"/>
      <c r="E71" s="43" t="s">
        <v>791</v>
      </c>
      <c r="F71" s="43">
        <v>19</v>
      </c>
      <c r="G71" s="43">
        <v>0</v>
      </c>
      <c r="H71" s="43">
        <v>0</v>
      </c>
      <c r="I71" s="43">
        <v>1</v>
      </c>
      <c r="J71" s="43">
        <v>3</v>
      </c>
      <c r="K71" s="63">
        <f t="shared" si="34"/>
        <v>23</v>
      </c>
      <c r="L71" s="124">
        <f>VLOOKUP($B:$B,'[1]3店'!$B:$L,11,0)</f>
        <v>13.727</v>
      </c>
      <c r="M71" s="44">
        <f t="shared" si="12"/>
        <v>315.721</v>
      </c>
      <c r="N71" s="65">
        <f>IFERROR(VLOOKUP(B:B,'3店辅助表'!B:C,2,FALSE),0)</f>
        <v>1</v>
      </c>
      <c r="O71" s="65">
        <f>IFERROR(VLOOKUP(B:B,'3店辅助表'!E:F,2,FALSE),0)</f>
        <v>1</v>
      </c>
      <c r="P71" s="65">
        <f>IFERROR(VLOOKUP(B:B,'3店辅助表'!H:I,2,FALSE),0)</f>
        <v>8</v>
      </c>
      <c r="Q71" s="65">
        <f>IFERROR(VLOOKUP(B:B,'[1]3店'!$B:$N,13,FALSE),0)</f>
        <v>0</v>
      </c>
      <c r="R71" s="79">
        <f t="shared" si="24"/>
        <v>1</v>
      </c>
      <c r="S71" s="80">
        <f t="shared" si="25"/>
        <v>144.9</v>
      </c>
      <c r="T71" s="44">
        <f t="shared" si="26"/>
        <v>4.83</v>
      </c>
      <c r="U71" s="44">
        <f>IFERROR(VLOOKUP($B:$B,'[1]3店'!$B:$T,19,0),"-")</f>
        <v>4.6</v>
      </c>
      <c r="V71" s="81">
        <f t="shared" si="27"/>
        <v>0.23</v>
      </c>
      <c r="W71" s="82" t="str">
        <f t="shared" si="28"/>
        <v>库存过高</v>
      </c>
      <c r="X71" s="83" t="str">
        <f t="shared" si="29"/>
        <v>库存过高</v>
      </c>
      <c r="Y71" s="44">
        <f>IFERROR(SUMIF('3店辅助表'!K:K,B:B,'3店辅助表'!N:N),0)</f>
        <v>0</v>
      </c>
      <c r="Z71" s="44">
        <f>IFERROR(SUMIF('3店辅助表'!T:T,B:B,'3店辅助表'!W:W),0)</f>
        <v>0</v>
      </c>
      <c r="AA71" s="44">
        <f>IFERROR(SUMIF('3店辅助表'!AC:AC,B:B,'3店辅助表'!AF:AF),0)</f>
        <v>0</v>
      </c>
      <c r="AB71" s="91" t="str">
        <f>IFERROR(SUMIF('3店辅助表'!K:K,B:B,'3店辅助表'!N:N)/SUMIF('3店辅助表'!K:K,B:B,'3店辅助表'!O:O),"-")</f>
        <v>-</v>
      </c>
      <c r="AC71" s="91" t="str">
        <f>IFERROR(VLOOKUP(B:B,'[1]3店'!$B:$AB,27,0),"-")</f>
        <v>-</v>
      </c>
      <c r="AD71" s="92" t="str">
        <f t="shared" si="30"/>
        <v>-</v>
      </c>
      <c r="AE71" s="91" t="str">
        <f>IFERROR(SUMIF('3店辅助表'!T:T,B:B,'3店辅助表'!W:W)/SUMIF('3店辅助表'!T:T,B:B,'3店辅助表'!X:X),"-")</f>
        <v>-</v>
      </c>
      <c r="AF71" s="91" t="str">
        <f>IFERROR(SUMIF('3店辅助表'!AC:AC,B:B,'3店辅助表'!AF:AF)/SUMIF('3店辅助表'!AC:AC,B:B,'3店辅助表'!AG:AG),"-")</f>
        <v>-</v>
      </c>
      <c r="AG71" s="99">
        <f>IFERROR(AK71/((SUMIF('3店辅助表'!AT:AT,B:B,'3店辅助表'!AU:AU)+M71)/2),"-")</f>
        <v>0.0434782608695652</v>
      </c>
      <c r="AH71" s="99">
        <f>IFERROR(AL71/((SUMIF('3店辅助表'!AW:AW,B:B,'3店辅助表'!AX:AX)+M71)/2),"-")</f>
        <v>0.0333333333333333</v>
      </c>
      <c r="AI71" s="100">
        <f>IFERROR((SUMIF('3店辅助表'!AP:AP,B:B,'3店辅助表'!AR:AR)-SUMIF('3店辅助表'!AP:AP,B:B,'3店辅助表'!AR:AR)*0.15-(L71+IFERROR(VLOOKUP(B:B,'3店辅助表'!AZ:BA,2,0),0))*O71-IF(AN:AN="US",6.85,4.9)*(Z71+4.27*O71))/SUMIF('3店辅助表'!AP:AP,B:B,'3店辅助表'!AR:AR),"-")</f>
        <v>0.310140591021729</v>
      </c>
      <c r="AJ71" s="100">
        <f t="shared" si="31"/>
        <v>0.0103380197007243</v>
      </c>
      <c r="AK71" s="101">
        <f t="shared" si="32"/>
        <v>13.727</v>
      </c>
      <c r="AL71" s="101">
        <f t="shared" si="33"/>
        <v>13.727</v>
      </c>
      <c r="AM71" s="1" t="str">
        <f>VLOOKUP(B:B,'3店辅助表'!AZ:AZ,1,FALSE)</f>
        <v>Y03742-DG+Y03743</v>
      </c>
      <c r="AN71" t="str">
        <f>VLOOKUP(B:B,'3店辅助表'!AZ:BB,3,FALSE)</f>
        <v>US</v>
      </c>
    </row>
    <row r="72" customHeight="1" spans="1:40">
      <c r="A72" s="58" t="str">
        <f>INDEX('[1]3店'!$A:$A,MATCH(B:B,'[1]3店'!$B:$B,0))</f>
        <v>欣彤</v>
      </c>
      <c r="B72" s="43" t="s">
        <v>792</v>
      </c>
      <c r="C72" s="43" t="s">
        <v>793</v>
      </c>
      <c r="D72" s="59"/>
      <c r="E72" s="43" t="s">
        <v>794</v>
      </c>
      <c r="F72" s="43">
        <v>35</v>
      </c>
      <c r="G72" s="43">
        <v>0</v>
      </c>
      <c r="H72" s="43">
        <v>31</v>
      </c>
      <c r="I72" s="43">
        <v>0</v>
      </c>
      <c r="J72" s="43">
        <v>0</v>
      </c>
      <c r="K72" s="63">
        <f t="shared" si="34"/>
        <v>66</v>
      </c>
      <c r="L72" s="124">
        <f>VLOOKUP($B:$B,'[1]3店'!$B:$L,11,0)</f>
        <v>13.727</v>
      </c>
      <c r="M72" s="44">
        <f t="shared" si="12"/>
        <v>905.982</v>
      </c>
      <c r="N72" s="65">
        <f>IFERROR(VLOOKUP(B:B,'3店辅助表'!B:C,2,FALSE),0)</f>
        <v>4</v>
      </c>
      <c r="O72" s="65">
        <f>IFERROR(VLOOKUP(B:B,'3店辅助表'!E:F,2,FALSE),0)</f>
        <v>13</v>
      </c>
      <c r="P72" s="65">
        <f>IFERROR(VLOOKUP(B:B,'3店辅助表'!H:I,2,FALSE),0)</f>
        <v>23</v>
      </c>
      <c r="Q72" s="65">
        <f>IFERROR(VLOOKUP(B:B,'[1]3店'!$B:$N,13,FALSE),0)</f>
        <v>8</v>
      </c>
      <c r="R72" s="79">
        <f t="shared" si="24"/>
        <v>-4</v>
      </c>
      <c r="S72" s="80">
        <f t="shared" si="25"/>
        <v>89.8056155507559</v>
      </c>
      <c r="T72" s="44">
        <f t="shared" si="26"/>
        <v>2.99352051835853</v>
      </c>
      <c r="U72" s="44">
        <f>IFERROR(VLOOKUP($B:$B,'[1]3店'!$B:$T,19,0),"-")</f>
        <v>1.2626582278481</v>
      </c>
      <c r="V72" s="81">
        <f t="shared" si="27"/>
        <v>1.73086229051043</v>
      </c>
      <c r="W72" s="82" t="str">
        <f t="shared" si="28"/>
        <v>库存过高</v>
      </c>
      <c r="X72" s="83" t="str">
        <f t="shared" si="29"/>
        <v>库存过高</v>
      </c>
      <c r="Y72" s="44">
        <f>IFERROR(SUMIF('3店辅助表'!K:K,B:B,'3店辅助表'!N:N),0)</f>
        <v>0</v>
      </c>
      <c r="Z72" s="44">
        <f>IFERROR(SUMIF('3店辅助表'!T:T,B:B,'3店辅助表'!W:W),0)</f>
        <v>0</v>
      </c>
      <c r="AA72" s="44">
        <f>IFERROR(SUMIF('3店辅助表'!AC:AC,B:B,'3店辅助表'!AF:AF),0)</f>
        <v>0</v>
      </c>
      <c r="AB72" s="91" t="str">
        <f>IFERROR(SUMIF('3店辅助表'!K:K,B:B,'3店辅助表'!N:N)/SUMIF('3店辅助表'!K:K,B:B,'3店辅助表'!O:O),"-")</f>
        <v>-</v>
      </c>
      <c r="AC72" s="91" t="str">
        <f>IFERROR(VLOOKUP(B:B,'[1]3店'!$B:$AB,27,0),"-")</f>
        <v>-</v>
      </c>
      <c r="AD72" s="92" t="str">
        <f t="shared" si="30"/>
        <v>-</v>
      </c>
      <c r="AE72" s="91" t="str">
        <f>IFERROR(SUMIF('3店辅助表'!T:T,B:B,'3店辅助表'!W:W)/SUMIF('3店辅助表'!T:T,B:B,'3店辅助表'!X:X),"-")</f>
        <v>-</v>
      </c>
      <c r="AF72" s="91" t="str">
        <f>IFERROR(SUMIF('3店辅助表'!AC:AC,B:B,'3店辅助表'!AF:AF)/SUMIF('3店辅助表'!AC:AC,B:B,'3店辅助表'!AG:AG),"-")</f>
        <v>-</v>
      </c>
      <c r="AG72" s="99">
        <f>IFERROR(AK72/((SUMIF('3店辅助表'!AT:AT,B:B,'3店辅助表'!AU:AU)+M72)/2),"-")</f>
        <v>0.0769230769230769</v>
      </c>
      <c r="AH72" s="99">
        <f>IFERROR(AL72/((SUMIF('3店辅助表'!AW:AW,B:B,'3店辅助表'!AX:AX)+M72)/2),"-")</f>
        <v>0.216666666666667</v>
      </c>
      <c r="AI72" s="100">
        <f>IFERROR((SUMIF('3店辅助表'!AP:AP,B:B,'3店辅助表'!AR:AR)-SUMIF('3店辅助表'!AP:AP,B:B,'3店辅助表'!AR:AR)*0.15-(L72+IFERROR(VLOOKUP(B:B,'3店辅助表'!AZ:BA,2,0),0))*O72-IF(AN:AN="US",6.85,4.9)*(Z72+4.27*O72))/SUMIF('3店辅助表'!AP:AP,B:B,'3店辅助表'!AR:AR),"-")</f>
        <v>0.285509559960379</v>
      </c>
      <c r="AJ72" s="100">
        <f t="shared" si="31"/>
        <v>0.061860404658082</v>
      </c>
      <c r="AK72" s="101">
        <f t="shared" si="32"/>
        <v>54.908</v>
      </c>
      <c r="AL72" s="101">
        <f t="shared" si="33"/>
        <v>178.451</v>
      </c>
      <c r="AM72" s="1" t="str">
        <f>VLOOKUP(B:B,'3店辅助表'!AZ:AZ,1,FALSE)</f>
        <v>Y03742-NB+Y03743</v>
      </c>
      <c r="AN72" t="str">
        <f>VLOOKUP(B:B,'3店辅助表'!AZ:BB,3,FALSE)</f>
        <v>US</v>
      </c>
    </row>
    <row r="73" customHeight="1" spans="1:40">
      <c r="A73" s="58" t="str">
        <f>INDEX('[1]3店'!$A:$A,MATCH(B:B,'[1]3店'!$B:$B,0))</f>
        <v>欣彤</v>
      </c>
      <c r="B73" s="43" t="s">
        <v>795</v>
      </c>
      <c r="C73" s="43" t="s">
        <v>796</v>
      </c>
      <c r="D73" s="59"/>
      <c r="E73" s="43" t="s">
        <v>797</v>
      </c>
      <c r="F73" s="43">
        <v>20</v>
      </c>
      <c r="G73" s="43">
        <v>0</v>
      </c>
      <c r="H73" s="43">
        <v>0</v>
      </c>
      <c r="I73" s="43">
        <v>0</v>
      </c>
      <c r="J73" s="43">
        <v>0</v>
      </c>
      <c r="K73" s="63">
        <f t="shared" si="34"/>
        <v>20</v>
      </c>
      <c r="L73" s="124">
        <f>VLOOKUP($B:$B,'[1]3店'!$B:$L,11,0)</f>
        <v>13.727</v>
      </c>
      <c r="M73" s="44">
        <f t="shared" si="12"/>
        <v>274.54</v>
      </c>
      <c r="N73" s="65">
        <f>IFERROR(VLOOKUP(B:B,'3店辅助表'!B:C,2,FALSE),0)</f>
        <v>4</v>
      </c>
      <c r="O73" s="65">
        <f>IFERROR(VLOOKUP(B:B,'3店辅助表'!E:F,2,FALSE),0)</f>
        <v>5</v>
      </c>
      <c r="P73" s="65">
        <f>IFERROR(VLOOKUP(B:B,'3店辅助表'!H:I,2,FALSE),0)</f>
        <v>10</v>
      </c>
      <c r="Q73" s="65">
        <f>IFERROR(VLOOKUP(B:B,'[1]3店'!$B:$N,13,FALSE),0)</f>
        <v>1</v>
      </c>
      <c r="R73" s="79">
        <f t="shared" si="24"/>
        <v>3</v>
      </c>
      <c r="S73" s="80">
        <f t="shared" si="25"/>
        <v>48.4615384615385</v>
      </c>
      <c r="T73" s="44">
        <f t="shared" si="26"/>
        <v>1.61538461538462</v>
      </c>
      <c r="U73" s="44">
        <f>IFERROR(VLOOKUP($B:$B,'[1]3店'!$B:$T,19,0),"-")</f>
        <v>5.61627906976744</v>
      </c>
      <c r="V73" s="81">
        <f t="shared" si="27"/>
        <v>-4.00089445438282</v>
      </c>
      <c r="W73" s="82" t="str">
        <f t="shared" si="28"/>
        <v>正常</v>
      </c>
      <c r="X73" s="83" t="str">
        <f t="shared" si="29"/>
        <v>库存过高</v>
      </c>
      <c r="Y73" s="44">
        <f>IFERROR(SUMIF('3店辅助表'!K:K,B:B,'3店辅助表'!N:N),0)</f>
        <v>0</v>
      </c>
      <c r="Z73" s="44">
        <f>IFERROR(SUMIF('3店辅助表'!T:T,B:B,'3店辅助表'!W:W),0)</f>
        <v>0</v>
      </c>
      <c r="AA73" s="44">
        <f>IFERROR(SUMIF('3店辅助表'!AC:AC,B:B,'3店辅助表'!AF:AF),0)</f>
        <v>0</v>
      </c>
      <c r="AB73" s="91" t="str">
        <f>IFERROR(SUMIF('3店辅助表'!K:K,B:B,'3店辅助表'!N:N)/SUMIF('3店辅助表'!K:K,B:B,'3店辅助表'!O:O),"-")</f>
        <v>-</v>
      </c>
      <c r="AC73" s="91" t="str">
        <f>IFERROR(VLOOKUP(B:B,'[1]3店'!$B:$AB,27,0),"-")</f>
        <v>-</v>
      </c>
      <c r="AD73" s="92" t="str">
        <f t="shared" si="30"/>
        <v>-</v>
      </c>
      <c r="AE73" s="91" t="str">
        <f>IFERROR(SUMIF('3店辅助表'!T:T,B:B,'3店辅助表'!W:W)/SUMIF('3店辅助表'!T:T,B:B,'3店辅助表'!X:X),"-")</f>
        <v>-</v>
      </c>
      <c r="AF73" s="91" t="str">
        <f>IFERROR(SUMIF('3店辅助表'!AC:AC,B:B,'3店辅助表'!AF:AF)/SUMIF('3店辅助表'!AC:AC,B:B,'3店辅助表'!AG:AG),"-")</f>
        <v>-</v>
      </c>
      <c r="AG73" s="99">
        <f>IFERROR(AK73/((SUMIF('3店辅助表'!AT:AT,B:B,'3店辅助表'!AU:AU)+M73)/2),"-")</f>
        <v>0.186046511627907</v>
      </c>
      <c r="AH73" s="99">
        <f>IFERROR(AL73/((SUMIF('3店辅助表'!AW:AW,B:B,'3店辅助表'!AX:AX)+M73)/2),"-")</f>
        <v>0.208333333333333</v>
      </c>
      <c r="AI73" s="100">
        <f>IFERROR((SUMIF('3店辅助表'!AP:AP,B:B,'3店辅助表'!AR:AR)-SUMIF('3店辅助表'!AP:AP,B:B,'3店辅助表'!AR:AR)*0.15-(L73+IFERROR(VLOOKUP(B:B,'3店辅助表'!AZ:BA,2,0),0))*O73-IF(AN:AN="US",6.85,4.9)*(Z73+4.27*O73))/SUMIF('3店辅助表'!AP:AP,B:B,'3店辅助表'!AR:AR),"-")</f>
        <v>0.302678365727708</v>
      </c>
      <c r="AJ73" s="100">
        <f t="shared" si="31"/>
        <v>0.0630579928599391</v>
      </c>
      <c r="AK73" s="101">
        <f t="shared" si="32"/>
        <v>54.908</v>
      </c>
      <c r="AL73" s="101">
        <f t="shared" si="33"/>
        <v>68.635</v>
      </c>
      <c r="AM73" s="1" t="str">
        <f>VLOOKUP(B:B,'3店辅助表'!AZ:AZ,1,FALSE)</f>
        <v>Y03742-OR+Y03743</v>
      </c>
      <c r="AN73" t="str">
        <f>VLOOKUP(B:B,'3店辅助表'!AZ:BB,3,FALSE)</f>
        <v>US</v>
      </c>
    </row>
    <row r="74" customHeight="1" spans="1:40">
      <c r="A74" s="58" t="str">
        <f>INDEX('[1]3店'!$A:$A,MATCH(B:B,'[1]3店'!$B:$B,0))</f>
        <v>欣彤</v>
      </c>
      <c r="B74" s="43" t="s">
        <v>798</v>
      </c>
      <c r="C74" s="43" t="s">
        <v>799</v>
      </c>
      <c r="D74" s="59"/>
      <c r="E74" s="43" t="s">
        <v>800</v>
      </c>
      <c r="F74" s="43">
        <v>19</v>
      </c>
      <c r="G74" s="43">
        <v>0</v>
      </c>
      <c r="H74" s="43">
        <v>0</v>
      </c>
      <c r="I74" s="43">
        <v>1</v>
      </c>
      <c r="J74" s="43">
        <v>1</v>
      </c>
      <c r="K74" s="63">
        <f t="shared" si="34"/>
        <v>21</v>
      </c>
      <c r="L74" s="124">
        <f>VLOOKUP($B:$B,'[1]3店'!$B:$L,11,0)</f>
        <v>13.727</v>
      </c>
      <c r="M74" s="44">
        <f t="shared" si="12"/>
        <v>288.267</v>
      </c>
      <c r="N74" s="65">
        <f>IFERROR(VLOOKUP(B:B,'3店辅助表'!B:C,2,FALSE),0)</f>
        <v>2</v>
      </c>
      <c r="O74" s="65">
        <f>IFERROR(VLOOKUP(B:B,'3店辅助表'!E:F,2,FALSE),0)</f>
        <v>4</v>
      </c>
      <c r="P74" s="65">
        <f>IFERROR(VLOOKUP(B:B,'3店辅助表'!H:I,2,FALSE),0)</f>
        <v>6</v>
      </c>
      <c r="Q74" s="65">
        <f>IFERROR(VLOOKUP(B:B,'[1]3店'!$B:$N,13,FALSE),0)</f>
        <v>2</v>
      </c>
      <c r="R74" s="79">
        <f t="shared" si="24"/>
        <v>0</v>
      </c>
      <c r="S74" s="80">
        <f t="shared" si="25"/>
        <v>83.7341772151899</v>
      </c>
      <c r="T74" s="44">
        <f t="shared" si="26"/>
        <v>2.79113924050633</v>
      </c>
      <c r="U74" s="44">
        <f>IFERROR(VLOOKUP($B:$B,'[1]3店'!$B:$T,19,0),"-")</f>
        <v>3.87692307692308</v>
      </c>
      <c r="V74" s="81">
        <f t="shared" si="27"/>
        <v>-1.08578383641675</v>
      </c>
      <c r="W74" s="82" t="str">
        <f t="shared" si="28"/>
        <v>库存过高</v>
      </c>
      <c r="X74" s="83" t="str">
        <f t="shared" si="29"/>
        <v>库存过高</v>
      </c>
      <c r="Y74" s="44">
        <f>IFERROR(SUMIF('3店辅助表'!K:K,B:B,'3店辅助表'!N:N),0)</f>
        <v>0</v>
      </c>
      <c r="Z74" s="44">
        <f>IFERROR(SUMIF('3店辅助表'!T:T,B:B,'3店辅助表'!W:W),0)</f>
        <v>0</v>
      </c>
      <c r="AA74" s="44">
        <f>IFERROR(SUMIF('3店辅助表'!AC:AC,B:B,'3店辅助表'!AF:AF),0)</f>
        <v>0</v>
      </c>
      <c r="AB74" s="91" t="str">
        <f>IFERROR(SUMIF('3店辅助表'!K:K,B:B,'3店辅助表'!N:N)/SUMIF('3店辅助表'!K:K,B:B,'3店辅助表'!O:O),"-")</f>
        <v>-</v>
      </c>
      <c r="AC74" s="91" t="str">
        <f>IFERROR(VLOOKUP(B:B,'[1]3店'!$B:$AB,27,0),"-")</f>
        <v>-</v>
      </c>
      <c r="AD74" s="92" t="str">
        <f t="shared" si="30"/>
        <v>-</v>
      </c>
      <c r="AE74" s="91" t="str">
        <f>IFERROR(SUMIF('3店辅助表'!T:T,B:B,'3店辅助表'!W:W)/SUMIF('3店辅助表'!T:T,B:B,'3店辅助表'!X:X),"-")</f>
        <v>-</v>
      </c>
      <c r="AF74" s="91" t="str">
        <f>IFERROR(SUMIF('3店辅助表'!AC:AC,B:B,'3店辅助表'!AF:AF)/SUMIF('3店辅助表'!AC:AC,B:B,'3店辅助表'!AG:AG),"-")</f>
        <v>-</v>
      </c>
      <c r="AG74" s="99">
        <f>IFERROR(AK74/((SUMIF('3店辅助表'!AT:AT,B:B,'3店辅助表'!AU:AU)+M74)/2),"-")</f>
        <v>0.0888888888888889</v>
      </c>
      <c r="AH74" s="99">
        <f>IFERROR(AL74/((SUMIF('3店辅助表'!AW:AW,B:B,'3店辅助表'!AX:AX)+M74)/2),"-")</f>
        <v>0.235294117647059</v>
      </c>
      <c r="AI74" s="100">
        <f>IFERROR((SUMIF('3店辅助表'!AP:AP,B:B,'3店辅助表'!AR:AR)-SUMIF('3店辅助表'!AP:AP,B:B,'3店辅助表'!AR:AR)*0.15-(L74+IFERROR(VLOOKUP(B:B,'3店辅助表'!AZ:BA,2,0),0))*O74-IF(AN:AN="US",6.85,4.9)*(Z74+4.27*O74))/SUMIF('3店辅助表'!AP:AP,B:B,'3店辅助表'!AR:AR),"-")</f>
        <v>0.307769311598478</v>
      </c>
      <c r="AJ74" s="100">
        <f t="shared" si="31"/>
        <v>0.0724163086114067</v>
      </c>
      <c r="AK74" s="101">
        <f t="shared" si="32"/>
        <v>27.454</v>
      </c>
      <c r="AL74" s="101">
        <f t="shared" si="33"/>
        <v>54.908</v>
      </c>
      <c r="AM74" s="1" t="str">
        <f>VLOOKUP(B:B,'3店辅助表'!AZ:AZ,1,FALSE)</f>
        <v>Y03742-TG+Y03743</v>
      </c>
      <c r="AN74" t="str">
        <f>VLOOKUP(B:B,'3店辅助表'!AZ:BB,3,FALSE)</f>
        <v>US</v>
      </c>
    </row>
    <row r="75" customHeight="1" spans="1:40">
      <c r="A75" s="58" t="str">
        <f>INDEX('[1]3店'!$A:$A,MATCH(B:B,'[1]3店'!$B:$B,0))</f>
        <v>欣彤</v>
      </c>
      <c r="B75" s="43" t="s">
        <v>801</v>
      </c>
      <c r="C75" s="43" t="s">
        <v>802</v>
      </c>
      <c r="D75" s="59"/>
      <c r="E75" s="43" t="s">
        <v>803</v>
      </c>
      <c r="F75" s="43">
        <v>28</v>
      </c>
      <c r="G75" s="43">
        <v>0</v>
      </c>
      <c r="H75" s="43">
        <v>0</v>
      </c>
      <c r="I75" s="43">
        <v>10</v>
      </c>
      <c r="J75" s="43">
        <v>0</v>
      </c>
      <c r="K75" s="63">
        <f t="shared" si="34"/>
        <v>38</v>
      </c>
      <c r="L75" s="124">
        <f>VLOOKUP($B:$B,'[1]3店'!$B:$L,11,0)</f>
        <v>13.9</v>
      </c>
      <c r="M75" s="44">
        <f t="shared" si="12"/>
        <v>528.2</v>
      </c>
      <c r="N75" s="65">
        <f>IFERROR(VLOOKUP(B:B,'3店辅助表'!B:C,2,FALSE),0)</f>
        <v>6</v>
      </c>
      <c r="O75" s="65">
        <f>IFERROR(VLOOKUP(B:B,'3店辅助表'!E:F,2,FALSE),0)</f>
        <v>10</v>
      </c>
      <c r="P75" s="65">
        <f>IFERROR(VLOOKUP(B:B,'3店辅助表'!H:I,2,FALSE),0)</f>
        <v>21</v>
      </c>
      <c r="Q75" s="65">
        <f>IFERROR(VLOOKUP(B:B,'[1]3店'!$B:$N,13,FALSE),0)</f>
        <v>4</v>
      </c>
      <c r="R75" s="79">
        <f t="shared" si="24"/>
        <v>2</v>
      </c>
      <c r="S75" s="80">
        <f t="shared" si="25"/>
        <v>51.2633832976445</v>
      </c>
      <c r="T75" s="44">
        <f t="shared" si="26"/>
        <v>1.70877944325482</v>
      </c>
      <c r="U75" s="44">
        <f>IFERROR(VLOOKUP($B:$B,'[1]3店'!$B:$T,19,0),"-")</f>
        <v>2.39378238341969</v>
      </c>
      <c r="V75" s="81">
        <f t="shared" si="27"/>
        <v>-0.68500294016487</v>
      </c>
      <c r="W75" s="82" t="str">
        <f t="shared" si="28"/>
        <v>正常</v>
      </c>
      <c r="X75" s="83" t="str">
        <f t="shared" si="29"/>
        <v>库存过高</v>
      </c>
      <c r="Y75" s="44">
        <f>IFERROR(SUMIF('3店辅助表'!K:K,B:B,'3店辅助表'!N:N),0)</f>
        <v>0</v>
      </c>
      <c r="Z75" s="44">
        <f>IFERROR(SUMIF('3店辅助表'!T:T,B:B,'3店辅助表'!W:W),0)</f>
        <v>0</v>
      </c>
      <c r="AA75" s="44">
        <f>IFERROR(SUMIF('3店辅助表'!AC:AC,B:B,'3店辅助表'!AF:AF),0)</f>
        <v>0</v>
      </c>
      <c r="AB75" s="91" t="str">
        <f>IFERROR(SUMIF('3店辅助表'!K:K,B:B,'3店辅助表'!N:N)/SUMIF('3店辅助表'!K:K,B:B,'3店辅助表'!O:O),"-")</f>
        <v>-</v>
      </c>
      <c r="AC75" s="91" t="str">
        <f>IFERROR(VLOOKUP(B:B,'[1]3店'!$B:$AB,27,0),"-")</f>
        <v>-</v>
      </c>
      <c r="AD75" s="92" t="str">
        <f t="shared" si="30"/>
        <v>-</v>
      </c>
      <c r="AE75" s="91" t="str">
        <f>IFERROR(SUMIF('3店辅助表'!T:T,B:B,'3店辅助表'!W:W)/SUMIF('3店辅助表'!T:T,B:B,'3店辅助表'!X:X),"-")</f>
        <v>-</v>
      </c>
      <c r="AF75" s="91" t="str">
        <f>IFERROR(SUMIF('3店辅助表'!AC:AC,B:B,'3店辅助表'!AF:AF)/SUMIF('3店辅助表'!AC:AC,B:B,'3店辅助表'!AG:AG),"-")</f>
        <v>-</v>
      </c>
      <c r="AG75" s="99">
        <f>IFERROR(AK75/((SUMIF('3店辅助表'!AT:AT,B:B,'3店辅助表'!AU:AU)+M75)/2),"-")</f>
        <v>0.146341463414634</v>
      </c>
      <c r="AH75" s="99">
        <f>IFERROR(AL75/((SUMIF('3店辅助表'!AW:AW,B:B,'3店辅助表'!AX:AX)+M75)/2),"-")</f>
        <v>0.25974025974026</v>
      </c>
      <c r="AI75" s="100">
        <f>IFERROR((SUMIF('3店辅助表'!AP:AP,B:B,'3店辅助表'!AR:AR)-SUMIF('3店辅助表'!AP:AP,B:B,'3店辅助表'!AR:AR)*0.15-(L75+IFERROR(VLOOKUP(B:B,'3店辅助表'!AZ:BA,2,0),0))*O75-IF(AN:AN="US",6.85,4.9)*(Z75+4.27*O75))/SUMIF('3店辅助表'!AP:AP,B:B,'3店辅助表'!AR:AR),"-")</f>
        <v>0.300138511937875</v>
      </c>
      <c r="AJ75" s="100">
        <f t="shared" si="31"/>
        <v>0.0779580550487986</v>
      </c>
      <c r="AK75" s="101">
        <f t="shared" si="32"/>
        <v>83.4</v>
      </c>
      <c r="AL75" s="101">
        <f t="shared" si="33"/>
        <v>139</v>
      </c>
      <c r="AM75" s="1" t="str">
        <f>VLOOKUP(B:B,'3店辅助表'!AZ:AZ,1,FALSE)</f>
        <v>Y03652-BY+Y03653+Y03654</v>
      </c>
      <c r="AN75" t="str">
        <f>VLOOKUP(B:B,'3店辅助表'!AZ:BB,3,FALSE)</f>
        <v>US</v>
      </c>
    </row>
    <row r="76" customHeight="1" spans="1:40">
      <c r="A76" s="58" t="str">
        <f>INDEX('[1]3店'!$A:$A,MATCH(B:B,'[1]3店'!$B:$B,0))</f>
        <v>欣彤</v>
      </c>
      <c r="B76" s="43" t="s">
        <v>804</v>
      </c>
      <c r="C76" s="43" t="s">
        <v>805</v>
      </c>
      <c r="D76" s="59"/>
      <c r="E76" s="43" t="s">
        <v>806</v>
      </c>
      <c r="F76" s="43">
        <v>10</v>
      </c>
      <c r="G76" s="43">
        <v>0</v>
      </c>
      <c r="H76" s="43">
        <v>50</v>
      </c>
      <c r="I76" s="43">
        <v>0</v>
      </c>
      <c r="J76" s="43">
        <v>0</v>
      </c>
      <c r="K76" s="63">
        <f t="shared" si="34"/>
        <v>60</v>
      </c>
      <c r="L76" s="124">
        <f>VLOOKUP($B:$B,'[1]3店'!$B:$L,11,0)</f>
        <v>13.9</v>
      </c>
      <c r="M76" s="44">
        <f t="shared" si="12"/>
        <v>834</v>
      </c>
      <c r="N76" s="65">
        <f>IFERROR(VLOOKUP(B:B,'3店辅助表'!B:C,2,FALSE),0)</f>
        <v>2</v>
      </c>
      <c r="O76" s="65">
        <f>IFERROR(VLOOKUP(B:B,'3店辅助表'!E:F,2,FALSE),0)</f>
        <v>7</v>
      </c>
      <c r="P76" s="65">
        <f>IFERROR(VLOOKUP(B:B,'3店辅助表'!H:I,2,FALSE),0)</f>
        <v>12</v>
      </c>
      <c r="Q76" s="65">
        <f>IFERROR(VLOOKUP(B:B,'[1]3店'!$B:$N,13,FALSE),0)</f>
        <v>4</v>
      </c>
      <c r="R76" s="79">
        <f t="shared" si="24"/>
        <v>-2</v>
      </c>
      <c r="S76" s="80">
        <f t="shared" si="25"/>
        <v>156.198347107438</v>
      </c>
      <c r="T76" s="44">
        <f t="shared" si="26"/>
        <v>5.20661157024793</v>
      </c>
      <c r="U76" s="44">
        <f>IFERROR(VLOOKUP($B:$B,'[1]3店'!$B:$T,19,0),"-")</f>
        <v>0.763636363636364</v>
      </c>
      <c r="V76" s="81">
        <f t="shared" si="27"/>
        <v>4.44297520661157</v>
      </c>
      <c r="W76" s="82" t="str">
        <f t="shared" si="28"/>
        <v>库存过高</v>
      </c>
      <c r="X76" s="83" t="str">
        <f t="shared" si="29"/>
        <v>库存过高</v>
      </c>
      <c r="Y76" s="44">
        <f>IFERROR(SUMIF('3店辅助表'!K:K,B:B,'3店辅助表'!N:N),0)</f>
        <v>0</v>
      </c>
      <c r="Z76" s="44">
        <f>IFERROR(SUMIF('3店辅助表'!T:T,B:B,'3店辅助表'!W:W),0)</f>
        <v>0</v>
      </c>
      <c r="AA76" s="44">
        <f>IFERROR(SUMIF('3店辅助表'!AC:AC,B:B,'3店辅助表'!AF:AF),0)</f>
        <v>0</v>
      </c>
      <c r="AB76" s="91" t="str">
        <f>IFERROR(SUMIF('3店辅助表'!K:K,B:B,'3店辅助表'!N:N)/SUMIF('3店辅助表'!K:K,B:B,'3店辅助表'!O:O),"-")</f>
        <v>-</v>
      </c>
      <c r="AC76" s="91" t="str">
        <f>IFERROR(VLOOKUP(B:B,'[1]3店'!$B:$AB,27,0),"-")</f>
        <v>-</v>
      </c>
      <c r="AD76" s="92" t="str">
        <f t="shared" si="30"/>
        <v>-</v>
      </c>
      <c r="AE76" s="91" t="str">
        <f>IFERROR(SUMIF('3店辅助表'!T:T,B:B,'3店辅助表'!W:W)/SUMIF('3店辅助表'!T:T,B:B,'3店辅助表'!X:X),"-")</f>
        <v>-</v>
      </c>
      <c r="AF76" s="91" t="str">
        <f>IFERROR(SUMIF('3店辅助表'!AC:AC,B:B,'3店辅助表'!AF:AF)/SUMIF('3店辅助表'!AC:AC,B:B,'3店辅助表'!AG:AG),"-")</f>
        <v>-</v>
      </c>
      <c r="AG76" s="99">
        <f>IFERROR(AK76/((SUMIF('3店辅助表'!AT:AT,B:B,'3店辅助表'!AU:AU)+M76)/2),"-")</f>
        <v>0.0555555555555556</v>
      </c>
      <c r="AH76" s="99">
        <f>IFERROR(AL76/((SUMIF('3店辅助表'!AW:AW,B:B,'3店辅助表'!AX:AX)+M76)/2),"-")</f>
        <v>0.194444444444444</v>
      </c>
      <c r="AI76" s="100">
        <f>IFERROR((SUMIF('3店辅助表'!AP:AP,B:B,'3店辅助表'!AR:AR)-SUMIF('3店辅助表'!AP:AP,B:B,'3店辅助表'!AR:AR)*0.15-(L76+IFERROR(VLOOKUP(B:B,'3店辅助表'!AZ:BA,2,0),0))*O76-IF(AN:AN="US",6.85,4.9)*(Z76+4.27*O76))/SUMIF('3店辅助表'!AP:AP,B:B,'3店辅助表'!AR:AR),"-")</f>
        <v>0.282066743860527</v>
      </c>
      <c r="AJ76" s="100">
        <f t="shared" si="31"/>
        <v>0.0548463113062136</v>
      </c>
      <c r="AK76" s="101">
        <f t="shared" si="32"/>
        <v>27.8</v>
      </c>
      <c r="AL76" s="101">
        <f t="shared" si="33"/>
        <v>97.3</v>
      </c>
      <c r="AM76" s="1" t="str">
        <f>VLOOKUP(B:B,'3店辅助表'!AZ:AZ,1,FALSE)</f>
        <v>Y03652-GK+Y03653+Y03654</v>
      </c>
      <c r="AN76" t="str">
        <f>VLOOKUP(B:B,'3店辅助表'!AZ:BB,3,FALSE)</f>
        <v>US</v>
      </c>
    </row>
    <row r="77" customHeight="1" spans="1:40">
      <c r="A77" s="58" t="str">
        <f>INDEX('[1]3店'!$A:$A,MATCH(B:B,'[1]3店'!$B:$B,0))</f>
        <v>欣彤</v>
      </c>
      <c r="B77" s="43" t="s">
        <v>807</v>
      </c>
      <c r="C77" s="43" t="s">
        <v>808</v>
      </c>
      <c r="D77" s="59"/>
      <c r="E77" s="43" t="s">
        <v>809</v>
      </c>
      <c r="F77" s="43">
        <v>39</v>
      </c>
      <c r="G77" s="43">
        <v>1</v>
      </c>
      <c r="H77" s="43">
        <v>0</v>
      </c>
      <c r="I77" s="43">
        <v>0</v>
      </c>
      <c r="J77" s="43">
        <v>0</v>
      </c>
      <c r="K77" s="63">
        <f t="shared" si="34"/>
        <v>40</v>
      </c>
      <c r="L77" s="124">
        <f>VLOOKUP($B:$B,'[1]3店'!$B:$L,11,0)</f>
        <v>13.9</v>
      </c>
      <c r="M77" s="44">
        <f t="shared" si="12"/>
        <v>556</v>
      </c>
      <c r="N77" s="65">
        <f>IFERROR(VLOOKUP(B:B,'3店辅助表'!B:C,2,FALSE),0)</f>
        <v>0</v>
      </c>
      <c r="O77" s="65">
        <f>IFERROR(VLOOKUP(B:B,'3店辅助表'!E:F,2,FALSE),0)</f>
        <v>1</v>
      </c>
      <c r="P77" s="65">
        <f>IFERROR(VLOOKUP(B:B,'3店辅助表'!H:I,2,FALSE),0)</f>
        <v>6</v>
      </c>
      <c r="Q77" s="65">
        <f>IFERROR(VLOOKUP(B:B,'[1]3店'!$B:$N,13,FALSE),0)</f>
        <v>1</v>
      </c>
      <c r="R77" s="79">
        <f t="shared" si="24"/>
        <v>-1</v>
      </c>
      <c r="S77" s="80">
        <f t="shared" si="25"/>
        <v>450</v>
      </c>
      <c r="T77" s="44">
        <f t="shared" si="26"/>
        <v>15</v>
      </c>
      <c r="U77" s="44">
        <f>IFERROR(VLOOKUP($B:$B,'[1]3店'!$B:$T,19,0),"-")</f>
        <v>7.36842105263158</v>
      </c>
      <c r="V77" s="81">
        <f t="shared" si="27"/>
        <v>7.63157894736842</v>
      </c>
      <c r="W77" s="82" t="str">
        <f t="shared" si="28"/>
        <v>有库存无销量</v>
      </c>
      <c r="X77" s="83" t="str">
        <f t="shared" si="29"/>
        <v>库存过高</v>
      </c>
      <c r="Y77" s="44">
        <f>IFERROR(SUMIF('3店辅助表'!K:K,B:B,'3店辅助表'!N:N),0)</f>
        <v>0</v>
      </c>
      <c r="Z77" s="44">
        <f>IFERROR(SUMIF('3店辅助表'!T:T,B:B,'3店辅助表'!W:W),0)</f>
        <v>0</v>
      </c>
      <c r="AA77" s="44">
        <f>IFERROR(SUMIF('3店辅助表'!AC:AC,B:B,'3店辅助表'!AF:AF),0)</f>
        <v>0</v>
      </c>
      <c r="AB77" s="91" t="str">
        <f>IFERROR(SUMIF('3店辅助表'!K:K,B:B,'3店辅助表'!N:N)/SUMIF('3店辅助表'!K:K,B:B,'3店辅助表'!O:O),"-")</f>
        <v>-</v>
      </c>
      <c r="AC77" s="91" t="str">
        <f>IFERROR(VLOOKUP(B:B,'[1]3店'!$B:$AB,27,0),"-")</f>
        <v>-</v>
      </c>
      <c r="AD77" s="92" t="str">
        <f t="shared" si="30"/>
        <v>-</v>
      </c>
      <c r="AE77" s="91" t="str">
        <f>IFERROR(SUMIF('3店辅助表'!T:T,B:B,'3店辅助表'!W:W)/SUMIF('3店辅助表'!T:T,B:B,'3店辅助表'!X:X),"-")</f>
        <v>-</v>
      </c>
      <c r="AF77" s="91" t="str">
        <f>IFERROR(SUMIF('3店辅助表'!AC:AC,B:B,'3店辅助表'!AF:AF)/SUMIF('3店辅助表'!AC:AC,B:B,'3店辅助表'!AG:AG),"-")</f>
        <v>-</v>
      </c>
      <c r="AG77" s="99">
        <f>IFERROR(AK77/((SUMIF('3店辅助表'!AT:AT,B:B,'3店辅助表'!AU:AU)+M77)/2),"-")</f>
        <v>0</v>
      </c>
      <c r="AH77" s="99">
        <f>IFERROR(AL77/((SUMIF('3店辅助表'!AW:AW,B:B,'3店辅助表'!AX:AX)+M77)/2),"-")</f>
        <v>0.0235294117647059</v>
      </c>
      <c r="AI77" s="100">
        <f>IFERROR((SUMIF('3店辅助表'!AP:AP,B:B,'3店辅助表'!AR:AR)-SUMIF('3店辅助表'!AP:AP,B:B,'3店辅助表'!AR:AR)*0.15-(L77+IFERROR(VLOOKUP(B:B,'3店辅助表'!AZ:BA,2,0),0))*O77-IF(AN:AN="US",6.85,4.9)*(Z77+4.27*O77))/SUMIF('3店辅助表'!AP:AP,B:B,'3店辅助表'!AR:AR),"-")</f>
        <v>0.220529280102017</v>
      </c>
      <c r="AJ77" s="100">
        <f t="shared" si="31"/>
        <v>0.00518892423769452</v>
      </c>
      <c r="AK77" s="101">
        <f t="shared" si="32"/>
        <v>0</v>
      </c>
      <c r="AL77" s="101">
        <f t="shared" si="33"/>
        <v>13.9</v>
      </c>
      <c r="AM77" s="1" t="str">
        <f>VLOOKUP(B:B,'3店辅助表'!AZ:AZ,1,FALSE)</f>
        <v>Y3015-BY+Y3016+Y3017</v>
      </c>
      <c r="AN77" t="str">
        <f>VLOOKUP(B:B,'3店辅助表'!AZ:BB,3,FALSE)</f>
        <v>US</v>
      </c>
    </row>
    <row r="78" customHeight="1" spans="1:40">
      <c r="A78" s="58" t="str">
        <f>INDEX('[1]3店'!$A:$A,MATCH(B:B,'[1]3店'!$B:$B,0))</f>
        <v>欣彤</v>
      </c>
      <c r="B78" s="43" t="s">
        <v>810</v>
      </c>
      <c r="C78" s="43" t="s">
        <v>811</v>
      </c>
      <c r="D78" s="59"/>
      <c r="E78" s="43" t="s">
        <v>812</v>
      </c>
      <c r="F78" s="43">
        <v>16</v>
      </c>
      <c r="G78" s="43">
        <v>0</v>
      </c>
      <c r="H78" s="43">
        <v>0</v>
      </c>
      <c r="I78" s="43">
        <v>0</v>
      </c>
      <c r="J78" s="43">
        <v>0</v>
      </c>
      <c r="K78" s="63">
        <f t="shared" si="34"/>
        <v>16</v>
      </c>
      <c r="L78" s="124">
        <f>VLOOKUP($B:$B,'[1]3店'!$B:$L,11,0)</f>
        <v>13.9</v>
      </c>
      <c r="M78" s="44">
        <f t="shared" si="12"/>
        <v>222.4</v>
      </c>
      <c r="N78" s="65">
        <f>IFERROR(VLOOKUP(B:B,'3店辅助表'!B:C,2,FALSE),0)</f>
        <v>1</v>
      </c>
      <c r="O78" s="65">
        <f>IFERROR(VLOOKUP(B:B,'3店辅助表'!E:F,2,FALSE),0)</f>
        <v>2</v>
      </c>
      <c r="P78" s="65">
        <f>IFERROR(VLOOKUP(B:B,'3店辅助表'!H:I,2,FALSE),0)</f>
        <v>5</v>
      </c>
      <c r="Q78" s="65">
        <f>IFERROR(VLOOKUP(B:B,'[1]3店'!$B:$N,13,FALSE),0)</f>
        <v>1</v>
      </c>
      <c r="R78" s="79">
        <f t="shared" si="24"/>
        <v>0</v>
      </c>
      <c r="S78" s="80">
        <f t="shared" si="25"/>
        <v>108.387096774194</v>
      </c>
      <c r="T78" s="44">
        <f t="shared" si="26"/>
        <v>3.61290322580645</v>
      </c>
      <c r="U78" s="44">
        <f>IFERROR(VLOOKUP($B:$B,'[1]3店'!$B:$T,19,0),"-")</f>
        <v>3.57</v>
      </c>
      <c r="V78" s="81">
        <f t="shared" si="27"/>
        <v>0.0429032258064503</v>
      </c>
      <c r="W78" s="82" t="str">
        <f t="shared" si="28"/>
        <v>库存过高</v>
      </c>
      <c r="X78" s="83" t="str">
        <f t="shared" si="29"/>
        <v>库存过高</v>
      </c>
      <c r="Y78" s="44">
        <f>IFERROR(SUMIF('3店辅助表'!K:K,B:B,'3店辅助表'!N:N),0)</f>
        <v>0</v>
      </c>
      <c r="Z78" s="44">
        <f>IFERROR(SUMIF('3店辅助表'!T:T,B:B,'3店辅助表'!W:W),0)</f>
        <v>0</v>
      </c>
      <c r="AA78" s="44">
        <f>IFERROR(SUMIF('3店辅助表'!AC:AC,B:B,'3店辅助表'!AF:AF),0)</f>
        <v>0</v>
      </c>
      <c r="AB78" s="91" t="str">
        <f>IFERROR(SUMIF('3店辅助表'!K:K,B:B,'3店辅助表'!N:N)/SUMIF('3店辅助表'!K:K,B:B,'3店辅助表'!O:O),"-")</f>
        <v>-</v>
      </c>
      <c r="AC78" s="91" t="str">
        <f>IFERROR(VLOOKUP(B:B,'[1]3店'!$B:$AB,27,0),"-")</f>
        <v>-</v>
      </c>
      <c r="AD78" s="92" t="str">
        <f t="shared" si="30"/>
        <v>-</v>
      </c>
      <c r="AE78" s="91" t="str">
        <f>IFERROR(SUMIF('3店辅助表'!T:T,B:B,'3店辅助表'!W:W)/SUMIF('3店辅助表'!T:T,B:B,'3店辅助表'!X:X),"-")</f>
        <v>-</v>
      </c>
      <c r="AF78" s="91" t="str">
        <f>IFERROR(SUMIF('3店辅助表'!AC:AC,B:B,'3店辅助表'!AF:AF)/SUMIF('3店辅助表'!AC:AC,B:B,'3店辅助表'!AG:AG),"-")</f>
        <v>-</v>
      </c>
      <c r="AG78" s="99">
        <f>IFERROR(AK78/((SUMIF('3店辅助表'!AT:AT,B:B,'3店辅助表'!AU:AU)+M78)/2),"-")</f>
        <v>0.0606060606060606</v>
      </c>
      <c r="AH78" s="99">
        <f>IFERROR(AL78/((SUMIF('3店辅助表'!AW:AW,B:B,'3店辅助表'!AX:AX)+M78)/2),"-")</f>
        <v>0.108108108108108</v>
      </c>
      <c r="AI78" s="100">
        <f>IFERROR((SUMIF('3店辅助表'!AP:AP,B:B,'3店辅助表'!AR:AR)-SUMIF('3店辅助表'!AP:AP,B:B,'3店辅助表'!AR:AR)*0.15-(L78+IFERROR(VLOOKUP(B:B,'3店辅助表'!AZ:BA,2,0),0))*O78-IF(AN:AN="US",6.85,4.9)*(Z78+4.27*O78))/SUMIF('3店辅助表'!AP:AP,B:B,'3店辅助表'!AR:AR),"-")</f>
        <v>0.302824463512078</v>
      </c>
      <c r="AJ78" s="100">
        <f t="shared" si="31"/>
        <v>0.0327377798391436</v>
      </c>
      <c r="AK78" s="101">
        <f t="shared" si="32"/>
        <v>13.9</v>
      </c>
      <c r="AL78" s="101">
        <f t="shared" si="33"/>
        <v>27.8</v>
      </c>
      <c r="AM78" s="1" t="str">
        <f>VLOOKUP(B:B,'3店辅助表'!AZ:AZ,1,FALSE)</f>
        <v>Y3015-GK+Y3016+Y3017</v>
      </c>
      <c r="AN78" t="str">
        <f>VLOOKUP(B:B,'3店辅助表'!AZ:BB,3,FALSE)</f>
        <v>US</v>
      </c>
    </row>
    <row r="79" customHeight="1" spans="1:40">
      <c r="A79" s="58" t="str">
        <f>INDEX('[1]3店'!$A:$A,MATCH(B:B,'[1]3店'!$B:$B,0))</f>
        <v>欣彤</v>
      </c>
      <c r="B79" s="43" t="s">
        <v>813</v>
      </c>
      <c r="C79" s="43" t="s">
        <v>814</v>
      </c>
      <c r="D79" s="59">
        <f>VLOOKUP(B:B,'[1]3店'!$B:$L,3,0)</f>
        <v>44798</v>
      </c>
      <c r="E79" s="43" t="s">
        <v>815</v>
      </c>
      <c r="F79" s="43">
        <v>4</v>
      </c>
      <c r="G79" s="43">
        <v>0</v>
      </c>
      <c r="H79" s="43">
        <v>0</v>
      </c>
      <c r="I79" s="43">
        <v>14</v>
      </c>
      <c r="J79" s="43">
        <v>0</v>
      </c>
      <c r="K79" s="63">
        <f t="shared" si="34"/>
        <v>18</v>
      </c>
      <c r="L79" s="124">
        <f>VLOOKUP($B:$B,'[1]3店'!$B:$L,11,0)</f>
        <v>13.9</v>
      </c>
      <c r="M79" s="44">
        <f t="shared" si="12"/>
        <v>250.2</v>
      </c>
      <c r="N79" s="65">
        <f>IFERROR(VLOOKUP(B:B,'3店辅助表'!B:C,2,FALSE),0)</f>
        <v>0</v>
      </c>
      <c r="O79" s="65">
        <f>IFERROR(VLOOKUP(B:B,'3店辅助表'!E:F,2,FALSE),0)</f>
        <v>3</v>
      </c>
      <c r="P79" s="65">
        <f>IFERROR(VLOOKUP(B:B,'3店辅助表'!H:I,2,FALSE),0)</f>
        <v>4</v>
      </c>
      <c r="Q79" s="65">
        <f>IFERROR(VLOOKUP(B:B,'[1]3店'!$B:$N,13,FALSE),0)</f>
        <v>3</v>
      </c>
      <c r="R79" s="79">
        <f t="shared" ref="R79:R137" si="35">N79-Q79</f>
        <v>-3</v>
      </c>
      <c r="S79" s="80">
        <f t="shared" ref="S79:S137" si="36">IFERROR(K79/((N79/7+O79/15+P79/30)/3),"-")</f>
        <v>162</v>
      </c>
      <c r="T79" s="44">
        <f t="shared" ref="T79:T137" si="37">IFERROR(S79/30,"-")</f>
        <v>5.4</v>
      </c>
      <c r="U79" s="44">
        <f>IFERROR(VLOOKUP($B:$B,'[1]3店'!$B:$T,19,0),"-")</f>
        <v>2.49375</v>
      </c>
      <c r="V79" s="81">
        <f t="shared" ref="V79:V137" si="38">IFERROR(T79-U79,"-")</f>
        <v>2.90625</v>
      </c>
      <c r="W79" s="82" t="str">
        <f t="shared" ref="W79:W137" si="39">_xlfn.IFS(AND(D79&lt;&gt;0,D79-$AM$2&gt;=0,B79&gt;0,D79&lt;&gt;0),"本月刚到货",AND(IFERROR((K79/(N79/7))/30,"-")="-",K79&gt;0),"有库存无销量",AND(IFERROR((K79/(N79/7))/30,"-")="-",K79=0),"无库存无销量",AND(IFERROR((K79/(N79/7))/30,"-")&lt;=0.5,K79=0),"无库存有销量",IFERROR((K79/(N79/7))/30,"-")&lt;=0.5,"库存过低",IFERROR((K79/(N79/7))/30,"-")&lt;=1.5,"正常",IFERROR((K79/(N79/7))/30,"-")&gt;1.5,"库存过高")</f>
        <v>有库存无销量</v>
      </c>
      <c r="X79" s="83" t="str">
        <f t="shared" ref="X79:X137" si="40">_xlfn.IFS(AND(D79&lt;&gt;0,D79-$AM$2&gt;=0,K79&gt;0,D79&lt;&gt;0),"本月刚到货",AND(T79="-",K79&gt;0),"有库存无销量",AND(T79="-",K79=0),"无库存无销量",AND(T79&lt;=0.5,K79=0),"无库存有销量",T79&lt;=0.5,"库存过低",T79&lt;=1.5,"正常",T79&gt;1.5,"库存过高")</f>
        <v>库存过高</v>
      </c>
      <c r="Y79" s="44">
        <f>IFERROR(SUMIF('3店辅助表'!K:K,B:B,'3店辅助表'!N:N),0)</f>
        <v>0</v>
      </c>
      <c r="Z79" s="44">
        <f>IFERROR(SUMIF('3店辅助表'!T:T,B:B,'3店辅助表'!W:W),0)</f>
        <v>5.13</v>
      </c>
      <c r="AA79" s="44">
        <f>IFERROR(SUMIF('3店辅助表'!AC:AC,B:B,'3店辅助表'!AF:AF),0)</f>
        <v>18.01</v>
      </c>
      <c r="AB79" s="91" t="str">
        <f>IFERROR(SUMIF('3店辅助表'!K:K,B:B,'3店辅助表'!N:N)/SUMIF('3店辅助表'!K:K,B:B,'3店辅助表'!O:O),"-")</f>
        <v>-</v>
      </c>
      <c r="AC79" s="91">
        <f>IFERROR(VLOOKUP(B:B,'[1]3店'!$B:$AB,27,0),"-")</f>
        <v>0.172429481346679</v>
      </c>
      <c r="AD79" s="92" t="str">
        <f t="shared" ref="AD79:AD137" si="41">IFERROR(AB79-AC79,"-")</f>
        <v>-</v>
      </c>
      <c r="AE79" s="91">
        <f>IFERROR(SUMIF('3店辅助表'!T:T,B:B,'3店辅助表'!W:W)/SUMIF('3店辅助表'!T:T,B:B,'3店辅助表'!X:X),"-")</f>
        <v>0.233393994540491</v>
      </c>
      <c r="AF79" s="91">
        <f>IFERROR(SUMIF('3店辅助表'!AC:AC,B:B,'3店辅助表'!AF:AF)/SUMIF('3店辅助表'!AC:AC,B:B,'3店辅助表'!AG:AG),"-")</f>
        <v>0.51501286817272</v>
      </c>
      <c r="AG79" s="99">
        <f>IFERROR(AK79/((SUMIF('3店辅助表'!AT:AT,B:B,'3店辅助表'!AU:AU)+M79)/2),"-")</f>
        <v>0</v>
      </c>
      <c r="AH79" s="99">
        <f>IFERROR(AL79/((SUMIF('3店辅助表'!AW:AW,B:B,'3店辅助表'!AX:AX)+M79)/2),"-")</f>
        <v>0.146341463414634</v>
      </c>
      <c r="AI79" s="100">
        <f>IFERROR((SUMIF('3店辅助表'!AP:AP,B:B,'3店辅助表'!AR:AR)-SUMIF('3店辅助表'!AP:AP,B:B,'3店辅助表'!AR:AR)*0.15-(L79+IFERROR(VLOOKUP(B:B,'3店辅助表'!AZ:BA,2,0),0))*O79-IF(AN:AN="US",6.85,4.9)*(Z79+4.27*O79))/SUMIF('3店辅助表'!AP:AP,B:B,'3店辅助表'!AR:AR),"-")</f>
        <v>0.0767422939234739</v>
      </c>
      <c r="AJ79" s="100">
        <f t="shared" ref="AJ79:AJ137" si="42">IFERROR(AH79*AI79,"-")</f>
        <v>0.0112305795985572</v>
      </c>
      <c r="AK79" s="101">
        <f t="shared" ref="AK79:AK137" si="43">N79*$L79</f>
        <v>0</v>
      </c>
      <c r="AL79" s="101">
        <f t="shared" ref="AL79:AL137" si="44">O79*$L79</f>
        <v>41.7</v>
      </c>
      <c r="AM79" s="1" t="str">
        <f>VLOOKUP(B:B,'3店辅助表'!AZ:AZ,1,FALSE)</f>
        <v>Y3022-GK+Y3023+Y3024</v>
      </c>
      <c r="AN79" t="str">
        <f>VLOOKUP(B:B,'3店辅助表'!AZ:BB,3,FALSE)</f>
        <v>US</v>
      </c>
    </row>
    <row r="80" customHeight="1" spans="1:40">
      <c r="A80" s="58" t="str">
        <f>INDEX('[1]3店'!$A:$A,MATCH(B:B,'[1]3店'!$B:$B,0))</f>
        <v>欣彤</v>
      </c>
      <c r="B80" s="43" t="s">
        <v>816</v>
      </c>
      <c r="C80" s="43" t="s">
        <v>817</v>
      </c>
      <c r="D80" s="59">
        <f>VLOOKUP(B:B,'[1]3店'!$B:$L,3,0)</f>
        <v>44798</v>
      </c>
      <c r="E80" s="43" t="s">
        <v>818</v>
      </c>
      <c r="F80" s="43">
        <v>28</v>
      </c>
      <c r="G80" s="43">
        <v>0</v>
      </c>
      <c r="H80" s="43">
        <v>0</v>
      </c>
      <c r="I80" s="43">
        <v>0</v>
      </c>
      <c r="J80" s="43">
        <v>0</v>
      </c>
      <c r="K80" s="63">
        <f t="shared" si="34"/>
        <v>28</v>
      </c>
      <c r="L80" s="124">
        <f>VLOOKUP($B:$B,'[1]3店'!$B:$L,11,0)</f>
        <v>13.9</v>
      </c>
      <c r="M80" s="44">
        <f t="shared" si="12"/>
        <v>389.2</v>
      </c>
      <c r="N80" s="65">
        <f>IFERROR(VLOOKUP(B:B,'3店辅助表'!B:C,2,FALSE),0)</f>
        <v>1</v>
      </c>
      <c r="O80" s="65">
        <f>IFERROR(VLOOKUP(B:B,'3店辅助表'!E:F,2,FALSE),0)</f>
        <v>3</v>
      </c>
      <c r="P80" s="65">
        <f>IFERROR(VLOOKUP(B:B,'3店辅助表'!H:I,2,FALSE),0)</f>
        <v>9</v>
      </c>
      <c r="Q80" s="65">
        <f>IFERROR(VLOOKUP(B:B,'[1]3店'!$B:$N,13,FALSE),0)</f>
        <v>2</v>
      </c>
      <c r="R80" s="79">
        <f t="shared" si="35"/>
        <v>-1</v>
      </c>
      <c r="S80" s="80">
        <f t="shared" si="36"/>
        <v>130.666666666667</v>
      </c>
      <c r="T80" s="44">
        <f t="shared" si="37"/>
        <v>4.35555555555556</v>
      </c>
      <c r="U80" s="44">
        <f>IFERROR(VLOOKUP($B:$B,'[1]3店'!$B:$T,19,0),"-")</f>
        <v>3.28491620111732</v>
      </c>
      <c r="V80" s="81">
        <f t="shared" si="38"/>
        <v>1.07063935443824</v>
      </c>
      <c r="W80" s="82" t="str">
        <f t="shared" si="39"/>
        <v>库存过高</v>
      </c>
      <c r="X80" s="83" t="str">
        <f t="shared" si="40"/>
        <v>库存过高</v>
      </c>
      <c r="Y80" s="44">
        <f>IFERROR(SUMIF('3店辅助表'!K:K,B:B,'3店辅助表'!N:N),0)</f>
        <v>0</v>
      </c>
      <c r="Z80" s="44">
        <f>IFERROR(SUMIF('3店辅助表'!T:T,B:B,'3店辅助表'!W:W),0)</f>
        <v>0</v>
      </c>
      <c r="AA80" s="44">
        <f>IFERROR(SUMIF('3店辅助表'!AC:AC,B:B,'3店辅助表'!AF:AF),0)</f>
        <v>0</v>
      </c>
      <c r="AB80" s="91" t="str">
        <f>IFERROR(SUMIF('3店辅助表'!K:K,B:B,'3店辅助表'!N:N)/SUMIF('3店辅助表'!K:K,B:B,'3店辅助表'!O:O),"-")</f>
        <v>-</v>
      </c>
      <c r="AC80" s="91" t="str">
        <f>IFERROR(VLOOKUP(B:B,'[1]3店'!$B:$AB,27,0),"-")</f>
        <v>-</v>
      </c>
      <c r="AD80" s="92" t="str">
        <f t="shared" si="41"/>
        <v>-</v>
      </c>
      <c r="AE80" s="91" t="str">
        <f>IFERROR(SUMIF('3店辅助表'!T:T,B:B,'3店辅助表'!W:W)/SUMIF('3店辅助表'!T:T,B:B,'3店辅助表'!X:X),"-")</f>
        <v>-</v>
      </c>
      <c r="AF80" s="91" t="str">
        <f>IFERROR(SUMIF('3店辅助表'!AC:AC,B:B,'3店辅助表'!AF:AF)/SUMIF('3店辅助表'!AC:AC,B:B,'3店辅助表'!AG:AG),"-")</f>
        <v>-</v>
      </c>
      <c r="AG80" s="99">
        <f>IFERROR(AK80/((SUMIF('3店辅助表'!AT:AT,B:B,'3店辅助表'!AU:AU)+M80)/2),"-")</f>
        <v>0.0357142857142857</v>
      </c>
      <c r="AH80" s="99">
        <f>IFERROR(AL80/((SUMIF('3店辅助表'!AW:AW,B:B,'3店辅助表'!AX:AX)+M80)/2),"-")</f>
        <v>0.0923076923076923</v>
      </c>
      <c r="AI80" s="100">
        <f>IFERROR((SUMIF('3店辅助表'!AP:AP,B:B,'3店辅助表'!AR:AR)-SUMIF('3店辅助表'!AP:AP,B:B,'3店辅助表'!AR:AR)*0.15-(L80+IFERROR(VLOOKUP(B:B,'3店辅助表'!AZ:BA,2,0),0))*O80-IF(AN:AN="US",6.85,4.9)*(Z80+4.27*O80))/SUMIF('3店辅助表'!AP:AP,B:B,'3店辅助表'!AR:AR),"-")</f>
        <v>0.314905626450442</v>
      </c>
      <c r="AJ80" s="100">
        <f t="shared" si="42"/>
        <v>0.0290682116723485</v>
      </c>
      <c r="AK80" s="101">
        <f t="shared" si="43"/>
        <v>13.9</v>
      </c>
      <c r="AL80" s="101">
        <f t="shared" si="44"/>
        <v>41.7</v>
      </c>
      <c r="AM80" s="1" t="str">
        <f>VLOOKUP(B:B,'3店辅助表'!AZ:AZ,1,FALSE)</f>
        <v>Y03564-BY+Y03565+Y03566</v>
      </c>
      <c r="AN80" t="str">
        <f>VLOOKUP(B:B,'3店辅助表'!AZ:BB,3,FALSE)</f>
        <v>US</v>
      </c>
    </row>
    <row r="81" customHeight="1" spans="1:40">
      <c r="A81" s="58" t="str">
        <f>INDEX('[1]3店'!$A:$A,MATCH(B:B,'[1]3店'!$B:$B,0))</f>
        <v>欣彤</v>
      </c>
      <c r="B81" s="43" t="s">
        <v>819</v>
      </c>
      <c r="C81" s="43" t="s">
        <v>820</v>
      </c>
      <c r="D81" s="59">
        <f>VLOOKUP(B:B,'[1]3店'!$B:$L,3,0)</f>
        <v>44798</v>
      </c>
      <c r="E81" s="43" t="s">
        <v>821</v>
      </c>
      <c r="F81" s="43">
        <v>9</v>
      </c>
      <c r="G81" s="43">
        <v>0</v>
      </c>
      <c r="H81" s="43">
        <v>4</v>
      </c>
      <c r="I81" s="43">
        <v>0</v>
      </c>
      <c r="J81" s="43">
        <v>0</v>
      </c>
      <c r="K81" s="63">
        <f t="shared" si="34"/>
        <v>13</v>
      </c>
      <c r="L81" s="124">
        <f>VLOOKUP($B:$B,'[1]3店'!$B:$L,11,0)</f>
        <v>13.9</v>
      </c>
      <c r="M81" s="44">
        <f t="shared" si="12"/>
        <v>180.7</v>
      </c>
      <c r="N81" s="65">
        <f>IFERROR(VLOOKUP(B:B,'3店辅助表'!B:C,2,FALSE),0)</f>
        <v>0</v>
      </c>
      <c r="O81" s="65">
        <f>IFERROR(VLOOKUP(B:B,'3店辅助表'!E:F,2,FALSE),0)</f>
        <v>2</v>
      </c>
      <c r="P81" s="65">
        <f>IFERROR(VLOOKUP(B:B,'3店辅助表'!H:I,2,FALSE),0)</f>
        <v>9</v>
      </c>
      <c r="Q81" s="65">
        <f>IFERROR(VLOOKUP(B:B,'[1]3店'!$B:$N,13,FALSE),0)</f>
        <v>1</v>
      </c>
      <c r="R81" s="79">
        <f t="shared" si="35"/>
        <v>-1</v>
      </c>
      <c r="S81" s="80">
        <f t="shared" si="36"/>
        <v>90</v>
      </c>
      <c r="T81" s="44">
        <f t="shared" si="37"/>
        <v>3</v>
      </c>
      <c r="U81" s="44">
        <f>IFERROR(VLOOKUP($B:$B,'[1]3店'!$B:$T,19,0),"-")</f>
        <v>2.73913043478261</v>
      </c>
      <c r="V81" s="81">
        <f t="shared" si="38"/>
        <v>0.26086956521739</v>
      </c>
      <c r="W81" s="82" t="str">
        <f t="shared" si="39"/>
        <v>有库存无销量</v>
      </c>
      <c r="X81" s="83" t="str">
        <f t="shared" si="40"/>
        <v>库存过高</v>
      </c>
      <c r="Y81" s="44">
        <f>IFERROR(SUMIF('3店辅助表'!K:K,B:B,'3店辅助表'!N:N),0)</f>
        <v>0</v>
      </c>
      <c r="Z81" s="44">
        <f>IFERROR(SUMIF('3店辅助表'!T:T,B:B,'3店辅助表'!W:W),0)</f>
        <v>0</v>
      </c>
      <c r="AA81" s="44">
        <f>IFERROR(SUMIF('3店辅助表'!AC:AC,B:B,'3店辅助表'!AF:AF),0)</f>
        <v>0</v>
      </c>
      <c r="AB81" s="91" t="str">
        <f>IFERROR(SUMIF('3店辅助表'!K:K,B:B,'3店辅助表'!N:N)/SUMIF('3店辅助表'!K:K,B:B,'3店辅助表'!O:O),"-")</f>
        <v>-</v>
      </c>
      <c r="AC81" s="91" t="str">
        <f>IFERROR(VLOOKUP(B:B,'[1]3店'!$B:$AB,27,0),"-")</f>
        <v>-</v>
      </c>
      <c r="AD81" s="92" t="str">
        <f t="shared" si="41"/>
        <v>-</v>
      </c>
      <c r="AE81" s="91" t="str">
        <f>IFERROR(SUMIF('3店辅助表'!T:T,B:B,'3店辅助表'!W:W)/SUMIF('3店辅助表'!T:T,B:B,'3店辅助表'!X:X),"-")</f>
        <v>-</v>
      </c>
      <c r="AF81" s="91" t="str">
        <f>IFERROR(SUMIF('3店辅助表'!AC:AC,B:B,'3店辅助表'!AF:AF)/SUMIF('3店辅助表'!AC:AC,B:B,'3店辅助表'!AG:AG),"-")</f>
        <v>-</v>
      </c>
      <c r="AG81" s="99">
        <f>IFERROR(AK81/((SUMIF('3店辅助表'!AT:AT,B:B,'3店辅助表'!AU:AU)+M81)/2),"-")</f>
        <v>0</v>
      </c>
      <c r="AH81" s="99">
        <f>IFERROR(AL81/((SUMIF('3店辅助表'!AW:AW,B:B,'3店辅助表'!AX:AX)+M81)/2),"-")</f>
        <v>0.114285714285714</v>
      </c>
      <c r="AI81" s="100">
        <f>IFERROR((SUMIF('3店辅助表'!AP:AP,B:B,'3店辅助表'!AR:AR)-SUMIF('3店辅助表'!AP:AP,B:B,'3店辅助表'!AR:AR)*0.15-(L81+IFERROR(VLOOKUP(B:B,'3店辅助表'!AZ:BA,2,0),0))*O81-IF(AN:AN="US",6.85,4.9)*(Z81+4.27*O81))/SUMIF('3店辅助表'!AP:AP,B:B,'3店辅助表'!AR:AR),"-")</f>
        <v>0.243576155311908</v>
      </c>
      <c r="AJ81" s="100">
        <f t="shared" si="42"/>
        <v>0.0278372748927895</v>
      </c>
      <c r="AK81" s="101">
        <f t="shared" si="43"/>
        <v>0</v>
      </c>
      <c r="AL81" s="101">
        <f t="shared" si="44"/>
        <v>27.8</v>
      </c>
      <c r="AM81" s="1" t="str">
        <f>VLOOKUP(B:B,'3店辅助表'!AZ:AZ,1,FALSE)</f>
        <v>Y03564-GK+Y03565+Y03566</v>
      </c>
      <c r="AN81" t="str">
        <f>VLOOKUP(B:B,'3店辅助表'!AZ:BB,3,FALSE)</f>
        <v>US</v>
      </c>
    </row>
    <row r="82" customHeight="1" spans="1:40">
      <c r="A82" s="58" t="str">
        <f>INDEX('[1]3店'!$A:$A,MATCH(B:B,'[1]3店'!$B:$B,0))</f>
        <v>欣彤</v>
      </c>
      <c r="B82" s="43" t="s">
        <v>822</v>
      </c>
      <c r="C82" s="43" t="s">
        <v>823</v>
      </c>
      <c r="D82" s="59"/>
      <c r="E82" s="43" t="s">
        <v>824</v>
      </c>
      <c r="F82" s="43">
        <v>87</v>
      </c>
      <c r="G82" s="43">
        <v>1</v>
      </c>
      <c r="H82" s="43">
        <v>0</v>
      </c>
      <c r="I82" s="43">
        <v>0</v>
      </c>
      <c r="J82" s="43">
        <v>0</v>
      </c>
      <c r="K82" s="63">
        <f t="shared" si="34"/>
        <v>88</v>
      </c>
      <c r="L82" s="124">
        <f>VLOOKUP($B:$B,'[1]3店'!$B:$L,11,0)</f>
        <v>13.9</v>
      </c>
      <c r="M82" s="44">
        <f t="shared" si="12"/>
        <v>1223.2</v>
      </c>
      <c r="N82" s="65">
        <f>IFERROR(VLOOKUP(B:B,'3店辅助表'!B:C,2,FALSE),0)</f>
        <v>14</v>
      </c>
      <c r="O82" s="65">
        <f>IFERROR(VLOOKUP(B:B,'3店辅助表'!E:F,2,FALSE),0)</f>
        <v>22</v>
      </c>
      <c r="P82" s="65">
        <f>IFERROR(VLOOKUP(B:B,'3店辅助表'!H:I,2,FALSE),0)</f>
        <v>49</v>
      </c>
      <c r="Q82" s="65">
        <f>IFERROR(VLOOKUP(B:B,'[1]3店'!$B:$N,13,FALSE),0)</f>
        <v>7</v>
      </c>
      <c r="R82" s="79">
        <f t="shared" si="35"/>
        <v>7</v>
      </c>
      <c r="S82" s="80">
        <f t="shared" si="36"/>
        <v>51.7647058823529</v>
      </c>
      <c r="T82" s="44">
        <f t="shared" si="37"/>
        <v>1.72549019607843</v>
      </c>
      <c r="U82" s="44">
        <f>IFERROR(VLOOKUP($B:$B,'[1]3店'!$B:$T,19,0),"-")</f>
        <v>2.5</v>
      </c>
      <c r="V82" s="81">
        <f t="shared" si="38"/>
        <v>-0.77450980392157</v>
      </c>
      <c r="W82" s="82" t="str">
        <f t="shared" si="39"/>
        <v>正常</v>
      </c>
      <c r="X82" s="83" t="str">
        <f t="shared" si="40"/>
        <v>库存过高</v>
      </c>
      <c r="Y82" s="44">
        <f>IFERROR(SUMIF('3店辅助表'!K:K,B:B,'3店辅助表'!N:N),0)</f>
        <v>6.04</v>
      </c>
      <c r="Z82" s="44">
        <f>IFERROR(SUMIF('3店辅助表'!T:T,B:B,'3店辅助表'!W:W),0)</f>
        <v>11.41</v>
      </c>
      <c r="AA82" s="44">
        <f>IFERROR(SUMIF('3店辅助表'!AC:AC,B:B,'3店辅助表'!AF:AF),0)</f>
        <v>26.04</v>
      </c>
      <c r="AB82" s="91">
        <f>IFERROR(SUMIF('3店辅助表'!K:K,B:B,'3店辅助表'!N:N)/SUMIF('3店辅助表'!K:K,B:B,'3店辅助表'!O:O),"-")</f>
        <v>0.0664247223138678</v>
      </c>
      <c r="AC82" s="91" t="str">
        <f>IFERROR(VLOOKUP(B:B,'[1]3店'!$B:$AB,27,0),"-")</f>
        <v>-</v>
      </c>
      <c r="AD82" s="92" t="str">
        <f t="shared" si="41"/>
        <v>-</v>
      </c>
      <c r="AE82" s="91">
        <f>IFERROR(SUMIF('3店辅助表'!T:T,B:B,'3店辅助表'!W:W)/SUMIF('3店辅助表'!T:T,B:B,'3店辅助表'!X:X),"-")</f>
        <v>0.125481139337952</v>
      </c>
      <c r="AF82" s="91">
        <f>IFERROR(SUMIF('3店辅助表'!AC:AC,B:B,'3店辅助表'!AF:AF)/SUMIF('3店辅助表'!AC:AC,B:B,'3店辅助表'!AG:AG),"-")</f>
        <v>0.167051578137028</v>
      </c>
      <c r="AG82" s="99">
        <f>IFERROR(AK82/((SUMIF('3店辅助表'!AT:AT,B:B,'3店辅助表'!AU:AU)+M82)/2),"-")</f>
        <v>0.148936170212766</v>
      </c>
      <c r="AH82" s="99">
        <f>IFERROR(AL82/((SUMIF('3店辅助表'!AW:AW,B:B,'3店辅助表'!AX:AX)+M82)/2),"-")</f>
        <v>0.205607476635514</v>
      </c>
      <c r="AI82" s="100">
        <f>IFERROR((SUMIF('3店辅助表'!AP:AP,B:B,'3店辅助表'!AR:AR)-SUMIF('3店辅助表'!AP:AP,B:B,'3店辅助表'!AR:AR)*0.15-(L82+IFERROR(VLOOKUP(B:B,'3店辅助表'!AZ:BA,2,0),0))*O82-IF(AN:AN="US",6.85,4.9)*(Z82+4.27*O82))/SUMIF('3店辅助表'!AP:AP,B:B,'3店辅助表'!AR:AR),"-")</f>
        <v>0.257415722807667</v>
      </c>
      <c r="AJ82" s="100">
        <f t="shared" si="42"/>
        <v>0.0529265972127912</v>
      </c>
      <c r="AK82" s="101">
        <f t="shared" si="43"/>
        <v>194.6</v>
      </c>
      <c r="AL82" s="101">
        <f t="shared" si="44"/>
        <v>305.8</v>
      </c>
      <c r="AM82" s="1" t="str">
        <f>VLOOKUP(B:B,'3店辅助表'!AZ:AZ,1,FALSE)</f>
        <v>Y3033-BL+Y3034+Y3035</v>
      </c>
      <c r="AN82" t="str">
        <f>VLOOKUP(B:B,'3店辅助表'!AZ:BB,3,FALSE)</f>
        <v>US</v>
      </c>
    </row>
    <row r="83" customHeight="1" spans="1:40">
      <c r="A83" s="58" t="str">
        <f>INDEX('[1]3店'!$A:$A,MATCH(B:B,'[1]3店'!$B:$B,0))</f>
        <v>欣彤</v>
      </c>
      <c r="B83" s="43" t="s">
        <v>825</v>
      </c>
      <c r="C83" s="43" t="s">
        <v>826</v>
      </c>
      <c r="D83" s="59"/>
      <c r="E83" s="43" t="s">
        <v>827</v>
      </c>
      <c r="F83" s="43">
        <v>16</v>
      </c>
      <c r="G83" s="43">
        <v>0</v>
      </c>
      <c r="H83" s="43">
        <v>0</v>
      </c>
      <c r="I83" s="43">
        <v>0</v>
      </c>
      <c r="J83" s="43">
        <v>0</v>
      </c>
      <c r="K83" s="63">
        <f t="shared" si="34"/>
        <v>16</v>
      </c>
      <c r="L83" s="124">
        <f>VLOOKUP($B:$B,'[1]3店'!$B:$L,11,0)</f>
        <v>13.9</v>
      </c>
      <c r="M83" s="44">
        <f t="shared" si="12"/>
        <v>222.4</v>
      </c>
      <c r="N83" s="65">
        <f>IFERROR(VLOOKUP(B:B,'3店辅助表'!B:C,2,FALSE),0)</f>
        <v>0</v>
      </c>
      <c r="O83" s="65">
        <f>IFERROR(VLOOKUP(B:B,'3店辅助表'!E:F,2,FALSE),0)</f>
        <v>0</v>
      </c>
      <c r="P83" s="65">
        <f>IFERROR(VLOOKUP(B:B,'3店辅助表'!H:I,2,FALSE),0)</f>
        <v>4</v>
      </c>
      <c r="Q83" s="65">
        <f>IFERROR(VLOOKUP(B:B,'[1]3店'!$B:$N,13,FALSE),0)</f>
        <v>0</v>
      </c>
      <c r="R83" s="79">
        <f t="shared" si="35"/>
        <v>0</v>
      </c>
      <c r="S83" s="80">
        <f t="shared" si="36"/>
        <v>360</v>
      </c>
      <c r="T83" s="44">
        <f t="shared" si="37"/>
        <v>12</v>
      </c>
      <c r="U83" s="44">
        <f>IFERROR(VLOOKUP($B:$B,'[1]3店'!$B:$T,19,0),"-")</f>
        <v>8</v>
      </c>
      <c r="V83" s="81">
        <f t="shared" si="38"/>
        <v>4</v>
      </c>
      <c r="W83" s="82" t="str">
        <f t="shared" si="39"/>
        <v>有库存无销量</v>
      </c>
      <c r="X83" s="83" t="str">
        <f t="shared" si="40"/>
        <v>库存过高</v>
      </c>
      <c r="Y83" s="44">
        <f>IFERROR(SUMIF('3店辅助表'!K:K,B:B,'3店辅助表'!N:N),0)</f>
        <v>0</v>
      </c>
      <c r="Z83" s="44">
        <f>IFERROR(SUMIF('3店辅助表'!T:T,B:B,'3店辅助表'!W:W),0)</f>
        <v>0</v>
      </c>
      <c r="AA83" s="44">
        <f>IFERROR(SUMIF('3店辅助表'!AC:AC,B:B,'3店辅助表'!AF:AF),0)</f>
        <v>0</v>
      </c>
      <c r="AB83" s="91" t="str">
        <f>IFERROR(SUMIF('3店辅助表'!K:K,B:B,'3店辅助表'!N:N)/SUMIF('3店辅助表'!K:K,B:B,'3店辅助表'!O:O),"-")</f>
        <v>-</v>
      </c>
      <c r="AC83" s="91" t="str">
        <f>IFERROR(VLOOKUP(B:B,'[1]3店'!$B:$AB,27,0),"-")</f>
        <v>-</v>
      </c>
      <c r="AD83" s="92" t="str">
        <f t="shared" si="41"/>
        <v>-</v>
      </c>
      <c r="AE83" s="91" t="str">
        <f>IFERROR(SUMIF('3店辅助表'!T:T,B:B,'3店辅助表'!W:W)/SUMIF('3店辅助表'!T:T,B:B,'3店辅助表'!X:X),"-")</f>
        <v>-</v>
      </c>
      <c r="AF83" s="91" t="str">
        <f>IFERROR(SUMIF('3店辅助表'!AC:AC,B:B,'3店辅助表'!AF:AF)/SUMIF('3店辅助表'!AC:AC,B:B,'3店辅助表'!AG:AG),"-")</f>
        <v>-</v>
      </c>
      <c r="AG83" s="99">
        <f>IFERROR(AK83/((SUMIF('3店辅助表'!AT:AT,B:B,'3店辅助表'!AU:AU)+M83)/2),"-")</f>
        <v>0</v>
      </c>
      <c r="AH83" s="99">
        <f>IFERROR(AL83/((SUMIF('3店辅助表'!AW:AW,B:B,'3店辅助表'!AX:AX)+M83)/2),"-")</f>
        <v>0</v>
      </c>
      <c r="AI83" s="100" t="str">
        <f>IFERROR((SUMIF('3店辅助表'!AP:AP,B:B,'3店辅助表'!AR:AR)-SUMIF('3店辅助表'!AP:AP,B:B,'3店辅助表'!AR:AR)*0.15-(L83+IFERROR(VLOOKUP(B:B,'3店辅助表'!AZ:BA,2,0),0))*O83-IF(AN:AN="US",6.85,4.9)*(Z83+4.27*O83))/SUMIF('3店辅助表'!AP:AP,B:B,'3店辅助表'!AR:AR),"-")</f>
        <v>-</v>
      </c>
      <c r="AJ83" s="100" t="str">
        <f t="shared" si="42"/>
        <v>-</v>
      </c>
      <c r="AK83" s="101">
        <f t="shared" si="43"/>
        <v>0</v>
      </c>
      <c r="AL83" s="101">
        <f t="shared" si="44"/>
        <v>0</v>
      </c>
      <c r="AM83" s="1" t="str">
        <f>VLOOKUP(B:B,'3店辅助表'!AZ:AZ,1,FALSE)</f>
        <v>Y3033-BY+Y3034+Y3035</v>
      </c>
      <c r="AN83" t="str">
        <f>VLOOKUP(B:B,'3店辅助表'!AZ:BB,3,FALSE)</f>
        <v>US</v>
      </c>
    </row>
    <row r="84" customHeight="1" spans="1:40">
      <c r="A84" s="58" t="str">
        <f>INDEX('[1]3店'!$A:$A,MATCH(B:B,'[1]3店'!$B:$B,0))</f>
        <v>欣彤</v>
      </c>
      <c r="B84" s="43" t="s">
        <v>828</v>
      </c>
      <c r="C84" s="43" t="s">
        <v>829</v>
      </c>
      <c r="D84" s="59"/>
      <c r="E84" s="43" t="s">
        <v>830</v>
      </c>
      <c r="F84" s="43">
        <v>17</v>
      </c>
      <c r="G84" s="43">
        <v>0</v>
      </c>
      <c r="H84" s="43">
        <v>0</v>
      </c>
      <c r="I84" s="43">
        <v>0</v>
      </c>
      <c r="J84" s="43">
        <v>0</v>
      </c>
      <c r="K84" s="63">
        <f t="shared" si="34"/>
        <v>17</v>
      </c>
      <c r="L84" s="124">
        <f>VLOOKUP($B:$B,'[1]3店'!$B:$L,11,0)</f>
        <v>13.9</v>
      </c>
      <c r="M84" s="44">
        <f t="shared" si="12"/>
        <v>236.3</v>
      </c>
      <c r="N84" s="65">
        <f>IFERROR(VLOOKUP(B:B,'3店辅助表'!B:C,2,FALSE),0)</f>
        <v>2</v>
      </c>
      <c r="O84" s="65">
        <f>IFERROR(VLOOKUP(B:B,'3店辅助表'!E:F,2,FALSE),0)</f>
        <v>8</v>
      </c>
      <c r="P84" s="65">
        <f>IFERROR(VLOOKUP(B:B,'3店辅助表'!H:I,2,FALSE),0)</f>
        <v>14</v>
      </c>
      <c r="Q84" s="65">
        <f>IFERROR(VLOOKUP(B:B,'[1]3店'!$B:$N,13,FALSE),0)</f>
        <v>5</v>
      </c>
      <c r="R84" s="79">
        <f t="shared" si="35"/>
        <v>-3</v>
      </c>
      <c r="S84" s="80">
        <f t="shared" si="36"/>
        <v>39.6666666666667</v>
      </c>
      <c r="T84" s="44">
        <f t="shared" si="37"/>
        <v>1.32222222222222</v>
      </c>
      <c r="U84" s="44">
        <f>IFERROR(VLOOKUP($B:$B,'[1]3店'!$B:$T,19,0),"-")</f>
        <v>1.12299465240642</v>
      </c>
      <c r="V84" s="81">
        <f t="shared" si="38"/>
        <v>0.1992275698158</v>
      </c>
      <c r="W84" s="82" t="str">
        <f t="shared" si="39"/>
        <v>库存过高</v>
      </c>
      <c r="X84" s="83" t="str">
        <f t="shared" si="40"/>
        <v>正常</v>
      </c>
      <c r="Y84" s="44">
        <f>IFERROR(SUMIF('3店辅助表'!K:K,B:B,'3店辅助表'!N:N),0)</f>
        <v>9.25</v>
      </c>
      <c r="Z84" s="44">
        <f>IFERROR(SUMIF('3店辅助表'!T:T,B:B,'3店辅助表'!W:W),0)</f>
        <v>21.98</v>
      </c>
      <c r="AA84" s="44">
        <f>IFERROR(SUMIF('3店辅助表'!AC:AC,B:B,'3店辅助表'!AF:AF),0)</f>
        <v>41.3</v>
      </c>
      <c r="AB84" s="91">
        <f>IFERROR(SUMIF('3店辅助表'!K:K,B:B,'3店辅助表'!N:N)/SUMIF('3店辅助表'!K:K,B:B,'3店辅助表'!O:O),"-")</f>
        <v>0.712086220169361</v>
      </c>
      <c r="AC84" s="91">
        <f>IFERROR(VLOOKUP(B:B,'[1]3店'!$B:$AB,27,0),"-")</f>
        <v>0.149111833875407</v>
      </c>
      <c r="AD84" s="92">
        <f t="shared" si="41"/>
        <v>0.562974386293954</v>
      </c>
      <c r="AE84" s="91">
        <f>IFERROR(SUMIF('3店辅助表'!T:T,B:B,'3店辅助表'!W:W)/SUMIF('3店辅助表'!T:T,B:B,'3店辅助表'!X:X),"-")</f>
        <v>0.236522113418702</v>
      </c>
      <c r="AF84" s="91">
        <f>IFERROR(SUMIF('3店辅助表'!AC:AC,B:B,'3店辅助表'!AF:AF)/SUMIF('3店辅助表'!AC:AC,B:B,'3店辅助表'!AG:AG),"-")</f>
        <v>0.209804419608839</v>
      </c>
      <c r="AG84" s="99">
        <f>IFERROR(AK84/((SUMIF('3店辅助表'!AT:AT,B:B,'3店辅助表'!AU:AU)+M84)/2),"-")</f>
        <v>0.108108108108108</v>
      </c>
      <c r="AH84" s="99">
        <f>IFERROR(AL84/((SUMIF('3店辅助表'!AW:AW,B:B,'3店辅助表'!AX:AX)+M84)/2),"-")</f>
        <v>0.347826086956522</v>
      </c>
      <c r="AI84" s="100">
        <f>IFERROR((SUMIF('3店辅助表'!AP:AP,B:B,'3店辅助表'!AR:AR)-SUMIF('3店辅助表'!AP:AP,B:B,'3店辅助表'!AR:AR)*0.15-(L84+IFERROR(VLOOKUP(B:B,'3店辅助表'!AZ:BA,2,0),0))*O84-IF(AN:AN="US",6.85,4.9)*(Z84+4.27*O84))/SUMIF('3店辅助表'!AP:AP,B:B,'3店辅助表'!AR:AR),"-")</f>
        <v>0.164562663416297</v>
      </c>
      <c r="AJ84" s="100">
        <f t="shared" si="42"/>
        <v>0.0572391872752338</v>
      </c>
      <c r="AK84" s="101">
        <f t="shared" si="43"/>
        <v>27.8</v>
      </c>
      <c r="AL84" s="101">
        <f t="shared" si="44"/>
        <v>111.2</v>
      </c>
      <c r="AM84" s="1" t="str">
        <f>VLOOKUP(B:B,'3店辅助表'!AZ:AZ,1,FALSE)</f>
        <v>Y3033-DB+Y3034+Y3035</v>
      </c>
      <c r="AN84" t="str">
        <f>VLOOKUP(B:B,'3店辅助表'!AZ:BB,3,FALSE)</f>
        <v>US</v>
      </c>
    </row>
    <row r="85" customHeight="1" spans="1:40">
      <c r="A85" s="58" t="str">
        <f>INDEX('[1]3店'!$A:$A,MATCH(B:B,'[1]3店'!$B:$B,0))</f>
        <v>欣彤</v>
      </c>
      <c r="B85" s="43" t="s">
        <v>831</v>
      </c>
      <c r="C85" s="43" t="s">
        <v>832</v>
      </c>
      <c r="D85" s="59"/>
      <c r="E85" s="43" t="s">
        <v>833</v>
      </c>
      <c r="F85" s="43">
        <v>4</v>
      </c>
      <c r="G85" s="43">
        <v>0</v>
      </c>
      <c r="H85" s="43">
        <v>9</v>
      </c>
      <c r="I85" s="43">
        <v>0</v>
      </c>
      <c r="J85" s="43">
        <v>0</v>
      </c>
      <c r="K85" s="63">
        <f t="shared" si="34"/>
        <v>13</v>
      </c>
      <c r="L85" s="124">
        <f>VLOOKUP($B:$B,'[1]3店'!$B:$L,11,0)</f>
        <v>13.9</v>
      </c>
      <c r="M85" s="44">
        <f t="shared" si="12"/>
        <v>180.7</v>
      </c>
      <c r="N85" s="65">
        <f>IFERROR(VLOOKUP(B:B,'3店辅助表'!B:C,2,FALSE),0)</f>
        <v>3</v>
      </c>
      <c r="O85" s="65">
        <f>IFERROR(VLOOKUP(B:B,'3店辅助表'!E:F,2,FALSE),0)</f>
        <v>6</v>
      </c>
      <c r="P85" s="65">
        <f>IFERROR(VLOOKUP(B:B,'3店辅助表'!H:I,2,FALSE),0)</f>
        <v>7</v>
      </c>
      <c r="Q85" s="65">
        <f>IFERROR(VLOOKUP(B:B,'[1]3店'!$B:$N,13,FALSE),0)</f>
        <v>3</v>
      </c>
      <c r="R85" s="79">
        <f t="shared" si="35"/>
        <v>0</v>
      </c>
      <c r="S85" s="80">
        <f t="shared" si="36"/>
        <v>36.7264573991031</v>
      </c>
      <c r="T85" s="44">
        <f t="shared" si="37"/>
        <v>1.22421524663677</v>
      </c>
      <c r="U85" s="44">
        <f>IFERROR(VLOOKUP($B:$B,'[1]3店'!$B:$T,19,0),"-")</f>
        <v>1.89893617021277</v>
      </c>
      <c r="V85" s="81">
        <f t="shared" si="38"/>
        <v>-0.674720923576</v>
      </c>
      <c r="W85" s="82" t="str">
        <f t="shared" si="39"/>
        <v>正常</v>
      </c>
      <c r="X85" s="83" t="str">
        <f t="shared" si="40"/>
        <v>正常</v>
      </c>
      <c r="Y85" s="44">
        <f>IFERROR(SUMIF('3店辅助表'!K:K,B:B,'3店辅助表'!N:N),0)</f>
        <v>0</v>
      </c>
      <c r="Z85" s="44">
        <f>IFERROR(SUMIF('3店辅助表'!T:T,B:B,'3店辅助表'!W:W),0)</f>
        <v>0</v>
      </c>
      <c r="AA85" s="44">
        <f>IFERROR(SUMIF('3店辅助表'!AC:AC,B:B,'3店辅助表'!AF:AF),0)</f>
        <v>0</v>
      </c>
      <c r="AB85" s="91" t="str">
        <f>IFERROR(SUMIF('3店辅助表'!K:K,B:B,'3店辅助表'!N:N)/SUMIF('3店辅助表'!K:K,B:B,'3店辅助表'!O:O),"-")</f>
        <v>-</v>
      </c>
      <c r="AC85" s="91" t="str">
        <f>IFERROR(VLOOKUP(B:B,'[1]3店'!$B:$AB,27,0),"-")</f>
        <v>-</v>
      </c>
      <c r="AD85" s="92" t="str">
        <f t="shared" si="41"/>
        <v>-</v>
      </c>
      <c r="AE85" s="91" t="str">
        <f>IFERROR(SUMIF('3店辅助表'!T:T,B:B,'3店辅助表'!W:W)/SUMIF('3店辅助表'!T:T,B:B,'3店辅助表'!X:X),"-")</f>
        <v>-</v>
      </c>
      <c r="AF85" s="91" t="str">
        <f>IFERROR(SUMIF('3店辅助表'!AC:AC,B:B,'3店辅助表'!AF:AF)/SUMIF('3店辅助表'!AC:AC,B:B,'3店辅助表'!AG:AG),"-")</f>
        <v>-</v>
      </c>
      <c r="AG85" s="99">
        <f>IFERROR(AK85/((SUMIF('3店辅助表'!AT:AT,B:B,'3店辅助表'!AU:AU)+M85)/2),"-")</f>
        <v>0.2</v>
      </c>
      <c r="AH85" s="99">
        <f>IFERROR(AL85/((SUMIF('3店辅助表'!AW:AW,B:B,'3店辅助表'!AX:AX)+M85)/2),"-")</f>
        <v>0.666666666666667</v>
      </c>
      <c r="AI85" s="100">
        <f>IFERROR((SUMIF('3店辅助表'!AP:AP,B:B,'3店辅助表'!AR:AR)-SUMIF('3店辅助表'!AP:AP,B:B,'3店辅助表'!AR:AR)*0.15-(L85+IFERROR(VLOOKUP(B:B,'3店辅助表'!AZ:BA,2,0),0))*O85-IF(AN:AN="US",6.85,4.9)*(Z85+4.27*O85))/SUMIF('3店辅助表'!AP:AP,B:B,'3店辅助表'!AR:AR),"-")</f>
        <v>0.312051100509657</v>
      </c>
      <c r="AJ85" s="100">
        <f t="shared" si="42"/>
        <v>0.208034067006438</v>
      </c>
      <c r="AK85" s="101">
        <f t="shared" si="43"/>
        <v>41.7</v>
      </c>
      <c r="AL85" s="101">
        <f t="shared" si="44"/>
        <v>83.4</v>
      </c>
      <c r="AM85" s="1" t="str">
        <f>VLOOKUP(B:B,'3店辅助表'!AZ:AZ,1,FALSE)</f>
        <v>Y3033-GK+Y3034+Y3035</v>
      </c>
      <c r="AN85" t="str">
        <f>VLOOKUP(B:B,'3店辅助表'!AZ:BB,3,FALSE)</f>
        <v>US</v>
      </c>
    </row>
    <row r="86" customHeight="1" spans="1:40">
      <c r="A86" s="58" t="str">
        <f>INDEX('[1]3店'!$A:$A,MATCH(B:B,'[1]3店'!$B:$B,0))</f>
        <v>欣彤</v>
      </c>
      <c r="B86" s="43" t="s">
        <v>834</v>
      </c>
      <c r="C86" s="43" t="s">
        <v>835</v>
      </c>
      <c r="D86" s="59"/>
      <c r="E86" s="43" t="s">
        <v>836</v>
      </c>
      <c r="F86" s="43">
        <v>6</v>
      </c>
      <c r="G86" s="43">
        <v>0</v>
      </c>
      <c r="H86" s="43">
        <v>0</v>
      </c>
      <c r="I86" s="43">
        <v>0</v>
      </c>
      <c r="J86" s="43">
        <v>0</v>
      </c>
      <c r="K86" s="63">
        <f t="shared" si="34"/>
        <v>6</v>
      </c>
      <c r="L86" s="124">
        <f>VLOOKUP($B:$B,'[1]3店'!$B:$L,11,0)</f>
        <v>13.9</v>
      </c>
      <c r="M86" s="44">
        <f t="shared" si="12"/>
        <v>83.4</v>
      </c>
      <c r="N86" s="65">
        <f>IFERROR(VLOOKUP(B:B,'3店辅助表'!B:C,2,FALSE),0)</f>
        <v>2</v>
      </c>
      <c r="O86" s="65">
        <f>IFERROR(VLOOKUP(B:B,'3店辅助表'!E:F,2,FALSE),0)</f>
        <v>4</v>
      </c>
      <c r="P86" s="65">
        <f>IFERROR(VLOOKUP(B:B,'3店辅助表'!H:I,2,FALSE),0)</f>
        <v>6</v>
      </c>
      <c r="Q86" s="65">
        <f>IFERROR(VLOOKUP(B:B,'[1]3店'!$B:$N,13,FALSE),0)</f>
        <v>2</v>
      </c>
      <c r="R86" s="79">
        <f t="shared" si="35"/>
        <v>0</v>
      </c>
      <c r="S86" s="80">
        <f t="shared" si="36"/>
        <v>23.9240506329114</v>
      </c>
      <c r="T86" s="44">
        <f t="shared" si="37"/>
        <v>0.79746835443038</v>
      </c>
      <c r="U86" s="44">
        <f>IFERROR(VLOOKUP($B:$B,'[1]3店'!$B:$T,19,0),"-")</f>
        <v>1.44827586206897</v>
      </c>
      <c r="V86" s="81">
        <f t="shared" si="38"/>
        <v>-0.65080750763859</v>
      </c>
      <c r="W86" s="82" t="str">
        <f t="shared" si="39"/>
        <v>正常</v>
      </c>
      <c r="X86" s="83" t="str">
        <f t="shared" si="40"/>
        <v>正常</v>
      </c>
      <c r="Y86" s="44">
        <f>IFERROR(SUMIF('3店辅助表'!K:K,B:B,'3店辅助表'!N:N),0)</f>
        <v>0</v>
      </c>
      <c r="Z86" s="44">
        <f>IFERROR(SUMIF('3店辅助表'!T:T,B:B,'3店辅助表'!W:W),0)</f>
        <v>0</v>
      </c>
      <c r="AA86" s="44">
        <f>IFERROR(SUMIF('3店辅助表'!AC:AC,B:B,'3店辅助表'!AF:AF),0)</f>
        <v>0</v>
      </c>
      <c r="AB86" s="91" t="str">
        <f>IFERROR(SUMIF('3店辅助表'!K:K,B:B,'3店辅助表'!N:N)/SUMIF('3店辅助表'!K:K,B:B,'3店辅助表'!O:O),"-")</f>
        <v>-</v>
      </c>
      <c r="AC86" s="91" t="str">
        <f>IFERROR(VLOOKUP(B:B,'[1]3店'!$B:$AB,27,0),"-")</f>
        <v>-</v>
      </c>
      <c r="AD86" s="92" t="str">
        <f t="shared" si="41"/>
        <v>-</v>
      </c>
      <c r="AE86" s="91" t="str">
        <f>IFERROR(SUMIF('3店辅助表'!T:T,B:B,'3店辅助表'!W:W)/SUMIF('3店辅助表'!T:T,B:B,'3店辅助表'!X:X),"-")</f>
        <v>-</v>
      </c>
      <c r="AF86" s="91" t="str">
        <f>IFERROR(SUMIF('3店辅助表'!AC:AC,B:B,'3店辅助表'!AF:AF)/SUMIF('3店辅助表'!AC:AC,B:B,'3店辅助表'!AG:AG),"-")</f>
        <v>-</v>
      </c>
      <c r="AG86" s="99">
        <f>IFERROR(AK86/((SUMIF('3店辅助表'!AT:AT,B:B,'3店辅助表'!AU:AU)+M86)/2),"-")</f>
        <v>0.285714285714286</v>
      </c>
      <c r="AH86" s="99">
        <f>IFERROR(AL86/((SUMIF('3店辅助表'!AW:AW,B:B,'3店辅助表'!AX:AX)+M86)/2),"-")</f>
        <v>0.444444444444444</v>
      </c>
      <c r="AI86" s="100">
        <f>IFERROR((SUMIF('3店辅助表'!AP:AP,B:B,'3店辅助表'!AR:AR)-SUMIF('3店辅助表'!AP:AP,B:B,'3店辅助表'!AR:AR)*0.15-(L86+IFERROR(VLOOKUP(B:B,'3店辅助表'!AZ:BA,2,0),0))*O86-IF(AN:AN="US",6.85,4.9)*(Z86+4.27*O86))/SUMIF('3店辅助表'!AP:AP,B:B,'3店辅助表'!AR:AR),"-")</f>
        <v>0.301127481555155</v>
      </c>
      <c r="AJ86" s="100">
        <f t="shared" si="42"/>
        <v>0.133834436246735</v>
      </c>
      <c r="AK86" s="101">
        <f t="shared" si="43"/>
        <v>27.8</v>
      </c>
      <c r="AL86" s="101">
        <f t="shared" si="44"/>
        <v>55.6</v>
      </c>
      <c r="AM86" s="1" t="str">
        <f>VLOOKUP(B:B,'3店辅助表'!AZ:AZ,1,FALSE)</f>
        <v>Y3033-OR+Y3034+Y3035</v>
      </c>
      <c r="AN86" t="str">
        <f>VLOOKUP(B:B,'3店辅助表'!AZ:BB,3,FALSE)</f>
        <v>US</v>
      </c>
    </row>
    <row r="87" customHeight="1" spans="1:40">
      <c r="A87" s="58" t="str">
        <f>INDEX('[1]3店'!$A:$A,MATCH(B:B,'[1]3店'!$B:$B,0))</f>
        <v>欣彤</v>
      </c>
      <c r="B87" s="43" t="s">
        <v>837</v>
      </c>
      <c r="C87" s="43" t="s">
        <v>838</v>
      </c>
      <c r="D87" s="59"/>
      <c r="E87" s="43" t="s">
        <v>839</v>
      </c>
      <c r="F87" s="43">
        <v>0</v>
      </c>
      <c r="G87" s="43">
        <v>3</v>
      </c>
      <c r="H87" s="43">
        <v>0</v>
      </c>
      <c r="I87" s="43">
        <v>0</v>
      </c>
      <c r="J87" s="43">
        <v>0</v>
      </c>
      <c r="K87" s="63">
        <f t="shared" si="34"/>
        <v>3</v>
      </c>
      <c r="L87" s="124">
        <f>VLOOKUP($B:$B,'[1]3店'!$B:$L,11,0)</f>
        <v>15</v>
      </c>
      <c r="M87" s="44">
        <f t="shared" si="12"/>
        <v>45</v>
      </c>
      <c r="N87" s="65">
        <f>IFERROR(VLOOKUP(B:B,'3店辅助表'!B:C,2,FALSE),0)</f>
        <v>0</v>
      </c>
      <c r="O87" s="65">
        <f>IFERROR(VLOOKUP(B:B,'3店辅助表'!E:F,2,FALSE),0)</f>
        <v>0</v>
      </c>
      <c r="P87" s="65">
        <f>IFERROR(VLOOKUP(B:B,'3店辅助表'!H:I,2,FALSE),0)</f>
        <v>20</v>
      </c>
      <c r="Q87" s="65">
        <f>IFERROR(VLOOKUP(B:B,'[1]3店'!$B:$N,13,FALSE),0)</f>
        <v>0</v>
      </c>
      <c r="R87" s="79">
        <f t="shared" si="35"/>
        <v>0</v>
      </c>
      <c r="S87" s="80">
        <f t="shared" si="36"/>
        <v>13.5</v>
      </c>
      <c r="T87" s="44">
        <f t="shared" si="37"/>
        <v>0.45</v>
      </c>
      <c r="U87" s="44">
        <f>IFERROR(VLOOKUP($B:$B,'[1]3店'!$B:$T,19,0),"-")</f>
        <v>0.0731707317073171</v>
      </c>
      <c r="V87" s="81">
        <f t="shared" si="38"/>
        <v>0.376829268292683</v>
      </c>
      <c r="W87" s="82" t="str">
        <f t="shared" si="39"/>
        <v>有库存无销量</v>
      </c>
      <c r="X87" s="83" t="str">
        <f t="shared" si="40"/>
        <v>库存过低</v>
      </c>
      <c r="Y87" s="44">
        <f>IFERROR(SUMIF('3店辅助表'!K:K,B:B,'3店辅助表'!N:N),0)</f>
        <v>0</v>
      </c>
      <c r="Z87" s="44">
        <f>IFERROR(SUMIF('3店辅助表'!T:T,B:B,'3店辅助表'!W:W),0)</f>
        <v>0</v>
      </c>
      <c r="AA87" s="44">
        <f>IFERROR(SUMIF('3店辅助表'!AC:AC,B:B,'3店辅助表'!AF:AF),0)</f>
        <v>0</v>
      </c>
      <c r="AB87" s="91" t="str">
        <f>IFERROR(SUMIF('3店辅助表'!K:K,B:B,'3店辅助表'!N:N)/SUMIF('3店辅助表'!K:K,B:B,'3店辅助表'!O:O),"-")</f>
        <v>-</v>
      </c>
      <c r="AC87" s="91" t="str">
        <f>IFERROR(VLOOKUP(B:B,'[1]3店'!$B:$AB,27,0),"-")</f>
        <v>-</v>
      </c>
      <c r="AD87" s="92" t="str">
        <f t="shared" si="41"/>
        <v>-</v>
      </c>
      <c r="AE87" s="91" t="str">
        <f>IFERROR(SUMIF('3店辅助表'!T:T,B:B,'3店辅助表'!W:W)/SUMIF('3店辅助表'!T:T,B:B,'3店辅助表'!X:X),"-")</f>
        <v>-</v>
      </c>
      <c r="AF87" s="91" t="str">
        <f>IFERROR(SUMIF('3店辅助表'!AC:AC,B:B,'3店辅助表'!AF:AF)/SUMIF('3店辅助表'!AC:AC,B:B,'3店辅助表'!AG:AG),"-")</f>
        <v>-</v>
      </c>
      <c r="AG87" s="99">
        <f>IFERROR(AK87/((SUMIF('3店辅助表'!AT:AT,B:B,'3店辅助表'!AU:AU)+M87)/2),"-")</f>
        <v>0</v>
      </c>
      <c r="AH87" s="99">
        <f>IFERROR(AL87/((SUMIF('3店辅助表'!AW:AW,B:B,'3店辅助表'!AX:AX)+M87)/2),"-")</f>
        <v>0</v>
      </c>
      <c r="AI87" s="100" t="str">
        <f>IFERROR((SUMIF('3店辅助表'!AP:AP,B:B,'3店辅助表'!AR:AR)-SUMIF('3店辅助表'!AP:AP,B:B,'3店辅助表'!AR:AR)*0.15-(L87+IFERROR(VLOOKUP(B:B,'3店辅助表'!AZ:BA,2,0),0))*O87-IF(AN:AN="US",6.85,4.9)*(Z87+4.27*O87))/SUMIF('3店辅助表'!AP:AP,B:B,'3店辅助表'!AR:AR),"-")</f>
        <v>-</v>
      </c>
      <c r="AJ87" s="100" t="str">
        <f t="shared" si="42"/>
        <v>-</v>
      </c>
      <c r="AK87" s="101">
        <f t="shared" si="43"/>
        <v>0</v>
      </c>
      <c r="AL87" s="101">
        <f t="shared" si="44"/>
        <v>0</v>
      </c>
      <c r="AM87" s="1" t="str">
        <f>VLOOKUP(B:B,'3店辅助表'!AZ:AZ,1,FALSE)</f>
        <v>Y3045-BL</v>
      </c>
      <c r="AN87" t="str">
        <f>VLOOKUP(B:B,'3店辅助表'!AZ:BB,3,FALSE)</f>
        <v>US</v>
      </c>
    </row>
    <row r="88" customHeight="1" spans="1:40">
      <c r="A88" s="58" t="str">
        <f>INDEX('[1]3店'!$A:$A,MATCH(B:B,'[1]3店'!$B:$B,0))</f>
        <v>欣彤</v>
      </c>
      <c r="B88" s="43" t="s">
        <v>840</v>
      </c>
      <c r="C88" s="43" t="s">
        <v>841</v>
      </c>
      <c r="D88" s="59"/>
      <c r="E88" s="43" t="s">
        <v>842</v>
      </c>
      <c r="F88" s="43">
        <v>63</v>
      </c>
      <c r="G88" s="43">
        <v>2</v>
      </c>
      <c r="H88" s="43">
        <v>41</v>
      </c>
      <c r="I88" s="43">
        <v>20</v>
      </c>
      <c r="J88" s="43">
        <v>0</v>
      </c>
      <c r="K88" s="63">
        <f t="shared" si="34"/>
        <v>126</v>
      </c>
      <c r="L88" s="124">
        <f>VLOOKUP($B:$B,'[1]3店'!$B:$L,11,0)</f>
        <v>13.7</v>
      </c>
      <c r="M88" s="44">
        <f t="shared" ref="M88:M137" si="45">K88*L88</f>
        <v>1726.2</v>
      </c>
      <c r="N88" s="65">
        <f>IFERROR(VLOOKUP(B:B,'3店辅助表'!B:C,2,FALSE),0)</f>
        <v>23</v>
      </c>
      <c r="O88" s="65">
        <f>IFERROR(VLOOKUP(B:B,'3店辅助表'!E:F,2,FALSE),0)</f>
        <v>52</v>
      </c>
      <c r="P88" s="65">
        <f>IFERROR(VLOOKUP(B:B,'3店辅助表'!H:I,2,FALSE),0)</f>
        <v>85</v>
      </c>
      <c r="Q88" s="65">
        <f>IFERROR(VLOOKUP(B:B,'[1]3店'!$B:$N,13,FALSE),0)</f>
        <v>28</v>
      </c>
      <c r="R88" s="79">
        <f t="shared" si="35"/>
        <v>-5</v>
      </c>
      <c r="S88" s="80">
        <f t="shared" si="36"/>
        <v>39.4336810730253</v>
      </c>
      <c r="T88" s="44">
        <f t="shared" si="37"/>
        <v>1.31445603576751</v>
      </c>
      <c r="U88" s="44">
        <f>IFERROR(VLOOKUP($B:$B,'[1]3店'!$B:$T,19,0),"-")</f>
        <v>1.01712328767123</v>
      </c>
      <c r="V88" s="81">
        <f t="shared" si="38"/>
        <v>0.29733274809628</v>
      </c>
      <c r="W88" s="82" t="str">
        <f t="shared" si="39"/>
        <v>正常</v>
      </c>
      <c r="X88" s="83" t="str">
        <f t="shared" si="40"/>
        <v>正常</v>
      </c>
      <c r="Y88" s="44">
        <f>IFERROR(SUMIF('3店辅助表'!K:K,B:B,'3店辅助表'!N:N),0)</f>
        <v>31.7</v>
      </c>
      <c r="Z88" s="44">
        <f>IFERROR(SUMIF('3店辅助表'!T:T,B:B,'3店辅助表'!W:W),0)</f>
        <v>79.47</v>
      </c>
      <c r="AA88" s="44">
        <f>IFERROR(SUMIF('3店辅助表'!AC:AC,B:B,'3店辅助表'!AF:AF),0)</f>
        <v>143.52</v>
      </c>
      <c r="AB88" s="91">
        <f>IFERROR(SUMIF('3店辅助表'!K:K,B:B,'3店辅助表'!N:N)/SUMIF('3店辅助表'!K:K,B:B,'3店辅助表'!O:O),"-")</f>
        <v>0.244033872209392</v>
      </c>
      <c r="AC88" s="91">
        <f>IFERROR(VLOOKUP(B:B,'[1]3店'!$B:$AB,27,0),"-")</f>
        <v>0.263275638761333</v>
      </c>
      <c r="AD88" s="92">
        <f t="shared" si="41"/>
        <v>-0.019241766551941</v>
      </c>
      <c r="AE88" s="91">
        <f>IFERROR(SUMIF('3店辅助表'!T:T,B:B,'3店辅助表'!W:W)/SUMIF('3店辅助表'!T:T,B:B,'3店辅助表'!X:X),"-")</f>
        <v>0.243967581506723</v>
      </c>
      <c r="AF88" s="91">
        <f>IFERROR(SUMIF('3店辅助表'!AC:AC,B:B,'3店辅助表'!AF:AF)/SUMIF('3店辅助表'!AC:AC,B:B,'3店辅助表'!AG:AG),"-")</f>
        <v>0.239787479324345</v>
      </c>
      <c r="AG88" s="99">
        <f>IFERROR(AK88/((SUMIF('3店辅助表'!AT:AT,B:B,'3店辅助表'!AU:AU)+M88)/2),"-")</f>
        <v>0.204444444444444</v>
      </c>
      <c r="AH88" s="99">
        <f>IFERROR(AL88/((SUMIF('3店辅助表'!AW:AW,B:B,'3店辅助表'!AX:AX)+M88)/2),"-")</f>
        <v>0.419354838709677</v>
      </c>
      <c r="AI88" s="100">
        <f>IFERROR((SUMIF('3店辅助表'!AP:AP,B:B,'3店辅助表'!AR:AR)-SUMIF('3店辅助表'!AP:AP,B:B,'3店辅助表'!AR:AR)*0.15-(L88+IFERROR(VLOOKUP(B:B,'3店辅助表'!AZ:BA,2,0),0))*O88-IF(AN:AN="US",6.85,4.9)*(Z88+4.27*O88))/SUMIF('3店辅助表'!AP:AP,B:B,'3店辅助表'!AR:AR),"-")</f>
        <v>0.194533965493996</v>
      </c>
      <c r="AJ88" s="100">
        <f t="shared" si="42"/>
        <v>0.0815787597232887</v>
      </c>
      <c r="AK88" s="101">
        <f t="shared" si="43"/>
        <v>315.1</v>
      </c>
      <c r="AL88" s="101">
        <f t="shared" si="44"/>
        <v>712.4</v>
      </c>
      <c r="AM88" s="1" t="str">
        <f>VLOOKUP(B:B,'3店辅助表'!AZ:AZ,1,FALSE)</f>
        <v>Y3025-BL+Y3026</v>
      </c>
      <c r="AN88" t="str">
        <f>VLOOKUP(B:B,'3店辅助表'!AZ:BB,3,FALSE)</f>
        <v>US</v>
      </c>
    </row>
    <row r="89" customHeight="1" spans="1:40">
      <c r="A89" s="58" t="str">
        <f>INDEX('[1]3店'!$A:$A,MATCH(B:B,'[1]3店'!$B:$B,0))</f>
        <v>欣彤</v>
      </c>
      <c r="B89" s="43" t="s">
        <v>843</v>
      </c>
      <c r="C89" s="43" t="s">
        <v>844</v>
      </c>
      <c r="D89" s="59"/>
      <c r="E89" s="43" t="s">
        <v>845</v>
      </c>
      <c r="F89" s="43">
        <v>8</v>
      </c>
      <c r="G89" s="43">
        <v>0</v>
      </c>
      <c r="H89" s="43">
        <v>5</v>
      </c>
      <c r="I89" s="43">
        <v>0</v>
      </c>
      <c r="J89" s="43">
        <v>0</v>
      </c>
      <c r="K89" s="63">
        <f t="shared" si="34"/>
        <v>13</v>
      </c>
      <c r="L89" s="124">
        <f>VLOOKUP($B:$B,'[1]3店'!$B:$L,11,0)</f>
        <v>13.7</v>
      </c>
      <c r="M89" s="44">
        <f t="shared" si="45"/>
        <v>178.1</v>
      </c>
      <c r="N89" s="65">
        <f>IFERROR(VLOOKUP(B:B,'3店辅助表'!B:C,2,FALSE),0)</f>
        <v>0</v>
      </c>
      <c r="O89" s="65">
        <f>IFERROR(VLOOKUP(B:B,'3店辅助表'!E:F,2,FALSE),0)</f>
        <v>1</v>
      </c>
      <c r="P89" s="65">
        <f>IFERROR(VLOOKUP(B:B,'3店辅助表'!H:I,2,FALSE),0)</f>
        <v>6</v>
      </c>
      <c r="Q89" s="65">
        <f>IFERROR(VLOOKUP(B:B,'[1]3店'!$B:$N,13,FALSE),0)</f>
        <v>1</v>
      </c>
      <c r="R89" s="79">
        <f t="shared" si="35"/>
        <v>-1</v>
      </c>
      <c r="S89" s="80">
        <f t="shared" si="36"/>
        <v>146.25</v>
      </c>
      <c r="T89" s="44">
        <f t="shared" si="37"/>
        <v>4.875</v>
      </c>
      <c r="U89" s="44">
        <f>IFERROR(VLOOKUP($B:$B,'[1]3店'!$B:$T,19,0),"-")</f>
        <v>1.92253521126761</v>
      </c>
      <c r="V89" s="81">
        <f t="shared" si="38"/>
        <v>2.95246478873239</v>
      </c>
      <c r="W89" s="82" t="str">
        <f t="shared" si="39"/>
        <v>有库存无销量</v>
      </c>
      <c r="X89" s="83" t="str">
        <f t="shared" si="40"/>
        <v>库存过高</v>
      </c>
      <c r="Y89" s="44">
        <f>IFERROR(SUMIF('3店辅助表'!K:K,B:B,'3店辅助表'!N:N),0)</f>
        <v>0</v>
      </c>
      <c r="Z89" s="44">
        <f>IFERROR(SUMIF('3店辅助表'!T:T,B:B,'3店辅助表'!W:W),0)</f>
        <v>0</v>
      </c>
      <c r="AA89" s="44">
        <f>IFERROR(SUMIF('3店辅助表'!AC:AC,B:B,'3店辅助表'!AF:AF),0)</f>
        <v>0</v>
      </c>
      <c r="AB89" s="91" t="str">
        <f>IFERROR(SUMIF('3店辅助表'!K:K,B:B,'3店辅助表'!N:N)/SUMIF('3店辅助表'!K:K,B:B,'3店辅助表'!O:O),"-")</f>
        <v>-</v>
      </c>
      <c r="AC89" s="91" t="str">
        <f>IFERROR(VLOOKUP(B:B,'[1]3店'!$B:$AB,27,0),"-")</f>
        <v>-</v>
      </c>
      <c r="AD89" s="92" t="str">
        <f t="shared" si="41"/>
        <v>-</v>
      </c>
      <c r="AE89" s="91" t="str">
        <f>IFERROR(SUMIF('3店辅助表'!T:T,B:B,'3店辅助表'!W:W)/SUMIF('3店辅助表'!T:T,B:B,'3店辅助表'!X:X),"-")</f>
        <v>-</v>
      </c>
      <c r="AF89" s="91" t="str">
        <f>IFERROR(SUMIF('3店辅助表'!AC:AC,B:B,'3店辅助表'!AF:AF)/SUMIF('3店辅助表'!AC:AC,B:B,'3店辅助表'!AG:AG),"-")</f>
        <v>-</v>
      </c>
      <c r="AG89" s="99">
        <f>IFERROR(AK89/((SUMIF('3店辅助表'!AT:AT,B:B,'3店辅助表'!AU:AU)+M89)/2),"-")</f>
        <v>0</v>
      </c>
      <c r="AH89" s="99">
        <f>IFERROR(AL89/((SUMIF('3店辅助表'!AW:AW,B:B,'3店辅助表'!AX:AX)+M89)/2),"-")</f>
        <v>0.0714285714285714</v>
      </c>
      <c r="AI89" s="100">
        <f>IFERROR((SUMIF('3店辅助表'!AP:AP,B:B,'3店辅助表'!AR:AR)-SUMIF('3店辅助表'!AP:AP,B:B,'3店辅助表'!AR:AR)*0.15-(L89+IFERROR(VLOOKUP(B:B,'3店辅助表'!AZ:BA,2,0),0))*O89-IF(AN:AN="US",6.85,4.9)*(Z89+4.27*O89))/SUMIF('3店辅助表'!AP:AP,B:B,'3店辅助表'!AR:AR),"-")</f>
        <v>0.343192405162871</v>
      </c>
      <c r="AJ89" s="100">
        <f t="shared" si="42"/>
        <v>0.0245137432259194</v>
      </c>
      <c r="AK89" s="101">
        <f t="shared" si="43"/>
        <v>0</v>
      </c>
      <c r="AL89" s="101">
        <f t="shared" si="44"/>
        <v>13.7</v>
      </c>
      <c r="AM89" s="1" t="str">
        <f>VLOOKUP(B:B,'3店辅助表'!AZ:AZ,1,FALSE)</f>
        <v>Y3025-DG+Y3026</v>
      </c>
      <c r="AN89" t="str">
        <f>VLOOKUP(B:B,'3店辅助表'!AZ:BB,3,FALSE)</f>
        <v>US</v>
      </c>
    </row>
    <row r="90" customHeight="1" spans="1:40">
      <c r="A90" s="58" t="str">
        <f>INDEX('[1]3店'!$A:$A,MATCH(B:B,'[1]3店'!$B:$B,0))</f>
        <v>欣彤</v>
      </c>
      <c r="B90" s="43" t="s">
        <v>846</v>
      </c>
      <c r="C90" s="43" t="s">
        <v>847</v>
      </c>
      <c r="D90" s="59"/>
      <c r="E90" s="43" t="s">
        <v>848</v>
      </c>
      <c r="F90" s="43">
        <v>28</v>
      </c>
      <c r="G90" s="43">
        <v>0</v>
      </c>
      <c r="H90" s="43">
        <v>2</v>
      </c>
      <c r="I90" s="43">
        <v>0</v>
      </c>
      <c r="J90" s="43">
        <v>1</v>
      </c>
      <c r="K90" s="63">
        <f t="shared" si="34"/>
        <v>31</v>
      </c>
      <c r="L90" s="124">
        <f>VLOOKUP($B:$B,'[1]3店'!$B:$L,11,0)</f>
        <v>13.7</v>
      </c>
      <c r="M90" s="44">
        <f t="shared" si="45"/>
        <v>424.7</v>
      </c>
      <c r="N90" s="65">
        <f>IFERROR(VLOOKUP(B:B,'3店辅助表'!B:C,2,FALSE),0)</f>
        <v>2</v>
      </c>
      <c r="O90" s="65">
        <f>IFERROR(VLOOKUP(B:B,'3店辅助表'!E:F,2,FALSE),0)</f>
        <v>7</v>
      </c>
      <c r="P90" s="65">
        <f>IFERROR(VLOOKUP(B:B,'3店辅助表'!H:I,2,FALSE),0)</f>
        <v>12</v>
      </c>
      <c r="Q90" s="65">
        <f>IFERROR(VLOOKUP(B:B,'[1]3店'!$B:$N,13,FALSE),0)</f>
        <v>5</v>
      </c>
      <c r="R90" s="79">
        <f t="shared" si="35"/>
        <v>-3</v>
      </c>
      <c r="S90" s="80">
        <f t="shared" si="36"/>
        <v>80.702479338843</v>
      </c>
      <c r="T90" s="44">
        <f t="shared" si="37"/>
        <v>2.6900826446281</v>
      </c>
      <c r="U90" s="44">
        <f>IFERROR(VLOOKUP($B:$B,'[1]3店'!$B:$T,19,0),"-")</f>
        <v>2.29581993569132</v>
      </c>
      <c r="V90" s="81">
        <f t="shared" si="38"/>
        <v>0.39426270893678</v>
      </c>
      <c r="W90" s="82" t="str">
        <f t="shared" si="39"/>
        <v>库存过高</v>
      </c>
      <c r="X90" s="83" t="str">
        <f t="shared" si="40"/>
        <v>库存过高</v>
      </c>
      <c r="Y90" s="44">
        <f>IFERROR(SUMIF('3店辅助表'!K:K,B:B,'3店辅助表'!N:N),0)</f>
        <v>0</v>
      </c>
      <c r="Z90" s="44">
        <f>IFERROR(SUMIF('3店辅助表'!T:T,B:B,'3店辅助表'!W:W),0)</f>
        <v>0</v>
      </c>
      <c r="AA90" s="44">
        <f>IFERROR(SUMIF('3店辅助表'!AC:AC,B:B,'3店辅助表'!AF:AF),0)</f>
        <v>0</v>
      </c>
      <c r="AB90" s="91" t="str">
        <f>IFERROR(SUMIF('3店辅助表'!K:K,B:B,'3店辅助表'!N:N)/SUMIF('3店辅助表'!K:K,B:B,'3店辅助表'!O:O),"-")</f>
        <v>-</v>
      </c>
      <c r="AC90" s="91" t="str">
        <f>IFERROR(VLOOKUP(B:B,'[1]3店'!$B:$AB,27,0),"-")</f>
        <v>-</v>
      </c>
      <c r="AD90" s="92" t="str">
        <f t="shared" si="41"/>
        <v>-</v>
      </c>
      <c r="AE90" s="91" t="str">
        <f>IFERROR(SUMIF('3店辅助表'!T:T,B:B,'3店辅助表'!W:W)/SUMIF('3店辅助表'!T:T,B:B,'3店辅助表'!X:X),"-")</f>
        <v>-</v>
      </c>
      <c r="AF90" s="91" t="str">
        <f>IFERROR(SUMIF('3店辅助表'!AC:AC,B:B,'3店辅助表'!AF:AF)/SUMIF('3店辅助表'!AC:AC,B:B,'3店辅助表'!AG:AG),"-")</f>
        <v>-</v>
      </c>
      <c r="AG90" s="99">
        <f>IFERROR(AK90/((SUMIF('3店辅助表'!AT:AT,B:B,'3店辅助表'!AU:AU)+M90)/2),"-")</f>
        <v>0.0615384615384615</v>
      </c>
      <c r="AH90" s="99">
        <f>IFERROR(AL90/((SUMIF('3店辅助表'!AW:AW,B:B,'3店辅助表'!AX:AX)+M90)/2),"-")</f>
        <v>0.368421052631579</v>
      </c>
      <c r="AI90" s="100">
        <f>IFERROR((SUMIF('3店辅助表'!AP:AP,B:B,'3店辅助表'!AR:AR)-SUMIF('3店辅助表'!AP:AP,B:B,'3店辅助表'!AR:AR)*0.15-(L90+IFERROR(VLOOKUP(B:B,'3店辅助表'!AZ:BA,2,0),0))*O90-IF(AN:AN="US",6.85,4.9)*(Z90+4.27*O90))/SUMIF('3店辅助表'!AP:AP,B:B,'3店辅助表'!AR:AR),"-")</f>
        <v>0.311302449071785</v>
      </c>
      <c r="AJ90" s="100">
        <f t="shared" si="42"/>
        <v>0.114690375973815</v>
      </c>
      <c r="AK90" s="101">
        <f t="shared" si="43"/>
        <v>27.4</v>
      </c>
      <c r="AL90" s="101">
        <f t="shared" si="44"/>
        <v>95.9</v>
      </c>
      <c r="AM90" s="1" t="str">
        <f>VLOOKUP(B:B,'3店辅助表'!AZ:AZ,1,FALSE)</f>
        <v>Y3025-NB+Y3026</v>
      </c>
      <c r="AN90" t="str">
        <f>VLOOKUP(B:B,'3店辅助表'!AZ:BB,3,FALSE)</f>
        <v>US</v>
      </c>
    </row>
    <row r="91" customHeight="1" spans="1:40">
      <c r="A91" s="58" t="str">
        <f>INDEX('[1]3店'!$A:$A,MATCH(B:B,'[1]3店'!$B:$B,0))</f>
        <v>欣彤</v>
      </c>
      <c r="B91" s="43" t="s">
        <v>849</v>
      </c>
      <c r="C91" s="43" t="s">
        <v>850</v>
      </c>
      <c r="D91" s="59"/>
      <c r="E91" s="43" t="s">
        <v>851</v>
      </c>
      <c r="F91" s="43">
        <v>5</v>
      </c>
      <c r="G91" s="43">
        <v>0</v>
      </c>
      <c r="H91" s="43">
        <v>40</v>
      </c>
      <c r="I91" s="43">
        <v>1</v>
      </c>
      <c r="J91" s="43">
        <v>0</v>
      </c>
      <c r="K91" s="63">
        <f t="shared" si="34"/>
        <v>46</v>
      </c>
      <c r="L91" s="124">
        <f>VLOOKUP($B:$B,'[1]3店'!$B:$L,11,0)</f>
        <v>13.7</v>
      </c>
      <c r="M91" s="44">
        <f t="shared" si="45"/>
        <v>630.2</v>
      </c>
      <c r="N91" s="65">
        <f>IFERROR(VLOOKUP(B:B,'3店辅助表'!B:C,2,FALSE),0)</f>
        <v>1</v>
      </c>
      <c r="O91" s="65">
        <f>IFERROR(VLOOKUP(B:B,'3店辅助表'!E:F,2,FALSE),0)</f>
        <v>3</v>
      </c>
      <c r="P91" s="65">
        <f>IFERROR(VLOOKUP(B:B,'3店辅助表'!H:I,2,FALSE),0)</f>
        <v>6</v>
      </c>
      <c r="Q91" s="65">
        <f>IFERROR(VLOOKUP(B:B,'[1]3店'!$B:$N,13,FALSE),0)</f>
        <v>1</v>
      </c>
      <c r="R91" s="79">
        <f t="shared" si="35"/>
        <v>0</v>
      </c>
      <c r="S91" s="80">
        <f t="shared" si="36"/>
        <v>254.210526315789</v>
      </c>
      <c r="T91" s="44">
        <f t="shared" si="37"/>
        <v>8.47368421052632</v>
      </c>
      <c r="U91" s="44">
        <f>IFERROR(VLOOKUP($B:$B,'[1]3店'!$B:$T,19,0),"-")</f>
        <v>1.68396226415094</v>
      </c>
      <c r="V91" s="81">
        <f t="shared" si="38"/>
        <v>6.78972194637538</v>
      </c>
      <c r="W91" s="82" t="str">
        <f t="shared" si="39"/>
        <v>库存过高</v>
      </c>
      <c r="X91" s="83" t="str">
        <f t="shared" si="40"/>
        <v>库存过高</v>
      </c>
      <c r="Y91" s="44">
        <f>IFERROR(SUMIF('3店辅助表'!K:K,B:B,'3店辅助表'!N:N),0)</f>
        <v>0</v>
      </c>
      <c r="Z91" s="44">
        <f>IFERROR(SUMIF('3店辅助表'!T:T,B:B,'3店辅助表'!W:W),0)</f>
        <v>0</v>
      </c>
      <c r="AA91" s="44">
        <f>IFERROR(SUMIF('3店辅助表'!AC:AC,B:B,'3店辅助表'!AF:AF),0)</f>
        <v>0</v>
      </c>
      <c r="AB91" s="91" t="str">
        <f>IFERROR(SUMIF('3店辅助表'!K:K,B:B,'3店辅助表'!N:N)/SUMIF('3店辅助表'!K:K,B:B,'3店辅助表'!O:O),"-")</f>
        <v>-</v>
      </c>
      <c r="AC91" s="91" t="str">
        <f>IFERROR(VLOOKUP(B:B,'[1]3店'!$B:$AB,27,0),"-")</f>
        <v>-</v>
      </c>
      <c r="AD91" s="92" t="str">
        <f t="shared" si="41"/>
        <v>-</v>
      </c>
      <c r="AE91" s="91" t="str">
        <f>IFERROR(SUMIF('3店辅助表'!T:T,B:B,'3店辅助表'!W:W)/SUMIF('3店辅助表'!T:T,B:B,'3店辅助表'!X:X),"-")</f>
        <v>-</v>
      </c>
      <c r="AF91" s="91" t="str">
        <f>IFERROR(SUMIF('3店辅助表'!AC:AC,B:B,'3店辅助表'!AF:AF)/SUMIF('3店辅助表'!AC:AC,B:B,'3店辅助表'!AG:AG),"-")</f>
        <v>-</v>
      </c>
      <c r="AG91" s="99">
        <f>IFERROR(AK91/((SUMIF('3店辅助表'!AT:AT,B:B,'3店辅助表'!AU:AU)+M91)/2),"-")</f>
        <v>0.0317460317460317</v>
      </c>
      <c r="AH91" s="99">
        <f>IFERROR(AL91/((SUMIF('3店辅助表'!AW:AW,B:B,'3店辅助表'!AX:AX)+M91)/2),"-")</f>
        <v>0.115384615384615</v>
      </c>
      <c r="AI91" s="100">
        <f>IFERROR((SUMIF('3店辅助表'!AP:AP,B:B,'3店辅助表'!AR:AR)-SUMIF('3店辅助表'!AP:AP,B:B,'3店辅助表'!AR:AR)*0.15-(L91+IFERROR(VLOOKUP(B:B,'3店辅助表'!AZ:BA,2,0),0))*O91-IF(AN:AN="US",6.85,4.9)*(Z91+4.27*O91))/SUMIF('3店辅助表'!AP:AP,B:B,'3店辅助表'!AR:AR),"-")</f>
        <v>0.344046515286886</v>
      </c>
      <c r="AJ91" s="100">
        <f t="shared" si="42"/>
        <v>0.0396976748407945</v>
      </c>
      <c r="AK91" s="101">
        <f t="shared" si="43"/>
        <v>13.7</v>
      </c>
      <c r="AL91" s="101">
        <f t="shared" si="44"/>
        <v>41.1</v>
      </c>
      <c r="AM91" s="1" t="str">
        <f>VLOOKUP(B:B,'3店辅助表'!AZ:AZ,1,FALSE)</f>
        <v>Y3025-OR+Y3026</v>
      </c>
      <c r="AN91" t="str">
        <f>VLOOKUP(B:B,'3店辅助表'!AZ:BB,3,FALSE)</f>
        <v>US</v>
      </c>
    </row>
    <row r="92" customHeight="1" spans="1:40">
      <c r="A92" s="58" t="str">
        <f>INDEX('[1]3店'!$A:$A,MATCH(B:B,'[1]3店'!$B:$B,0))</f>
        <v>欣彤</v>
      </c>
      <c r="B92" s="43" t="s">
        <v>852</v>
      </c>
      <c r="C92" s="43" t="s">
        <v>853</v>
      </c>
      <c r="D92" s="59"/>
      <c r="E92" s="43" t="s">
        <v>854</v>
      </c>
      <c r="F92" s="43">
        <v>19</v>
      </c>
      <c r="G92" s="43">
        <v>0</v>
      </c>
      <c r="H92" s="43">
        <v>0</v>
      </c>
      <c r="I92" s="43">
        <v>0</v>
      </c>
      <c r="J92" s="43">
        <v>0</v>
      </c>
      <c r="K92" s="63">
        <f t="shared" si="34"/>
        <v>19</v>
      </c>
      <c r="L92" s="124">
        <f>VLOOKUP($B:$B,'[1]3店'!$B:$L,11,0)</f>
        <v>13.7</v>
      </c>
      <c r="M92" s="44">
        <f t="shared" si="45"/>
        <v>260.3</v>
      </c>
      <c r="N92" s="65">
        <f>IFERROR(VLOOKUP(B:B,'3店辅助表'!B:C,2,FALSE),0)</f>
        <v>0</v>
      </c>
      <c r="O92" s="65">
        <f>IFERROR(VLOOKUP(B:B,'3店辅助表'!E:F,2,FALSE),0)</f>
        <v>1</v>
      </c>
      <c r="P92" s="65">
        <f>IFERROR(VLOOKUP(B:B,'3店辅助表'!H:I,2,FALSE),0)</f>
        <v>3</v>
      </c>
      <c r="Q92" s="65">
        <f>IFERROR(VLOOKUP(B:B,'[1]3店'!$B:$N,13,FALSE),0)</f>
        <v>0</v>
      </c>
      <c r="R92" s="79">
        <f t="shared" si="35"/>
        <v>0</v>
      </c>
      <c r="S92" s="80">
        <f t="shared" si="36"/>
        <v>342</v>
      </c>
      <c r="T92" s="44">
        <f t="shared" si="37"/>
        <v>11.4</v>
      </c>
      <c r="U92" s="44">
        <f>IFERROR(VLOOKUP($B:$B,'[1]3店'!$B:$T,19,0),"-")</f>
        <v>5.7</v>
      </c>
      <c r="V92" s="81">
        <f t="shared" si="38"/>
        <v>5.7</v>
      </c>
      <c r="W92" s="82" t="str">
        <f t="shared" si="39"/>
        <v>有库存无销量</v>
      </c>
      <c r="X92" s="83" t="str">
        <f t="shared" si="40"/>
        <v>库存过高</v>
      </c>
      <c r="Y92" s="44">
        <f>IFERROR(SUMIF('3店辅助表'!K:K,B:B,'3店辅助表'!N:N),0)</f>
        <v>0</v>
      </c>
      <c r="Z92" s="44">
        <f>IFERROR(SUMIF('3店辅助表'!T:T,B:B,'3店辅助表'!W:W),0)</f>
        <v>0</v>
      </c>
      <c r="AA92" s="44">
        <f>IFERROR(SUMIF('3店辅助表'!AC:AC,B:B,'3店辅助表'!AF:AF),0)</f>
        <v>0</v>
      </c>
      <c r="AB92" s="91" t="str">
        <f>IFERROR(SUMIF('3店辅助表'!K:K,B:B,'3店辅助表'!N:N)/SUMIF('3店辅助表'!K:K,B:B,'3店辅助表'!O:O),"-")</f>
        <v>-</v>
      </c>
      <c r="AC92" s="91" t="str">
        <f>IFERROR(VLOOKUP(B:B,'[1]3店'!$B:$AB,27,0),"-")</f>
        <v>-</v>
      </c>
      <c r="AD92" s="92" t="str">
        <f t="shared" si="41"/>
        <v>-</v>
      </c>
      <c r="AE92" s="91" t="str">
        <f>IFERROR(SUMIF('3店辅助表'!T:T,B:B,'3店辅助表'!W:W)/SUMIF('3店辅助表'!T:T,B:B,'3店辅助表'!X:X),"-")</f>
        <v>-</v>
      </c>
      <c r="AF92" s="91" t="str">
        <f>IFERROR(SUMIF('3店辅助表'!AC:AC,B:B,'3店辅助表'!AF:AF)/SUMIF('3店辅助表'!AC:AC,B:B,'3店辅助表'!AG:AG),"-")</f>
        <v>-</v>
      </c>
      <c r="AG92" s="99">
        <f>IFERROR(AK92/((SUMIF('3店辅助表'!AT:AT,B:B,'3店辅助表'!AU:AU)+M92)/2),"-")</f>
        <v>0</v>
      </c>
      <c r="AH92" s="99">
        <f>IFERROR(AL92/((SUMIF('3店辅助表'!AW:AW,B:B,'3店辅助表'!AX:AX)+M92)/2),"-")</f>
        <v>0.05</v>
      </c>
      <c r="AI92" s="100">
        <f>IFERROR((SUMIF('3店辅助表'!AP:AP,B:B,'3店辅助表'!AR:AR)-SUMIF('3店辅助表'!AP:AP,B:B,'3店辅助表'!AR:AR)*0.15-(L92+IFERROR(VLOOKUP(B:B,'3店辅助表'!AZ:BA,2,0),0))*O92-IF(AN:AN="US",6.85,4.9)*(Z92+4.27*O92))/SUMIF('3店辅助表'!AP:AP,B:B,'3店辅助表'!AR:AR),"-")</f>
        <v>0.335606558666689</v>
      </c>
      <c r="AJ92" s="100">
        <f t="shared" si="42"/>
        <v>0.0167803279333345</v>
      </c>
      <c r="AK92" s="101">
        <f t="shared" si="43"/>
        <v>0</v>
      </c>
      <c r="AL92" s="101">
        <f t="shared" si="44"/>
        <v>13.7</v>
      </c>
      <c r="AM92" s="1" t="str">
        <f>VLOOKUP(B:B,'3店辅助表'!AZ:AZ,1,FALSE)</f>
        <v>Y3025-TG+Y3026</v>
      </c>
      <c r="AN92" t="str">
        <f>VLOOKUP(B:B,'3店辅助表'!AZ:BB,3,FALSE)</f>
        <v>US</v>
      </c>
    </row>
    <row r="93" customHeight="1" spans="1:40">
      <c r="A93" s="58" t="str">
        <f>INDEX('[1]3店'!$A:$A,MATCH(B:B,'[1]3店'!$B:$B,0))</f>
        <v>欣彤</v>
      </c>
      <c r="B93" s="43" t="s">
        <v>855</v>
      </c>
      <c r="C93" s="43" t="s">
        <v>856</v>
      </c>
      <c r="D93" s="59">
        <f>VLOOKUP(B:B,'[1]3店'!$B:$L,3,0)</f>
        <v>44804</v>
      </c>
      <c r="E93" s="43" t="s">
        <v>857</v>
      </c>
      <c r="F93" s="43">
        <v>1</v>
      </c>
      <c r="G93" s="43">
        <v>0</v>
      </c>
      <c r="H93" s="43">
        <v>0</v>
      </c>
      <c r="I93" s="43">
        <v>2</v>
      </c>
      <c r="J93" s="43">
        <v>0</v>
      </c>
      <c r="K93" s="63">
        <f t="shared" si="34"/>
        <v>3</v>
      </c>
      <c r="L93" s="124">
        <f>VLOOKUP($B:$B,'[1]3店'!$B:$L,11,0)</f>
        <v>13.7</v>
      </c>
      <c r="M93" s="44">
        <f t="shared" si="45"/>
        <v>41.1</v>
      </c>
      <c r="N93" s="65">
        <f>IFERROR(VLOOKUP(B:B,'3店辅助表'!B:C,2,FALSE),0)</f>
        <v>0</v>
      </c>
      <c r="O93" s="65">
        <f>IFERROR(VLOOKUP(B:B,'3店辅助表'!E:F,2,FALSE),0)</f>
        <v>0</v>
      </c>
      <c r="P93" s="65">
        <f>IFERROR(VLOOKUP(B:B,'3店辅助表'!H:I,2,FALSE),0)</f>
        <v>0</v>
      </c>
      <c r="Q93" s="65">
        <f>IFERROR(VLOOKUP(B:B,'[1]3店'!$B:$N,13,FALSE),0)</f>
        <v>0</v>
      </c>
      <c r="R93" s="79">
        <f t="shared" si="35"/>
        <v>0</v>
      </c>
      <c r="S93" s="80" t="str">
        <f t="shared" si="36"/>
        <v>-</v>
      </c>
      <c r="T93" s="44" t="str">
        <f t="shared" si="37"/>
        <v>-</v>
      </c>
      <c r="U93" s="44" t="str">
        <f>IFERROR(VLOOKUP($B:$B,'[1]3店'!$B:$T,19,0),"-")</f>
        <v>-</v>
      </c>
      <c r="V93" s="81" t="str">
        <f t="shared" si="38"/>
        <v>-</v>
      </c>
      <c r="W93" s="82" t="str">
        <f t="shared" si="39"/>
        <v>有库存无销量</v>
      </c>
      <c r="X93" s="83" t="str">
        <f t="shared" si="40"/>
        <v>有库存无销量</v>
      </c>
      <c r="Y93" s="44">
        <f>IFERROR(SUMIF('3店辅助表'!K:K,B:B,'3店辅助表'!N:N),0)</f>
        <v>0</v>
      </c>
      <c r="Z93" s="44">
        <f>IFERROR(SUMIF('3店辅助表'!T:T,B:B,'3店辅助表'!W:W),0)</f>
        <v>0</v>
      </c>
      <c r="AA93" s="44">
        <f>IFERROR(SUMIF('3店辅助表'!AC:AC,B:B,'3店辅助表'!AF:AF),0)</f>
        <v>0</v>
      </c>
      <c r="AB93" s="91" t="str">
        <f>IFERROR(SUMIF('3店辅助表'!K:K,B:B,'3店辅助表'!N:N)/SUMIF('3店辅助表'!K:K,B:B,'3店辅助表'!O:O),"-")</f>
        <v>-</v>
      </c>
      <c r="AC93" s="91" t="str">
        <f>IFERROR(VLOOKUP(B:B,'[1]3店'!$B:$AB,27,0),"-")</f>
        <v>-</v>
      </c>
      <c r="AD93" s="92" t="str">
        <f t="shared" si="41"/>
        <v>-</v>
      </c>
      <c r="AE93" s="91" t="str">
        <f>IFERROR(SUMIF('3店辅助表'!T:T,B:B,'3店辅助表'!W:W)/SUMIF('3店辅助表'!T:T,B:B,'3店辅助表'!X:X),"-")</f>
        <v>-</v>
      </c>
      <c r="AF93" s="91" t="str">
        <f>IFERROR(SUMIF('3店辅助表'!AC:AC,B:B,'3店辅助表'!AF:AF)/SUMIF('3店辅助表'!AC:AC,B:B,'3店辅助表'!AG:AG),"-")</f>
        <v>-</v>
      </c>
      <c r="AG93" s="99">
        <f>IFERROR(AK93/((SUMIF('3店辅助表'!AT:AT,B:B,'3店辅助表'!AU:AU)+M93)/2),"-")</f>
        <v>0</v>
      </c>
      <c r="AH93" s="99">
        <f>IFERROR(AL93/((SUMIF('3店辅助表'!AW:AW,B:B,'3店辅助表'!AX:AX)+M93)/2),"-")</f>
        <v>0</v>
      </c>
      <c r="AI93" s="100" t="str">
        <f>IFERROR((SUMIF('3店辅助表'!AP:AP,B:B,'3店辅助表'!AR:AR)-SUMIF('3店辅助表'!AP:AP,B:B,'3店辅助表'!AR:AR)*0.15-(L93+IFERROR(VLOOKUP(B:B,'3店辅助表'!AZ:BA,2,0),0))*O93-IF(AN:AN="US",6.85,4.9)*(Z93+4.27*O93))/SUMIF('3店辅助表'!AP:AP,B:B,'3店辅助表'!AR:AR),"-")</f>
        <v>-</v>
      </c>
      <c r="AJ93" s="100" t="str">
        <f t="shared" si="42"/>
        <v>-</v>
      </c>
      <c r="AK93" s="101">
        <f t="shared" si="43"/>
        <v>0</v>
      </c>
      <c r="AL93" s="101">
        <f t="shared" si="44"/>
        <v>0</v>
      </c>
      <c r="AM93" s="1" t="str">
        <f>VLOOKUP(B:B,'3店辅助表'!AZ:AZ,1,FALSE)</f>
        <v>Y3027-NB+Y3028</v>
      </c>
      <c r="AN93" t="str">
        <f>VLOOKUP(B:B,'3店辅助表'!AZ:BB,3,FALSE)</f>
        <v>US</v>
      </c>
    </row>
    <row r="94" customHeight="1" spans="1:40">
      <c r="A94" s="58" t="str">
        <f>INDEX('[1]3店'!$A:$A,MATCH(B:B,'[1]3店'!$B:$B,0))</f>
        <v>欣彤</v>
      </c>
      <c r="B94" s="43" t="s">
        <v>858</v>
      </c>
      <c r="C94" s="43" t="s">
        <v>859</v>
      </c>
      <c r="D94" s="59">
        <f>VLOOKUP(B:B,'[1]3店'!$B:$L,3,0)</f>
        <v>44804</v>
      </c>
      <c r="E94" s="43" t="s">
        <v>860</v>
      </c>
      <c r="F94" s="43">
        <v>19</v>
      </c>
      <c r="G94" s="43">
        <v>0</v>
      </c>
      <c r="H94" s="43">
        <v>0</v>
      </c>
      <c r="I94" s="43">
        <v>0</v>
      </c>
      <c r="J94" s="43">
        <v>0</v>
      </c>
      <c r="K94" s="63">
        <f t="shared" si="34"/>
        <v>19</v>
      </c>
      <c r="L94" s="124">
        <f>VLOOKUP($B:$B,'[1]3店'!$B:$L,11,0)</f>
        <v>13.7</v>
      </c>
      <c r="M94" s="44">
        <f t="shared" si="45"/>
        <v>260.3</v>
      </c>
      <c r="N94" s="65">
        <f>IFERROR(VLOOKUP(B:B,'3店辅助表'!B:C,2,FALSE),0)</f>
        <v>0</v>
      </c>
      <c r="O94" s="65">
        <f>IFERROR(VLOOKUP(B:B,'3店辅助表'!E:F,2,FALSE),0)</f>
        <v>0</v>
      </c>
      <c r="P94" s="65">
        <f>IFERROR(VLOOKUP(B:B,'3店辅助表'!H:I,2,FALSE),0)</f>
        <v>0</v>
      </c>
      <c r="Q94" s="65">
        <f>IFERROR(VLOOKUP(B:B,'[1]3店'!$B:$N,13,FALSE),0)</f>
        <v>0</v>
      </c>
      <c r="R94" s="79">
        <f t="shared" si="35"/>
        <v>0</v>
      </c>
      <c r="S94" s="80" t="str">
        <f t="shared" si="36"/>
        <v>-</v>
      </c>
      <c r="T94" s="44" t="str">
        <f t="shared" si="37"/>
        <v>-</v>
      </c>
      <c r="U94" s="44">
        <f>IFERROR(VLOOKUP($B:$B,'[1]3店'!$B:$T,19,0),"-")</f>
        <v>57</v>
      </c>
      <c r="V94" s="81" t="str">
        <f t="shared" si="38"/>
        <v>-</v>
      </c>
      <c r="W94" s="82" t="str">
        <f t="shared" si="39"/>
        <v>有库存无销量</v>
      </c>
      <c r="X94" s="83" t="str">
        <f t="shared" si="40"/>
        <v>有库存无销量</v>
      </c>
      <c r="Y94" s="44">
        <f>IFERROR(SUMIF('3店辅助表'!K:K,B:B,'3店辅助表'!N:N),0)</f>
        <v>0</v>
      </c>
      <c r="Z94" s="44">
        <f>IFERROR(SUMIF('3店辅助表'!T:T,B:B,'3店辅助表'!W:W),0)</f>
        <v>0</v>
      </c>
      <c r="AA94" s="44">
        <f>IFERROR(SUMIF('3店辅助表'!AC:AC,B:B,'3店辅助表'!AF:AF),0)</f>
        <v>0</v>
      </c>
      <c r="AB94" s="91" t="str">
        <f>IFERROR(SUMIF('3店辅助表'!K:K,B:B,'3店辅助表'!N:N)/SUMIF('3店辅助表'!K:K,B:B,'3店辅助表'!O:O),"-")</f>
        <v>-</v>
      </c>
      <c r="AC94" s="91" t="str">
        <f>IFERROR(VLOOKUP(B:B,'[1]3店'!$B:$AB,27,0),"-")</f>
        <v>-</v>
      </c>
      <c r="AD94" s="92" t="str">
        <f t="shared" si="41"/>
        <v>-</v>
      </c>
      <c r="AE94" s="91" t="str">
        <f>IFERROR(SUMIF('3店辅助表'!T:T,B:B,'3店辅助表'!W:W)/SUMIF('3店辅助表'!T:T,B:B,'3店辅助表'!X:X),"-")</f>
        <v>-</v>
      </c>
      <c r="AF94" s="91" t="str">
        <f>IFERROR(SUMIF('3店辅助表'!AC:AC,B:B,'3店辅助表'!AF:AF)/SUMIF('3店辅助表'!AC:AC,B:B,'3店辅助表'!AG:AG),"-")</f>
        <v>-</v>
      </c>
      <c r="AG94" s="99">
        <f>IFERROR(AK94/((SUMIF('3店辅助表'!AT:AT,B:B,'3店辅助表'!AU:AU)+M94)/2),"-")</f>
        <v>0</v>
      </c>
      <c r="AH94" s="99">
        <f>IFERROR(AL94/((SUMIF('3店辅助表'!AW:AW,B:B,'3店辅助表'!AX:AX)+M94)/2),"-")</f>
        <v>0</v>
      </c>
      <c r="AI94" s="100" t="str">
        <f>IFERROR((SUMIF('3店辅助表'!AP:AP,B:B,'3店辅助表'!AR:AR)-SUMIF('3店辅助表'!AP:AP,B:B,'3店辅助表'!AR:AR)*0.15-(L94+IFERROR(VLOOKUP(B:B,'3店辅助表'!AZ:BA,2,0),0))*O94-IF(AN:AN="US",6.85,4.9)*(Z94+4.27*O94))/SUMIF('3店辅助表'!AP:AP,B:B,'3店辅助表'!AR:AR),"-")</f>
        <v>-</v>
      </c>
      <c r="AJ94" s="100" t="str">
        <f t="shared" si="42"/>
        <v>-</v>
      </c>
      <c r="AK94" s="101">
        <f t="shared" si="43"/>
        <v>0</v>
      </c>
      <c r="AL94" s="101">
        <f t="shared" si="44"/>
        <v>0</v>
      </c>
      <c r="AM94" s="1" t="str">
        <f>VLOOKUP(B:B,'3店辅助表'!AZ:AZ,1,FALSE)</f>
        <v>Y3027-TG+Y3028</v>
      </c>
      <c r="AN94" t="str">
        <f>VLOOKUP(B:B,'3店辅助表'!AZ:BB,3,FALSE)</f>
        <v>US</v>
      </c>
    </row>
    <row r="95" customHeight="1" spans="1:40">
      <c r="A95" s="58" t="str">
        <f>INDEX('[1]3店'!$A:$A,MATCH(B:B,'[1]3店'!$B:$B,0))</f>
        <v>欣彤</v>
      </c>
      <c r="B95" s="43" t="s">
        <v>861</v>
      </c>
      <c r="C95" s="43" t="s">
        <v>862</v>
      </c>
      <c r="D95" s="59">
        <f>VLOOKUP(B:B,'[1]3店'!$B:$L,3,0)</f>
        <v>44804</v>
      </c>
      <c r="E95" s="43" t="s">
        <v>863</v>
      </c>
      <c r="F95" s="43">
        <v>39</v>
      </c>
      <c r="G95" s="43">
        <v>1</v>
      </c>
      <c r="H95" s="43">
        <v>0</v>
      </c>
      <c r="I95" s="43">
        <v>0</v>
      </c>
      <c r="J95" s="43">
        <v>0</v>
      </c>
      <c r="K95" s="63">
        <f t="shared" si="34"/>
        <v>40</v>
      </c>
      <c r="L95" s="124">
        <f>VLOOKUP($B:$B,'[1]3店'!$B:$L,11,0)</f>
        <v>13.7</v>
      </c>
      <c r="M95" s="44">
        <f t="shared" si="45"/>
        <v>548</v>
      </c>
      <c r="N95" s="65">
        <f>IFERROR(VLOOKUP(B:B,'3店辅助表'!B:C,2,FALSE),0)</f>
        <v>3</v>
      </c>
      <c r="O95" s="65">
        <f>IFERROR(VLOOKUP(B:B,'3店辅助表'!E:F,2,FALSE),0)</f>
        <v>5</v>
      </c>
      <c r="P95" s="65">
        <f>IFERROR(VLOOKUP(B:B,'3店辅助表'!H:I,2,FALSE),0)</f>
        <v>12</v>
      </c>
      <c r="Q95" s="65">
        <f>IFERROR(VLOOKUP(B:B,'[1]3店'!$B:$N,13,FALSE),0)</f>
        <v>1</v>
      </c>
      <c r="R95" s="79">
        <f t="shared" si="35"/>
        <v>2</v>
      </c>
      <c r="S95" s="80">
        <f t="shared" si="36"/>
        <v>103.27868852459</v>
      </c>
      <c r="T95" s="44">
        <f t="shared" si="37"/>
        <v>3.44262295081967</v>
      </c>
      <c r="U95" s="44">
        <f>IFERROR(VLOOKUP($B:$B,'[1]3店'!$B:$T,19,0),"-")</f>
        <v>5.51923076923077</v>
      </c>
      <c r="V95" s="81">
        <f t="shared" si="38"/>
        <v>-2.0766078184111</v>
      </c>
      <c r="W95" s="82" t="str">
        <f t="shared" si="39"/>
        <v>库存过高</v>
      </c>
      <c r="X95" s="83" t="str">
        <f t="shared" si="40"/>
        <v>库存过高</v>
      </c>
      <c r="Y95" s="44">
        <f>IFERROR(SUMIF('3店辅助表'!K:K,B:B,'3店辅助表'!N:N),0)</f>
        <v>8.29</v>
      </c>
      <c r="Z95" s="44">
        <f>IFERROR(SUMIF('3店辅助表'!T:T,B:B,'3店辅助表'!W:W),0)</f>
        <v>14.85</v>
      </c>
      <c r="AA95" s="44">
        <f>IFERROR(SUMIF('3店辅助表'!AC:AC,B:B,'3店辅助表'!AF:AF),0)</f>
        <v>32</v>
      </c>
      <c r="AB95" s="91">
        <f>IFERROR(SUMIF('3店辅助表'!K:K,B:B,'3店辅助表'!N:N)/SUMIF('3店辅助表'!K:K,B:B,'3店辅助表'!O:O),"-")</f>
        <v>0.638183217859892</v>
      </c>
      <c r="AC95" s="91" t="str">
        <f>IFERROR(VLOOKUP(B:B,'[1]3店'!$B:$AB,27,0),"-")</f>
        <v>-</v>
      </c>
      <c r="AD95" s="92" t="str">
        <f t="shared" si="41"/>
        <v>-</v>
      </c>
      <c r="AE95" s="91">
        <f>IFERROR(SUMIF('3店辅助表'!T:T,B:B,'3店辅助表'!W:W)/SUMIF('3店辅助表'!T:T,B:B,'3店辅助表'!X:X),"-")</f>
        <v>1.1431870669746</v>
      </c>
      <c r="AF95" s="91">
        <f>IFERROR(SUMIF('3店辅助表'!AC:AC,B:B,'3店辅助表'!AF:AF)/SUMIF('3店辅助表'!AC:AC,B:B,'3店辅助表'!AG:AG),"-")</f>
        <v>1.28102481985588</v>
      </c>
      <c r="AG95" s="99">
        <f>IFERROR(AK95/((SUMIF('3店辅助表'!AT:AT,B:B,'3店辅助表'!AU:AU)+M95)/2),"-")</f>
        <v>0.0740740740740741</v>
      </c>
      <c r="AH95" s="99">
        <f>IFERROR(AL95/((SUMIF('3店辅助表'!AW:AW,B:B,'3店辅助表'!AX:AX)+M95)/2),"-")</f>
        <v>0.111111111111111</v>
      </c>
      <c r="AI95" s="100">
        <f>IFERROR((SUMIF('3店辅助表'!AP:AP,B:B,'3店辅助表'!AR:AR)-SUMIF('3店辅助表'!AP:AP,B:B,'3店辅助表'!AR:AR)*0.15-(L95+IFERROR(VLOOKUP(B:B,'3店辅助表'!AZ:BA,2,0),0))*O95-IF(AN:AN="US",6.85,4.9)*(Z95+4.27*O95))/SUMIF('3店辅助表'!AP:AP,B:B,'3店辅助表'!AR:AR),"-")</f>
        <v>0.059780833042181</v>
      </c>
      <c r="AJ95" s="100">
        <f t="shared" si="42"/>
        <v>0.00664231478246456</v>
      </c>
      <c r="AK95" s="101">
        <f t="shared" si="43"/>
        <v>41.1</v>
      </c>
      <c r="AL95" s="101">
        <f t="shared" si="44"/>
        <v>68.5</v>
      </c>
      <c r="AM95" s="1" t="str">
        <f>VLOOKUP(B:B,'3店辅助表'!AZ:AZ,1,FALSE)</f>
        <v>Y3027-BL+Y3028</v>
      </c>
      <c r="AN95" t="str">
        <f>VLOOKUP(B:B,'3店辅助表'!AZ:BB,3,FALSE)</f>
        <v>US</v>
      </c>
    </row>
    <row r="96" customHeight="1" spans="1:40">
      <c r="A96" s="58" t="str">
        <f>INDEX('[1]3店'!$A:$A,MATCH(B:B,'[1]3店'!$B:$B,0))</f>
        <v>欣彤</v>
      </c>
      <c r="B96" s="43" t="s">
        <v>864</v>
      </c>
      <c r="C96" s="43" t="s">
        <v>865</v>
      </c>
      <c r="D96" s="59">
        <f>VLOOKUP(B:B,'[1]3店'!$B:$L,3,0)</f>
        <v>44804</v>
      </c>
      <c r="E96" s="43" t="s">
        <v>866</v>
      </c>
      <c r="F96" s="43">
        <v>1</v>
      </c>
      <c r="G96" s="43">
        <v>1</v>
      </c>
      <c r="H96" s="43">
        <v>0</v>
      </c>
      <c r="I96" s="43">
        <v>0</v>
      </c>
      <c r="J96" s="43">
        <v>0</v>
      </c>
      <c r="K96" s="63">
        <f t="shared" si="34"/>
        <v>2</v>
      </c>
      <c r="L96" s="124">
        <f>VLOOKUP($B:$B,'[1]3店'!$B:$L,11,0)</f>
        <v>13.7</v>
      </c>
      <c r="M96" s="44">
        <f t="shared" si="45"/>
        <v>27.4</v>
      </c>
      <c r="N96" s="65">
        <f>IFERROR(VLOOKUP(B:B,'3店辅助表'!B:C,2,FALSE),0)</f>
        <v>0</v>
      </c>
      <c r="O96" s="65">
        <f>IFERROR(VLOOKUP(B:B,'3店辅助表'!E:F,2,FALSE),0)</f>
        <v>0</v>
      </c>
      <c r="P96" s="65">
        <f>IFERROR(VLOOKUP(B:B,'3店辅助表'!H:I,2,FALSE),0)</f>
        <v>0</v>
      </c>
      <c r="Q96" s="65">
        <f>IFERROR(VLOOKUP(B:B,'[1]3店'!$B:$N,13,FALSE),0)</f>
        <v>0</v>
      </c>
      <c r="R96" s="79">
        <f t="shared" si="35"/>
        <v>0</v>
      </c>
      <c r="S96" s="80" t="str">
        <f t="shared" si="36"/>
        <v>-</v>
      </c>
      <c r="T96" s="44" t="str">
        <f t="shared" si="37"/>
        <v>-</v>
      </c>
      <c r="U96" s="44" t="str">
        <f>IFERROR(VLOOKUP($B:$B,'[1]3店'!$B:$T,19,0),"-")</f>
        <v>-</v>
      </c>
      <c r="V96" s="81" t="str">
        <f t="shared" si="38"/>
        <v>-</v>
      </c>
      <c r="W96" s="82" t="str">
        <f t="shared" si="39"/>
        <v>有库存无销量</v>
      </c>
      <c r="X96" s="83" t="str">
        <f t="shared" si="40"/>
        <v>有库存无销量</v>
      </c>
      <c r="Y96" s="44">
        <f>IFERROR(SUMIF('3店辅助表'!K:K,B:B,'3店辅助表'!N:N),0)</f>
        <v>0</v>
      </c>
      <c r="Z96" s="44">
        <f>IFERROR(SUMIF('3店辅助表'!T:T,B:B,'3店辅助表'!W:W),0)</f>
        <v>0</v>
      </c>
      <c r="AA96" s="44">
        <f>IFERROR(SUMIF('3店辅助表'!AC:AC,B:B,'3店辅助表'!AF:AF),0)</f>
        <v>0</v>
      </c>
      <c r="AB96" s="91" t="str">
        <f>IFERROR(SUMIF('3店辅助表'!K:K,B:B,'3店辅助表'!N:N)/SUMIF('3店辅助表'!K:K,B:B,'3店辅助表'!O:O),"-")</f>
        <v>-</v>
      </c>
      <c r="AC96" s="91" t="str">
        <f>IFERROR(VLOOKUP(B:B,'[1]3店'!$B:$AB,27,0),"-")</f>
        <v>-</v>
      </c>
      <c r="AD96" s="92" t="str">
        <f t="shared" si="41"/>
        <v>-</v>
      </c>
      <c r="AE96" s="91" t="str">
        <f>IFERROR(SUMIF('3店辅助表'!T:T,B:B,'3店辅助表'!W:W)/SUMIF('3店辅助表'!T:T,B:B,'3店辅助表'!X:X),"-")</f>
        <v>-</v>
      </c>
      <c r="AF96" s="91" t="str">
        <f>IFERROR(SUMIF('3店辅助表'!AC:AC,B:B,'3店辅助表'!AF:AF)/SUMIF('3店辅助表'!AC:AC,B:B,'3店辅助表'!AG:AG),"-")</f>
        <v>-</v>
      </c>
      <c r="AG96" s="99">
        <f>IFERROR(AK96/((SUMIF('3店辅助表'!AT:AT,B:B,'3店辅助表'!AU:AU)+M96)/2),"-")</f>
        <v>0</v>
      </c>
      <c r="AH96" s="99">
        <f>IFERROR(AL96/((SUMIF('3店辅助表'!AW:AW,B:B,'3店辅助表'!AX:AX)+M96)/2),"-")</f>
        <v>0</v>
      </c>
      <c r="AI96" s="100" t="str">
        <f>IFERROR((SUMIF('3店辅助表'!AP:AP,B:B,'3店辅助表'!AR:AR)-SUMIF('3店辅助表'!AP:AP,B:B,'3店辅助表'!AR:AR)*0.15-(L96+IFERROR(VLOOKUP(B:B,'3店辅助表'!AZ:BA,2,0),0))*O96-IF(AN:AN="US",6.85,4.9)*(Z96+4.27*O96))/SUMIF('3店辅助表'!AP:AP,B:B,'3店辅助表'!AR:AR),"-")</f>
        <v>-</v>
      </c>
      <c r="AJ96" s="100" t="str">
        <f t="shared" si="42"/>
        <v>-</v>
      </c>
      <c r="AK96" s="101">
        <f t="shared" si="43"/>
        <v>0</v>
      </c>
      <c r="AL96" s="101">
        <f t="shared" si="44"/>
        <v>0</v>
      </c>
      <c r="AM96" s="1" t="str">
        <f>VLOOKUP(B:B,'3店辅助表'!AZ:AZ,1,FALSE)</f>
        <v>Y3027-DG+Y3028</v>
      </c>
      <c r="AN96" t="str">
        <f>VLOOKUP(B:B,'3店辅助表'!AZ:BB,3,FALSE)</f>
        <v>US</v>
      </c>
    </row>
    <row r="97" customHeight="1" spans="1:40">
      <c r="A97" s="58" t="str">
        <f>INDEX('[1]3店'!$A:$A,MATCH(B:B,'[1]3店'!$B:$B,0))</f>
        <v>欣彤</v>
      </c>
      <c r="B97" s="43" t="s">
        <v>867</v>
      </c>
      <c r="C97" s="43" t="s">
        <v>868</v>
      </c>
      <c r="D97" s="59">
        <f>VLOOKUP(B:B,'[1]3店'!$B:$L,3,0)</f>
        <v>44804</v>
      </c>
      <c r="E97" s="43" t="s">
        <v>869</v>
      </c>
      <c r="F97" s="43">
        <v>5</v>
      </c>
      <c r="G97" s="43">
        <v>0</v>
      </c>
      <c r="H97" s="43">
        <v>0</v>
      </c>
      <c r="I97" s="43">
        <v>2</v>
      </c>
      <c r="J97" s="43">
        <v>0</v>
      </c>
      <c r="K97" s="63">
        <f t="shared" si="34"/>
        <v>7</v>
      </c>
      <c r="L97" s="124">
        <f>VLOOKUP($B:$B,'[1]3店'!$B:$L,11,0)</f>
        <v>13.7</v>
      </c>
      <c r="M97" s="44">
        <f t="shared" si="45"/>
        <v>95.9</v>
      </c>
      <c r="N97" s="65">
        <f>IFERROR(VLOOKUP(B:B,'3店辅助表'!B:C,2,FALSE),0)</f>
        <v>0</v>
      </c>
      <c r="O97" s="65">
        <f>IFERROR(VLOOKUP(B:B,'3店辅助表'!E:F,2,FALSE),0)</f>
        <v>0</v>
      </c>
      <c r="P97" s="65">
        <f>IFERROR(VLOOKUP(B:B,'3店辅助表'!H:I,2,FALSE),0)</f>
        <v>0</v>
      </c>
      <c r="Q97" s="65">
        <f>IFERROR(VLOOKUP(B:B,'[1]3店'!$B:$N,13,FALSE),0)</f>
        <v>0</v>
      </c>
      <c r="R97" s="79">
        <f t="shared" si="35"/>
        <v>0</v>
      </c>
      <c r="S97" s="80" t="str">
        <f t="shared" si="36"/>
        <v>-</v>
      </c>
      <c r="T97" s="44" t="str">
        <f t="shared" si="37"/>
        <v>-</v>
      </c>
      <c r="U97" s="44" t="str">
        <f>IFERROR(VLOOKUP($B:$B,'[1]3店'!$B:$T,19,0),"-")</f>
        <v>-</v>
      </c>
      <c r="V97" s="81" t="str">
        <f t="shared" si="38"/>
        <v>-</v>
      </c>
      <c r="W97" s="82" t="str">
        <f t="shared" si="39"/>
        <v>有库存无销量</v>
      </c>
      <c r="X97" s="83" t="str">
        <f t="shared" si="40"/>
        <v>有库存无销量</v>
      </c>
      <c r="Y97" s="44">
        <f>IFERROR(SUMIF('3店辅助表'!K:K,B:B,'3店辅助表'!N:N),0)</f>
        <v>0</v>
      </c>
      <c r="Z97" s="44">
        <f>IFERROR(SUMIF('3店辅助表'!T:T,B:B,'3店辅助表'!W:W),0)</f>
        <v>0</v>
      </c>
      <c r="AA97" s="44">
        <f>IFERROR(SUMIF('3店辅助表'!AC:AC,B:B,'3店辅助表'!AF:AF),0)</f>
        <v>0</v>
      </c>
      <c r="AB97" s="91" t="str">
        <f>IFERROR(SUMIF('3店辅助表'!K:K,B:B,'3店辅助表'!N:N)/SUMIF('3店辅助表'!K:K,B:B,'3店辅助表'!O:O),"-")</f>
        <v>-</v>
      </c>
      <c r="AC97" s="91" t="str">
        <f>IFERROR(VLOOKUP(B:B,'[1]3店'!$B:$AB,27,0),"-")</f>
        <v>-</v>
      </c>
      <c r="AD97" s="92" t="str">
        <f t="shared" si="41"/>
        <v>-</v>
      </c>
      <c r="AE97" s="91" t="str">
        <f>IFERROR(SUMIF('3店辅助表'!T:T,B:B,'3店辅助表'!W:W)/SUMIF('3店辅助表'!T:T,B:B,'3店辅助表'!X:X),"-")</f>
        <v>-</v>
      </c>
      <c r="AF97" s="91" t="str">
        <f>IFERROR(SUMIF('3店辅助表'!AC:AC,B:B,'3店辅助表'!AF:AF)/SUMIF('3店辅助表'!AC:AC,B:B,'3店辅助表'!AG:AG),"-")</f>
        <v>-</v>
      </c>
      <c r="AG97" s="99">
        <f>IFERROR(AK97/((SUMIF('3店辅助表'!AT:AT,B:B,'3店辅助表'!AU:AU)+M97)/2),"-")</f>
        <v>0</v>
      </c>
      <c r="AH97" s="99">
        <f>IFERROR(AL97/((SUMIF('3店辅助表'!AW:AW,B:B,'3店辅助表'!AX:AX)+M97)/2),"-")</f>
        <v>0</v>
      </c>
      <c r="AI97" s="100" t="str">
        <f>IFERROR((SUMIF('3店辅助表'!AP:AP,B:B,'3店辅助表'!AR:AR)-SUMIF('3店辅助表'!AP:AP,B:B,'3店辅助表'!AR:AR)*0.15-(L97+IFERROR(VLOOKUP(B:B,'3店辅助表'!AZ:BA,2,0),0))*O97-IF(AN:AN="US",6.85,4.9)*(Z97+4.27*O97))/SUMIF('3店辅助表'!AP:AP,B:B,'3店辅助表'!AR:AR),"-")</f>
        <v>-</v>
      </c>
      <c r="AJ97" s="100" t="str">
        <f t="shared" si="42"/>
        <v>-</v>
      </c>
      <c r="AK97" s="101">
        <f t="shared" si="43"/>
        <v>0</v>
      </c>
      <c r="AL97" s="101">
        <f t="shared" si="44"/>
        <v>0</v>
      </c>
      <c r="AM97" s="1" t="str">
        <f>VLOOKUP(B:B,'3店辅助表'!AZ:AZ,1,FALSE)</f>
        <v>Y3027-OR+Y3028</v>
      </c>
      <c r="AN97" t="str">
        <f>VLOOKUP(B:B,'3店辅助表'!AZ:BB,3,FALSE)</f>
        <v>US</v>
      </c>
    </row>
    <row r="98" customHeight="1" spans="1:40">
      <c r="A98" s="58" t="str">
        <f>INDEX('[1]3店'!$A:$A,MATCH(B:B,'[1]3店'!$B:$B,0))</f>
        <v>欣彤</v>
      </c>
      <c r="B98" s="43" t="s">
        <v>870</v>
      </c>
      <c r="C98" s="43" t="s">
        <v>871</v>
      </c>
      <c r="D98" s="59">
        <f>VLOOKUP(B:B,'[1]3店'!$B:$L,3,0)</f>
        <v>44804</v>
      </c>
      <c r="E98" s="43" t="s">
        <v>872</v>
      </c>
      <c r="F98" s="43">
        <v>30</v>
      </c>
      <c r="G98" s="43">
        <v>1</v>
      </c>
      <c r="H98" s="43">
        <v>4</v>
      </c>
      <c r="I98" s="43">
        <v>45</v>
      </c>
      <c r="J98" s="43">
        <v>0</v>
      </c>
      <c r="K98" s="63">
        <f t="shared" si="34"/>
        <v>80</v>
      </c>
      <c r="L98" s="124">
        <f>VLOOKUP($B:$B,'[1]3店'!$B:$L,11,0)</f>
        <v>13.7</v>
      </c>
      <c r="M98" s="44">
        <f t="shared" si="45"/>
        <v>1096</v>
      </c>
      <c r="N98" s="65">
        <f>IFERROR(VLOOKUP(B:B,'3店辅助表'!B:C,2,FALSE),0)</f>
        <v>6</v>
      </c>
      <c r="O98" s="65">
        <f>IFERROR(VLOOKUP(B:B,'3店辅助表'!E:F,2,FALSE),0)</f>
        <v>19</v>
      </c>
      <c r="P98" s="65">
        <f>IFERROR(VLOOKUP(B:B,'3店辅助表'!H:I,2,FALSE),0)</f>
        <v>31</v>
      </c>
      <c r="Q98" s="65">
        <f>IFERROR(VLOOKUP(B:B,'[1]3店'!$B:$N,13,FALSE),0)</f>
        <v>13</v>
      </c>
      <c r="R98" s="79">
        <f t="shared" si="35"/>
        <v>-7</v>
      </c>
      <c r="S98" s="80">
        <f t="shared" si="36"/>
        <v>76.0180995475113</v>
      </c>
      <c r="T98" s="44">
        <f t="shared" si="37"/>
        <v>2.53393665158371</v>
      </c>
      <c r="U98" s="44">
        <f>IFERROR(VLOOKUP($B:$B,'[1]3店'!$B:$T,19,0),"-")</f>
        <v>2.1443661971831</v>
      </c>
      <c r="V98" s="81">
        <f t="shared" si="38"/>
        <v>0.38957045440061</v>
      </c>
      <c r="W98" s="82" t="str">
        <f t="shared" si="39"/>
        <v>库存过高</v>
      </c>
      <c r="X98" s="83" t="str">
        <f t="shared" si="40"/>
        <v>库存过高</v>
      </c>
      <c r="Y98" s="44">
        <f>IFERROR(SUMIF('3店辅助表'!K:K,B:B,'3店辅助表'!N:N),0)</f>
        <v>11.36</v>
      </c>
      <c r="Z98" s="44">
        <f>IFERROR(SUMIF('3店辅助表'!T:T,B:B,'3店辅助表'!W:W),0)</f>
        <v>30.97</v>
      </c>
      <c r="AA98" s="44">
        <f>IFERROR(SUMIF('3店辅助表'!AC:AC,B:B,'3店辅助表'!AF:AF),0)</f>
        <v>69.39</v>
      </c>
      <c r="AB98" s="91">
        <f>IFERROR(SUMIF('3店辅助表'!K:K,B:B,'3店辅助表'!N:N)/SUMIF('3店辅助表'!K:K,B:B,'3店辅助表'!O:O),"-")</f>
        <v>0.17490377213241</v>
      </c>
      <c r="AC98" s="91">
        <f>IFERROR(VLOOKUP(B:B,'[1]3店'!$B:$AB,27,0),"-")</f>
        <v>0.38907422852377</v>
      </c>
      <c r="AD98" s="92">
        <f t="shared" si="41"/>
        <v>-0.21417045639136</v>
      </c>
      <c r="AE98" s="91">
        <f>IFERROR(SUMIF('3店辅助表'!T:T,B:B,'3店辅助表'!W:W)/SUMIF('3店辅助表'!T:T,B:B,'3店辅助表'!X:X),"-")</f>
        <v>0.245988880063542</v>
      </c>
      <c r="AF98" s="91">
        <f>IFERROR(SUMIF('3店辅助表'!AC:AC,B:B,'3店辅助表'!AF:AF)/SUMIF('3店辅助表'!AC:AC,B:B,'3店辅助表'!AG:AG),"-")</f>
        <v>0.285779004159631</v>
      </c>
      <c r="AG98" s="99">
        <f>IFERROR(AK98/((SUMIF('3店辅助表'!AT:AT,B:B,'3店辅助表'!AU:AU)+M98)/2),"-")</f>
        <v>0.0718562874251497</v>
      </c>
      <c r="AH98" s="99">
        <f>IFERROR(AL98/((SUMIF('3店辅助表'!AW:AW,B:B,'3店辅助表'!AX:AX)+M98)/2),"-")</f>
        <v>0.263888888888889</v>
      </c>
      <c r="AI98" s="100">
        <f>IFERROR((SUMIF('3店辅助表'!AP:AP,B:B,'3店辅助表'!AR:AR)-SUMIF('3店辅助表'!AP:AP,B:B,'3店辅助表'!AR:AR)*0.15-(L98+IFERROR(VLOOKUP(B:B,'3店辅助表'!AZ:BA,2,0),0))*O98-IF(AN:AN="US",6.85,4.9)*(Z98+4.27*O98))/SUMIF('3店辅助表'!AP:AP,B:B,'3店辅助表'!AR:AR),"-")</f>
        <v>0.184580650291881</v>
      </c>
      <c r="AJ98" s="100">
        <f t="shared" si="42"/>
        <v>0.0487087827159132</v>
      </c>
      <c r="AK98" s="101">
        <f t="shared" si="43"/>
        <v>82.2</v>
      </c>
      <c r="AL98" s="101">
        <f t="shared" si="44"/>
        <v>260.3</v>
      </c>
      <c r="AM98" s="1" t="str">
        <f>VLOOKUP(B:B,'3店辅助表'!AZ:AZ,1,FALSE)</f>
        <v>Y3029-BL+Y3030</v>
      </c>
      <c r="AN98" t="str">
        <f>VLOOKUP(B:B,'3店辅助表'!AZ:BB,3,FALSE)</f>
        <v>US</v>
      </c>
    </row>
    <row r="99" customHeight="1" spans="1:40">
      <c r="A99" s="58" t="str">
        <f>INDEX('[1]3店'!$A:$A,MATCH(B:B,'[1]3店'!$B:$B,0))</f>
        <v>欣彤</v>
      </c>
      <c r="B99" s="43" t="s">
        <v>873</v>
      </c>
      <c r="C99" s="43" t="s">
        <v>874</v>
      </c>
      <c r="D99" s="59">
        <f>VLOOKUP(B:B,'[1]3店'!$B:$L,3,0)</f>
        <v>44804</v>
      </c>
      <c r="E99" s="43" t="s">
        <v>875</v>
      </c>
      <c r="F99" s="43">
        <v>19</v>
      </c>
      <c r="G99" s="43">
        <v>1</v>
      </c>
      <c r="H99" s="43">
        <v>0</v>
      </c>
      <c r="I99" s="43">
        <v>0</v>
      </c>
      <c r="J99" s="43">
        <v>0</v>
      </c>
      <c r="K99" s="63">
        <f t="shared" si="34"/>
        <v>20</v>
      </c>
      <c r="L99" s="124">
        <f>VLOOKUP($B:$B,'[1]3店'!$B:$L,11,0)</f>
        <v>13.7</v>
      </c>
      <c r="M99" s="44">
        <f t="shared" si="45"/>
        <v>274</v>
      </c>
      <c r="N99" s="65">
        <f>IFERROR(VLOOKUP(B:B,'3店辅助表'!B:C,2,FALSE),0)</f>
        <v>0</v>
      </c>
      <c r="O99" s="65">
        <f>IFERROR(VLOOKUP(B:B,'3店辅助表'!E:F,2,FALSE),0)</f>
        <v>1</v>
      </c>
      <c r="P99" s="65">
        <f>IFERROR(VLOOKUP(B:B,'3店辅助表'!H:I,2,FALSE),0)</f>
        <v>3</v>
      </c>
      <c r="Q99" s="65">
        <f>IFERROR(VLOOKUP(B:B,'[1]3店'!$B:$N,13,FALSE),0)</f>
        <v>0</v>
      </c>
      <c r="R99" s="79">
        <f t="shared" si="35"/>
        <v>0</v>
      </c>
      <c r="S99" s="80">
        <f t="shared" si="36"/>
        <v>360</v>
      </c>
      <c r="T99" s="44">
        <f t="shared" si="37"/>
        <v>12</v>
      </c>
      <c r="U99" s="44">
        <f>IFERROR(VLOOKUP($B:$B,'[1]3店'!$B:$T,19,0),"-")</f>
        <v>8.14285714285714</v>
      </c>
      <c r="V99" s="81">
        <f t="shared" si="38"/>
        <v>3.85714285714286</v>
      </c>
      <c r="W99" s="82" t="str">
        <f t="shared" si="39"/>
        <v>有库存无销量</v>
      </c>
      <c r="X99" s="83" t="str">
        <f t="shared" si="40"/>
        <v>库存过高</v>
      </c>
      <c r="Y99" s="44">
        <f>IFERROR(SUMIF('3店辅助表'!K:K,B:B,'3店辅助表'!N:N),0)</f>
        <v>0</v>
      </c>
      <c r="Z99" s="44">
        <f>IFERROR(SUMIF('3店辅助表'!T:T,B:B,'3店辅助表'!W:W),0)</f>
        <v>0</v>
      </c>
      <c r="AA99" s="44">
        <f>IFERROR(SUMIF('3店辅助表'!AC:AC,B:B,'3店辅助表'!AF:AF),0)</f>
        <v>0</v>
      </c>
      <c r="AB99" s="91" t="str">
        <f>IFERROR(SUMIF('3店辅助表'!K:K,B:B,'3店辅助表'!N:N)/SUMIF('3店辅助表'!K:K,B:B,'3店辅助表'!O:O),"-")</f>
        <v>-</v>
      </c>
      <c r="AC99" s="91" t="str">
        <f>IFERROR(VLOOKUP(B:B,'[1]3店'!$B:$AB,27,0),"-")</f>
        <v>-</v>
      </c>
      <c r="AD99" s="92" t="str">
        <f t="shared" si="41"/>
        <v>-</v>
      </c>
      <c r="AE99" s="91" t="str">
        <f>IFERROR(SUMIF('3店辅助表'!T:T,B:B,'3店辅助表'!W:W)/SUMIF('3店辅助表'!T:T,B:B,'3店辅助表'!X:X),"-")</f>
        <v>-</v>
      </c>
      <c r="AF99" s="91" t="str">
        <f>IFERROR(SUMIF('3店辅助表'!AC:AC,B:B,'3店辅助表'!AF:AF)/SUMIF('3店辅助表'!AC:AC,B:B,'3店辅助表'!AG:AG),"-")</f>
        <v>-</v>
      </c>
      <c r="AG99" s="99">
        <f>IFERROR(AK99/((SUMIF('3店辅助表'!AT:AT,B:B,'3店辅助表'!AU:AU)+M99)/2),"-")</f>
        <v>0</v>
      </c>
      <c r="AH99" s="99">
        <f>IFERROR(AL99/((SUMIF('3店辅助表'!AW:AW,B:B,'3店辅助表'!AX:AX)+M99)/2),"-")</f>
        <v>0.0625</v>
      </c>
      <c r="AI99" s="100">
        <f>IFERROR((SUMIF('3店辅助表'!AP:AP,B:B,'3店辅助表'!AR:AR)-SUMIF('3店辅助表'!AP:AP,B:B,'3店辅助表'!AR:AR)*0.15-(L99+IFERROR(VLOOKUP(B:B,'3店辅助表'!AZ:BA,2,0),0))*O99-IF(AN:AN="US",6.85,4.9)*(Z99+4.27*O99))/SUMIF('3店辅助表'!AP:AP,B:B,'3店辅助表'!AR:AR),"-")</f>
        <v>0.335168265313577</v>
      </c>
      <c r="AJ99" s="100">
        <f t="shared" si="42"/>
        <v>0.0209480165820985</v>
      </c>
      <c r="AK99" s="101">
        <f t="shared" si="43"/>
        <v>0</v>
      </c>
      <c r="AL99" s="101">
        <f t="shared" si="44"/>
        <v>13.7</v>
      </c>
      <c r="AM99" s="1" t="str">
        <f>VLOOKUP(B:B,'3店辅助表'!AZ:AZ,1,FALSE)</f>
        <v>Y3029-DG+Y3030</v>
      </c>
      <c r="AN99" t="str">
        <f>VLOOKUP(B:B,'3店辅助表'!AZ:BB,3,FALSE)</f>
        <v>US</v>
      </c>
    </row>
    <row r="100" customHeight="1" spans="1:40">
      <c r="A100" s="58" t="str">
        <f>INDEX('[1]3店'!$A:$A,MATCH(B:B,'[1]3店'!$B:$B,0))</f>
        <v>欣彤</v>
      </c>
      <c r="B100" s="43" t="s">
        <v>876</v>
      </c>
      <c r="C100" s="43" t="s">
        <v>877</v>
      </c>
      <c r="D100" s="59">
        <f>VLOOKUP(B:B,'[1]3店'!$B:$L,3,0)</f>
        <v>44804</v>
      </c>
      <c r="E100" s="43" t="s">
        <v>878</v>
      </c>
      <c r="F100" s="43">
        <v>34</v>
      </c>
      <c r="G100" s="43">
        <v>0</v>
      </c>
      <c r="H100" s="43">
        <v>0</v>
      </c>
      <c r="I100" s="43">
        <v>0</v>
      </c>
      <c r="J100" s="43">
        <v>0</v>
      </c>
      <c r="K100" s="63">
        <f t="shared" si="34"/>
        <v>34</v>
      </c>
      <c r="L100" s="124">
        <f>VLOOKUP($B:$B,'[1]3店'!$B:$L,11,0)</f>
        <v>13.7</v>
      </c>
      <c r="M100" s="44">
        <f t="shared" si="45"/>
        <v>465.8</v>
      </c>
      <c r="N100" s="65">
        <f>IFERROR(VLOOKUP(B:B,'3店辅助表'!B:C,2,FALSE),0)</f>
        <v>3</v>
      </c>
      <c r="O100" s="65">
        <f>IFERROR(VLOOKUP(B:B,'3店辅助表'!E:F,2,FALSE),0)</f>
        <v>5</v>
      </c>
      <c r="P100" s="65">
        <f>IFERROR(VLOOKUP(B:B,'3店辅助表'!H:I,2,FALSE),0)</f>
        <v>5</v>
      </c>
      <c r="Q100" s="65">
        <f>IFERROR(VLOOKUP(B:B,'[1]3店'!$B:$N,13,FALSE),0)</f>
        <v>2</v>
      </c>
      <c r="R100" s="79">
        <f t="shared" si="35"/>
        <v>1</v>
      </c>
      <c r="S100" s="80">
        <f t="shared" si="36"/>
        <v>109.846153846154</v>
      </c>
      <c r="T100" s="44">
        <f t="shared" si="37"/>
        <v>3.66153846153846</v>
      </c>
      <c r="U100" s="44">
        <f>IFERROR(VLOOKUP($B:$B,'[1]3店'!$B:$T,19,0),"-")</f>
        <v>5.51824817518248</v>
      </c>
      <c r="V100" s="81">
        <f t="shared" si="38"/>
        <v>-1.85670971364402</v>
      </c>
      <c r="W100" s="82" t="str">
        <f t="shared" si="39"/>
        <v>库存过高</v>
      </c>
      <c r="X100" s="83" t="str">
        <f t="shared" si="40"/>
        <v>库存过高</v>
      </c>
      <c r="Y100" s="44">
        <f>IFERROR(SUMIF('3店辅助表'!K:K,B:B,'3店辅助表'!N:N),0)</f>
        <v>0</v>
      </c>
      <c r="Z100" s="44">
        <f>IFERROR(SUMIF('3店辅助表'!T:T,B:B,'3店辅助表'!W:W),0)</f>
        <v>0</v>
      </c>
      <c r="AA100" s="44">
        <f>IFERROR(SUMIF('3店辅助表'!AC:AC,B:B,'3店辅助表'!AF:AF),0)</f>
        <v>0</v>
      </c>
      <c r="AB100" s="91" t="str">
        <f>IFERROR(SUMIF('3店辅助表'!K:K,B:B,'3店辅助表'!N:N)/SUMIF('3店辅助表'!K:K,B:B,'3店辅助表'!O:O),"-")</f>
        <v>-</v>
      </c>
      <c r="AC100" s="91" t="str">
        <f>IFERROR(VLOOKUP(B:B,'[1]3店'!$B:$AB,27,0),"-")</f>
        <v>-</v>
      </c>
      <c r="AD100" s="92" t="str">
        <f t="shared" si="41"/>
        <v>-</v>
      </c>
      <c r="AE100" s="91" t="str">
        <f>IFERROR(SUMIF('3店辅助表'!T:T,B:B,'3店辅助表'!W:W)/SUMIF('3店辅助表'!T:T,B:B,'3店辅助表'!X:X),"-")</f>
        <v>-</v>
      </c>
      <c r="AF100" s="91" t="str">
        <f>IFERROR(SUMIF('3店辅助表'!AC:AC,B:B,'3店辅助表'!AF:AF)/SUMIF('3店辅助表'!AC:AC,B:B,'3店辅助表'!AG:AG),"-")</f>
        <v>-</v>
      </c>
      <c r="AG100" s="99">
        <f>IFERROR(AK100/((SUMIF('3店辅助表'!AT:AT,B:B,'3店辅助表'!AU:AU)+M100)/2),"-")</f>
        <v>0.0857142857142857</v>
      </c>
      <c r="AH100" s="99">
        <f>IFERROR(AL100/((SUMIF('3店辅助表'!AW:AW,B:B,'3店辅助表'!AX:AX)+M100)/2),"-")</f>
        <v>0.140845070422535</v>
      </c>
      <c r="AI100" s="100">
        <f>IFERROR((SUMIF('3店辅助表'!AP:AP,B:B,'3店辅助表'!AR:AR)-SUMIF('3店辅助表'!AP:AP,B:B,'3店辅助表'!AR:AR)*0.15-(L100+IFERROR(VLOOKUP(B:B,'3店辅助表'!AZ:BA,2,0),0))*O100-IF(AN:AN="US",6.85,4.9)*(Z100+4.27*O100))/SUMIF('3店辅助表'!AP:AP,B:B,'3店辅助表'!AR:AR),"-")</f>
        <v>0.334336631771773</v>
      </c>
      <c r="AJ100" s="100">
        <f t="shared" si="42"/>
        <v>0.0470896664467286</v>
      </c>
      <c r="AK100" s="101">
        <f t="shared" si="43"/>
        <v>41.1</v>
      </c>
      <c r="AL100" s="101">
        <f t="shared" si="44"/>
        <v>68.5</v>
      </c>
      <c r="AM100" s="1" t="str">
        <f>VLOOKUP(B:B,'3店辅助表'!AZ:AZ,1,FALSE)</f>
        <v>Y3029-NB+Y3030</v>
      </c>
      <c r="AN100" t="str">
        <f>VLOOKUP(B:B,'3店辅助表'!AZ:BB,3,FALSE)</f>
        <v>US</v>
      </c>
    </row>
    <row r="101" customHeight="1" spans="1:40">
      <c r="A101" s="58" t="str">
        <f>INDEX('[1]3店'!$A:$A,MATCH(B:B,'[1]3店'!$B:$B,0))</f>
        <v>欣彤</v>
      </c>
      <c r="B101" s="43" t="s">
        <v>879</v>
      </c>
      <c r="C101" s="43" t="s">
        <v>880</v>
      </c>
      <c r="D101" s="59">
        <f>VLOOKUP(B:B,'[1]3店'!$B:$L,3,0)</f>
        <v>44804</v>
      </c>
      <c r="E101" s="43" t="s">
        <v>881</v>
      </c>
      <c r="F101" s="43">
        <v>31</v>
      </c>
      <c r="G101" s="43">
        <v>0</v>
      </c>
      <c r="H101" s="43">
        <v>0</v>
      </c>
      <c r="I101" s="43">
        <v>0</v>
      </c>
      <c r="J101" s="43">
        <v>0</v>
      </c>
      <c r="K101" s="63">
        <f t="shared" si="34"/>
        <v>31</v>
      </c>
      <c r="L101" s="124">
        <f>VLOOKUP($B:$B,'[1]3店'!$B:$L,11,0)</f>
        <v>13.7</v>
      </c>
      <c r="M101" s="44">
        <f t="shared" si="45"/>
        <v>424.7</v>
      </c>
      <c r="N101" s="65">
        <f>IFERROR(VLOOKUP(B:B,'3店辅助表'!B:C,2,FALSE),0)</f>
        <v>1</v>
      </c>
      <c r="O101" s="65">
        <f>IFERROR(VLOOKUP(B:B,'3店辅助表'!E:F,2,FALSE),0)</f>
        <v>2</v>
      </c>
      <c r="P101" s="65">
        <f>IFERROR(VLOOKUP(B:B,'3店辅助表'!H:I,2,FALSE),0)</f>
        <v>3</v>
      </c>
      <c r="Q101" s="65">
        <f>IFERROR(VLOOKUP(B:B,'[1]3店'!$B:$N,13,FALSE),0)</f>
        <v>1</v>
      </c>
      <c r="R101" s="79">
        <f t="shared" si="35"/>
        <v>0</v>
      </c>
      <c r="S101" s="80">
        <f t="shared" si="36"/>
        <v>247.215189873418</v>
      </c>
      <c r="T101" s="44">
        <f t="shared" si="37"/>
        <v>8.24050632911392</v>
      </c>
      <c r="U101" s="44">
        <f>IFERROR(VLOOKUP($B:$B,'[1]3店'!$B:$T,19,0),"-")</f>
        <v>11.5862068965517</v>
      </c>
      <c r="V101" s="81">
        <f t="shared" si="38"/>
        <v>-3.34570056743778</v>
      </c>
      <c r="W101" s="82" t="str">
        <f t="shared" si="39"/>
        <v>库存过高</v>
      </c>
      <c r="X101" s="83" t="str">
        <f t="shared" si="40"/>
        <v>库存过高</v>
      </c>
      <c r="Y101" s="44">
        <f>IFERROR(SUMIF('3店辅助表'!K:K,B:B,'3店辅助表'!N:N),0)</f>
        <v>0</v>
      </c>
      <c r="Z101" s="44">
        <f>IFERROR(SUMIF('3店辅助表'!T:T,B:B,'3店辅助表'!W:W),0)</f>
        <v>0</v>
      </c>
      <c r="AA101" s="44">
        <f>IFERROR(SUMIF('3店辅助表'!AC:AC,B:B,'3店辅助表'!AF:AF),0)</f>
        <v>0</v>
      </c>
      <c r="AB101" s="91" t="str">
        <f>IFERROR(SUMIF('3店辅助表'!K:K,B:B,'3店辅助表'!N:N)/SUMIF('3店辅助表'!K:K,B:B,'3店辅助表'!O:O),"-")</f>
        <v>-</v>
      </c>
      <c r="AC101" s="91" t="str">
        <f>IFERROR(VLOOKUP(B:B,'[1]3店'!$B:$AB,27,0),"-")</f>
        <v>-</v>
      </c>
      <c r="AD101" s="92" t="str">
        <f t="shared" si="41"/>
        <v>-</v>
      </c>
      <c r="AE101" s="91" t="str">
        <f>IFERROR(SUMIF('3店辅助表'!T:T,B:B,'3店辅助表'!W:W)/SUMIF('3店辅助表'!T:T,B:B,'3店辅助表'!X:X),"-")</f>
        <v>-</v>
      </c>
      <c r="AF101" s="91" t="str">
        <f>IFERROR(SUMIF('3店辅助表'!AC:AC,B:B,'3店辅助表'!AF:AF)/SUMIF('3店辅助表'!AC:AC,B:B,'3店辅助表'!AG:AG),"-")</f>
        <v>-</v>
      </c>
      <c r="AG101" s="99">
        <f>IFERROR(AK101/((SUMIF('3店辅助表'!AT:AT,B:B,'3店辅助表'!AU:AU)+M101)/2),"-")</f>
        <v>0.0317460317460317</v>
      </c>
      <c r="AH101" s="99">
        <f>IFERROR(AL101/((SUMIF('3店辅助表'!AW:AW,B:B,'3店辅助表'!AX:AX)+M101)/2),"-")</f>
        <v>0.0615384615384615</v>
      </c>
      <c r="AI101" s="100">
        <f>IFERROR((SUMIF('3店辅助表'!AP:AP,B:B,'3店辅助表'!AR:AR)-SUMIF('3店辅助表'!AP:AP,B:B,'3店辅助表'!AR:AR)*0.15-(L101+IFERROR(VLOOKUP(B:B,'3店辅助表'!AZ:BA,2,0),0))*O101-IF(AN:AN="US",6.85,4.9)*(Z101+4.27*O101))/SUMIF('3店辅助表'!AP:AP,B:B,'3店辅助表'!AR:AR),"-")</f>
        <v>0.327211555210915</v>
      </c>
      <c r="AJ101" s="100">
        <f t="shared" si="42"/>
        <v>0.0201360957052871</v>
      </c>
      <c r="AK101" s="101">
        <f t="shared" si="43"/>
        <v>13.7</v>
      </c>
      <c r="AL101" s="101">
        <f t="shared" si="44"/>
        <v>27.4</v>
      </c>
      <c r="AM101" s="1" t="str">
        <f>VLOOKUP(B:B,'3店辅助表'!AZ:AZ,1,FALSE)</f>
        <v>Y3029-OR+Y3030</v>
      </c>
      <c r="AN101" t="str">
        <f>VLOOKUP(B:B,'3店辅助表'!AZ:BB,3,FALSE)</f>
        <v>US</v>
      </c>
    </row>
    <row r="102" customHeight="1" spans="1:40">
      <c r="A102" s="58" t="str">
        <f>INDEX('[1]3店'!$A:$A,MATCH(B:B,'[1]3店'!$B:$B,0))</f>
        <v>欣彤</v>
      </c>
      <c r="B102" s="43" t="s">
        <v>882</v>
      </c>
      <c r="C102" s="43" t="s">
        <v>883</v>
      </c>
      <c r="D102" s="59">
        <f>VLOOKUP(B:B,'[1]3店'!$B:$L,3,0)</f>
        <v>44804</v>
      </c>
      <c r="E102" s="43" t="s">
        <v>884</v>
      </c>
      <c r="F102" s="43">
        <v>6</v>
      </c>
      <c r="G102" s="43">
        <v>2</v>
      </c>
      <c r="H102" s="43">
        <v>0</v>
      </c>
      <c r="I102" s="43">
        <v>0</v>
      </c>
      <c r="J102" s="43">
        <v>0</v>
      </c>
      <c r="K102" s="63">
        <f t="shared" si="34"/>
        <v>8</v>
      </c>
      <c r="L102" s="124">
        <f>VLOOKUP($B:$B,'[1]3店'!$B:$L,11,0)</f>
        <v>13.7</v>
      </c>
      <c r="M102" s="44">
        <f t="shared" si="45"/>
        <v>109.6</v>
      </c>
      <c r="N102" s="65">
        <f>IFERROR(VLOOKUP(B:B,'3店辅助表'!B:C,2,FALSE),0)</f>
        <v>0</v>
      </c>
      <c r="O102" s="65">
        <f>IFERROR(VLOOKUP(B:B,'3店辅助表'!E:F,2,FALSE),0)</f>
        <v>1</v>
      </c>
      <c r="P102" s="65">
        <f>IFERROR(VLOOKUP(B:B,'3店辅助表'!H:I,2,FALSE),0)</f>
        <v>2</v>
      </c>
      <c r="Q102" s="65">
        <f>IFERROR(VLOOKUP(B:B,'[1]3店'!$B:$N,13,FALSE),0)</f>
        <v>1</v>
      </c>
      <c r="R102" s="79">
        <f t="shared" si="35"/>
        <v>-1</v>
      </c>
      <c r="S102" s="80">
        <f t="shared" si="36"/>
        <v>180</v>
      </c>
      <c r="T102" s="44">
        <f t="shared" si="37"/>
        <v>6</v>
      </c>
      <c r="U102" s="44">
        <f>IFERROR(VLOOKUP($B:$B,'[1]3店'!$B:$T,19,0),"-")</f>
        <v>2.53448275862069</v>
      </c>
      <c r="V102" s="81">
        <f t="shared" si="38"/>
        <v>3.46551724137931</v>
      </c>
      <c r="W102" s="82" t="str">
        <f t="shared" si="39"/>
        <v>有库存无销量</v>
      </c>
      <c r="X102" s="83" t="str">
        <f t="shared" si="40"/>
        <v>库存过高</v>
      </c>
      <c r="Y102" s="44">
        <f>IFERROR(SUMIF('3店辅助表'!K:K,B:B,'3店辅助表'!N:N),0)</f>
        <v>0</v>
      </c>
      <c r="Z102" s="44">
        <f>IFERROR(SUMIF('3店辅助表'!T:T,B:B,'3店辅助表'!W:W),0)</f>
        <v>0</v>
      </c>
      <c r="AA102" s="44">
        <f>IFERROR(SUMIF('3店辅助表'!AC:AC,B:B,'3店辅助表'!AF:AF),0)</f>
        <v>0</v>
      </c>
      <c r="AB102" s="91" t="str">
        <f>IFERROR(SUMIF('3店辅助表'!K:K,B:B,'3店辅助表'!N:N)/SUMIF('3店辅助表'!K:K,B:B,'3店辅助表'!O:O),"-")</f>
        <v>-</v>
      </c>
      <c r="AC102" s="91" t="str">
        <f>IFERROR(VLOOKUP(B:B,'[1]3店'!$B:$AB,27,0),"-")</f>
        <v>-</v>
      </c>
      <c r="AD102" s="92" t="str">
        <f t="shared" si="41"/>
        <v>-</v>
      </c>
      <c r="AE102" s="91" t="str">
        <f>IFERROR(SUMIF('3店辅助表'!T:T,B:B,'3店辅助表'!W:W)/SUMIF('3店辅助表'!T:T,B:B,'3店辅助表'!X:X),"-")</f>
        <v>-</v>
      </c>
      <c r="AF102" s="91" t="str">
        <f>IFERROR(SUMIF('3店辅助表'!AC:AC,B:B,'3店辅助表'!AF:AF)/SUMIF('3店辅助表'!AC:AC,B:B,'3店辅助表'!AG:AG),"-")</f>
        <v>-</v>
      </c>
      <c r="AG102" s="99">
        <f>IFERROR(AK102/((SUMIF('3店辅助表'!AT:AT,B:B,'3店辅助表'!AU:AU)+M102)/2),"-")</f>
        <v>0</v>
      </c>
      <c r="AH102" s="99">
        <f>IFERROR(AL102/((SUMIF('3店辅助表'!AW:AW,B:B,'3店辅助表'!AX:AX)+M102)/2),"-")</f>
        <v>0.125</v>
      </c>
      <c r="AI102" s="100">
        <f>IFERROR((SUMIF('3店辅助表'!AP:AP,B:B,'3店辅助表'!AR:AR)-SUMIF('3店辅助表'!AP:AP,B:B,'3店辅助表'!AR:AR)*0.15-(L102+IFERROR(VLOOKUP(B:B,'3店辅助表'!AZ:BA,2,0),0))*O102-IF(AN:AN="US",6.85,4.9)*(Z102+4.27*O102))/SUMIF('3店辅助表'!AP:AP,B:B,'3店辅助表'!AR:AR),"-")</f>
        <v>0.264823416648234</v>
      </c>
      <c r="AJ102" s="100">
        <f t="shared" si="42"/>
        <v>0.0331029270810293</v>
      </c>
      <c r="AK102" s="101">
        <f t="shared" si="43"/>
        <v>0</v>
      </c>
      <c r="AL102" s="101">
        <f t="shared" si="44"/>
        <v>13.7</v>
      </c>
      <c r="AM102" s="1" t="str">
        <f>VLOOKUP(B:B,'3店辅助表'!AZ:AZ,1,FALSE)</f>
        <v>Y3029-TG+Y3030</v>
      </c>
      <c r="AN102" t="str">
        <f>VLOOKUP(B:B,'3店辅助表'!AZ:BB,3,FALSE)</f>
        <v>US</v>
      </c>
    </row>
    <row r="103" customHeight="1" spans="1:40">
      <c r="A103" s="58" t="str">
        <f>INDEX('[1]3店'!$A:$A,MATCH(B:B,'[1]3店'!$B:$B,0))</f>
        <v>欣彤</v>
      </c>
      <c r="B103" s="43" t="s">
        <v>885</v>
      </c>
      <c r="C103" s="43" t="s">
        <v>886</v>
      </c>
      <c r="D103" s="59">
        <f>VLOOKUP(B:B,'[1]3店'!$B:$L,3,0)</f>
        <v>44804</v>
      </c>
      <c r="E103" s="43" t="s">
        <v>887</v>
      </c>
      <c r="F103" s="43">
        <v>42</v>
      </c>
      <c r="G103" s="43">
        <v>0</v>
      </c>
      <c r="H103" s="43">
        <v>0</v>
      </c>
      <c r="I103" s="43">
        <v>0</v>
      </c>
      <c r="J103" s="43">
        <v>0</v>
      </c>
      <c r="K103" s="63">
        <f t="shared" si="34"/>
        <v>42</v>
      </c>
      <c r="L103" s="124">
        <f>VLOOKUP($B:$B,'[1]3店'!$B:$L,11,0)</f>
        <v>13.7</v>
      </c>
      <c r="M103" s="44">
        <f t="shared" si="45"/>
        <v>575.4</v>
      </c>
      <c r="N103" s="65">
        <f>IFERROR(VLOOKUP(B:B,'3店辅助表'!B:C,2,FALSE),0)</f>
        <v>0</v>
      </c>
      <c r="O103" s="65">
        <f>IFERROR(VLOOKUP(B:B,'3店辅助表'!E:F,2,FALSE),0)</f>
        <v>0</v>
      </c>
      <c r="P103" s="65">
        <f>IFERROR(VLOOKUP(B:B,'3店辅助表'!H:I,2,FALSE),0)</f>
        <v>0</v>
      </c>
      <c r="Q103" s="65">
        <f>IFERROR(VLOOKUP(B:B,'[1]3店'!$B:$N,13,FALSE),0)</f>
        <v>0</v>
      </c>
      <c r="R103" s="79">
        <f t="shared" si="35"/>
        <v>0</v>
      </c>
      <c r="S103" s="80" t="str">
        <f t="shared" si="36"/>
        <v>-</v>
      </c>
      <c r="T103" s="44" t="str">
        <f t="shared" si="37"/>
        <v>-</v>
      </c>
      <c r="U103" s="44" t="str">
        <f>IFERROR(VLOOKUP($B:$B,'[1]3店'!$B:$T,19,0),"-")</f>
        <v>-</v>
      </c>
      <c r="V103" s="81" t="str">
        <f t="shared" si="38"/>
        <v>-</v>
      </c>
      <c r="W103" s="82" t="str">
        <f t="shared" si="39"/>
        <v>有库存无销量</v>
      </c>
      <c r="X103" s="83" t="str">
        <f t="shared" si="40"/>
        <v>有库存无销量</v>
      </c>
      <c r="Y103" s="44">
        <f>IFERROR(SUMIF('3店辅助表'!K:K,B:B,'3店辅助表'!N:N),0)</f>
        <v>0</v>
      </c>
      <c r="Z103" s="44">
        <f>IFERROR(SUMIF('3店辅助表'!T:T,B:B,'3店辅助表'!W:W),0)</f>
        <v>0</v>
      </c>
      <c r="AA103" s="44">
        <f>IFERROR(SUMIF('3店辅助表'!AC:AC,B:B,'3店辅助表'!AF:AF),0)</f>
        <v>0</v>
      </c>
      <c r="AB103" s="91" t="str">
        <f>IFERROR(SUMIF('3店辅助表'!K:K,B:B,'3店辅助表'!N:N)/SUMIF('3店辅助表'!K:K,B:B,'3店辅助表'!O:O),"-")</f>
        <v>-</v>
      </c>
      <c r="AC103" s="91" t="str">
        <f>IFERROR(VLOOKUP(B:B,'[1]3店'!$B:$AB,27,0),"-")</f>
        <v>-</v>
      </c>
      <c r="AD103" s="92" t="str">
        <f t="shared" si="41"/>
        <v>-</v>
      </c>
      <c r="AE103" s="91" t="str">
        <f>IFERROR(SUMIF('3店辅助表'!T:T,B:B,'3店辅助表'!W:W)/SUMIF('3店辅助表'!T:T,B:B,'3店辅助表'!X:X),"-")</f>
        <v>-</v>
      </c>
      <c r="AF103" s="91" t="str">
        <f>IFERROR(SUMIF('3店辅助表'!AC:AC,B:B,'3店辅助表'!AF:AF)/SUMIF('3店辅助表'!AC:AC,B:B,'3店辅助表'!AG:AG),"-")</f>
        <v>-</v>
      </c>
      <c r="AG103" s="99">
        <f>IFERROR(AK103/((SUMIF('3店辅助表'!AT:AT,B:B,'3店辅助表'!AU:AU)+M103)/2),"-")</f>
        <v>0</v>
      </c>
      <c r="AH103" s="99">
        <f>IFERROR(AL103/((SUMIF('3店辅助表'!AW:AW,B:B,'3店辅助表'!AX:AX)+M103)/2),"-")</f>
        <v>0</v>
      </c>
      <c r="AI103" s="100" t="str">
        <f>IFERROR((SUMIF('3店辅助表'!AP:AP,B:B,'3店辅助表'!AR:AR)-SUMIF('3店辅助表'!AP:AP,B:B,'3店辅助表'!AR:AR)*0.15-(L103+IFERROR(VLOOKUP(B:B,'3店辅助表'!AZ:BA,2,0),0))*O103-IF(AN:AN="US",6.85,4.9)*(Z103+4.27*O103))/SUMIF('3店辅助表'!AP:AP,B:B,'3店辅助表'!AR:AR),"-")</f>
        <v>-</v>
      </c>
      <c r="AJ103" s="100" t="str">
        <f t="shared" si="42"/>
        <v>-</v>
      </c>
      <c r="AK103" s="101">
        <f t="shared" si="43"/>
        <v>0</v>
      </c>
      <c r="AL103" s="101">
        <f t="shared" si="44"/>
        <v>0</v>
      </c>
      <c r="AM103" s="1" t="str">
        <f>VLOOKUP(B:B,'3店辅助表'!AZ:AZ,1,FALSE)</f>
        <v>Y3031-DG+Y3032</v>
      </c>
      <c r="AN103" t="str">
        <f>VLOOKUP(B:B,'3店辅助表'!AZ:BB,3,FALSE)</f>
        <v>US</v>
      </c>
    </row>
    <row r="104" customHeight="1" spans="1:40">
      <c r="A104" s="58" t="str">
        <f>INDEX('[1]3店'!$A:$A,MATCH(B:B,'[1]3店'!$B:$B,0))</f>
        <v>欣彤</v>
      </c>
      <c r="B104" s="43" t="s">
        <v>888</v>
      </c>
      <c r="C104" s="43" t="s">
        <v>889</v>
      </c>
      <c r="D104" s="59">
        <f>VLOOKUP(B:B,'[1]3店'!$B:$L,3,0)</f>
        <v>44804</v>
      </c>
      <c r="E104" s="43" t="s">
        <v>890</v>
      </c>
      <c r="F104" s="43">
        <v>3</v>
      </c>
      <c r="G104" s="43">
        <v>0</v>
      </c>
      <c r="H104" s="43">
        <v>0</v>
      </c>
      <c r="I104" s="43">
        <v>1</v>
      </c>
      <c r="J104" s="43">
        <v>0</v>
      </c>
      <c r="K104" s="63">
        <f t="shared" si="34"/>
        <v>4</v>
      </c>
      <c r="L104" s="124">
        <f>VLOOKUP($B:$B,'[1]3店'!$B:$L,11,0)</f>
        <v>13.7</v>
      </c>
      <c r="M104" s="44">
        <f t="shared" si="45"/>
        <v>54.8</v>
      </c>
      <c r="N104" s="65">
        <f>IFERROR(VLOOKUP(B:B,'3店辅助表'!B:C,2,FALSE),0)</f>
        <v>0</v>
      </c>
      <c r="O104" s="65">
        <f>IFERROR(VLOOKUP(B:B,'3店辅助表'!E:F,2,FALSE),0)</f>
        <v>0</v>
      </c>
      <c r="P104" s="65">
        <f>IFERROR(VLOOKUP(B:B,'3店辅助表'!H:I,2,FALSE),0)</f>
        <v>0</v>
      </c>
      <c r="Q104" s="65">
        <f>IFERROR(VLOOKUP(B:B,'[1]3店'!$B:$N,13,FALSE),0)</f>
        <v>0</v>
      </c>
      <c r="R104" s="79">
        <f t="shared" si="35"/>
        <v>0</v>
      </c>
      <c r="S104" s="80" t="str">
        <f t="shared" si="36"/>
        <v>-</v>
      </c>
      <c r="T104" s="44" t="str">
        <f t="shared" si="37"/>
        <v>-</v>
      </c>
      <c r="U104" s="44">
        <f>IFERROR(VLOOKUP($B:$B,'[1]3店'!$B:$T,19,0),"-")</f>
        <v>12</v>
      </c>
      <c r="V104" s="81" t="str">
        <f t="shared" si="38"/>
        <v>-</v>
      </c>
      <c r="W104" s="82" t="str">
        <f t="shared" si="39"/>
        <v>有库存无销量</v>
      </c>
      <c r="X104" s="83" t="str">
        <f t="shared" si="40"/>
        <v>有库存无销量</v>
      </c>
      <c r="Y104" s="44">
        <f>IFERROR(SUMIF('3店辅助表'!K:K,B:B,'3店辅助表'!N:N),0)</f>
        <v>3.45</v>
      </c>
      <c r="Z104" s="44">
        <f>IFERROR(SUMIF('3店辅助表'!T:T,B:B,'3店辅助表'!W:W),0)</f>
        <v>5.26</v>
      </c>
      <c r="AA104" s="44">
        <f>IFERROR(SUMIF('3店辅助表'!AC:AC,B:B,'3店辅助表'!AF:AF),0)</f>
        <v>5.26</v>
      </c>
      <c r="AB104" s="91" t="str">
        <f>IFERROR(SUMIF('3店辅助表'!K:K,B:B,'3店辅助表'!N:N)/SUMIF('3店辅助表'!K:K,B:B,'3店辅助表'!O:O),"-")</f>
        <v>-</v>
      </c>
      <c r="AC104" s="91" t="str">
        <f>IFERROR(VLOOKUP(B:B,'[1]3店'!$B:$AB,27,0),"-")</f>
        <v>-</v>
      </c>
      <c r="AD104" s="92" t="str">
        <f t="shared" si="41"/>
        <v>-</v>
      </c>
      <c r="AE104" s="91" t="str">
        <f>IFERROR(SUMIF('3店辅助表'!T:T,B:B,'3店辅助表'!W:W)/SUMIF('3店辅助表'!T:T,B:B,'3店辅助表'!X:X),"-")</f>
        <v>-</v>
      </c>
      <c r="AF104" s="91" t="str">
        <f>IFERROR(SUMIF('3店辅助表'!AC:AC,B:B,'3店辅助表'!AF:AF)/SUMIF('3店辅助表'!AC:AC,B:B,'3店辅助表'!AG:AG),"-")</f>
        <v>-</v>
      </c>
      <c r="AG104" s="99">
        <f>IFERROR(AK104/((SUMIF('3店辅助表'!AT:AT,B:B,'3店辅助表'!AU:AU)+M104)/2),"-")</f>
        <v>0</v>
      </c>
      <c r="AH104" s="99">
        <f>IFERROR(AL104/((SUMIF('3店辅助表'!AW:AW,B:B,'3店辅助表'!AX:AX)+M104)/2),"-")</f>
        <v>0</v>
      </c>
      <c r="AI104" s="100" t="str">
        <f>IFERROR((SUMIF('3店辅助表'!AP:AP,B:B,'3店辅助表'!AR:AR)-SUMIF('3店辅助表'!AP:AP,B:B,'3店辅助表'!AR:AR)*0.15-(L104+IFERROR(VLOOKUP(B:B,'3店辅助表'!AZ:BA,2,0),0))*O104-IF(AN:AN="US",6.85,4.9)*(Z104+4.27*O104))/SUMIF('3店辅助表'!AP:AP,B:B,'3店辅助表'!AR:AR),"-")</f>
        <v>-</v>
      </c>
      <c r="AJ104" s="100" t="str">
        <f t="shared" si="42"/>
        <v>-</v>
      </c>
      <c r="AK104" s="101">
        <f t="shared" si="43"/>
        <v>0</v>
      </c>
      <c r="AL104" s="101">
        <f t="shared" si="44"/>
        <v>0</v>
      </c>
      <c r="AM104" s="1" t="str">
        <f>VLOOKUP(B:B,'3店辅助表'!AZ:AZ,1,FALSE)</f>
        <v>Y3031-NB+Y3032</v>
      </c>
      <c r="AN104" t="str">
        <f>VLOOKUP(B:B,'3店辅助表'!AZ:BB,3,FALSE)</f>
        <v>US</v>
      </c>
    </row>
    <row r="105" customHeight="1" spans="1:40">
      <c r="A105" s="58" t="str">
        <f>INDEX('[1]3店'!$A:$A,MATCH(B:B,'[1]3店'!$B:$B,0))</f>
        <v>欣彤</v>
      </c>
      <c r="B105" s="43" t="s">
        <v>891</v>
      </c>
      <c r="C105" s="43" t="s">
        <v>892</v>
      </c>
      <c r="D105" s="59">
        <f>VLOOKUP(B:B,'[1]3店'!$B:$L,3,0)</f>
        <v>44804</v>
      </c>
      <c r="E105" s="43" t="s">
        <v>893</v>
      </c>
      <c r="F105" s="43">
        <v>2</v>
      </c>
      <c r="G105" s="43">
        <v>0</v>
      </c>
      <c r="H105" s="43">
        <v>0</v>
      </c>
      <c r="I105" s="43">
        <v>2</v>
      </c>
      <c r="J105" s="43">
        <v>0</v>
      </c>
      <c r="K105" s="63">
        <f t="shared" si="34"/>
        <v>4</v>
      </c>
      <c r="L105" s="124">
        <f>VLOOKUP($B:$B,'[1]3店'!$B:$L,11,0)</f>
        <v>13.7</v>
      </c>
      <c r="M105" s="44">
        <f t="shared" si="45"/>
        <v>54.8</v>
      </c>
      <c r="N105" s="65">
        <f>IFERROR(VLOOKUP(B:B,'3店辅助表'!B:C,2,FALSE),0)</f>
        <v>0</v>
      </c>
      <c r="O105" s="65">
        <f>IFERROR(VLOOKUP(B:B,'3店辅助表'!E:F,2,FALSE),0)</f>
        <v>0</v>
      </c>
      <c r="P105" s="65">
        <f>IFERROR(VLOOKUP(B:B,'3店辅助表'!H:I,2,FALSE),0)</f>
        <v>0</v>
      </c>
      <c r="Q105" s="65">
        <f>IFERROR(VLOOKUP(B:B,'[1]3店'!$B:$N,13,FALSE),0)</f>
        <v>0</v>
      </c>
      <c r="R105" s="79">
        <f t="shared" si="35"/>
        <v>0</v>
      </c>
      <c r="S105" s="80" t="str">
        <f t="shared" si="36"/>
        <v>-</v>
      </c>
      <c r="T105" s="44" t="str">
        <f t="shared" si="37"/>
        <v>-</v>
      </c>
      <c r="U105" s="44">
        <f>IFERROR(VLOOKUP($B:$B,'[1]3店'!$B:$T,19,0),"-")</f>
        <v>12</v>
      </c>
      <c r="V105" s="81" t="str">
        <f t="shared" si="38"/>
        <v>-</v>
      </c>
      <c r="W105" s="82" t="str">
        <f t="shared" si="39"/>
        <v>有库存无销量</v>
      </c>
      <c r="X105" s="83" t="str">
        <f t="shared" si="40"/>
        <v>有库存无销量</v>
      </c>
      <c r="Y105" s="44">
        <f>IFERROR(SUMIF('3店辅助表'!K:K,B:B,'3店辅助表'!N:N),0)</f>
        <v>0</v>
      </c>
      <c r="Z105" s="44">
        <f>IFERROR(SUMIF('3店辅助表'!T:T,B:B,'3店辅助表'!W:W),0)</f>
        <v>0</v>
      </c>
      <c r="AA105" s="44">
        <f>IFERROR(SUMIF('3店辅助表'!AC:AC,B:B,'3店辅助表'!AF:AF),0)</f>
        <v>0</v>
      </c>
      <c r="AB105" s="91" t="str">
        <f>IFERROR(SUMIF('3店辅助表'!K:K,B:B,'3店辅助表'!N:N)/SUMIF('3店辅助表'!K:K,B:B,'3店辅助表'!O:O),"-")</f>
        <v>-</v>
      </c>
      <c r="AC105" s="91" t="str">
        <f>IFERROR(VLOOKUP(B:B,'[1]3店'!$B:$AB,27,0),"-")</f>
        <v>-</v>
      </c>
      <c r="AD105" s="92" t="str">
        <f t="shared" si="41"/>
        <v>-</v>
      </c>
      <c r="AE105" s="91" t="str">
        <f>IFERROR(SUMIF('3店辅助表'!T:T,B:B,'3店辅助表'!W:W)/SUMIF('3店辅助表'!T:T,B:B,'3店辅助表'!X:X),"-")</f>
        <v>-</v>
      </c>
      <c r="AF105" s="91" t="str">
        <f>IFERROR(SUMIF('3店辅助表'!AC:AC,B:B,'3店辅助表'!AF:AF)/SUMIF('3店辅助表'!AC:AC,B:B,'3店辅助表'!AG:AG),"-")</f>
        <v>-</v>
      </c>
      <c r="AG105" s="99">
        <f>IFERROR(AK105/((SUMIF('3店辅助表'!AT:AT,B:B,'3店辅助表'!AU:AU)+M105)/2),"-")</f>
        <v>0</v>
      </c>
      <c r="AH105" s="99">
        <f>IFERROR(AL105/((SUMIF('3店辅助表'!AW:AW,B:B,'3店辅助表'!AX:AX)+M105)/2),"-")</f>
        <v>0</v>
      </c>
      <c r="AI105" s="100" t="str">
        <f>IFERROR((SUMIF('3店辅助表'!AP:AP,B:B,'3店辅助表'!AR:AR)-SUMIF('3店辅助表'!AP:AP,B:B,'3店辅助表'!AR:AR)*0.15-(L105+IFERROR(VLOOKUP(B:B,'3店辅助表'!AZ:BA,2,0),0))*O105-IF(AN:AN="US",6.85,4.9)*(Z105+4.27*O105))/SUMIF('3店辅助表'!AP:AP,B:B,'3店辅助表'!AR:AR),"-")</f>
        <v>-</v>
      </c>
      <c r="AJ105" s="100" t="str">
        <f t="shared" si="42"/>
        <v>-</v>
      </c>
      <c r="AK105" s="101">
        <f t="shared" si="43"/>
        <v>0</v>
      </c>
      <c r="AL105" s="101">
        <f t="shared" si="44"/>
        <v>0</v>
      </c>
      <c r="AM105" s="1" t="str">
        <f>VLOOKUP(B:B,'3店辅助表'!AZ:AZ,1,FALSE)</f>
        <v>Y3031-OR+Y3032</v>
      </c>
      <c r="AN105" t="str">
        <f>VLOOKUP(B:B,'3店辅助表'!AZ:BB,3,FALSE)</f>
        <v>US</v>
      </c>
    </row>
    <row r="106" customHeight="1" spans="1:40">
      <c r="A106" s="58" t="str">
        <f>INDEX('[1]3店'!$A:$A,MATCH(B:B,'[1]3店'!$B:$B,0))</f>
        <v>欣彤</v>
      </c>
      <c r="B106" s="43" t="s">
        <v>894</v>
      </c>
      <c r="C106" s="43" t="s">
        <v>895</v>
      </c>
      <c r="D106" s="59">
        <f>VLOOKUP(B:B,'[1]3店'!$B:$L,3,0)</f>
        <v>44804</v>
      </c>
      <c r="E106" s="43" t="s">
        <v>896</v>
      </c>
      <c r="F106" s="43">
        <v>9</v>
      </c>
      <c r="G106" s="43">
        <v>0</v>
      </c>
      <c r="H106" s="43">
        <v>0</v>
      </c>
      <c r="I106" s="43">
        <v>2</v>
      </c>
      <c r="J106" s="43">
        <v>0</v>
      </c>
      <c r="K106" s="63">
        <f t="shared" si="34"/>
        <v>11</v>
      </c>
      <c r="L106" s="124">
        <f>VLOOKUP($B:$B,'[1]3店'!$B:$L,11,0)</f>
        <v>13.7</v>
      </c>
      <c r="M106" s="44">
        <f t="shared" si="45"/>
        <v>150.7</v>
      </c>
      <c r="N106" s="65">
        <f>IFERROR(VLOOKUP(B:B,'3店辅助表'!B:C,2,FALSE),0)</f>
        <v>0</v>
      </c>
      <c r="O106" s="65">
        <f>IFERROR(VLOOKUP(B:B,'3店辅助表'!E:F,2,FALSE),0)</f>
        <v>0</v>
      </c>
      <c r="P106" s="65">
        <f>IFERROR(VLOOKUP(B:B,'3店辅助表'!H:I,2,FALSE),0)</f>
        <v>0</v>
      </c>
      <c r="Q106" s="65">
        <f>IFERROR(VLOOKUP(B:B,'[1]3店'!$B:$N,13,FALSE),0)</f>
        <v>0</v>
      </c>
      <c r="R106" s="79">
        <f t="shared" si="35"/>
        <v>0</v>
      </c>
      <c r="S106" s="80" t="str">
        <f t="shared" si="36"/>
        <v>-</v>
      </c>
      <c r="T106" s="44" t="str">
        <f t="shared" si="37"/>
        <v>-</v>
      </c>
      <c r="U106" s="44">
        <f>IFERROR(VLOOKUP($B:$B,'[1]3店'!$B:$T,19,0),"-")</f>
        <v>36</v>
      </c>
      <c r="V106" s="81" t="str">
        <f t="shared" si="38"/>
        <v>-</v>
      </c>
      <c r="W106" s="82" t="str">
        <f t="shared" si="39"/>
        <v>有库存无销量</v>
      </c>
      <c r="X106" s="83" t="str">
        <f t="shared" si="40"/>
        <v>有库存无销量</v>
      </c>
      <c r="Y106" s="44">
        <f>IFERROR(SUMIF('3店辅助表'!K:K,B:B,'3店辅助表'!N:N),0)</f>
        <v>0</v>
      </c>
      <c r="Z106" s="44">
        <f>IFERROR(SUMIF('3店辅助表'!T:T,B:B,'3店辅助表'!W:W),0)</f>
        <v>0</v>
      </c>
      <c r="AA106" s="44">
        <f>IFERROR(SUMIF('3店辅助表'!AC:AC,B:B,'3店辅助表'!AF:AF),0)</f>
        <v>0</v>
      </c>
      <c r="AB106" s="91" t="str">
        <f>IFERROR(SUMIF('3店辅助表'!K:K,B:B,'3店辅助表'!N:N)/SUMIF('3店辅助表'!K:K,B:B,'3店辅助表'!O:O),"-")</f>
        <v>-</v>
      </c>
      <c r="AC106" s="91" t="str">
        <f>IFERROR(VLOOKUP(B:B,'[1]3店'!$B:$AB,27,0),"-")</f>
        <v>-</v>
      </c>
      <c r="AD106" s="92" t="str">
        <f t="shared" si="41"/>
        <v>-</v>
      </c>
      <c r="AE106" s="91" t="str">
        <f>IFERROR(SUMIF('3店辅助表'!T:T,B:B,'3店辅助表'!W:W)/SUMIF('3店辅助表'!T:T,B:B,'3店辅助表'!X:X),"-")</f>
        <v>-</v>
      </c>
      <c r="AF106" s="91" t="str">
        <f>IFERROR(SUMIF('3店辅助表'!AC:AC,B:B,'3店辅助表'!AF:AF)/SUMIF('3店辅助表'!AC:AC,B:B,'3店辅助表'!AG:AG),"-")</f>
        <v>-</v>
      </c>
      <c r="AG106" s="99">
        <f>IFERROR(AK106/((SUMIF('3店辅助表'!AT:AT,B:B,'3店辅助表'!AU:AU)+M106)/2),"-")</f>
        <v>0</v>
      </c>
      <c r="AH106" s="99">
        <f>IFERROR(AL106/((SUMIF('3店辅助表'!AW:AW,B:B,'3店辅助表'!AX:AX)+M106)/2),"-")</f>
        <v>0</v>
      </c>
      <c r="AI106" s="100" t="str">
        <f>IFERROR((SUMIF('3店辅助表'!AP:AP,B:B,'3店辅助表'!AR:AR)-SUMIF('3店辅助表'!AP:AP,B:B,'3店辅助表'!AR:AR)*0.15-(L106+IFERROR(VLOOKUP(B:B,'3店辅助表'!AZ:BA,2,0),0))*O106-IF(AN:AN="US",6.85,4.9)*(Z106+4.27*O106))/SUMIF('3店辅助表'!AP:AP,B:B,'3店辅助表'!AR:AR),"-")</f>
        <v>-</v>
      </c>
      <c r="AJ106" s="100" t="str">
        <f t="shared" si="42"/>
        <v>-</v>
      </c>
      <c r="AK106" s="101">
        <f t="shared" si="43"/>
        <v>0</v>
      </c>
      <c r="AL106" s="101">
        <f t="shared" si="44"/>
        <v>0</v>
      </c>
      <c r="AM106" s="1" t="str">
        <f>VLOOKUP(B:B,'3店辅助表'!AZ:AZ,1,FALSE)</f>
        <v>Y3031-TG+Y3032</v>
      </c>
      <c r="AN106" t="str">
        <f>VLOOKUP(B:B,'3店辅助表'!AZ:BB,3,FALSE)</f>
        <v>US</v>
      </c>
    </row>
    <row r="107" customHeight="1" spans="1:40">
      <c r="A107" s="58" t="str">
        <f>INDEX('[1]3店'!$A:$A,MATCH(B:B,'[1]3店'!$B:$B,0))</f>
        <v>欣彤</v>
      </c>
      <c r="B107" s="43" t="s">
        <v>897</v>
      </c>
      <c r="C107" s="43" t="s">
        <v>898</v>
      </c>
      <c r="D107" s="59">
        <f>VLOOKUP(B:B,'[1]3店'!$B:$L,3,0)</f>
        <v>44800</v>
      </c>
      <c r="E107" s="43" t="s">
        <v>899</v>
      </c>
      <c r="F107" s="43">
        <v>2</v>
      </c>
      <c r="G107" s="43">
        <v>0</v>
      </c>
      <c r="H107" s="43">
        <v>0</v>
      </c>
      <c r="I107" s="43">
        <v>0</v>
      </c>
      <c r="J107" s="43">
        <v>0</v>
      </c>
      <c r="K107" s="63">
        <f t="shared" si="34"/>
        <v>2</v>
      </c>
      <c r="L107" s="124">
        <f>VLOOKUP($B:$B,'[1]3店'!$B:$L,11,0)</f>
        <v>13.7</v>
      </c>
      <c r="M107" s="44">
        <f t="shared" si="45"/>
        <v>27.4</v>
      </c>
      <c r="N107" s="65">
        <f>IFERROR(VLOOKUP(B:B,'3店辅助表'!B:C,2,FALSE),0)</f>
        <v>0</v>
      </c>
      <c r="O107" s="65">
        <f>IFERROR(VLOOKUP(B:B,'3店辅助表'!E:F,2,FALSE),0)</f>
        <v>0</v>
      </c>
      <c r="P107" s="65">
        <f>IFERROR(VLOOKUP(B:B,'3店辅助表'!H:I,2,FALSE),0)</f>
        <v>1</v>
      </c>
      <c r="Q107" s="65">
        <f>IFERROR(VLOOKUP(B:B,'[1]3店'!$B:$N,13,FALSE),0)</f>
        <v>0</v>
      </c>
      <c r="R107" s="79">
        <f t="shared" si="35"/>
        <v>0</v>
      </c>
      <c r="S107" s="80">
        <f t="shared" si="36"/>
        <v>180</v>
      </c>
      <c r="T107" s="44">
        <f t="shared" si="37"/>
        <v>6</v>
      </c>
      <c r="U107" s="44">
        <f>IFERROR(VLOOKUP($B:$B,'[1]3店'!$B:$T,19,0),"-")</f>
        <v>3</v>
      </c>
      <c r="V107" s="81">
        <f t="shared" si="38"/>
        <v>3</v>
      </c>
      <c r="W107" s="82" t="str">
        <f t="shared" si="39"/>
        <v>有库存无销量</v>
      </c>
      <c r="X107" s="83" t="str">
        <f t="shared" si="40"/>
        <v>库存过高</v>
      </c>
      <c r="Y107" s="44">
        <f>IFERROR(SUMIF('3店辅助表'!K:K,B:B,'3店辅助表'!N:N),0)</f>
        <v>0</v>
      </c>
      <c r="Z107" s="44">
        <f>IFERROR(SUMIF('3店辅助表'!T:T,B:B,'3店辅助表'!W:W),0)</f>
        <v>0.45</v>
      </c>
      <c r="AA107" s="44">
        <f>IFERROR(SUMIF('3店辅助表'!AC:AC,B:B,'3店辅助表'!AF:AF),0)</f>
        <v>0.45</v>
      </c>
      <c r="AB107" s="91" t="str">
        <f>IFERROR(SUMIF('3店辅助表'!K:K,B:B,'3店辅助表'!N:N)/SUMIF('3店辅助表'!K:K,B:B,'3店辅助表'!O:O),"-")</f>
        <v>-</v>
      </c>
      <c r="AC107" s="91" t="str">
        <f>IFERROR(VLOOKUP(B:B,'[1]3店'!$B:$AB,27,0),"-")</f>
        <v>-</v>
      </c>
      <c r="AD107" s="92" t="str">
        <f t="shared" si="41"/>
        <v>-</v>
      </c>
      <c r="AE107" s="91" t="str">
        <f>IFERROR(SUMIF('3店辅助表'!T:T,B:B,'3店辅助表'!W:W)/SUMIF('3店辅助表'!T:T,B:B,'3店辅助表'!X:X),"-")</f>
        <v>-</v>
      </c>
      <c r="AF107" s="91" t="str">
        <f>IFERROR(SUMIF('3店辅助表'!AC:AC,B:B,'3店辅助表'!AF:AF)/SUMIF('3店辅助表'!AC:AC,B:B,'3店辅助表'!AG:AG),"-")</f>
        <v>-</v>
      </c>
      <c r="AG107" s="99">
        <f>IFERROR(AK107/((SUMIF('3店辅助表'!AT:AT,B:B,'3店辅助表'!AU:AU)+M107)/2),"-")</f>
        <v>0</v>
      </c>
      <c r="AH107" s="99">
        <f>IFERROR(AL107/((SUMIF('3店辅助表'!AW:AW,B:B,'3店辅助表'!AX:AX)+M107)/2),"-")</f>
        <v>0</v>
      </c>
      <c r="AI107" s="100" t="str">
        <f>IFERROR((SUMIF('3店辅助表'!AP:AP,B:B,'3店辅助表'!AR:AR)-SUMIF('3店辅助表'!AP:AP,B:B,'3店辅助表'!AR:AR)*0.15-(L107+IFERROR(VLOOKUP(B:B,'3店辅助表'!AZ:BA,2,0),0))*O107-IF(AN:AN="US",6.85,4.9)*(Z107+4.27*O107))/SUMIF('3店辅助表'!AP:AP,B:B,'3店辅助表'!AR:AR),"-")</f>
        <v>-</v>
      </c>
      <c r="AJ107" s="100" t="str">
        <f t="shared" si="42"/>
        <v>-</v>
      </c>
      <c r="AK107" s="101">
        <f t="shared" si="43"/>
        <v>0</v>
      </c>
      <c r="AL107" s="101">
        <f t="shared" si="44"/>
        <v>0</v>
      </c>
      <c r="AM107" s="1" t="str">
        <f>VLOOKUP(B:B,'3店辅助表'!AZ:AZ,1,FALSE)</f>
        <v>Y3042-BL</v>
      </c>
      <c r="AN107" t="str">
        <f>VLOOKUP(B:B,'3店辅助表'!AZ:BB,3,FALSE)</f>
        <v>US</v>
      </c>
    </row>
    <row r="108" customHeight="1" spans="1:40">
      <c r="A108" s="58" t="str">
        <f>INDEX('[1]3店'!$A:$A,MATCH(B:B,'[1]3店'!$B:$B,0))</f>
        <v>欣彤</v>
      </c>
      <c r="B108" s="43" t="s">
        <v>900</v>
      </c>
      <c r="C108" s="43" t="s">
        <v>901</v>
      </c>
      <c r="D108" s="59">
        <f>VLOOKUP(B:B,'[1]3店'!$B:$L,3,0)</f>
        <v>44800</v>
      </c>
      <c r="E108" s="43" t="s">
        <v>902</v>
      </c>
      <c r="F108" s="43">
        <v>6</v>
      </c>
      <c r="G108" s="43">
        <v>0</v>
      </c>
      <c r="H108" s="43">
        <v>0</v>
      </c>
      <c r="I108" s="43">
        <v>0</v>
      </c>
      <c r="J108" s="43">
        <v>0</v>
      </c>
      <c r="K108" s="63">
        <f t="shared" si="34"/>
        <v>6</v>
      </c>
      <c r="L108" s="124">
        <f>VLOOKUP($B:$B,'[1]3店'!$B:$L,11,0)</f>
        <v>13.7</v>
      </c>
      <c r="M108" s="44">
        <f t="shared" si="45"/>
        <v>82.2</v>
      </c>
      <c r="N108" s="65">
        <f>IFERROR(VLOOKUP(B:B,'3店辅助表'!B:C,2,FALSE),0)</f>
        <v>0</v>
      </c>
      <c r="O108" s="65">
        <f>IFERROR(VLOOKUP(B:B,'3店辅助表'!E:F,2,FALSE),0)</f>
        <v>0</v>
      </c>
      <c r="P108" s="65">
        <f>IFERROR(VLOOKUP(B:B,'3店辅助表'!H:I,2,FALSE),0)</f>
        <v>0</v>
      </c>
      <c r="Q108" s="65">
        <f>IFERROR(VLOOKUP(B:B,'[1]3店'!$B:$N,13,FALSE),0)</f>
        <v>0</v>
      </c>
      <c r="R108" s="79">
        <f t="shared" si="35"/>
        <v>0</v>
      </c>
      <c r="S108" s="80" t="str">
        <f t="shared" si="36"/>
        <v>-</v>
      </c>
      <c r="T108" s="44" t="str">
        <f t="shared" si="37"/>
        <v>-</v>
      </c>
      <c r="U108" s="44" t="str">
        <f>IFERROR(VLOOKUP($B:$B,'[1]3店'!$B:$T,19,0),"-")</f>
        <v>-</v>
      </c>
      <c r="V108" s="81" t="str">
        <f t="shared" si="38"/>
        <v>-</v>
      </c>
      <c r="W108" s="82" t="str">
        <f t="shared" si="39"/>
        <v>有库存无销量</v>
      </c>
      <c r="X108" s="83" t="str">
        <f t="shared" si="40"/>
        <v>有库存无销量</v>
      </c>
      <c r="Y108" s="44">
        <f>IFERROR(SUMIF('3店辅助表'!K:K,B:B,'3店辅助表'!N:N),0)</f>
        <v>0</v>
      </c>
      <c r="Z108" s="44">
        <f>IFERROR(SUMIF('3店辅助表'!T:T,B:B,'3店辅助表'!W:W),0)</f>
        <v>0</v>
      </c>
      <c r="AA108" s="44">
        <f>IFERROR(SUMIF('3店辅助表'!AC:AC,B:B,'3店辅助表'!AF:AF),0)</f>
        <v>0</v>
      </c>
      <c r="AB108" s="91" t="str">
        <f>IFERROR(SUMIF('3店辅助表'!K:K,B:B,'3店辅助表'!N:N)/SUMIF('3店辅助表'!K:K,B:B,'3店辅助表'!O:O),"-")</f>
        <v>-</v>
      </c>
      <c r="AC108" s="91" t="str">
        <f>IFERROR(VLOOKUP(B:B,'[1]3店'!$B:$AB,27,0),"-")</f>
        <v>-</v>
      </c>
      <c r="AD108" s="92" t="str">
        <f t="shared" si="41"/>
        <v>-</v>
      </c>
      <c r="AE108" s="91" t="str">
        <f>IFERROR(SUMIF('3店辅助表'!T:T,B:B,'3店辅助表'!W:W)/SUMIF('3店辅助表'!T:T,B:B,'3店辅助表'!X:X),"-")</f>
        <v>-</v>
      </c>
      <c r="AF108" s="91" t="str">
        <f>IFERROR(SUMIF('3店辅助表'!AC:AC,B:B,'3店辅助表'!AF:AF)/SUMIF('3店辅助表'!AC:AC,B:B,'3店辅助表'!AG:AG),"-")</f>
        <v>-</v>
      </c>
      <c r="AG108" s="99">
        <f>IFERROR(AK108/((SUMIF('3店辅助表'!AT:AT,B:B,'3店辅助表'!AU:AU)+M108)/2),"-")</f>
        <v>0</v>
      </c>
      <c r="AH108" s="99">
        <f>IFERROR(AL108/((SUMIF('3店辅助表'!AW:AW,B:B,'3店辅助表'!AX:AX)+M108)/2),"-")</f>
        <v>0</v>
      </c>
      <c r="AI108" s="100" t="str">
        <f>IFERROR((SUMIF('3店辅助表'!AP:AP,B:B,'3店辅助表'!AR:AR)-SUMIF('3店辅助表'!AP:AP,B:B,'3店辅助表'!AR:AR)*0.15-(L108+IFERROR(VLOOKUP(B:B,'3店辅助表'!AZ:BA,2,0),0))*O108-IF(AN:AN="US",6.85,4.9)*(Z108+4.27*O108))/SUMIF('3店辅助表'!AP:AP,B:B,'3店辅助表'!AR:AR),"-")</f>
        <v>-</v>
      </c>
      <c r="AJ108" s="100" t="str">
        <f t="shared" si="42"/>
        <v>-</v>
      </c>
      <c r="AK108" s="101">
        <f t="shared" si="43"/>
        <v>0</v>
      </c>
      <c r="AL108" s="101">
        <f t="shared" si="44"/>
        <v>0</v>
      </c>
      <c r="AM108" s="1" t="str">
        <f>VLOOKUP(B:B,'3店辅助表'!AZ:AZ,1,FALSE)</f>
        <v>Y3042-DK</v>
      </c>
      <c r="AN108" t="str">
        <f>VLOOKUP(B:B,'3店辅助表'!AZ:BB,3,FALSE)</f>
        <v>US</v>
      </c>
    </row>
    <row r="109" customHeight="1" spans="1:40">
      <c r="A109" s="58" t="str">
        <f>INDEX('[1]3店'!$A:$A,MATCH(B:B,'[1]3店'!$B:$B,0))</f>
        <v>欣彤</v>
      </c>
      <c r="B109" s="43" t="s">
        <v>903</v>
      </c>
      <c r="C109" s="43" t="s">
        <v>904</v>
      </c>
      <c r="D109" s="59">
        <f>VLOOKUP(B:B,'[1]3店'!$B:$L,3,0)</f>
        <v>44800</v>
      </c>
      <c r="E109" s="43" t="s">
        <v>905</v>
      </c>
      <c r="F109" s="43">
        <v>4</v>
      </c>
      <c r="G109" s="43">
        <v>0</v>
      </c>
      <c r="H109" s="43">
        <v>0</v>
      </c>
      <c r="I109" s="43">
        <v>0</v>
      </c>
      <c r="J109" s="43">
        <v>0</v>
      </c>
      <c r="K109" s="63">
        <f t="shared" si="34"/>
        <v>4</v>
      </c>
      <c r="L109" s="124">
        <f>VLOOKUP($B:$B,'[1]3店'!$B:$L,11,0)</f>
        <v>13.7</v>
      </c>
      <c r="M109" s="44">
        <f t="shared" si="45"/>
        <v>54.8</v>
      </c>
      <c r="N109" s="65">
        <f>IFERROR(VLOOKUP(B:B,'3店辅助表'!B:C,2,FALSE),0)</f>
        <v>0</v>
      </c>
      <c r="O109" s="65">
        <f>IFERROR(VLOOKUP(B:B,'3店辅助表'!E:F,2,FALSE),0)</f>
        <v>0</v>
      </c>
      <c r="P109" s="65">
        <f>IFERROR(VLOOKUP(B:B,'3店辅助表'!H:I,2,FALSE),0)</f>
        <v>0</v>
      </c>
      <c r="Q109" s="65">
        <f>IFERROR(VLOOKUP(B:B,'[1]3店'!$B:$N,13,FALSE),0)</f>
        <v>0</v>
      </c>
      <c r="R109" s="79">
        <f t="shared" si="35"/>
        <v>0</v>
      </c>
      <c r="S109" s="80" t="str">
        <f t="shared" si="36"/>
        <v>-</v>
      </c>
      <c r="T109" s="44" t="str">
        <f t="shared" si="37"/>
        <v>-</v>
      </c>
      <c r="U109" s="44" t="str">
        <f>IFERROR(VLOOKUP($B:$B,'[1]3店'!$B:$T,19,0),"-")</f>
        <v>-</v>
      </c>
      <c r="V109" s="81" t="str">
        <f t="shared" si="38"/>
        <v>-</v>
      </c>
      <c r="W109" s="82" t="str">
        <f t="shared" si="39"/>
        <v>有库存无销量</v>
      </c>
      <c r="X109" s="83" t="str">
        <f t="shared" si="40"/>
        <v>有库存无销量</v>
      </c>
      <c r="Y109" s="44">
        <f>IFERROR(SUMIF('3店辅助表'!K:K,B:B,'3店辅助表'!N:N),0)</f>
        <v>0</v>
      </c>
      <c r="Z109" s="44">
        <f>IFERROR(SUMIF('3店辅助表'!T:T,B:B,'3店辅助表'!W:W),0)</f>
        <v>0</v>
      </c>
      <c r="AA109" s="44">
        <f>IFERROR(SUMIF('3店辅助表'!AC:AC,B:B,'3店辅助表'!AF:AF),0)</f>
        <v>0</v>
      </c>
      <c r="AB109" s="91" t="str">
        <f>IFERROR(SUMIF('3店辅助表'!K:K,B:B,'3店辅助表'!N:N)/SUMIF('3店辅助表'!K:K,B:B,'3店辅助表'!O:O),"-")</f>
        <v>-</v>
      </c>
      <c r="AC109" s="91" t="str">
        <f>IFERROR(VLOOKUP(B:B,'[1]3店'!$B:$AB,27,0),"-")</f>
        <v>-</v>
      </c>
      <c r="AD109" s="92" t="str">
        <f t="shared" si="41"/>
        <v>-</v>
      </c>
      <c r="AE109" s="91" t="str">
        <f>IFERROR(SUMIF('3店辅助表'!T:T,B:B,'3店辅助表'!W:W)/SUMIF('3店辅助表'!T:T,B:B,'3店辅助表'!X:X),"-")</f>
        <v>-</v>
      </c>
      <c r="AF109" s="91" t="str">
        <f>IFERROR(SUMIF('3店辅助表'!AC:AC,B:B,'3店辅助表'!AF:AF)/SUMIF('3店辅助表'!AC:AC,B:B,'3店辅助表'!AG:AG),"-")</f>
        <v>-</v>
      </c>
      <c r="AG109" s="99">
        <f>IFERROR(AK109/((SUMIF('3店辅助表'!AT:AT,B:B,'3店辅助表'!AU:AU)+M109)/2),"-")</f>
        <v>0</v>
      </c>
      <c r="AH109" s="99">
        <f>IFERROR(AL109/((SUMIF('3店辅助表'!AW:AW,B:B,'3店辅助表'!AX:AX)+M109)/2),"-")</f>
        <v>0</v>
      </c>
      <c r="AI109" s="100" t="str">
        <f>IFERROR((SUMIF('3店辅助表'!AP:AP,B:B,'3店辅助表'!AR:AR)-SUMIF('3店辅助表'!AP:AP,B:B,'3店辅助表'!AR:AR)*0.15-(L109+IFERROR(VLOOKUP(B:B,'3店辅助表'!AZ:BA,2,0),0))*O109-IF(AN:AN="US",6.85,4.9)*(Z109+4.27*O109))/SUMIF('3店辅助表'!AP:AP,B:B,'3店辅助表'!AR:AR),"-")</f>
        <v>-</v>
      </c>
      <c r="AJ109" s="100" t="str">
        <f t="shared" si="42"/>
        <v>-</v>
      </c>
      <c r="AK109" s="101">
        <f t="shared" si="43"/>
        <v>0</v>
      </c>
      <c r="AL109" s="101">
        <f t="shared" si="44"/>
        <v>0</v>
      </c>
      <c r="AM109" s="1" t="str">
        <f>VLOOKUP(B:B,'3店辅助表'!AZ:AZ,1,FALSE)</f>
        <v>Y3042-NB</v>
      </c>
      <c r="AN109" t="str">
        <f>VLOOKUP(B:B,'3店辅助表'!AZ:BB,3,FALSE)</f>
        <v>US</v>
      </c>
    </row>
    <row r="110" customHeight="1" spans="1:40">
      <c r="A110" s="58" t="str">
        <f>INDEX('[1]3店'!$A:$A,MATCH(B:B,'[1]3店'!$B:$B,0))</f>
        <v>欣彤</v>
      </c>
      <c r="B110" s="43" t="s">
        <v>906</v>
      </c>
      <c r="C110" s="43" t="s">
        <v>907</v>
      </c>
      <c r="D110" s="59">
        <f>VLOOKUP(B:B,'[1]3店'!$B:$L,3,0)</f>
        <v>44800</v>
      </c>
      <c r="E110" s="43" t="s">
        <v>908</v>
      </c>
      <c r="F110" s="43">
        <v>7</v>
      </c>
      <c r="G110" s="43">
        <v>0</v>
      </c>
      <c r="H110" s="43">
        <v>0</v>
      </c>
      <c r="I110" s="43">
        <v>0</v>
      </c>
      <c r="J110" s="43">
        <v>0</v>
      </c>
      <c r="K110" s="63">
        <f t="shared" si="34"/>
        <v>7</v>
      </c>
      <c r="L110" s="124">
        <f>VLOOKUP($B:$B,'[1]3店'!$B:$L,11,0)</f>
        <v>13.7</v>
      </c>
      <c r="M110" s="44">
        <f t="shared" si="45"/>
        <v>95.9</v>
      </c>
      <c r="N110" s="65">
        <f>IFERROR(VLOOKUP(B:B,'3店辅助表'!B:C,2,FALSE),0)</f>
        <v>0</v>
      </c>
      <c r="O110" s="65">
        <f>IFERROR(VLOOKUP(B:B,'3店辅助表'!E:F,2,FALSE),0)</f>
        <v>0</v>
      </c>
      <c r="P110" s="65">
        <f>IFERROR(VLOOKUP(B:B,'3店辅助表'!H:I,2,FALSE),0)</f>
        <v>0</v>
      </c>
      <c r="Q110" s="65">
        <f>IFERROR(VLOOKUP(B:B,'[1]3店'!$B:$N,13,FALSE),0)</f>
        <v>0</v>
      </c>
      <c r="R110" s="79">
        <f t="shared" si="35"/>
        <v>0</v>
      </c>
      <c r="S110" s="80" t="str">
        <f t="shared" si="36"/>
        <v>-</v>
      </c>
      <c r="T110" s="44" t="str">
        <f t="shared" si="37"/>
        <v>-</v>
      </c>
      <c r="U110" s="44" t="str">
        <f>IFERROR(VLOOKUP($B:$B,'[1]3店'!$B:$T,19,0),"-")</f>
        <v>-</v>
      </c>
      <c r="V110" s="81" t="str">
        <f t="shared" si="38"/>
        <v>-</v>
      </c>
      <c r="W110" s="82" t="str">
        <f t="shared" si="39"/>
        <v>有库存无销量</v>
      </c>
      <c r="X110" s="83" t="str">
        <f t="shared" si="40"/>
        <v>有库存无销量</v>
      </c>
      <c r="Y110" s="44">
        <f>IFERROR(SUMIF('3店辅助表'!K:K,B:B,'3店辅助表'!N:N),0)</f>
        <v>0</v>
      </c>
      <c r="Z110" s="44">
        <f>IFERROR(SUMIF('3店辅助表'!T:T,B:B,'3店辅助表'!W:W),0)</f>
        <v>0</v>
      </c>
      <c r="AA110" s="44">
        <f>IFERROR(SUMIF('3店辅助表'!AC:AC,B:B,'3店辅助表'!AF:AF),0)</f>
        <v>0</v>
      </c>
      <c r="AB110" s="91" t="str">
        <f>IFERROR(SUMIF('3店辅助表'!K:K,B:B,'3店辅助表'!N:N)/SUMIF('3店辅助表'!K:K,B:B,'3店辅助表'!O:O),"-")</f>
        <v>-</v>
      </c>
      <c r="AC110" s="91" t="str">
        <f>IFERROR(VLOOKUP(B:B,'[1]3店'!$B:$AB,27,0),"-")</f>
        <v>-</v>
      </c>
      <c r="AD110" s="92" t="str">
        <f t="shared" si="41"/>
        <v>-</v>
      </c>
      <c r="AE110" s="91" t="str">
        <f>IFERROR(SUMIF('3店辅助表'!T:T,B:B,'3店辅助表'!W:W)/SUMIF('3店辅助表'!T:T,B:B,'3店辅助表'!X:X),"-")</f>
        <v>-</v>
      </c>
      <c r="AF110" s="91" t="str">
        <f>IFERROR(SUMIF('3店辅助表'!AC:AC,B:B,'3店辅助表'!AF:AF)/SUMIF('3店辅助表'!AC:AC,B:B,'3店辅助表'!AG:AG),"-")</f>
        <v>-</v>
      </c>
      <c r="AG110" s="99">
        <f>IFERROR(AK110/((SUMIF('3店辅助表'!AT:AT,B:B,'3店辅助表'!AU:AU)+M110)/2),"-")</f>
        <v>0</v>
      </c>
      <c r="AH110" s="99">
        <f>IFERROR(AL110/((SUMIF('3店辅助表'!AW:AW,B:B,'3店辅助表'!AX:AX)+M110)/2),"-")</f>
        <v>0</v>
      </c>
      <c r="AI110" s="100" t="str">
        <f>IFERROR((SUMIF('3店辅助表'!AP:AP,B:B,'3店辅助表'!AR:AR)-SUMIF('3店辅助表'!AP:AP,B:B,'3店辅助表'!AR:AR)*0.15-(L110+IFERROR(VLOOKUP(B:B,'3店辅助表'!AZ:BA,2,0),0))*O110-IF(AN:AN="US",6.85,4.9)*(Z110+4.27*O110))/SUMIF('3店辅助表'!AP:AP,B:B,'3店辅助表'!AR:AR),"-")</f>
        <v>-</v>
      </c>
      <c r="AJ110" s="100" t="str">
        <f t="shared" si="42"/>
        <v>-</v>
      </c>
      <c r="AK110" s="101">
        <f t="shared" si="43"/>
        <v>0</v>
      </c>
      <c r="AL110" s="101">
        <f t="shared" si="44"/>
        <v>0</v>
      </c>
      <c r="AM110" s="1" t="str">
        <f>VLOOKUP(B:B,'3店辅助表'!AZ:AZ,1,FALSE)</f>
        <v>Y3042-RE</v>
      </c>
      <c r="AN110" t="str">
        <f>VLOOKUP(B:B,'3店辅助表'!AZ:BB,3,FALSE)</f>
        <v>US</v>
      </c>
    </row>
    <row r="111" customHeight="1" spans="1:40">
      <c r="A111" s="58" t="str">
        <f>INDEX('[1]3店'!$A:$A,MATCH(B:B,'[1]3店'!$B:$B,0))</f>
        <v>欣彤</v>
      </c>
      <c r="B111" s="43" t="s">
        <v>909</v>
      </c>
      <c r="C111" s="43" t="s">
        <v>910</v>
      </c>
      <c r="D111" s="59">
        <f>VLOOKUP(B:B,'[1]3店'!$B:$L,3,0)</f>
        <v>44795</v>
      </c>
      <c r="E111" s="43" t="s">
        <v>911</v>
      </c>
      <c r="F111" s="43">
        <v>1</v>
      </c>
      <c r="G111" s="43">
        <v>0</v>
      </c>
      <c r="H111" s="43">
        <v>0</v>
      </c>
      <c r="I111" s="43">
        <v>0</v>
      </c>
      <c r="J111" s="43">
        <v>0</v>
      </c>
      <c r="K111" s="63">
        <f t="shared" si="34"/>
        <v>1</v>
      </c>
      <c r="L111" s="124">
        <f>VLOOKUP($B:$B,'[1]3店'!$B:$L,11,0)</f>
        <v>11</v>
      </c>
      <c r="M111" s="44">
        <f t="shared" si="45"/>
        <v>11</v>
      </c>
      <c r="N111" s="65">
        <f>IFERROR(VLOOKUP(B:B,'3店辅助表'!B:C,2,FALSE),0)</f>
        <v>0</v>
      </c>
      <c r="O111" s="65">
        <f>IFERROR(VLOOKUP(B:B,'3店辅助表'!E:F,2,FALSE),0)</f>
        <v>1</v>
      </c>
      <c r="P111" s="65">
        <f>IFERROR(VLOOKUP(B:B,'3店辅助表'!H:I,2,FALSE),0)</f>
        <v>2</v>
      </c>
      <c r="Q111" s="65">
        <f>IFERROR(VLOOKUP(B:B,'[1]3店'!$B:$N,13,FALSE),0)</f>
        <v>1</v>
      </c>
      <c r="R111" s="79">
        <f t="shared" si="35"/>
        <v>-1</v>
      </c>
      <c r="S111" s="80">
        <f t="shared" si="36"/>
        <v>22.5</v>
      </c>
      <c r="T111" s="44">
        <f t="shared" si="37"/>
        <v>0.75</v>
      </c>
      <c r="U111" s="44">
        <f>IFERROR(VLOOKUP($B:$B,'[1]3店'!$B:$T,19,0),"-")</f>
        <v>0.724137931034483</v>
      </c>
      <c r="V111" s="81">
        <f t="shared" si="38"/>
        <v>0.025862068965517</v>
      </c>
      <c r="W111" s="82" t="str">
        <f t="shared" si="39"/>
        <v>有库存无销量</v>
      </c>
      <c r="X111" s="83" t="str">
        <f t="shared" si="40"/>
        <v>正常</v>
      </c>
      <c r="Y111" s="44">
        <f>IFERROR(SUMIF('3店辅助表'!K:K,B:B,'3店辅助表'!N:N),0)</f>
        <v>0</v>
      </c>
      <c r="Z111" s="44">
        <f>IFERROR(SUMIF('3店辅助表'!T:T,B:B,'3店辅助表'!W:W),0)</f>
        <v>1.57</v>
      </c>
      <c r="AA111" s="44">
        <f>IFERROR(SUMIF('3店辅助表'!AC:AC,B:B,'3店辅助表'!AF:AF),0)</f>
        <v>9.15</v>
      </c>
      <c r="AB111" s="91" t="str">
        <f>IFERROR(SUMIF('3店辅助表'!K:K,B:B,'3店辅助表'!N:N)/SUMIF('3店辅助表'!K:K,B:B,'3店辅助表'!O:O),"-")</f>
        <v>-</v>
      </c>
      <c r="AC111" s="91" t="str">
        <f>IFERROR(VLOOKUP(B:B,'[1]3店'!$B:$AB,27,0),"-")</f>
        <v>-</v>
      </c>
      <c r="AD111" s="92" t="str">
        <f t="shared" si="41"/>
        <v>-</v>
      </c>
      <c r="AE111" s="91" t="str">
        <f>IFERROR(SUMIF('3店辅助表'!T:T,B:B,'3店辅助表'!W:W)/SUMIF('3店辅助表'!T:T,B:B,'3店辅助表'!X:X),"-")</f>
        <v>-</v>
      </c>
      <c r="AF111" s="91">
        <f>IFERROR(SUMIF('3店辅助表'!AC:AC,B:B,'3店辅助表'!AF:AF)/SUMIF('3店辅助表'!AC:AC,B:B,'3店辅助表'!AG:AG),"-")</f>
        <v>0.508898776418243</v>
      </c>
      <c r="AG111" s="99">
        <f>IFERROR(AK111/((SUMIF('3店辅助表'!AT:AT,B:B,'3店辅助表'!AU:AU)+M111)/2),"-")</f>
        <v>0</v>
      </c>
      <c r="AH111" s="99">
        <f>IFERROR(AL111/((SUMIF('3店辅助表'!AW:AW,B:B,'3店辅助表'!AX:AX)+M111)/2),"-")</f>
        <v>0.0377358490566038</v>
      </c>
      <c r="AI111" s="100">
        <f>IFERROR((SUMIF('3店辅助表'!AP:AP,B:B,'3店辅助表'!AR:AR)-SUMIF('3店辅助表'!AP:AP,B:B,'3店辅助表'!AR:AR)*0.15-(L111+IFERROR(VLOOKUP(B:B,'3店辅助表'!AZ:BA,2,0),0))*O111-IF(AN:AN="US",6.85,4.9)*(Z111+4.27*O111))/SUMIF('3店辅助表'!AP:AP,B:B,'3店辅助表'!AR:AR),"-")</f>
        <v>-0.0404459943327136</v>
      </c>
      <c r="AJ111" s="100">
        <f t="shared" si="42"/>
        <v>-0.00152626393708353</v>
      </c>
      <c r="AK111" s="101">
        <f t="shared" si="43"/>
        <v>0</v>
      </c>
      <c r="AL111" s="101">
        <f t="shared" si="44"/>
        <v>11</v>
      </c>
      <c r="AM111" s="1" t="str">
        <f>VLOOKUP(B:B,'3店辅助表'!AZ:AZ,1,FALSE)</f>
        <v>Y3044-DK</v>
      </c>
      <c r="AN111" t="str">
        <f>VLOOKUP(B:B,'3店辅助表'!AZ:BB,3,FALSE)</f>
        <v>US</v>
      </c>
    </row>
    <row r="112" customHeight="1" spans="1:40">
      <c r="A112" s="58" t="str">
        <f>INDEX('[1]3店'!$A:$A,MATCH(B:B,'[1]3店'!$B:$B,0))</f>
        <v>欣彤</v>
      </c>
      <c r="B112" s="43" t="s">
        <v>912</v>
      </c>
      <c r="C112" s="43" t="s">
        <v>913</v>
      </c>
      <c r="D112" s="59">
        <f>VLOOKUP(B:B,'[1]3店'!$B:$L,3,0)</f>
        <v>44800</v>
      </c>
      <c r="E112" s="43" t="s">
        <v>914</v>
      </c>
      <c r="F112" s="43">
        <v>5</v>
      </c>
      <c r="G112" s="43">
        <v>0</v>
      </c>
      <c r="H112" s="43">
        <v>0</v>
      </c>
      <c r="I112" s="43">
        <v>2</v>
      </c>
      <c r="J112" s="43">
        <v>0</v>
      </c>
      <c r="K112" s="63">
        <f t="shared" si="34"/>
        <v>7</v>
      </c>
      <c r="L112" s="124">
        <f>VLOOKUP($B:$B,'[1]3店'!$B:$L,11,0)</f>
        <v>11</v>
      </c>
      <c r="M112" s="44">
        <f t="shared" si="45"/>
        <v>77</v>
      </c>
      <c r="N112" s="65">
        <f>IFERROR(VLOOKUP(B:B,'3店辅助表'!B:C,2,FALSE),0)</f>
        <v>0</v>
      </c>
      <c r="O112" s="65">
        <f>IFERROR(VLOOKUP(B:B,'3店辅助表'!E:F,2,FALSE),0)</f>
        <v>0</v>
      </c>
      <c r="P112" s="65">
        <f>IFERROR(VLOOKUP(B:B,'3店辅助表'!H:I,2,FALSE),0)</f>
        <v>1</v>
      </c>
      <c r="Q112" s="65">
        <f>IFERROR(VLOOKUP(B:B,'[1]3店'!$B:$N,13,FALSE),0)</f>
        <v>0</v>
      </c>
      <c r="R112" s="79">
        <f t="shared" si="35"/>
        <v>0</v>
      </c>
      <c r="S112" s="80">
        <f t="shared" si="36"/>
        <v>630</v>
      </c>
      <c r="T112" s="44">
        <f t="shared" si="37"/>
        <v>21</v>
      </c>
      <c r="U112" s="44">
        <f>IFERROR(VLOOKUP($B:$B,'[1]3店'!$B:$T,19,0),"-")</f>
        <v>30</v>
      </c>
      <c r="V112" s="81">
        <f t="shared" si="38"/>
        <v>-9</v>
      </c>
      <c r="W112" s="82" t="str">
        <f t="shared" si="39"/>
        <v>有库存无销量</v>
      </c>
      <c r="X112" s="83" t="str">
        <f t="shared" si="40"/>
        <v>库存过高</v>
      </c>
      <c r="Y112" s="44">
        <f>IFERROR(SUMIF('3店辅助表'!K:K,B:B,'3店辅助表'!N:N),0)</f>
        <v>0</v>
      </c>
      <c r="Z112" s="44">
        <f>IFERROR(SUMIF('3店辅助表'!T:T,B:B,'3店辅助表'!W:W),0)</f>
        <v>0</v>
      </c>
      <c r="AA112" s="44">
        <f>IFERROR(SUMIF('3店辅助表'!AC:AC,B:B,'3店辅助表'!AF:AF),0)</f>
        <v>0</v>
      </c>
      <c r="AB112" s="91" t="str">
        <f>IFERROR(SUMIF('3店辅助表'!K:K,B:B,'3店辅助表'!N:N)/SUMIF('3店辅助表'!K:K,B:B,'3店辅助表'!O:O),"-")</f>
        <v>-</v>
      </c>
      <c r="AC112" s="91" t="str">
        <f>IFERROR(VLOOKUP(B:B,'[1]3店'!$B:$AB,27,0),"-")</f>
        <v>-</v>
      </c>
      <c r="AD112" s="92" t="str">
        <f t="shared" si="41"/>
        <v>-</v>
      </c>
      <c r="AE112" s="91" t="str">
        <f>IFERROR(SUMIF('3店辅助表'!T:T,B:B,'3店辅助表'!W:W)/SUMIF('3店辅助表'!T:T,B:B,'3店辅助表'!X:X),"-")</f>
        <v>-</v>
      </c>
      <c r="AF112" s="91" t="str">
        <f>IFERROR(SUMIF('3店辅助表'!AC:AC,B:B,'3店辅助表'!AF:AF)/SUMIF('3店辅助表'!AC:AC,B:B,'3店辅助表'!AG:AG),"-")</f>
        <v>-</v>
      </c>
      <c r="AG112" s="99">
        <f>IFERROR(AK112/((SUMIF('3店辅助表'!AT:AT,B:B,'3店辅助表'!AU:AU)+M112)/2),"-")</f>
        <v>0</v>
      </c>
      <c r="AH112" s="99">
        <f>IFERROR(AL112/((SUMIF('3店辅助表'!AW:AW,B:B,'3店辅助表'!AX:AX)+M112)/2),"-")</f>
        <v>0</v>
      </c>
      <c r="AI112" s="100" t="str">
        <f>IFERROR((SUMIF('3店辅助表'!AP:AP,B:B,'3店辅助表'!AR:AR)-SUMIF('3店辅助表'!AP:AP,B:B,'3店辅助表'!AR:AR)*0.15-(L112+IFERROR(VLOOKUP(B:B,'3店辅助表'!AZ:BA,2,0),0))*O112-IF(AN:AN="US",6.85,4.9)*(Z112+4.27*O112))/SUMIF('3店辅助表'!AP:AP,B:B,'3店辅助表'!AR:AR),"-")</f>
        <v>-</v>
      </c>
      <c r="AJ112" s="100" t="str">
        <f t="shared" si="42"/>
        <v>-</v>
      </c>
      <c r="AK112" s="101">
        <f t="shared" si="43"/>
        <v>0</v>
      </c>
      <c r="AL112" s="101">
        <f t="shared" si="44"/>
        <v>0</v>
      </c>
      <c r="AM112" s="1" t="str">
        <f>VLOOKUP(B:B,'3店辅助表'!AZ:AZ,1,FALSE)</f>
        <v>Y3044-RE</v>
      </c>
      <c r="AN112" t="str">
        <f>VLOOKUP(B:B,'3店辅助表'!AZ:BB,3,FALSE)</f>
        <v>US</v>
      </c>
    </row>
    <row r="113" customHeight="1" spans="1:40">
      <c r="A113" s="58" t="str">
        <f>INDEX('[1]3店'!$A:$A,MATCH(B:B,'[1]3店'!$B:$B,0))</f>
        <v>欣彤</v>
      </c>
      <c r="B113" s="43" t="s">
        <v>915</v>
      </c>
      <c r="C113" s="43" t="s">
        <v>916</v>
      </c>
      <c r="D113" s="59">
        <f>VLOOKUP(B:B,'[1]3店'!$B:$L,3,0)</f>
        <v>44800</v>
      </c>
      <c r="E113" s="43" t="s">
        <v>917</v>
      </c>
      <c r="F113" s="43">
        <v>1</v>
      </c>
      <c r="G113" s="43">
        <v>0</v>
      </c>
      <c r="H113" s="43">
        <v>0</v>
      </c>
      <c r="I113" s="43">
        <v>0</v>
      </c>
      <c r="J113" s="43">
        <v>0</v>
      </c>
      <c r="K113" s="63">
        <f t="shared" si="34"/>
        <v>1</v>
      </c>
      <c r="L113" s="124">
        <f>VLOOKUP($B:$B,'[1]3店'!$B:$L,11,0)</f>
        <v>13.7</v>
      </c>
      <c r="M113" s="44">
        <f t="shared" si="45"/>
        <v>13.7</v>
      </c>
      <c r="N113" s="65">
        <f>IFERROR(VLOOKUP(B:B,'3店辅助表'!B:C,2,FALSE),0)</f>
        <v>0</v>
      </c>
      <c r="O113" s="65">
        <f>IFERROR(VLOOKUP(B:B,'3店辅助表'!E:F,2,FALSE),0)</f>
        <v>0</v>
      </c>
      <c r="P113" s="65">
        <f>IFERROR(VLOOKUP(B:B,'3店辅助表'!H:I,2,FALSE),0)</f>
        <v>0</v>
      </c>
      <c r="Q113" s="65">
        <f>IFERROR(VLOOKUP(B:B,'[1]3店'!$B:$N,13,FALSE),0)</f>
        <v>0</v>
      </c>
      <c r="R113" s="79">
        <f t="shared" si="35"/>
        <v>0</v>
      </c>
      <c r="S113" s="80" t="str">
        <f t="shared" si="36"/>
        <v>-</v>
      </c>
      <c r="T113" s="44" t="str">
        <f t="shared" si="37"/>
        <v>-</v>
      </c>
      <c r="U113" s="44">
        <f>IFERROR(VLOOKUP($B:$B,'[1]3店'!$B:$T,19,0),"-")</f>
        <v>3</v>
      </c>
      <c r="V113" s="81" t="str">
        <f t="shared" si="38"/>
        <v>-</v>
      </c>
      <c r="W113" s="82" t="str">
        <f t="shared" si="39"/>
        <v>有库存无销量</v>
      </c>
      <c r="X113" s="83" t="str">
        <f t="shared" si="40"/>
        <v>有库存无销量</v>
      </c>
      <c r="Y113" s="44">
        <f>IFERROR(SUMIF('3店辅助表'!K:K,B:B,'3店辅助表'!N:N),0)</f>
        <v>0</v>
      </c>
      <c r="Z113" s="44">
        <f>IFERROR(SUMIF('3店辅助表'!T:T,B:B,'3店辅助表'!W:W),0)</f>
        <v>0</v>
      </c>
      <c r="AA113" s="44">
        <f>IFERROR(SUMIF('3店辅助表'!AC:AC,B:B,'3店辅助表'!AF:AF),0)</f>
        <v>0</v>
      </c>
      <c r="AB113" s="91" t="str">
        <f>IFERROR(SUMIF('3店辅助表'!K:K,B:B,'3店辅助表'!N:N)/SUMIF('3店辅助表'!K:K,B:B,'3店辅助表'!O:O),"-")</f>
        <v>-</v>
      </c>
      <c r="AC113" s="91" t="str">
        <f>IFERROR(VLOOKUP(B:B,'[1]3店'!$B:$AB,27,0),"-")</f>
        <v>-</v>
      </c>
      <c r="AD113" s="92" t="str">
        <f t="shared" si="41"/>
        <v>-</v>
      </c>
      <c r="AE113" s="91" t="str">
        <f>IFERROR(SUMIF('3店辅助表'!T:T,B:B,'3店辅助表'!W:W)/SUMIF('3店辅助表'!T:T,B:B,'3店辅助表'!X:X),"-")</f>
        <v>-</v>
      </c>
      <c r="AF113" s="91" t="str">
        <f>IFERROR(SUMIF('3店辅助表'!AC:AC,B:B,'3店辅助表'!AF:AF)/SUMIF('3店辅助表'!AC:AC,B:B,'3店辅助表'!AG:AG),"-")</f>
        <v>-</v>
      </c>
      <c r="AG113" s="99">
        <f>IFERROR(AK113/((SUMIF('3店辅助表'!AT:AT,B:B,'3店辅助表'!AU:AU)+M113)/2),"-")</f>
        <v>0</v>
      </c>
      <c r="AH113" s="99">
        <f>IFERROR(AL113/((SUMIF('3店辅助表'!AW:AW,B:B,'3店辅助表'!AX:AX)+M113)/2),"-")</f>
        <v>0</v>
      </c>
      <c r="AI113" s="100" t="str">
        <f>IFERROR((SUMIF('3店辅助表'!AP:AP,B:B,'3店辅助表'!AR:AR)-SUMIF('3店辅助表'!AP:AP,B:B,'3店辅助表'!AR:AR)*0.15-(L113+IFERROR(VLOOKUP(B:B,'3店辅助表'!AZ:BA,2,0),0))*O113-IF(AN:AN="US",6.85,4.9)*(Z113+4.27*O113))/SUMIF('3店辅助表'!AP:AP,B:B,'3店辅助表'!AR:AR),"-")</f>
        <v>-</v>
      </c>
      <c r="AJ113" s="100" t="str">
        <f t="shared" si="42"/>
        <v>-</v>
      </c>
      <c r="AK113" s="101">
        <f t="shared" si="43"/>
        <v>0</v>
      </c>
      <c r="AL113" s="101">
        <f t="shared" si="44"/>
        <v>0</v>
      </c>
      <c r="AM113" s="1" t="str">
        <f>VLOOKUP(B:B,'3店辅助表'!AZ:AZ,1,FALSE)</f>
        <v>Y3043-AG</v>
      </c>
      <c r="AN113" t="str">
        <f>VLOOKUP(B:B,'3店辅助表'!AZ:BB,3,FALSE)</f>
        <v>US</v>
      </c>
    </row>
    <row r="114" customHeight="1" spans="1:40">
      <c r="A114" s="58" t="str">
        <f>INDEX('[1]3店'!$A:$A,MATCH(B:B,'[1]3店'!$B:$B,0))</f>
        <v>欣彤</v>
      </c>
      <c r="B114" s="43" t="s">
        <v>918</v>
      </c>
      <c r="C114" s="43" t="s">
        <v>919</v>
      </c>
      <c r="D114" s="59">
        <f>VLOOKUP(B:B,'[1]3店'!$B:$L,3,0)</f>
        <v>44800</v>
      </c>
      <c r="E114" s="43" t="s">
        <v>920</v>
      </c>
      <c r="F114" s="43">
        <v>23</v>
      </c>
      <c r="G114" s="43">
        <v>0</v>
      </c>
      <c r="H114" s="43">
        <v>0</v>
      </c>
      <c r="I114" s="43">
        <v>0</v>
      </c>
      <c r="J114" s="43">
        <v>0</v>
      </c>
      <c r="K114" s="63">
        <f t="shared" si="34"/>
        <v>23</v>
      </c>
      <c r="L114" s="124">
        <f>VLOOKUP($B:$B,'[1]3店'!$B:$L,11,0)</f>
        <v>33</v>
      </c>
      <c r="M114" s="44">
        <f t="shared" si="45"/>
        <v>759</v>
      </c>
      <c r="N114" s="65">
        <f>IFERROR(VLOOKUP(B:B,'3店辅助表'!B:C,2,FALSE),0)</f>
        <v>0</v>
      </c>
      <c r="O114" s="65">
        <f>IFERROR(VLOOKUP(B:B,'3店辅助表'!E:F,2,FALSE),0)</f>
        <v>0</v>
      </c>
      <c r="P114" s="65">
        <f>IFERROR(VLOOKUP(B:B,'3店辅助表'!H:I,2,FALSE),0)</f>
        <v>0</v>
      </c>
      <c r="Q114" s="65">
        <f>IFERROR(VLOOKUP(B:B,'[1]3店'!$B:$N,13,FALSE),0)</f>
        <v>0</v>
      </c>
      <c r="R114" s="79">
        <f t="shared" si="35"/>
        <v>0</v>
      </c>
      <c r="S114" s="80" t="str">
        <f t="shared" si="36"/>
        <v>-</v>
      </c>
      <c r="T114" s="44" t="str">
        <f t="shared" si="37"/>
        <v>-</v>
      </c>
      <c r="U114" s="44" t="str">
        <f>IFERROR(VLOOKUP($B:$B,'[1]3店'!$B:$T,19,0),"-")</f>
        <v>-</v>
      </c>
      <c r="V114" s="81" t="str">
        <f t="shared" si="38"/>
        <v>-</v>
      </c>
      <c r="W114" s="82" t="str">
        <f t="shared" si="39"/>
        <v>有库存无销量</v>
      </c>
      <c r="X114" s="83" t="str">
        <f t="shared" si="40"/>
        <v>有库存无销量</v>
      </c>
      <c r="Y114" s="44">
        <f>IFERROR(SUMIF('3店辅助表'!K:K,B:B,'3店辅助表'!N:N),0)</f>
        <v>0</v>
      </c>
      <c r="Z114" s="44">
        <f>IFERROR(SUMIF('3店辅助表'!T:T,B:B,'3店辅助表'!W:W),0)</f>
        <v>0</v>
      </c>
      <c r="AA114" s="44">
        <f>IFERROR(SUMIF('3店辅助表'!AC:AC,B:B,'3店辅助表'!AF:AF),0)</f>
        <v>0</v>
      </c>
      <c r="AB114" s="91" t="str">
        <f>IFERROR(SUMIF('3店辅助表'!K:K,B:B,'3店辅助表'!N:N)/SUMIF('3店辅助表'!K:K,B:B,'3店辅助表'!O:O),"-")</f>
        <v>-</v>
      </c>
      <c r="AC114" s="91" t="str">
        <f>IFERROR(VLOOKUP(B:B,'[1]3店'!$B:$AB,27,0),"-")</f>
        <v>-</v>
      </c>
      <c r="AD114" s="92" t="str">
        <f t="shared" si="41"/>
        <v>-</v>
      </c>
      <c r="AE114" s="91" t="str">
        <f>IFERROR(SUMIF('3店辅助表'!T:T,B:B,'3店辅助表'!W:W)/SUMIF('3店辅助表'!T:T,B:B,'3店辅助表'!X:X),"-")</f>
        <v>-</v>
      </c>
      <c r="AF114" s="91" t="str">
        <f>IFERROR(SUMIF('3店辅助表'!AC:AC,B:B,'3店辅助表'!AF:AF)/SUMIF('3店辅助表'!AC:AC,B:B,'3店辅助表'!AG:AG),"-")</f>
        <v>-</v>
      </c>
      <c r="AG114" s="99">
        <f>IFERROR(AK114/((SUMIF('3店辅助表'!AT:AT,B:B,'3店辅助表'!AU:AU)+M114)/2),"-")</f>
        <v>0</v>
      </c>
      <c r="AH114" s="99">
        <f>IFERROR(AL114/((SUMIF('3店辅助表'!AW:AW,B:B,'3店辅助表'!AX:AX)+M114)/2),"-")</f>
        <v>0</v>
      </c>
      <c r="AI114" s="100" t="str">
        <f>IFERROR((SUMIF('3店辅助表'!AP:AP,B:B,'3店辅助表'!AR:AR)-SUMIF('3店辅助表'!AP:AP,B:B,'3店辅助表'!AR:AR)*0.15-(L114+IFERROR(VLOOKUP(B:B,'3店辅助表'!AZ:BA,2,0),0))*O114-IF(AN:AN="US",6.85,4.9)*(Z114+4.27*O114))/SUMIF('3店辅助表'!AP:AP,B:B,'3店辅助表'!AR:AR),"-")</f>
        <v>-</v>
      </c>
      <c r="AJ114" s="100" t="str">
        <f t="shared" si="42"/>
        <v>-</v>
      </c>
      <c r="AK114" s="101">
        <f t="shared" si="43"/>
        <v>0</v>
      </c>
      <c r="AL114" s="101">
        <f t="shared" si="44"/>
        <v>0</v>
      </c>
      <c r="AM114" s="1" t="str">
        <f>VLOOKUP(B:B,'3店辅助表'!AZ:AZ,1,FALSE)</f>
        <v>Y3043-LP</v>
      </c>
      <c r="AN114" t="str">
        <f>VLOOKUP(B:B,'3店辅助表'!AZ:BB,3,FALSE)</f>
        <v>US</v>
      </c>
    </row>
    <row r="115" customHeight="1" spans="1:40">
      <c r="A115" s="58" t="str">
        <f>INDEX('[1]3店'!$A:$A,MATCH(B:B,'[1]3店'!$B:$B,0))</f>
        <v>欣彤</v>
      </c>
      <c r="B115" s="43" t="s">
        <v>921</v>
      </c>
      <c r="C115" s="43" t="s">
        <v>922</v>
      </c>
      <c r="D115" s="59">
        <f>VLOOKUP(B:B,'[1]3店'!$B:$L,3,0)</f>
        <v>44798</v>
      </c>
      <c r="E115" s="43" t="s">
        <v>923</v>
      </c>
      <c r="F115" s="43">
        <v>6</v>
      </c>
      <c r="G115" s="43">
        <v>0</v>
      </c>
      <c r="H115" s="43">
        <v>0</v>
      </c>
      <c r="I115" s="43">
        <v>3</v>
      </c>
      <c r="J115" s="43">
        <v>0</v>
      </c>
      <c r="K115" s="63">
        <f t="shared" si="34"/>
        <v>9</v>
      </c>
      <c r="L115" s="124">
        <f>VLOOKUP($B:$B,'[1]3店'!$B:$L,11,0)</f>
        <v>13.7</v>
      </c>
      <c r="M115" s="44">
        <f t="shared" si="45"/>
        <v>123.3</v>
      </c>
      <c r="N115" s="65">
        <f>IFERROR(VLOOKUP(B:B,'3店辅助表'!B:C,2,FALSE),0)</f>
        <v>0</v>
      </c>
      <c r="O115" s="65">
        <f>IFERROR(VLOOKUP(B:B,'3店辅助表'!E:F,2,FALSE),0)</f>
        <v>0</v>
      </c>
      <c r="P115" s="65">
        <f>IFERROR(VLOOKUP(B:B,'3店辅助表'!H:I,2,FALSE),0)</f>
        <v>0</v>
      </c>
      <c r="Q115" s="65">
        <f>IFERROR(VLOOKUP(B:B,'[1]3店'!$B:$N,13,FALSE),0)</f>
        <v>0</v>
      </c>
      <c r="R115" s="79">
        <f t="shared" si="35"/>
        <v>0</v>
      </c>
      <c r="S115" s="80" t="str">
        <f t="shared" si="36"/>
        <v>-</v>
      </c>
      <c r="T115" s="44" t="str">
        <f t="shared" si="37"/>
        <v>-</v>
      </c>
      <c r="U115" s="44" t="str">
        <f>IFERROR(VLOOKUP($B:$B,'[1]3店'!$B:$T,19,0),"-")</f>
        <v>-</v>
      </c>
      <c r="V115" s="81" t="str">
        <f t="shared" si="38"/>
        <v>-</v>
      </c>
      <c r="W115" s="82" t="str">
        <f t="shared" si="39"/>
        <v>有库存无销量</v>
      </c>
      <c r="X115" s="83" t="str">
        <f t="shared" si="40"/>
        <v>有库存无销量</v>
      </c>
      <c r="Y115" s="44">
        <f>IFERROR(SUMIF('3店辅助表'!K:K,B:B,'3店辅助表'!N:N),0)</f>
        <v>0</v>
      </c>
      <c r="Z115" s="44">
        <f>IFERROR(SUMIF('3店辅助表'!T:T,B:B,'3店辅助表'!W:W),0)</f>
        <v>0</v>
      </c>
      <c r="AA115" s="44">
        <f>IFERROR(SUMIF('3店辅助表'!AC:AC,B:B,'3店辅助表'!AF:AF),0)</f>
        <v>0</v>
      </c>
      <c r="AB115" s="91" t="str">
        <f>IFERROR(SUMIF('3店辅助表'!K:K,B:B,'3店辅助表'!N:N)/SUMIF('3店辅助表'!K:K,B:B,'3店辅助表'!O:O),"-")</f>
        <v>-</v>
      </c>
      <c r="AC115" s="91" t="str">
        <f>IFERROR(VLOOKUP(B:B,'[1]3店'!$B:$AB,27,0),"-")</f>
        <v>-</v>
      </c>
      <c r="AD115" s="92" t="str">
        <f t="shared" si="41"/>
        <v>-</v>
      </c>
      <c r="AE115" s="91" t="str">
        <f>IFERROR(SUMIF('3店辅助表'!T:T,B:B,'3店辅助表'!W:W)/SUMIF('3店辅助表'!T:T,B:B,'3店辅助表'!X:X),"-")</f>
        <v>-</v>
      </c>
      <c r="AF115" s="91" t="str">
        <f>IFERROR(SUMIF('3店辅助表'!AC:AC,B:B,'3店辅助表'!AF:AF)/SUMIF('3店辅助表'!AC:AC,B:B,'3店辅助表'!AG:AG),"-")</f>
        <v>-</v>
      </c>
      <c r="AG115" s="99">
        <f>IFERROR(AK115/((SUMIF('3店辅助表'!AT:AT,B:B,'3店辅助表'!AU:AU)+M115)/2),"-")</f>
        <v>0</v>
      </c>
      <c r="AH115" s="99">
        <f>IFERROR(AL115/((SUMIF('3店辅助表'!AW:AW,B:B,'3店辅助表'!AX:AX)+M115)/2),"-")</f>
        <v>0</v>
      </c>
      <c r="AI115" s="100" t="str">
        <f>IFERROR((SUMIF('3店辅助表'!AP:AP,B:B,'3店辅助表'!AR:AR)-SUMIF('3店辅助表'!AP:AP,B:B,'3店辅助表'!AR:AR)*0.15-(L115+IFERROR(VLOOKUP(B:B,'3店辅助表'!AZ:BA,2,0),0))*O115-IF(AN:AN="US",6.85,4.9)*(Z115+4.27*O115))/SUMIF('3店辅助表'!AP:AP,B:B,'3店辅助表'!AR:AR),"-")</f>
        <v>-</v>
      </c>
      <c r="AJ115" s="100" t="str">
        <f t="shared" si="42"/>
        <v>-</v>
      </c>
      <c r="AK115" s="101">
        <f t="shared" si="43"/>
        <v>0</v>
      </c>
      <c r="AL115" s="101">
        <f t="shared" si="44"/>
        <v>0</v>
      </c>
      <c r="AM115" s="1" t="str">
        <f>VLOOKUP(B:B,'3店辅助表'!AZ:AZ,1,FALSE)</f>
        <v>Y3041-BL</v>
      </c>
      <c r="AN115" t="str">
        <f>VLOOKUP(B:B,'3店辅助表'!AZ:BB,3,FALSE)</f>
        <v>US</v>
      </c>
    </row>
    <row r="116" customHeight="1" spans="1:40">
      <c r="A116" s="58" t="str">
        <f>INDEX('[1]3店'!$A:$A,MATCH(B:B,'[1]3店'!$B:$B,0))</f>
        <v>欣彤</v>
      </c>
      <c r="B116" s="43" t="s">
        <v>924</v>
      </c>
      <c r="C116" s="43" t="s">
        <v>925</v>
      </c>
      <c r="D116" s="59">
        <f>VLOOKUP(B:B,'[1]3店'!$B:$L,3,0)</f>
        <v>44800</v>
      </c>
      <c r="E116" s="43" t="s">
        <v>926</v>
      </c>
      <c r="F116" s="43">
        <v>4</v>
      </c>
      <c r="G116" s="43">
        <v>0</v>
      </c>
      <c r="H116" s="43">
        <v>0</v>
      </c>
      <c r="I116" s="43">
        <v>0</v>
      </c>
      <c r="J116" s="43">
        <v>0</v>
      </c>
      <c r="K116" s="63">
        <f t="shared" si="34"/>
        <v>4</v>
      </c>
      <c r="L116" s="124">
        <f>VLOOKUP($B:$B,'[1]3店'!$B:$L,11,0)</f>
        <v>13.7</v>
      </c>
      <c r="M116" s="44">
        <f t="shared" si="45"/>
        <v>54.8</v>
      </c>
      <c r="N116" s="65">
        <f>IFERROR(VLOOKUP(B:B,'3店辅助表'!B:C,2,FALSE),0)</f>
        <v>0</v>
      </c>
      <c r="O116" s="65">
        <f>IFERROR(VLOOKUP(B:B,'3店辅助表'!E:F,2,FALSE),0)</f>
        <v>0</v>
      </c>
      <c r="P116" s="65">
        <f>IFERROR(VLOOKUP(B:B,'3店辅助表'!H:I,2,FALSE),0)</f>
        <v>1</v>
      </c>
      <c r="Q116" s="65">
        <f>IFERROR(VLOOKUP(B:B,'[1]3店'!$B:$N,13,FALSE),0)</f>
        <v>0</v>
      </c>
      <c r="R116" s="79">
        <f t="shared" si="35"/>
        <v>0</v>
      </c>
      <c r="S116" s="80">
        <f t="shared" si="36"/>
        <v>360</v>
      </c>
      <c r="T116" s="44">
        <f t="shared" si="37"/>
        <v>12</v>
      </c>
      <c r="U116" s="44">
        <f>IFERROR(VLOOKUP($B:$B,'[1]3店'!$B:$T,19,0),"-")</f>
        <v>21</v>
      </c>
      <c r="V116" s="81">
        <f t="shared" si="38"/>
        <v>-9</v>
      </c>
      <c r="W116" s="82" t="str">
        <f t="shared" si="39"/>
        <v>有库存无销量</v>
      </c>
      <c r="X116" s="83" t="str">
        <f t="shared" si="40"/>
        <v>库存过高</v>
      </c>
      <c r="Y116" s="44">
        <f>IFERROR(SUMIF('3店辅助表'!K:K,B:B,'3店辅助表'!N:N),0)</f>
        <v>0</v>
      </c>
      <c r="Z116" s="44">
        <f>IFERROR(SUMIF('3店辅助表'!T:T,B:B,'3店辅助表'!W:W),0)</f>
        <v>0</v>
      </c>
      <c r="AA116" s="44">
        <f>IFERROR(SUMIF('3店辅助表'!AC:AC,B:B,'3店辅助表'!AF:AF),0)</f>
        <v>0</v>
      </c>
      <c r="AB116" s="91" t="str">
        <f>IFERROR(SUMIF('3店辅助表'!K:K,B:B,'3店辅助表'!N:N)/SUMIF('3店辅助表'!K:K,B:B,'3店辅助表'!O:O),"-")</f>
        <v>-</v>
      </c>
      <c r="AC116" s="91" t="str">
        <f>IFERROR(VLOOKUP(B:B,'[1]3店'!$B:$AB,27,0),"-")</f>
        <v>-</v>
      </c>
      <c r="AD116" s="92" t="str">
        <f t="shared" si="41"/>
        <v>-</v>
      </c>
      <c r="AE116" s="91" t="str">
        <f>IFERROR(SUMIF('3店辅助表'!T:T,B:B,'3店辅助表'!W:W)/SUMIF('3店辅助表'!T:T,B:B,'3店辅助表'!X:X),"-")</f>
        <v>-</v>
      </c>
      <c r="AF116" s="91" t="str">
        <f>IFERROR(SUMIF('3店辅助表'!AC:AC,B:B,'3店辅助表'!AF:AF)/SUMIF('3店辅助表'!AC:AC,B:B,'3店辅助表'!AG:AG),"-")</f>
        <v>-</v>
      </c>
      <c r="AG116" s="99">
        <f>IFERROR(AK116/((SUMIF('3店辅助表'!AT:AT,B:B,'3店辅助表'!AU:AU)+M116)/2),"-")</f>
        <v>0</v>
      </c>
      <c r="AH116" s="99">
        <f>IFERROR(AL116/((SUMIF('3店辅助表'!AW:AW,B:B,'3店辅助表'!AX:AX)+M116)/2),"-")</f>
        <v>0</v>
      </c>
      <c r="AI116" s="100" t="str">
        <f>IFERROR((SUMIF('3店辅助表'!AP:AP,B:B,'3店辅助表'!AR:AR)-SUMIF('3店辅助表'!AP:AP,B:B,'3店辅助表'!AR:AR)*0.15-(L116+IFERROR(VLOOKUP(B:B,'3店辅助表'!AZ:BA,2,0),0))*O116-IF(AN:AN="US",6.85,4.9)*(Z116+4.27*O116))/SUMIF('3店辅助表'!AP:AP,B:B,'3店辅助表'!AR:AR),"-")</f>
        <v>-</v>
      </c>
      <c r="AJ116" s="100" t="str">
        <f t="shared" si="42"/>
        <v>-</v>
      </c>
      <c r="AK116" s="101">
        <f t="shared" si="43"/>
        <v>0</v>
      </c>
      <c r="AL116" s="101">
        <f t="shared" si="44"/>
        <v>0</v>
      </c>
      <c r="AM116" s="1" t="str">
        <f>VLOOKUP(B:B,'3店辅助表'!AZ:AZ,1,FALSE)</f>
        <v>Y3041-GR</v>
      </c>
      <c r="AN116" t="str">
        <f>VLOOKUP(B:B,'3店辅助表'!AZ:BB,3,FALSE)</f>
        <v>US</v>
      </c>
    </row>
    <row r="117" customHeight="1" spans="1:40">
      <c r="A117" s="58" t="str">
        <f>INDEX('[1]3店'!$A:$A,MATCH(B:B,'[1]3店'!$B:$B,0))</f>
        <v>欣彤</v>
      </c>
      <c r="B117" s="43" t="s">
        <v>927</v>
      </c>
      <c r="C117" s="43" t="s">
        <v>928</v>
      </c>
      <c r="D117" s="59">
        <f>VLOOKUP(B:B,'[1]3店'!$B:$L,3,0)</f>
        <v>44800</v>
      </c>
      <c r="E117" s="43" t="s">
        <v>929</v>
      </c>
      <c r="F117" s="43">
        <v>1</v>
      </c>
      <c r="G117" s="43">
        <v>0</v>
      </c>
      <c r="H117" s="43">
        <v>0</v>
      </c>
      <c r="I117" s="43">
        <v>4</v>
      </c>
      <c r="J117" s="43">
        <v>0</v>
      </c>
      <c r="K117" s="63">
        <f t="shared" si="34"/>
        <v>5</v>
      </c>
      <c r="L117" s="124">
        <f>VLOOKUP($B:$B,'[1]3店'!$B:$L,11,0)</f>
        <v>13.7</v>
      </c>
      <c r="M117" s="44">
        <f t="shared" si="45"/>
        <v>68.5</v>
      </c>
      <c r="N117" s="65">
        <f>IFERROR(VLOOKUP(B:B,'3店辅助表'!B:C,2,FALSE),0)</f>
        <v>0</v>
      </c>
      <c r="O117" s="65">
        <f>IFERROR(VLOOKUP(B:B,'3店辅助表'!E:F,2,FALSE),0)</f>
        <v>0</v>
      </c>
      <c r="P117" s="65">
        <f>IFERROR(VLOOKUP(B:B,'3店辅助表'!H:I,2,FALSE),0)</f>
        <v>0</v>
      </c>
      <c r="Q117" s="65">
        <f>IFERROR(VLOOKUP(B:B,'[1]3店'!$B:$N,13,FALSE),0)</f>
        <v>0</v>
      </c>
      <c r="R117" s="79">
        <f t="shared" si="35"/>
        <v>0</v>
      </c>
      <c r="S117" s="80" t="str">
        <f t="shared" si="36"/>
        <v>-</v>
      </c>
      <c r="T117" s="44" t="str">
        <f t="shared" si="37"/>
        <v>-</v>
      </c>
      <c r="U117" s="44" t="str">
        <f>IFERROR(VLOOKUP($B:$B,'[1]3店'!$B:$T,19,0),"-")</f>
        <v>-</v>
      </c>
      <c r="V117" s="81" t="str">
        <f t="shared" si="38"/>
        <v>-</v>
      </c>
      <c r="W117" s="82" t="str">
        <f t="shared" si="39"/>
        <v>有库存无销量</v>
      </c>
      <c r="X117" s="83" t="str">
        <f t="shared" si="40"/>
        <v>有库存无销量</v>
      </c>
      <c r="Y117" s="44">
        <f>IFERROR(SUMIF('3店辅助表'!K:K,B:B,'3店辅助表'!N:N),0)</f>
        <v>0</v>
      </c>
      <c r="Z117" s="44">
        <f>IFERROR(SUMIF('3店辅助表'!T:T,B:B,'3店辅助表'!W:W),0)</f>
        <v>0</v>
      </c>
      <c r="AA117" s="44">
        <f>IFERROR(SUMIF('3店辅助表'!AC:AC,B:B,'3店辅助表'!AF:AF),0)</f>
        <v>0</v>
      </c>
      <c r="AB117" s="91" t="str">
        <f>IFERROR(SUMIF('3店辅助表'!K:K,B:B,'3店辅助表'!N:N)/SUMIF('3店辅助表'!K:K,B:B,'3店辅助表'!O:O),"-")</f>
        <v>-</v>
      </c>
      <c r="AC117" s="91" t="str">
        <f>IFERROR(VLOOKUP(B:B,'[1]3店'!$B:$AB,27,0),"-")</f>
        <v>-</v>
      </c>
      <c r="AD117" s="92" t="str">
        <f t="shared" si="41"/>
        <v>-</v>
      </c>
      <c r="AE117" s="91" t="str">
        <f>IFERROR(SUMIF('3店辅助表'!T:T,B:B,'3店辅助表'!W:W)/SUMIF('3店辅助表'!T:T,B:B,'3店辅助表'!X:X),"-")</f>
        <v>-</v>
      </c>
      <c r="AF117" s="91" t="str">
        <f>IFERROR(SUMIF('3店辅助表'!AC:AC,B:B,'3店辅助表'!AF:AF)/SUMIF('3店辅助表'!AC:AC,B:B,'3店辅助表'!AG:AG),"-")</f>
        <v>-</v>
      </c>
      <c r="AG117" s="99">
        <f>IFERROR(AK117/((SUMIF('3店辅助表'!AT:AT,B:B,'3店辅助表'!AU:AU)+M117)/2),"-")</f>
        <v>0</v>
      </c>
      <c r="AH117" s="99">
        <f>IFERROR(AL117/((SUMIF('3店辅助表'!AW:AW,B:B,'3店辅助表'!AX:AX)+M117)/2),"-")</f>
        <v>0</v>
      </c>
      <c r="AI117" s="100" t="str">
        <f>IFERROR((SUMIF('3店辅助表'!AP:AP,B:B,'3店辅助表'!AR:AR)-SUMIF('3店辅助表'!AP:AP,B:B,'3店辅助表'!AR:AR)*0.15-(L117+IFERROR(VLOOKUP(B:B,'3店辅助表'!AZ:BA,2,0),0))*O117-IF(AN:AN="US",6.85,4.9)*(Z117+4.27*O117))/SUMIF('3店辅助表'!AP:AP,B:B,'3店辅助表'!AR:AR),"-")</f>
        <v>-</v>
      </c>
      <c r="AJ117" s="100" t="str">
        <f t="shared" si="42"/>
        <v>-</v>
      </c>
      <c r="AK117" s="101">
        <f t="shared" si="43"/>
        <v>0</v>
      </c>
      <c r="AL117" s="101">
        <f t="shared" si="44"/>
        <v>0</v>
      </c>
      <c r="AM117" s="1" t="str">
        <f>VLOOKUP(B:B,'3店辅助表'!AZ:AZ,1,FALSE)</f>
        <v>Y3041-LP</v>
      </c>
      <c r="AN117" t="str">
        <f>VLOOKUP(B:B,'3店辅助表'!AZ:BB,3,FALSE)</f>
        <v>US</v>
      </c>
    </row>
    <row r="118" customHeight="1" spans="1:40">
      <c r="A118" s="58" t="str">
        <f>INDEX('[1]3店'!$A:$A,MATCH(B:B,'[1]3店'!$B:$B,0))</f>
        <v>欣彤</v>
      </c>
      <c r="B118" s="43" t="s">
        <v>930</v>
      </c>
      <c r="C118" s="43" t="s">
        <v>931</v>
      </c>
      <c r="D118" s="59">
        <f>VLOOKUP(B:B,'[1]3店'!$B:$L,3,0)</f>
        <v>44840</v>
      </c>
      <c r="E118" s="43" t="s">
        <v>932</v>
      </c>
      <c r="F118" s="43">
        <v>1</v>
      </c>
      <c r="G118" s="43">
        <v>0</v>
      </c>
      <c r="H118" s="43">
        <v>0</v>
      </c>
      <c r="I118" s="43">
        <v>0</v>
      </c>
      <c r="J118" s="43">
        <v>0</v>
      </c>
      <c r="K118" s="63">
        <f t="shared" si="34"/>
        <v>1</v>
      </c>
      <c r="L118" s="124">
        <f>VLOOKUP($B:$B,'[1]3店'!$B:$L,11,0)</f>
        <v>13.9</v>
      </c>
      <c r="M118" s="44">
        <f t="shared" si="45"/>
        <v>13.9</v>
      </c>
      <c r="N118" s="65">
        <f>IFERROR(VLOOKUP(B:B,'3店辅助表'!B:C,2,FALSE),0)</f>
        <v>2</v>
      </c>
      <c r="O118" s="65">
        <f>IFERROR(VLOOKUP(B:B,'3店辅助表'!E:F,2,FALSE),0)</f>
        <v>7</v>
      </c>
      <c r="P118" s="65">
        <f>IFERROR(VLOOKUP(B:B,'3店辅助表'!H:I,2,FALSE),0)</f>
        <v>15</v>
      </c>
      <c r="Q118" s="65">
        <f>IFERROR(VLOOKUP(B:B,'[1]3店'!$B:$N,13,FALSE),0)</f>
        <v>2</v>
      </c>
      <c r="R118" s="79">
        <f t="shared" si="35"/>
        <v>0</v>
      </c>
      <c r="S118" s="80">
        <f t="shared" si="36"/>
        <v>2.39543726235741</v>
      </c>
      <c r="T118" s="44">
        <f t="shared" si="37"/>
        <v>0.0798479087452471</v>
      </c>
      <c r="U118" s="44">
        <f>IFERROR(VLOOKUP($B:$B,'[1]3店'!$B:$T,19,0),"-")</f>
        <v>0.275409836065574</v>
      </c>
      <c r="V118" s="81">
        <f t="shared" si="38"/>
        <v>-0.195561927320327</v>
      </c>
      <c r="W118" s="82" t="str">
        <f t="shared" si="39"/>
        <v>库存过低</v>
      </c>
      <c r="X118" s="83" t="str">
        <f t="shared" si="40"/>
        <v>库存过低</v>
      </c>
      <c r="Y118" s="44">
        <f>IFERROR(SUMIF('3店辅助表'!K:K,B:B,'3店辅助表'!N:N),0)</f>
        <v>5.44</v>
      </c>
      <c r="Z118" s="44">
        <f>IFERROR(SUMIF('3店辅助表'!T:T,B:B,'3店辅助表'!W:W),0)</f>
        <v>12.57</v>
      </c>
      <c r="AA118" s="44">
        <f>IFERROR(SUMIF('3店辅助表'!AC:AC,B:B,'3店辅助表'!AF:AF),0)</f>
        <v>27.53</v>
      </c>
      <c r="AB118" s="91" t="str">
        <f>IFERROR(SUMIF('3店辅助表'!K:K,B:B,'3店辅助表'!N:N)/SUMIF('3店辅助表'!K:K,B:B,'3店辅助表'!O:O),"-")</f>
        <v>-</v>
      </c>
      <c r="AC118" s="91">
        <f>IFERROR(VLOOKUP(B:B,'[1]3店'!$B:$AB,27,0),"-")</f>
        <v>0.279816513761468</v>
      </c>
      <c r="AD118" s="92" t="str">
        <f t="shared" si="41"/>
        <v>-</v>
      </c>
      <c r="AE118" s="91">
        <f>IFERROR(SUMIF('3店辅助表'!T:T,B:B,'3店辅助表'!W:W)/SUMIF('3店辅助表'!T:T,B:B,'3店辅助表'!X:X),"-")</f>
        <v>0.340005409791723</v>
      </c>
      <c r="AF118" s="91">
        <f>IFERROR(SUMIF('3店辅助表'!AC:AC,B:B,'3店辅助表'!AF:AF)/SUMIF('3店辅助表'!AC:AC,B:B,'3店辅助表'!AG:AG),"-")</f>
        <v>0.309569324187563</v>
      </c>
      <c r="AG118" s="99">
        <f>IFERROR(AK118/((SUMIF('3店辅助表'!AT:AT,B:B,'3店辅助表'!AU:AU)+M118)/2),"-")</f>
        <v>0.8</v>
      </c>
      <c r="AH118" s="99">
        <f>IFERROR(AL118/((SUMIF('3店辅助表'!AW:AW,B:B,'3店辅助表'!AX:AX)+M118)/2),"-")</f>
        <v>0.875</v>
      </c>
      <c r="AI118" s="100">
        <f>IFERROR((SUMIF('3店辅助表'!AP:AP,B:B,'3店辅助表'!AR:AR)-SUMIF('3店辅助表'!AP:AP,B:B,'3店辅助表'!AR:AR)*0.15-(L118+IFERROR(VLOOKUP(B:B,'3店辅助表'!AZ:BA,2,0),0))*O118-IF(AN:AN="US",6.85,4.9)*(Z118+4.27*O118))/SUMIF('3店辅助表'!AP:AP,B:B,'3店辅助表'!AR:AR),"-")</f>
        <v>0.169326855125125</v>
      </c>
      <c r="AJ118" s="100">
        <f t="shared" si="42"/>
        <v>0.148160998234484</v>
      </c>
      <c r="AK118" s="101">
        <f t="shared" si="43"/>
        <v>27.8</v>
      </c>
      <c r="AL118" s="101">
        <f t="shared" si="44"/>
        <v>97.3</v>
      </c>
      <c r="AM118" s="1" t="str">
        <f>VLOOKUP(B:B,'3店辅助表'!AZ:AZ,1,FALSE)</f>
        <v>Y3036-BL</v>
      </c>
      <c r="AN118" t="str">
        <f>VLOOKUP(B:B,'3店辅助表'!AZ:BB,3,FALSE)</f>
        <v>US</v>
      </c>
    </row>
    <row r="119" customHeight="1" spans="1:40">
      <c r="A119" s="58" t="str">
        <f>INDEX('[1]3店'!$A:$A,MATCH(B:B,'[1]3店'!$B:$B,0))</f>
        <v>欣彤</v>
      </c>
      <c r="B119" s="43" t="s">
        <v>933</v>
      </c>
      <c r="C119" s="43" t="s">
        <v>931</v>
      </c>
      <c r="D119" s="59">
        <f>VLOOKUP(B:B,'[1]3店'!$B:$L,3,0)</f>
        <v>44840</v>
      </c>
      <c r="E119" s="43" t="s">
        <v>934</v>
      </c>
      <c r="F119" s="43">
        <v>18</v>
      </c>
      <c r="G119" s="43">
        <v>0</v>
      </c>
      <c r="H119" s="43">
        <v>0</v>
      </c>
      <c r="I119" s="43">
        <v>0</v>
      </c>
      <c r="J119" s="43">
        <v>0</v>
      </c>
      <c r="K119" s="63">
        <f t="shared" si="34"/>
        <v>18</v>
      </c>
      <c r="L119" s="124">
        <f>VLOOKUP($B:$B,'[1]3店'!$B:$L,11,0)</f>
        <v>13.9</v>
      </c>
      <c r="M119" s="44">
        <f t="shared" si="45"/>
        <v>250.2</v>
      </c>
      <c r="N119" s="65">
        <f>IFERROR(VLOOKUP(B:B,'3店辅助表'!B:C,2,FALSE),0)</f>
        <v>0</v>
      </c>
      <c r="O119" s="65">
        <f>IFERROR(VLOOKUP(B:B,'3店辅助表'!E:F,2,FALSE),0)</f>
        <v>0</v>
      </c>
      <c r="P119" s="65">
        <f>IFERROR(VLOOKUP(B:B,'3店辅助表'!H:I,2,FALSE),0)</f>
        <v>1</v>
      </c>
      <c r="Q119" s="65">
        <f>IFERROR(VLOOKUP(B:B,'[1]3店'!$B:$N,13,FALSE),0)</f>
        <v>0</v>
      </c>
      <c r="R119" s="79">
        <f t="shared" si="35"/>
        <v>0</v>
      </c>
      <c r="S119" s="80">
        <f t="shared" si="36"/>
        <v>1620</v>
      </c>
      <c r="T119" s="44">
        <f t="shared" si="37"/>
        <v>54</v>
      </c>
      <c r="U119" s="44">
        <f>IFERROR(VLOOKUP($B:$B,'[1]3店'!$B:$T,19,0),"-")</f>
        <v>19</v>
      </c>
      <c r="V119" s="81">
        <f t="shared" si="38"/>
        <v>35</v>
      </c>
      <c r="W119" s="82" t="str">
        <f t="shared" si="39"/>
        <v>有库存无销量</v>
      </c>
      <c r="X119" s="83" t="str">
        <f t="shared" si="40"/>
        <v>库存过高</v>
      </c>
      <c r="Y119" s="44">
        <f>IFERROR(SUMIF('3店辅助表'!K:K,B:B,'3店辅助表'!N:N),0)</f>
        <v>0</v>
      </c>
      <c r="Z119" s="44">
        <f>IFERROR(SUMIF('3店辅助表'!T:T,B:B,'3店辅助表'!W:W),0)</f>
        <v>0</v>
      </c>
      <c r="AA119" s="44">
        <f>IFERROR(SUMIF('3店辅助表'!AC:AC,B:B,'3店辅助表'!AF:AF),0)</f>
        <v>0</v>
      </c>
      <c r="AB119" s="91" t="str">
        <f>IFERROR(SUMIF('3店辅助表'!K:K,B:B,'3店辅助表'!N:N)/SUMIF('3店辅助表'!K:K,B:B,'3店辅助表'!O:O),"-")</f>
        <v>-</v>
      </c>
      <c r="AC119" s="91" t="str">
        <f>IFERROR(VLOOKUP(B:B,'[1]3店'!$B:$AB,27,0),"-")</f>
        <v>-</v>
      </c>
      <c r="AD119" s="92" t="str">
        <f t="shared" si="41"/>
        <v>-</v>
      </c>
      <c r="AE119" s="91" t="str">
        <f>IFERROR(SUMIF('3店辅助表'!T:T,B:B,'3店辅助表'!W:W)/SUMIF('3店辅助表'!T:T,B:B,'3店辅助表'!X:X),"-")</f>
        <v>-</v>
      </c>
      <c r="AF119" s="91" t="str">
        <f>IFERROR(SUMIF('3店辅助表'!AC:AC,B:B,'3店辅助表'!AF:AF)/SUMIF('3店辅助表'!AC:AC,B:B,'3店辅助表'!AG:AG),"-")</f>
        <v>-</v>
      </c>
      <c r="AG119" s="99">
        <f>IFERROR(AK119/((SUMIF('3店辅助表'!AT:AT,B:B,'3店辅助表'!AU:AU)+M119)/2),"-")</f>
        <v>0</v>
      </c>
      <c r="AH119" s="99">
        <f>IFERROR(AL119/((SUMIF('3店辅助表'!AW:AW,B:B,'3店辅助表'!AX:AX)+M119)/2),"-")</f>
        <v>0</v>
      </c>
      <c r="AI119" s="100" t="str">
        <f>IFERROR((SUMIF('3店辅助表'!AP:AP,B:B,'3店辅助表'!AR:AR)-SUMIF('3店辅助表'!AP:AP,B:B,'3店辅助表'!AR:AR)*0.15-(L119+IFERROR(VLOOKUP(B:B,'3店辅助表'!AZ:BA,2,0),0))*O119-IF(AN:AN="US",6.85,4.9)*(Z119+4.27*O119))/SUMIF('3店辅助表'!AP:AP,B:B,'3店辅助表'!AR:AR),"-")</f>
        <v>-</v>
      </c>
      <c r="AJ119" s="100" t="str">
        <f t="shared" si="42"/>
        <v>-</v>
      </c>
      <c r="AK119" s="101">
        <f t="shared" si="43"/>
        <v>0</v>
      </c>
      <c r="AL119" s="101">
        <f t="shared" si="44"/>
        <v>0</v>
      </c>
      <c r="AM119" s="1" t="str">
        <f>VLOOKUP(B:B,'3店辅助表'!AZ:AZ,1,FALSE)</f>
        <v>Y3036-BY</v>
      </c>
      <c r="AN119" t="str">
        <f>VLOOKUP(B:B,'3店辅助表'!AZ:BB,3,FALSE)</f>
        <v>US</v>
      </c>
    </row>
    <row r="120" customHeight="1" spans="1:40">
      <c r="A120" s="58" t="str">
        <f>INDEX('[1]3店'!$A:$A,MATCH(B:B,'[1]3店'!$B:$B,0))</f>
        <v>欣彤</v>
      </c>
      <c r="B120" s="43" t="s">
        <v>935</v>
      </c>
      <c r="C120" s="43" t="s">
        <v>931</v>
      </c>
      <c r="D120" s="59">
        <f>VLOOKUP(B:B,'[1]3店'!$B:$L,3,0)</f>
        <v>44840</v>
      </c>
      <c r="E120" s="43" t="s">
        <v>936</v>
      </c>
      <c r="F120" s="43">
        <v>4</v>
      </c>
      <c r="G120" s="43">
        <v>0</v>
      </c>
      <c r="H120" s="43">
        <v>52</v>
      </c>
      <c r="I120" s="43">
        <v>0</v>
      </c>
      <c r="J120" s="43">
        <v>0</v>
      </c>
      <c r="K120" s="63">
        <f t="shared" si="34"/>
        <v>56</v>
      </c>
      <c r="L120" s="124">
        <f>VLOOKUP($B:$B,'[1]3店'!$B:$L,11,0)</f>
        <v>13.9</v>
      </c>
      <c r="M120" s="44">
        <f t="shared" si="45"/>
        <v>778.4</v>
      </c>
      <c r="N120" s="65">
        <f>IFERROR(VLOOKUP(B:B,'3店辅助表'!B:C,2,FALSE),0)</f>
        <v>0</v>
      </c>
      <c r="O120" s="65">
        <f>IFERROR(VLOOKUP(B:B,'3店辅助表'!E:F,2,FALSE),0)</f>
        <v>1</v>
      </c>
      <c r="P120" s="65">
        <f>IFERROR(VLOOKUP(B:B,'3店辅助表'!H:I,2,FALSE),0)</f>
        <v>1</v>
      </c>
      <c r="Q120" s="65">
        <f>IFERROR(VLOOKUP(B:B,'[1]3店'!$B:$N,13,FALSE),0)</f>
        <v>1</v>
      </c>
      <c r="R120" s="79">
        <f t="shared" si="35"/>
        <v>-1</v>
      </c>
      <c r="S120" s="80">
        <f t="shared" si="36"/>
        <v>1680</v>
      </c>
      <c r="T120" s="44">
        <f t="shared" si="37"/>
        <v>56</v>
      </c>
      <c r="U120" s="44">
        <f>IFERROR(VLOOKUP($B:$B,'[1]3店'!$B:$T,19,0),"-")</f>
        <v>1.81034482758621</v>
      </c>
      <c r="V120" s="81">
        <f t="shared" si="38"/>
        <v>54.1896551724138</v>
      </c>
      <c r="W120" s="82" t="str">
        <f t="shared" si="39"/>
        <v>有库存无销量</v>
      </c>
      <c r="X120" s="83" t="str">
        <f t="shared" si="40"/>
        <v>库存过高</v>
      </c>
      <c r="Y120" s="44">
        <f>IFERROR(SUMIF('3店辅助表'!K:K,B:B,'3店辅助表'!N:N),0)</f>
        <v>0</v>
      </c>
      <c r="Z120" s="44">
        <f>IFERROR(SUMIF('3店辅助表'!T:T,B:B,'3店辅助表'!W:W),0)</f>
        <v>0</v>
      </c>
      <c r="AA120" s="44">
        <f>IFERROR(SUMIF('3店辅助表'!AC:AC,B:B,'3店辅助表'!AF:AF),0)</f>
        <v>0</v>
      </c>
      <c r="AB120" s="91" t="str">
        <f>IFERROR(SUMIF('3店辅助表'!K:K,B:B,'3店辅助表'!N:N)/SUMIF('3店辅助表'!K:K,B:B,'3店辅助表'!O:O),"-")</f>
        <v>-</v>
      </c>
      <c r="AC120" s="91" t="str">
        <f>IFERROR(VLOOKUP(B:B,'[1]3店'!$B:$AB,27,0),"-")</f>
        <v>-</v>
      </c>
      <c r="AD120" s="92" t="str">
        <f t="shared" si="41"/>
        <v>-</v>
      </c>
      <c r="AE120" s="91" t="str">
        <f>IFERROR(SUMIF('3店辅助表'!T:T,B:B,'3店辅助表'!W:W)/SUMIF('3店辅助表'!T:T,B:B,'3店辅助表'!X:X),"-")</f>
        <v>-</v>
      </c>
      <c r="AF120" s="91" t="str">
        <f>IFERROR(SUMIF('3店辅助表'!AC:AC,B:B,'3店辅助表'!AF:AF)/SUMIF('3店辅助表'!AC:AC,B:B,'3店辅助表'!AG:AG),"-")</f>
        <v>-</v>
      </c>
      <c r="AG120" s="99">
        <f>IFERROR(AK120/((SUMIF('3店辅助表'!AT:AT,B:B,'3店辅助表'!AU:AU)+M120)/2),"-")</f>
        <v>0</v>
      </c>
      <c r="AH120" s="99">
        <f>IFERROR(AL120/((SUMIF('3店辅助表'!AW:AW,B:B,'3店辅助表'!AX:AX)+M120)/2),"-")</f>
        <v>0.0333333333333333</v>
      </c>
      <c r="AI120" s="100">
        <f>IFERROR((SUMIF('3店辅助表'!AP:AP,B:B,'3店辅助表'!AR:AR)-SUMIF('3店辅助表'!AP:AP,B:B,'3店辅助表'!AR:AR)*0.15-(L120+IFERROR(VLOOKUP(B:B,'3店辅助表'!AZ:BA,2,0),0))*O120-IF(AN:AN="US",6.85,4.9)*(Z120+4.27*O120))/SUMIF('3店辅助表'!AP:AP,B:B,'3店辅助表'!AR:AR),"-")</f>
        <v>0.309556199884246</v>
      </c>
      <c r="AJ120" s="100">
        <f t="shared" si="42"/>
        <v>0.0103185399961415</v>
      </c>
      <c r="AK120" s="101">
        <f t="shared" si="43"/>
        <v>0</v>
      </c>
      <c r="AL120" s="101">
        <f t="shared" si="44"/>
        <v>13.9</v>
      </c>
      <c r="AM120" s="1" t="str">
        <f>VLOOKUP(B:B,'3店辅助表'!AZ:AZ,1,FALSE)</f>
        <v>Y3036-DB</v>
      </c>
      <c r="AN120" t="str">
        <f>VLOOKUP(B:B,'3店辅助表'!AZ:BB,3,FALSE)</f>
        <v>US</v>
      </c>
    </row>
    <row r="121" customHeight="1" spans="1:40">
      <c r="A121" s="58" t="str">
        <f>INDEX('[1]3店'!$A:$A,MATCH(B:B,'[1]3店'!$B:$B,0))</f>
        <v>欣彤</v>
      </c>
      <c r="B121" s="43" t="s">
        <v>937</v>
      </c>
      <c r="C121" s="43" t="s">
        <v>931</v>
      </c>
      <c r="D121" s="59">
        <f>VLOOKUP(B:B,'[1]3店'!$B:$L,3,0)</f>
        <v>44840</v>
      </c>
      <c r="E121" s="43" t="s">
        <v>938</v>
      </c>
      <c r="F121" s="43">
        <v>13</v>
      </c>
      <c r="G121" s="43">
        <v>0</v>
      </c>
      <c r="H121" s="43">
        <v>0</v>
      </c>
      <c r="I121" s="43">
        <v>0</v>
      </c>
      <c r="J121" s="43">
        <v>0</v>
      </c>
      <c r="K121" s="63">
        <f t="shared" si="34"/>
        <v>13</v>
      </c>
      <c r="L121" s="124">
        <f>VLOOKUP($B:$B,'[1]3店'!$B:$L,11,0)</f>
        <v>13.9</v>
      </c>
      <c r="M121" s="44">
        <f t="shared" si="45"/>
        <v>180.7</v>
      </c>
      <c r="N121" s="65">
        <f>IFERROR(VLOOKUP(B:B,'3店辅助表'!B:C,2,FALSE),0)</f>
        <v>0</v>
      </c>
      <c r="O121" s="65">
        <f>IFERROR(VLOOKUP(B:B,'3店辅助表'!E:F,2,FALSE),0)</f>
        <v>1</v>
      </c>
      <c r="P121" s="65">
        <f>IFERROR(VLOOKUP(B:B,'3店辅助表'!H:I,2,FALSE),0)</f>
        <v>3</v>
      </c>
      <c r="Q121" s="65">
        <f>IFERROR(VLOOKUP(B:B,'[1]3店'!$B:$N,13,FALSE),0)</f>
        <v>1</v>
      </c>
      <c r="R121" s="79">
        <f t="shared" si="35"/>
        <v>-1</v>
      </c>
      <c r="S121" s="80">
        <f t="shared" si="36"/>
        <v>234</v>
      </c>
      <c r="T121" s="44">
        <f t="shared" si="37"/>
        <v>7.8</v>
      </c>
      <c r="U121" s="44">
        <f>IFERROR(VLOOKUP($B:$B,'[1]3店'!$B:$T,19,0),"-")</f>
        <v>4.2</v>
      </c>
      <c r="V121" s="81">
        <f t="shared" si="38"/>
        <v>3.6</v>
      </c>
      <c r="W121" s="82" t="str">
        <f t="shared" si="39"/>
        <v>有库存无销量</v>
      </c>
      <c r="X121" s="83" t="str">
        <f t="shared" si="40"/>
        <v>库存过高</v>
      </c>
      <c r="Y121" s="44">
        <f>IFERROR(SUMIF('3店辅助表'!K:K,B:B,'3店辅助表'!N:N),0)</f>
        <v>0</v>
      </c>
      <c r="Z121" s="44">
        <f>IFERROR(SUMIF('3店辅助表'!T:T,B:B,'3店辅助表'!W:W),0)</f>
        <v>0</v>
      </c>
      <c r="AA121" s="44">
        <f>IFERROR(SUMIF('3店辅助表'!AC:AC,B:B,'3店辅助表'!AF:AF),0)</f>
        <v>0</v>
      </c>
      <c r="AB121" s="91" t="str">
        <f>IFERROR(SUMIF('3店辅助表'!K:K,B:B,'3店辅助表'!N:N)/SUMIF('3店辅助表'!K:K,B:B,'3店辅助表'!O:O),"-")</f>
        <v>-</v>
      </c>
      <c r="AC121" s="91" t="str">
        <f>IFERROR(VLOOKUP(B:B,'[1]3店'!$B:$AB,27,0),"-")</f>
        <v>-</v>
      </c>
      <c r="AD121" s="92" t="str">
        <f t="shared" si="41"/>
        <v>-</v>
      </c>
      <c r="AE121" s="91" t="str">
        <f>IFERROR(SUMIF('3店辅助表'!T:T,B:B,'3店辅助表'!W:W)/SUMIF('3店辅助表'!T:T,B:B,'3店辅助表'!X:X),"-")</f>
        <v>-</v>
      </c>
      <c r="AF121" s="91" t="str">
        <f>IFERROR(SUMIF('3店辅助表'!AC:AC,B:B,'3店辅助表'!AF:AF)/SUMIF('3店辅助表'!AC:AC,B:B,'3店辅助表'!AG:AG),"-")</f>
        <v>-</v>
      </c>
      <c r="AG121" s="99">
        <f>IFERROR(AK121/((SUMIF('3店辅助表'!AT:AT,B:B,'3店辅助表'!AU:AU)+M121)/2),"-")</f>
        <v>0</v>
      </c>
      <c r="AH121" s="99">
        <f>IFERROR(AL121/((SUMIF('3店辅助表'!AW:AW,B:B,'3店辅助表'!AX:AX)+M121)/2),"-")</f>
        <v>0.0714285714285714</v>
      </c>
      <c r="AI121" s="100">
        <f>IFERROR((SUMIF('3店辅助表'!AP:AP,B:B,'3店辅助表'!AR:AR)-SUMIF('3店辅助表'!AP:AP,B:B,'3店辅助表'!AR:AR)*0.15-(L121+IFERROR(VLOOKUP(B:B,'3店辅助表'!AZ:BA,2,0),0))*O121-IF(AN:AN="US",6.85,4.9)*(Z121+4.27*O121))/SUMIF('3店辅助表'!AP:AP,B:B,'3店辅助表'!AR:AR),"-")</f>
        <v>0.314253805566326</v>
      </c>
      <c r="AJ121" s="100">
        <f t="shared" si="42"/>
        <v>0.0224467003975947</v>
      </c>
      <c r="AK121" s="101">
        <f t="shared" si="43"/>
        <v>0</v>
      </c>
      <c r="AL121" s="101">
        <f t="shared" si="44"/>
        <v>13.9</v>
      </c>
      <c r="AM121" s="1" t="str">
        <f>VLOOKUP(B:B,'3店辅助表'!AZ:AZ,1,FALSE)</f>
        <v>Y3036-GK</v>
      </c>
      <c r="AN121" t="str">
        <f>VLOOKUP(B:B,'3店辅助表'!AZ:BB,3,FALSE)</f>
        <v>US</v>
      </c>
    </row>
    <row r="122" customHeight="1" spans="1:40">
      <c r="A122" s="58" t="str">
        <f>INDEX('[1]3店'!$A:$A,MATCH(B:B,'[1]3店'!$B:$B,0))</f>
        <v>欣彤</v>
      </c>
      <c r="B122" s="43" t="s">
        <v>939</v>
      </c>
      <c r="C122" s="43" t="s">
        <v>931</v>
      </c>
      <c r="D122" s="59">
        <f>VLOOKUP(B:B,'[1]3店'!$B:$L,3,0)</f>
        <v>44840</v>
      </c>
      <c r="E122" s="43" t="s">
        <v>940</v>
      </c>
      <c r="F122" s="43">
        <v>0</v>
      </c>
      <c r="G122" s="43">
        <v>0</v>
      </c>
      <c r="H122" s="43">
        <v>3</v>
      </c>
      <c r="I122" s="43">
        <v>1</v>
      </c>
      <c r="J122" s="43">
        <v>0</v>
      </c>
      <c r="K122" s="63">
        <f t="shared" si="34"/>
        <v>4</v>
      </c>
      <c r="L122" s="124">
        <f>VLOOKUP($B:$B,'[1]3店'!$B:$L,11,0)</f>
        <v>13.9</v>
      </c>
      <c r="M122" s="44">
        <f t="shared" si="45"/>
        <v>55.6</v>
      </c>
      <c r="N122" s="65">
        <f>IFERROR(VLOOKUP(B:B,'3店辅助表'!B:C,2,FALSE),0)</f>
        <v>1</v>
      </c>
      <c r="O122" s="65">
        <f>IFERROR(VLOOKUP(B:B,'3店辅助表'!E:F,2,FALSE),0)</f>
        <v>2</v>
      </c>
      <c r="P122" s="65">
        <f>IFERROR(VLOOKUP(B:B,'3店辅助表'!H:I,2,FALSE),0)</f>
        <v>4</v>
      </c>
      <c r="Q122" s="65">
        <f>IFERROR(VLOOKUP(B:B,'[1]3店'!$B:$N,13,FALSE),0)</f>
        <v>1</v>
      </c>
      <c r="R122" s="79">
        <f t="shared" si="35"/>
        <v>0</v>
      </c>
      <c r="S122" s="80">
        <f t="shared" si="36"/>
        <v>29.3023255813954</v>
      </c>
      <c r="T122" s="44">
        <f t="shared" si="37"/>
        <v>0.976744186046512</v>
      </c>
      <c r="U122" s="44">
        <f>IFERROR(VLOOKUP($B:$B,'[1]3店'!$B:$T,19,0),"-")</f>
        <v>1.96261682242991</v>
      </c>
      <c r="V122" s="81">
        <f t="shared" si="38"/>
        <v>-0.985872636383398</v>
      </c>
      <c r="W122" s="82" t="str">
        <f t="shared" si="39"/>
        <v>正常</v>
      </c>
      <c r="X122" s="83" t="str">
        <f t="shared" si="40"/>
        <v>正常</v>
      </c>
      <c r="Y122" s="44">
        <f>IFERROR(SUMIF('3店辅助表'!K:K,B:B,'3店辅助表'!N:N),0)</f>
        <v>0</v>
      </c>
      <c r="Z122" s="44">
        <f>IFERROR(SUMIF('3店辅助表'!T:T,B:B,'3店辅助表'!W:W),0)</f>
        <v>0</v>
      </c>
      <c r="AA122" s="44">
        <f>IFERROR(SUMIF('3店辅助表'!AC:AC,B:B,'3店辅助表'!AF:AF),0)</f>
        <v>0</v>
      </c>
      <c r="AB122" s="91" t="str">
        <f>IFERROR(SUMIF('3店辅助表'!K:K,B:B,'3店辅助表'!N:N)/SUMIF('3店辅助表'!K:K,B:B,'3店辅助表'!O:O),"-")</f>
        <v>-</v>
      </c>
      <c r="AC122" s="91" t="str">
        <f>IFERROR(VLOOKUP(B:B,'[1]3店'!$B:$AB,27,0),"-")</f>
        <v>-</v>
      </c>
      <c r="AD122" s="92" t="str">
        <f t="shared" si="41"/>
        <v>-</v>
      </c>
      <c r="AE122" s="91" t="str">
        <f>IFERROR(SUMIF('3店辅助表'!T:T,B:B,'3店辅助表'!W:W)/SUMIF('3店辅助表'!T:T,B:B,'3店辅助表'!X:X),"-")</f>
        <v>-</v>
      </c>
      <c r="AF122" s="91" t="str">
        <f>IFERROR(SUMIF('3店辅助表'!AC:AC,B:B,'3店辅助表'!AF:AF)/SUMIF('3店辅助表'!AC:AC,B:B,'3店辅助表'!AG:AG),"-")</f>
        <v>-</v>
      </c>
      <c r="AG122" s="99">
        <f>IFERROR(AK122/((SUMIF('3店辅助表'!AT:AT,B:B,'3店辅助表'!AU:AU)+M122)/2),"-")</f>
        <v>0.142857142857143</v>
      </c>
      <c r="AH122" s="99">
        <f>IFERROR(AL122/((SUMIF('3店辅助表'!AW:AW,B:B,'3店辅助表'!AX:AX)+M122)/2),"-")</f>
        <v>0.571428571428571</v>
      </c>
      <c r="AI122" s="100">
        <f>IFERROR((SUMIF('3店辅助表'!AP:AP,B:B,'3店辅助表'!AR:AR)-SUMIF('3店辅助表'!AP:AP,B:B,'3店辅助表'!AR:AR)*0.15-(L122+IFERROR(VLOOKUP(B:B,'3店辅助表'!AZ:BA,2,0),0))*O122-IF(AN:AN="US",6.85,4.9)*(Z122+4.27*O122))/SUMIF('3店辅助表'!AP:AP,B:B,'3店辅助表'!AR:AR),"-")</f>
        <v>0.229428112234648</v>
      </c>
      <c r="AJ122" s="100">
        <f t="shared" si="42"/>
        <v>0.131101778419799</v>
      </c>
      <c r="AK122" s="101">
        <f t="shared" si="43"/>
        <v>13.9</v>
      </c>
      <c r="AL122" s="101">
        <f t="shared" si="44"/>
        <v>27.8</v>
      </c>
      <c r="AM122" s="1" t="str">
        <f>VLOOKUP(B:B,'3店辅助表'!AZ:AZ,1,FALSE)</f>
        <v>Y3036-OR</v>
      </c>
      <c r="AN122" t="str">
        <f>VLOOKUP(B:B,'3店辅助表'!AZ:BB,3,FALSE)</f>
        <v>US</v>
      </c>
    </row>
    <row r="123" customHeight="1" spans="1:40">
      <c r="A123" s="58" t="str">
        <f>INDEX('[1]3店'!$A:$A,MATCH(B:B,'[1]3店'!$B:$B,0))</f>
        <v>欣彤</v>
      </c>
      <c r="B123" s="43" t="s">
        <v>941</v>
      </c>
      <c r="C123" s="43" t="s">
        <v>942</v>
      </c>
      <c r="D123" s="59">
        <f>VLOOKUP(B:B,'[1]3店'!$B:$L,3,0)</f>
        <v>44840</v>
      </c>
      <c r="E123" s="43" t="s">
        <v>943</v>
      </c>
      <c r="F123" s="43">
        <v>0</v>
      </c>
      <c r="G123" s="43">
        <v>0</v>
      </c>
      <c r="H123" s="43">
        <v>0</v>
      </c>
      <c r="I123" s="43">
        <v>0</v>
      </c>
      <c r="J123" s="43">
        <v>0</v>
      </c>
      <c r="K123" s="63">
        <f t="shared" ref="K123:K137" si="46">F123+G123+H123+I123+J123</f>
        <v>0</v>
      </c>
      <c r="L123" s="124">
        <f>VLOOKUP($B:$B,'[1]3店'!$B:$L,11,0)</f>
        <v>13.9</v>
      </c>
      <c r="M123" s="44">
        <f t="shared" si="45"/>
        <v>0</v>
      </c>
      <c r="N123" s="65">
        <f>IFERROR(VLOOKUP(B:B,'3店辅助表'!B:C,2,FALSE),0)</f>
        <v>1</v>
      </c>
      <c r="O123" s="65">
        <f>IFERROR(VLOOKUP(B:B,'3店辅助表'!E:F,2,FALSE),0)</f>
        <v>2</v>
      </c>
      <c r="P123" s="65">
        <f>IFERROR(VLOOKUP(B:B,'3店辅助表'!H:I,2,FALSE),0)</f>
        <v>3</v>
      </c>
      <c r="Q123" s="65">
        <f>IFERROR(VLOOKUP(B:B,'[1]3店'!$B:$N,13,FALSE),0)</f>
        <v>1</v>
      </c>
      <c r="R123" s="79">
        <f t="shared" si="35"/>
        <v>0</v>
      </c>
      <c r="S123" s="80">
        <f t="shared" si="36"/>
        <v>0</v>
      </c>
      <c r="T123" s="44">
        <f t="shared" si="37"/>
        <v>0</v>
      </c>
      <c r="U123" s="44">
        <f>IFERROR(VLOOKUP($B:$B,'[1]3店'!$B:$T,19,0),"-")</f>
        <v>0.362068965517241</v>
      </c>
      <c r="V123" s="81">
        <f t="shared" si="38"/>
        <v>-0.362068965517241</v>
      </c>
      <c r="W123" s="82" t="str">
        <f t="shared" si="39"/>
        <v>无库存有销量</v>
      </c>
      <c r="X123" s="83" t="str">
        <f t="shared" si="40"/>
        <v>无库存有销量</v>
      </c>
      <c r="Y123" s="44">
        <f>IFERROR(SUMIF('3店辅助表'!K:K,B:B,'3店辅助表'!N:N),0)</f>
        <v>0</v>
      </c>
      <c r="Z123" s="44">
        <f>IFERROR(SUMIF('3店辅助表'!T:T,B:B,'3店辅助表'!W:W),0)</f>
        <v>0</v>
      </c>
      <c r="AA123" s="44">
        <f>IFERROR(SUMIF('3店辅助表'!AC:AC,B:B,'3店辅助表'!AF:AF),0)</f>
        <v>0</v>
      </c>
      <c r="AB123" s="91" t="str">
        <f>IFERROR(SUMIF('3店辅助表'!K:K,B:B,'3店辅助表'!N:N)/SUMIF('3店辅助表'!K:K,B:B,'3店辅助表'!O:O),"-")</f>
        <v>-</v>
      </c>
      <c r="AC123" s="91" t="str">
        <f>IFERROR(VLOOKUP(B:B,'[1]3店'!$B:$AB,27,0),"-")</f>
        <v>-</v>
      </c>
      <c r="AD123" s="92" t="str">
        <f t="shared" si="41"/>
        <v>-</v>
      </c>
      <c r="AE123" s="91" t="str">
        <f>IFERROR(SUMIF('3店辅助表'!T:T,B:B,'3店辅助表'!W:W)/SUMIF('3店辅助表'!T:T,B:B,'3店辅助表'!X:X),"-")</f>
        <v>-</v>
      </c>
      <c r="AF123" s="91" t="str">
        <f>IFERROR(SUMIF('3店辅助表'!AC:AC,B:B,'3店辅助表'!AF:AF)/SUMIF('3店辅助表'!AC:AC,B:B,'3店辅助表'!AG:AG),"-")</f>
        <v>-</v>
      </c>
      <c r="AG123" s="99">
        <f>IFERROR(AK123/((SUMIF('3店辅助表'!AT:AT,B:B,'3店辅助表'!AU:AU)+M123)/2),"-")</f>
        <v>2</v>
      </c>
      <c r="AH123" s="99">
        <f>IFERROR(AL123/((SUMIF('3店辅助表'!AW:AW,B:B,'3店辅助表'!AX:AX)+M123)/2),"-")</f>
        <v>1.33333333333333</v>
      </c>
      <c r="AI123" s="100">
        <f>IFERROR((SUMIF('3店辅助表'!AP:AP,B:B,'3店辅助表'!AR:AR)-SUMIF('3店辅助表'!AP:AP,B:B,'3店辅助表'!AR:AR)*0.15-(L123+IFERROR(VLOOKUP(B:B,'3店辅助表'!AZ:BA,2,0),0))*O123-IF(AN:AN="US",6.85,4.9)*(Z123+4.27*O123))/SUMIF('3店辅助表'!AP:AP,B:B,'3店辅助表'!AR:AR),"-")</f>
        <v>0.291548005332911</v>
      </c>
      <c r="AJ123" s="100">
        <f t="shared" si="42"/>
        <v>0.388730673777215</v>
      </c>
      <c r="AK123" s="101">
        <f t="shared" si="43"/>
        <v>13.9</v>
      </c>
      <c r="AL123" s="101">
        <f t="shared" si="44"/>
        <v>27.8</v>
      </c>
      <c r="AM123" s="1" t="str">
        <f>VLOOKUP(B:B,'3店辅助表'!AZ:AZ,1,FALSE)</f>
        <v>Y3039-BY</v>
      </c>
      <c r="AN123" t="str">
        <f>VLOOKUP(B:B,'3店辅助表'!AZ:BB,3,FALSE)</f>
        <v>US</v>
      </c>
    </row>
    <row r="124" customHeight="1" spans="1:40">
      <c r="A124" s="58" t="str">
        <f>INDEX('[1]3店'!$A:$A,MATCH(B:B,'[1]3店'!$B:$B,0))</f>
        <v>欣彤</v>
      </c>
      <c r="B124" s="43" t="s">
        <v>944</v>
      </c>
      <c r="C124" s="43" t="s">
        <v>942</v>
      </c>
      <c r="D124" s="59">
        <f>VLOOKUP(B:B,'[1]3店'!$B:$L,3,0)</f>
        <v>44840</v>
      </c>
      <c r="E124" s="43" t="s">
        <v>945</v>
      </c>
      <c r="F124" s="43">
        <v>0</v>
      </c>
      <c r="G124" s="43">
        <v>1</v>
      </c>
      <c r="H124" s="43">
        <v>0</v>
      </c>
      <c r="I124" s="43">
        <v>0</v>
      </c>
      <c r="J124" s="43">
        <v>0</v>
      </c>
      <c r="K124" s="63">
        <f t="shared" si="46"/>
        <v>1</v>
      </c>
      <c r="L124" s="124">
        <f>VLOOKUP($B:$B,'[1]3店'!$B:$L,11,0)</f>
        <v>13.9</v>
      </c>
      <c r="M124" s="44">
        <f t="shared" si="45"/>
        <v>13.9</v>
      </c>
      <c r="N124" s="65">
        <f>IFERROR(VLOOKUP(B:B,'3店辅助表'!B:C,2,FALSE),0)</f>
        <v>0</v>
      </c>
      <c r="O124" s="65">
        <f>IFERROR(VLOOKUP(B:B,'3店辅助表'!E:F,2,FALSE),0)</f>
        <v>0</v>
      </c>
      <c r="P124" s="65">
        <f>IFERROR(VLOOKUP(B:B,'3店辅助表'!H:I,2,FALSE),0)</f>
        <v>1</v>
      </c>
      <c r="Q124" s="65">
        <f>IFERROR(VLOOKUP(B:B,'[1]3店'!$B:$N,13,FALSE),0)</f>
        <v>0</v>
      </c>
      <c r="R124" s="79">
        <f t="shared" si="35"/>
        <v>0</v>
      </c>
      <c r="S124" s="80">
        <f t="shared" si="36"/>
        <v>90</v>
      </c>
      <c r="T124" s="44">
        <f t="shared" si="37"/>
        <v>3</v>
      </c>
      <c r="U124" s="44">
        <f>IFERROR(VLOOKUP($B:$B,'[1]3店'!$B:$T,19,0),"-")</f>
        <v>3</v>
      </c>
      <c r="V124" s="81">
        <f t="shared" si="38"/>
        <v>0</v>
      </c>
      <c r="W124" s="82" t="str">
        <f t="shared" si="39"/>
        <v>有库存无销量</v>
      </c>
      <c r="X124" s="83" t="str">
        <f t="shared" si="40"/>
        <v>库存过高</v>
      </c>
      <c r="Y124" s="44">
        <f>IFERROR(SUMIF('3店辅助表'!K:K,B:B,'3店辅助表'!N:N),0)</f>
        <v>0</v>
      </c>
      <c r="Z124" s="44">
        <f>IFERROR(SUMIF('3店辅助表'!T:T,B:B,'3店辅助表'!W:W),0)</f>
        <v>0</v>
      </c>
      <c r="AA124" s="44">
        <f>IFERROR(SUMIF('3店辅助表'!AC:AC,B:B,'3店辅助表'!AF:AF),0)</f>
        <v>0</v>
      </c>
      <c r="AB124" s="91" t="str">
        <f>IFERROR(SUMIF('3店辅助表'!K:K,B:B,'3店辅助表'!N:N)/SUMIF('3店辅助表'!K:K,B:B,'3店辅助表'!O:O),"-")</f>
        <v>-</v>
      </c>
      <c r="AC124" s="91" t="str">
        <f>IFERROR(VLOOKUP(B:B,'[1]3店'!$B:$AB,27,0),"-")</f>
        <v>-</v>
      </c>
      <c r="AD124" s="92" t="str">
        <f t="shared" si="41"/>
        <v>-</v>
      </c>
      <c r="AE124" s="91" t="str">
        <f>IFERROR(SUMIF('3店辅助表'!T:T,B:B,'3店辅助表'!W:W)/SUMIF('3店辅助表'!T:T,B:B,'3店辅助表'!X:X),"-")</f>
        <v>-</v>
      </c>
      <c r="AF124" s="91" t="str">
        <f>IFERROR(SUMIF('3店辅助表'!AC:AC,B:B,'3店辅助表'!AF:AF)/SUMIF('3店辅助表'!AC:AC,B:B,'3店辅助表'!AG:AG),"-")</f>
        <v>-</v>
      </c>
      <c r="AG124" s="99">
        <f>IFERROR(AK124/((SUMIF('3店辅助表'!AT:AT,B:B,'3店辅助表'!AU:AU)+M124)/2),"-")</f>
        <v>0</v>
      </c>
      <c r="AH124" s="99">
        <f>IFERROR(AL124/((SUMIF('3店辅助表'!AW:AW,B:B,'3店辅助表'!AX:AX)+M124)/2),"-")</f>
        <v>0</v>
      </c>
      <c r="AI124" s="100" t="str">
        <f>IFERROR((SUMIF('3店辅助表'!AP:AP,B:B,'3店辅助表'!AR:AR)-SUMIF('3店辅助表'!AP:AP,B:B,'3店辅助表'!AR:AR)*0.15-(L124+IFERROR(VLOOKUP(B:B,'3店辅助表'!AZ:BA,2,0),0))*O124-IF(AN:AN="US",6.85,4.9)*(Z124+4.27*O124))/SUMIF('3店辅助表'!AP:AP,B:B,'3店辅助表'!AR:AR),"-")</f>
        <v>-</v>
      </c>
      <c r="AJ124" s="100" t="str">
        <f t="shared" si="42"/>
        <v>-</v>
      </c>
      <c r="AK124" s="101">
        <f t="shared" si="43"/>
        <v>0</v>
      </c>
      <c r="AL124" s="101">
        <f t="shared" si="44"/>
        <v>0</v>
      </c>
      <c r="AM124" s="1" t="str">
        <f>VLOOKUP(B:B,'3店辅助表'!AZ:AZ,1,FALSE)</f>
        <v>Y3039-DB</v>
      </c>
      <c r="AN124" t="str">
        <f>VLOOKUP(B:B,'3店辅助表'!AZ:BB,3,FALSE)</f>
        <v>US</v>
      </c>
    </row>
    <row r="125" customHeight="1" spans="1:40">
      <c r="A125" s="58" t="str">
        <f>INDEX('[1]3店'!$A:$A,MATCH(B:B,'[1]3店'!$B:$B,0))</f>
        <v>欣彤</v>
      </c>
      <c r="B125" s="43" t="s">
        <v>946</v>
      </c>
      <c r="C125" s="43" t="s">
        <v>942</v>
      </c>
      <c r="D125" s="59">
        <f>VLOOKUP(B:B,'[1]3店'!$B:$L,3,0)</f>
        <v>44840</v>
      </c>
      <c r="E125" s="43" t="s">
        <v>947</v>
      </c>
      <c r="F125" s="43">
        <v>3</v>
      </c>
      <c r="G125" s="43">
        <v>0</v>
      </c>
      <c r="H125" s="43">
        <v>1</v>
      </c>
      <c r="I125" s="43">
        <v>0</v>
      </c>
      <c r="J125" s="43">
        <v>0</v>
      </c>
      <c r="K125" s="63">
        <f t="shared" si="46"/>
        <v>4</v>
      </c>
      <c r="L125" s="124">
        <f>VLOOKUP($B:$B,'[1]3店'!$B:$L,11,0)</f>
        <v>13.9</v>
      </c>
      <c r="M125" s="44">
        <f t="shared" si="45"/>
        <v>55.6</v>
      </c>
      <c r="N125" s="65">
        <f>IFERROR(VLOOKUP(B:B,'3店辅助表'!B:C,2,FALSE),0)</f>
        <v>1</v>
      </c>
      <c r="O125" s="65">
        <f>IFERROR(VLOOKUP(B:B,'3店辅助表'!E:F,2,FALSE),0)</f>
        <v>3</v>
      </c>
      <c r="P125" s="65">
        <f>IFERROR(VLOOKUP(B:B,'3店辅助表'!H:I,2,FALSE),0)</f>
        <v>4</v>
      </c>
      <c r="Q125" s="65">
        <f>IFERROR(VLOOKUP(B:B,'[1]3店'!$B:$N,13,FALSE),0)</f>
        <v>1</v>
      </c>
      <c r="R125" s="79">
        <f t="shared" si="35"/>
        <v>0</v>
      </c>
      <c r="S125" s="80">
        <f t="shared" si="36"/>
        <v>25.2</v>
      </c>
      <c r="T125" s="44">
        <f t="shared" si="37"/>
        <v>0.84</v>
      </c>
      <c r="U125" s="44">
        <f>IFERROR(VLOOKUP($B:$B,'[1]3店'!$B:$T,19,0),"-")</f>
        <v>0.976744186046512</v>
      </c>
      <c r="V125" s="81">
        <f t="shared" si="38"/>
        <v>-0.136744186046512</v>
      </c>
      <c r="W125" s="82" t="str">
        <f t="shared" si="39"/>
        <v>正常</v>
      </c>
      <c r="X125" s="83" t="str">
        <f t="shared" si="40"/>
        <v>正常</v>
      </c>
      <c r="Y125" s="44">
        <f>IFERROR(SUMIF('3店辅助表'!K:K,B:B,'3店辅助表'!N:N),0)</f>
        <v>2.08</v>
      </c>
      <c r="Z125" s="44">
        <f>IFERROR(SUMIF('3店辅助表'!T:T,B:B,'3店辅助表'!W:W),0)</f>
        <v>5.72</v>
      </c>
      <c r="AA125" s="44">
        <f>IFERROR(SUMIF('3店辅助表'!AC:AC,B:B,'3店辅助表'!AF:AF),0)</f>
        <v>11.86</v>
      </c>
      <c r="AB125" s="91" t="str">
        <f>IFERROR(SUMIF('3店辅助表'!K:K,B:B,'3店辅助表'!N:N)/SUMIF('3店辅助表'!K:K,B:B,'3店辅助表'!O:O),"-")</f>
        <v>-</v>
      </c>
      <c r="AC125" s="91" t="str">
        <f>IFERROR(VLOOKUP(B:B,'[1]3店'!$B:$AB,27,0),"-")</f>
        <v>-</v>
      </c>
      <c r="AD125" s="92" t="str">
        <f t="shared" si="41"/>
        <v>-</v>
      </c>
      <c r="AE125" s="91" t="str">
        <f>IFERROR(SUMIF('3店辅助表'!T:T,B:B,'3店辅助表'!W:W)/SUMIF('3店辅助表'!T:T,B:B,'3店辅助表'!X:X),"-")</f>
        <v>-</v>
      </c>
      <c r="AF125" s="91">
        <f>IFERROR(SUMIF('3店辅助表'!AC:AC,B:B,'3店辅助表'!AF:AF)/SUMIF('3店辅助表'!AC:AC,B:B,'3店辅助表'!AG:AG),"-")</f>
        <v>0.494578815679733</v>
      </c>
      <c r="AG125" s="99">
        <f>IFERROR(AK125/((SUMIF('3店辅助表'!AT:AT,B:B,'3店辅助表'!AU:AU)+M125)/2),"-")</f>
        <v>0.25</v>
      </c>
      <c r="AH125" s="99">
        <f>IFERROR(AL125/((SUMIF('3店辅助表'!AW:AW,B:B,'3店辅助表'!AX:AX)+M125)/2),"-")</f>
        <v>0.5</v>
      </c>
      <c r="AI125" s="100">
        <f>IFERROR((SUMIF('3店辅助表'!AP:AP,B:B,'3店辅助表'!AR:AR)-SUMIF('3店辅助表'!AP:AP,B:B,'3店辅助表'!AR:AR)*0.15-(L125+IFERROR(VLOOKUP(B:B,'3店辅助表'!AZ:BA,2,0),0))*O125-IF(AN:AN="US",6.85,4.9)*(Z125+4.27*O125))/SUMIF('3店辅助表'!AP:AP,B:B,'3店辅助表'!AR:AR),"-")</f>
        <v>-0.215334019040049</v>
      </c>
      <c r="AJ125" s="100">
        <f t="shared" si="42"/>
        <v>-0.107667009520025</v>
      </c>
      <c r="AK125" s="101">
        <f t="shared" si="43"/>
        <v>13.9</v>
      </c>
      <c r="AL125" s="101">
        <f t="shared" si="44"/>
        <v>41.7</v>
      </c>
      <c r="AM125" s="1" t="str">
        <f>VLOOKUP(B:B,'3店辅助表'!AZ:AZ,1,FALSE)</f>
        <v>Y3039-GK</v>
      </c>
      <c r="AN125" t="str">
        <f>VLOOKUP(B:B,'3店辅助表'!AZ:BB,3,FALSE)</f>
        <v>US</v>
      </c>
    </row>
    <row r="126" customHeight="1" spans="1:40">
      <c r="A126" s="58" t="s">
        <v>948</v>
      </c>
      <c r="B126" s="43" t="s">
        <v>949</v>
      </c>
      <c r="C126" s="43" t="s">
        <v>942</v>
      </c>
      <c r="D126" s="59">
        <v>44840</v>
      </c>
      <c r="E126" s="43" t="s">
        <v>950</v>
      </c>
      <c r="F126" s="43">
        <v>1</v>
      </c>
      <c r="G126" s="43">
        <v>0</v>
      </c>
      <c r="H126" s="43">
        <v>0</v>
      </c>
      <c r="I126" s="43">
        <v>0</v>
      </c>
      <c r="J126" s="43">
        <v>0</v>
      </c>
      <c r="K126" s="63">
        <f t="shared" si="46"/>
        <v>1</v>
      </c>
      <c r="L126" s="124">
        <v>13.9</v>
      </c>
      <c r="M126" s="44">
        <f t="shared" si="45"/>
        <v>13.9</v>
      </c>
      <c r="N126" s="65">
        <f>IFERROR(VLOOKUP(B:B,'3店辅助表'!B:C,2,FALSE),0)</f>
        <v>0</v>
      </c>
      <c r="O126" s="65">
        <f>IFERROR(VLOOKUP(B:B,'3店辅助表'!E:F,2,FALSE),0)</f>
        <v>0</v>
      </c>
      <c r="P126" s="65">
        <f>IFERROR(VLOOKUP(B:B,'3店辅助表'!H:I,2,FALSE),0)</f>
        <v>0</v>
      </c>
      <c r="Q126" s="65">
        <f>IFERROR(VLOOKUP(B:B,'[1]3店'!$B:$N,13,FALSE),0)</f>
        <v>0</v>
      </c>
      <c r="R126" s="79">
        <f t="shared" si="35"/>
        <v>0</v>
      </c>
      <c r="S126" s="80" t="str">
        <f t="shared" si="36"/>
        <v>-</v>
      </c>
      <c r="T126" s="44" t="str">
        <f t="shared" si="37"/>
        <v>-</v>
      </c>
      <c r="U126" s="44" t="str">
        <f>IFERROR(VLOOKUP($B:$B,'[1]3店'!$B:$T,19,0),"-")</f>
        <v>-</v>
      </c>
      <c r="V126" s="81" t="str">
        <f t="shared" si="38"/>
        <v>-</v>
      </c>
      <c r="W126" s="82" t="str">
        <f t="shared" si="39"/>
        <v>有库存无销量</v>
      </c>
      <c r="X126" s="83" t="str">
        <f t="shared" si="40"/>
        <v>有库存无销量</v>
      </c>
      <c r="Y126" s="44">
        <f>IFERROR(SUMIF('3店辅助表'!K:K,B:B,'3店辅助表'!N:N),0)</f>
        <v>0</v>
      </c>
      <c r="Z126" s="44">
        <f>IFERROR(SUMIF('3店辅助表'!T:T,B:B,'3店辅助表'!W:W),0)</f>
        <v>0</v>
      </c>
      <c r="AA126" s="44">
        <f>IFERROR(SUMIF('3店辅助表'!AC:AC,B:B,'3店辅助表'!AF:AF),0)</f>
        <v>0</v>
      </c>
      <c r="AB126" s="91" t="str">
        <f>IFERROR(SUMIF('3店辅助表'!K:K,B:B,'3店辅助表'!N:N)/SUMIF('3店辅助表'!K:K,B:B,'3店辅助表'!O:O),"-")</f>
        <v>-</v>
      </c>
      <c r="AC126" s="91" t="str">
        <f>IFERROR(VLOOKUP(B:B,'[1]3店'!$B:$AB,27,0),"-")</f>
        <v>-</v>
      </c>
      <c r="AD126" s="92" t="str">
        <f t="shared" si="41"/>
        <v>-</v>
      </c>
      <c r="AE126" s="91" t="str">
        <f>IFERROR(SUMIF('3店辅助表'!T:T,B:B,'3店辅助表'!W:W)/SUMIF('3店辅助表'!T:T,B:B,'3店辅助表'!X:X),"-")</f>
        <v>-</v>
      </c>
      <c r="AF126" s="91" t="str">
        <f>IFERROR(SUMIF('3店辅助表'!AC:AC,B:B,'3店辅助表'!AF:AF)/SUMIF('3店辅助表'!AC:AC,B:B,'3店辅助表'!AG:AG),"-")</f>
        <v>-</v>
      </c>
      <c r="AG126" s="99">
        <f>IFERROR(AK126/((SUMIF('3店辅助表'!AT:AT,B:B,'3店辅助表'!AU:AU)+M126)/2),"-")</f>
        <v>0</v>
      </c>
      <c r="AH126" s="99">
        <f>IFERROR(AL126/((SUMIF('3店辅助表'!AW:AW,B:B,'3店辅助表'!AX:AX)+M126)/2),"-")</f>
        <v>0</v>
      </c>
      <c r="AI126" s="100" t="str">
        <f>IFERROR((SUMIF('3店辅助表'!AP:AP,B:B,'3店辅助表'!AR:AR)-SUMIF('3店辅助表'!AP:AP,B:B,'3店辅助表'!AR:AR)*0.15-(L126+IFERROR(VLOOKUP(B:B,'3店辅助表'!AZ:BA,2,0),0))*O126-IF(AN:AN="US",6.85,4.9)*(Z126+4.27*O126))/SUMIF('3店辅助表'!AP:AP,B:B,'3店辅助表'!AR:AR),"-")</f>
        <v>-</v>
      </c>
      <c r="AJ126" s="100" t="str">
        <f t="shared" si="42"/>
        <v>-</v>
      </c>
      <c r="AK126" s="101">
        <f t="shared" si="43"/>
        <v>0</v>
      </c>
      <c r="AL126" s="101">
        <f t="shared" si="44"/>
        <v>0</v>
      </c>
      <c r="AM126" s="1" t="str">
        <f>VLOOKUP(B:B,'3店辅助表'!AZ:AZ,1,FALSE)</f>
        <v>Y3039-OR</v>
      </c>
      <c r="AN126" t="str">
        <f>VLOOKUP(B:B,'3店辅助表'!AZ:BB,3,FALSE)</f>
        <v>US</v>
      </c>
    </row>
    <row r="127" customHeight="1" spans="1:40">
      <c r="A127" s="58" t="str">
        <f>INDEX('[1]3店'!$A:$A,MATCH(B:B,'[1]3店'!$B:$B,0))</f>
        <v>欣彤</v>
      </c>
      <c r="B127" s="43" t="s">
        <v>951</v>
      </c>
      <c r="C127" s="43" t="s">
        <v>952</v>
      </c>
      <c r="D127" s="59">
        <f>VLOOKUP(B:B,'[1]3店'!$B:$L,3,0)</f>
        <v>44840</v>
      </c>
      <c r="E127" s="43" t="s">
        <v>953</v>
      </c>
      <c r="F127" s="43">
        <v>17</v>
      </c>
      <c r="G127" s="43">
        <v>3</v>
      </c>
      <c r="H127" s="43">
        <v>91</v>
      </c>
      <c r="I127" s="43">
        <v>1</v>
      </c>
      <c r="J127" s="43">
        <v>80</v>
      </c>
      <c r="K127" s="63">
        <f t="shared" si="46"/>
        <v>192</v>
      </c>
      <c r="L127" s="124">
        <f>VLOOKUP($B:$B,'[1]3店'!$B:$L,11,0)</f>
        <v>13.9</v>
      </c>
      <c r="M127" s="44">
        <f t="shared" si="45"/>
        <v>2668.8</v>
      </c>
      <c r="N127" s="65">
        <f>IFERROR(VLOOKUP(B:B,'3店辅助表'!B:C,2,FALSE),0)</f>
        <v>9</v>
      </c>
      <c r="O127" s="65">
        <f>IFERROR(VLOOKUP(B:B,'3店辅助表'!E:F,2,FALSE),0)</f>
        <v>14</v>
      </c>
      <c r="P127" s="65">
        <f>IFERROR(VLOOKUP(B:B,'3店辅助表'!H:I,2,FALSE),0)</f>
        <v>26</v>
      </c>
      <c r="Q127" s="65">
        <f>IFERROR(VLOOKUP(B:B,'[1]3店'!$B:$N,13,FALSE),0)</f>
        <v>5</v>
      </c>
      <c r="R127" s="79">
        <f t="shared" si="35"/>
        <v>4</v>
      </c>
      <c r="S127" s="80">
        <f t="shared" si="36"/>
        <v>186.666666666667</v>
      </c>
      <c r="T127" s="44">
        <f t="shared" si="37"/>
        <v>6.22222222222222</v>
      </c>
      <c r="U127" s="44">
        <f>IFERROR(VLOOKUP($B:$B,'[1]3店'!$B:$T,19,0),"-")</f>
        <v>6.57620041753654</v>
      </c>
      <c r="V127" s="81">
        <f t="shared" si="38"/>
        <v>-0.35397819531432</v>
      </c>
      <c r="W127" s="82" t="str">
        <f t="shared" si="39"/>
        <v>库存过高</v>
      </c>
      <c r="X127" s="83" t="str">
        <f t="shared" si="40"/>
        <v>库存过高</v>
      </c>
      <c r="Y127" s="44">
        <f>IFERROR(SUMIF('3店辅助表'!K:K,B:B,'3店辅助表'!N:N),0)</f>
        <v>37.66</v>
      </c>
      <c r="Z127" s="44">
        <f>IFERROR(SUMIF('3店辅助表'!T:T,B:B,'3店辅助表'!W:W),0)</f>
        <v>66.25</v>
      </c>
      <c r="AA127" s="44">
        <f>IFERROR(SUMIF('3店辅助表'!AC:AC,B:B,'3店辅助表'!AF:AF),0)</f>
        <v>109.79</v>
      </c>
      <c r="AB127" s="91">
        <f>IFERROR(SUMIF('3店辅助表'!K:K,B:B,'3店辅助表'!N:N)/SUMIF('3店辅助表'!K:K,B:B,'3店辅助表'!O:O),"-")</f>
        <v>0.241596099563767</v>
      </c>
      <c r="AC127" s="91">
        <f>IFERROR(VLOOKUP(B:B,'[1]3店'!$B:$AB,27,0),"-")</f>
        <v>0.345274390243902</v>
      </c>
      <c r="AD127" s="92">
        <f t="shared" si="41"/>
        <v>-0.103678290680135</v>
      </c>
      <c r="AE127" s="91">
        <f>IFERROR(SUMIF('3店辅助表'!T:T,B:B,'3店辅助表'!W:W)/SUMIF('3店辅助表'!T:T,B:B,'3店辅助表'!X:X),"-")</f>
        <v>0.254240540333103</v>
      </c>
      <c r="AF127" s="91">
        <f>IFERROR(SUMIF('3店辅助表'!AC:AC,B:B,'3店辅助表'!AF:AF)/SUMIF('3店辅助表'!AC:AC,B:B,'3店辅助表'!AG:AG),"-")</f>
        <v>0.281166769104692</v>
      </c>
      <c r="AG127" s="99">
        <f>IFERROR(AK127/((SUMIF('3店辅助表'!AT:AT,B:B,'3店辅助表'!AU:AU)+M127)/2),"-")</f>
        <v>0.0526315789473684</v>
      </c>
      <c r="AH127" s="99">
        <f>IFERROR(AL127/((SUMIF('3店辅助表'!AW:AW,B:B,'3店辅助表'!AX:AX)+M127)/2),"-")</f>
        <v>0.101818181818182</v>
      </c>
      <c r="AI127" s="100">
        <f>IFERROR((SUMIF('3店辅助表'!AP:AP,B:B,'3店辅助表'!AR:AR)-SUMIF('3店辅助表'!AP:AP,B:B,'3店辅助表'!AR:AR)*0.15-(L127+IFERROR(VLOOKUP(B:B,'3店辅助表'!AZ:BA,2,0),0))*O127-IF(AN:AN="US",6.85,4.9)*(Z127+4.27*O127))/SUMIF('3店辅助表'!AP:AP,B:B,'3店辅助表'!AR:AR),"-")</f>
        <v>-0.0818758342794734</v>
      </c>
      <c r="AJ127" s="100">
        <f t="shared" si="42"/>
        <v>-0.00833644858118274</v>
      </c>
      <c r="AK127" s="101">
        <f t="shared" si="43"/>
        <v>125.1</v>
      </c>
      <c r="AL127" s="101">
        <f t="shared" si="44"/>
        <v>194.6</v>
      </c>
      <c r="AM127" s="1" t="str">
        <f>VLOOKUP(B:B,'3店辅助表'!AZ:AZ,1,FALSE)</f>
        <v>Y3049-BL+Y3050+Y3051</v>
      </c>
      <c r="AN127" t="str">
        <f>VLOOKUP(B:B,'3店辅助表'!AZ:BB,3,FALSE)</f>
        <v>US</v>
      </c>
    </row>
    <row r="128" customHeight="1" spans="1:40">
      <c r="A128" s="58" t="str">
        <f>INDEX('[1]3店'!$A:$A,MATCH(B:B,'[1]3店'!$B:$B,0))</f>
        <v>欣彤</v>
      </c>
      <c r="B128" s="43" t="s">
        <v>954</v>
      </c>
      <c r="C128" s="43" t="s">
        <v>955</v>
      </c>
      <c r="D128" s="59">
        <f>VLOOKUP(B:B,'[1]3店'!$B:$L,3,0)</f>
        <v>44840</v>
      </c>
      <c r="E128" s="43" t="s">
        <v>956</v>
      </c>
      <c r="F128" s="43">
        <v>20</v>
      </c>
      <c r="G128" s="43">
        <v>1</v>
      </c>
      <c r="H128" s="43">
        <v>2</v>
      </c>
      <c r="I128" s="43">
        <v>0</v>
      </c>
      <c r="J128" s="43">
        <v>8</v>
      </c>
      <c r="K128" s="63">
        <f t="shared" si="46"/>
        <v>31</v>
      </c>
      <c r="L128" s="124">
        <f>VLOOKUP($B:$B,'[1]3店'!$B:$L,11,0)</f>
        <v>13.9</v>
      </c>
      <c r="M128" s="44">
        <f t="shared" si="45"/>
        <v>430.9</v>
      </c>
      <c r="N128" s="65">
        <f>IFERROR(VLOOKUP(B:B,'3店辅助表'!B:C,2,FALSE),0)</f>
        <v>2</v>
      </c>
      <c r="O128" s="65">
        <f>IFERROR(VLOOKUP(B:B,'3店辅助表'!E:F,2,FALSE),0)</f>
        <v>4</v>
      </c>
      <c r="P128" s="65">
        <f>IFERROR(VLOOKUP(B:B,'3店辅助表'!H:I,2,FALSE),0)</f>
        <v>5</v>
      </c>
      <c r="Q128" s="65">
        <f>IFERROR(VLOOKUP(B:B,'[1]3店'!$B:$N,13,FALSE),0)</f>
        <v>2</v>
      </c>
      <c r="R128" s="79">
        <f t="shared" si="35"/>
        <v>0</v>
      </c>
      <c r="S128" s="80">
        <f t="shared" si="36"/>
        <v>129.337748344371</v>
      </c>
      <c r="T128" s="44">
        <f t="shared" si="37"/>
        <v>4.3112582781457</v>
      </c>
      <c r="U128" s="44">
        <f>IFERROR(VLOOKUP($B:$B,'[1]3店'!$B:$T,19,0),"-")</f>
        <v>3.92682926829268</v>
      </c>
      <c r="V128" s="81">
        <f t="shared" si="38"/>
        <v>0.38442900985302</v>
      </c>
      <c r="W128" s="82" t="str">
        <f t="shared" si="39"/>
        <v>库存过高</v>
      </c>
      <c r="X128" s="83" t="str">
        <f t="shared" si="40"/>
        <v>库存过高</v>
      </c>
      <c r="Y128" s="44">
        <f>IFERROR(SUMIF('3店辅助表'!K:K,B:B,'3店辅助表'!N:N),0)</f>
        <v>0</v>
      </c>
      <c r="Z128" s="44">
        <f>IFERROR(SUMIF('3店辅助表'!T:T,B:B,'3店辅助表'!W:W),0)</f>
        <v>0</v>
      </c>
      <c r="AA128" s="44">
        <f>IFERROR(SUMIF('3店辅助表'!AC:AC,B:B,'3店辅助表'!AF:AF),0)</f>
        <v>0</v>
      </c>
      <c r="AB128" s="91" t="str">
        <f>IFERROR(SUMIF('3店辅助表'!K:K,B:B,'3店辅助表'!N:N)/SUMIF('3店辅助表'!K:K,B:B,'3店辅助表'!O:O),"-")</f>
        <v>-</v>
      </c>
      <c r="AC128" s="91" t="str">
        <f>IFERROR(VLOOKUP(B:B,'[1]3店'!$B:$AB,27,0),"-")</f>
        <v>-</v>
      </c>
      <c r="AD128" s="92" t="str">
        <f t="shared" si="41"/>
        <v>-</v>
      </c>
      <c r="AE128" s="91" t="str">
        <f>IFERROR(SUMIF('3店辅助表'!T:T,B:B,'3店辅助表'!W:W)/SUMIF('3店辅助表'!T:T,B:B,'3店辅助表'!X:X),"-")</f>
        <v>-</v>
      </c>
      <c r="AF128" s="91" t="str">
        <f>IFERROR(SUMIF('3店辅助表'!AC:AC,B:B,'3店辅助表'!AF:AF)/SUMIF('3店辅助表'!AC:AC,B:B,'3店辅助表'!AG:AG),"-")</f>
        <v>-</v>
      </c>
      <c r="AG128" s="99">
        <f>IFERROR(AK128/((SUMIF('3店辅助表'!AT:AT,B:B,'3店辅助表'!AU:AU)+M128)/2),"-")</f>
        <v>0.0740740740740741</v>
      </c>
      <c r="AH128" s="99">
        <f>IFERROR(AL128/((SUMIF('3店辅助表'!AW:AW,B:B,'3店辅助表'!AX:AX)+M128)/2),"-")</f>
        <v>0.140350877192982</v>
      </c>
      <c r="AI128" s="100">
        <f>IFERROR((SUMIF('3店辅助表'!AP:AP,B:B,'3店辅助表'!AR:AR)-SUMIF('3店辅助表'!AP:AP,B:B,'3店辅助表'!AR:AR)*0.15-(L128+IFERROR(VLOOKUP(B:B,'3店辅助表'!AZ:BA,2,0),0))*O128-IF(AN:AN="US",6.85,4.9)*(Z128+4.27*O128))/SUMIF('3店辅助表'!AP:AP,B:B,'3店辅助表'!AR:AR),"-")</f>
        <v>0.25353579320967</v>
      </c>
      <c r="AJ128" s="100">
        <f t="shared" si="42"/>
        <v>0.0355839709767958</v>
      </c>
      <c r="AK128" s="101">
        <f t="shared" si="43"/>
        <v>27.8</v>
      </c>
      <c r="AL128" s="101">
        <f t="shared" si="44"/>
        <v>55.6</v>
      </c>
      <c r="AM128" s="1" t="str">
        <f>VLOOKUP(B:B,'3店辅助表'!AZ:AZ,1,FALSE)</f>
        <v>Y3049-BY+Y3050+Y3051</v>
      </c>
      <c r="AN128" t="str">
        <f>VLOOKUP(B:B,'3店辅助表'!AZ:BB,3,FALSE)</f>
        <v>US</v>
      </c>
    </row>
    <row r="129" customHeight="1" spans="1:40">
      <c r="A129" s="58" t="str">
        <f>INDEX('[1]3店'!$A:$A,MATCH(B:B,'[1]3店'!$B:$B,0))</f>
        <v>欣彤</v>
      </c>
      <c r="B129" s="43" t="s">
        <v>957</v>
      </c>
      <c r="C129" s="43" t="s">
        <v>958</v>
      </c>
      <c r="D129" s="59">
        <f>VLOOKUP(B:B,'[1]3店'!$B:$L,3,0)</f>
        <v>44840</v>
      </c>
      <c r="E129" s="43" t="s">
        <v>959</v>
      </c>
      <c r="F129" s="43">
        <v>28</v>
      </c>
      <c r="G129" s="43">
        <v>0</v>
      </c>
      <c r="H129" s="43">
        <v>1</v>
      </c>
      <c r="I129" s="43">
        <v>0</v>
      </c>
      <c r="J129" s="43">
        <v>17</v>
      </c>
      <c r="K129" s="63">
        <f t="shared" si="46"/>
        <v>46</v>
      </c>
      <c r="L129" s="124">
        <f>VLOOKUP($B:$B,'[1]3店'!$B:$L,11,0)</f>
        <v>13.9</v>
      </c>
      <c r="M129" s="44">
        <f t="shared" si="45"/>
        <v>639.4</v>
      </c>
      <c r="N129" s="65">
        <f>IFERROR(VLOOKUP(B:B,'3店辅助表'!B:C,2,FALSE),0)</f>
        <v>4</v>
      </c>
      <c r="O129" s="65">
        <f>IFERROR(VLOOKUP(B:B,'3店辅助表'!E:F,2,FALSE),0)</f>
        <v>6</v>
      </c>
      <c r="P129" s="65">
        <f>IFERROR(VLOOKUP(B:B,'3店辅助表'!H:I,2,FALSE),0)</f>
        <v>11</v>
      </c>
      <c r="Q129" s="65">
        <f>IFERROR(VLOOKUP(B:B,'[1]3店'!$B:$N,13,FALSE),0)</f>
        <v>1</v>
      </c>
      <c r="R129" s="79">
        <f t="shared" si="35"/>
        <v>3</v>
      </c>
      <c r="S129" s="80">
        <f t="shared" si="36"/>
        <v>103.131672597865</v>
      </c>
      <c r="T129" s="44">
        <f t="shared" si="37"/>
        <v>3.43772241992883</v>
      </c>
      <c r="U129" s="44">
        <f>IFERROR(VLOOKUP($B:$B,'[1]3店'!$B:$T,19,0),"-")</f>
        <v>4.50847457627119</v>
      </c>
      <c r="V129" s="81">
        <f t="shared" si="38"/>
        <v>-1.07075215634236</v>
      </c>
      <c r="W129" s="82" t="str">
        <f t="shared" si="39"/>
        <v>库存过高</v>
      </c>
      <c r="X129" s="83" t="str">
        <f t="shared" si="40"/>
        <v>库存过高</v>
      </c>
      <c r="Y129" s="44">
        <f>IFERROR(SUMIF('3店辅助表'!K:K,B:B,'3店辅助表'!N:N),0)</f>
        <v>0</v>
      </c>
      <c r="Z129" s="44">
        <f>IFERROR(SUMIF('3店辅助表'!T:T,B:B,'3店辅助表'!W:W),0)</f>
        <v>0</v>
      </c>
      <c r="AA129" s="44">
        <f>IFERROR(SUMIF('3店辅助表'!AC:AC,B:B,'3店辅助表'!AF:AF),0)</f>
        <v>0</v>
      </c>
      <c r="AB129" s="91" t="str">
        <f>IFERROR(SUMIF('3店辅助表'!K:K,B:B,'3店辅助表'!N:N)/SUMIF('3店辅助表'!K:K,B:B,'3店辅助表'!O:O),"-")</f>
        <v>-</v>
      </c>
      <c r="AC129" s="91" t="str">
        <f>IFERROR(VLOOKUP(B:B,'[1]3店'!$B:$AB,27,0),"-")</f>
        <v>-</v>
      </c>
      <c r="AD129" s="92" t="str">
        <f t="shared" si="41"/>
        <v>-</v>
      </c>
      <c r="AE129" s="91" t="str">
        <f>IFERROR(SUMIF('3店辅助表'!T:T,B:B,'3店辅助表'!W:W)/SUMIF('3店辅助表'!T:T,B:B,'3店辅助表'!X:X),"-")</f>
        <v>-</v>
      </c>
      <c r="AF129" s="91" t="str">
        <f>IFERROR(SUMIF('3店辅助表'!AC:AC,B:B,'3店辅助表'!AF:AF)/SUMIF('3店辅助表'!AC:AC,B:B,'3店辅助表'!AG:AG),"-")</f>
        <v>-</v>
      </c>
      <c r="AG129" s="99">
        <f>IFERROR(AK129/((SUMIF('3店辅助表'!AT:AT,B:B,'3店辅助表'!AU:AU)+M129)/2),"-")</f>
        <v>0.0952380952380952</v>
      </c>
      <c r="AH129" s="99">
        <f>IFERROR(AL129/((SUMIF('3店辅助表'!AW:AW,B:B,'3店辅助表'!AX:AX)+M129)/2),"-")</f>
        <v>0.133333333333333</v>
      </c>
      <c r="AI129" s="100">
        <f>IFERROR((SUMIF('3店辅助表'!AP:AP,B:B,'3店辅助表'!AR:AR)-SUMIF('3店辅助表'!AP:AP,B:B,'3店辅助表'!AR:AR)*0.15-(L129+IFERROR(VLOOKUP(B:B,'3店辅助表'!AZ:BA,2,0),0))*O129-IF(AN:AN="US",6.85,4.9)*(Z129+4.27*O129))/SUMIF('3店辅助表'!AP:AP,B:B,'3店辅助表'!AR:AR),"-")</f>
        <v>0.300048605609031</v>
      </c>
      <c r="AJ129" s="100">
        <f t="shared" si="42"/>
        <v>0.0400064807478708</v>
      </c>
      <c r="AK129" s="101">
        <f t="shared" si="43"/>
        <v>55.6</v>
      </c>
      <c r="AL129" s="101">
        <f t="shared" si="44"/>
        <v>83.4</v>
      </c>
      <c r="AM129" s="1" t="str">
        <f>VLOOKUP(B:B,'3店辅助表'!AZ:AZ,1,FALSE)</f>
        <v>Y3049-DB+Y3050+Y3051</v>
      </c>
      <c r="AN129" t="str">
        <f>VLOOKUP(B:B,'3店辅助表'!AZ:BB,3,FALSE)</f>
        <v>US</v>
      </c>
    </row>
    <row r="130" customHeight="1" spans="1:40">
      <c r="A130" s="58" t="str">
        <f>INDEX('[1]3店'!$A:$A,MATCH(B:B,'[1]3店'!$B:$B,0))</f>
        <v>欣彤</v>
      </c>
      <c r="B130" s="43" t="s">
        <v>960</v>
      </c>
      <c r="C130" s="43" t="s">
        <v>961</v>
      </c>
      <c r="D130" s="59">
        <f>VLOOKUP(B:B,'[1]3店'!$B:$L,3,0)</f>
        <v>44840</v>
      </c>
      <c r="E130" s="43" t="s">
        <v>962</v>
      </c>
      <c r="F130" s="43">
        <v>5</v>
      </c>
      <c r="G130" s="43">
        <v>0</v>
      </c>
      <c r="H130" s="43">
        <v>0</v>
      </c>
      <c r="I130" s="43">
        <v>1</v>
      </c>
      <c r="J130" s="43">
        <v>0</v>
      </c>
      <c r="K130" s="63">
        <f t="shared" si="46"/>
        <v>6</v>
      </c>
      <c r="L130" s="124">
        <f>VLOOKUP($B:$B,'[1]3店'!$B:$L,11,0)</f>
        <v>13.9</v>
      </c>
      <c r="M130" s="44">
        <f t="shared" si="45"/>
        <v>83.4</v>
      </c>
      <c r="N130" s="65">
        <f>IFERROR(VLOOKUP(B:B,'3店辅助表'!B:C,2,FALSE),0)</f>
        <v>3</v>
      </c>
      <c r="O130" s="65">
        <f>IFERROR(VLOOKUP(B:B,'3店辅助表'!E:F,2,FALSE),0)</f>
        <v>5</v>
      </c>
      <c r="P130" s="65">
        <f>IFERROR(VLOOKUP(B:B,'3店辅助表'!H:I,2,FALSE),0)</f>
        <v>6</v>
      </c>
      <c r="Q130" s="65">
        <f>IFERROR(VLOOKUP(B:B,'[1]3店'!$B:$N,13,FALSE),0)</f>
        <v>1</v>
      </c>
      <c r="R130" s="79">
        <f t="shared" si="35"/>
        <v>2</v>
      </c>
      <c r="S130" s="80">
        <f t="shared" si="36"/>
        <v>18.7128712871287</v>
      </c>
      <c r="T130" s="44">
        <f t="shared" si="37"/>
        <v>0.623762376237624</v>
      </c>
      <c r="U130" s="44">
        <f>IFERROR(VLOOKUP($B:$B,'[1]3店'!$B:$T,19,0),"-")</f>
        <v>2.39240506329114</v>
      </c>
      <c r="V130" s="81">
        <f t="shared" si="38"/>
        <v>-1.76864268705352</v>
      </c>
      <c r="W130" s="82" t="str">
        <f t="shared" si="39"/>
        <v>库存过低</v>
      </c>
      <c r="X130" s="83" t="str">
        <f t="shared" si="40"/>
        <v>正常</v>
      </c>
      <c r="Y130" s="44">
        <f>IFERROR(SUMIF('3店辅助表'!K:K,B:B,'3店辅助表'!N:N),0)</f>
        <v>0</v>
      </c>
      <c r="Z130" s="44">
        <f>IFERROR(SUMIF('3店辅助表'!T:T,B:B,'3店辅助表'!W:W),0)</f>
        <v>0</v>
      </c>
      <c r="AA130" s="44">
        <f>IFERROR(SUMIF('3店辅助表'!AC:AC,B:B,'3店辅助表'!AF:AF),0)</f>
        <v>0</v>
      </c>
      <c r="AB130" s="91" t="str">
        <f>IFERROR(SUMIF('3店辅助表'!K:K,B:B,'3店辅助表'!N:N)/SUMIF('3店辅助表'!K:K,B:B,'3店辅助表'!O:O),"-")</f>
        <v>-</v>
      </c>
      <c r="AC130" s="91" t="str">
        <f>IFERROR(VLOOKUP(B:B,'[1]3店'!$B:$AB,27,0),"-")</f>
        <v>-</v>
      </c>
      <c r="AD130" s="92" t="str">
        <f t="shared" si="41"/>
        <v>-</v>
      </c>
      <c r="AE130" s="91" t="str">
        <f>IFERROR(SUMIF('3店辅助表'!T:T,B:B,'3店辅助表'!W:W)/SUMIF('3店辅助表'!T:T,B:B,'3店辅助表'!X:X),"-")</f>
        <v>-</v>
      </c>
      <c r="AF130" s="91" t="str">
        <f>IFERROR(SUMIF('3店辅助表'!AC:AC,B:B,'3店辅助表'!AF:AF)/SUMIF('3店辅助表'!AC:AC,B:B,'3店辅助表'!AG:AG),"-")</f>
        <v>-</v>
      </c>
      <c r="AG130" s="99">
        <f>IFERROR(AK130/((SUMIF('3店辅助表'!AT:AT,B:B,'3店辅助表'!AU:AU)+M130)/2),"-")</f>
        <v>0.4</v>
      </c>
      <c r="AH130" s="99">
        <f>IFERROR(AL130/((SUMIF('3店辅助表'!AW:AW,B:B,'3店辅助表'!AX:AX)+M130)/2),"-")</f>
        <v>0.588235294117647</v>
      </c>
      <c r="AI130" s="100">
        <f>IFERROR((SUMIF('3店辅助表'!AP:AP,B:B,'3店辅助表'!AR:AR)-SUMIF('3店辅助表'!AP:AP,B:B,'3店辅助表'!AR:AR)*0.15-(L130+IFERROR(VLOOKUP(B:B,'3店辅助表'!AZ:BA,2,0),0))*O130-IF(AN:AN="US",6.85,4.9)*(Z130+4.27*O130))/SUMIF('3店辅助表'!AP:AP,B:B,'3店辅助表'!AR:AR),"-")</f>
        <v>0.274517198796403</v>
      </c>
      <c r="AJ130" s="100">
        <f t="shared" si="42"/>
        <v>0.161480705174355</v>
      </c>
      <c r="AK130" s="101">
        <f t="shared" si="43"/>
        <v>41.7</v>
      </c>
      <c r="AL130" s="101">
        <f t="shared" si="44"/>
        <v>69.5</v>
      </c>
      <c r="AM130" s="1" t="str">
        <f>VLOOKUP(B:B,'3店辅助表'!AZ:AZ,1,FALSE)</f>
        <v>Y3049-GK+Y3050+Y3051</v>
      </c>
      <c r="AN130" t="str">
        <f>VLOOKUP(B:B,'3店辅助表'!AZ:BB,3,FALSE)</f>
        <v>US</v>
      </c>
    </row>
    <row r="131" customHeight="1" spans="1:40">
      <c r="A131" s="58" t="str">
        <f>INDEX('[1]3店'!$A:$A,MATCH(B:B,'[1]3店'!$B:$B,0))</f>
        <v>欣彤</v>
      </c>
      <c r="B131" s="43" t="s">
        <v>963</v>
      </c>
      <c r="C131" s="43" t="s">
        <v>964</v>
      </c>
      <c r="D131" s="59">
        <f>VLOOKUP(B:B,'[1]3店'!$B:$L,3,0)</f>
        <v>44840</v>
      </c>
      <c r="E131" s="43" t="s">
        <v>965</v>
      </c>
      <c r="F131" s="43">
        <v>19</v>
      </c>
      <c r="G131" s="43">
        <v>0</v>
      </c>
      <c r="H131" s="43">
        <v>0</v>
      </c>
      <c r="I131" s="43">
        <v>1</v>
      </c>
      <c r="J131" s="43">
        <v>0</v>
      </c>
      <c r="K131" s="63">
        <f t="shared" si="46"/>
        <v>20</v>
      </c>
      <c r="L131" s="124">
        <f>VLOOKUP($B:$B,'[1]3店'!$B:$L,11,0)</f>
        <v>13.9</v>
      </c>
      <c r="M131" s="44">
        <f t="shared" si="45"/>
        <v>278</v>
      </c>
      <c r="N131" s="65">
        <f>IFERROR(VLOOKUP(B:B,'3店辅助表'!B:C,2,FALSE),0)</f>
        <v>5</v>
      </c>
      <c r="O131" s="65">
        <f>IFERROR(VLOOKUP(B:B,'3店辅助表'!E:F,2,FALSE),0)</f>
        <v>7</v>
      </c>
      <c r="P131" s="65">
        <f>IFERROR(VLOOKUP(B:B,'3店辅助表'!H:I,2,FALSE),0)</f>
        <v>13</v>
      </c>
      <c r="Q131" s="65">
        <f>IFERROR(VLOOKUP(B:B,'[1]3店'!$B:$N,13,FALSE),0)</f>
        <v>2</v>
      </c>
      <c r="R131" s="79">
        <f t="shared" si="35"/>
        <v>3</v>
      </c>
      <c r="S131" s="80">
        <f t="shared" si="36"/>
        <v>37.1681415929204</v>
      </c>
      <c r="T131" s="44">
        <f t="shared" si="37"/>
        <v>1.23893805309735</v>
      </c>
      <c r="U131" s="44">
        <f>IFERROR(VLOOKUP($B:$B,'[1]3店'!$B:$T,19,0),"-")</f>
        <v>2.415</v>
      </c>
      <c r="V131" s="81">
        <f t="shared" si="38"/>
        <v>-1.17606194690265</v>
      </c>
      <c r="W131" s="82" t="str">
        <f t="shared" si="39"/>
        <v>正常</v>
      </c>
      <c r="X131" s="83" t="str">
        <f t="shared" si="40"/>
        <v>正常</v>
      </c>
      <c r="Y131" s="44">
        <f>IFERROR(SUMIF('3店辅助表'!K:K,B:B,'3店辅助表'!N:N),0)</f>
        <v>0</v>
      </c>
      <c r="Z131" s="44">
        <f>IFERROR(SUMIF('3店辅助表'!T:T,B:B,'3店辅助表'!W:W),0)</f>
        <v>0</v>
      </c>
      <c r="AA131" s="44">
        <f>IFERROR(SUMIF('3店辅助表'!AC:AC,B:B,'3店辅助表'!AF:AF),0)</f>
        <v>0</v>
      </c>
      <c r="AB131" s="91" t="str">
        <f>IFERROR(SUMIF('3店辅助表'!K:K,B:B,'3店辅助表'!N:N)/SUMIF('3店辅助表'!K:K,B:B,'3店辅助表'!O:O),"-")</f>
        <v>-</v>
      </c>
      <c r="AC131" s="91" t="str">
        <f>IFERROR(VLOOKUP(B:B,'[1]3店'!$B:$AB,27,0),"-")</f>
        <v>-</v>
      </c>
      <c r="AD131" s="92" t="str">
        <f t="shared" si="41"/>
        <v>-</v>
      </c>
      <c r="AE131" s="91" t="str">
        <f>IFERROR(SUMIF('3店辅助表'!T:T,B:B,'3店辅助表'!W:W)/SUMIF('3店辅助表'!T:T,B:B,'3店辅助表'!X:X),"-")</f>
        <v>-</v>
      </c>
      <c r="AF131" s="91" t="str">
        <f>IFERROR(SUMIF('3店辅助表'!AC:AC,B:B,'3店辅助表'!AF:AF)/SUMIF('3店辅助表'!AC:AC,B:B,'3店辅助表'!AG:AG),"-")</f>
        <v>-</v>
      </c>
      <c r="AG131" s="99">
        <f>IFERROR(AK131/((SUMIF('3店辅助表'!AT:AT,B:B,'3店辅助表'!AU:AU)+M131)/2),"-")</f>
        <v>0.232558139534884</v>
      </c>
      <c r="AH131" s="99">
        <f>IFERROR(AL131/((SUMIF('3店辅助表'!AW:AW,B:B,'3店辅助表'!AX:AX)+M131)/2),"-")</f>
        <v>0.269230769230769</v>
      </c>
      <c r="AI131" s="100">
        <f>IFERROR((SUMIF('3店辅助表'!AP:AP,B:B,'3店辅助表'!AR:AR)-SUMIF('3店辅助表'!AP:AP,B:B,'3店辅助表'!AR:AR)*0.15-(L131+IFERROR(VLOOKUP(B:B,'3店辅助表'!AZ:BA,2,0),0))*O131-IF(AN:AN="US",6.85,4.9)*(Z131+4.27*O131))/SUMIF('3店辅助表'!AP:AP,B:B,'3店辅助表'!AR:AR),"-")</f>
        <v>0.335498960729307</v>
      </c>
      <c r="AJ131" s="100">
        <f t="shared" si="42"/>
        <v>0.0903266432732748</v>
      </c>
      <c r="AK131" s="101">
        <f t="shared" si="43"/>
        <v>69.5</v>
      </c>
      <c r="AL131" s="101">
        <f t="shared" si="44"/>
        <v>97.3</v>
      </c>
      <c r="AM131" s="1" t="str">
        <f>VLOOKUP(B:B,'3店辅助表'!AZ:AZ,1,FALSE)</f>
        <v>Y3049-OR+Y3050+Y3051</v>
      </c>
      <c r="AN131" t="str">
        <f>VLOOKUP(B:B,'3店辅助表'!AZ:BB,3,FALSE)</f>
        <v>US</v>
      </c>
    </row>
    <row r="132" customHeight="1" spans="1:40">
      <c r="A132" s="58" t="str">
        <f>INDEX('[1]3店'!$A:$A,MATCH(B:B,'[1]3店'!$B:$B,0))</f>
        <v>欣彤</v>
      </c>
      <c r="B132" s="43" t="s">
        <v>966</v>
      </c>
      <c r="C132" s="43" t="s">
        <v>967</v>
      </c>
      <c r="D132" s="59">
        <f>VLOOKUP(B:B,'[1]3店'!$B:$L,3,0)</f>
        <v>44840</v>
      </c>
      <c r="E132" s="43" t="s">
        <v>968</v>
      </c>
      <c r="F132" s="43">
        <v>119</v>
      </c>
      <c r="G132" s="43">
        <v>1</v>
      </c>
      <c r="H132" s="43">
        <v>76</v>
      </c>
      <c r="I132" s="43">
        <v>5</v>
      </c>
      <c r="J132" s="43">
        <v>0</v>
      </c>
      <c r="K132" s="63">
        <f t="shared" si="46"/>
        <v>201</v>
      </c>
      <c r="L132" s="124">
        <f>VLOOKUP($B:$B,'[1]3店'!$B:$L,11,0)</f>
        <v>13.9</v>
      </c>
      <c r="M132" s="44">
        <f t="shared" si="45"/>
        <v>2793.9</v>
      </c>
      <c r="N132" s="65">
        <f>IFERROR(VLOOKUP(B:B,'3店辅助表'!B:C,2,FALSE),0)</f>
        <v>4</v>
      </c>
      <c r="O132" s="65">
        <f>IFERROR(VLOOKUP(B:B,'3店辅助表'!E:F,2,FALSE),0)</f>
        <v>11</v>
      </c>
      <c r="P132" s="65">
        <f>IFERROR(VLOOKUP(B:B,'3店辅助表'!H:I,2,FALSE),0)</f>
        <v>38</v>
      </c>
      <c r="Q132" s="65">
        <f>IFERROR(VLOOKUP(B:B,'[1]3店'!$B:$N,13,FALSE),0)</f>
        <v>7</v>
      </c>
      <c r="R132" s="79">
        <f t="shared" si="35"/>
        <v>-3</v>
      </c>
      <c r="S132" s="80">
        <f t="shared" si="36"/>
        <v>234.5</v>
      </c>
      <c r="T132" s="44">
        <f t="shared" si="37"/>
        <v>7.81666666666667</v>
      </c>
      <c r="U132" s="44">
        <f>IFERROR(VLOOKUP($B:$B,'[1]3店'!$B:$T,19,0),"-")</f>
        <v>3.62727272727273</v>
      </c>
      <c r="V132" s="81">
        <f t="shared" si="38"/>
        <v>4.18939393939394</v>
      </c>
      <c r="W132" s="82" t="str">
        <f t="shared" si="39"/>
        <v>库存过高</v>
      </c>
      <c r="X132" s="83" t="str">
        <f t="shared" si="40"/>
        <v>库存过高</v>
      </c>
      <c r="Y132" s="44">
        <f>IFERROR(SUMIF('3店辅助表'!K:K,B:B,'3店辅助表'!N:N),0)</f>
        <v>13.55</v>
      </c>
      <c r="Z132" s="44">
        <f>IFERROR(SUMIF('3店辅助表'!T:T,B:B,'3店辅助表'!W:W),0)</f>
        <v>31.99</v>
      </c>
      <c r="AA132" s="44">
        <f>IFERROR(SUMIF('3店辅助表'!AC:AC,B:B,'3店辅助表'!AF:AF),0)</f>
        <v>85.3</v>
      </c>
      <c r="AB132" s="91" t="str">
        <f>IFERROR(SUMIF('3店辅助表'!K:K,B:B,'3店辅助表'!N:N)/SUMIF('3店辅助表'!K:K,B:B,'3店辅助表'!O:O),"-")</f>
        <v>-</v>
      </c>
      <c r="AC132" s="91">
        <f>IFERROR(VLOOKUP(B:B,'[1]3店'!$B:$AB,27,0),"-")</f>
        <v>0.458678867600801</v>
      </c>
      <c r="AD132" s="92" t="str">
        <f t="shared" si="41"/>
        <v>-</v>
      </c>
      <c r="AE132" s="91">
        <f>IFERROR(SUMIF('3店辅助表'!T:T,B:B,'3店辅助表'!W:W)/SUMIF('3店辅助表'!T:T,B:B,'3店辅助表'!X:X),"-")</f>
        <v>0.914784100657707</v>
      </c>
      <c r="AF132" s="91">
        <f>IFERROR(SUMIF('3店辅助表'!AC:AC,B:B,'3店辅助表'!AF:AF)/SUMIF('3店辅助表'!AC:AC,B:B,'3店辅助表'!AG:AG),"-")</f>
        <v>0.352916839056682</v>
      </c>
      <c r="AG132" s="99">
        <f>IFERROR(AK132/((SUMIF('3店辅助表'!AT:AT,B:B,'3店辅助表'!AU:AU)+M132)/2),"-")</f>
        <v>0.0239520958083832</v>
      </c>
      <c r="AH132" s="99">
        <f>IFERROR(AL132/((SUMIF('3店辅助表'!AW:AW,B:B,'3店辅助表'!AX:AX)+M132)/2),"-")</f>
        <v>0.0592991913746631</v>
      </c>
      <c r="AI132" s="100">
        <f>IFERROR((SUMIF('3店辅助表'!AP:AP,B:B,'3店辅助表'!AR:AR)-SUMIF('3店辅助表'!AP:AP,B:B,'3店辅助表'!AR:AR)*0.15-(L132+IFERROR(VLOOKUP(B:B,'3店辅助表'!AZ:BA,2,0),0))*O132-IF(AN:AN="US",6.85,4.9)*(Z132+4.27*O132))/SUMIF('3店辅助表'!AP:AP,B:B,'3店辅助表'!AR:AR),"-")</f>
        <v>0.0222241509172365</v>
      </c>
      <c r="AJ132" s="100">
        <f t="shared" si="42"/>
        <v>0.0013178741783806</v>
      </c>
      <c r="AK132" s="101">
        <f t="shared" si="43"/>
        <v>55.6</v>
      </c>
      <c r="AL132" s="101">
        <f t="shared" si="44"/>
        <v>152.9</v>
      </c>
      <c r="AM132" s="1" t="str">
        <f>VLOOKUP(B:B,'3店辅助表'!AZ:AZ,1,FALSE)</f>
        <v>Y3046-BL+Y3047+Y3048</v>
      </c>
      <c r="AN132" t="str">
        <f>VLOOKUP(B:B,'3店辅助表'!AZ:BB,3,FALSE)</f>
        <v>US</v>
      </c>
    </row>
    <row r="133" customHeight="1" spans="1:40">
      <c r="A133" s="58" t="str">
        <f>INDEX('[1]3店'!$A:$A,MATCH(B:B,'[1]3店'!$B:$B,0))</f>
        <v>欣彤</v>
      </c>
      <c r="B133" s="43" t="s">
        <v>969</v>
      </c>
      <c r="C133" s="43" t="s">
        <v>970</v>
      </c>
      <c r="D133" s="59">
        <f>VLOOKUP(B:B,'[1]3店'!$B:$L,3,0)</f>
        <v>44840</v>
      </c>
      <c r="E133" s="43" t="s">
        <v>971</v>
      </c>
      <c r="F133" s="43">
        <v>18</v>
      </c>
      <c r="G133" s="43">
        <v>0</v>
      </c>
      <c r="H133" s="43">
        <v>0</v>
      </c>
      <c r="I133" s="43">
        <v>0</v>
      </c>
      <c r="J133" s="43">
        <v>0</v>
      </c>
      <c r="K133" s="63">
        <f t="shared" si="46"/>
        <v>18</v>
      </c>
      <c r="L133" s="124">
        <f>VLOOKUP($B:$B,'[1]3店'!$B:$L,11,0)</f>
        <v>13.9</v>
      </c>
      <c r="M133" s="44">
        <f t="shared" si="45"/>
        <v>250.2</v>
      </c>
      <c r="N133" s="65">
        <f>IFERROR(VLOOKUP(B:B,'3店辅助表'!B:C,2,FALSE),0)</f>
        <v>1</v>
      </c>
      <c r="O133" s="65">
        <f>IFERROR(VLOOKUP(B:B,'3店辅助表'!E:F,2,FALSE),0)</f>
        <v>1</v>
      </c>
      <c r="P133" s="65">
        <f>IFERROR(VLOOKUP(B:B,'3店辅助表'!H:I,2,FALSE),0)</f>
        <v>3</v>
      </c>
      <c r="Q133" s="65">
        <f>IFERROR(VLOOKUP(B:B,'[1]3店'!$B:$N,13,FALSE),0)</f>
        <v>0</v>
      </c>
      <c r="R133" s="79">
        <f t="shared" si="35"/>
        <v>1</v>
      </c>
      <c r="S133" s="80">
        <f t="shared" si="36"/>
        <v>174.461538461538</v>
      </c>
      <c r="T133" s="44">
        <f t="shared" si="37"/>
        <v>5.81538461538462</v>
      </c>
      <c r="U133" s="44">
        <f>IFERROR(VLOOKUP($B:$B,'[1]3店'!$B:$T,19,0),"-")</f>
        <v>19</v>
      </c>
      <c r="V133" s="81">
        <f t="shared" si="38"/>
        <v>-13.1846153846154</v>
      </c>
      <c r="W133" s="82" t="str">
        <f t="shared" si="39"/>
        <v>库存过高</v>
      </c>
      <c r="X133" s="83" t="str">
        <f t="shared" si="40"/>
        <v>库存过高</v>
      </c>
      <c r="Y133" s="44">
        <f>IFERROR(SUMIF('3店辅助表'!K:K,B:B,'3店辅助表'!N:N),0)</f>
        <v>0</v>
      </c>
      <c r="Z133" s="44">
        <f>IFERROR(SUMIF('3店辅助表'!T:T,B:B,'3店辅助表'!W:W),0)</f>
        <v>0</v>
      </c>
      <c r="AA133" s="44">
        <f>IFERROR(SUMIF('3店辅助表'!AC:AC,B:B,'3店辅助表'!AF:AF),0)</f>
        <v>0</v>
      </c>
      <c r="AB133" s="91" t="str">
        <f>IFERROR(SUMIF('3店辅助表'!K:K,B:B,'3店辅助表'!N:N)/SUMIF('3店辅助表'!K:K,B:B,'3店辅助表'!O:O),"-")</f>
        <v>-</v>
      </c>
      <c r="AC133" s="91" t="str">
        <f>IFERROR(VLOOKUP(B:B,'[1]3店'!$B:$AB,27,0),"-")</f>
        <v>-</v>
      </c>
      <c r="AD133" s="92" t="str">
        <f t="shared" si="41"/>
        <v>-</v>
      </c>
      <c r="AE133" s="91" t="str">
        <f>IFERROR(SUMIF('3店辅助表'!T:T,B:B,'3店辅助表'!W:W)/SUMIF('3店辅助表'!T:T,B:B,'3店辅助表'!X:X),"-")</f>
        <v>-</v>
      </c>
      <c r="AF133" s="91" t="str">
        <f>IFERROR(SUMIF('3店辅助表'!AC:AC,B:B,'3店辅助表'!AF:AF)/SUMIF('3店辅助表'!AC:AC,B:B,'3店辅助表'!AG:AG),"-")</f>
        <v>-</v>
      </c>
      <c r="AG133" s="99">
        <f>IFERROR(AK133/((SUMIF('3店辅助表'!AT:AT,B:B,'3店辅助表'!AU:AU)+M133)/2),"-")</f>
        <v>0.0540540540540541</v>
      </c>
      <c r="AH133" s="99">
        <f>IFERROR(AL133/((SUMIF('3店辅助表'!AW:AW,B:B,'3店辅助表'!AX:AX)+M133)/2),"-")</f>
        <v>0.0526315789473684</v>
      </c>
      <c r="AI133" s="100">
        <f>IFERROR((SUMIF('3店辅助表'!AP:AP,B:B,'3店辅助表'!AR:AR)-SUMIF('3店辅助表'!AP:AP,B:B,'3店辅助表'!AR:AR)*0.15-(L133+IFERROR(VLOOKUP(B:B,'3店辅助表'!AZ:BA,2,0),0))*O133-IF(AN:AN="US",6.85,4.9)*(Z133+4.27*O133))/SUMIF('3店辅助表'!AP:AP,B:B,'3店辅助表'!AR:AR),"-")</f>
        <v>0.526603595983848</v>
      </c>
      <c r="AJ133" s="100">
        <f t="shared" si="42"/>
        <v>0.027715978735992</v>
      </c>
      <c r="AK133" s="101">
        <f t="shared" si="43"/>
        <v>13.9</v>
      </c>
      <c r="AL133" s="101">
        <f t="shared" si="44"/>
        <v>13.9</v>
      </c>
      <c r="AM133" s="1" t="str">
        <f>VLOOKUP(B:B,'3店辅助表'!AZ:AZ,1,FALSE)</f>
        <v>Y3046-BY+Y3047+Y3048</v>
      </c>
      <c r="AN133" t="str">
        <f>VLOOKUP(B:B,'3店辅助表'!AZ:BB,3,FALSE)</f>
        <v>US</v>
      </c>
    </row>
    <row r="134" customHeight="1" spans="1:40">
      <c r="A134" s="58" t="str">
        <f>INDEX('[1]3店'!$A:$A,MATCH(B:B,'[1]3店'!$B:$B,0))</f>
        <v>欣彤</v>
      </c>
      <c r="B134" s="43" t="s">
        <v>972</v>
      </c>
      <c r="C134" s="43" t="s">
        <v>973</v>
      </c>
      <c r="D134" s="59">
        <f>VLOOKUP(B:B,'[1]3店'!$B:$L,3,0)</f>
        <v>44840</v>
      </c>
      <c r="E134" s="43" t="s">
        <v>974</v>
      </c>
      <c r="F134" s="43">
        <v>27</v>
      </c>
      <c r="G134" s="43">
        <v>0</v>
      </c>
      <c r="H134" s="43">
        <v>0</v>
      </c>
      <c r="I134" s="43">
        <v>0</v>
      </c>
      <c r="J134" s="43">
        <v>41</v>
      </c>
      <c r="K134" s="63">
        <f t="shared" si="46"/>
        <v>68</v>
      </c>
      <c r="L134" s="124">
        <f>VLOOKUP($B:$B,'[1]3店'!$B:$L,11,0)</f>
        <v>13.9</v>
      </c>
      <c r="M134" s="44">
        <f t="shared" si="45"/>
        <v>945.2</v>
      </c>
      <c r="N134" s="65">
        <f>IFERROR(VLOOKUP(B:B,'3店辅助表'!B:C,2,FALSE),0)</f>
        <v>3</v>
      </c>
      <c r="O134" s="65">
        <f>IFERROR(VLOOKUP(B:B,'3店辅助表'!E:F,2,FALSE),0)</f>
        <v>7</v>
      </c>
      <c r="P134" s="65">
        <f>IFERROR(VLOOKUP(B:B,'3店辅助表'!H:I,2,FALSE),0)</f>
        <v>18</v>
      </c>
      <c r="Q134" s="65">
        <f>IFERROR(VLOOKUP(B:B,'[1]3店'!$B:$N,13,FALSE),0)</f>
        <v>4</v>
      </c>
      <c r="R134" s="79">
        <f t="shared" si="35"/>
        <v>-1</v>
      </c>
      <c r="S134" s="80">
        <f t="shared" si="36"/>
        <v>136.433121019108</v>
      </c>
      <c r="T134" s="44">
        <f t="shared" si="37"/>
        <v>4.54777070063694</v>
      </c>
      <c r="U134" s="44">
        <f>IFERROR(VLOOKUP($B:$B,'[1]3店'!$B:$T,19,0),"-")</f>
        <v>3.74045801526718</v>
      </c>
      <c r="V134" s="81">
        <f t="shared" si="38"/>
        <v>0.807312685369761</v>
      </c>
      <c r="W134" s="82" t="str">
        <f t="shared" si="39"/>
        <v>库存过高</v>
      </c>
      <c r="X134" s="83" t="str">
        <f t="shared" si="40"/>
        <v>库存过高</v>
      </c>
      <c r="Y134" s="44">
        <f>IFERROR(SUMIF('3店辅助表'!K:K,B:B,'3店辅助表'!N:N),0)</f>
        <v>0</v>
      </c>
      <c r="Z134" s="44">
        <f>IFERROR(SUMIF('3店辅助表'!T:T,B:B,'3店辅助表'!W:W),0)</f>
        <v>0</v>
      </c>
      <c r="AA134" s="44">
        <f>IFERROR(SUMIF('3店辅助表'!AC:AC,B:B,'3店辅助表'!AF:AF),0)</f>
        <v>0</v>
      </c>
      <c r="AB134" s="91" t="str">
        <f>IFERROR(SUMIF('3店辅助表'!K:K,B:B,'3店辅助表'!N:N)/SUMIF('3店辅助表'!K:K,B:B,'3店辅助表'!O:O),"-")</f>
        <v>-</v>
      </c>
      <c r="AC134" s="91" t="str">
        <f>IFERROR(VLOOKUP(B:B,'[1]3店'!$B:$AB,27,0),"-")</f>
        <v>-</v>
      </c>
      <c r="AD134" s="92" t="str">
        <f t="shared" si="41"/>
        <v>-</v>
      </c>
      <c r="AE134" s="91" t="str">
        <f>IFERROR(SUMIF('3店辅助表'!T:T,B:B,'3店辅助表'!W:W)/SUMIF('3店辅助表'!T:T,B:B,'3店辅助表'!X:X),"-")</f>
        <v>-</v>
      </c>
      <c r="AF134" s="91" t="str">
        <f>IFERROR(SUMIF('3店辅助表'!AC:AC,B:B,'3店辅助表'!AF:AF)/SUMIF('3店辅助表'!AC:AC,B:B,'3店辅助表'!AG:AG),"-")</f>
        <v>-</v>
      </c>
      <c r="AG134" s="99">
        <f>IFERROR(AK134/((SUMIF('3店辅助表'!AT:AT,B:B,'3店辅助表'!AU:AU)+M134)/2),"-")</f>
        <v>0.0434782608695652</v>
      </c>
      <c r="AH134" s="99">
        <f>IFERROR(AL134/((SUMIF('3店辅助表'!AW:AW,B:B,'3店辅助表'!AX:AX)+M134)/2),"-")</f>
        <v>0.0782122905027933</v>
      </c>
      <c r="AI134" s="100">
        <f>IFERROR((SUMIF('3店辅助表'!AP:AP,B:B,'3店辅助表'!AR:AR)-SUMIF('3店辅助表'!AP:AP,B:B,'3店辅助表'!AR:AR)*0.15-(L134+IFERROR(VLOOKUP(B:B,'3店辅助表'!AZ:BA,2,0),0))*O134-IF(AN:AN="US",6.85,4.9)*(Z134+4.27*O134))/SUMIF('3店辅助表'!AP:AP,B:B,'3店辅助表'!AR:AR),"-")</f>
        <v>0.277505644696085</v>
      </c>
      <c r="AJ134" s="100">
        <f t="shared" si="42"/>
        <v>0.0217043520991351</v>
      </c>
      <c r="AK134" s="101">
        <f t="shared" si="43"/>
        <v>41.7</v>
      </c>
      <c r="AL134" s="101">
        <f t="shared" si="44"/>
        <v>97.3</v>
      </c>
      <c r="AM134" s="1" t="str">
        <f>VLOOKUP(B:B,'3店辅助表'!AZ:AZ,1,FALSE)</f>
        <v>Y3046-DB+Y3047+Y3048</v>
      </c>
      <c r="AN134" t="str">
        <f>VLOOKUP(B:B,'3店辅助表'!AZ:BB,3,FALSE)</f>
        <v>US</v>
      </c>
    </row>
    <row r="135" customHeight="1" spans="1:40">
      <c r="A135" s="58" t="str">
        <f>INDEX('[1]3店'!$A:$A,MATCH(B:B,'[1]3店'!$B:$B,0))</f>
        <v>欣彤</v>
      </c>
      <c r="B135" s="43" t="s">
        <v>975</v>
      </c>
      <c r="C135" s="43" t="s">
        <v>976</v>
      </c>
      <c r="D135" s="59">
        <f>VLOOKUP(B:B,'[1]3店'!$B:$L,3,0)</f>
        <v>44840</v>
      </c>
      <c r="E135" s="43" t="s">
        <v>977</v>
      </c>
      <c r="F135" s="43">
        <v>22</v>
      </c>
      <c r="G135" s="43">
        <v>0</v>
      </c>
      <c r="H135" s="43">
        <v>10</v>
      </c>
      <c r="I135" s="43">
        <v>0</v>
      </c>
      <c r="J135" s="43">
        <v>0</v>
      </c>
      <c r="K135" s="63">
        <f t="shared" si="46"/>
        <v>32</v>
      </c>
      <c r="L135" s="124">
        <f>VLOOKUP($B:$B,'[1]3店'!$B:$L,11,0)</f>
        <v>13.9</v>
      </c>
      <c r="M135" s="44">
        <f t="shared" si="45"/>
        <v>444.8</v>
      </c>
      <c r="N135" s="65">
        <f>IFERROR(VLOOKUP(B:B,'3店辅助表'!B:C,2,FALSE),0)</f>
        <v>0</v>
      </c>
      <c r="O135" s="65">
        <f>IFERROR(VLOOKUP(B:B,'3店辅助表'!E:F,2,FALSE),0)</f>
        <v>2</v>
      </c>
      <c r="P135" s="65">
        <f>IFERROR(VLOOKUP(B:B,'3店辅助表'!H:I,2,FALSE),0)</f>
        <v>3</v>
      </c>
      <c r="Q135" s="65">
        <f>IFERROR(VLOOKUP(B:B,'[1]3店'!$B:$N,13,FALSE),0)</f>
        <v>2</v>
      </c>
      <c r="R135" s="79">
        <f t="shared" si="35"/>
        <v>-2</v>
      </c>
      <c r="S135" s="80">
        <f t="shared" si="36"/>
        <v>411.428571428571</v>
      </c>
      <c r="T135" s="44">
        <f t="shared" si="37"/>
        <v>13.7142857142857</v>
      </c>
      <c r="U135" s="44">
        <f>IFERROR(VLOOKUP($B:$B,'[1]3店'!$B:$T,19,0),"-")</f>
        <v>3.92682926829268</v>
      </c>
      <c r="V135" s="81">
        <f t="shared" si="38"/>
        <v>9.78745644599302</v>
      </c>
      <c r="W135" s="82" t="str">
        <f t="shared" si="39"/>
        <v>有库存无销量</v>
      </c>
      <c r="X135" s="83" t="str">
        <f t="shared" si="40"/>
        <v>库存过高</v>
      </c>
      <c r="Y135" s="44">
        <f>IFERROR(SUMIF('3店辅助表'!K:K,B:B,'3店辅助表'!N:N),0)</f>
        <v>0</v>
      </c>
      <c r="Z135" s="44">
        <f>IFERROR(SUMIF('3店辅助表'!T:T,B:B,'3店辅助表'!W:W),0)</f>
        <v>0</v>
      </c>
      <c r="AA135" s="44">
        <f>IFERROR(SUMIF('3店辅助表'!AC:AC,B:B,'3店辅助表'!AF:AF),0)</f>
        <v>0</v>
      </c>
      <c r="AB135" s="91" t="str">
        <f>IFERROR(SUMIF('3店辅助表'!K:K,B:B,'3店辅助表'!N:N)/SUMIF('3店辅助表'!K:K,B:B,'3店辅助表'!O:O),"-")</f>
        <v>-</v>
      </c>
      <c r="AC135" s="91" t="str">
        <f>IFERROR(VLOOKUP(B:B,'[1]3店'!$B:$AB,27,0),"-")</f>
        <v>-</v>
      </c>
      <c r="AD135" s="92" t="str">
        <f t="shared" si="41"/>
        <v>-</v>
      </c>
      <c r="AE135" s="91" t="str">
        <f>IFERROR(SUMIF('3店辅助表'!T:T,B:B,'3店辅助表'!W:W)/SUMIF('3店辅助表'!T:T,B:B,'3店辅助表'!X:X),"-")</f>
        <v>-</v>
      </c>
      <c r="AF135" s="91" t="str">
        <f>IFERROR(SUMIF('3店辅助表'!AC:AC,B:B,'3店辅助表'!AF:AF)/SUMIF('3店辅助表'!AC:AC,B:B,'3店辅助表'!AG:AG),"-")</f>
        <v>-</v>
      </c>
      <c r="AG135" s="99">
        <f>IFERROR(AK135/((SUMIF('3店辅助表'!AT:AT,B:B,'3店辅助表'!AU:AU)+M135)/2),"-")</f>
        <v>0</v>
      </c>
      <c r="AH135" s="99">
        <f>IFERROR(AL135/((SUMIF('3店辅助表'!AW:AW,B:B,'3店辅助表'!AX:AX)+M135)/2),"-")</f>
        <v>0.0526315789473684</v>
      </c>
      <c r="AI135" s="100">
        <f>IFERROR((SUMIF('3店辅助表'!AP:AP,B:B,'3店辅助表'!AR:AR)-SUMIF('3店辅助表'!AP:AP,B:B,'3店辅助表'!AR:AR)*0.15-(L135+IFERROR(VLOOKUP(B:B,'3店辅助表'!AZ:BA,2,0),0))*O135-IF(AN:AN="US",6.85,4.9)*(Z135+4.27*O135))/SUMIF('3店辅助表'!AP:AP,B:B,'3店辅助表'!AR:AR),"-")</f>
        <v>0.20170659458167</v>
      </c>
      <c r="AJ135" s="100">
        <f t="shared" si="42"/>
        <v>0.01061613655693</v>
      </c>
      <c r="AK135" s="101">
        <f t="shared" si="43"/>
        <v>0</v>
      </c>
      <c r="AL135" s="101">
        <f t="shared" si="44"/>
        <v>27.8</v>
      </c>
      <c r="AM135" s="1" t="str">
        <f>VLOOKUP(B:B,'3店辅助表'!AZ:AZ,1,FALSE)</f>
        <v>Y3046-GK+Y3047+Y3048</v>
      </c>
      <c r="AN135" t="str">
        <f>VLOOKUP(B:B,'3店辅助表'!AZ:BB,3,FALSE)</f>
        <v>US</v>
      </c>
    </row>
    <row r="136" customHeight="1" spans="1:40">
      <c r="A136" s="58" t="str">
        <f>INDEX('[1]3店'!$A:$A,MATCH(B:B,'[1]3店'!$B:$B,0))</f>
        <v>欣彤</v>
      </c>
      <c r="B136" s="43" t="s">
        <v>978</v>
      </c>
      <c r="C136" s="43" t="s">
        <v>979</v>
      </c>
      <c r="D136" s="59">
        <f>VLOOKUP(B:B,'[1]3店'!$B:$L,3,0)</f>
        <v>44840</v>
      </c>
      <c r="E136" s="43" t="s">
        <v>980</v>
      </c>
      <c r="F136" s="43">
        <v>40</v>
      </c>
      <c r="G136" s="43">
        <v>0</v>
      </c>
      <c r="H136" s="43">
        <v>0</v>
      </c>
      <c r="I136" s="43">
        <v>0</v>
      </c>
      <c r="J136" s="43">
        <v>0</v>
      </c>
      <c r="K136" s="63">
        <f t="shared" si="46"/>
        <v>40</v>
      </c>
      <c r="L136" s="124">
        <f>VLOOKUP($B:$B,'[1]3店'!$B:$L,11,0)</f>
        <v>13.9</v>
      </c>
      <c r="M136" s="44">
        <f t="shared" si="45"/>
        <v>556</v>
      </c>
      <c r="N136" s="65">
        <f>IFERROR(VLOOKUP(B:B,'3店辅助表'!B:C,2,FALSE),0)</f>
        <v>1</v>
      </c>
      <c r="O136" s="65">
        <f>IFERROR(VLOOKUP(B:B,'3店辅助表'!E:F,2,FALSE),0)</f>
        <v>2</v>
      </c>
      <c r="P136" s="65">
        <f>IFERROR(VLOOKUP(B:B,'3店辅助表'!H:I,2,FALSE),0)</f>
        <v>3</v>
      </c>
      <c r="Q136" s="65">
        <f>IFERROR(VLOOKUP(B:B,'[1]3店'!$B:$N,13,FALSE),0)</f>
        <v>1</v>
      </c>
      <c r="R136" s="79">
        <f t="shared" si="35"/>
        <v>0</v>
      </c>
      <c r="S136" s="80">
        <f t="shared" si="36"/>
        <v>318.987341772152</v>
      </c>
      <c r="T136" s="44">
        <f t="shared" si="37"/>
        <v>10.6329113924051</v>
      </c>
      <c r="U136" s="44">
        <f>IFERROR(VLOOKUP($B:$B,'[1]3店'!$B:$T,19,0),"-")</f>
        <v>8.61</v>
      </c>
      <c r="V136" s="81">
        <f t="shared" si="38"/>
        <v>2.0229113924051</v>
      </c>
      <c r="W136" s="82" t="str">
        <f t="shared" si="39"/>
        <v>库存过高</v>
      </c>
      <c r="X136" s="83" t="str">
        <f t="shared" si="40"/>
        <v>库存过高</v>
      </c>
      <c r="Y136" s="44">
        <f>IFERROR(SUMIF('3店辅助表'!K:K,B:B,'3店辅助表'!N:N),0)</f>
        <v>0</v>
      </c>
      <c r="Z136" s="44">
        <f>IFERROR(SUMIF('3店辅助表'!T:T,B:B,'3店辅助表'!W:W),0)</f>
        <v>0</v>
      </c>
      <c r="AA136" s="44">
        <f>IFERROR(SUMIF('3店辅助表'!AC:AC,B:B,'3店辅助表'!AF:AF),0)</f>
        <v>0</v>
      </c>
      <c r="AB136" s="91" t="str">
        <f>IFERROR(SUMIF('3店辅助表'!K:K,B:B,'3店辅助表'!N:N)/SUMIF('3店辅助表'!K:K,B:B,'3店辅助表'!O:O),"-")</f>
        <v>-</v>
      </c>
      <c r="AC136" s="91" t="str">
        <f>IFERROR(VLOOKUP(B:B,'[1]3店'!$B:$AB,27,0),"-")</f>
        <v>-</v>
      </c>
      <c r="AD136" s="92" t="str">
        <f t="shared" si="41"/>
        <v>-</v>
      </c>
      <c r="AE136" s="91" t="str">
        <f>IFERROR(SUMIF('3店辅助表'!T:T,B:B,'3店辅助表'!W:W)/SUMIF('3店辅助表'!T:T,B:B,'3店辅助表'!X:X),"-")</f>
        <v>-</v>
      </c>
      <c r="AF136" s="91" t="str">
        <f>IFERROR(SUMIF('3店辅助表'!AC:AC,B:B,'3店辅助表'!AF:AF)/SUMIF('3店辅助表'!AC:AC,B:B,'3店辅助表'!AG:AG),"-")</f>
        <v>-</v>
      </c>
      <c r="AG136" s="99">
        <f>IFERROR(AK136/((SUMIF('3店辅助表'!AT:AT,B:B,'3店辅助表'!AU:AU)+M136)/2),"-")</f>
        <v>0.0246913580246914</v>
      </c>
      <c r="AH136" s="99">
        <f>IFERROR(AL136/((SUMIF('3店辅助表'!AW:AW,B:B,'3店辅助表'!AX:AX)+M136)/2),"-")</f>
        <v>0.0333333333333333</v>
      </c>
      <c r="AI136" s="100">
        <f>IFERROR((SUMIF('3店辅助表'!AP:AP,B:B,'3店辅助表'!AR:AR)-SUMIF('3店辅助表'!AP:AP,B:B,'3店辅助表'!AR:AR)*0.15-(L136+IFERROR(VLOOKUP(B:B,'3店辅助表'!AZ:BA,2,0),0))*O136-IF(AN:AN="US",6.85,4.9)*(Z136+4.27*O136))/SUMIF('3店辅助表'!AP:AP,B:B,'3店辅助表'!AR:AR),"-")</f>
        <v>0.308758281215758</v>
      </c>
      <c r="AJ136" s="100">
        <f t="shared" si="42"/>
        <v>0.0102919427071919</v>
      </c>
      <c r="AK136" s="101">
        <f t="shared" si="43"/>
        <v>13.9</v>
      </c>
      <c r="AL136" s="101">
        <f t="shared" si="44"/>
        <v>27.8</v>
      </c>
      <c r="AM136" s="1" t="str">
        <f>VLOOKUP(B:B,'3店辅助表'!AZ:AZ,1,FALSE)</f>
        <v>Y3046-OR+Y3047+Y3048</v>
      </c>
      <c r="AN136" t="str">
        <f>VLOOKUP(B:B,'3店辅助表'!AZ:BB,3,FALSE)</f>
        <v>US</v>
      </c>
    </row>
    <row r="137" customHeight="1" spans="1:40">
      <c r="A137" s="58" t="str">
        <f>INDEX('[1]3店'!$A:$A,MATCH(B:B,'[1]3店'!$B:$B,0))</f>
        <v>欣彤</v>
      </c>
      <c r="B137" s="43" t="s">
        <v>981</v>
      </c>
      <c r="C137" s="43" t="s">
        <v>982</v>
      </c>
      <c r="D137" s="59">
        <f>VLOOKUP(B:B,'[1]3店'!$B:$L,3,0)</f>
        <v>44863</v>
      </c>
      <c r="E137" s="43" t="s">
        <v>983</v>
      </c>
      <c r="F137" s="43">
        <v>11</v>
      </c>
      <c r="G137" s="43">
        <v>0</v>
      </c>
      <c r="H137" s="43">
        <v>0</v>
      </c>
      <c r="I137" s="43">
        <v>10</v>
      </c>
      <c r="J137" s="43">
        <v>0</v>
      </c>
      <c r="K137" s="63">
        <f t="shared" si="46"/>
        <v>21</v>
      </c>
      <c r="L137" s="124">
        <f>VLOOKUP($B:$B,'[1]3店'!$B:$L,11,0)</f>
        <v>13.7</v>
      </c>
      <c r="M137" s="44">
        <f t="shared" si="45"/>
        <v>287.7</v>
      </c>
      <c r="N137" s="65">
        <f>IFERROR(VLOOKUP(B:B,'3店辅助表'!B:C,2,FALSE),0)</f>
        <v>0</v>
      </c>
      <c r="O137" s="65">
        <f>IFERROR(VLOOKUP(B:B,'3店辅助表'!E:F,2,FALSE),0)</f>
        <v>1</v>
      </c>
      <c r="P137" s="65">
        <f>IFERROR(VLOOKUP(B:B,'3店辅助表'!H:I,2,FALSE),0)</f>
        <v>3</v>
      </c>
      <c r="Q137" s="65">
        <f>IFERROR(VLOOKUP(B:B,'[1]3店'!$B:$N,13,FALSE),0)</f>
        <v>1</v>
      </c>
      <c r="R137" s="79">
        <f t="shared" si="35"/>
        <v>-1</v>
      </c>
      <c r="S137" s="80">
        <f t="shared" si="36"/>
        <v>378</v>
      </c>
      <c r="T137" s="44">
        <f t="shared" si="37"/>
        <v>12.6</v>
      </c>
      <c r="U137" s="44">
        <f>IFERROR(VLOOKUP($B:$B,'[1]3店'!$B:$T,19,0),"-")</f>
        <v>5.12790697674419</v>
      </c>
      <c r="V137" s="81">
        <f t="shared" si="38"/>
        <v>7.47209302325581</v>
      </c>
      <c r="W137" s="82" t="str">
        <f t="shared" si="39"/>
        <v>有库存无销量</v>
      </c>
      <c r="X137" s="83" t="str">
        <f t="shared" si="40"/>
        <v>库存过高</v>
      </c>
      <c r="Y137" s="44">
        <f>IFERROR(SUMIF('3店辅助表'!K:K,B:B,'3店辅助表'!N:N),0)</f>
        <v>0</v>
      </c>
      <c r="Z137" s="44">
        <f>IFERROR(SUMIF('3店辅助表'!T:T,B:B,'3店辅助表'!W:W),0)</f>
        <v>0</v>
      </c>
      <c r="AA137" s="44">
        <f>IFERROR(SUMIF('3店辅助表'!AC:AC,B:B,'3店辅助表'!AF:AF),0)</f>
        <v>0</v>
      </c>
      <c r="AB137" s="91" t="str">
        <f>IFERROR(SUMIF('3店辅助表'!K:K,B:B,'3店辅助表'!N:N)/SUMIF('3店辅助表'!K:K,B:B,'3店辅助表'!O:O),"-")</f>
        <v>-</v>
      </c>
      <c r="AC137" s="91" t="str">
        <f>IFERROR(VLOOKUP(B:B,'[1]3店'!$B:$AB,27,0),"-")</f>
        <v>-</v>
      </c>
      <c r="AD137" s="92" t="str">
        <f t="shared" si="41"/>
        <v>-</v>
      </c>
      <c r="AE137" s="91" t="str">
        <f>IFERROR(SUMIF('3店辅助表'!T:T,B:B,'3店辅助表'!W:W)/SUMIF('3店辅助表'!T:T,B:B,'3店辅助表'!X:X),"-")</f>
        <v>-</v>
      </c>
      <c r="AF137" s="91" t="str">
        <f>IFERROR(SUMIF('3店辅助表'!AC:AC,B:B,'3店辅助表'!AF:AF)/SUMIF('3店辅助表'!AC:AC,B:B,'3店辅助表'!AG:AG),"-")</f>
        <v>-</v>
      </c>
      <c r="AG137" s="99">
        <f>IFERROR(AK137/((SUMIF('3店辅助表'!AT:AT,B:B,'3店辅助表'!AU:AU)+M137)/2),"-")</f>
        <v>0</v>
      </c>
      <c r="AH137" s="99">
        <f>IFERROR(AL137/((SUMIF('3店辅助表'!AW:AW,B:B,'3店辅助表'!AX:AX)+M137)/2),"-")</f>
        <v>0.0571428571428571</v>
      </c>
      <c r="AI137" s="100">
        <f>IFERROR((SUMIF('3店辅助表'!AP:AP,B:B,'3店辅助表'!AR:AR)-SUMIF('3店辅助表'!AP:AP,B:B,'3店辅助表'!AR:AR)*0.15-(L137+IFERROR(VLOOKUP(B:B,'3店辅助表'!AZ:BA,2,0),0))*O137-IF(AN:AN="US",6.85,4.9)*(Z137+4.27*O137))/SUMIF('3店辅助表'!AP:AP,B:B,'3店辅助表'!AR:AR),"-")</f>
        <v>0.273661098093424</v>
      </c>
      <c r="AJ137" s="100">
        <f t="shared" si="42"/>
        <v>0.0156377770339099</v>
      </c>
      <c r="AK137" s="101">
        <f t="shared" si="43"/>
        <v>0</v>
      </c>
      <c r="AL137" s="101">
        <f t="shared" si="44"/>
        <v>13.7</v>
      </c>
      <c r="AM137" s="1" t="str">
        <f>VLOOKUP(B:B,'3店辅助表'!AZ:AZ,1,FALSE)</f>
        <v>Y3031-LP+Y3032</v>
      </c>
      <c r="AN137" t="str">
        <f>VLOOKUP(B:B,'3店辅助表'!AZ:BB,3,FALSE)</f>
        <v>US</v>
      </c>
    </row>
    <row r="138" customHeight="1" spans="1:40">
      <c r="A138" s="58" t="str">
        <f>INDEX('[1]3店'!$A:$A,MATCH(B:B,'[1]3店'!$B:$B,0))</f>
        <v>欣彤</v>
      </c>
      <c r="B138" s="43" t="s">
        <v>984</v>
      </c>
      <c r="C138" s="43" t="s">
        <v>865</v>
      </c>
      <c r="D138" s="59">
        <f>VLOOKUP(B:B,'[1]3店'!$B:$L,3,0)</f>
        <v>44863</v>
      </c>
      <c r="E138" s="43" t="s">
        <v>985</v>
      </c>
      <c r="F138" s="43">
        <v>5</v>
      </c>
      <c r="G138" s="43">
        <v>0</v>
      </c>
      <c r="H138" s="43">
        <v>0</v>
      </c>
      <c r="I138" s="43">
        <v>7</v>
      </c>
      <c r="J138" s="43">
        <v>0</v>
      </c>
      <c r="K138" s="63">
        <f t="shared" ref="K138:K151" si="47">F138+G138+H138+I138+J138</f>
        <v>12</v>
      </c>
      <c r="L138" s="124">
        <f>VLOOKUP($B:$B,'[1]3店'!$B:$L,11,0)</f>
        <v>13.7</v>
      </c>
      <c r="M138" s="44">
        <f t="shared" ref="M138:M151" si="48">K138*L138</f>
        <v>164.4</v>
      </c>
      <c r="N138" s="65">
        <f>IFERROR(VLOOKUP(B:B,'3店辅助表'!B:C,2,FALSE),0)</f>
        <v>0</v>
      </c>
      <c r="O138" s="65">
        <f>IFERROR(VLOOKUP(B:B,'3店辅助表'!E:F,2,FALSE),0)</f>
        <v>0</v>
      </c>
      <c r="P138" s="65">
        <f>IFERROR(VLOOKUP(B:B,'3店辅助表'!H:I,2,FALSE),0)</f>
        <v>0</v>
      </c>
      <c r="Q138" s="65">
        <f>IFERROR(VLOOKUP(B:B,'[1]3店'!$B:$N,13,FALSE),0)</f>
        <v>0</v>
      </c>
      <c r="R138" s="79">
        <f t="shared" ref="R138:R151" si="49">N138-Q138</f>
        <v>0</v>
      </c>
      <c r="S138" s="80" t="str">
        <f t="shared" ref="S138:S151" si="50">IFERROR(K138/((N138/7+O138/15+P138/30)/3),"-")</f>
        <v>-</v>
      </c>
      <c r="T138" s="44" t="str">
        <f t="shared" ref="T138:T151" si="51">IFERROR(S138/30,"-")</f>
        <v>-</v>
      </c>
      <c r="U138" s="44" t="str">
        <f>IFERROR(VLOOKUP($B:$B,'[1]3店'!$B:$T,19,0),"-")</f>
        <v>-</v>
      </c>
      <c r="V138" s="81" t="str">
        <f t="shared" ref="V138:V151" si="52">IFERROR(T138-U138,"-")</f>
        <v>-</v>
      </c>
      <c r="W138" s="82" t="str">
        <f t="shared" ref="W138:W151" si="53">_xlfn.IFS(AND(D138&lt;&gt;0,D138-$AM$2&gt;=0,B138&gt;0,D138&lt;&gt;0),"本月刚到货",AND(IFERROR((K138/(N138/7))/30,"-")="-",K138&gt;0),"有库存无销量",AND(IFERROR((K138/(N138/7))/30,"-")="-",K138=0),"无库存无销量",AND(IFERROR((K138/(N138/7))/30,"-")&lt;=0.5,K138=0),"无库存有销量",IFERROR((K138/(N138/7))/30,"-")&lt;=0.5,"库存过低",IFERROR((K138/(N138/7))/30,"-")&lt;=1.5,"正常",IFERROR((K138/(N138/7))/30,"-")&gt;1.5,"库存过高")</f>
        <v>有库存无销量</v>
      </c>
      <c r="X138" s="83" t="str">
        <f t="shared" ref="X138:X151" si="54">_xlfn.IFS(AND(D138&lt;&gt;0,D138-$AM$2&gt;=0,K138&gt;0,D138&lt;&gt;0),"本月刚到货",AND(T138="-",K138&gt;0),"有库存无销量",AND(T138="-",K138=0),"无库存无销量",AND(T138&lt;=0.5,K138=0),"无库存有销量",T138&lt;=0.5,"库存过低",T138&lt;=1.5,"正常",T138&gt;1.5,"库存过高")</f>
        <v>有库存无销量</v>
      </c>
      <c r="Y138" s="44">
        <f>IFERROR(SUMIF('3店辅助表'!K:K,B:B,'3店辅助表'!N:N),0)</f>
        <v>0</v>
      </c>
      <c r="Z138" s="44">
        <f>IFERROR(SUMIF('3店辅助表'!T:T,B:B,'3店辅助表'!W:W),0)</f>
        <v>0</v>
      </c>
      <c r="AA138" s="44">
        <f>IFERROR(SUMIF('3店辅助表'!AC:AC,B:B,'3店辅助表'!AF:AF),0)</f>
        <v>0</v>
      </c>
      <c r="AB138" s="91" t="str">
        <f>IFERROR(SUMIF('3店辅助表'!K:K,B:B,'3店辅助表'!N:N)/SUMIF('3店辅助表'!K:K,B:B,'3店辅助表'!O:O),"-")</f>
        <v>-</v>
      </c>
      <c r="AC138" s="91" t="str">
        <f>IFERROR(VLOOKUP(B:B,'[1]3店'!$B:$AB,27,0),"-")</f>
        <v>-</v>
      </c>
      <c r="AD138" s="92" t="str">
        <f t="shared" ref="AD138:AD151" si="55">IFERROR(AB138-AC138,"-")</f>
        <v>-</v>
      </c>
      <c r="AE138" s="91" t="str">
        <f>IFERROR(SUMIF('3店辅助表'!T:T,B:B,'3店辅助表'!W:W)/SUMIF('3店辅助表'!T:T,B:B,'3店辅助表'!X:X),"-")</f>
        <v>-</v>
      </c>
      <c r="AF138" s="91" t="str">
        <f>IFERROR(SUMIF('3店辅助表'!AC:AC,B:B,'3店辅助表'!AF:AF)/SUMIF('3店辅助表'!AC:AC,B:B,'3店辅助表'!AG:AG),"-")</f>
        <v>-</v>
      </c>
      <c r="AG138" s="99">
        <f>IFERROR(AK138/((SUMIF('3店辅助表'!AT:AT,B:B,'3店辅助表'!AU:AU)+M138)/2),"-")</f>
        <v>0</v>
      </c>
      <c r="AH138" s="99">
        <f>IFERROR(AL138/((SUMIF('3店辅助表'!AW:AW,B:B,'3店辅助表'!AX:AX)+M138)/2),"-")</f>
        <v>0</v>
      </c>
      <c r="AI138" s="100" t="str">
        <f>IFERROR((SUMIF('3店辅助表'!AP:AP,B:B,'3店辅助表'!AR:AR)-SUMIF('3店辅助表'!AP:AP,B:B,'3店辅助表'!AR:AR)*0.15-(L138+IFERROR(VLOOKUP(B:B,'3店辅助表'!AZ:BA,2,0),0))*O138-IF(AN:AN="US",6.85,4.9)*(Z138+4.27*O138))/SUMIF('3店辅助表'!AP:AP,B:B,'3店辅助表'!AR:AR),"-")</f>
        <v>-</v>
      </c>
      <c r="AJ138" s="100" t="str">
        <f t="shared" ref="AJ138:AJ151" si="56">IFERROR(AH138*AI138,"-")</f>
        <v>-</v>
      </c>
      <c r="AK138" s="101">
        <f t="shared" ref="AK138:AK151" si="57">N138*$L138</f>
        <v>0</v>
      </c>
      <c r="AL138" s="101">
        <f t="shared" ref="AL138:AL151" si="58">O138*$L138</f>
        <v>0</v>
      </c>
      <c r="AM138" s="1" t="str">
        <f>VLOOKUP(B:B,'3店辅助表'!AZ:AZ,1,FALSE)</f>
        <v>Y3052-DG+Y3053</v>
      </c>
      <c r="AN138" t="str">
        <f>VLOOKUP(B:B,'3店辅助表'!AZ:BB,3,FALSE)</f>
        <v>US</v>
      </c>
    </row>
    <row r="139" customHeight="1" spans="1:40">
      <c r="A139" s="58" t="str">
        <f>INDEX('[1]3店'!$A:$A,MATCH(B:B,'[1]3店'!$B:$B,0))</f>
        <v>欣彤</v>
      </c>
      <c r="B139" s="43" t="s">
        <v>986</v>
      </c>
      <c r="C139" s="43" t="s">
        <v>987</v>
      </c>
      <c r="D139" s="59">
        <f>VLOOKUP(B:B,'[1]3店'!$B:$L,3,0)</f>
        <v>44863</v>
      </c>
      <c r="E139" s="43" t="s">
        <v>988</v>
      </c>
      <c r="F139" s="43">
        <v>2</v>
      </c>
      <c r="G139" s="43">
        <v>0</v>
      </c>
      <c r="H139" s="43">
        <v>0</v>
      </c>
      <c r="I139" s="43">
        <v>7</v>
      </c>
      <c r="J139" s="43">
        <v>0</v>
      </c>
      <c r="K139" s="63">
        <f t="shared" si="47"/>
        <v>9</v>
      </c>
      <c r="L139" s="124">
        <f>VLOOKUP($B:$B,'[1]3店'!$B:$L,11,0)</f>
        <v>13.7</v>
      </c>
      <c r="M139" s="44">
        <f t="shared" si="48"/>
        <v>123.3</v>
      </c>
      <c r="N139" s="65">
        <f>IFERROR(VLOOKUP(B:B,'3店辅助表'!B:C,2,FALSE),0)</f>
        <v>0</v>
      </c>
      <c r="O139" s="65">
        <f>IFERROR(VLOOKUP(B:B,'3店辅助表'!E:F,2,FALSE),0)</f>
        <v>0</v>
      </c>
      <c r="P139" s="65">
        <f>IFERROR(VLOOKUP(B:B,'3店辅助表'!H:I,2,FALSE),0)</f>
        <v>0</v>
      </c>
      <c r="Q139" s="65">
        <f>IFERROR(VLOOKUP(B:B,'[1]3店'!$B:$N,13,FALSE),0)</f>
        <v>0</v>
      </c>
      <c r="R139" s="79">
        <f t="shared" si="49"/>
        <v>0</v>
      </c>
      <c r="S139" s="80" t="str">
        <f t="shared" si="50"/>
        <v>-</v>
      </c>
      <c r="T139" s="44" t="str">
        <f t="shared" si="51"/>
        <v>-</v>
      </c>
      <c r="U139" s="44" t="str">
        <f>IFERROR(VLOOKUP($B:$B,'[1]3店'!$B:$T,19,0),"-")</f>
        <v>-</v>
      </c>
      <c r="V139" s="81" t="str">
        <f t="shared" si="52"/>
        <v>-</v>
      </c>
      <c r="W139" s="82" t="str">
        <f t="shared" si="53"/>
        <v>有库存无销量</v>
      </c>
      <c r="X139" s="83" t="str">
        <f t="shared" si="54"/>
        <v>有库存无销量</v>
      </c>
      <c r="Y139" s="44">
        <f>IFERROR(SUMIF('3店辅助表'!K:K,B:B,'3店辅助表'!N:N),0)</f>
        <v>0</v>
      </c>
      <c r="Z139" s="44">
        <f>IFERROR(SUMIF('3店辅助表'!T:T,B:B,'3店辅助表'!W:W),0)</f>
        <v>0</v>
      </c>
      <c r="AA139" s="44">
        <f>IFERROR(SUMIF('3店辅助表'!AC:AC,B:B,'3店辅助表'!AF:AF),0)</f>
        <v>0</v>
      </c>
      <c r="AB139" s="91" t="str">
        <f>IFERROR(SUMIF('3店辅助表'!K:K,B:B,'3店辅助表'!N:N)/SUMIF('3店辅助表'!K:K,B:B,'3店辅助表'!O:O),"-")</f>
        <v>-</v>
      </c>
      <c r="AC139" s="91" t="str">
        <f>IFERROR(VLOOKUP(B:B,'[1]3店'!$B:$AB,27,0),"-")</f>
        <v>-</v>
      </c>
      <c r="AD139" s="92" t="str">
        <f t="shared" si="55"/>
        <v>-</v>
      </c>
      <c r="AE139" s="91" t="str">
        <f>IFERROR(SUMIF('3店辅助表'!T:T,B:B,'3店辅助表'!W:W)/SUMIF('3店辅助表'!T:T,B:B,'3店辅助表'!X:X),"-")</f>
        <v>-</v>
      </c>
      <c r="AF139" s="91" t="str">
        <f>IFERROR(SUMIF('3店辅助表'!AC:AC,B:B,'3店辅助表'!AF:AF)/SUMIF('3店辅助表'!AC:AC,B:B,'3店辅助表'!AG:AG),"-")</f>
        <v>-</v>
      </c>
      <c r="AG139" s="99">
        <f>IFERROR(AK139/((SUMIF('3店辅助表'!AT:AT,B:B,'3店辅助表'!AU:AU)+M139)/2),"-")</f>
        <v>0</v>
      </c>
      <c r="AH139" s="99">
        <f>IFERROR(AL139/((SUMIF('3店辅助表'!AW:AW,B:B,'3店辅助表'!AX:AX)+M139)/2),"-")</f>
        <v>0</v>
      </c>
      <c r="AI139" s="100" t="str">
        <f>IFERROR((SUMIF('3店辅助表'!AP:AP,B:B,'3店辅助表'!AR:AR)-SUMIF('3店辅助表'!AP:AP,B:B,'3店辅助表'!AR:AR)*0.15-(L139+IFERROR(VLOOKUP(B:B,'3店辅助表'!AZ:BA,2,0),0))*O139-IF(AN:AN="US",6.85,4.9)*(Z139+4.27*O139))/SUMIF('3店辅助表'!AP:AP,B:B,'3店辅助表'!AR:AR),"-")</f>
        <v>-</v>
      </c>
      <c r="AJ139" s="100" t="str">
        <f t="shared" si="56"/>
        <v>-</v>
      </c>
      <c r="AK139" s="101">
        <f t="shared" si="57"/>
        <v>0</v>
      </c>
      <c r="AL139" s="101">
        <f t="shared" si="58"/>
        <v>0</v>
      </c>
      <c r="AM139" s="1" t="str">
        <f>VLOOKUP(B:B,'3店辅助表'!AZ:AZ,1,FALSE)</f>
        <v>Y3052-LP+Y3053</v>
      </c>
      <c r="AN139" t="str">
        <f>VLOOKUP(B:B,'3店辅助表'!AZ:BB,3,FALSE)</f>
        <v>US</v>
      </c>
    </row>
    <row r="140" customHeight="1" spans="1:40">
      <c r="A140" s="58" t="str">
        <f>INDEX('[1]3店'!$A:$A,MATCH(B:B,'[1]3店'!$B:$B,0))</f>
        <v>欣彤</v>
      </c>
      <c r="B140" s="43" t="s">
        <v>989</v>
      </c>
      <c r="C140" s="43" t="s">
        <v>856</v>
      </c>
      <c r="D140" s="59">
        <f>VLOOKUP(B:B,'[1]3店'!$B:$L,3,0)</f>
        <v>44863</v>
      </c>
      <c r="E140" s="43" t="s">
        <v>990</v>
      </c>
      <c r="F140" s="43">
        <v>6</v>
      </c>
      <c r="G140" s="43">
        <v>0</v>
      </c>
      <c r="H140" s="43">
        <v>0</v>
      </c>
      <c r="I140" s="43">
        <v>17</v>
      </c>
      <c r="J140" s="43">
        <v>0</v>
      </c>
      <c r="K140" s="63">
        <f t="shared" si="47"/>
        <v>23</v>
      </c>
      <c r="L140" s="124">
        <f>VLOOKUP($B:$B,'[1]3店'!$B:$L,11,0)</f>
        <v>13.7</v>
      </c>
      <c r="M140" s="44">
        <f t="shared" si="48"/>
        <v>315.1</v>
      </c>
      <c r="N140" s="65">
        <f>IFERROR(VLOOKUP(B:B,'3店辅助表'!B:C,2,FALSE),0)</f>
        <v>0</v>
      </c>
      <c r="O140" s="65">
        <f>IFERROR(VLOOKUP(B:B,'3店辅助表'!E:F,2,FALSE),0)</f>
        <v>0</v>
      </c>
      <c r="P140" s="65">
        <f>IFERROR(VLOOKUP(B:B,'3店辅助表'!H:I,2,FALSE),0)</f>
        <v>0</v>
      </c>
      <c r="Q140" s="65">
        <f>IFERROR(VLOOKUP(B:B,'[1]3店'!$B:$N,13,FALSE),0)</f>
        <v>0</v>
      </c>
      <c r="R140" s="79">
        <f t="shared" si="49"/>
        <v>0</v>
      </c>
      <c r="S140" s="80" t="str">
        <f t="shared" si="50"/>
        <v>-</v>
      </c>
      <c r="T140" s="44" t="str">
        <f t="shared" si="51"/>
        <v>-</v>
      </c>
      <c r="U140" s="44" t="str">
        <f>IFERROR(VLOOKUP($B:$B,'[1]3店'!$B:$T,19,0),"-")</f>
        <v>-</v>
      </c>
      <c r="V140" s="81" t="str">
        <f t="shared" si="52"/>
        <v>-</v>
      </c>
      <c r="W140" s="82" t="str">
        <f t="shared" si="53"/>
        <v>有库存无销量</v>
      </c>
      <c r="X140" s="83" t="str">
        <f t="shared" si="54"/>
        <v>有库存无销量</v>
      </c>
      <c r="Y140" s="44">
        <f>IFERROR(SUMIF('3店辅助表'!K:K,B:B,'3店辅助表'!N:N),0)</f>
        <v>0</v>
      </c>
      <c r="Z140" s="44">
        <f>IFERROR(SUMIF('3店辅助表'!T:T,B:B,'3店辅助表'!W:W),0)</f>
        <v>0</v>
      </c>
      <c r="AA140" s="44">
        <f>IFERROR(SUMIF('3店辅助表'!AC:AC,B:B,'3店辅助表'!AF:AF),0)</f>
        <v>2.1</v>
      </c>
      <c r="AB140" s="91" t="str">
        <f>IFERROR(SUMIF('3店辅助表'!K:K,B:B,'3店辅助表'!N:N)/SUMIF('3店辅助表'!K:K,B:B,'3店辅助表'!O:O),"-")</f>
        <v>-</v>
      </c>
      <c r="AC140" s="91" t="str">
        <f>IFERROR(VLOOKUP(B:B,'[1]3店'!$B:$AB,27,0),"-")</f>
        <v>-</v>
      </c>
      <c r="AD140" s="92" t="str">
        <f t="shared" si="55"/>
        <v>-</v>
      </c>
      <c r="AE140" s="91" t="str">
        <f>IFERROR(SUMIF('3店辅助表'!T:T,B:B,'3店辅助表'!W:W)/SUMIF('3店辅助表'!T:T,B:B,'3店辅助表'!X:X),"-")</f>
        <v>-</v>
      </c>
      <c r="AF140" s="91" t="str">
        <f>IFERROR(SUMIF('3店辅助表'!AC:AC,B:B,'3店辅助表'!AF:AF)/SUMIF('3店辅助表'!AC:AC,B:B,'3店辅助表'!AG:AG),"-")</f>
        <v>-</v>
      </c>
      <c r="AG140" s="99">
        <f>IFERROR(AK140/((SUMIF('3店辅助表'!AT:AT,B:B,'3店辅助表'!AU:AU)+M140)/2),"-")</f>
        <v>0</v>
      </c>
      <c r="AH140" s="99">
        <f>IFERROR(AL140/((SUMIF('3店辅助表'!AW:AW,B:B,'3店辅助表'!AX:AX)+M140)/2),"-")</f>
        <v>0</v>
      </c>
      <c r="AI140" s="100" t="str">
        <f>IFERROR((SUMIF('3店辅助表'!AP:AP,B:B,'3店辅助表'!AR:AR)-SUMIF('3店辅助表'!AP:AP,B:B,'3店辅助表'!AR:AR)*0.15-(L140+IFERROR(VLOOKUP(B:B,'3店辅助表'!AZ:BA,2,0),0))*O140-IF(AN:AN="US",6.85,4.9)*(Z140+4.27*O140))/SUMIF('3店辅助表'!AP:AP,B:B,'3店辅助表'!AR:AR),"-")</f>
        <v>-</v>
      </c>
      <c r="AJ140" s="100" t="str">
        <f t="shared" si="56"/>
        <v>-</v>
      </c>
      <c r="AK140" s="101">
        <f t="shared" si="57"/>
        <v>0</v>
      </c>
      <c r="AL140" s="101">
        <f t="shared" si="58"/>
        <v>0</v>
      </c>
      <c r="AM140" s="1" t="str">
        <f>VLOOKUP(B:B,'3店辅助表'!AZ:AZ,1,FALSE)</f>
        <v>Y3052-NB+Y3053</v>
      </c>
      <c r="AN140" t="str">
        <f>VLOOKUP(B:B,'3店辅助表'!AZ:BB,3,FALSE)</f>
        <v>US</v>
      </c>
    </row>
    <row r="141" customHeight="1" spans="1:40">
      <c r="A141" s="58" t="str">
        <f>INDEX('[1]3店'!$A:$A,MATCH(B:B,'[1]3店'!$B:$B,0))</f>
        <v>欣彤</v>
      </c>
      <c r="B141" s="43" t="s">
        <v>991</v>
      </c>
      <c r="C141" s="43" t="s">
        <v>868</v>
      </c>
      <c r="D141" s="59">
        <f>VLOOKUP(B:B,'[1]3店'!$B:$L,3,0)</f>
        <v>44863</v>
      </c>
      <c r="E141" s="43" t="s">
        <v>992</v>
      </c>
      <c r="F141" s="43">
        <v>2</v>
      </c>
      <c r="G141" s="43">
        <v>0</v>
      </c>
      <c r="H141" s="43">
        <v>0</v>
      </c>
      <c r="I141" s="43">
        <v>20</v>
      </c>
      <c r="J141" s="43">
        <v>0</v>
      </c>
      <c r="K141" s="63">
        <f t="shared" si="47"/>
        <v>22</v>
      </c>
      <c r="L141" s="124">
        <f>VLOOKUP($B:$B,'[1]3店'!$B:$L,11,0)</f>
        <v>13.7</v>
      </c>
      <c r="M141" s="44">
        <f t="shared" si="48"/>
        <v>301.4</v>
      </c>
      <c r="N141" s="65">
        <f>IFERROR(VLOOKUP(B:B,'3店辅助表'!B:C,2,FALSE),0)</f>
        <v>0</v>
      </c>
      <c r="O141" s="65">
        <f>IFERROR(VLOOKUP(B:B,'3店辅助表'!E:F,2,FALSE),0)</f>
        <v>0</v>
      </c>
      <c r="P141" s="65">
        <f>IFERROR(VLOOKUP(B:B,'3店辅助表'!H:I,2,FALSE),0)</f>
        <v>0</v>
      </c>
      <c r="Q141" s="65">
        <f>IFERROR(VLOOKUP(B:B,'[1]3店'!$B:$N,13,FALSE),0)</f>
        <v>0</v>
      </c>
      <c r="R141" s="79">
        <f t="shared" si="49"/>
        <v>0</v>
      </c>
      <c r="S141" s="80" t="str">
        <f t="shared" si="50"/>
        <v>-</v>
      </c>
      <c r="T141" s="44" t="str">
        <f t="shared" si="51"/>
        <v>-</v>
      </c>
      <c r="U141" s="44" t="str">
        <f>IFERROR(VLOOKUP($B:$B,'[1]3店'!$B:$T,19,0),"-")</f>
        <v>-</v>
      </c>
      <c r="V141" s="81" t="str">
        <f t="shared" si="52"/>
        <v>-</v>
      </c>
      <c r="W141" s="82" t="str">
        <f t="shared" si="53"/>
        <v>有库存无销量</v>
      </c>
      <c r="X141" s="83" t="str">
        <f t="shared" si="54"/>
        <v>有库存无销量</v>
      </c>
      <c r="Y141" s="44">
        <f>IFERROR(SUMIF('3店辅助表'!K:K,B:B,'3店辅助表'!N:N),0)</f>
        <v>0</v>
      </c>
      <c r="Z141" s="44">
        <f>IFERROR(SUMIF('3店辅助表'!T:T,B:B,'3店辅助表'!W:W),0)</f>
        <v>0</v>
      </c>
      <c r="AA141" s="44">
        <f>IFERROR(SUMIF('3店辅助表'!AC:AC,B:B,'3店辅助表'!AF:AF),0)</f>
        <v>0</v>
      </c>
      <c r="AB141" s="91" t="str">
        <f>IFERROR(SUMIF('3店辅助表'!K:K,B:B,'3店辅助表'!N:N)/SUMIF('3店辅助表'!K:K,B:B,'3店辅助表'!O:O),"-")</f>
        <v>-</v>
      </c>
      <c r="AC141" s="91" t="str">
        <f>IFERROR(VLOOKUP(B:B,'[1]3店'!$B:$AB,27,0),"-")</f>
        <v>-</v>
      </c>
      <c r="AD141" s="92" t="str">
        <f t="shared" si="55"/>
        <v>-</v>
      </c>
      <c r="AE141" s="91" t="str">
        <f>IFERROR(SUMIF('3店辅助表'!T:T,B:B,'3店辅助表'!W:W)/SUMIF('3店辅助表'!T:T,B:B,'3店辅助表'!X:X),"-")</f>
        <v>-</v>
      </c>
      <c r="AF141" s="91" t="str">
        <f>IFERROR(SUMIF('3店辅助表'!AC:AC,B:B,'3店辅助表'!AF:AF)/SUMIF('3店辅助表'!AC:AC,B:B,'3店辅助表'!AG:AG),"-")</f>
        <v>-</v>
      </c>
      <c r="AG141" s="99">
        <f>IFERROR(AK141/((SUMIF('3店辅助表'!AT:AT,B:B,'3店辅助表'!AU:AU)+M141)/2),"-")</f>
        <v>0</v>
      </c>
      <c r="AH141" s="99">
        <f>IFERROR(AL141/((SUMIF('3店辅助表'!AW:AW,B:B,'3店辅助表'!AX:AX)+M141)/2),"-")</f>
        <v>0</v>
      </c>
      <c r="AI141" s="100" t="str">
        <f>IFERROR((SUMIF('3店辅助表'!AP:AP,B:B,'3店辅助表'!AR:AR)-SUMIF('3店辅助表'!AP:AP,B:B,'3店辅助表'!AR:AR)*0.15-(L141+IFERROR(VLOOKUP(B:B,'3店辅助表'!AZ:BA,2,0),0))*O141-IF(AN:AN="US",6.85,4.9)*(Z141+4.27*O141))/SUMIF('3店辅助表'!AP:AP,B:B,'3店辅助表'!AR:AR),"-")</f>
        <v>-</v>
      </c>
      <c r="AJ141" s="100" t="str">
        <f t="shared" si="56"/>
        <v>-</v>
      </c>
      <c r="AK141" s="101">
        <f t="shared" si="57"/>
        <v>0</v>
      </c>
      <c r="AL141" s="101">
        <f t="shared" si="58"/>
        <v>0</v>
      </c>
      <c r="AM141" s="1" t="str">
        <f>VLOOKUP(B:B,'3店辅助表'!AZ:AZ,1,FALSE)</f>
        <v>Y3052-OR+Y3053</v>
      </c>
      <c r="AN141" t="str">
        <f>VLOOKUP(B:B,'3店辅助表'!AZ:BB,3,FALSE)</f>
        <v>US</v>
      </c>
    </row>
    <row r="142" customHeight="1" spans="1:40">
      <c r="A142" s="58" t="str">
        <f>INDEX('[1]3店'!$A:$A,MATCH(B:B,'[1]3店'!$B:$B,0))</f>
        <v>欣彤</v>
      </c>
      <c r="B142" s="43" t="s">
        <v>993</v>
      </c>
      <c r="C142" s="43" t="s">
        <v>859</v>
      </c>
      <c r="D142" s="59">
        <f>VLOOKUP(B:B,'[1]3店'!$B:$L,3,0)</f>
        <v>44863</v>
      </c>
      <c r="E142" s="43" t="s">
        <v>994</v>
      </c>
      <c r="F142" s="43">
        <v>3</v>
      </c>
      <c r="G142" s="43">
        <v>0</v>
      </c>
      <c r="H142" s="43">
        <v>0</v>
      </c>
      <c r="I142" s="43">
        <v>9</v>
      </c>
      <c r="J142" s="43">
        <v>0</v>
      </c>
      <c r="K142" s="63">
        <f t="shared" si="47"/>
        <v>12</v>
      </c>
      <c r="L142" s="124">
        <f>VLOOKUP($B:$B,'[1]3店'!$B:$L,11,0)</f>
        <v>13.7</v>
      </c>
      <c r="M142" s="44">
        <f t="shared" si="48"/>
        <v>164.4</v>
      </c>
      <c r="N142" s="65">
        <f>IFERROR(VLOOKUP(B:B,'3店辅助表'!B:C,2,FALSE),0)</f>
        <v>0</v>
      </c>
      <c r="O142" s="65">
        <f>IFERROR(VLOOKUP(B:B,'3店辅助表'!E:F,2,FALSE),0)</f>
        <v>0</v>
      </c>
      <c r="P142" s="65">
        <f>IFERROR(VLOOKUP(B:B,'3店辅助表'!H:I,2,FALSE),0)</f>
        <v>0</v>
      </c>
      <c r="Q142" s="65">
        <f>IFERROR(VLOOKUP(B:B,'[1]3店'!$B:$N,13,FALSE),0)</f>
        <v>0</v>
      </c>
      <c r="R142" s="79">
        <f t="shared" si="49"/>
        <v>0</v>
      </c>
      <c r="S142" s="80" t="str">
        <f t="shared" si="50"/>
        <v>-</v>
      </c>
      <c r="T142" s="44" t="str">
        <f t="shared" si="51"/>
        <v>-</v>
      </c>
      <c r="U142" s="44" t="str">
        <f>IFERROR(VLOOKUP($B:$B,'[1]3店'!$B:$T,19,0),"-")</f>
        <v>-</v>
      </c>
      <c r="V142" s="81" t="str">
        <f t="shared" si="52"/>
        <v>-</v>
      </c>
      <c r="W142" s="82" t="str">
        <f t="shared" si="53"/>
        <v>有库存无销量</v>
      </c>
      <c r="X142" s="83" t="str">
        <f t="shared" si="54"/>
        <v>有库存无销量</v>
      </c>
      <c r="Y142" s="44">
        <f>IFERROR(SUMIF('3店辅助表'!K:K,B:B,'3店辅助表'!N:N),0)</f>
        <v>0</v>
      </c>
      <c r="Z142" s="44">
        <f>IFERROR(SUMIF('3店辅助表'!T:T,B:B,'3店辅助表'!W:W),0)</f>
        <v>0</v>
      </c>
      <c r="AA142" s="44">
        <f>IFERROR(SUMIF('3店辅助表'!AC:AC,B:B,'3店辅助表'!AF:AF),0)</f>
        <v>0</v>
      </c>
      <c r="AB142" s="91" t="str">
        <f>IFERROR(SUMIF('3店辅助表'!K:K,B:B,'3店辅助表'!N:N)/SUMIF('3店辅助表'!K:K,B:B,'3店辅助表'!O:O),"-")</f>
        <v>-</v>
      </c>
      <c r="AC142" s="91" t="str">
        <f>IFERROR(VLOOKUP(B:B,'[1]3店'!$B:$AB,27,0),"-")</f>
        <v>-</v>
      </c>
      <c r="AD142" s="92" t="str">
        <f t="shared" si="55"/>
        <v>-</v>
      </c>
      <c r="AE142" s="91" t="str">
        <f>IFERROR(SUMIF('3店辅助表'!T:T,B:B,'3店辅助表'!W:W)/SUMIF('3店辅助表'!T:T,B:B,'3店辅助表'!X:X),"-")</f>
        <v>-</v>
      </c>
      <c r="AF142" s="91" t="str">
        <f>IFERROR(SUMIF('3店辅助表'!AC:AC,B:B,'3店辅助表'!AF:AF)/SUMIF('3店辅助表'!AC:AC,B:B,'3店辅助表'!AG:AG),"-")</f>
        <v>-</v>
      </c>
      <c r="AG142" s="99">
        <f>IFERROR(AK142/((SUMIF('3店辅助表'!AT:AT,B:B,'3店辅助表'!AU:AU)+M142)/2),"-")</f>
        <v>0</v>
      </c>
      <c r="AH142" s="99">
        <f>IFERROR(AL142/((SUMIF('3店辅助表'!AW:AW,B:B,'3店辅助表'!AX:AX)+M142)/2),"-")</f>
        <v>0</v>
      </c>
      <c r="AI142" s="100" t="str">
        <f>IFERROR((SUMIF('3店辅助表'!AP:AP,B:B,'3店辅助表'!AR:AR)-SUMIF('3店辅助表'!AP:AP,B:B,'3店辅助表'!AR:AR)*0.15-(L142+IFERROR(VLOOKUP(B:B,'3店辅助表'!AZ:BA,2,0),0))*O142-IF(AN:AN="US",6.85,4.9)*(Z142+4.27*O142))/SUMIF('3店辅助表'!AP:AP,B:B,'3店辅助表'!AR:AR),"-")</f>
        <v>-</v>
      </c>
      <c r="AJ142" s="100" t="str">
        <f t="shared" si="56"/>
        <v>-</v>
      </c>
      <c r="AK142" s="101">
        <f t="shared" si="57"/>
        <v>0</v>
      </c>
      <c r="AL142" s="101">
        <f t="shared" si="58"/>
        <v>0</v>
      </c>
      <c r="AM142" s="1" t="str">
        <f>VLOOKUP(B:B,'3店辅助表'!AZ:AZ,1,FALSE)</f>
        <v>Y3052-TG+Y3053</v>
      </c>
      <c r="AN142" t="str">
        <f>VLOOKUP(B:B,'3店辅助表'!AZ:BB,3,FALSE)</f>
        <v>US</v>
      </c>
    </row>
    <row r="143" customHeight="1" spans="1:40">
      <c r="A143" s="58" t="str">
        <f>INDEX('[1]3店'!$A:$A,MATCH(B:B,'[1]3店'!$B:$B,0))</f>
        <v>欣彤</v>
      </c>
      <c r="B143" s="43" t="s">
        <v>995</v>
      </c>
      <c r="C143" s="43" t="s">
        <v>996</v>
      </c>
      <c r="D143" s="59">
        <f>VLOOKUP(B:B,'[1]3店'!$B:$L,3,0)</f>
        <v>44938</v>
      </c>
      <c r="E143" s="43" t="s">
        <v>997</v>
      </c>
      <c r="F143" s="43">
        <v>117</v>
      </c>
      <c r="G143" s="43">
        <v>2</v>
      </c>
      <c r="H143" s="43">
        <v>1</v>
      </c>
      <c r="I143" s="43">
        <v>101</v>
      </c>
      <c r="J143" s="43">
        <v>0</v>
      </c>
      <c r="K143" s="63">
        <f t="shared" si="47"/>
        <v>221</v>
      </c>
      <c r="L143" s="124">
        <f>VLOOKUP($B:$B,'[1]3店'!$B:$L,11,0)</f>
        <v>13.9</v>
      </c>
      <c r="M143" s="44">
        <f t="shared" si="48"/>
        <v>3071.9</v>
      </c>
      <c r="N143" s="65">
        <f>IFERROR(VLOOKUP(B:B,'3店辅助表'!B:C,2,FALSE),0)</f>
        <v>15</v>
      </c>
      <c r="O143" s="65">
        <f>IFERROR(VLOOKUP(B:B,'3店辅助表'!E:F,2,FALSE),0)</f>
        <v>45</v>
      </c>
      <c r="P143" s="65">
        <f>IFERROR(VLOOKUP(B:B,'3店辅助表'!H:I,2,FALSE),0)</f>
        <v>122</v>
      </c>
      <c r="Q143" s="65">
        <f>IFERROR(VLOOKUP(B:B,'[1]3店'!$B:$N,13,FALSE),0)</f>
        <v>28</v>
      </c>
      <c r="R143" s="79">
        <f t="shared" si="49"/>
        <v>-13</v>
      </c>
      <c r="S143" s="80">
        <f t="shared" si="50"/>
        <v>71.9906928645295</v>
      </c>
      <c r="T143" s="44">
        <f t="shared" si="51"/>
        <v>2.39968976215098</v>
      </c>
      <c r="U143" s="44">
        <f>IFERROR(VLOOKUP($B:$B,'[1]3店'!$B:$T,19,0),"-")</f>
        <v>2.17438692098093</v>
      </c>
      <c r="V143" s="81">
        <f t="shared" si="52"/>
        <v>0.22530284117005</v>
      </c>
      <c r="W143" s="82" t="str">
        <f t="shared" si="53"/>
        <v>库存过高</v>
      </c>
      <c r="X143" s="83" t="str">
        <f t="shared" si="54"/>
        <v>库存过高</v>
      </c>
      <c r="Y143" s="44">
        <f>IFERROR(SUMIF('3店辅助表'!K:K,B:B,'3店辅助表'!N:N),0)</f>
        <v>15.808</v>
      </c>
      <c r="Z143" s="44">
        <f>IFERROR(SUMIF('3店辅助表'!T:T,B:B,'3店辅助表'!W:W),0)</f>
        <v>35.522</v>
      </c>
      <c r="AA143" s="44">
        <f>IFERROR(SUMIF('3店辅助表'!AC:AC,B:B,'3店辅助表'!AF:AF),0)</f>
        <v>74.134</v>
      </c>
      <c r="AB143" s="91">
        <f>IFERROR(SUMIF('3店辅助表'!K:K,B:B,'3店辅助表'!N:N)/SUMIF('3店辅助表'!K:K,B:B,'3店辅助表'!O:O),"-")</f>
        <v>0.178961191867047</v>
      </c>
      <c r="AC143" s="91">
        <f>IFERROR(VLOOKUP(B:B,'[1]3店'!$B:$AB,27,0),"-")</f>
        <v>0.196608113467236</v>
      </c>
      <c r="AD143" s="92">
        <f t="shared" si="55"/>
        <v>-0.017646921600189</v>
      </c>
      <c r="AE143" s="91">
        <f>IFERROR(SUMIF('3店辅助表'!T:T,B:B,'3店辅助表'!W:W)/SUMIF('3店辅助表'!T:T,B:B,'3店辅助表'!X:X),"-")</f>
        <v>0.226145305457231</v>
      </c>
      <c r="AF143" s="91">
        <f>IFERROR(SUMIF('3店辅助表'!AC:AC,B:B,'3店辅助表'!AF:AF)/SUMIF('3店辅助表'!AC:AC,B:B,'3店辅助表'!AG:AG),"-")</f>
        <v>0.287145203272186</v>
      </c>
      <c r="AG143" s="99">
        <f>IFERROR(AK143/((SUMIF('3店辅助表'!AT:AT,B:B,'3店辅助表'!AU:AU)+M143)/2),"-")</f>
        <v>0.0616016427104723</v>
      </c>
      <c r="AH143" s="99">
        <f>IFERROR(AL143/((SUMIF('3店辅助表'!AW:AW,B:B,'3店辅助表'!AX:AX)+M143)/2),"-")</f>
        <v>0.245231607629428</v>
      </c>
      <c r="AI143" s="100">
        <f>IFERROR((SUMIF('3店辅助表'!AP:AP,B:B,'3店辅助表'!AR:AR)-SUMIF('3店辅助表'!AP:AP,B:B,'3店辅助表'!AR:AR)*0.15-(L143+IFERROR(VLOOKUP(B:B,'3店辅助表'!AZ:BA,2,0),0))*O143-IF(AN:AN="US",6.85,4.9)*(Z143+4.27*O143))/SUMIF('3店辅助表'!AP:AP,B:B,'3店辅助表'!AR:AR),"-")</f>
        <v>0.221020881148137</v>
      </c>
      <c r="AJ143" s="100">
        <f t="shared" si="56"/>
        <v>0.0542013060036304</v>
      </c>
      <c r="AK143" s="101">
        <f t="shared" si="57"/>
        <v>208.5</v>
      </c>
      <c r="AL143" s="101">
        <f t="shared" si="58"/>
        <v>625.5</v>
      </c>
      <c r="AM143" s="1" t="str">
        <f>VLOOKUP(B:B,'3店辅助表'!AZ:AZ,1,FALSE)</f>
        <v>Y3060-BL+Y3061+Y3062</v>
      </c>
      <c r="AN143" t="str">
        <f>VLOOKUP(B:B,'3店辅助表'!AZ:BB,3,FALSE)</f>
        <v>US</v>
      </c>
    </row>
    <row r="144" customHeight="1" spans="1:40">
      <c r="A144" s="58" t="str">
        <f>INDEX('[1]3店'!$A:$A,MATCH(B:B,'[1]3店'!$B:$B,0))</f>
        <v>欣彤</v>
      </c>
      <c r="B144" s="43" t="s">
        <v>998</v>
      </c>
      <c r="C144" s="43" t="s">
        <v>999</v>
      </c>
      <c r="D144" s="59">
        <f>VLOOKUP(B:B,'[1]3店'!$B:$L,3,0)</f>
        <v>44938</v>
      </c>
      <c r="E144" s="43" t="s">
        <v>1000</v>
      </c>
      <c r="F144" s="43">
        <v>63</v>
      </c>
      <c r="G144" s="43">
        <v>1</v>
      </c>
      <c r="H144" s="43">
        <v>1</v>
      </c>
      <c r="I144" s="43">
        <v>0</v>
      </c>
      <c r="J144" s="43">
        <v>0</v>
      </c>
      <c r="K144" s="63">
        <f t="shared" si="47"/>
        <v>65</v>
      </c>
      <c r="L144" s="124">
        <f>VLOOKUP($B:$B,'[1]3店'!$B:$L,11,0)</f>
        <v>13.9</v>
      </c>
      <c r="M144" s="44">
        <f t="shared" si="48"/>
        <v>903.5</v>
      </c>
      <c r="N144" s="65">
        <f>IFERROR(VLOOKUP(B:B,'3店辅助表'!B:C,2,FALSE),0)</f>
        <v>3</v>
      </c>
      <c r="O144" s="65">
        <f>IFERROR(VLOOKUP(B:B,'3店辅助表'!E:F,2,FALSE),0)</f>
        <v>6</v>
      </c>
      <c r="P144" s="65">
        <f>IFERROR(VLOOKUP(B:B,'3店辅助表'!H:I,2,FALSE),0)</f>
        <v>14</v>
      </c>
      <c r="Q144" s="65">
        <f>IFERROR(VLOOKUP(B:B,'[1]3店'!$B:$N,13,FALSE),0)</f>
        <v>3</v>
      </c>
      <c r="R144" s="79">
        <f t="shared" si="49"/>
        <v>0</v>
      </c>
      <c r="S144" s="80">
        <f t="shared" si="50"/>
        <v>150.551470588235</v>
      </c>
      <c r="T144" s="44">
        <f t="shared" si="51"/>
        <v>5.01838235294118</v>
      </c>
      <c r="U144" s="44">
        <f>IFERROR(VLOOKUP($B:$B,'[1]3店'!$B:$T,19,0),"-")</f>
        <v>4.80204778156997</v>
      </c>
      <c r="V144" s="81">
        <f t="shared" si="52"/>
        <v>0.216334571371211</v>
      </c>
      <c r="W144" s="82" t="str">
        <f t="shared" si="53"/>
        <v>库存过高</v>
      </c>
      <c r="X144" s="83" t="str">
        <f t="shared" si="54"/>
        <v>库存过高</v>
      </c>
      <c r="Y144" s="44">
        <f>IFERROR(SUMIF('3店辅助表'!K:K,B:B,'3店辅助表'!N:N),0)</f>
        <v>4.718</v>
      </c>
      <c r="Z144" s="44">
        <f>IFERROR(SUMIF('3店辅助表'!T:T,B:B,'3店辅助表'!W:W),0)</f>
        <v>12.652</v>
      </c>
      <c r="AA144" s="44">
        <f>IFERROR(SUMIF('3店辅助表'!AC:AC,B:B,'3店辅助表'!AF:AF),0)</f>
        <v>20.574</v>
      </c>
      <c r="AB144" s="91">
        <f>IFERROR(SUMIF('3店辅助表'!K:K,B:B,'3店辅助表'!N:N)/SUMIF('3店辅助表'!K:K,B:B,'3店辅助表'!O:O),"-")</f>
        <v>0.454003079291763</v>
      </c>
      <c r="AC144" s="91">
        <f>IFERROR(VLOOKUP(B:B,'[1]3店'!$B:$AB,27,0),"-")</f>
        <v>0.895047472414678</v>
      </c>
      <c r="AD144" s="92">
        <f t="shared" si="55"/>
        <v>-0.441044393122915</v>
      </c>
      <c r="AE144" s="91">
        <f>IFERROR(SUMIF('3店辅助表'!T:T,B:B,'3店辅助表'!W:W)/SUMIF('3店辅助表'!T:T,B:B,'3店辅助表'!X:X),"-")</f>
        <v>0.695699989002529</v>
      </c>
      <c r="AF144" s="91">
        <f>IFERROR(SUMIF('3店辅助表'!AC:AC,B:B,'3店辅助表'!AF:AF)/SUMIF('3店辅助表'!AC:AC,B:B,'3店辅助表'!AG:AG),"-")</f>
        <v>0.497605572485851</v>
      </c>
      <c r="AG144" s="99">
        <f>IFERROR(AK144/((SUMIF('3店辅助表'!AT:AT,B:B,'3店辅助表'!AU:AU)+M144)/2),"-")</f>
        <v>0.0454545454545455</v>
      </c>
      <c r="AH144" s="99">
        <f>IFERROR(AL144/((SUMIF('3店辅助表'!AW:AW,B:B,'3店辅助表'!AX:AX)+M144)/2),"-")</f>
        <v>0.0845070422535211</v>
      </c>
      <c r="AI144" s="100">
        <f>IFERROR((SUMIF('3店辅助表'!AP:AP,B:B,'3店辅助表'!AR:AR)-SUMIF('3店辅助表'!AP:AP,B:B,'3店辅助表'!AR:AR)*0.15-(L144+IFERROR(VLOOKUP(B:B,'3店辅助表'!AZ:BA,2,0),0))*O144-IF(AN:AN="US",6.85,4.9)*(Z144+4.27*O144))/SUMIF('3店辅助表'!AP:AP,B:B,'3店辅助表'!AR:AR),"-")</f>
        <v>0.152643058763151</v>
      </c>
      <c r="AJ144" s="100">
        <f t="shared" si="56"/>
        <v>0.0128994134166043</v>
      </c>
      <c r="AK144" s="101">
        <f t="shared" si="57"/>
        <v>41.7</v>
      </c>
      <c r="AL144" s="101">
        <f t="shared" si="58"/>
        <v>83.4</v>
      </c>
      <c r="AM144" s="1" t="str">
        <f>VLOOKUP(B:B,'3店辅助表'!AZ:AZ,1,FALSE)</f>
        <v>Y3060-BY+Y3061+Y3062</v>
      </c>
      <c r="AN144" t="str">
        <f>VLOOKUP(B:B,'3店辅助表'!AZ:BB,3,FALSE)</f>
        <v>US</v>
      </c>
    </row>
    <row r="145" customHeight="1" spans="1:40">
      <c r="A145" s="58" t="str">
        <f>INDEX('[1]3店'!$A:$A,MATCH(B:B,'[1]3店'!$B:$B,0))</f>
        <v>欣彤</v>
      </c>
      <c r="B145" s="43" t="s">
        <v>1001</v>
      </c>
      <c r="C145" s="43" t="s">
        <v>1002</v>
      </c>
      <c r="D145" s="59">
        <f>VLOOKUP(B:B,'[1]3店'!$B:$L,3,0)</f>
        <v>44938</v>
      </c>
      <c r="E145" s="43" t="s">
        <v>1003</v>
      </c>
      <c r="F145" s="43">
        <v>47</v>
      </c>
      <c r="G145" s="43">
        <v>0</v>
      </c>
      <c r="H145" s="43">
        <v>30</v>
      </c>
      <c r="I145" s="43">
        <v>1</v>
      </c>
      <c r="J145" s="43">
        <v>30</v>
      </c>
      <c r="K145" s="63">
        <f t="shared" si="47"/>
        <v>108</v>
      </c>
      <c r="L145" s="124">
        <f>VLOOKUP($B:$B,'[1]3店'!$B:$L,11,0)</f>
        <v>13.9</v>
      </c>
      <c r="M145" s="44">
        <f t="shared" si="48"/>
        <v>1501.2</v>
      </c>
      <c r="N145" s="65">
        <f>IFERROR(VLOOKUP(B:B,'3店辅助表'!B:C,2,FALSE),0)</f>
        <v>6</v>
      </c>
      <c r="O145" s="65">
        <f>IFERROR(VLOOKUP(B:B,'3店辅助表'!E:F,2,FALSE),0)</f>
        <v>15</v>
      </c>
      <c r="P145" s="65">
        <f>IFERROR(VLOOKUP(B:B,'3店辅助表'!H:I,2,FALSE),0)</f>
        <v>36</v>
      </c>
      <c r="Q145" s="65">
        <f>IFERROR(VLOOKUP(B:B,'[1]3店'!$B:$N,13,FALSE),0)</f>
        <v>10</v>
      </c>
      <c r="R145" s="79">
        <f t="shared" si="49"/>
        <v>-4</v>
      </c>
      <c r="S145" s="80">
        <f t="shared" si="50"/>
        <v>105.981308411215</v>
      </c>
      <c r="T145" s="44">
        <f t="shared" si="51"/>
        <v>3.53271028037383</v>
      </c>
      <c r="U145" s="44">
        <f>IFERROR(VLOOKUP($B:$B,'[1]3店'!$B:$T,19,0),"-")</f>
        <v>1.47713950762016</v>
      </c>
      <c r="V145" s="81">
        <f t="shared" si="52"/>
        <v>2.05557077275367</v>
      </c>
      <c r="W145" s="82" t="str">
        <f t="shared" si="53"/>
        <v>库存过高</v>
      </c>
      <c r="X145" s="83" t="str">
        <f t="shared" si="54"/>
        <v>库存过高</v>
      </c>
      <c r="Y145" s="44">
        <f>IFERROR(SUMIF('3店辅助表'!K:K,B:B,'3店辅助表'!N:N),0)</f>
        <v>4.718</v>
      </c>
      <c r="Z145" s="44">
        <f>IFERROR(SUMIF('3店辅助表'!T:T,B:B,'3店辅助表'!W:W),0)</f>
        <v>12.652</v>
      </c>
      <c r="AA145" s="44">
        <f>IFERROR(SUMIF('3店辅助表'!AC:AC,B:B,'3店辅助表'!AF:AF),0)</f>
        <v>20.574</v>
      </c>
      <c r="AB145" s="91">
        <f>IFERROR(SUMIF('3店辅助表'!K:K,B:B,'3店辅助表'!N:N)/SUMIF('3店辅助表'!K:K,B:B,'3店辅助表'!O:O),"-")</f>
        <v>0.454003079291763</v>
      </c>
      <c r="AC145" s="91">
        <f>IFERROR(VLOOKUP(B:B,'[1]3店'!$B:$AB,27,0),"-")</f>
        <v>0.895047472414678</v>
      </c>
      <c r="AD145" s="92">
        <f t="shared" si="55"/>
        <v>-0.441044393122915</v>
      </c>
      <c r="AE145" s="91">
        <f>IFERROR(SUMIF('3店辅助表'!T:T,B:B,'3店辅助表'!W:W)/SUMIF('3店辅助表'!T:T,B:B,'3店辅助表'!X:X),"-")</f>
        <v>0.695699989002529</v>
      </c>
      <c r="AF145" s="91">
        <f>IFERROR(SUMIF('3店辅助表'!AC:AC,B:B,'3店辅助表'!AF:AF)/SUMIF('3店辅助表'!AC:AC,B:B,'3店辅助表'!AG:AG),"-")</f>
        <v>0.497605572485851</v>
      </c>
      <c r="AG145" s="99">
        <f>IFERROR(AK145/((SUMIF('3店辅助表'!AT:AT,B:B,'3店辅助表'!AU:AU)+M145)/2),"-")</f>
        <v>0.0714285714285714</v>
      </c>
      <c r="AH145" s="99">
        <f>IFERROR(AL145/((SUMIF('3店辅助表'!AW:AW,B:B,'3店辅助表'!AX:AX)+M145)/2),"-")</f>
        <v>0.182926829268293</v>
      </c>
      <c r="AI145" s="100">
        <f>IFERROR((SUMIF('3店辅助表'!AP:AP,B:B,'3店辅助表'!AR:AR)-SUMIF('3店辅助表'!AP:AP,B:B,'3店辅助表'!AR:AR)*0.15-(L145+IFERROR(VLOOKUP(B:B,'3店辅助表'!AZ:BA,2,0),0))*O145-IF(AN:AN="US",6.85,4.9)*(Z145+4.27*O145))/SUMIF('3店辅助表'!AP:AP,B:B,'3店辅助表'!AR:AR),"-")</f>
        <v>0.201551228358654</v>
      </c>
      <c r="AJ145" s="100">
        <f t="shared" si="56"/>
        <v>0.0368691271387782</v>
      </c>
      <c r="AK145" s="101">
        <f t="shared" si="57"/>
        <v>83.4</v>
      </c>
      <c r="AL145" s="101">
        <f t="shared" si="58"/>
        <v>208.5</v>
      </c>
      <c r="AM145" s="1" t="str">
        <f>VLOOKUP(B:B,'3店辅助表'!AZ:AZ,1,FALSE)</f>
        <v>Y3060-DB+Y3061+Y3062</v>
      </c>
      <c r="AN145" t="str">
        <f>VLOOKUP(B:B,'3店辅助表'!AZ:BB,3,FALSE)</f>
        <v>US</v>
      </c>
    </row>
    <row r="146" customHeight="1" spans="1:40">
      <c r="A146" s="58" t="str">
        <f>INDEX('[1]3店'!$A:$A,MATCH(B:B,'[1]3店'!$B:$B,0))</f>
        <v>欣彤</v>
      </c>
      <c r="B146" s="43" t="s">
        <v>1004</v>
      </c>
      <c r="C146" s="43" t="s">
        <v>1005</v>
      </c>
      <c r="D146" s="59">
        <f>VLOOKUP(B:B,'[1]3店'!$B:$L,3,0)</f>
        <v>44938</v>
      </c>
      <c r="E146" s="43" t="s">
        <v>1006</v>
      </c>
      <c r="F146" s="43">
        <v>47</v>
      </c>
      <c r="G146" s="43">
        <v>0</v>
      </c>
      <c r="H146" s="43">
        <v>0</v>
      </c>
      <c r="I146" s="43">
        <v>0</v>
      </c>
      <c r="J146" s="43">
        <v>0</v>
      </c>
      <c r="K146" s="63">
        <f t="shared" si="47"/>
        <v>47</v>
      </c>
      <c r="L146" s="124">
        <f>VLOOKUP($B:$B,'[1]3店'!$B:$L,11,0)</f>
        <v>13.9</v>
      </c>
      <c r="M146" s="44">
        <f t="shared" si="48"/>
        <v>653.3</v>
      </c>
      <c r="N146" s="65">
        <f>IFERROR(VLOOKUP(B:B,'3店辅助表'!B:C,2,FALSE),0)</f>
        <v>6</v>
      </c>
      <c r="O146" s="65">
        <f>IFERROR(VLOOKUP(B:B,'3店辅助表'!E:F,2,FALSE),0)</f>
        <v>8</v>
      </c>
      <c r="P146" s="65">
        <f>IFERROR(VLOOKUP(B:B,'3店辅助表'!H:I,2,FALSE),0)</f>
        <v>10</v>
      </c>
      <c r="Q146" s="65">
        <f>IFERROR(VLOOKUP(B:B,'[1]3店'!$B:$N,13,FALSE),0)</f>
        <v>2</v>
      </c>
      <c r="R146" s="79">
        <f t="shared" si="49"/>
        <v>4</v>
      </c>
      <c r="S146" s="80">
        <f t="shared" si="50"/>
        <v>81.7955801104972</v>
      </c>
      <c r="T146" s="44">
        <f t="shared" si="51"/>
        <v>2.72651933701657</v>
      </c>
      <c r="U146" s="44">
        <f>IFERROR(VLOOKUP($B:$B,'[1]3店'!$B:$T,19,0),"-")</f>
        <v>6.74545454545455</v>
      </c>
      <c r="V146" s="81">
        <f t="shared" si="52"/>
        <v>-4.01893520843798</v>
      </c>
      <c r="W146" s="82" t="str">
        <f t="shared" si="53"/>
        <v>库存过高</v>
      </c>
      <c r="X146" s="83" t="str">
        <f t="shared" si="54"/>
        <v>库存过高</v>
      </c>
      <c r="Y146" s="44">
        <f>IFERROR(SUMIF('3店辅助表'!K:K,B:B,'3店辅助表'!N:N),0)</f>
        <v>4.718</v>
      </c>
      <c r="Z146" s="44">
        <f>IFERROR(SUMIF('3店辅助表'!T:T,B:B,'3店辅助表'!W:W),0)</f>
        <v>12.652</v>
      </c>
      <c r="AA146" s="44">
        <f>IFERROR(SUMIF('3店辅助表'!AC:AC,B:B,'3店辅助表'!AF:AF),0)</f>
        <v>20.574</v>
      </c>
      <c r="AB146" s="91">
        <f>IFERROR(SUMIF('3店辅助表'!K:K,B:B,'3店辅助表'!N:N)/SUMIF('3店辅助表'!K:K,B:B,'3店辅助表'!O:O),"-")</f>
        <v>0.454003079291763</v>
      </c>
      <c r="AC146" s="91">
        <f>IFERROR(VLOOKUP(B:B,'[1]3店'!$B:$AB,27,0),"-")</f>
        <v>0.895047472414678</v>
      </c>
      <c r="AD146" s="92">
        <f t="shared" si="55"/>
        <v>-0.441044393122915</v>
      </c>
      <c r="AE146" s="91">
        <f>IFERROR(SUMIF('3店辅助表'!T:T,B:B,'3店辅助表'!W:W)/SUMIF('3店辅助表'!T:T,B:B,'3店辅助表'!X:X),"-")</f>
        <v>0.695699989002529</v>
      </c>
      <c r="AF146" s="91">
        <f>IFERROR(SUMIF('3店辅助表'!AC:AC,B:B,'3店辅助表'!AF:AF)/SUMIF('3店辅助表'!AC:AC,B:B,'3店辅助表'!AG:AG),"-")</f>
        <v>0.497605572485851</v>
      </c>
      <c r="AG146" s="99">
        <f>IFERROR(AK146/((SUMIF('3店辅助表'!AT:AT,B:B,'3店辅助表'!AU:AU)+M146)/2),"-")</f>
        <v>0.12</v>
      </c>
      <c r="AH146" s="99">
        <f>IFERROR(AL146/((SUMIF('3店辅助表'!AW:AW,B:B,'3店辅助表'!AX:AX)+M146)/2),"-")</f>
        <v>0.148148148148148</v>
      </c>
      <c r="AI146" s="100">
        <f>IFERROR((SUMIF('3店辅助表'!AP:AP,B:B,'3店辅助表'!AR:AR)-SUMIF('3店辅助表'!AP:AP,B:B,'3店辅助表'!AR:AR)*0.15-(L146+IFERROR(VLOOKUP(B:B,'3店辅助表'!AZ:BA,2,0),0))*O146-IF(AN:AN="US",6.85,4.9)*(Z146+4.27*O146))/SUMIF('3店辅助表'!AP:AP,B:B,'3店辅助表'!AR:AR),"-")</f>
        <v>0.199620145760636</v>
      </c>
      <c r="AJ146" s="100">
        <f t="shared" si="56"/>
        <v>0.0295733549275016</v>
      </c>
      <c r="AK146" s="101">
        <f t="shared" si="57"/>
        <v>83.4</v>
      </c>
      <c r="AL146" s="101">
        <f t="shared" si="58"/>
        <v>111.2</v>
      </c>
      <c r="AM146" s="1" t="str">
        <f>VLOOKUP(B:B,'3店辅助表'!AZ:AZ,1,FALSE)</f>
        <v>Y3060-GK+Y3061+Y3062</v>
      </c>
      <c r="AN146" t="str">
        <f>VLOOKUP(B:B,'3店辅助表'!AZ:BB,3,FALSE)</f>
        <v>US</v>
      </c>
    </row>
    <row r="147" customHeight="1" spans="1:40">
      <c r="A147" s="58" t="str">
        <f>INDEX('[1]3店'!$A:$A,MATCH(B:B,'[1]3店'!$B:$B,0))</f>
        <v>欣彤</v>
      </c>
      <c r="B147" s="43" t="s">
        <v>1007</v>
      </c>
      <c r="C147" s="43" t="s">
        <v>1008</v>
      </c>
      <c r="D147" s="59">
        <f>VLOOKUP(B:B,'[1]3店'!$B:$L,3,0)</f>
        <v>44938</v>
      </c>
      <c r="E147" s="43" t="s">
        <v>1009</v>
      </c>
      <c r="F147" s="43">
        <v>68</v>
      </c>
      <c r="G147" s="43">
        <v>0</v>
      </c>
      <c r="H147" s="43">
        <v>1</v>
      </c>
      <c r="I147" s="43">
        <v>1</v>
      </c>
      <c r="J147" s="43">
        <v>1</v>
      </c>
      <c r="K147" s="63">
        <f t="shared" si="47"/>
        <v>71</v>
      </c>
      <c r="L147" s="124">
        <f>VLOOKUP($B:$B,'[1]3店'!$B:$L,11,0)</f>
        <v>13.9</v>
      </c>
      <c r="M147" s="44">
        <f t="shared" si="48"/>
        <v>986.9</v>
      </c>
      <c r="N147" s="65">
        <f>IFERROR(VLOOKUP(B:B,'3店辅助表'!B:C,2,FALSE),0)</f>
        <v>8</v>
      </c>
      <c r="O147" s="65">
        <f>IFERROR(VLOOKUP(B:B,'3店辅助表'!E:F,2,FALSE),0)</f>
        <v>14</v>
      </c>
      <c r="P147" s="65">
        <f>IFERROR(VLOOKUP(B:B,'3店辅助表'!H:I,2,FALSE),0)</f>
        <v>29</v>
      </c>
      <c r="Q147" s="65">
        <f>IFERROR(VLOOKUP(B:B,'[1]3店'!$B:$N,13,FALSE),0)</f>
        <v>4</v>
      </c>
      <c r="R147" s="79">
        <f t="shared" si="49"/>
        <v>4</v>
      </c>
      <c r="S147" s="80">
        <f t="shared" si="50"/>
        <v>70</v>
      </c>
      <c r="T147" s="44">
        <f t="shared" si="51"/>
        <v>2.33333333333333</v>
      </c>
      <c r="U147" s="44">
        <f>IFERROR(VLOOKUP($B:$B,'[1]3店'!$B:$T,19,0),"-")</f>
        <v>3.71922246220302</v>
      </c>
      <c r="V147" s="81">
        <f t="shared" si="52"/>
        <v>-1.38588912886969</v>
      </c>
      <c r="W147" s="82" t="str">
        <f t="shared" si="53"/>
        <v>库存过高</v>
      </c>
      <c r="X147" s="83" t="str">
        <f t="shared" si="54"/>
        <v>库存过高</v>
      </c>
      <c r="Y147" s="44">
        <f>IFERROR(SUMIF('3店辅助表'!K:K,B:B,'3店辅助表'!N:N),0)</f>
        <v>48.798</v>
      </c>
      <c r="Z147" s="44">
        <f>IFERROR(SUMIF('3店辅助表'!T:T,B:B,'3店辅助表'!W:W),0)</f>
        <v>101.182</v>
      </c>
      <c r="AA147" s="44">
        <f>IFERROR(SUMIF('3店辅助表'!AC:AC,B:B,'3店辅助表'!AF:AF),0)</f>
        <v>200.344</v>
      </c>
      <c r="AB147" s="91">
        <f>IFERROR(SUMIF('3店辅助表'!K:K,B:B,'3店辅助表'!N:N)/SUMIF('3店辅助表'!K:K,B:B,'3店辅助表'!O:O),"-")</f>
        <v>0.552438527373998</v>
      </c>
      <c r="AC147" s="91">
        <f>IFERROR(VLOOKUP(B:B,'[1]3店'!$B:$AB,27,0),"-")</f>
        <v>0.350782875453703</v>
      </c>
      <c r="AD147" s="92">
        <f t="shared" si="55"/>
        <v>0.201655651920295</v>
      </c>
      <c r="AE147" s="91">
        <f>IFERROR(SUMIF('3店辅助表'!T:T,B:B,'3店辅助表'!W:W)/SUMIF('3店辅助表'!T:T,B:B,'3店辅助表'!X:X),"-")</f>
        <v>0.434227692518969</v>
      </c>
      <c r="AF147" s="91">
        <f>IFERROR(SUMIF('3店辅助表'!AC:AC,B:B,'3店辅助表'!AF:AF)/SUMIF('3店辅助表'!AC:AC,B:B,'3店辅助表'!AG:AG),"-")</f>
        <v>0.378746460074939</v>
      </c>
      <c r="AG147" s="99">
        <f>IFERROR(AK147/((SUMIF('3店辅助表'!AT:AT,B:B,'3店辅助表'!AU:AU)+M147)/2),"-")</f>
        <v>0.104575163398693</v>
      </c>
      <c r="AH147" s="99">
        <f>IFERROR(AL147/((SUMIF('3店辅助表'!AW:AW,B:B,'3店辅助表'!AX:AX)+M147)/2),"-")</f>
        <v>0.231404958677686</v>
      </c>
      <c r="AI147" s="100">
        <f>IFERROR((SUMIF('3店辅助表'!AP:AP,B:B,'3店辅助表'!AR:AR)-SUMIF('3店辅助表'!AP:AP,B:B,'3店辅助表'!AR:AR)*0.15-(L147+IFERROR(VLOOKUP(B:B,'3店辅助表'!AZ:BA,2,0),0))*O147-IF(AN:AN="US",6.85,4.9)*(Z147+4.27*O147))/SUMIF('3店辅助表'!AP:AP,B:B,'3店辅助表'!AR:AR),"-")</f>
        <v>-0.263738846513415</v>
      </c>
      <c r="AJ147" s="100">
        <f t="shared" si="56"/>
        <v>-0.0610304768791372</v>
      </c>
      <c r="AK147" s="101">
        <f t="shared" si="57"/>
        <v>111.2</v>
      </c>
      <c r="AL147" s="101">
        <f t="shared" si="58"/>
        <v>194.6</v>
      </c>
      <c r="AM147" s="1" t="str">
        <f>VLOOKUP(B:B,'3店辅助表'!AZ:AZ,1,FALSE)</f>
        <v>Y3060-OR+Y3061+Y3062</v>
      </c>
      <c r="AN147" t="str">
        <f>VLOOKUP(B:B,'3店辅助表'!AZ:BB,3,FALSE)</f>
        <v>US</v>
      </c>
    </row>
    <row r="148" customHeight="1" spans="1:40">
      <c r="A148" s="58" t="s">
        <v>948</v>
      </c>
      <c r="B148" s="43" t="s">
        <v>1010</v>
      </c>
      <c r="C148" s="43" t="s">
        <v>1011</v>
      </c>
      <c r="D148" s="59">
        <v>44959</v>
      </c>
      <c r="E148" s="43" t="s">
        <v>1012</v>
      </c>
      <c r="F148" s="43">
        <v>0</v>
      </c>
      <c r="G148" s="43">
        <v>0</v>
      </c>
      <c r="H148" s="43">
        <v>20</v>
      </c>
      <c r="I148" s="43">
        <v>0</v>
      </c>
      <c r="J148" s="43">
        <v>0</v>
      </c>
      <c r="K148" s="63">
        <f t="shared" si="47"/>
        <v>20</v>
      </c>
      <c r="L148" s="124">
        <v>15.4</v>
      </c>
      <c r="M148" s="44">
        <f t="shared" si="48"/>
        <v>308</v>
      </c>
      <c r="N148" s="65">
        <f>IFERROR(VLOOKUP(B:B,'3店辅助表'!B:C,2,FALSE),0)</f>
        <v>0</v>
      </c>
      <c r="O148" s="65">
        <f>IFERROR(VLOOKUP(B:B,'3店辅助表'!E:F,2,FALSE),0)</f>
        <v>0</v>
      </c>
      <c r="P148" s="65">
        <f>IFERROR(VLOOKUP(B:B,'3店辅助表'!H:I,2,FALSE),0)</f>
        <v>6</v>
      </c>
      <c r="Q148" s="65">
        <f>IFERROR(VLOOKUP(B:B,'[1]3店'!$B:$N,13,FALSE),0)</f>
        <v>0</v>
      </c>
      <c r="R148" s="79">
        <f t="shared" si="49"/>
        <v>0</v>
      </c>
      <c r="S148" s="80">
        <f t="shared" si="50"/>
        <v>300</v>
      </c>
      <c r="T148" s="44">
        <f t="shared" si="51"/>
        <v>10</v>
      </c>
      <c r="U148" s="44" t="str">
        <f>IFERROR(VLOOKUP($B:$B,'[1]3店'!$B:$T,19,0),"-")</f>
        <v>-</v>
      </c>
      <c r="V148" s="81" t="str">
        <f t="shared" si="52"/>
        <v>-</v>
      </c>
      <c r="W148" s="82" t="str">
        <f t="shared" si="53"/>
        <v>有库存无销量</v>
      </c>
      <c r="X148" s="83" t="str">
        <f t="shared" si="54"/>
        <v>库存过高</v>
      </c>
      <c r="Y148" s="44">
        <f>IFERROR(SUMIF('3店辅助表'!K:K,B:B,'3店辅助表'!N:N),0)</f>
        <v>0</v>
      </c>
      <c r="Z148" s="44">
        <f>IFERROR(SUMIF('3店辅助表'!T:T,B:B,'3店辅助表'!W:W),0)</f>
        <v>0</v>
      </c>
      <c r="AA148" s="44">
        <f>IFERROR(SUMIF('3店辅助表'!AC:AC,B:B,'3店辅助表'!AF:AF),0)</f>
        <v>22.05</v>
      </c>
      <c r="AB148" s="91" t="str">
        <f>IFERROR(SUMIF('3店辅助表'!K:K,B:B,'3店辅助表'!N:N)/SUMIF('3店辅助表'!K:K,B:B,'3店辅助表'!O:O),"-")</f>
        <v>-</v>
      </c>
      <c r="AC148" s="91" t="str">
        <f>IFERROR(VLOOKUP(B:B,'[1]3店'!$B:$AB,27,0),"-")</f>
        <v>-</v>
      </c>
      <c r="AD148" s="92" t="str">
        <f t="shared" si="55"/>
        <v>-</v>
      </c>
      <c r="AE148" s="91" t="str">
        <f>IFERROR(SUMIF('3店辅助表'!T:T,B:B,'3店辅助表'!W:W)/SUMIF('3店辅助表'!T:T,B:B,'3店辅助表'!X:X),"-")</f>
        <v>-</v>
      </c>
      <c r="AF148" s="91">
        <f>IFERROR(SUMIF('3店辅助表'!AC:AC,B:B,'3店辅助表'!AF:AF)/SUMIF('3店辅助表'!AC:AC,B:B,'3店辅助表'!AG:AG),"-")</f>
        <v>0.245245245245245</v>
      </c>
      <c r="AG148" s="99">
        <f>IFERROR(AK148/((SUMIF('3店辅助表'!AT:AT,B:B,'3店辅助表'!AU:AU)+M148)/2),"-")</f>
        <v>0</v>
      </c>
      <c r="AH148" s="99">
        <f>IFERROR(AL148/((SUMIF('3店辅助表'!AW:AW,B:B,'3店辅助表'!AX:AX)+M148)/2),"-")</f>
        <v>0</v>
      </c>
      <c r="AI148" s="100" t="str">
        <f>IFERROR((SUMIF('3店辅助表'!AP:AP,B:B,'3店辅助表'!AR:AR)-SUMIF('3店辅助表'!AP:AP,B:B,'3店辅助表'!AR:AR)*0.15-(L148+IFERROR(VLOOKUP(B:B,'3店辅助表'!AZ:BA,2,0),0))*O148-IF(AN:AN="US",6.85,4.9)*(Z148+4.27*O148))/SUMIF('3店辅助表'!AP:AP,B:B,'3店辅助表'!AR:AR),"-")</f>
        <v>-</v>
      </c>
      <c r="AJ148" s="100" t="str">
        <f t="shared" si="56"/>
        <v>-</v>
      </c>
      <c r="AK148" s="101">
        <f t="shared" si="57"/>
        <v>0</v>
      </c>
      <c r="AL148" s="101">
        <f t="shared" si="58"/>
        <v>0</v>
      </c>
      <c r="AM148" s="1" t="str">
        <f>VLOOKUP(B:B,'3店辅助表'!AZ:AZ,1,FALSE)</f>
        <v>Y3054-BL+Y3055</v>
      </c>
      <c r="AN148" t="str">
        <f>VLOOKUP(B:B,'3店辅助表'!AZ:BB,3,FALSE)</f>
        <v>US</v>
      </c>
    </row>
    <row r="149" customHeight="1" spans="1:40">
      <c r="A149" s="58" t="str">
        <f>INDEX('[1]3店'!$A:$A,MATCH(B:B,'[1]3店'!$B:$B,0))</f>
        <v>欣彤</v>
      </c>
      <c r="B149" s="43" t="s">
        <v>1013</v>
      </c>
      <c r="C149" s="43" t="s">
        <v>1011</v>
      </c>
      <c r="D149" s="59">
        <f>VLOOKUP(B:B,'[1]3店'!$B:$L,3,0)</f>
        <v>44946</v>
      </c>
      <c r="E149" s="43" t="s">
        <v>1014</v>
      </c>
      <c r="F149" s="43">
        <v>17</v>
      </c>
      <c r="G149" s="43">
        <v>0</v>
      </c>
      <c r="H149" s="43">
        <v>0</v>
      </c>
      <c r="I149" s="43">
        <v>0</v>
      </c>
      <c r="J149" s="43">
        <v>0</v>
      </c>
      <c r="K149" s="63">
        <f t="shared" si="47"/>
        <v>17</v>
      </c>
      <c r="L149" s="124">
        <f>VLOOKUP($B:$B,'[1]3店'!$B:$L,11,0)</f>
        <v>13.7</v>
      </c>
      <c r="M149" s="44">
        <f t="shared" si="48"/>
        <v>232.9</v>
      </c>
      <c r="N149" s="65">
        <f>IFERROR(VLOOKUP(B:B,'3店辅助表'!B:C,2,FALSE),0)</f>
        <v>0</v>
      </c>
      <c r="O149" s="65">
        <f>IFERROR(VLOOKUP(B:B,'3店辅助表'!E:F,2,FALSE),0)</f>
        <v>0</v>
      </c>
      <c r="P149" s="65">
        <f>IFERROR(VLOOKUP(B:B,'3店辅助表'!H:I,2,FALSE),0)</f>
        <v>3</v>
      </c>
      <c r="Q149" s="65">
        <f>IFERROR(VLOOKUP(B:B,'[1]3店'!$B:$N,13,FALSE),0)</f>
        <v>0</v>
      </c>
      <c r="R149" s="79">
        <f t="shared" si="49"/>
        <v>0</v>
      </c>
      <c r="S149" s="80">
        <f t="shared" si="50"/>
        <v>510</v>
      </c>
      <c r="T149" s="44">
        <f t="shared" si="51"/>
        <v>17</v>
      </c>
      <c r="U149" s="44">
        <f>IFERROR(VLOOKUP($B:$B,'[1]3店'!$B:$T,19,0),"-")</f>
        <v>17</v>
      </c>
      <c r="V149" s="81">
        <f t="shared" si="52"/>
        <v>0</v>
      </c>
      <c r="W149" s="82" t="str">
        <f t="shared" si="53"/>
        <v>有库存无销量</v>
      </c>
      <c r="X149" s="83" t="str">
        <f t="shared" si="54"/>
        <v>库存过高</v>
      </c>
      <c r="Y149" s="44">
        <f>IFERROR(SUMIF('3店辅助表'!K:K,B:B,'3店辅助表'!N:N),0)</f>
        <v>0</v>
      </c>
      <c r="Z149" s="44">
        <f>IFERROR(SUMIF('3店辅助表'!T:T,B:B,'3店辅助表'!W:W),0)</f>
        <v>0</v>
      </c>
      <c r="AA149" s="44">
        <f>IFERROR(SUMIF('3店辅助表'!AC:AC,B:B,'3店辅助表'!AF:AF),0)</f>
        <v>0</v>
      </c>
      <c r="AB149" s="91" t="str">
        <f>IFERROR(SUMIF('3店辅助表'!K:K,B:B,'3店辅助表'!N:N)/SUMIF('3店辅助表'!K:K,B:B,'3店辅助表'!O:O),"-")</f>
        <v>-</v>
      </c>
      <c r="AC149" s="91" t="str">
        <f>IFERROR(VLOOKUP(B:B,'[1]3店'!$B:$AB,27,0),"-")</f>
        <v>-</v>
      </c>
      <c r="AD149" s="92" t="str">
        <f t="shared" si="55"/>
        <v>-</v>
      </c>
      <c r="AE149" s="91" t="str">
        <f>IFERROR(SUMIF('3店辅助表'!T:T,B:B,'3店辅助表'!W:W)/SUMIF('3店辅助表'!T:T,B:B,'3店辅助表'!X:X),"-")</f>
        <v>-</v>
      </c>
      <c r="AF149" s="91" t="str">
        <f>IFERROR(SUMIF('3店辅助表'!AC:AC,B:B,'3店辅助表'!AF:AF)/SUMIF('3店辅助表'!AC:AC,B:B,'3店辅助表'!AG:AG),"-")</f>
        <v>-</v>
      </c>
      <c r="AG149" s="99">
        <f>IFERROR(AK149/((SUMIF('3店辅助表'!AT:AT,B:B,'3店辅助表'!AU:AU)+M149)/2),"-")</f>
        <v>0</v>
      </c>
      <c r="AH149" s="99">
        <f>IFERROR(AL149/((SUMIF('3店辅助表'!AW:AW,B:B,'3店辅助表'!AX:AX)+M149)/2),"-")</f>
        <v>0</v>
      </c>
      <c r="AI149" s="100" t="str">
        <f>IFERROR((SUMIF('3店辅助表'!AP:AP,B:B,'3店辅助表'!AR:AR)-SUMIF('3店辅助表'!AP:AP,B:B,'3店辅助表'!AR:AR)*0.15-(L149+IFERROR(VLOOKUP(B:B,'3店辅助表'!AZ:BA,2,0),0))*O149-IF(AN:AN="US",6.85,4.9)*(Z149+4.27*O149))/SUMIF('3店辅助表'!AP:AP,B:B,'3店辅助表'!AR:AR),"-")</f>
        <v>-</v>
      </c>
      <c r="AJ149" s="100" t="str">
        <f t="shared" si="56"/>
        <v>-</v>
      </c>
      <c r="AK149" s="101">
        <f t="shared" si="57"/>
        <v>0</v>
      </c>
      <c r="AL149" s="101">
        <f t="shared" si="58"/>
        <v>0</v>
      </c>
      <c r="AM149" s="1" t="str">
        <f>VLOOKUP(B:B,'3店辅助表'!AZ:AZ,1,FALSE)</f>
        <v>Y3054-GN+Y3055</v>
      </c>
      <c r="AN149" t="str">
        <f>VLOOKUP(B:B,'3店辅助表'!AZ:BB,3,FALSE)</f>
        <v>US</v>
      </c>
    </row>
    <row r="150" customHeight="1" spans="1:40">
      <c r="A150" s="58" t="str">
        <f>INDEX('[1]3店'!$A:$A,MATCH(B:B,'[1]3店'!$B:$B,0))</f>
        <v>欣彤</v>
      </c>
      <c r="B150" s="43" t="s">
        <v>1015</v>
      </c>
      <c r="C150" s="43" t="s">
        <v>1011</v>
      </c>
      <c r="D150" s="59">
        <f>VLOOKUP(B:B,'[1]3店'!$B:$L,3,0)</f>
        <v>44946</v>
      </c>
      <c r="E150" s="43" t="s">
        <v>1016</v>
      </c>
      <c r="F150" s="43">
        <v>6</v>
      </c>
      <c r="G150" s="43">
        <v>0</v>
      </c>
      <c r="H150" s="43">
        <v>8</v>
      </c>
      <c r="I150" s="43">
        <v>0</v>
      </c>
      <c r="J150" s="43">
        <v>0</v>
      </c>
      <c r="K150" s="63">
        <f t="shared" si="47"/>
        <v>14</v>
      </c>
      <c r="L150" s="124">
        <f>VLOOKUP($B:$B,'[1]3店'!$B:$L,11,0)</f>
        <v>13.7</v>
      </c>
      <c r="M150" s="44">
        <f t="shared" si="48"/>
        <v>191.8</v>
      </c>
      <c r="N150" s="65">
        <f>IFERROR(VLOOKUP(B:B,'3店辅助表'!B:C,2,FALSE),0)</f>
        <v>2</v>
      </c>
      <c r="O150" s="65">
        <f>IFERROR(VLOOKUP(B:B,'3店辅助表'!E:F,2,FALSE),0)</f>
        <v>4</v>
      </c>
      <c r="P150" s="65">
        <f>IFERROR(VLOOKUP(B:B,'3店辅助表'!H:I,2,FALSE),0)</f>
        <v>5</v>
      </c>
      <c r="Q150" s="65">
        <f>IFERROR(VLOOKUP(B:B,'[1]3店'!$B:$N,13,FALSE),0)</f>
        <v>2</v>
      </c>
      <c r="R150" s="79">
        <f t="shared" si="49"/>
        <v>0</v>
      </c>
      <c r="S150" s="80">
        <f t="shared" si="50"/>
        <v>58.4105960264901</v>
      </c>
      <c r="T150" s="44">
        <f t="shared" si="51"/>
        <v>1.94701986754967</v>
      </c>
      <c r="U150" s="44">
        <f>IFERROR(VLOOKUP($B:$B,'[1]3店'!$B:$T,19,0),"-")</f>
        <v>1.13076923076923</v>
      </c>
      <c r="V150" s="81">
        <f t="shared" si="52"/>
        <v>0.81625063678044</v>
      </c>
      <c r="W150" s="82" t="str">
        <f t="shared" si="53"/>
        <v>库存过高</v>
      </c>
      <c r="X150" s="83" t="str">
        <f t="shared" si="54"/>
        <v>库存过高</v>
      </c>
      <c r="Y150" s="44">
        <f>IFERROR(SUMIF('3店辅助表'!K:K,B:B,'3店辅助表'!N:N),0)</f>
        <v>0</v>
      </c>
      <c r="Z150" s="44">
        <f>IFERROR(SUMIF('3店辅助表'!T:T,B:B,'3店辅助表'!W:W),0)</f>
        <v>0</v>
      </c>
      <c r="AA150" s="44">
        <f>IFERROR(SUMIF('3店辅助表'!AC:AC,B:B,'3店辅助表'!AF:AF),0)</f>
        <v>0</v>
      </c>
      <c r="AB150" s="91" t="str">
        <f>IFERROR(SUMIF('3店辅助表'!K:K,B:B,'3店辅助表'!N:N)/SUMIF('3店辅助表'!K:K,B:B,'3店辅助表'!O:O),"-")</f>
        <v>-</v>
      </c>
      <c r="AC150" s="91" t="str">
        <f>IFERROR(VLOOKUP(B:B,'[1]3店'!$B:$AB,27,0),"-")</f>
        <v>-</v>
      </c>
      <c r="AD150" s="92" t="str">
        <f t="shared" si="55"/>
        <v>-</v>
      </c>
      <c r="AE150" s="91" t="str">
        <f>IFERROR(SUMIF('3店辅助表'!T:T,B:B,'3店辅助表'!W:W)/SUMIF('3店辅助表'!T:T,B:B,'3店辅助表'!X:X),"-")</f>
        <v>-</v>
      </c>
      <c r="AF150" s="91" t="str">
        <f>IFERROR(SUMIF('3店辅助表'!AC:AC,B:B,'3店辅助表'!AF:AF)/SUMIF('3店辅助表'!AC:AC,B:B,'3店辅助表'!AG:AG),"-")</f>
        <v>-</v>
      </c>
      <c r="AG150" s="99">
        <f>IFERROR(AK150/((SUMIF('3店辅助表'!AT:AT,B:B,'3店辅助表'!AU:AU)+M150)/2),"-")</f>
        <v>0.19047619047619</v>
      </c>
      <c r="AH150" s="99">
        <f>IFERROR(AL150/((SUMIF('3店辅助表'!AW:AW,B:B,'3店辅助表'!AX:AX)+M150)/2),"-")</f>
        <v>0.333333333333333</v>
      </c>
      <c r="AI150" s="100">
        <f>IFERROR((SUMIF('3店辅助表'!AP:AP,B:B,'3店辅助表'!AR:AR)-SUMIF('3店辅助表'!AP:AP,B:B,'3店辅助表'!AR:AR)*0.15-(L150+IFERROR(VLOOKUP(B:B,'3店辅助表'!AZ:BA,2,0),0))*O150-IF(AN:AN="US",6.85,4.9)*(Z150+4.27*O150))/SUMIF('3店辅助表'!AP:AP,B:B,'3店辅助表'!AR:AR),"-")</f>
        <v>0.229381127664164</v>
      </c>
      <c r="AJ150" s="100">
        <f t="shared" si="56"/>
        <v>0.0764603758880547</v>
      </c>
      <c r="AK150" s="101">
        <f t="shared" si="57"/>
        <v>27.4</v>
      </c>
      <c r="AL150" s="101">
        <f t="shared" si="58"/>
        <v>54.8</v>
      </c>
      <c r="AM150" s="1" t="str">
        <f>VLOOKUP(B:B,'3店辅助表'!AZ:AZ,1,FALSE)</f>
        <v>Y3054-GY+Y3055</v>
      </c>
      <c r="AN150" t="str">
        <f>VLOOKUP(B:B,'3店辅助表'!AZ:BB,3,FALSE)</f>
        <v>US</v>
      </c>
    </row>
    <row r="151" customHeight="1" spans="1:40">
      <c r="A151" s="58" t="str">
        <f>INDEX('[1]3店'!$A:$A,MATCH(B:B,'[1]3店'!$B:$B,0))</f>
        <v>欣彤</v>
      </c>
      <c r="B151" s="43" t="s">
        <v>1017</v>
      </c>
      <c r="C151" s="43" t="s">
        <v>1011</v>
      </c>
      <c r="D151" s="59">
        <f>VLOOKUP(B:B,'[1]3店'!$B:$L,3,0)</f>
        <v>44946</v>
      </c>
      <c r="E151" s="43" t="s">
        <v>1018</v>
      </c>
      <c r="F151" s="43">
        <v>21</v>
      </c>
      <c r="G151" s="43">
        <v>0</v>
      </c>
      <c r="H151" s="43">
        <v>0</v>
      </c>
      <c r="I151" s="43">
        <v>0</v>
      </c>
      <c r="J151" s="43">
        <v>0</v>
      </c>
      <c r="K151" s="63">
        <f t="shared" si="47"/>
        <v>21</v>
      </c>
      <c r="L151" s="124">
        <f>VLOOKUP($B:$B,'[1]3店'!$B:$L,11,0)</f>
        <v>13.7</v>
      </c>
      <c r="M151" s="44">
        <f t="shared" si="48"/>
        <v>287.7</v>
      </c>
      <c r="N151" s="65">
        <f>IFERROR(VLOOKUP(B:B,'3店辅助表'!B:C,2,FALSE),0)</f>
        <v>0</v>
      </c>
      <c r="O151" s="65">
        <f>IFERROR(VLOOKUP(B:B,'3店辅助表'!E:F,2,FALSE),0)</f>
        <v>0</v>
      </c>
      <c r="P151" s="65">
        <f>IFERROR(VLOOKUP(B:B,'3店辅助表'!H:I,2,FALSE),0)</f>
        <v>0</v>
      </c>
      <c r="Q151" s="65">
        <f>IFERROR(VLOOKUP(B:B,'[1]3店'!$B:$N,13,FALSE),0)</f>
        <v>0</v>
      </c>
      <c r="R151" s="79">
        <f t="shared" si="49"/>
        <v>0</v>
      </c>
      <c r="S151" s="80" t="str">
        <f t="shared" si="50"/>
        <v>-</v>
      </c>
      <c r="T151" s="44" t="str">
        <f t="shared" si="51"/>
        <v>-</v>
      </c>
      <c r="U151" s="44" t="str">
        <f>IFERROR(VLOOKUP($B:$B,'[1]3店'!$B:$T,19,0),"-")</f>
        <v>-</v>
      </c>
      <c r="V151" s="81" t="str">
        <f t="shared" si="52"/>
        <v>-</v>
      </c>
      <c r="W151" s="82" t="str">
        <f t="shared" si="53"/>
        <v>有库存无销量</v>
      </c>
      <c r="X151" s="83" t="str">
        <f t="shared" si="54"/>
        <v>有库存无销量</v>
      </c>
      <c r="Y151" s="44">
        <f>IFERROR(SUMIF('3店辅助表'!K:K,B:B,'3店辅助表'!N:N),0)</f>
        <v>0</v>
      </c>
      <c r="Z151" s="44">
        <f>IFERROR(SUMIF('3店辅助表'!T:T,B:B,'3店辅助表'!W:W),0)</f>
        <v>0</v>
      </c>
      <c r="AA151" s="44">
        <f>IFERROR(SUMIF('3店辅助表'!AC:AC,B:B,'3店辅助表'!AF:AF),0)</f>
        <v>0</v>
      </c>
      <c r="AB151" s="91" t="str">
        <f>IFERROR(SUMIF('3店辅助表'!K:K,B:B,'3店辅助表'!N:N)/SUMIF('3店辅助表'!K:K,B:B,'3店辅助表'!O:O),"-")</f>
        <v>-</v>
      </c>
      <c r="AC151" s="91" t="str">
        <f>IFERROR(VLOOKUP(B:B,'[1]3店'!$B:$AB,27,0),"-")</f>
        <v>-</v>
      </c>
      <c r="AD151" s="92" t="str">
        <f t="shared" si="55"/>
        <v>-</v>
      </c>
      <c r="AE151" s="91" t="str">
        <f>IFERROR(SUMIF('3店辅助表'!T:T,B:B,'3店辅助表'!W:W)/SUMIF('3店辅助表'!T:T,B:B,'3店辅助表'!X:X),"-")</f>
        <v>-</v>
      </c>
      <c r="AF151" s="91" t="str">
        <f>IFERROR(SUMIF('3店辅助表'!AC:AC,B:B,'3店辅助表'!AF:AF)/SUMIF('3店辅助表'!AC:AC,B:B,'3店辅助表'!AG:AG),"-")</f>
        <v>-</v>
      </c>
      <c r="AG151" s="99">
        <f>IFERROR(AK151/((SUMIF('3店辅助表'!AT:AT,B:B,'3店辅助表'!AU:AU)+M151)/2),"-")</f>
        <v>0</v>
      </c>
      <c r="AH151" s="99">
        <f>IFERROR(AL151/((SUMIF('3店辅助表'!AW:AW,B:B,'3店辅助表'!AX:AX)+M151)/2),"-")</f>
        <v>0</v>
      </c>
      <c r="AI151" s="100" t="str">
        <f>IFERROR((SUMIF('3店辅助表'!AP:AP,B:B,'3店辅助表'!AR:AR)-SUMIF('3店辅助表'!AP:AP,B:B,'3店辅助表'!AR:AR)*0.15-(L151+IFERROR(VLOOKUP(B:B,'3店辅助表'!AZ:BA,2,0),0))*O151-IF(AN:AN="US",6.85,4.9)*(Z151+4.27*O151))/SUMIF('3店辅助表'!AP:AP,B:B,'3店辅助表'!AR:AR),"-")</f>
        <v>-</v>
      </c>
      <c r="AJ151" s="100" t="str">
        <f t="shared" si="56"/>
        <v>-</v>
      </c>
      <c r="AK151" s="101">
        <f t="shared" si="57"/>
        <v>0</v>
      </c>
      <c r="AL151" s="101">
        <f t="shared" si="58"/>
        <v>0</v>
      </c>
      <c r="AM151" s="1" t="str">
        <f>VLOOKUP(B:B,'3店辅助表'!AZ:AZ,1,FALSE)</f>
        <v>Y3054-LP+Y3055</v>
      </c>
      <c r="AN151" t="str">
        <f>VLOOKUP(B:B,'3店辅助表'!AZ:BB,3,FALSE)</f>
        <v>US</v>
      </c>
    </row>
    <row r="152" customHeight="1" spans="1:40">
      <c r="A152" s="58" t="str">
        <f>INDEX('[1]3店'!$A:$A,MATCH(B:B,'[1]3店'!$B:$B,0))</f>
        <v>欣彤</v>
      </c>
      <c r="B152" s="43" t="s">
        <v>1019</v>
      </c>
      <c r="C152" s="43" t="s">
        <v>1011</v>
      </c>
      <c r="D152" s="59">
        <f>VLOOKUP(B:B,'[1]3店'!$B:$L,3,0)</f>
        <v>44946</v>
      </c>
      <c r="E152" s="43" t="s">
        <v>1020</v>
      </c>
      <c r="F152" s="43">
        <v>26</v>
      </c>
      <c r="G152" s="43">
        <v>0</v>
      </c>
      <c r="H152" s="43">
        <v>0</v>
      </c>
      <c r="I152" s="43">
        <v>0</v>
      </c>
      <c r="J152" s="43">
        <v>0</v>
      </c>
      <c r="K152" s="63">
        <f t="shared" ref="K152:K183" si="59">F152+G152+H152+I152+J152</f>
        <v>26</v>
      </c>
      <c r="L152" s="124">
        <f>VLOOKUP($B:$B,'[1]3店'!$B:$L,11,0)</f>
        <v>13.7</v>
      </c>
      <c r="M152" s="44">
        <f t="shared" ref="M152:M183" si="60">K152*L152</f>
        <v>356.2</v>
      </c>
      <c r="N152" s="65">
        <f>IFERROR(VLOOKUP(B:B,'3店辅助表'!B:C,2,FALSE),0)</f>
        <v>0</v>
      </c>
      <c r="O152" s="65">
        <f>IFERROR(VLOOKUP(B:B,'3店辅助表'!E:F,2,FALSE),0)</f>
        <v>1</v>
      </c>
      <c r="P152" s="65">
        <f>IFERROR(VLOOKUP(B:B,'3店辅助表'!H:I,2,FALSE),0)</f>
        <v>5</v>
      </c>
      <c r="Q152" s="65">
        <f>IFERROR(VLOOKUP(B:B,'[1]3店'!$B:$N,13,FALSE),0)</f>
        <v>1</v>
      </c>
      <c r="R152" s="79">
        <f t="shared" ref="R152:R183" si="61">N152-Q152</f>
        <v>-1</v>
      </c>
      <c r="S152" s="80">
        <f t="shared" ref="S152:S183" si="62">IFERROR(K152/((N152/7+O152/15+P152/30)/3),"-")</f>
        <v>334.285714285714</v>
      </c>
      <c r="T152" s="44">
        <f t="shared" ref="T152:T183" si="63">IFERROR(S152/30,"-")</f>
        <v>11.1428571428571</v>
      </c>
      <c r="U152" s="44">
        <f>IFERROR(VLOOKUP($B:$B,'[1]3店'!$B:$T,19,0),"-")</f>
        <v>6.34883720930233</v>
      </c>
      <c r="V152" s="81">
        <f t="shared" ref="V152:V183" si="64">IFERROR(T152-U152,"-")</f>
        <v>4.79401993355477</v>
      </c>
      <c r="W152" s="82" t="str">
        <f t="shared" ref="W152:W183" si="65">_xlfn.IFS(AND(D152&lt;&gt;0,D152-$AM$2&gt;=0,B152&gt;0,D152&lt;&gt;0),"本月刚到货",AND(IFERROR((K152/(N152/7))/30,"-")="-",K152&gt;0),"有库存无销量",AND(IFERROR((K152/(N152/7))/30,"-")="-",K152=0),"无库存无销量",AND(IFERROR((K152/(N152/7))/30,"-")&lt;=0.5,K152=0),"无库存有销量",IFERROR((K152/(N152/7))/30,"-")&lt;=0.5,"库存过低",IFERROR((K152/(N152/7))/30,"-")&lt;=1.5,"正常",IFERROR((K152/(N152/7))/30,"-")&gt;1.5,"库存过高")</f>
        <v>有库存无销量</v>
      </c>
      <c r="X152" s="83" t="str">
        <f t="shared" ref="X152:X183" si="66">_xlfn.IFS(AND(D152&lt;&gt;0,D152-$AM$2&gt;=0,K152&gt;0,D152&lt;&gt;0),"本月刚到货",AND(T152="-",K152&gt;0),"有库存无销量",AND(T152="-",K152=0),"无库存无销量",AND(T152&lt;=0.5,K152=0),"无库存有销量",T152&lt;=0.5,"库存过低",T152&lt;=1.5,"正常",T152&gt;1.5,"库存过高")</f>
        <v>库存过高</v>
      </c>
      <c r="Y152" s="44">
        <f>IFERROR(SUMIF('3店辅助表'!K:K,B:B,'3店辅助表'!N:N),0)</f>
        <v>13.27</v>
      </c>
      <c r="Z152" s="44">
        <f>IFERROR(SUMIF('3店辅助表'!T:T,B:B,'3店辅助表'!W:W),0)</f>
        <v>24.72</v>
      </c>
      <c r="AA152" s="44">
        <f>IFERROR(SUMIF('3店辅助表'!AC:AC,B:B,'3店辅助表'!AF:AF),0)</f>
        <v>34.24</v>
      </c>
      <c r="AB152" s="91">
        <f>IFERROR(SUMIF('3店辅助表'!K:K,B:B,'3店辅助表'!N:N)/SUMIF('3店辅助表'!K:K,B:B,'3店辅助表'!O:O),"-")</f>
        <v>0.402487109493479</v>
      </c>
      <c r="AC152" s="91">
        <f>IFERROR(VLOOKUP(B:B,'[1]3店'!$B:$AB,27,0),"-")</f>
        <v>0.514775977121068</v>
      </c>
      <c r="AD152" s="92">
        <f t="shared" ref="AD152:AD183" si="67">IFERROR(AB152-AC152,"-")</f>
        <v>-0.112288867627589</v>
      </c>
      <c r="AE152" s="91">
        <f>IFERROR(SUMIF('3店辅助表'!T:T,B:B,'3店辅助表'!W:W)/SUMIF('3店辅助表'!T:T,B:B,'3店辅助表'!X:X),"-")</f>
        <v>0.45820203892493</v>
      </c>
      <c r="AF152" s="91">
        <f>IFERROR(SUMIF('3店辅助表'!AC:AC,B:B,'3店辅助表'!AF:AF)/SUMIF('3店辅助表'!AC:AC,B:B,'3店辅助表'!AG:AG),"-")</f>
        <v>0.63466172381835</v>
      </c>
      <c r="AG152" s="99">
        <f>IFERROR(AK152/((SUMIF('3店辅助表'!AT:AT,B:B,'3店辅助表'!AU:AU)+M152)/2),"-")</f>
        <v>0</v>
      </c>
      <c r="AH152" s="99">
        <f>IFERROR(AL152/((SUMIF('3店辅助表'!AW:AW,B:B,'3店辅助表'!AX:AX)+M152)/2),"-")</f>
        <v>0.0350877192982456</v>
      </c>
      <c r="AI152" s="100">
        <f>IFERROR((SUMIF('3店辅助表'!AP:AP,B:B,'3店辅助表'!AR:AR)-SUMIF('3店辅助表'!AP:AP,B:B,'3店辅助表'!AR:AR)*0.15-(L152+IFERROR(VLOOKUP(B:B,'3店辅助表'!AZ:BA,2,0),0))*O152-IF(AN:AN="US",6.85,4.9)*(Z152+4.27*O152))/SUMIF('3店辅助表'!AP:AP,B:B,'3店辅助表'!AR:AR),"-")</f>
        <v>-2.27622841819922</v>
      </c>
      <c r="AJ152" s="100">
        <f t="shared" ref="AJ152:AJ183" si="68">IFERROR(AH152*AI152,"-")</f>
        <v>-0.0798676637964639</v>
      </c>
      <c r="AK152" s="101">
        <f t="shared" ref="AK152:AK183" si="69">N152*$L152</f>
        <v>0</v>
      </c>
      <c r="AL152" s="101">
        <f t="shared" ref="AL152:AL183" si="70">O152*$L152</f>
        <v>13.7</v>
      </c>
      <c r="AM152" s="1" t="str">
        <f>VLOOKUP(B:B,'3店辅助表'!AZ:AZ,1,FALSE)</f>
        <v>Y3054-NB+Y3055</v>
      </c>
      <c r="AN152" t="str">
        <f>VLOOKUP(B:B,'3店辅助表'!AZ:BB,3,FALSE)</f>
        <v>US</v>
      </c>
    </row>
    <row r="153" customHeight="1" spans="1:40">
      <c r="A153" s="58" t="str">
        <f>INDEX('[1]3店'!$A:$A,MATCH(B:B,'[1]3店'!$B:$B,0))</f>
        <v>欣彤</v>
      </c>
      <c r="B153" s="43" t="s">
        <v>1021</v>
      </c>
      <c r="C153" s="43" t="s">
        <v>1011</v>
      </c>
      <c r="D153" s="59">
        <f>VLOOKUP(B:B,'[1]3店'!$B:$L,3,0)</f>
        <v>44946</v>
      </c>
      <c r="E153" s="43" t="s">
        <v>1022</v>
      </c>
      <c r="F153" s="43">
        <v>22</v>
      </c>
      <c r="G153" s="43">
        <v>0</v>
      </c>
      <c r="H153" s="43">
        <v>0</v>
      </c>
      <c r="I153" s="43">
        <v>0</v>
      </c>
      <c r="J153" s="43">
        <v>0</v>
      </c>
      <c r="K153" s="63">
        <f t="shared" si="59"/>
        <v>22</v>
      </c>
      <c r="L153" s="124">
        <f>VLOOKUP($B:$B,'[1]3店'!$B:$L,11,0)</f>
        <v>13.7</v>
      </c>
      <c r="M153" s="44">
        <f t="shared" si="60"/>
        <v>301.4</v>
      </c>
      <c r="N153" s="65">
        <f>IFERROR(VLOOKUP(B:B,'3店辅助表'!B:C,2,FALSE),0)</f>
        <v>1</v>
      </c>
      <c r="O153" s="65">
        <f>IFERROR(VLOOKUP(B:B,'3店辅助表'!E:F,2,FALSE),0)</f>
        <v>2</v>
      </c>
      <c r="P153" s="65">
        <f>IFERROR(VLOOKUP(B:B,'3店辅助表'!H:I,2,FALSE),0)</f>
        <v>3</v>
      </c>
      <c r="Q153" s="65">
        <f>IFERROR(VLOOKUP(B:B,'[1]3店'!$B:$N,13,FALSE),0)</f>
        <v>1</v>
      </c>
      <c r="R153" s="79">
        <f t="shared" si="61"/>
        <v>0</v>
      </c>
      <c r="S153" s="80">
        <f t="shared" si="62"/>
        <v>175.443037974684</v>
      </c>
      <c r="T153" s="44">
        <f t="shared" si="63"/>
        <v>5.84810126582278</v>
      </c>
      <c r="U153" s="44">
        <f>IFERROR(VLOOKUP($B:$B,'[1]3店'!$B:$T,19,0),"-")</f>
        <v>7.75384615384615</v>
      </c>
      <c r="V153" s="81">
        <f t="shared" si="64"/>
        <v>-1.90574488802337</v>
      </c>
      <c r="W153" s="82" t="str">
        <f t="shared" si="65"/>
        <v>库存过高</v>
      </c>
      <c r="X153" s="83" t="str">
        <f t="shared" si="66"/>
        <v>库存过高</v>
      </c>
      <c r="Y153" s="44">
        <f>IFERROR(SUMIF('3店辅助表'!K:K,B:B,'3店辅助表'!N:N),0)</f>
        <v>0</v>
      </c>
      <c r="Z153" s="44">
        <f>IFERROR(SUMIF('3店辅助表'!T:T,B:B,'3店辅助表'!W:W),0)</f>
        <v>0</v>
      </c>
      <c r="AA153" s="44">
        <f>IFERROR(SUMIF('3店辅助表'!AC:AC,B:B,'3店辅助表'!AF:AF),0)</f>
        <v>0</v>
      </c>
      <c r="AB153" s="91" t="str">
        <f>IFERROR(SUMIF('3店辅助表'!K:K,B:B,'3店辅助表'!N:N)/SUMIF('3店辅助表'!K:K,B:B,'3店辅助表'!O:O),"-")</f>
        <v>-</v>
      </c>
      <c r="AC153" s="91" t="str">
        <f>IFERROR(VLOOKUP(B:B,'[1]3店'!$B:$AB,27,0),"-")</f>
        <v>-</v>
      </c>
      <c r="AD153" s="92" t="str">
        <f t="shared" si="67"/>
        <v>-</v>
      </c>
      <c r="AE153" s="91" t="str">
        <f>IFERROR(SUMIF('3店辅助表'!T:T,B:B,'3店辅助表'!W:W)/SUMIF('3店辅助表'!T:T,B:B,'3店辅助表'!X:X),"-")</f>
        <v>-</v>
      </c>
      <c r="AF153" s="91" t="str">
        <f>IFERROR(SUMIF('3店辅助表'!AC:AC,B:B,'3店辅助表'!AF:AF)/SUMIF('3店辅助表'!AC:AC,B:B,'3店辅助表'!AG:AG),"-")</f>
        <v>-</v>
      </c>
      <c r="AG153" s="99">
        <f>IFERROR(AK153/((SUMIF('3店辅助表'!AT:AT,B:B,'3店辅助表'!AU:AU)+M153)/2),"-")</f>
        <v>0.0434782608695652</v>
      </c>
      <c r="AH153" s="99">
        <f>IFERROR(AL153/((SUMIF('3店辅助表'!AW:AW,B:B,'3店辅助表'!AX:AX)+M153)/2),"-")</f>
        <v>0.0851063829787234</v>
      </c>
      <c r="AI153" s="100">
        <f>IFERROR((SUMIF('3店辅助表'!AP:AP,B:B,'3店辅助表'!AR:AR)-SUMIF('3店辅助表'!AP:AP,B:B,'3店辅助表'!AR:AR)*0.15-(L153+IFERROR(VLOOKUP(B:B,'3店辅助表'!AZ:BA,2,0),0))*O153-IF(AN:AN="US",6.85,4.9)*(Z153+4.27*O153))/SUMIF('3店辅助表'!AP:AP,B:B,'3店辅助表'!AR:AR),"-")</f>
        <v>0.257603461673851</v>
      </c>
      <c r="AJ153" s="100">
        <f t="shared" si="68"/>
        <v>0.0219236988658596</v>
      </c>
      <c r="AK153" s="101">
        <f t="shared" si="69"/>
        <v>13.7</v>
      </c>
      <c r="AL153" s="101">
        <f t="shared" si="70"/>
        <v>27.4</v>
      </c>
      <c r="AM153" s="1" t="str">
        <f>VLOOKUP(B:B,'3店辅助表'!AZ:AZ,1,FALSE)</f>
        <v>Y3054-TG+Y3055</v>
      </c>
      <c r="AN153" t="str">
        <f>VLOOKUP(B:B,'3店辅助表'!AZ:BB,3,FALSE)</f>
        <v>US</v>
      </c>
    </row>
    <row r="154" customHeight="1" spans="1:40">
      <c r="A154" s="58" t="str">
        <f>INDEX('[1]3店'!$A:$A,MATCH(B:B,'[1]3店'!$B:$B,0))</f>
        <v>欣彤</v>
      </c>
      <c r="B154" s="43" t="s">
        <v>1023</v>
      </c>
      <c r="C154" s="43" t="s">
        <v>1024</v>
      </c>
      <c r="D154" s="59">
        <f>VLOOKUP(B:B,'[1]3店'!$B:$L,3,0)</f>
        <v>44946</v>
      </c>
      <c r="E154" s="43" t="s">
        <v>1025</v>
      </c>
      <c r="F154" s="43">
        <v>30</v>
      </c>
      <c r="G154" s="43">
        <v>1</v>
      </c>
      <c r="H154" s="43">
        <v>0</v>
      </c>
      <c r="I154" s="43">
        <v>0</v>
      </c>
      <c r="J154" s="43">
        <v>0</v>
      </c>
      <c r="K154" s="63">
        <f t="shared" si="59"/>
        <v>31</v>
      </c>
      <c r="L154" s="124">
        <f>VLOOKUP($B:$B,'[1]3店'!$B:$L,11,0)</f>
        <v>13.7</v>
      </c>
      <c r="M154" s="44">
        <f t="shared" si="60"/>
        <v>424.7</v>
      </c>
      <c r="N154" s="65">
        <f>IFERROR(VLOOKUP(B:B,'3店辅助表'!B:C,2,FALSE),0)</f>
        <v>4</v>
      </c>
      <c r="O154" s="65">
        <f>IFERROR(VLOOKUP(B:B,'3店辅助表'!E:F,2,FALSE),0)</f>
        <v>6</v>
      </c>
      <c r="P154" s="65">
        <f>IFERROR(VLOOKUP(B:B,'3店辅助表'!H:I,2,FALSE),0)</f>
        <v>15</v>
      </c>
      <c r="Q154" s="65">
        <f>IFERROR(VLOOKUP(B:B,'[1]3店'!$B:$N,13,FALSE),0)</f>
        <v>2</v>
      </c>
      <c r="R154" s="79">
        <f t="shared" si="61"/>
        <v>2</v>
      </c>
      <c r="S154" s="80">
        <f t="shared" si="62"/>
        <v>63.2038834951456</v>
      </c>
      <c r="T154" s="44">
        <f t="shared" si="63"/>
        <v>2.10679611650485</v>
      </c>
      <c r="U154" s="44">
        <f>IFERROR(VLOOKUP($B:$B,'[1]3店'!$B:$T,19,0),"-")</f>
        <v>3.34782608695652</v>
      </c>
      <c r="V154" s="81">
        <f t="shared" si="64"/>
        <v>-1.24102997045167</v>
      </c>
      <c r="W154" s="82" t="str">
        <f t="shared" si="65"/>
        <v>库存过高</v>
      </c>
      <c r="X154" s="83" t="str">
        <f t="shared" si="66"/>
        <v>库存过高</v>
      </c>
      <c r="Y154" s="44">
        <f>IFERROR(SUMIF('3店辅助表'!K:K,B:B,'3店辅助表'!N:N),0)</f>
        <v>4.06</v>
      </c>
      <c r="Z154" s="44">
        <f>IFERROR(SUMIF('3店辅助表'!T:T,B:B,'3店辅助表'!W:W),0)</f>
        <v>4.06</v>
      </c>
      <c r="AA154" s="44">
        <f>IFERROR(SUMIF('3店辅助表'!AC:AC,B:B,'3店辅助表'!AF:AF),0)</f>
        <v>4.06</v>
      </c>
      <c r="AB154" s="91">
        <f>IFERROR(SUMIF('3店辅助表'!K:K,B:B,'3店辅助表'!N:N)/SUMIF('3店辅助表'!K:K,B:B,'3店辅助表'!O:O),"-")</f>
        <v>0.312548113933795</v>
      </c>
      <c r="AC154" s="91" t="str">
        <f>IFERROR(VLOOKUP(B:B,'[1]3店'!$B:$AB,27,0),"-")</f>
        <v>-</v>
      </c>
      <c r="AD154" s="92" t="str">
        <f t="shared" si="67"/>
        <v>-</v>
      </c>
      <c r="AE154" s="91">
        <f>IFERROR(SUMIF('3店辅助表'!T:T,B:B,'3店辅助表'!W:W)/SUMIF('3店辅助表'!T:T,B:B,'3店辅助表'!X:X),"-")</f>
        <v>0.312548113933795</v>
      </c>
      <c r="AF154" s="91">
        <f>IFERROR(SUMIF('3店辅助表'!AC:AC,B:B,'3店辅助表'!AF:AF)/SUMIF('3店辅助表'!AC:AC,B:B,'3店辅助表'!AG:AG),"-")</f>
        <v>0.312548113933795</v>
      </c>
      <c r="AG154" s="99">
        <f>IFERROR(AK154/((SUMIF('3店辅助表'!AT:AT,B:B,'3店辅助表'!AU:AU)+M154)/2),"-")</f>
        <v>0.125</v>
      </c>
      <c r="AH154" s="99">
        <f>IFERROR(AL154/((SUMIF('3店辅助表'!AW:AW,B:B,'3店辅助表'!AX:AX)+M154)/2),"-")</f>
        <v>0.164383561643836</v>
      </c>
      <c r="AI154" s="100">
        <f>IFERROR((SUMIF('3店辅助表'!AP:AP,B:B,'3店辅助表'!AR:AR)-SUMIF('3店辅助表'!AP:AP,B:B,'3店辅助表'!AR:AR)*0.15-(L154+IFERROR(VLOOKUP(B:B,'3店辅助表'!AZ:BA,2,0),0))*O154-IF(AN:AN="US",6.85,4.9)*(Z154+4.27*O154))/SUMIF('3店辅助表'!AP:AP,B:B,'3店辅助表'!AR:AR),"-")</f>
        <v>0.217627930006555</v>
      </c>
      <c r="AJ154" s="100">
        <f t="shared" si="68"/>
        <v>0.0357744542476528</v>
      </c>
      <c r="AK154" s="101">
        <f t="shared" si="69"/>
        <v>54.8</v>
      </c>
      <c r="AL154" s="101">
        <f t="shared" si="70"/>
        <v>82.2</v>
      </c>
      <c r="AM154" s="1" t="str">
        <f>VLOOKUP(B:B,'3店辅助表'!AZ:AZ,1,FALSE)</f>
        <v>Y3056-BL+Y3057</v>
      </c>
      <c r="AN154" t="str">
        <f>VLOOKUP(B:B,'3店辅助表'!AZ:BB,3,FALSE)</f>
        <v>US</v>
      </c>
    </row>
    <row r="155" customHeight="1" spans="1:40">
      <c r="A155" s="58" t="str">
        <f>INDEX('[1]3店'!$A:$A,MATCH(B:B,'[1]3店'!$B:$B,0))</f>
        <v>欣彤</v>
      </c>
      <c r="B155" s="43" t="s">
        <v>1026</v>
      </c>
      <c r="C155" s="43" t="s">
        <v>1024</v>
      </c>
      <c r="D155" s="59">
        <f>VLOOKUP(B:B,'[1]3店'!$B:$L,3,0)</f>
        <v>44946</v>
      </c>
      <c r="E155" s="43" t="s">
        <v>1027</v>
      </c>
      <c r="F155" s="43">
        <v>10</v>
      </c>
      <c r="G155" s="43">
        <v>0</v>
      </c>
      <c r="H155" s="43">
        <v>1</v>
      </c>
      <c r="I155" s="43">
        <v>0</v>
      </c>
      <c r="J155" s="43">
        <v>0</v>
      </c>
      <c r="K155" s="63">
        <f t="shared" si="59"/>
        <v>11</v>
      </c>
      <c r="L155" s="124">
        <f>VLOOKUP($B:$B,'[1]3店'!$B:$L,11,0)</f>
        <v>13.7</v>
      </c>
      <c r="M155" s="44">
        <f t="shared" si="60"/>
        <v>150.7</v>
      </c>
      <c r="N155" s="65">
        <f>IFERROR(VLOOKUP(B:B,'3店辅助表'!B:C,2,FALSE),0)</f>
        <v>2</v>
      </c>
      <c r="O155" s="65">
        <f>IFERROR(VLOOKUP(B:B,'3店辅助表'!E:F,2,FALSE),0)</f>
        <v>2</v>
      </c>
      <c r="P155" s="65">
        <f>IFERROR(VLOOKUP(B:B,'3店辅助表'!H:I,2,FALSE),0)</f>
        <v>3</v>
      </c>
      <c r="Q155" s="65">
        <f>IFERROR(VLOOKUP(B:B,'[1]3店'!$B:$N,13,FALSE),0)</f>
        <v>0</v>
      </c>
      <c r="R155" s="79">
        <f t="shared" si="61"/>
        <v>2</v>
      </c>
      <c r="S155" s="80">
        <f t="shared" si="62"/>
        <v>63.5779816513762</v>
      </c>
      <c r="T155" s="44">
        <f t="shared" si="63"/>
        <v>2.11926605504587</v>
      </c>
      <c r="U155" s="44">
        <f>IFERROR(VLOOKUP($B:$B,'[1]3店'!$B:$T,19,0),"-")</f>
        <v>18</v>
      </c>
      <c r="V155" s="81">
        <f t="shared" si="64"/>
        <v>-15.8807339449541</v>
      </c>
      <c r="W155" s="82" t="str">
        <f t="shared" si="65"/>
        <v>正常</v>
      </c>
      <c r="X155" s="83" t="str">
        <f t="shared" si="66"/>
        <v>库存过高</v>
      </c>
      <c r="Y155" s="44">
        <f>IFERROR(SUMIF('3店辅助表'!K:K,B:B,'3店辅助表'!N:N),0)</f>
        <v>0</v>
      </c>
      <c r="Z155" s="44">
        <f>IFERROR(SUMIF('3店辅助表'!T:T,B:B,'3店辅助表'!W:W),0)</f>
        <v>0</v>
      </c>
      <c r="AA155" s="44">
        <f>IFERROR(SUMIF('3店辅助表'!AC:AC,B:B,'3店辅助表'!AF:AF),0)</f>
        <v>0</v>
      </c>
      <c r="AB155" s="91" t="str">
        <f>IFERROR(SUMIF('3店辅助表'!K:K,B:B,'3店辅助表'!N:N)/SUMIF('3店辅助表'!K:K,B:B,'3店辅助表'!O:O),"-")</f>
        <v>-</v>
      </c>
      <c r="AC155" s="91" t="str">
        <f>IFERROR(VLOOKUP(B:B,'[1]3店'!$B:$AB,27,0),"-")</f>
        <v>-</v>
      </c>
      <c r="AD155" s="92" t="str">
        <f t="shared" si="67"/>
        <v>-</v>
      </c>
      <c r="AE155" s="91" t="str">
        <f>IFERROR(SUMIF('3店辅助表'!T:T,B:B,'3店辅助表'!W:W)/SUMIF('3店辅助表'!T:T,B:B,'3店辅助表'!X:X),"-")</f>
        <v>-</v>
      </c>
      <c r="AF155" s="91" t="str">
        <f>IFERROR(SUMIF('3店辅助表'!AC:AC,B:B,'3店辅助表'!AF:AF)/SUMIF('3店辅助表'!AC:AC,B:B,'3店辅助表'!AG:AG),"-")</f>
        <v>-</v>
      </c>
      <c r="AG155" s="99">
        <f>IFERROR(AK155/((SUMIF('3店辅助表'!AT:AT,B:B,'3店辅助表'!AU:AU)+M155)/2),"-")</f>
        <v>0.173913043478261</v>
      </c>
      <c r="AH155" s="99">
        <f>IFERROR(AL155/((SUMIF('3店辅助表'!AW:AW,B:B,'3店辅助表'!AX:AX)+M155)/2),"-")</f>
        <v>0.166666666666667</v>
      </c>
      <c r="AI155" s="100">
        <f>IFERROR((SUMIF('3店辅助表'!AP:AP,B:B,'3店辅助表'!AR:AR)-SUMIF('3店辅助表'!AP:AP,B:B,'3店辅助表'!AR:AR)*0.15-(L155+IFERROR(VLOOKUP(B:B,'3店辅助表'!AZ:BA,2,0),0))*O155-IF(AN:AN="US",6.85,4.9)*(Z155+4.27*O155))/SUMIF('3店辅助表'!AP:AP,B:B,'3店辅助表'!AR:AR),"-")</f>
        <v>0.348811550715598</v>
      </c>
      <c r="AJ155" s="100">
        <f t="shared" si="68"/>
        <v>0.0581352584525997</v>
      </c>
      <c r="AK155" s="101">
        <f t="shared" si="69"/>
        <v>27.4</v>
      </c>
      <c r="AL155" s="101">
        <f t="shared" si="70"/>
        <v>27.4</v>
      </c>
      <c r="AM155" s="1" t="str">
        <f>VLOOKUP(B:B,'3店辅助表'!AZ:AZ,1,FALSE)</f>
        <v>Y3056-GN+Y3057</v>
      </c>
      <c r="AN155" t="str">
        <f>VLOOKUP(B:B,'3店辅助表'!AZ:BB,3,FALSE)</f>
        <v>US</v>
      </c>
    </row>
    <row r="156" customHeight="1" spans="1:40">
      <c r="A156" s="58" t="str">
        <f>INDEX('[1]3店'!$A:$A,MATCH(B:B,'[1]3店'!$B:$B,0))</f>
        <v>欣彤</v>
      </c>
      <c r="B156" s="43" t="s">
        <v>1028</v>
      </c>
      <c r="C156" s="43" t="s">
        <v>1024</v>
      </c>
      <c r="D156" s="59">
        <f>VLOOKUP(B:B,'[1]3店'!$B:$L,3,0)</f>
        <v>44946</v>
      </c>
      <c r="E156" s="43" t="s">
        <v>1029</v>
      </c>
      <c r="F156" s="43">
        <v>6</v>
      </c>
      <c r="G156" s="43">
        <v>0</v>
      </c>
      <c r="H156" s="43">
        <v>1</v>
      </c>
      <c r="I156" s="43">
        <v>0</v>
      </c>
      <c r="J156" s="43">
        <v>0</v>
      </c>
      <c r="K156" s="63">
        <f t="shared" si="59"/>
        <v>7</v>
      </c>
      <c r="L156" s="124">
        <f>VLOOKUP($B:$B,'[1]3店'!$B:$L,11,0)</f>
        <v>13.7</v>
      </c>
      <c r="M156" s="44">
        <f t="shared" si="60"/>
        <v>95.9</v>
      </c>
      <c r="N156" s="65">
        <f>IFERROR(VLOOKUP(B:B,'3店辅助表'!B:C,2,FALSE),0)</f>
        <v>0</v>
      </c>
      <c r="O156" s="65">
        <f>IFERROR(VLOOKUP(B:B,'3店辅助表'!E:F,2,FALSE),0)</f>
        <v>2</v>
      </c>
      <c r="P156" s="65">
        <f>IFERROR(VLOOKUP(B:B,'3店辅助表'!H:I,2,FALSE),0)</f>
        <v>3</v>
      </c>
      <c r="Q156" s="65">
        <f>IFERROR(VLOOKUP(B:B,'[1]3店'!$B:$N,13,FALSE),0)</f>
        <v>2</v>
      </c>
      <c r="R156" s="79">
        <f t="shared" si="61"/>
        <v>-2</v>
      </c>
      <c r="S156" s="80">
        <f t="shared" si="62"/>
        <v>90</v>
      </c>
      <c r="T156" s="44">
        <f t="shared" si="63"/>
        <v>3</v>
      </c>
      <c r="U156" s="44">
        <f>IFERROR(VLOOKUP($B:$B,'[1]3店'!$B:$T,19,0),"-")</f>
        <v>1.26724137931034</v>
      </c>
      <c r="V156" s="81">
        <f t="shared" si="64"/>
        <v>1.73275862068966</v>
      </c>
      <c r="W156" s="82" t="str">
        <f t="shared" si="65"/>
        <v>有库存无销量</v>
      </c>
      <c r="X156" s="83" t="str">
        <f t="shared" si="66"/>
        <v>库存过高</v>
      </c>
      <c r="Y156" s="44">
        <f>IFERROR(SUMIF('3店辅助表'!K:K,B:B,'3店辅助表'!N:N),0)</f>
        <v>0</v>
      </c>
      <c r="Z156" s="44">
        <f>IFERROR(SUMIF('3店辅助表'!T:T,B:B,'3店辅助表'!W:W),0)</f>
        <v>0</v>
      </c>
      <c r="AA156" s="44">
        <f>IFERROR(SUMIF('3店辅助表'!AC:AC,B:B,'3店辅助表'!AF:AF),0)</f>
        <v>0</v>
      </c>
      <c r="AB156" s="91" t="str">
        <f>IFERROR(SUMIF('3店辅助表'!K:K,B:B,'3店辅助表'!N:N)/SUMIF('3店辅助表'!K:K,B:B,'3店辅助表'!O:O),"-")</f>
        <v>-</v>
      </c>
      <c r="AC156" s="91" t="str">
        <f>IFERROR(VLOOKUP(B:B,'[1]3店'!$B:$AB,27,0),"-")</f>
        <v>-</v>
      </c>
      <c r="AD156" s="92" t="str">
        <f t="shared" si="67"/>
        <v>-</v>
      </c>
      <c r="AE156" s="91" t="str">
        <f>IFERROR(SUMIF('3店辅助表'!T:T,B:B,'3店辅助表'!W:W)/SUMIF('3店辅助表'!T:T,B:B,'3店辅助表'!X:X),"-")</f>
        <v>-</v>
      </c>
      <c r="AF156" s="91" t="str">
        <f>IFERROR(SUMIF('3店辅助表'!AC:AC,B:B,'3店辅助表'!AF:AF)/SUMIF('3店辅助表'!AC:AC,B:B,'3店辅助表'!AG:AG),"-")</f>
        <v>-</v>
      </c>
      <c r="AG156" s="99">
        <f>IFERROR(AK156/((SUMIF('3店辅助表'!AT:AT,B:B,'3店辅助表'!AU:AU)+M156)/2),"-")</f>
        <v>0</v>
      </c>
      <c r="AH156" s="99">
        <f>IFERROR(AL156/((SUMIF('3店辅助表'!AW:AW,B:B,'3店辅助表'!AX:AX)+M156)/2),"-")</f>
        <v>0.25</v>
      </c>
      <c r="AI156" s="100">
        <f>IFERROR((SUMIF('3店辅助表'!AP:AP,B:B,'3店辅助表'!AR:AR)-SUMIF('3店辅助表'!AP:AP,B:B,'3店辅助表'!AR:AR)*0.15-(L156+IFERROR(VLOOKUP(B:B,'3店辅助表'!AZ:BA,2,0),0))*O156-IF(AN:AN="US",6.85,4.9)*(Z156+4.27*O156))/SUMIF('3店辅助表'!AP:AP,B:B,'3店辅助表'!AR:AR),"-")</f>
        <v>0.143894580173219</v>
      </c>
      <c r="AJ156" s="100">
        <f t="shared" si="68"/>
        <v>0.0359736450433048</v>
      </c>
      <c r="AK156" s="101">
        <f t="shared" si="69"/>
        <v>0</v>
      </c>
      <c r="AL156" s="101">
        <f t="shared" si="70"/>
        <v>27.4</v>
      </c>
      <c r="AM156" s="1" t="str">
        <f>VLOOKUP(B:B,'3店辅助表'!AZ:AZ,1,FALSE)</f>
        <v>Y3056-GY+Y3057</v>
      </c>
      <c r="AN156" t="str">
        <f>VLOOKUP(B:B,'3店辅助表'!AZ:BB,3,FALSE)</f>
        <v>US</v>
      </c>
    </row>
    <row r="157" customHeight="1" spans="1:40">
      <c r="A157" s="58" t="str">
        <f>INDEX('[1]3店'!$A:$A,MATCH(B:B,'[1]3店'!$B:$B,0))</f>
        <v>欣彤</v>
      </c>
      <c r="B157" s="43" t="s">
        <v>1030</v>
      </c>
      <c r="C157" s="43" t="s">
        <v>1024</v>
      </c>
      <c r="D157" s="59">
        <f>VLOOKUP(B:B,'[1]3店'!$B:$L,3,0)</f>
        <v>44946</v>
      </c>
      <c r="E157" s="43" t="s">
        <v>1031</v>
      </c>
      <c r="F157" s="43">
        <v>21</v>
      </c>
      <c r="G157" s="43">
        <v>0</v>
      </c>
      <c r="H157" s="43">
        <v>0</v>
      </c>
      <c r="I157" s="43">
        <v>0</v>
      </c>
      <c r="J157" s="43">
        <v>0</v>
      </c>
      <c r="K157" s="63">
        <f t="shared" si="59"/>
        <v>21</v>
      </c>
      <c r="L157" s="124">
        <f>VLOOKUP($B:$B,'[1]3店'!$B:$L,11,0)</f>
        <v>13.7</v>
      </c>
      <c r="M157" s="44">
        <f t="shared" si="60"/>
        <v>287.7</v>
      </c>
      <c r="N157" s="65">
        <f>IFERROR(VLOOKUP(B:B,'3店辅助表'!B:C,2,FALSE),0)</f>
        <v>0</v>
      </c>
      <c r="O157" s="65">
        <f>IFERROR(VLOOKUP(B:B,'3店辅助表'!E:F,2,FALSE),0)</f>
        <v>1</v>
      </c>
      <c r="P157" s="65">
        <f>IFERROR(VLOOKUP(B:B,'3店辅助表'!H:I,2,FALSE),0)</f>
        <v>2</v>
      </c>
      <c r="Q157" s="65">
        <f>IFERROR(VLOOKUP(B:B,'[1]3店'!$B:$N,13,FALSE),0)</f>
        <v>1</v>
      </c>
      <c r="R157" s="79">
        <f t="shared" si="61"/>
        <v>-1</v>
      </c>
      <c r="S157" s="80">
        <f t="shared" si="62"/>
        <v>472.5</v>
      </c>
      <c r="T157" s="44">
        <f t="shared" si="63"/>
        <v>15.75</v>
      </c>
      <c r="U157" s="44">
        <f>IFERROR(VLOOKUP($B:$B,'[1]3店'!$B:$T,19,0),"-")</f>
        <v>7.60344827586207</v>
      </c>
      <c r="V157" s="81">
        <f t="shared" si="64"/>
        <v>8.14655172413793</v>
      </c>
      <c r="W157" s="82" t="str">
        <f t="shared" si="65"/>
        <v>有库存无销量</v>
      </c>
      <c r="X157" s="83" t="str">
        <f t="shared" si="66"/>
        <v>库存过高</v>
      </c>
      <c r="Y157" s="44">
        <f>IFERROR(SUMIF('3店辅助表'!K:K,B:B,'3店辅助表'!N:N),0)</f>
        <v>0</v>
      </c>
      <c r="Z157" s="44">
        <f>IFERROR(SUMIF('3店辅助表'!T:T,B:B,'3店辅助表'!W:W),0)</f>
        <v>0</v>
      </c>
      <c r="AA157" s="44">
        <f>IFERROR(SUMIF('3店辅助表'!AC:AC,B:B,'3店辅助表'!AF:AF),0)</f>
        <v>0</v>
      </c>
      <c r="AB157" s="91" t="str">
        <f>IFERROR(SUMIF('3店辅助表'!K:K,B:B,'3店辅助表'!N:N)/SUMIF('3店辅助表'!K:K,B:B,'3店辅助表'!O:O),"-")</f>
        <v>-</v>
      </c>
      <c r="AC157" s="91" t="str">
        <f>IFERROR(VLOOKUP(B:B,'[1]3店'!$B:$AB,27,0),"-")</f>
        <v>-</v>
      </c>
      <c r="AD157" s="92" t="str">
        <f t="shared" si="67"/>
        <v>-</v>
      </c>
      <c r="AE157" s="91" t="str">
        <f>IFERROR(SUMIF('3店辅助表'!T:T,B:B,'3店辅助表'!W:W)/SUMIF('3店辅助表'!T:T,B:B,'3店辅助表'!X:X),"-")</f>
        <v>-</v>
      </c>
      <c r="AF157" s="91" t="str">
        <f>IFERROR(SUMIF('3店辅助表'!AC:AC,B:B,'3店辅助表'!AF:AF)/SUMIF('3店辅助表'!AC:AC,B:B,'3店辅助表'!AG:AG),"-")</f>
        <v>-</v>
      </c>
      <c r="AG157" s="99">
        <f>IFERROR(AK157/((SUMIF('3店辅助表'!AT:AT,B:B,'3店辅助表'!AU:AU)+M157)/2),"-")</f>
        <v>0</v>
      </c>
      <c r="AH157" s="99">
        <f>IFERROR(AL157/((SUMIF('3店辅助表'!AW:AW,B:B,'3店辅助表'!AX:AX)+M157)/2),"-")</f>
        <v>0.0454545454545455</v>
      </c>
      <c r="AI157" s="100">
        <f>IFERROR((SUMIF('3店辅助表'!AP:AP,B:B,'3店辅助表'!AR:AR)-SUMIF('3店辅助表'!AP:AP,B:B,'3店辅助表'!AR:AR)*0.15-(L157+IFERROR(VLOOKUP(B:B,'3店辅助表'!AZ:BA,2,0),0))*O157-IF(AN:AN="US",6.85,4.9)*(Z157+4.27*O157))/SUMIF('3店辅助表'!AP:AP,B:B,'3店辅助表'!AR:AR),"-")</f>
        <v>0.198304508888451</v>
      </c>
      <c r="AJ157" s="100">
        <f t="shared" si="68"/>
        <v>0.00901384131311139</v>
      </c>
      <c r="AK157" s="101">
        <f t="shared" si="69"/>
        <v>0</v>
      </c>
      <c r="AL157" s="101">
        <f t="shared" si="70"/>
        <v>13.7</v>
      </c>
      <c r="AM157" s="1" t="str">
        <f>VLOOKUP(B:B,'3店辅助表'!AZ:AZ,1,FALSE)</f>
        <v>Y3056-LP+Y3057</v>
      </c>
      <c r="AN157" t="str">
        <f>VLOOKUP(B:B,'3店辅助表'!AZ:BB,3,FALSE)</f>
        <v>US</v>
      </c>
    </row>
    <row r="158" customHeight="1" spans="1:40">
      <c r="A158" s="58" t="str">
        <f>INDEX('[1]3店'!$A:$A,MATCH(B:B,'[1]3店'!$B:$B,0))</f>
        <v>欣彤</v>
      </c>
      <c r="B158" s="43" t="s">
        <v>1032</v>
      </c>
      <c r="C158" s="43" t="s">
        <v>1024</v>
      </c>
      <c r="D158" s="59">
        <f>VLOOKUP(B:B,'[1]3店'!$B:$L,3,0)</f>
        <v>44946</v>
      </c>
      <c r="E158" s="43" t="s">
        <v>1033</v>
      </c>
      <c r="F158" s="43">
        <v>0</v>
      </c>
      <c r="G158" s="43">
        <v>1</v>
      </c>
      <c r="H158" s="43">
        <v>0</v>
      </c>
      <c r="I158" s="43">
        <v>0</v>
      </c>
      <c r="J158" s="43">
        <v>0</v>
      </c>
      <c r="K158" s="63">
        <f t="shared" si="59"/>
        <v>1</v>
      </c>
      <c r="L158" s="124">
        <f>VLOOKUP($B:$B,'[1]3店'!$B:$L,11,0)</f>
        <v>13.7</v>
      </c>
      <c r="M158" s="44">
        <f t="shared" si="60"/>
        <v>13.7</v>
      </c>
      <c r="N158" s="65">
        <f>IFERROR(VLOOKUP(B:B,'3店辅助表'!B:C,2,FALSE),0)</f>
        <v>2</v>
      </c>
      <c r="O158" s="65">
        <f>IFERROR(VLOOKUP(B:B,'3店辅助表'!E:F,2,FALSE),0)</f>
        <v>6</v>
      </c>
      <c r="P158" s="65">
        <f>IFERROR(VLOOKUP(B:B,'3店辅助表'!H:I,2,FALSE),0)</f>
        <v>10</v>
      </c>
      <c r="Q158" s="65">
        <f>IFERROR(VLOOKUP(B:B,'[1]3店'!$B:$N,13,FALSE),0)</f>
        <v>4</v>
      </c>
      <c r="R158" s="79">
        <f t="shared" si="61"/>
        <v>-2</v>
      </c>
      <c r="S158" s="80">
        <f t="shared" si="62"/>
        <v>2.94392523364486</v>
      </c>
      <c r="T158" s="44">
        <f t="shared" si="63"/>
        <v>0.0981308411214953</v>
      </c>
      <c r="U158" s="44">
        <f>IFERROR(VLOOKUP($B:$B,'[1]3店'!$B:$T,19,0),"-")</f>
        <v>0.149466192170819</v>
      </c>
      <c r="V158" s="81">
        <f t="shared" si="64"/>
        <v>-0.0513353510493237</v>
      </c>
      <c r="W158" s="82" t="str">
        <f t="shared" si="65"/>
        <v>库存过低</v>
      </c>
      <c r="X158" s="83" t="str">
        <f t="shared" si="66"/>
        <v>库存过低</v>
      </c>
      <c r="Y158" s="44">
        <f>IFERROR(SUMIF('3店辅助表'!K:K,B:B,'3店辅助表'!N:N),0)</f>
        <v>0</v>
      </c>
      <c r="Z158" s="44">
        <f>IFERROR(SUMIF('3店辅助表'!T:T,B:B,'3店辅助表'!W:W),0)</f>
        <v>13.01</v>
      </c>
      <c r="AA158" s="44">
        <f>IFERROR(SUMIF('3店辅助表'!AC:AC,B:B,'3店辅助表'!AF:AF),0)</f>
        <v>31.95</v>
      </c>
      <c r="AB158" s="91" t="str">
        <f>IFERROR(SUMIF('3店辅助表'!K:K,B:B,'3店辅助表'!N:N)/SUMIF('3店辅助表'!K:K,B:B,'3店辅助表'!O:O),"-")</f>
        <v>-</v>
      </c>
      <c r="AC158" s="91">
        <f>IFERROR(VLOOKUP(B:B,'[1]3店'!$B:$AB,27,0),"-")</f>
        <v>0.561561561561562</v>
      </c>
      <c r="AD158" s="92" t="str">
        <f t="shared" si="67"/>
        <v>-</v>
      </c>
      <c r="AE158" s="91">
        <f>IFERROR(SUMIF('3店辅助表'!T:T,B:B,'3店辅助表'!W:W)/SUMIF('3店辅助表'!T:T,B:B,'3店辅助表'!X:X),"-")</f>
        <v>0.651151151151151</v>
      </c>
      <c r="AF158" s="91">
        <f>IFERROR(SUMIF('3店辅助表'!AC:AC,B:B,'3店辅助表'!AF:AF)/SUMIF('3店辅助表'!AC:AC,B:B,'3店辅助表'!AG:AG),"-")</f>
        <v>0.63963963963964</v>
      </c>
      <c r="AG158" s="99">
        <f>IFERROR(AK158/((SUMIF('3店辅助表'!AT:AT,B:B,'3店辅助表'!AU:AU)+M158)/2),"-")</f>
        <v>1.33333333333333</v>
      </c>
      <c r="AH158" s="99">
        <f>IFERROR(AL158/((SUMIF('3店辅助表'!AW:AW,B:B,'3店辅助表'!AX:AX)+M158)/2),"-")</f>
        <v>1.5</v>
      </c>
      <c r="AI158" s="100">
        <f>IFERROR((SUMIF('3店辅助表'!AP:AP,B:B,'3店辅助表'!AR:AR)-SUMIF('3店辅助表'!AP:AP,B:B,'3店辅助表'!AR:AR)*0.15-(L158+IFERROR(VLOOKUP(B:B,'3店辅助表'!AZ:BA,2,0),0))*O158-IF(AN:AN="US",6.85,4.9)*(Z158+4.27*O158))/SUMIF('3店辅助表'!AP:AP,B:B,'3店辅助表'!AR:AR),"-")</f>
        <v>-0.0826405875945023</v>
      </c>
      <c r="AJ158" s="100">
        <f t="shared" si="68"/>
        <v>-0.123960881391753</v>
      </c>
      <c r="AK158" s="101">
        <f t="shared" si="69"/>
        <v>27.4</v>
      </c>
      <c r="AL158" s="101">
        <f t="shared" si="70"/>
        <v>82.2</v>
      </c>
      <c r="AM158" s="1" t="str">
        <f>VLOOKUP(B:B,'3店辅助表'!AZ:AZ,1,FALSE)</f>
        <v>Y3056-NB+Y3057</v>
      </c>
      <c r="AN158" t="str">
        <f>VLOOKUP(B:B,'3店辅助表'!AZ:BB,3,FALSE)</f>
        <v>US</v>
      </c>
    </row>
    <row r="159" customHeight="1" spans="1:40">
      <c r="A159" s="58" t="str">
        <f>INDEX('[1]3店'!$A:$A,MATCH(B:B,'[1]3店'!$B:$B,0))</f>
        <v>欣彤</v>
      </c>
      <c r="B159" s="43" t="s">
        <v>1034</v>
      </c>
      <c r="C159" s="43" t="s">
        <v>1024</v>
      </c>
      <c r="D159" s="59">
        <f>VLOOKUP(B:B,'[1]3店'!$B:$L,3,0)</f>
        <v>44946</v>
      </c>
      <c r="E159" s="43" t="s">
        <v>1035</v>
      </c>
      <c r="F159" s="43">
        <v>21</v>
      </c>
      <c r="G159" s="43">
        <v>0</v>
      </c>
      <c r="H159" s="43">
        <v>0</v>
      </c>
      <c r="I159" s="43">
        <v>0</v>
      </c>
      <c r="J159" s="43">
        <v>0</v>
      </c>
      <c r="K159" s="63">
        <f t="shared" si="59"/>
        <v>21</v>
      </c>
      <c r="L159" s="124">
        <f>VLOOKUP($B:$B,'[1]3店'!$B:$L,11,0)</f>
        <v>13.7</v>
      </c>
      <c r="M159" s="44">
        <f t="shared" si="60"/>
        <v>287.7</v>
      </c>
      <c r="N159" s="65">
        <f>IFERROR(VLOOKUP(B:B,'3店辅助表'!B:C,2,FALSE),0)</f>
        <v>0</v>
      </c>
      <c r="O159" s="65">
        <f>IFERROR(VLOOKUP(B:B,'3店辅助表'!E:F,2,FALSE),0)</f>
        <v>0</v>
      </c>
      <c r="P159" s="65">
        <f>IFERROR(VLOOKUP(B:B,'3店辅助表'!H:I,2,FALSE),0)</f>
        <v>0</v>
      </c>
      <c r="Q159" s="65">
        <f>IFERROR(VLOOKUP(B:B,'[1]3店'!$B:$N,13,FALSE),0)</f>
        <v>0</v>
      </c>
      <c r="R159" s="79">
        <f t="shared" si="61"/>
        <v>0</v>
      </c>
      <c r="S159" s="80" t="str">
        <f t="shared" si="62"/>
        <v>-</v>
      </c>
      <c r="T159" s="44" t="str">
        <f t="shared" si="63"/>
        <v>-</v>
      </c>
      <c r="U159" s="44" t="str">
        <f>IFERROR(VLOOKUP($B:$B,'[1]3店'!$B:$T,19,0),"-")</f>
        <v>-</v>
      </c>
      <c r="V159" s="81" t="str">
        <f t="shared" si="64"/>
        <v>-</v>
      </c>
      <c r="W159" s="82" t="str">
        <f t="shared" si="65"/>
        <v>有库存无销量</v>
      </c>
      <c r="X159" s="83" t="str">
        <f t="shared" si="66"/>
        <v>有库存无销量</v>
      </c>
      <c r="Y159" s="44">
        <f>IFERROR(SUMIF('3店辅助表'!K:K,B:B,'3店辅助表'!N:N),0)</f>
        <v>0</v>
      </c>
      <c r="Z159" s="44">
        <f>IFERROR(SUMIF('3店辅助表'!T:T,B:B,'3店辅助表'!W:W),0)</f>
        <v>0</v>
      </c>
      <c r="AA159" s="44">
        <f>IFERROR(SUMIF('3店辅助表'!AC:AC,B:B,'3店辅助表'!AF:AF),0)</f>
        <v>0</v>
      </c>
      <c r="AB159" s="91" t="str">
        <f>IFERROR(SUMIF('3店辅助表'!K:K,B:B,'3店辅助表'!N:N)/SUMIF('3店辅助表'!K:K,B:B,'3店辅助表'!O:O),"-")</f>
        <v>-</v>
      </c>
      <c r="AC159" s="91" t="str">
        <f>IFERROR(VLOOKUP(B:B,'[1]3店'!$B:$AB,27,0),"-")</f>
        <v>-</v>
      </c>
      <c r="AD159" s="92" t="str">
        <f t="shared" si="67"/>
        <v>-</v>
      </c>
      <c r="AE159" s="91" t="str">
        <f>IFERROR(SUMIF('3店辅助表'!T:T,B:B,'3店辅助表'!W:W)/SUMIF('3店辅助表'!T:T,B:B,'3店辅助表'!X:X),"-")</f>
        <v>-</v>
      </c>
      <c r="AF159" s="91" t="str">
        <f>IFERROR(SUMIF('3店辅助表'!AC:AC,B:B,'3店辅助表'!AF:AF)/SUMIF('3店辅助表'!AC:AC,B:B,'3店辅助表'!AG:AG),"-")</f>
        <v>-</v>
      </c>
      <c r="AG159" s="99">
        <f>IFERROR(AK159/((SUMIF('3店辅助表'!AT:AT,B:B,'3店辅助表'!AU:AU)+M159)/2),"-")</f>
        <v>0</v>
      </c>
      <c r="AH159" s="99">
        <f>IFERROR(AL159/((SUMIF('3店辅助表'!AW:AW,B:B,'3店辅助表'!AX:AX)+M159)/2),"-")</f>
        <v>0</v>
      </c>
      <c r="AI159" s="100" t="str">
        <f>IFERROR((SUMIF('3店辅助表'!AP:AP,B:B,'3店辅助表'!AR:AR)-SUMIF('3店辅助表'!AP:AP,B:B,'3店辅助表'!AR:AR)*0.15-(L159+IFERROR(VLOOKUP(B:B,'3店辅助表'!AZ:BA,2,0),0))*O159-IF(AN:AN="US",6.85,4.9)*(Z159+4.27*O159))/SUMIF('3店辅助表'!AP:AP,B:B,'3店辅助表'!AR:AR),"-")</f>
        <v>-</v>
      </c>
      <c r="AJ159" s="100" t="str">
        <f t="shared" si="68"/>
        <v>-</v>
      </c>
      <c r="AK159" s="101">
        <f t="shared" si="69"/>
        <v>0</v>
      </c>
      <c r="AL159" s="101">
        <f t="shared" si="70"/>
        <v>0</v>
      </c>
      <c r="AM159" s="1" t="str">
        <f>VLOOKUP(B:B,'3店辅助表'!AZ:AZ,1,FALSE)</f>
        <v>Y3056-TG+Y3057</v>
      </c>
      <c r="AN159" t="str">
        <f>VLOOKUP(B:B,'3店辅助表'!AZ:BB,3,FALSE)</f>
        <v>US</v>
      </c>
    </row>
    <row r="160" customHeight="1" spans="1:40">
      <c r="A160" s="58" t="str">
        <f>INDEX('[1]3店'!$A:$A,MATCH(B:B,'[1]3店'!$B:$B,0))</f>
        <v>欣彤</v>
      </c>
      <c r="B160" s="43" t="s">
        <v>1036</v>
      </c>
      <c r="C160" s="43" t="s">
        <v>1037</v>
      </c>
      <c r="D160" s="59">
        <f>VLOOKUP(B:B,'[1]3店'!$B:$L,3,0)</f>
        <v>44946</v>
      </c>
      <c r="E160" s="43" t="s">
        <v>1038</v>
      </c>
      <c r="F160" s="43">
        <v>9</v>
      </c>
      <c r="G160" s="43">
        <v>0</v>
      </c>
      <c r="H160" s="43">
        <v>21</v>
      </c>
      <c r="I160" s="43">
        <v>0</v>
      </c>
      <c r="J160" s="43">
        <v>0</v>
      </c>
      <c r="K160" s="63">
        <f t="shared" si="59"/>
        <v>30</v>
      </c>
      <c r="L160" s="124">
        <f>VLOOKUP($B:$B,'[1]3店'!$B:$L,11,0)</f>
        <v>13.7</v>
      </c>
      <c r="M160" s="44">
        <f t="shared" si="60"/>
        <v>411</v>
      </c>
      <c r="N160" s="65">
        <f>IFERROR(VLOOKUP(B:B,'3店辅助表'!B:C,2,FALSE),0)</f>
        <v>0</v>
      </c>
      <c r="O160" s="65">
        <f>IFERROR(VLOOKUP(B:B,'3店辅助表'!E:F,2,FALSE),0)</f>
        <v>0</v>
      </c>
      <c r="P160" s="65">
        <f>IFERROR(VLOOKUP(B:B,'3店辅助表'!H:I,2,FALSE),0)</f>
        <v>16</v>
      </c>
      <c r="Q160" s="65">
        <f>IFERROR(VLOOKUP(B:B,'[1]3店'!$B:$N,13,FALSE),0)</f>
        <v>0</v>
      </c>
      <c r="R160" s="79">
        <f t="shared" si="61"/>
        <v>0</v>
      </c>
      <c r="S160" s="80">
        <f t="shared" si="62"/>
        <v>168.75</v>
      </c>
      <c r="T160" s="44">
        <f t="shared" si="63"/>
        <v>5.625</v>
      </c>
      <c r="U160" s="44">
        <f>IFERROR(VLOOKUP($B:$B,'[1]3店'!$B:$T,19,0),"-")</f>
        <v>0.136363636363636</v>
      </c>
      <c r="V160" s="81">
        <f t="shared" si="64"/>
        <v>5.48863636363636</v>
      </c>
      <c r="W160" s="82" t="str">
        <f t="shared" si="65"/>
        <v>有库存无销量</v>
      </c>
      <c r="X160" s="83" t="str">
        <f t="shared" si="66"/>
        <v>库存过高</v>
      </c>
      <c r="Y160" s="44">
        <f>IFERROR(SUMIF('3店辅助表'!K:K,B:B,'3店辅助表'!N:N),0)</f>
        <v>0</v>
      </c>
      <c r="Z160" s="44">
        <f>IFERROR(SUMIF('3店辅助表'!T:T,B:B,'3店辅助表'!W:W),0)</f>
        <v>0</v>
      </c>
      <c r="AA160" s="44">
        <f>IFERROR(SUMIF('3店辅助表'!AC:AC,B:B,'3店辅助表'!AF:AF),0)</f>
        <v>0</v>
      </c>
      <c r="AB160" s="91" t="str">
        <f>IFERROR(SUMIF('3店辅助表'!K:K,B:B,'3店辅助表'!N:N)/SUMIF('3店辅助表'!K:K,B:B,'3店辅助表'!O:O),"-")</f>
        <v>-</v>
      </c>
      <c r="AC160" s="91" t="str">
        <f>IFERROR(VLOOKUP(B:B,'[1]3店'!$B:$AB,27,0),"-")</f>
        <v>-</v>
      </c>
      <c r="AD160" s="92" t="str">
        <f t="shared" si="67"/>
        <v>-</v>
      </c>
      <c r="AE160" s="91" t="str">
        <f>IFERROR(SUMIF('3店辅助表'!T:T,B:B,'3店辅助表'!W:W)/SUMIF('3店辅助表'!T:T,B:B,'3店辅助表'!X:X),"-")</f>
        <v>-</v>
      </c>
      <c r="AF160" s="91" t="str">
        <f>IFERROR(SUMIF('3店辅助表'!AC:AC,B:B,'3店辅助表'!AF:AF)/SUMIF('3店辅助表'!AC:AC,B:B,'3店辅助表'!AG:AG),"-")</f>
        <v>-</v>
      </c>
      <c r="AG160" s="99">
        <f>IFERROR(AK160/((SUMIF('3店辅助表'!AT:AT,B:B,'3店辅助表'!AU:AU)+M160)/2),"-")</f>
        <v>0</v>
      </c>
      <c r="AH160" s="99">
        <f>IFERROR(AL160/((SUMIF('3店辅助表'!AW:AW,B:B,'3店辅助表'!AX:AX)+M160)/2),"-")</f>
        <v>0</v>
      </c>
      <c r="AI160" s="100" t="str">
        <f>IFERROR((SUMIF('3店辅助表'!AP:AP,B:B,'3店辅助表'!AR:AR)-SUMIF('3店辅助表'!AP:AP,B:B,'3店辅助表'!AR:AR)*0.15-(L160+IFERROR(VLOOKUP(B:B,'3店辅助表'!AZ:BA,2,0),0))*O160-IF(AN:AN="US",6.85,4.9)*(Z160+4.27*O160))/SUMIF('3店辅助表'!AP:AP,B:B,'3店辅助表'!AR:AR),"-")</f>
        <v>-</v>
      </c>
      <c r="AJ160" s="100" t="str">
        <f t="shared" si="68"/>
        <v>-</v>
      </c>
      <c r="AK160" s="101">
        <f t="shared" si="69"/>
        <v>0</v>
      </c>
      <c r="AL160" s="101">
        <f t="shared" si="70"/>
        <v>0</v>
      </c>
      <c r="AM160" s="1" t="str">
        <f>VLOOKUP(B:B,'3店辅助表'!AZ:AZ,1,FALSE)</f>
        <v>Y3058-BL</v>
      </c>
      <c r="AN160" t="str">
        <f>VLOOKUP(B:B,'3店辅助表'!AZ:BB,3,FALSE)</f>
        <v>US</v>
      </c>
    </row>
    <row r="161" customHeight="1" spans="1:40">
      <c r="A161" s="58" t="str">
        <f>INDEX('[1]3店'!$A:$A,MATCH(B:B,'[1]3店'!$B:$B,0))</f>
        <v>欣彤</v>
      </c>
      <c r="B161" s="43" t="s">
        <v>1039</v>
      </c>
      <c r="C161" s="43" t="s">
        <v>1037</v>
      </c>
      <c r="D161" s="59">
        <f>VLOOKUP(B:B,'[1]3店'!$B:$L,3,0)</f>
        <v>44946</v>
      </c>
      <c r="E161" s="43" t="s">
        <v>1040</v>
      </c>
      <c r="F161" s="43">
        <v>17</v>
      </c>
      <c r="G161" s="43">
        <v>1</v>
      </c>
      <c r="H161" s="43">
        <v>0</v>
      </c>
      <c r="I161" s="43">
        <v>0</v>
      </c>
      <c r="J161" s="43">
        <v>0</v>
      </c>
      <c r="K161" s="63">
        <f t="shared" si="59"/>
        <v>18</v>
      </c>
      <c r="L161" s="124">
        <f>VLOOKUP($B:$B,'[1]3店'!$B:$L,11,0)</f>
        <v>13.7</v>
      </c>
      <c r="M161" s="44">
        <f t="shared" si="60"/>
        <v>246.6</v>
      </c>
      <c r="N161" s="65">
        <f>IFERROR(VLOOKUP(B:B,'3店辅助表'!B:C,2,FALSE),0)</f>
        <v>1</v>
      </c>
      <c r="O161" s="65">
        <f>IFERROR(VLOOKUP(B:B,'3店辅助表'!E:F,2,FALSE),0)</f>
        <v>2</v>
      </c>
      <c r="P161" s="65">
        <f>IFERROR(VLOOKUP(B:B,'3店辅助表'!H:I,2,FALSE),0)</f>
        <v>5</v>
      </c>
      <c r="Q161" s="65">
        <f>IFERROR(VLOOKUP(B:B,'[1]3店'!$B:$N,13,FALSE),0)</f>
        <v>1</v>
      </c>
      <c r="R161" s="79">
        <f t="shared" si="61"/>
        <v>0</v>
      </c>
      <c r="S161" s="80">
        <f t="shared" si="62"/>
        <v>121.935483870968</v>
      </c>
      <c r="T161" s="44">
        <f t="shared" si="63"/>
        <v>4.06451612903226</v>
      </c>
      <c r="U161" s="44">
        <f>IFERROR(VLOOKUP($B:$B,'[1]3店'!$B:$T,19,0),"-")</f>
        <v>4.51612903225806</v>
      </c>
      <c r="V161" s="81">
        <f t="shared" si="64"/>
        <v>-0.4516129032258</v>
      </c>
      <c r="W161" s="82" t="str">
        <f t="shared" si="65"/>
        <v>库存过高</v>
      </c>
      <c r="X161" s="83" t="str">
        <f t="shared" si="66"/>
        <v>库存过高</v>
      </c>
      <c r="Y161" s="44">
        <f>IFERROR(SUMIF('3店辅助表'!K:K,B:B,'3店辅助表'!N:N),0)</f>
        <v>0</v>
      </c>
      <c r="Z161" s="44">
        <f>IFERROR(SUMIF('3店辅助表'!T:T,B:B,'3店辅助表'!W:W),0)</f>
        <v>0</v>
      </c>
      <c r="AA161" s="44">
        <f>IFERROR(SUMIF('3店辅助表'!AC:AC,B:B,'3店辅助表'!AF:AF),0)</f>
        <v>0</v>
      </c>
      <c r="AB161" s="91" t="str">
        <f>IFERROR(SUMIF('3店辅助表'!K:K,B:B,'3店辅助表'!N:N)/SUMIF('3店辅助表'!K:K,B:B,'3店辅助表'!O:O),"-")</f>
        <v>-</v>
      </c>
      <c r="AC161" s="91" t="str">
        <f>IFERROR(VLOOKUP(B:B,'[1]3店'!$B:$AB,27,0),"-")</f>
        <v>-</v>
      </c>
      <c r="AD161" s="92" t="str">
        <f t="shared" si="67"/>
        <v>-</v>
      </c>
      <c r="AE161" s="91" t="str">
        <f>IFERROR(SUMIF('3店辅助表'!T:T,B:B,'3店辅助表'!W:W)/SUMIF('3店辅助表'!T:T,B:B,'3店辅助表'!X:X),"-")</f>
        <v>-</v>
      </c>
      <c r="AF161" s="91" t="str">
        <f>IFERROR(SUMIF('3店辅助表'!AC:AC,B:B,'3店辅助表'!AF:AF)/SUMIF('3店辅助表'!AC:AC,B:B,'3店辅助表'!AG:AG),"-")</f>
        <v>-</v>
      </c>
      <c r="AG161" s="99">
        <f>IFERROR(AK161/((SUMIF('3店辅助表'!AT:AT,B:B,'3店辅助表'!AU:AU)+M161)/2),"-")</f>
        <v>0.0526315789473684</v>
      </c>
      <c r="AH161" s="99">
        <f>IFERROR(AL161/((SUMIF('3店辅助表'!AW:AW,B:B,'3店辅助表'!AX:AX)+M161)/2),"-")</f>
        <v>0.1</v>
      </c>
      <c r="AI161" s="100">
        <f>IFERROR((SUMIF('3店辅助表'!AP:AP,B:B,'3店辅助表'!AR:AR)-SUMIF('3店辅助表'!AP:AP,B:B,'3店辅助表'!AR:AR)*0.15-(L161+IFERROR(VLOOKUP(B:B,'3店辅助表'!AZ:BA,2,0),0))*O161-IF(AN:AN="US",6.85,4.9)*(Z161+4.27*O161))/SUMIF('3店辅助表'!AP:AP,B:B,'3店辅助表'!AR:AR),"-")</f>
        <v>0.208093201873843</v>
      </c>
      <c r="AJ161" s="100">
        <f t="shared" si="68"/>
        <v>0.0208093201873843</v>
      </c>
      <c r="AK161" s="101">
        <f t="shared" si="69"/>
        <v>13.7</v>
      </c>
      <c r="AL161" s="101">
        <f t="shared" si="70"/>
        <v>27.4</v>
      </c>
      <c r="AM161" s="1" t="str">
        <f>VLOOKUP(B:B,'3店辅助表'!AZ:AZ,1,FALSE)</f>
        <v>Y3058-GN</v>
      </c>
      <c r="AN161" t="str">
        <f>VLOOKUP(B:B,'3店辅助表'!AZ:BB,3,FALSE)</f>
        <v>US</v>
      </c>
    </row>
    <row r="162" customHeight="1" spans="1:40">
      <c r="A162" s="58" t="str">
        <f>INDEX('[1]3店'!$A:$A,MATCH(B:B,'[1]3店'!$B:$B,0))</f>
        <v>欣彤</v>
      </c>
      <c r="B162" s="43" t="s">
        <v>1041</v>
      </c>
      <c r="C162" s="43" t="s">
        <v>1037</v>
      </c>
      <c r="D162" s="59">
        <f>VLOOKUP(B:B,'[1]3店'!$B:$L,3,0)</f>
        <v>44946</v>
      </c>
      <c r="E162" s="43" t="s">
        <v>1042</v>
      </c>
      <c r="F162" s="43">
        <v>15</v>
      </c>
      <c r="G162" s="43">
        <v>0</v>
      </c>
      <c r="H162" s="43">
        <v>0</v>
      </c>
      <c r="I162" s="43">
        <v>0</v>
      </c>
      <c r="J162" s="43">
        <v>0</v>
      </c>
      <c r="K162" s="63">
        <f t="shared" si="59"/>
        <v>15</v>
      </c>
      <c r="L162" s="124">
        <f>VLOOKUP($B:$B,'[1]3店'!$B:$L,11,0)</f>
        <v>13.7</v>
      </c>
      <c r="M162" s="44">
        <f t="shared" si="60"/>
        <v>205.5</v>
      </c>
      <c r="N162" s="65">
        <f>IFERROR(VLOOKUP(B:B,'3店辅助表'!B:C,2,FALSE),0)</f>
        <v>6</v>
      </c>
      <c r="O162" s="65">
        <f>IFERROR(VLOOKUP(B:B,'3店辅助表'!E:F,2,FALSE),0)</f>
        <v>6</v>
      </c>
      <c r="P162" s="65">
        <f>IFERROR(VLOOKUP(B:B,'3店辅助表'!H:I,2,FALSE),0)</f>
        <v>8</v>
      </c>
      <c r="Q162" s="65">
        <f>IFERROR(VLOOKUP(B:B,'[1]3店'!$B:$N,13,FALSE),0)</f>
        <v>0</v>
      </c>
      <c r="R162" s="79">
        <f t="shared" si="61"/>
        <v>6</v>
      </c>
      <c r="S162" s="80">
        <f t="shared" si="62"/>
        <v>29.53125</v>
      </c>
      <c r="T162" s="44">
        <f t="shared" si="63"/>
        <v>0.984375</v>
      </c>
      <c r="U162" s="44">
        <f>IFERROR(VLOOKUP($B:$B,'[1]3店'!$B:$T,19,0),"-")</f>
        <v>9.5</v>
      </c>
      <c r="V162" s="81">
        <f t="shared" si="64"/>
        <v>-8.515625</v>
      </c>
      <c r="W162" s="82" t="str">
        <f t="shared" si="65"/>
        <v>正常</v>
      </c>
      <c r="X162" s="83" t="str">
        <f t="shared" si="66"/>
        <v>正常</v>
      </c>
      <c r="Y162" s="44">
        <f>IFERROR(SUMIF('3店辅助表'!K:K,B:B,'3店辅助表'!N:N),0)</f>
        <v>0</v>
      </c>
      <c r="Z162" s="44">
        <f>IFERROR(SUMIF('3店辅助表'!T:T,B:B,'3店辅助表'!W:W),0)</f>
        <v>0</v>
      </c>
      <c r="AA162" s="44">
        <f>IFERROR(SUMIF('3店辅助表'!AC:AC,B:B,'3店辅助表'!AF:AF),0)</f>
        <v>0</v>
      </c>
      <c r="AB162" s="91" t="str">
        <f>IFERROR(SUMIF('3店辅助表'!K:K,B:B,'3店辅助表'!N:N)/SUMIF('3店辅助表'!K:K,B:B,'3店辅助表'!O:O),"-")</f>
        <v>-</v>
      </c>
      <c r="AC162" s="91" t="str">
        <f>IFERROR(VLOOKUP(B:B,'[1]3店'!$B:$AB,27,0),"-")</f>
        <v>-</v>
      </c>
      <c r="AD162" s="92" t="str">
        <f t="shared" si="67"/>
        <v>-</v>
      </c>
      <c r="AE162" s="91" t="str">
        <f>IFERROR(SUMIF('3店辅助表'!T:T,B:B,'3店辅助表'!W:W)/SUMIF('3店辅助表'!T:T,B:B,'3店辅助表'!X:X),"-")</f>
        <v>-</v>
      </c>
      <c r="AF162" s="91" t="str">
        <f>IFERROR(SUMIF('3店辅助表'!AC:AC,B:B,'3店辅助表'!AF:AF)/SUMIF('3店辅助表'!AC:AC,B:B,'3店辅助表'!AG:AG),"-")</f>
        <v>-</v>
      </c>
      <c r="AG162" s="99">
        <f>IFERROR(AK162/((SUMIF('3店辅助表'!AT:AT,B:B,'3店辅助表'!AU:AU)+M162)/2),"-")</f>
        <v>0.352941176470588</v>
      </c>
      <c r="AH162" s="99">
        <f>IFERROR(AL162/((SUMIF('3店辅助表'!AW:AW,B:B,'3店辅助表'!AX:AX)+M162)/2),"-")</f>
        <v>0.342857142857143</v>
      </c>
      <c r="AI162" s="100">
        <f>IFERROR((SUMIF('3店辅助表'!AP:AP,B:B,'3店辅助表'!AR:AR)-SUMIF('3店辅助表'!AP:AP,B:B,'3店辅助表'!AR:AR)*0.15-(L162+IFERROR(VLOOKUP(B:B,'3店辅助表'!AZ:BA,2,0),0))*O162-IF(AN:AN="US",6.85,4.9)*(Z162+4.27*O162))/SUMIF('3店辅助表'!AP:AP,B:B,'3店辅助表'!AR:AR),"-")</f>
        <v>0.3189401729573</v>
      </c>
      <c r="AJ162" s="100">
        <f t="shared" si="68"/>
        <v>0.109350916442503</v>
      </c>
      <c r="AK162" s="101">
        <f t="shared" si="69"/>
        <v>82.2</v>
      </c>
      <c r="AL162" s="101">
        <f t="shared" si="70"/>
        <v>82.2</v>
      </c>
      <c r="AM162" s="1" t="str">
        <f>VLOOKUP(B:B,'3店辅助表'!AZ:AZ,1,FALSE)</f>
        <v>Y3058-GY</v>
      </c>
      <c r="AN162" t="str">
        <f>VLOOKUP(B:B,'3店辅助表'!AZ:BB,3,FALSE)</f>
        <v>US</v>
      </c>
    </row>
    <row r="163" customHeight="1" spans="1:40">
      <c r="A163" s="58" t="str">
        <f>INDEX('[1]3店'!$A:$A,MATCH(B:B,'[1]3店'!$B:$B,0))</f>
        <v>欣彤</v>
      </c>
      <c r="B163" s="43" t="s">
        <v>1043</v>
      </c>
      <c r="C163" s="43" t="s">
        <v>1037</v>
      </c>
      <c r="D163" s="59">
        <f>VLOOKUP(B:B,'[1]3店'!$B:$L,3,0)</f>
        <v>44946</v>
      </c>
      <c r="E163" s="43" t="s">
        <v>1044</v>
      </c>
      <c r="F163" s="43">
        <v>16</v>
      </c>
      <c r="G163" s="43">
        <v>0</v>
      </c>
      <c r="H163" s="43">
        <v>0</v>
      </c>
      <c r="I163" s="43">
        <v>0</v>
      </c>
      <c r="J163" s="43">
        <v>0</v>
      </c>
      <c r="K163" s="63">
        <f t="shared" si="59"/>
        <v>16</v>
      </c>
      <c r="L163" s="124">
        <f>VLOOKUP($B:$B,'[1]3店'!$B:$L,11,0)</f>
        <v>13.7</v>
      </c>
      <c r="M163" s="44">
        <f t="shared" si="60"/>
        <v>219.2</v>
      </c>
      <c r="N163" s="65">
        <f>IFERROR(VLOOKUP(B:B,'3店辅助表'!B:C,2,FALSE),0)</f>
        <v>1</v>
      </c>
      <c r="O163" s="65">
        <f>IFERROR(VLOOKUP(B:B,'3店辅助表'!E:F,2,FALSE),0)</f>
        <v>3</v>
      </c>
      <c r="P163" s="65">
        <f>IFERROR(VLOOKUP(B:B,'3店辅助表'!H:I,2,FALSE),0)</f>
        <v>6</v>
      </c>
      <c r="Q163" s="65">
        <f>IFERROR(VLOOKUP(B:B,'[1]3店'!$B:$N,13,FALSE),0)</f>
        <v>2</v>
      </c>
      <c r="R163" s="79">
        <f t="shared" si="61"/>
        <v>-1</v>
      </c>
      <c r="S163" s="80">
        <f t="shared" si="62"/>
        <v>88.4210526315789</v>
      </c>
      <c r="T163" s="44">
        <f t="shared" si="63"/>
        <v>2.94736842105263</v>
      </c>
      <c r="U163" s="44">
        <f>IFERROR(VLOOKUP($B:$B,'[1]3店'!$B:$T,19,0),"-")</f>
        <v>2.47916666666667</v>
      </c>
      <c r="V163" s="81">
        <f t="shared" si="64"/>
        <v>0.46820175438596</v>
      </c>
      <c r="W163" s="82" t="str">
        <f t="shared" si="65"/>
        <v>库存过高</v>
      </c>
      <c r="X163" s="83" t="str">
        <f t="shared" si="66"/>
        <v>库存过高</v>
      </c>
      <c r="Y163" s="44">
        <f>IFERROR(SUMIF('3店辅助表'!K:K,B:B,'3店辅助表'!N:N),0)</f>
        <v>0</v>
      </c>
      <c r="Z163" s="44">
        <f>IFERROR(SUMIF('3店辅助表'!T:T,B:B,'3店辅助表'!W:W),0)</f>
        <v>0</v>
      </c>
      <c r="AA163" s="44">
        <f>IFERROR(SUMIF('3店辅助表'!AC:AC,B:B,'3店辅助表'!AF:AF),0)</f>
        <v>0</v>
      </c>
      <c r="AB163" s="91" t="str">
        <f>IFERROR(SUMIF('3店辅助表'!K:K,B:B,'3店辅助表'!N:N)/SUMIF('3店辅助表'!K:K,B:B,'3店辅助表'!O:O),"-")</f>
        <v>-</v>
      </c>
      <c r="AC163" s="91" t="str">
        <f>IFERROR(VLOOKUP(B:B,'[1]3店'!$B:$AB,27,0),"-")</f>
        <v>-</v>
      </c>
      <c r="AD163" s="92" t="str">
        <f t="shared" si="67"/>
        <v>-</v>
      </c>
      <c r="AE163" s="91" t="str">
        <f>IFERROR(SUMIF('3店辅助表'!T:T,B:B,'3店辅助表'!W:W)/SUMIF('3店辅助表'!T:T,B:B,'3店辅助表'!X:X),"-")</f>
        <v>-</v>
      </c>
      <c r="AF163" s="91" t="str">
        <f>IFERROR(SUMIF('3店辅助表'!AC:AC,B:B,'3店辅助表'!AF:AF)/SUMIF('3店辅助表'!AC:AC,B:B,'3店辅助表'!AG:AG),"-")</f>
        <v>-</v>
      </c>
      <c r="AG163" s="99">
        <f>IFERROR(AK163/((SUMIF('3店辅助表'!AT:AT,B:B,'3店辅助表'!AU:AU)+M163)/2),"-")</f>
        <v>0.0606060606060606</v>
      </c>
      <c r="AH163" s="99">
        <f>IFERROR(AL163/((SUMIF('3店辅助表'!AW:AW,B:B,'3店辅助表'!AX:AX)+M163)/2),"-")</f>
        <v>0.157894736842105</v>
      </c>
      <c r="AI163" s="100">
        <f>IFERROR((SUMIF('3店辅助表'!AP:AP,B:B,'3店辅助表'!AR:AR)-SUMIF('3店辅助表'!AP:AP,B:B,'3店辅助表'!AR:AR)*0.15-(L163+IFERROR(VLOOKUP(B:B,'3店辅助表'!AZ:BA,2,0),0))*O163-IF(AN:AN="US",6.85,4.9)*(Z163+4.27*O163))/SUMIF('3店辅助表'!AP:AP,B:B,'3店辅助表'!AR:AR),"-")</f>
        <v>0.190815298043851</v>
      </c>
      <c r="AJ163" s="100">
        <f t="shared" si="68"/>
        <v>0.0301287312700818</v>
      </c>
      <c r="AK163" s="101">
        <f t="shared" si="69"/>
        <v>13.7</v>
      </c>
      <c r="AL163" s="101">
        <f t="shared" si="70"/>
        <v>41.1</v>
      </c>
      <c r="AM163" s="1" t="str">
        <f>VLOOKUP(B:B,'3店辅助表'!AZ:AZ,1,FALSE)</f>
        <v>Y3058-LP</v>
      </c>
      <c r="AN163" t="str">
        <f>VLOOKUP(B:B,'3店辅助表'!AZ:BB,3,FALSE)</f>
        <v>US</v>
      </c>
    </row>
    <row r="164" customHeight="1" spans="1:40">
      <c r="A164" s="58" t="str">
        <f>INDEX('[1]3店'!$A:$A,MATCH(B:B,'[1]3店'!$B:$B,0))</f>
        <v>欣彤</v>
      </c>
      <c r="B164" s="43" t="s">
        <v>1045</v>
      </c>
      <c r="C164" s="43" t="s">
        <v>1037</v>
      </c>
      <c r="D164" s="59">
        <f>VLOOKUP(B:B,'[1]3店'!$B:$L,3,0)</f>
        <v>44946</v>
      </c>
      <c r="E164" s="43" t="s">
        <v>1046</v>
      </c>
      <c r="F164" s="43">
        <v>27</v>
      </c>
      <c r="G164" s="43">
        <v>1</v>
      </c>
      <c r="H164" s="43">
        <v>1</v>
      </c>
      <c r="I164" s="43">
        <v>0</v>
      </c>
      <c r="J164" s="43">
        <v>0</v>
      </c>
      <c r="K164" s="63">
        <f t="shared" si="59"/>
        <v>29</v>
      </c>
      <c r="L164" s="124">
        <f>VLOOKUP($B:$B,'[1]3店'!$B:$L,11,0)</f>
        <v>13.7</v>
      </c>
      <c r="M164" s="44">
        <f t="shared" si="60"/>
        <v>397.3</v>
      </c>
      <c r="N164" s="65">
        <f>IFERROR(VLOOKUP(B:B,'3店辅助表'!B:C,2,FALSE),0)</f>
        <v>0</v>
      </c>
      <c r="O164" s="65">
        <f>IFERROR(VLOOKUP(B:B,'3店辅助表'!E:F,2,FALSE),0)</f>
        <v>3</v>
      </c>
      <c r="P164" s="65">
        <f>IFERROR(VLOOKUP(B:B,'3店辅助表'!H:I,2,FALSE),0)</f>
        <v>7</v>
      </c>
      <c r="Q164" s="65">
        <f>IFERROR(VLOOKUP(B:B,'[1]3店'!$B:$N,13,FALSE),0)</f>
        <v>2</v>
      </c>
      <c r="R164" s="79">
        <f t="shared" si="61"/>
        <v>-2</v>
      </c>
      <c r="S164" s="80">
        <f t="shared" si="62"/>
        <v>200.769230769231</v>
      </c>
      <c r="T164" s="44">
        <f t="shared" si="63"/>
        <v>6.69230769230769</v>
      </c>
      <c r="U164" s="44">
        <f>IFERROR(VLOOKUP($B:$B,'[1]3店'!$B:$T,19,0),"-")</f>
        <v>3.66279069767442</v>
      </c>
      <c r="V164" s="81">
        <f t="shared" si="64"/>
        <v>3.02951699463327</v>
      </c>
      <c r="W164" s="82" t="str">
        <f t="shared" si="65"/>
        <v>有库存无销量</v>
      </c>
      <c r="X164" s="83" t="str">
        <f t="shared" si="66"/>
        <v>库存过高</v>
      </c>
      <c r="Y164" s="44">
        <f>IFERROR(SUMIF('3店辅助表'!K:K,B:B,'3店辅助表'!N:N),0)</f>
        <v>29.91</v>
      </c>
      <c r="Z164" s="44">
        <f>IFERROR(SUMIF('3店辅助表'!T:T,B:B,'3店辅助表'!W:W),0)</f>
        <v>59</v>
      </c>
      <c r="AA164" s="44">
        <f>IFERROR(SUMIF('3店辅助表'!AC:AC,B:B,'3店辅助表'!AF:AF),0)</f>
        <v>95.24</v>
      </c>
      <c r="AB164" s="91">
        <f>IFERROR(SUMIF('3店辅助表'!K:K,B:B,'3店辅助表'!N:N)/SUMIF('3店辅助表'!K:K,B:B,'3店辅助表'!O:O),"-")</f>
        <v>0.460508083140878</v>
      </c>
      <c r="AC164" s="91">
        <f>IFERROR(VLOOKUP(B:B,'[1]3店'!$B:$AB,27,0),"-")</f>
        <v>1.01896615842321</v>
      </c>
      <c r="AD164" s="92">
        <f t="shared" si="67"/>
        <v>-0.558458075282332</v>
      </c>
      <c r="AE164" s="91">
        <f>IFERROR(SUMIF('3店辅助表'!T:T,B:B,'3店辅助表'!W:W)/SUMIF('3店辅助表'!T:T,B:B,'3店辅助表'!X:X),"-")</f>
        <v>0.513847761713987</v>
      </c>
      <c r="AF164" s="91">
        <f>IFERROR(SUMIF('3店辅助表'!AC:AC,B:B,'3店辅助表'!AF:AF)/SUMIF('3店辅助表'!AC:AC,B:B,'3店辅助表'!AG:AG),"-")</f>
        <v>0.423835165324196</v>
      </c>
      <c r="AG164" s="99">
        <f>IFERROR(AK164/((SUMIF('3店辅助表'!AT:AT,B:B,'3店辅助表'!AU:AU)+M164)/2),"-")</f>
        <v>0</v>
      </c>
      <c r="AH164" s="99">
        <f>IFERROR(AL164/((SUMIF('3店辅助表'!AW:AW,B:B,'3店辅助表'!AX:AX)+M164)/2),"-")</f>
        <v>0.09375</v>
      </c>
      <c r="AI164" s="100">
        <f>IFERROR((SUMIF('3店辅助表'!AP:AP,B:B,'3店辅助表'!AR:AR)-SUMIF('3店辅助表'!AP:AP,B:B,'3店辅助表'!AR:AR)*0.15-(L164+IFERROR(VLOOKUP(B:B,'3店辅助表'!AZ:BA,2,0),0))*O164-IF(AN:AN="US",6.85,4.9)*(Z164+4.27*O164))/SUMIF('3店辅助表'!AP:AP,B:B,'3店辅助表'!AR:AR),"-")</f>
        <v>-1.95070399572776</v>
      </c>
      <c r="AJ164" s="100">
        <f t="shared" si="68"/>
        <v>-0.182878499599477</v>
      </c>
      <c r="AK164" s="101">
        <f t="shared" si="69"/>
        <v>0</v>
      </c>
      <c r="AL164" s="101">
        <f t="shared" si="70"/>
        <v>41.1</v>
      </c>
      <c r="AM164" s="1" t="str">
        <f>VLOOKUP(B:B,'3店辅助表'!AZ:AZ,1,FALSE)</f>
        <v>Y3058-NB</v>
      </c>
      <c r="AN164" t="str">
        <f>VLOOKUP(B:B,'3店辅助表'!AZ:BB,3,FALSE)</f>
        <v>US</v>
      </c>
    </row>
    <row r="165" customHeight="1" spans="1:40">
      <c r="A165" s="58" t="str">
        <f>INDEX('[1]3店'!$A:$A,MATCH(B:B,'[1]3店'!$B:$B,0))</f>
        <v>欣彤</v>
      </c>
      <c r="B165" s="43" t="s">
        <v>1047</v>
      </c>
      <c r="C165" s="43" t="s">
        <v>1037</v>
      </c>
      <c r="D165" s="59">
        <f>VLOOKUP(B:B,'[1]3店'!$B:$L,3,0)</f>
        <v>44946</v>
      </c>
      <c r="E165" s="43" t="s">
        <v>1048</v>
      </c>
      <c r="F165" s="43">
        <v>25</v>
      </c>
      <c r="G165" s="43">
        <v>0</v>
      </c>
      <c r="H165" s="43">
        <v>0</v>
      </c>
      <c r="I165" s="43">
        <v>0</v>
      </c>
      <c r="J165" s="43">
        <v>0</v>
      </c>
      <c r="K165" s="63">
        <f t="shared" si="59"/>
        <v>25</v>
      </c>
      <c r="L165" s="124">
        <f>VLOOKUP($B:$B,'[1]3店'!$B:$L,11,0)</f>
        <v>13.7</v>
      </c>
      <c r="M165" s="44">
        <f t="shared" si="60"/>
        <v>342.5</v>
      </c>
      <c r="N165" s="65">
        <f>IFERROR(VLOOKUP(B:B,'3店辅助表'!B:C,2,FALSE),0)</f>
        <v>1</v>
      </c>
      <c r="O165" s="65">
        <f>IFERROR(VLOOKUP(B:B,'3店辅助表'!E:F,2,FALSE),0)</f>
        <v>1</v>
      </c>
      <c r="P165" s="65">
        <f>IFERROR(VLOOKUP(B:B,'3店辅助表'!H:I,2,FALSE),0)</f>
        <v>4</v>
      </c>
      <c r="Q165" s="65">
        <f>IFERROR(VLOOKUP(B:B,'[1]3店'!$B:$N,13,FALSE),0)</f>
        <v>0</v>
      </c>
      <c r="R165" s="79">
        <f t="shared" si="61"/>
        <v>1</v>
      </c>
      <c r="S165" s="80">
        <f t="shared" si="62"/>
        <v>218.75</v>
      </c>
      <c r="T165" s="44">
        <f t="shared" si="63"/>
        <v>7.29166666666667</v>
      </c>
      <c r="U165" s="44">
        <f>IFERROR(VLOOKUP($B:$B,'[1]3店'!$B:$T,19,0),"-")</f>
        <v>15.6</v>
      </c>
      <c r="V165" s="81">
        <f t="shared" si="64"/>
        <v>-8.30833333333333</v>
      </c>
      <c r="W165" s="82" t="str">
        <f t="shared" si="65"/>
        <v>库存过高</v>
      </c>
      <c r="X165" s="83" t="str">
        <f t="shared" si="66"/>
        <v>库存过高</v>
      </c>
      <c r="Y165" s="44">
        <f>IFERROR(SUMIF('3店辅助表'!K:K,B:B,'3店辅助表'!N:N),0)</f>
        <v>0</v>
      </c>
      <c r="Z165" s="44">
        <f>IFERROR(SUMIF('3店辅助表'!T:T,B:B,'3店辅助表'!W:W),0)</f>
        <v>0</v>
      </c>
      <c r="AA165" s="44">
        <f>IFERROR(SUMIF('3店辅助表'!AC:AC,B:B,'3店辅助表'!AF:AF),0)</f>
        <v>0</v>
      </c>
      <c r="AB165" s="91" t="str">
        <f>IFERROR(SUMIF('3店辅助表'!K:K,B:B,'3店辅助表'!N:N)/SUMIF('3店辅助表'!K:K,B:B,'3店辅助表'!O:O),"-")</f>
        <v>-</v>
      </c>
      <c r="AC165" s="91" t="str">
        <f>IFERROR(VLOOKUP(B:B,'[1]3店'!$B:$AB,27,0),"-")</f>
        <v>-</v>
      </c>
      <c r="AD165" s="92" t="str">
        <f t="shared" si="67"/>
        <v>-</v>
      </c>
      <c r="AE165" s="91" t="str">
        <f>IFERROR(SUMIF('3店辅助表'!T:T,B:B,'3店辅助表'!W:W)/SUMIF('3店辅助表'!T:T,B:B,'3店辅助表'!X:X),"-")</f>
        <v>-</v>
      </c>
      <c r="AF165" s="91" t="str">
        <f>IFERROR(SUMIF('3店辅助表'!AC:AC,B:B,'3店辅助表'!AF:AF)/SUMIF('3店辅助表'!AC:AC,B:B,'3店辅助表'!AG:AG),"-")</f>
        <v>-</v>
      </c>
      <c r="AG165" s="99">
        <f>IFERROR(AK165/((SUMIF('3店辅助表'!AT:AT,B:B,'3店辅助表'!AU:AU)+M165)/2),"-")</f>
        <v>0.0392156862745098</v>
      </c>
      <c r="AH165" s="99">
        <f>IFERROR(AL165/((SUMIF('3店辅助表'!AW:AW,B:B,'3店辅助表'!AX:AX)+M165)/2),"-")</f>
        <v>0.037037037037037</v>
      </c>
      <c r="AI165" s="100">
        <f>IFERROR((SUMIF('3店辅助表'!AP:AP,B:B,'3店辅助表'!AR:AR)-SUMIF('3店辅助表'!AP:AP,B:B,'3店辅助表'!AR:AR)*0.15-(L165+IFERROR(VLOOKUP(B:B,'3店辅助表'!AZ:BA,2,0),0))*O165-IF(AN:AN="US",6.85,4.9)*(Z165+4.27*O165))/SUMIF('3店辅助表'!AP:AP,B:B,'3店辅助表'!AR:AR),"-")</f>
        <v>0.319794283081315</v>
      </c>
      <c r="AJ165" s="100">
        <f t="shared" si="68"/>
        <v>0.0118442327067154</v>
      </c>
      <c r="AK165" s="101">
        <f t="shared" si="69"/>
        <v>13.7</v>
      </c>
      <c r="AL165" s="101">
        <f t="shared" si="70"/>
        <v>13.7</v>
      </c>
      <c r="AM165" s="1" t="str">
        <f>VLOOKUP(B:B,'3店辅助表'!AZ:AZ,1,FALSE)</f>
        <v>Y3058-TG</v>
      </c>
      <c r="AN165" t="str">
        <f>VLOOKUP(B:B,'3店辅助表'!AZ:BB,3,FALSE)</f>
        <v>US</v>
      </c>
    </row>
    <row r="166" customHeight="1" spans="1:40">
      <c r="A166" s="58" t="str">
        <f>INDEX('[1]3店'!$A:$A,MATCH(B:B,'[1]3店'!$B:$B,0))</f>
        <v>欣彤</v>
      </c>
      <c r="B166" s="43" t="s">
        <v>1049</v>
      </c>
      <c r="C166" s="43" t="s">
        <v>1050</v>
      </c>
      <c r="D166" s="59">
        <f>VLOOKUP(B:B,'[1]3店'!$B:$L,3,0)</f>
        <v>44942</v>
      </c>
      <c r="E166" s="43" t="s">
        <v>1051</v>
      </c>
      <c r="F166" s="43">
        <v>17</v>
      </c>
      <c r="G166" s="43">
        <v>1</v>
      </c>
      <c r="H166" s="43">
        <v>21</v>
      </c>
      <c r="I166" s="43">
        <v>51</v>
      </c>
      <c r="J166" s="43">
        <v>0</v>
      </c>
      <c r="K166" s="63">
        <f t="shared" si="59"/>
        <v>90</v>
      </c>
      <c r="L166" s="124">
        <f>VLOOKUP($B:$B,'[1]3店'!$B:$L,11,0)</f>
        <v>12.7</v>
      </c>
      <c r="M166" s="44">
        <f t="shared" si="60"/>
        <v>1143</v>
      </c>
      <c r="N166" s="65">
        <f>IFERROR(VLOOKUP(B:B,'3店辅助表'!B:C,2,FALSE),0)</f>
        <v>22</v>
      </c>
      <c r="O166" s="65">
        <f>IFERROR(VLOOKUP(B:B,'3店辅助表'!E:F,2,FALSE),0)</f>
        <v>48</v>
      </c>
      <c r="P166" s="65">
        <f>IFERROR(VLOOKUP(B:B,'3店辅助表'!H:I,2,FALSE),0)</f>
        <v>87</v>
      </c>
      <c r="Q166" s="65">
        <f>IFERROR(VLOOKUP(B:B,'[1]3店'!$B:$N,13,FALSE),0)</f>
        <v>24</v>
      </c>
      <c r="R166" s="79">
        <f t="shared" si="61"/>
        <v>-2</v>
      </c>
      <c r="S166" s="80">
        <f t="shared" si="62"/>
        <v>29.2117465224111</v>
      </c>
      <c r="T166" s="44">
        <f t="shared" si="63"/>
        <v>0.973724884080371</v>
      </c>
      <c r="U166" s="44">
        <f>IFERROR(VLOOKUP($B:$B,'[1]3店'!$B:$T,19,0),"-")</f>
        <v>1.32896890343699</v>
      </c>
      <c r="V166" s="81">
        <f t="shared" si="64"/>
        <v>-0.355244019356619</v>
      </c>
      <c r="W166" s="82" t="str">
        <f t="shared" si="65"/>
        <v>正常</v>
      </c>
      <c r="X166" s="83" t="str">
        <f t="shared" si="66"/>
        <v>正常</v>
      </c>
      <c r="Y166" s="44">
        <f>IFERROR(SUMIF('3店辅助表'!K:K,B:B,'3店辅助表'!N:N),0)</f>
        <v>0</v>
      </c>
      <c r="Z166" s="44">
        <f>IFERROR(SUMIF('3店辅助表'!T:T,B:B,'3店辅助表'!W:W),0)</f>
        <v>0</v>
      </c>
      <c r="AA166" s="44">
        <f>IFERROR(SUMIF('3店辅助表'!AC:AC,B:B,'3店辅助表'!AF:AF),0)</f>
        <v>0</v>
      </c>
      <c r="AB166" s="91" t="str">
        <f>IFERROR(SUMIF('3店辅助表'!K:K,B:B,'3店辅助表'!N:N)/SUMIF('3店辅助表'!K:K,B:B,'3店辅助表'!O:O),"-")</f>
        <v>-</v>
      </c>
      <c r="AC166" s="91" t="str">
        <f>IFERROR(VLOOKUP(B:B,'[1]3店'!$B:$AB,27,0),"-")</f>
        <v>-</v>
      </c>
      <c r="AD166" s="92" t="str">
        <f t="shared" si="67"/>
        <v>-</v>
      </c>
      <c r="AE166" s="91" t="str">
        <f>IFERROR(SUMIF('3店辅助表'!T:T,B:B,'3店辅助表'!W:W)/SUMIF('3店辅助表'!T:T,B:B,'3店辅助表'!X:X),"-")</f>
        <v>-</v>
      </c>
      <c r="AF166" s="91" t="str">
        <f>IFERROR(SUMIF('3店辅助表'!AC:AC,B:B,'3店辅助表'!AF:AF)/SUMIF('3店辅助表'!AC:AC,B:B,'3店辅助表'!AG:AG),"-")</f>
        <v>-</v>
      </c>
      <c r="AG166" s="99">
        <f>IFERROR(AK166/((SUMIF('3店辅助表'!AT:AT,B:B,'3店辅助表'!AU:AU)+M166)/2),"-")</f>
        <v>0.213592233009709</v>
      </c>
      <c r="AH166" s="99">
        <f>IFERROR(AL166/((SUMIF('3店辅助表'!AW:AW,B:B,'3店辅助表'!AX:AX)+M166)/2),"-")</f>
        <v>0.755905511811024</v>
      </c>
      <c r="AI166" s="100">
        <f>IFERROR((SUMIF('3店辅助表'!AP:AP,B:B,'3店辅助表'!AR:AR)-SUMIF('3店辅助表'!AP:AP,B:B,'3店辅助表'!AR:AR)*0.15-(L166+IFERROR(VLOOKUP(B:B,'3店辅助表'!AZ:BA,2,0),0))*O166-IF(AN:AN="US",6.85,4.9)*(Z166+4.27*O166))/SUMIF('3店辅助表'!AP:AP,B:B,'3店辅助表'!AR:AR),"-")</f>
        <v>0.323571140514458</v>
      </c>
      <c r="AJ166" s="100">
        <f t="shared" si="68"/>
        <v>0.244589208577858</v>
      </c>
      <c r="AK166" s="101">
        <f t="shared" si="69"/>
        <v>279.4</v>
      </c>
      <c r="AL166" s="101">
        <f t="shared" si="70"/>
        <v>609.6</v>
      </c>
      <c r="AM166" s="1" t="str">
        <f>VLOOKUP(B:B,'3店辅助表'!AZ:AZ,1,FALSE)</f>
        <v>Y3079-BL+Y3079</v>
      </c>
      <c r="AN166" t="str">
        <f>VLOOKUP(B:B,'3店辅助表'!AZ:BB,3,FALSE)</f>
        <v>US</v>
      </c>
    </row>
    <row r="167" customHeight="1" spans="1:40">
      <c r="A167" s="58" t="str">
        <f>INDEX('[1]3店'!$A:$A,MATCH(B:B,'[1]3店'!$B:$B,0))</f>
        <v>欣彤</v>
      </c>
      <c r="B167" s="43" t="s">
        <v>1052</v>
      </c>
      <c r="C167" s="43" t="s">
        <v>1053</v>
      </c>
      <c r="D167" s="59">
        <f>VLOOKUP(B:B,'[1]3店'!$B:$L,3,0)</f>
        <v>44942</v>
      </c>
      <c r="E167" s="43" t="s">
        <v>1054</v>
      </c>
      <c r="F167" s="43">
        <v>9</v>
      </c>
      <c r="G167" s="43">
        <v>0</v>
      </c>
      <c r="H167" s="43">
        <v>25</v>
      </c>
      <c r="I167" s="43">
        <v>0</v>
      </c>
      <c r="J167" s="43">
        <v>0</v>
      </c>
      <c r="K167" s="63">
        <f t="shared" si="59"/>
        <v>34</v>
      </c>
      <c r="L167" s="124">
        <f>VLOOKUP($B:$B,'[1]3店'!$B:$L,11,0)</f>
        <v>12.7</v>
      </c>
      <c r="M167" s="44">
        <f t="shared" si="60"/>
        <v>431.8</v>
      </c>
      <c r="N167" s="65">
        <f>IFERROR(VLOOKUP(B:B,'3店辅助表'!B:C,2,FALSE),0)</f>
        <v>4</v>
      </c>
      <c r="O167" s="65">
        <f>IFERROR(VLOOKUP(B:B,'3店辅助表'!E:F,2,FALSE),0)</f>
        <v>7</v>
      </c>
      <c r="P167" s="65">
        <f>IFERROR(VLOOKUP(B:B,'3店辅助表'!H:I,2,FALSE),0)</f>
        <v>16</v>
      </c>
      <c r="Q167" s="65">
        <f>IFERROR(VLOOKUP(B:B,'[1]3店'!$B:$N,13,FALSE),0)</f>
        <v>3</v>
      </c>
      <c r="R167" s="79">
        <f t="shared" si="61"/>
        <v>1</v>
      </c>
      <c r="S167" s="80">
        <f t="shared" si="62"/>
        <v>64.9090909090909</v>
      </c>
      <c r="T167" s="44">
        <f t="shared" si="63"/>
        <v>2.16363636363636</v>
      </c>
      <c r="U167" s="44">
        <f>IFERROR(VLOOKUP($B:$B,'[1]3店'!$B:$T,19,0),"-")</f>
        <v>1.1013986013986</v>
      </c>
      <c r="V167" s="81">
        <f t="shared" si="64"/>
        <v>1.06223776223776</v>
      </c>
      <c r="W167" s="82" t="str">
        <f t="shared" si="65"/>
        <v>库存过高</v>
      </c>
      <c r="X167" s="83" t="str">
        <f t="shared" si="66"/>
        <v>库存过高</v>
      </c>
      <c r="Y167" s="44">
        <f>IFERROR(SUMIF('3店辅助表'!K:K,B:B,'3店辅助表'!N:N),0)</f>
        <v>0</v>
      </c>
      <c r="Z167" s="44">
        <f>IFERROR(SUMIF('3店辅助表'!T:T,B:B,'3店辅助表'!W:W),0)</f>
        <v>0</v>
      </c>
      <c r="AA167" s="44">
        <f>IFERROR(SUMIF('3店辅助表'!AC:AC,B:B,'3店辅助表'!AF:AF),0)</f>
        <v>0</v>
      </c>
      <c r="AB167" s="91" t="str">
        <f>IFERROR(SUMIF('3店辅助表'!K:K,B:B,'3店辅助表'!N:N)/SUMIF('3店辅助表'!K:K,B:B,'3店辅助表'!O:O),"-")</f>
        <v>-</v>
      </c>
      <c r="AC167" s="91" t="str">
        <f>IFERROR(VLOOKUP(B:B,'[1]3店'!$B:$AB,27,0),"-")</f>
        <v>-</v>
      </c>
      <c r="AD167" s="92" t="str">
        <f t="shared" si="67"/>
        <v>-</v>
      </c>
      <c r="AE167" s="91" t="str">
        <f>IFERROR(SUMIF('3店辅助表'!T:T,B:B,'3店辅助表'!W:W)/SUMIF('3店辅助表'!T:T,B:B,'3店辅助表'!X:X),"-")</f>
        <v>-</v>
      </c>
      <c r="AF167" s="91" t="str">
        <f>IFERROR(SUMIF('3店辅助表'!AC:AC,B:B,'3店辅助表'!AF:AF)/SUMIF('3店辅助表'!AC:AC,B:B,'3店辅助表'!AG:AG),"-")</f>
        <v>-</v>
      </c>
      <c r="AG167" s="99">
        <f>IFERROR(AK167/((SUMIF('3店辅助表'!AT:AT,B:B,'3店辅助表'!AU:AU)+M167)/2),"-")</f>
        <v>0.163265306122449</v>
      </c>
      <c r="AH167" s="99">
        <f>IFERROR(AL167/((SUMIF('3店辅助表'!AW:AW,B:B,'3店辅助表'!AX:AX)+M167)/2),"-")</f>
        <v>0.358974358974359</v>
      </c>
      <c r="AI167" s="100">
        <f>IFERROR((SUMIF('3店辅助表'!AP:AP,B:B,'3店辅助表'!AR:AR)-SUMIF('3店辅助表'!AP:AP,B:B,'3店辅助表'!AR:AR)*0.15-(L167+IFERROR(VLOOKUP(B:B,'3店辅助表'!AZ:BA,2,0),0))*O167-IF(AN:AN="US",6.85,4.9)*(Z167+4.27*O167))/SUMIF('3店辅助表'!AP:AP,B:B,'3店辅助表'!AR:AR),"-")</f>
        <v>0.290406151840551</v>
      </c>
      <c r="AJ167" s="100">
        <f t="shared" si="68"/>
        <v>0.104248362199172</v>
      </c>
      <c r="AK167" s="101">
        <f t="shared" si="69"/>
        <v>50.8</v>
      </c>
      <c r="AL167" s="101">
        <f t="shared" si="70"/>
        <v>88.9</v>
      </c>
      <c r="AM167" s="1" t="str">
        <f>VLOOKUP(B:B,'3店辅助表'!AZ:AZ,1,FALSE)</f>
        <v>Y3079-GB+Y3079</v>
      </c>
      <c r="AN167" t="str">
        <f>VLOOKUP(B:B,'3店辅助表'!AZ:BB,3,FALSE)</f>
        <v>US</v>
      </c>
    </row>
    <row r="168" customHeight="1" spans="1:40">
      <c r="A168" s="58" t="str">
        <f>INDEX('[1]3店'!$A:$A,MATCH(B:B,'[1]3店'!$B:$B,0))</f>
        <v>欣彤</v>
      </c>
      <c r="B168" s="43" t="s">
        <v>1055</v>
      </c>
      <c r="C168" s="43" t="s">
        <v>1056</v>
      </c>
      <c r="D168" s="59">
        <f>VLOOKUP(B:B,'[1]3店'!$B:$L,3,0)</f>
        <v>44942</v>
      </c>
      <c r="E168" s="43" t="s">
        <v>1057</v>
      </c>
      <c r="F168" s="43">
        <v>0</v>
      </c>
      <c r="G168" s="43">
        <v>0</v>
      </c>
      <c r="H168" s="43">
        <v>0</v>
      </c>
      <c r="I168" s="43">
        <v>70</v>
      </c>
      <c r="J168" s="43">
        <v>0</v>
      </c>
      <c r="K168" s="63">
        <f t="shared" si="59"/>
        <v>70</v>
      </c>
      <c r="L168" s="124">
        <f>VLOOKUP($B:$B,'[1]3店'!$B:$L,11,0)</f>
        <v>12.7</v>
      </c>
      <c r="M168" s="44">
        <f t="shared" si="60"/>
        <v>889</v>
      </c>
      <c r="N168" s="65">
        <f>IFERROR(VLOOKUP(B:B,'3店辅助表'!B:C,2,FALSE),0)</f>
        <v>3</v>
      </c>
      <c r="O168" s="65">
        <f>IFERROR(VLOOKUP(B:B,'3店辅助表'!E:F,2,FALSE),0)</f>
        <v>5</v>
      </c>
      <c r="P168" s="65">
        <f>IFERROR(VLOOKUP(B:B,'3店辅助表'!H:I,2,FALSE),0)</f>
        <v>13</v>
      </c>
      <c r="Q168" s="65">
        <f>IFERROR(VLOOKUP(B:B,'[1]3店'!$B:$N,13,FALSE),0)</f>
        <v>2</v>
      </c>
      <c r="R168" s="79">
        <f t="shared" si="61"/>
        <v>1</v>
      </c>
      <c r="S168" s="80">
        <f t="shared" si="62"/>
        <v>175.697211155379</v>
      </c>
      <c r="T168" s="44">
        <f t="shared" si="63"/>
        <v>5.85657370517928</v>
      </c>
      <c r="U168" s="44">
        <f>IFERROR(VLOOKUP($B:$B,'[1]3店'!$B:$T,19,0),"-")</f>
        <v>5.74904942965779</v>
      </c>
      <c r="V168" s="81">
        <f t="shared" si="64"/>
        <v>0.107524275521491</v>
      </c>
      <c r="W168" s="82" t="str">
        <f t="shared" si="65"/>
        <v>库存过高</v>
      </c>
      <c r="X168" s="83" t="str">
        <f t="shared" si="66"/>
        <v>库存过高</v>
      </c>
      <c r="Y168" s="44">
        <f>IFERROR(SUMIF('3店辅助表'!K:K,B:B,'3店辅助表'!N:N),0)</f>
        <v>10.45</v>
      </c>
      <c r="Z168" s="44">
        <f>IFERROR(SUMIF('3店辅助表'!T:T,B:B,'3店辅助表'!W:W),0)</f>
        <v>21.92</v>
      </c>
      <c r="AA168" s="44">
        <f>IFERROR(SUMIF('3店辅助表'!AC:AC,B:B,'3店辅助表'!AF:AF),0)</f>
        <v>52.78</v>
      </c>
      <c r="AB168" s="91">
        <f>IFERROR(SUMIF('3店辅助表'!K:K,B:B,'3店辅助表'!N:N)/SUMIF('3店辅助表'!K:K,B:B,'3店辅助表'!O:O),"-")</f>
        <v>0.402232486528099</v>
      </c>
      <c r="AC168" s="91">
        <f>IFERROR(VLOOKUP(B:B,'[1]3店'!$B:$AB,27,0),"-")</f>
        <v>0.17942955920484</v>
      </c>
      <c r="AD168" s="92">
        <f t="shared" si="67"/>
        <v>0.222802927323259</v>
      </c>
      <c r="AE168" s="91">
        <f>IFERROR(SUMIF('3店辅助表'!T:T,B:B,'3店辅助表'!W:W)/SUMIF('3店辅助表'!T:T,B:B,'3店辅助表'!X:X),"-")</f>
        <v>0.261481569843731</v>
      </c>
      <c r="AF168" s="91">
        <f>IFERROR(SUMIF('3店辅助表'!AC:AC,B:B,'3店辅助表'!AF:AF)/SUMIF('3店辅助表'!AC:AC,B:B,'3店辅助表'!AG:AG),"-")</f>
        <v>0.429804560260586</v>
      </c>
      <c r="AG168" s="99">
        <f>IFERROR(AK168/((SUMIF('3店辅助表'!AT:AT,B:B,'3店辅助表'!AU:AU)+M168)/2),"-")</f>
        <v>0.0422535211267606</v>
      </c>
      <c r="AH168" s="99">
        <f>IFERROR(AL168/((SUMIF('3店辅助表'!AW:AW,B:B,'3店辅助表'!AX:AX)+M168)/2),"-")</f>
        <v>0.133333333333333</v>
      </c>
      <c r="AI168" s="100">
        <f>IFERROR((SUMIF('3店辅助表'!AP:AP,B:B,'3店辅助表'!AR:AR)-SUMIF('3店辅助表'!AP:AP,B:B,'3店辅助表'!AR:AR)*0.15-(L168+IFERROR(VLOOKUP(B:B,'3店辅助表'!AZ:BA,2,0),0))*O168-IF(AN:AN="US",6.85,4.9)*(Z168+4.27*O168))/SUMIF('3店辅助表'!AP:AP,B:B,'3店辅助表'!AR:AR),"-")</f>
        <v>-0.0330307914403158</v>
      </c>
      <c r="AJ168" s="100">
        <f t="shared" si="68"/>
        <v>-0.00440410552537544</v>
      </c>
      <c r="AK168" s="101">
        <f t="shared" si="69"/>
        <v>38.1</v>
      </c>
      <c r="AL168" s="101">
        <f t="shared" si="70"/>
        <v>63.5</v>
      </c>
      <c r="AM168" s="1" t="str">
        <f>VLOOKUP(B:B,'3店辅助表'!AZ:AZ,1,FALSE)</f>
        <v>Y3079-NB+Y3079</v>
      </c>
      <c r="AN168" t="str">
        <f>VLOOKUP(B:B,'3店辅助表'!AZ:BB,3,FALSE)</f>
        <v>US</v>
      </c>
    </row>
    <row r="169" customHeight="1" spans="1:40">
      <c r="A169" s="58" t="str">
        <f>INDEX('[1]3店'!$A:$A,MATCH(B:B,'[1]3店'!$B:$B,0))</f>
        <v>欣彤</v>
      </c>
      <c r="B169" s="43" t="s">
        <v>1058</v>
      </c>
      <c r="C169" s="43" t="s">
        <v>1059</v>
      </c>
      <c r="D169" s="59">
        <f>VLOOKUP(B:B,'[1]3店'!$B:$L,3,0)</f>
        <v>44942</v>
      </c>
      <c r="E169" s="43" t="s">
        <v>1060</v>
      </c>
      <c r="F169" s="43">
        <v>14</v>
      </c>
      <c r="G169" s="43">
        <v>0</v>
      </c>
      <c r="H169" s="43">
        <v>0</v>
      </c>
      <c r="I169" s="43">
        <v>11</v>
      </c>
      <c r="J169" s="43">
        <v>0</v>
      </c>
      <c r="K169" s="63">
        <f t="shared" si="59"/>
        <v>25</v>
      </c>
      <c r="L169" s="124">
        <f>VLOOKUP($B:$B,'[1]3店'!$B:$L,11,0)</f>
        <v>12.7</v>
      </c>
      <c r="M169" s="44">
        <f t="shared" si="60"/>
        <v>317.5</v>
      </c>
      <c r="N169" s="65">
        <f>IFERROR(VLOOKUP(B:B,'3店辅助表'!B:C,2,FALSE),0)</f>
        <v>5</v>
      </c>
      <c r="O169" s="65">
        <f>IFERROR(VLOOKUP(B:B,'3店辅助表'!E:F,2,FALSE),0)</f>
        <v>7</v>
      </c>
      <c r="P169" s="65">
        <f>IFERROR(VLOOKUP(B:B,'3店辅助表'!H:I,2,FALSE),0)</f>
        <v>14</v>
      </c>
      <c r="Q169" s="65">
        <f>IFERROR(VLOOKUP(B:B,'[1]3店'!$B:$N,13,FALSE),0)</f>
        <v>2</v>
      </c>
      <c r="R169" s="79">
        <f t="shared" si="61"/>
        <v>3</v>
      </c>
      <c r="S169" s="80">
        <f t="shared" si="62"/>
        <v>45.5202312138728</v>
      </c>
      <c r="T169" s="44">
        <f t="shared" si="63"/>
        <v>1.51734104046243</v>
      </c>
      <c r="U169" s="44">
        <f>IFERROR(VLOOKUP($B:$B,'[1]3店'!$B:$T,19,0),"-")</f>
        <v>2.6606334841629</v>
      </c>
      <c r="V169" s="81">
        <f t="shared" si="64"/>
        <v>-1.14329244370047</v>
      </c>
      <c r="W169" s="82" t="str">
        <f t="shared" si="65"/>
        <v>正常</v>
      </c>
      <c r="X169" s="83" t="str">
        <f t="shared" si="66"/>
        <v>库存过高</v>
      </c>
      <c r="Y169" s="44">
        <f>IFERROR(SUMIF('3店辅助表'!K:K,B:B,'3店辅助表'!N:N),0)</f>
        <v>9.22</v>
      </c>
      <c r="Z169" s="44">
        <f>IFERROR(SUMIF('3店辅助表'!T:T,B:B,'3店辅助表'!W:W),0)</f>
        <v>14.68</v>
      </c>
      <c r="AA169" s="44">
        <f>IFERROR(SUMIF('3店辅助表'!AC:AC,B:B,'3店辅助表'!AF:AF),0)</f>
        <v>30.02</v>
      </c>
      <c r="AB169" s="91">
        <f>IFERROR(SUMIF('3店辅助表'!K:K,B:B,'3店辅助表'!N:N)/SUMIF('3店辅助表'!K:K,B:B,'3店辅助表'!O:O),"-")</f>
        <v>0.118296125224532</v>
      </c>
      <c r="AC169" s="91">
        <f>IFERROR(VLOOKUP(B:B,'[1]3店'!$B:$AB,27,0),"-")</f>
        <v>0.496815286624204</v>
      </c>
      <c r="AD169" s="92">
        <f t="shared" si="67"/>
        <v>-0.378519161399672</v>
      </c>
      <c r="AE169" s="91">
        <f>IFERROR(SUMIF('3店辅助表'!T:T,B:B,'3店辅助表'!W:W)/SUMIF('3店辅助表'!T:T,B:B,'3店辅助表'!X:X),"-")</f>
        <v>0.193310508296023</v>
      </c>
      <c r="AF169" s="91">
        <f>IFERROR(SUMIF('3店辅助表'!AC:AC,B:B,'3店辅助表'!AF:AF)/SUMIF('3店辅助表'!AC:AC,B:B,'3店辅助表'!AG:AG),"-")</f>
        <v>0.179900521363936</v>
      </c>
      <c r="AG169" s="99">
        <f>IFERROR(AK169/((SUMIF('3店辅助表'!AT:AT,B:B,'3店辅助表'!AU:AU)+M169)/2),"-")</f>
        <v>0.188679245283019</v>
      </c>
      <c r="AH169" s="99">
        <f>IFERROR(AL169/((SUMIF('3店辅助表'!AW:AW,B:B,'3店辅助表'!AX:AX)+M169)/2),"-")</f>
        <v>0.274509803921569</v>
      </c>
      <c r="AI169" s="100">
        <f>IFERROR((SUMIF('3店辅助表'!AP:AP,B:B,'3店辅助表'!AR:AR)-SUMIF('3店辅助表'!AP:AP,B:B,'3店辅助表'!AR:AR)*0.15-(L169+IFERROR(VLOOKUP(B:B,'3店辅助表'!AZ:BA,2,0),0))*O169-IF(AN:AN="US",6.85,4.9)*(Z169+4.27*O169))/SUMIF('3店辅助表'!AP:AP,B:B,'3店辅助表'!AR:AR),"-")</f>
        <v>0.219789058333592</v>
      </c>
      <c r="AJ169" s="100">
        <f t="shared" si="68"/>
        <v>0.0603342513072605</v>
      </c>
      <c r="AK169" s="101">
        <f t="shared" si="69"/>
        <v>63.5</v>
      </c>
      <c r="AL169" s="101">
        <f t="shared" si="70"/>
        <v>88.9</v>
      </c>
      <c r="AM169" s="1" t="str">
        <f>VLOOKUP(B:B,'3店辅助表'!AZ:AZ,1,FALSE)</f>
        <v>Y3079-OR+Y3079</v>
      </c>
      <c r="AN169" t="str">
        <f>VLOOKUP(B:B,'3店辅助表'!AZ:BB,3,FALSE)</f>
        <v>US</v>
      </c>
    </row>
    <row r="170" customHeight="1" spans="1:40">
      <c r="A170" s="58" t="str">
        <f>INDEX('[1]3店'!$A:$A,MATCH(B:B,'[1]3店'!$B:$B,0))</f>
        <v>欣彤</v>
      </c>
      <c r="B170" s="43" t="s">
        <v>1061</v>
      </c>
      <c r="C170" s="43" t="s">
        <v>1062</v>
      </c>
      <c r="D170" s="59">
        <f>VLOOKUP(B:B,'[1]3店'!$B:$L,3,0)</f>
        <v>44942</v>
      </c>
      <c r="E170" s="43" t="s">
        <v>1063</v>
      </c>
      <c r="F170" s="43">
        <v>17</v>
      </c>
      <c r="G170" s="43">
        <v>2</v>
      </c>
      <c r="H170" s="43">
        <v>0</v>
      </c>
      <c r="I170" s="43">
        <v>1</v>
      </c>
      <c r="J170" s="43">
        <v>0</v>
      </c>
      <c r="K170" s="63">
        <f t="shared" si="59"/>
        <v>20</v>
      </c>
      <c r="L170" s="124">
        <f>VLOOKUP($B:$B,'[1]3店'!$B:$L,11,0)</f>
        <v>12.7</v>
      </c>
      <c r="M170" s="44">
        <f t="shared" si="60"/>
        <v>254</v>
      </c>
      <c r="N170" s="65">
        <f>IFERROR(VLOOKUP(B:B,'3店辅助表'!B:C,2,FALSE),0)</f>
        <v>1</v>
      </c>
      <c r="O170" s="65">
        <f>IFERROR(VLOOKUP(B:B,'3店辅助表'!E:F,2,FALSE),0)</f>
        <v>3</v>
      </c>
      <c r="P170" s="65">
        <f>IFERROR(VLOOKUP(B:B,'3店辅助表'!H:I,2,FALSE),0)</f>
        <v>12</v>
      </c>
      <c r="Q170" s="65">
        <f>IFERROR(VLOOKUP(B:B,'[1]3店'!$B:$N,13,FALSE),0)</f>
        <v>2</v>
      </c>
      <c r="R170" s="79">
        <f t="shared" si="61"/>
        <v>-1</v>
      </c>
      <c r="S170" s="80">
        <f t="shared" si="62"/>
        <v>80.7692307692308</v>
      </c>
      <c r="T170" s="44">
        <f t="shared" si="63"/>
        <v>2.69230769230769</v>
      </c>
      <c r="U170" s="44">
        <f>IFERROR(VLOOKUP($B:$B,'[1]3店'!$B:$T,19,0),"-")</f>
        <v>1.68674698795181</v>
      </c>
      <c r="V170" s="81">
        <f t="shared" si="64"/>
        <v>1.00556070435588</v>
      </c>
      <c r="W170" s="82" t="str">
        <f t="shared" si="65"/>
        <v>库存过高</v>
      </c>
      <c r="X170" s="83" t="str">
        <f t="shared" si="66"/>
        <v>库存过高</v>
      </c>
      <c r="Y170" s="44">
        <f>IFERROR(SUMIF('3店辅助表'!K:K,B:B,'3店辅助表'!N:N),0)</f>
        <v>0</v>
      </c>
      <c r="Z170" s="44">
        <f>IFERROR(SUMIF('3店辅助表'!T:T,B:B,'3店辅助表'!W:W),0)</f>
        <v>0</v>
      </c>
      <c r="AA170" s="44">
        <f>IFERROR(SUMIF('3店辅助表'!AC:AC,B:B,'3店辅助表'!AF:AF),0)</f>
        <v>0</v>
      </c>
      <c r="AB170" s="91" t="str">
        <f>IFERROR(SUMIF('3店辅助表'!K:K,B:B,'3店辅助表'!N:N)/SUMIF('3店辅助表'!K:K,B:B,'3店辅助表'!O:O),"-")</f>
        <v>-</v>
      </c>
      <c r="AC170" s="91" t="str">
        <f>IFERROR(VLOOKUP(B:B,'[1]3店'!$B:$AB,27,0),"-")</f>
        <v>-</v>
      </c>
      <c r="AD170" s="92" t="str">
        <f t="shared" si="67"/>
        <v>-</v>
      </c>
      <c r="AE170" s="91" t="str">
        <f>IFERROR(SUMIF('3店辅助表'!T:T,B:B,'3店辅助表'!W:W)/SUMIF('3店辅助表'!T:T,B:B,'3店辅助表'!X:X),"-")</f>
        <v>-</v>
      </c>
      <c r="AF170" s="91" t="str">
        <f>IFERROR(SUMIF('3店辅助表'!AC:AC,B:B,'3店辅助表'!AF:AF)/SUMIF('3店辅助表'!AC:AC,B:B,'3店辅助表'!AG:AG),"-")</f>
        <v>-</v>
      </c>
      <c r="AG170" s="99">
        <f>IFERROR(AK170/((SUMIF('3店辅助表'!AT:AT,B:B,'3店辅助表'!AU:AU)+M170)/2),"-")</f>
        <v>0.05</v>
      </c>
      <c r="AH170" s="99">
        <f>IFERROR(AL170/((SUMIF('3店辅助表'!AW:AW,B:B,'3店辅助表'!AX:AX)+M170)/2),"-")</f>
        <v>0.206896551724138</v>
      </c>
      <c r="AI170" s="100">
        <f>IFERROR((SUMIF('3店辅助表'!AP:AP,B:B,'3店辅助表'!AR:AR)-SUMIF('3店辅助表'!AP:AP,B:B,'3店辅助表'!AR:AR)*0.15-(L170+IFERROR(VLOOKUP(B:B,'3店辅助表'!AZ:BA,2,0),0))*O170-IF(AN:AN="US",6.85,4.9)*(Z170+4.27*O170))/SUMIF('3店辅助表'!AP:AP,B:B,'3店辅助表'!AR:AR),"-")</f>
        <v>0.301970353388064</v>
      </c>
      <c r="AJ170" s="100">
        <f t="shared" si="68"/>
        <v>0.0624766248389097</v>
      </c>
      <c r="AK170" s="101">
        <f t="shared" si="69"/>
        <v>12.7</v>
      </c>
      <c r="AL170" s="101">
        <f t="shared" si="70"/>
        <v>38.1</v>
      </c>
      <c r="AM170" s="1" t="str">
        <f>VLOOKUP(B:B,'3店辅助表'!AZ:AZ,1,FALSE)</f>
        <v>Y3079-TG+Y3079</v>
      </c>
      <c r="AN170" t="str">
        <f>VLOOKUP(B:B,'3店辅助表'!AZ:BB,3,FALSE)</f>
        <v>US</v>
      </c>
    </row>
    <row r="171" customHeight="1" spans="1:40">
      <c r="A171" s="58" t="str">
        <f>INDEX('[1]3店'!$A:$A,MATCH(B:B,'[1]3店'!$B:$B,0))</f>
        <v>欣彤</v>
      </c>
      <c r="B171" s="43" t="s">
        <v>1064</v>
      </c>
      <c r="C171" s="43" t="s">
        <v>1065</v>
      </c>
      <c r="D171" s="59">
        <f>VLOOKUP(B:B,'[1]3店'!$B:$L,3,0)</f>
        <v>45012</v>
      </c>
      <c r="E171" s="43" t="s">
        <v>1066</v>
      </c>
      <c r="F171" s="43">
        <v>47</v>
      </c>
      <c r="G171" s="43">
        <v>2</v>
      </c>
      <c r="H171" s="43">
        <v>4</v>
      </c>
      <c r="I171" s="43">
        <v>0</v>
      </c>
      <c r="J171" s="43">
        <v>2</v>
      </c>
      <c r="K171" s="63">
        <f t="shared" si="59"/>
        <v>55</v>
      </c>
      <c r="L171" s="124">
        <f>VLOOKUP($B:$B,'[1]3店'!$B:$L,11,0)</f>
        <v>12.7</v>
      </c>
      <c r="M171" s="44">
        <f t="shared" si="60"/>
        <v>698.5</v>
      </c>
      <c r="N171" s="65">
        <f>IFERROR(VLOOKUP(B:B,'3店辅助表'!B:C,2,FALSE),0)</f>
        <v>10</v>
      </c>
      <c r="O171" s="65">
        <f>IFERROR(VLOOKUP(B:B,'3店辅助表'!E:F,2,FALSE),0)</f>
        <v>26</v>
      </c>
      <c r="P171" s="65">
        <f>IFERROR(VLOOKUP(B:B,'3店辅助表'!H:I,2,FALSE),0)</f>
        <v>59</v>
      </c>
      <c r="Q171" s="65">
        <f>IFERROR(VLOOKUP(B:B,'[1]3店'!$B:$N,13,FALSE),0)</f>
        <v>12</v>
      </c>
      <c r="R171" s="79">
        <f t="shared" si="61"/>
        <v>-2</v>
      </c>
      <c r="S171" s="80">
        <f t="shared" si="62"/>
        <v>32.1727019498607</v>
      </c>
      <c r="T171" s="44">
        <f t="shared" si="63"/>
        <v>1.07242339832869</v>
      </c>
      <c r="U171" s="44">
        <f>IFERROR(VLOOKUP($B:$B,'[1]3店'!$B:$T,19,0),"-")</f>
        <v>1.89557522123894</v>
      </c>
      <c r="V171" s="81">
        <f t="shared" si="64"/>
        <v>-0.82315182291025</v>
      </c>
      <c r="W171" s="82" t="str">
        <f t="shared" si="65"/>
        <v>正常</v>
      </c>
      <c r="X171" s="83" t="str">
        <f t="shared" si="66"/>
        <v>正常</v>
      </c>
      <c r="Y171" s="44">
        <f>IFERROR(SUMIF('3店辅助表'!K:K,B:B,'3店辅助表'!N:N),0)</f>
        <v>31.45</v>
      </c>
      <c r="Z171" s="44">
        <f>IFERROR(SUMIF('3店辅助表'!T:T,B:B,'3店辅助表'!W:W),0)</f>
        <v>72.44</v>
      </c>
      <c r="AA171" s="44">
        <f>IFERROR(SUMIF('3店辅助表'!AC:AC,B:B,'3店辅助表'!AF:AF),0)</f>
        <v>173.88</v>
      </c>
      <c r="AB171" s="91">
        <f>IFERROR(SUMIF('3店辅助表'!K:K,B:B,'3店辅助表'!N:N)/SUMIF('3店辅助表'!K:K,B:B,'3店辅助表'!O:O),"-")</f>
        <v>0.484218629715165</v>
      </c>
      <c r="AC171" s="91">
        <f>IFERROR(VLOOKUP(B:B,'[1]3店'!$B:$AB,27,0),"-")</f>
        <v>0.357857751277683</v>
      </c>
      <c r="AD171" s="92">
        <f t="shared" si="67"/>
        <v>0.126360878437482</v>
      </c>
      <c r="AE171" s="91">
        <f>IFERROR(SUMIF('3店辅助表'!T:T,B:B,'3店辅助表'!W:W)/SUMIF('3店辅助表'!T:T,B:B,'3店辅助表'!X:X),"-")</f>
        <v>0.366154468257178</v>
      </c>
      <c r="AF171" s="91">
        <f>IFERROR(SUMIF('3店辅助表'!AC:AC,B:B,'3店辅助表'!AF:AF)/SUMIF('3店辅助表'!AC:AC,B:B,'3店辅助表'!AG:AG),"-")</f>
        <v>0.384231228178725</v>
      </c>
      <c r="AG171" s="99">
        <f>IFERROR(AK171/((SUMIF('3店辅助表'!AT:AT,B:B,'3店辅助表'!AU:AU)+M171)/2),"-")</f>
        <v>0.127388535031847</v>
      </c>
      <c r="AH171" s="99">
        <f>IFERROR(AL171/((SUMIF('3店辅助表'!AW:AW,B:B,'3店辅助表'!AX:AX)+M171)/2),"-")</f>
        <v>0.273684210526316</v>
      </c>
      <c r="AI171" s="100">
        <f>IFERROR((SUMIF('3店辅助表'!AP:AP,B:B,'3店辅助表'!AR:AR)-SUMIF('3店辅助表'!AP:AP,B:B,'3店辅助表'!AR:AR)*0.15-(L171+IFERROR(VLOOKUP(B:B,'3店辅助表'!AZ:BA,2,0),0))*O171-IF(AN:AN="US",6.85,4.9)*(Z171+4.27*O171))/SUMIF('3店辅助表'!AP:AP,B:B,'3店辅助表'!AR:AR),"-")</f>
        <v>0.0878224419409267</v>
      </c>
      <c r="AJ171" s="100">
        <f t="shared" si="68"/>
        <v>0.0240356156890957</v>
      </c>
      <c r="AK171" s="101">
        <f t="shared" si="69"/>
        <v>127</v>
      </c>
      <c r="AL171" s="101">
        <f t="shared" si="70"/>
        <v>330.2</v>
      </c>
      <c r="AM171" s="1" t="str">
        <f>VLOOKUP(B:B,'3店辅助表'!AZ:AZ,1,FALSE)</f>
        <v>Y3074-BL</v>
      </c>
      <c r="AN171" t="str">
        <f>VLOOKUP(B:B,'3店辅助表'!AZ:BB,3,FALSE)</f>
        <v>US</v>
      </c>
    </row>
    <row r="172" customHeight="1" spans="1:40">
      <c r="A172" s="58" t="str">
        <f>INDEX('[1]3店'!$A:$A,MATCH(B:B,'[1]3店'!$B:$B,0))</f>
        <v>欣彤</v>
      </c>
      <c r="B172" s="43" t="s">
        <v>1067</v>
      </c>
      <c r="C172" s="43" t="s">
        <v>1068</v>
      </c>
      <c r="D172" s="59">
        <f>VLOOKUP(B:B,'[1]3店'!$B:$L,3,0)</f>
        <v>45012</v>
      </c>
      <c r="E172" s="43" t="s">
        <v>1069</v>
      </c>
      <c r="F172" s="43">
        <v>11</v>
      </c>
      <c r="G172" s="43">
        <v>0</v>
      </c>
      <c r="H172" s="43">
        <v>0</v>
      </c>
      <c r="I172" s="43">
        <v>0</v>
      </c>
      <c r="J172" s="43">
        <v>0</v>
      </c>
      <c r="K172" s="63">
        <f t="shared" si="59"/>
        <v>11</v>
      </c>
      <c r="L172" s="124">
        <f>VLOOKUP($B:$B,'[1]3店'!$B:$L,11,0)</f>
        <v>12.7</v>
      </c>
      <c r="M172" s="44">
        <f t="shared" si="60"/>
        <v>139.7</v>
      </c>
      <c r="N172" s="65">
        <f>IFERROR(VLOOKUP(B:B,'3店辅助表'!B:C,2,FALSE),0)</f>
        <v>0</v>
      </c>
      <c r="O172" s="65">
        <f>IFERROR(VLOOKUP(B:B,'3店辅助表'!E:F,2,FALSE),0)</f>
        <v>1</v>
      </c>
      <c r="P172" s="65">
        <f>IFERROR(VLOOKUP(B:B,'3店辅助表'!H:I,2,FALSE),0)</f>
        <v>4</v>
      </c>
      <c r="Q172" s="65">
        <f>IFERROR(VLOOKUP(B:B,'[1]3店'!$B:$N,13,FALSE),0)</f>
        <v>1</v>
      </c>
      <c r="R172" s="79">
        <f t="shared" si="61"/>
        <v>-1</v>
      </c>
      <c r="S172" s="80">
        <f t="shared" si="62"/>
        <v>165</v>
      </c>
      <c r="T172" s="44">
        <f t="shared" si="63"/>
        <v>5.5</v>
      </c>
      <c r="U172" s="44">
        <f>IFERROR(VLOOKUP($B:$B,'[1]3店'!$B:$T,19,0),"-")</f>
        <v>2.31</v>
      </c>
      <c r="V172" s="81">
        <f t="shared" si="64"/>
        <v>3.19</v>
      </c>
      <c r="W172" s="82" t="str">
        <f t="shared" si="65"/>
        <v>有库存无销量</v>
      </c>
      <c r="X172" s="83" t="str">
        <f t="shared" si="66"/>
        <v>库存过高</v>
      </c>
      <c r="Y172" s="44">
        <f>IFERROR(SUMIF('3店辅助表'!K:K,B:B,'3店辅助表'!N:N),0)</f>
        <v>0</v>
      </c>
      <c r="Z172" s="44">
        <f>IFERROR(SUMIF('3店辅助表'!T:T,B:B,'3店辅助表'!W:W),0)</f>
        <v>0</v>
      </c>
      <c r="AA172" s="44">
        <f>IFERROR(SUMIF('3店辅助表'!AC:AC,B:B,'3店辅助表'!AF:AF),0)</f>
        <v>0</v>
      </c>
      <c r="AB172" s="91" t="str">
        <f>IFERROR(SUMIF('3店辅助表'!K:K,B:B,'3店辅助表'!N:N)/SUMIF('3店辅助表'!K:K,B:B,'3店辅助表'!O:O),"-")</f>
        <v>-</v>
      </c>
      <c r="AC172" s="91" t="str">
        <f>IFERROR(VLOOKUP(B:B,'[1]3店'!$B:$AB,27,0),"-")</f>
        <v>-</v>
      </c>
      <c r="AD172" s="92" t="str">
        <f t="shared" si="67"/>
        <v>-</v>
      </c>
      <c r="AE172" s="91" t="str">
        <f>IFERROR(SUMIF('3店辅助表'!T:T,B:B,'3店辅助表'!W:W)/SUMIF('3店辅助表'!T:T,B:B,'3店辅助表'!X:X),"-")</f>
        <v>-</v>
      </c>
      <c r="AF172" s="91" t="str">
        <f>IFERROR(SUMIF('3店辅助表'!AC:AC,B:B,'3店辅助表'!AF:AF)/SUMIF('3店辅助表'!AC:AC,B:B,'3店辅助表'!AG:AG),"-")</f>
        <v>-</v>
      </c>
      <c r="AG172" s="99">
        <f>IFERROR(AK172/((SUMIF('3店辅助表'!AT:AT,B:B,'3店辅助表'!AU:AU)+M172)/2),"-")</f>
        <v>0</v>
      </c>
      <c r="AH172" s="99">
        <f>IFERROR(AL172/((SUMIF('3店辅助表'!AW:AW,B:B,'3店辅助表'!AX:AX)+M172)/2),"-")</f>
        <v>0.0769230769230769</v>
      </c>
      <c r="AI172" s="100">
        <f>IFERROR((SUMIF('3店辅助表'!AP:AP,B:B,'3店辅助表'!AR:AR)-SUMIF('3店辅助表'!AP:AP,B:B,'3店辅助表'!AR:AR)*0.15-(L172+IFERROR(VLOOKUP(B:B,'3店辅助表'!AZ:BA,2,0),0))*O172-IF(AN:AN="US",6.85,4.9)*(Z172+4.27*O172))/SUMIF('3店辅助表'!AP:AP,B:B,'3店辅助表'!AR:AR),"-")</f>
        <v>0.332381169119424</v>
      </c>
      <c r="AJ172" s="100">
        <f t="shared" si="68"/>
        <v>0.0255677822399557</v>
      </c>
      <c r="AK172" s="101">
        <f t="shared" si="69"/>
        <v>0</v>
      </c>
      <c r="AL172" s="101">
        <f t="shared" si="70"/>
        <v>12.7</v>
      </c>
      <c r="AM172" s="1" t="str">
        <f>VLOOKUP(B:B,'3店辅助表'!AZ:AZ,1,FALSE)</f>
        <v>Y3074-GN</v>
      </c>
      <c r="AN172" t="str">
        <f>VLOOKUP(B:B,'3店辅助表'!AZ:BB,3,FALSE)</f>
        <v>US</v>
      </c>
    </row>
    <row r="173" customHeight="1" spans="1:40">
      <c r="A173" s="58" t="str">
        <f>INDEX('[1]3店'!$A:$A,MATCH(B:B,'[1]3店'!$B:$B,0))</f>
        <v>欣彤</v>
      </c>
      <c r="B173" s="43" t="s">
        <v>1070</v>
      </c>
      <c r="C173" s="43" t="s">
        <v>1071</v>
      </c>
      <c r="D173" s="59">
        <f>VLOOKUP(B:B,'[1]3店'!$B:$L,3,0)</f>
        <v>45012</v>
      </c>
      <c r="E173" s="43" t="s">
        <v>1072</v>
      </c>
      <c r="F173" s="43">
        <v>22</v>
      </c>
      <c r="G173" s="43">
        <v>2</v>
      </c>
      <c r="H173" s="43">
        <v>0</v>
      </c>
      <c r="I173" s="43">
        <v>0</v>
      </c>
      <c r="J173" s="43">
        <v>0</v>
      </c>
      <c r="K173" s="63">
        <f t="shared" si="59"/>
        <v>24</v>
      </c>
      <c r="L173" s="124">
        <f>VLOOKUP($B:$B,'[1]3店'!$B:$L,11,0)</f>
        <v>12.7</v>
      </c>
      <c r="M173" s="44">
        <f t="shared" si="60"/>
        <v>304.8</v>
      </c>
      <c r="N173" s="65">
        <f>IFERROR(VLOOKUP(B:B,'3店辅助表'!B:C,2,FALSE),0)</f>
        <v>1</v>
      </c>
      <c r="O173" s="65">
        <f>IFERROR(VLOOKUP(B:B,'3店辅助表'!E:F,2,FALSE),0)</f>
        <v>3</v>
      </c>
      <c r="P173" s="65">
        <f>IFERROR(VLOOKUP(B:B,'3店辅助表'!H:I,2,FALSE),0)</f>
        <v>9</v>
      </c>
      <c r="Q173" s="65">
        <f>IFERROR(VLOOKUP(B:B,'[1]3店'!$B:$N,13,FALSE),0)</f>
        <v>2</v>
      </c>
      <c r="R173" s="79">
        <f t="shared" si="61"/>
        <v>-1</v>
      </c>
      <c r="S173" s="80">
        <f t="shared" si="62"/>
        <v>112</v>
      </c>
      <c r="T173" s="44">
        <f t="shared" si="63"/>
        <v>3.73333333333333</v>
      </c>
      <c r="U173" s="44">
        <f>IFERROR(VLOOKUP($B:$B,'[1]3店'!$B:$T,19,0),"-")</f>
        <v>2.72020725388601</v>
      </c>
      <c r="V173" s="81">
        <f t="shared" si="64"/>
        <v>1.01312607944732</v>
      </c>
      <c r="W173" s="82" t="str">
        <f t="shared" si="65"/>
        <v>库存过高</v>
      </c>
      <c r="X173" s="83" t="str">
        <f t="shared" si="66"/>
        <v>库存过高</v>
      </c>
      <c r="Y173" s="44">
        <f>IFERROR(SUMIF('3店辅助表'!K:K,B:B,'3店辅助表'!N:N),0)</f>
        <v>0</v>
      </c>
      <c r="Z173" s="44">
        <f>IFERROR(SUMIF('3店辅助表'!T:T,B:B,'3店辅助表'!W:W),0)</f>
        <v>0</v>
      </c>
      <c r="AA173" s="44">
        <f>IFERROR(SUMIF('3店辅助表'!AC:AC,B:B,'3店辅助表'!AF:AF),0)</f>
        <v>0</v>
      </c>
      <c r="AB173" s="91" t="str">
        <f>IFERROR(SUMIF('3店辅助表'!K:K,B:B,'3店辅助表'!N:N)/SUMIF('3店辅助表'!K:K,B:B,'3店辅助表'!O:O),"-")</f>
        <v>-</v>
      </c>
      <c r="AC173" s="91" t="str">
        <f>IFERROR(VLOOKUP(B:B,'[1]3店'!$B:$AB,27,0),"-")</f>
        <v>-</v>
      </c>
      <c r="AD173" s="92" t="str">
        <f t="shared" si="67"/>
        <v>-</v>
      </c>
      <c r="AE173" s="91" t="str">
        <f>IFERROR(SUMIF('3店辅助表'!T:T,B:B,'3店辅助表'!W:W)/SUMIF('3店辅助表'!T:T,B:B,'3店辅助表'!X:X),"-")</f>
        <v>-</v>
      </c>
      <c r="AF173" s="91" t="str">
        <f>IFERROR(SUMIF('3店辅助表'!AC:AC,B:B,'3店辅助表'!AF:AF)/SUMIF('3店辅助表'!AC:AC,B:B,'3店辅助表'!AG:AG),"-")</f>
        <v>-</v>
      </c>
      <c r="AG173" s="99">
        <f>IFERROR(AK173/((SUMIF('3店辅助表'!AT:AT,B:B,'3店辅助表'!AU:AU)+M173)/2),"-")</f>
        <v>0.0408163265306122</v>
      </c>
      <c r="AH173" s="99">
        <f>IFERROR(AL173/((SUMIF('3店辅助表'!AW:AW,B:B,'3店辅助表'!AX:AX)+M173)/2),"-")</f>
        <v>0.111111111111111</v>
      </c>
      <c r="AI173" s="100">
        <f>IFERROR((SUMIF('3店辅助表'!AP:AP,B:B,'3店辅助表'!AR:AR)-SUMIF('3店辅助表'!AP:AP,B:B,'3店辅助表'!AR:AR)*0.15-(L173+IFERROR(VLOOKUP(B:B,'3店辅助表'!AZ:BA,2,0),0))*O173-IF(AN:AN="US",6.85,4.9)*(Z173+4.27*O173))/SUMIF('3店辅助表'!AP:AP,B:B,'3店辅助表'!AR:AR),"-")</f>
        <v>0.342282103583329</v>
      </c>
      <c r="AJ173" s="100">
        <f t="shared" si="68"/>
        <v>0.0380313448425921</v>
      </c>
      <c r="AK173" s="101">
        <f t="shared" si="69"/>
        <v>12.7</v>
      </c>
      <c r="AL173" s="101">
        <f t="shared" si="70"/>
        <v>38.1</v>
      </c>
      <c r="AM173" s="1" t="str">
        <f>VLOOKUP(B:B,'3店辅助表'!AZ:AZ,1,FALSE)</f>
        <v>Y3074-GY</v>
      </c>
      <c r="AN173" t="str">
        <f>VLOOKUP(B:B,'3店辅助表'!AZ:BB,3,FALSE)</f>
        <v>US</v>
      </c>
    </row>
    <row r="174" customHeight="1" spans="1:40">
      <c r="A174" s="58" t="str">
        <f>INDEX('[1]3店'!$A:$A,MATCH(B:B,'[1]3店'!$B:$B,0))</f>
        <v>欣彤</v>
      </c>
      <c r="B174" s="43" t="s">
        <v>1073</v>
      </c>
      <c r="C174" s="43" t="s">
        <v>1068</v>
      </c>
      <c r="D174" s="59">
        <f>VLOOKUP(B:B,'[1]3店'!$B:$L,3,0)</f>
        <v>45012</v>
      </c>
      <c r="E174" s="43" t="s">
        <v>1074</v>
      </c>
      <c r="F174" s="43">
        <v>19</v>
      </c>
      <c r="G174" s="43">
        <v>0</v>
      </c>
      <c r="H174" s="43">
        <v>0</v>
      </c>
      <c r="I174" s="43">
        <v>0</v>
      </c>
      <c r="J174" s="43">
        <v>0</v>
      </c>
      <c r="K174" s="63">
        <f t="shared" si="59"/>
        <v>19</v>
      </c>
      <c r="L174" s="124">
        <f>VLOOKUP($B:$B,'[1]3店'!$B:$L,11,0)</f>
        <v>12.7</v>
      </c>
      <c r="M174" s="44">
        <f t="shared" si="60"/>
        <v>241.3</v>
      </c>
      <c r="N174" s="65">
        <f>IFERROR(VLOOKUP(B:B,'3店辅助表'!B:C,2,FALSE),0)</f>
        <v>0</v>
      </c>
      <c r="O174" s="65">
        <f>IFERROR(VLOOKUP(B:B,'3店辅助表'!E:F,2,FALSE),0)</f>
        <v>1</v>
      </c>
      <c r="P174" s="65">
        <f>IFERROR(VLOOKUP(B:B,'3店辅助表'!H:I,2,FALSE),0)</f>
        <v>7</v>
      </c>
      <c r="Q174" s="65">
        <f>IFERROR(VLOOKUP(B:B,'[1]3店'!$B:$N,13,FALSE),0)</f>
        <v>1</v>
      </c>
      <c r="R174" s="79">
        <f t="shared" si="61"/>
        <v>-1</v>
      </c>
      <c r="S174" s="80">
        <f t="shared" si="62"/>
        <v>190</v>
      </c>
      <c r="T174" s="44">
        <f t="shared" si="63"/>
        <v>6.33333333333333</v>
      </c>
      <c r="U174" s="44">
        <f>IFERROR(VLOOKUP($B:$B,'[1]3店'!$B:$T,19,0),"-")</f>
        <v>3.1171875</v>
      </c>
      <c r="V174" s="81">
        <f t="shared" si="64"/>
        <v>3.21614583333333</v>
      </c>
      <c r="W174" s="82" t="str">
        <f t="shared" si="65"/>
        <v>有库存无销量</v>
      </c>
      <c r="X174" s="83" t="str">
        <f t="shared" si="66"/>
        <v>库存过高</v>
      </c>
      <c r="Y174" s="44">
        <f>IFERROR(SUMIF('3店辅助表'!K:K,B:B,'3店辅助表'!N:N),0)</f>
        <v>0</v>
      </c>
      <c r="Z174" s="44">
        <f>IFERROR(SUMIF('3店辅助表'!T:T,B:B,'3店辅助表'!W:W),0)</f>
        <v>0</v>
      </c>
      <c r="AA174" s="44">
        <f>IFERROR(SUMIF('3店辅助表'!AC:AC,B:B,'3店辅助表'!AF:AF),0)</f>
        <v>0</v>
      </c>
      <c r="AB174" s="91" t="str">
        <f>IFERROR(SUMIF('3店辅助表'!K:K,B:B,'3店辅助表'!N:N)/SUMIF('3店辅助表'!K:K,B:B,'3店辅助表'!O:O),"-")</f>
        <v>-</v>
      </c>
      <c r="AC174" s="91" t="str">
        <f>IFERROR(VLOOKUP(B:B,'[1]3店'!$B:$AB,27,0),"-")</f>
        <v>-</v>
      </c>
      <c r="AD174" s="92" t="str">
        <f t="shared" si="67"/>
        <v>-</v>
      </c>
      <c r="AE174" s="91" t="str">
        <f>IFERROR(SUMIF('3店辅助表'!T:T,B:B,'3店辅助表'!W:W)/SUMIF('3店辅助表'!T:T,B:B,'3店辅助表'!X:X),"-")</f>
        <v>-</v>
      </c>
      <c r="AF174" s="91" t="str">
        <f>IFERROR(SUMIF('3店辅助表'!AC:AC,B:B,'3店辅助表'!AF:AF)/SUMIF('3店辅助表'!AC:AC,B:B,'3店辅助表'!AG:AG),"-")</f>
        <v>-</v>
      </c>
      <c r="AG174" s="99">
        <f>IFERROR(AK174/((SUMIF('3店辅助表'!AT:AT,B:B,'3店辅助表'!AU:AU)+M174)/2),"-")</f>
        <v>0</v>
      </c>
      <c r="AH174" s="99">
        <f>IFERROR(AL174/((SUMIF('3店辅助表'!AW:AW,B:B,'3店辅助表'!AX:AX)+M174)/2),"-")</f>
        <v>0.0444444444444444</v>
      </c>
      <c r="AI174" s="100">
        <f>IFERROR((SUMIF('3店辅助表'!AP:AP,B:B,'3店辅助表'!AR:AR)-SUMIF('3店辅助表'!AP:AP,B:B,'3店辅助表'!AR:AR)*0.15-(L174+IFERROR(VLOOKUP(B:B,'3店辅助表'!AZ:BA,2,0),0))*O174-IF(AN:AN="US",6.85,4.9)*(Z174+4.27*O174))/SUMIF('3店辅助表'!AP:AP,B:B,'3店辅助表'!AR:AR),"-")</f>
        <v>0.339742249793497</v>
      </c>
      <c r="AJ174" s="100">
        <f t="shared" si="68"/>
        <v>0.0150996555463776</v>
      </c>
      <c r="AK174" s="101">
        <f t="shared" si="69"/>
        <v>0</v>
      </c>
      <c r="AL174" s="101">
        <f t="shared" si="70"/>
        <v>12.7</v>
      </c>
      <c r="AM174" s="1" t="str">
        <f>VLOOKUP(B:B,'3店辅助表'!AZ:AZ,1,FALSE)</f>
        <v>Y3074-NB</v>
      </c>
      <c r="AN174" t="str">
        <f>VLOOKUP(B:B,'3店辅助表'!AZ:BB,3,FALSE)</f>
        <v>US</v>
      </c>
    </row>
    <row r="175" customHeight="1" spans="1:40">
      <c r="A175" s="58" t="str">
        <f>INDEX('[1]3店'!$A:$A,MATCH(B:B,'[1]3店'!$B:$B,0))</f>
        <v>欣彤</v>
      </c>
      <c r="B175" s="43" t="s">
        <v>1075</v>
      </c>
      <c r="C175" s="43" t="s">
        <v>1068</v>
      </c>
      <c r="D175" s="59">
        <f>VLOOKUP(B:B,'[1]3店'!$B:$L,3,0)</f>
        <v>45012</v>
      </c>
      <c r="E175" s="43" t="s">
        <v>1076</v>
      </c>
      <c r="F175" s="43">
        <v>22</v>
      </c>
      <c r="G175" s="43">
        <v>0</v>
      </c>
      <c r="H175" s="43">
        <v>0</v>
      </c>
      <c r="I175" s="43">
        <v>0</v>
      </c>
      <c r="J175" s="43">
        <v>0</v>
      </c>
      <c r="K175" s="63">
        <f t="shared" si="59"/>
        <v>22</v>
      </c>
      <c r="L175" s="124">
        <f>VLOOKUP($B:$B,'[1]3店'!$B:$L,11,0)</f>
        <v>12.7</v>
      </c>
      <c r="M175" s="44">
        <f t="shared" si="60"/>
        <v>279.4</v>
      </c>
      <c r="N175" s="65">
        <f>IFERROR(VLOOKUP(B:B,'3店辅助表'!B:C,2,FALSE),0)</f>
        <v>0</v>
      </c>
      <c r="O175" s="65">
        <f>IFERROR(VLOOKUP(B:B,'3店辅助表'!E:F,2,FALSE),0)</f>
        <v>1</v>
      </c>
      <c r="P175" s="65">
        <f>IFERROR(VLOOKUP(B:B,'3店辅助表'!H:I,2,FALSE),0)</f>
        <v>2</v>
      </c>
      <c r="Q175" s="65">
        <f>IFERROR(VLOOKUP(B:B,'[1]3店'!$B:$N,13,FALSE),0)</f>
        <v>1</v>
      </c>
      <c r="R175" s="79">
        <f t="shared" si="61"/>
        <v>-1</v>
      </c>
      <c r="S175" s="80">
        <f t="shared" si="62"/>
        <v>495</v>
      </c>
      <c r="T175" s="44">
        <f t="shared" si="63"/>
        <v>16.5</v>
      </c>
      <c r="U175" s="44">
        <f>IFERROR(VLOOKUP($B:$B,'[1]3店'!$B:$T,19,0),"-")</f>
        <v>7.43076923076923</v>
      </c>
      <c r="V175" s="81">
        <f t="shared" si="64"/>
        <v>9.06923076923077</v>
      </c>
      <c r="W175" s="82" t="str">
        <f t="shared" si="65"/>
        <v>有库存无销量</v>
      </c>
      <c r="X175" s="83" t="str">
        <f t="shared" si="66"/>
        <v>库存过高</v>
      </c>
      <c r="Y175" s="44">
        <f>IFERROR(SUMIF('3店辅助表'!K:K,B:B,'3店辅助表'!N:N),0)</f>
        <v>0</v>
      </c>
      <c r="Z175" s="44">
        <f>IFERROR(SUMIF('3店辅助表'!T:T,B:B,'3店辅助表'!W:W),0)</f>
        <v>0</v>
      </c>
      <c r="AA175" s="44">
        <f>IFERROR(SUMIF('3店辅助表'!AC:AC,B:B,'3店辅助表'!AF:AF),0)</f>
        <v>0</v>
      </c>
      <c r="AB175" s="91" t="str">
        <f>IFERROR(SUMIF('3店辅助表'!K:K,B:B,'3店辅助表'!N:N)/SUMIF('3店辅助表'!K:K,B:B,'3店辅助表'!O:O),"-")</f>
        <v>-</v>
      </c>
      <c r="AC175" s="91" t="str">
        <f>IFERROR(VLOOKUP(B:B,'[1]3店'!$B:$AB,27,0),"-")</f>
        <v>-</v>
      </c>
      <c r="AD175" s="92" t="str">
        <f t="shared" si="67"/>
        <v>-</v>
      </c>
      <c r="AE175" s="91" t="str">
        <f>IFERROR(SUMIF('3店辅助表'!T:T,B:B,'3店辅助表'!W:W)/SUMIF('3店辅助表'!T:T,B:B,'3店辅助表'!X:X),"-")</f>
        <v>-</v>
      </c>
      <c r="AF175" s="91" t="str">
        <f>IFERROR(SUMIF('3店辅助表'!AC:AC,B:B,'3店辅助表'!AF:AF)/SUMIF('3店辅助表'!AC:AC,B:B,'3店辅助表'!AG:AG),"-")</f>
        <v>-</v>
      </c>
      <c r="AG175" s="99">
        <f>IFERROR(AK175/((SUMIF('3店辅助表'!AT:AT,B:B,'3店辅助表'!AU:AU)+M175)/2),"-")</f>
        <v>0</v>
      </c>
      <c r="AH175" s="99">
        <f>IFERROR(AL175/((SUMIF('3店辅助表'!AW:AW,B:B,'3店辅助表'!AX:AX)+M175)/2),"-")</f>
        <v>0.0645161290322581</v>
      </c>
      <c r="AI175" s="100">
        <f>IFERROR((SUMIF('3店辅助表'!AP:AP,B:B,'3店辅助表'!AR:AR)-SUMIF('3店辅助表'!AP:AP,B:B,'3店辅助表'!AR:AR)*0.15-(L175+IFERROR(VLOOKUP(B:B,'3店辅助表'!AZ:BA,2,0),0))*O175-IF(AN:AN="US",6.85,4.9)*(Z175+4.27*O175))/SUMIF('3店辅助表'!AP:AP,B:B,'3店辅助表'!AR:AR),"-")</f>
        <v>0.34255182256986</v>
      </c>
      <c r="AJ175" s="100">
        <f t="shared" si="68"/>
        <v>0.0221001175851523</v>
      </c>
      <c r="AK175" s="101">
        <f t="shared" si="69"/>
        <v>0</v>
      </c>
      <c r="AL175" s="101">
        <f t="shared" si="70"/>
        <v>12.7</v>
      </c>
      <c r="AM175" s="1" t="str">
        <f>VLOOKUP(B:B,'3店辅助表'!AZ:AZ,1,FALSE)</f>
        <v>Y3074-TG</v>
      </c>
      <c r="AN175" t="str">
        <f>VLOOKUP(B:B,'3店辅助表'!AZ:BB,3,FALSE)</f>
        <v>US</v>
      </c>
    </row>
    <row r="176" customHeight="1" spans="1:40">
      <c r="A176" s="58" t="str">
        <f>INDEX('[1]3店'!$A:$A,MATCH(B:B,'[1]3店'!$B:$B,0))</f>
        <v>欣彤</v>
      </c>
      <c r="B176" s="43" t="s">
        <v>1077</v>
      </c>
      <c r="C176" s="43" t="s">
        <v>1078</v>
      </c>
      <c r="D176" s="59">
        <f>VLOOKUP(B:B,'[1]3店'!$B:$L,3,0)</f>
        <v>45059</v>
      </c>
      <c r="E176" s="43" t="s">
        <v>1079</v>
      </c>
      <c r="F176" s="43">
        <v>17</v>
      </c>
      <c r="G176" s="43">
        <v>0</v>
      </c>
      <c r="H176" s="43">
        <v>0</v>
      </c>
      <c r="I176" s="43">
        <v>0</v>
      </c>
      <c r="J176" s="43">
        <v>0</v>
      </c>
      <c r="K176" s="63">
        <f t="shared" si="59"/>
        <v>17</v>
      </c>
      <c r="L176" s="124">
        <f>VLOOKUP($B:$B,'[1]3店'!$B:$L,11,0)</f>
        <v>12.7</v>
      </c>
      <c r="M176" s="44">
        <f t="shared" si="60"/>
        <v>215.9</v>
      </c>
      <c r="N176" s="65">
        <f>IFERROR(VLOOKUP(B:B,'3店辅助表'!B:C,2,FALSE),0)</f>
        <v>7</v>
      </c>
      <c r="O176" s="65">
        <f>IFERROR(VLOOKUP(B:B,'3店辅助表'!E:F,2,FALSE),0)</f>
        <v>14</v>
      </c>
      <c r="P176" s="65">
        <f>IFERROR(VLOOKUP(B:B,'3店辅助表'!H:I,2,FALSE),0)</f>
        <v>28</v>
      </c>
      <c r="Q176" s="65">
        <f>IFERROR(VLOOKUP(B:B,'[1]3店'!$B:$N,13,FALSE),0)</f>
        <v>6</v>
      </c>
      <c r="R176" s="79">
        <f t="shared" si="61"/>
        <v>1</v>
      </c>
      <c r="S176" s="80">
        <f t="shared" si="62"/>
        <v>17.7906976744186</v>
      </c>
      <c r="T176" s="44">
        <f t="shared" si="63"/>
        <v>0.593023255813953</v>
      </c>
      <c r="U176" s="44">
        <f>IFERROR(VLOOKUP($B:$B,'[1]3店'!$B:$T,19,0),"-")</f>
        <v>0.78839590443686</v>
      </c>
      <c r="V176" s="81">
        <f t="shared" si="64"/>
        <v>-0.195372648622907</v>
      </c>
      <c r="W176" s="82" t="str">
        <f t="shared" si="65"/>
        <v>正常</v>
      </c>
      <c r="X176" s="83" t="str">
        <f t="shared" si="66"/>
        <v>正常</v>
      </c>
      <c r="Y176" s="44">
        <f>IFERROR(SUMIF('3店辅助表'!K:K,B:B,'3店辅助表'!N:N),0)</f>
        <v>3.7</v>
      </c>
      <c r="Z176" s="44">
        <f>IFERROR(SUMIF('3店辅助表'!T:T,B:B,'3店辅助表'!W:W),0)</f>
        <v>15.86</v>
      </c>
      <c r="AA176" s="44">
        <f>IFERROR(SUMIF('3店辅助表'!AC:AC,B:B,'3店辅助表'!AF:AF),0)</f>
        <v>33.04</v>
      </c>
      <c r="AB176" s="91">
        <f>IFERROR(SUMIF('3店辅助表'!K:K,B:B,'3店辅助表'!N:N)/SUMIF('3店辅助表'!K:K,B:B,'3店辅助表'!O:O),"-")</f>
        <v>0.284834488067744</v>
      </c>
      <c r="AC176" s="91">
        <f>IFERROR(VLOOKUP(B:B,'[1]3店'!$B:$AB,27,0),"-")</f>
        <v>0.191747146619842</v>
      </c>
      <c r="AD176" s="92">
        <f t="shared" si="67"/>
        <v>0.093087341447902</v>
      </c>
      <c r="AE176" s="91">
        <f>IFERROR(SUMIF('3店辅助表'!T:T,B:B,'3店辅助表'!W:W)/SUMIF('3店辅助表'!T:T,B:B,'3店辅助表'!X:X),"-")</f>
        <v>0.191245628843603</v>
      </c>
      <c r="AF176" s="91">
        <f>IFERROR(SUMIF('3店辅助表'!AC:AC,B:B,'3店辅助表'!AF:AF)/SUMIF('3店辅助表'!AC:AC,B:B,'3店辅助表'!AG:AG),"-")</f>
        <v>0.244940321743643</v>
      </c>
      <c r="AG176" s="99">
        <f>IFERROR(AK176/((SUMIF('3店辅助表'!AT:AT,B:B,'3店辅助表'!AU:AU)+M176)/2),"-")</f>
        <v>0.358974358974359</v>
      </c>
      <c r="AH176" s="99">
        <f>IFERROR(AL176/((SUMIF('3店辅助表'!AW:AW,B:B,'3店辅助表'!AX:AX)+M176)/2),"-")</f>
        <v>0.474576271186441</v>
      </c>
      <c r="AI176" s="100">
        <f>IFERROR((SUMIF('3店辅助表'!AP:AP,B:B,'3店辅助表'!AR:AR)-SUMIF('3店辅助表'!AP:AP,B:B,'3店辅助表'!AR:AR)*0.15-(L176+IFERROR(VLOOKUP(B:B,'3店辅助表'!AZ:BA,2,0),0))*O176-IF(AN:AN="US",6.85,4.9)*(Z176+4.27*O176))/SUMIF('3店辅助表'!AP:AP,B:B,'3店辅助表'!AR:AR),"-")</f>
        <v>0.235551401589515</v>
      </c>
      <c r="AJ176" s="100">
        <f t="shared" si="68"/>
        <v>0.111787105839092</v>
      </c>
      <c r="AK176" s="101">
        <f t="shared" si="69"/>
        <v>88.9</v>
      </c>
      <c r="AL176" s="101">
        <f t="shared" si="70"/>
        <v>177.8</v>
      </c>
      <c r="AM176" s="1" t="str">
        <f>VLOOKUP(B:B,'3店辅助表'!AZ:AZ,1,FALSE)</f>
        <v>Y3075-BL</v>
      </c>
      <c r="AN176" t="str">
        <f>VLOOKUP(B:B,'3店辅助表'!AZ:BB,3,FALSE)</f>
        <v>US</v>
      </c>
    </row>
    <row r="177" customHeight="1" spans="1:40">
      <c r="A177" s="58" t="str">
        <f>INDEX('[1]3店'!$A:$A,MATCH(B:B,'[1]3店'!$B:$B,0))</f>
        <v>欣彤</v>
      </c>
      <c r="B177" s="43" t="s">
        <v>1080</v>
      </c>
      <c r="C177" s="43" t="s">
        <v>1078</v>
      </c>
      <c r="D177" s="59">
        <f>VLOOKUP(B:B,'[1]3店'!$B:$L,3,0)</f>
        <v>45059</v>
      </c>
      <c r="E177" s="43" t="s">
        <v>1081</v>
      </c>
      <c r="F177" s="43">
        <v>10</v>
      </c>
      <c r="G177" s="43">
        <v>0</v>
      </c>
      <c r="H177" s="43">
        <v>0</v>
      </c>
      <c r="I177" s="43">
        <v>0</v>
      </c>
      <c r="J177" s="43">
        <v>0</v>
      </c>
      <c r="K177" s="63">
        <f t="shared" si="59"/>
        <v>10</v>
      </c>
      <c r="L177" s="124">
        <f>VLOOKUP($B:$B,'[1]3店'!$B:$L,11,0)</f>
        <v>12.7</v>
      </c>
      <c r="M177" s="44">
        <f t="shared" si="60"/>
        <v>127</v>
      </c>
      <c r="N177" s="65">
        <f>IFERROR(VLOOKUP(B:B,'3店辅助表'!B:C,2,FALSE),0)</f>
        <v>2</v>
      </c>
      <c r="O177" s="65">
        <f>IFERROR(VLOOKUP(B:B,'3店辅助表'!E:F,2,FALSE),0)</f>
        <v>4</v>
      </c>
      <c r="P177" s="65">
        <f>IFERROR(VLOOKUP(B:B,'3店辅助表'!H:I,2,FALSE),0)</f>
        <v>7</v>
      </c>
      <c r="Q177" s="65">
        <f>IFERROR(VLOOKUP(B:B,'[1]3店'!$B:$N,13,FALSE),0)</f>
        <v>1</v>
      </c>
      <c r="R177" s="79">
        <f t="shared" si="61"/>
        <v>1</v>
      </c>
      <c r="S177" s="80">
        <f t="shared" si="62"/>
        <v>38.1818181818182</v>
      </c>
      <c r="T177" s="44">
        <f t="shared" si="63"/>
        <v>1.27272727272727</v>
      </c>
      <c r="U177" s="44">
        <f>IFERROR(VLOOKUP($B:$B,'[1]3店'!$B:$T,19,0),"-")</f>
        <v>2.39473684210526</v>
      </c>
      <c r="V177" s="81">
        <f t="shared" si="64"/>
        <v>-1.12200956937799</v>
      </c>
      <c r="W177" s="82" t="str">
        <f t="shared" si="65"/>
        <v>正常</v>
      </c>
      <c r="X177" s="83" t="str">
        <f t="shared" si="66"/>
        <v>正常</v>
      </c>
      <c r="Y177" s="44">
        <f>IFERROR(SUMIF('3店辅助表'!K:K,B:B,'3店辅助表'!N:N),0)</f>
        <v>0</v>
      </c>
      <c r="Z177" s="44">
        <f>IFERROR(SUMIF('3店辅助表'!T:T,B:B,'3店辅助表'!W:W),0)</f>
        <v>0</v>
      </c>
      <c r="AA177" s="44">
        <f>IFERROR(SUMIF('3店辅助表'!AC:AC,B:B,'3店辅助表'!AF:AF),0)</f>
        <v>0</v>
      </c>
      <c r="AB177" s="91" t="str">
        <f>IFERROR(SUMIF('3店辅助表'!K:K,B:B,'3店辅助表'!N:N)/SUMIF('3店辅助表'!K:K,B:B,'3店辅助表'!O:O),"-")</f>
        <v>-</v>
      </c>
      <c r="AC177" s="91" t="str">
        <f>IFERROR(VLOOKUP(B:B,'[1]3店'!$B:$AB,27,0),"-")</f>
        <v>-</v>
      </c>
      <c r="AD177" s="92" t="str">
        <f t="shared" si="67"/>
        <v>-</v>
      </c>
      <c r="AE177" s="91" t="str">
        <f>IFERROR(SUMIF('3店辅助表'!T:T,B:B,'3店辅助表'!W:W)/SUMIF('3店辅助表'!T:T,B:B,'3店辅助表'!X:X),"-")</f>
        <v>-</v>
      </c>
      <c r="AF177" s="91" t="str">
        <f>IFERROR(SUMIF('3店辅助表'!AC:AC,B:B,'3店辅助表'!AF:AF)/SUMIF('3店辅助表'!AC:AC,B:B,'3店辅助表'!AG:AG),"-")</f>
        <v>-</v>
      </c>
      <c r="AG177" s="99">
        <f>IFERROR(AK177/((SUMIF('3店辅助表'!AT:AT,B:B,'3店辅助表'!AU:AU)+M177)/2),"-")</f>
        <v>0.173913043478261</v>
      </c>
      <c r="AH177" s="99">
        <f>IFERROR(AL177/((SUMIF('3店辅助表'!AW:AW,B:B,'3店辅助表'!AX:AX)+M177)/2),"-")</f>
        <v>0.307692307692308</v>
      </c>
      <c r="AI177" s="100">
        <f>IFERROR((SUMIF('3店辅助表'!AP:AP,B:B,'3店辅助表'!AR:AR)-SUMIF('3店辅助表'!AP:AP,B:B,'3店辅助表'!AR:AR)*0.15-(L177+IFERROR(VLOOKUP(B:B,'3店辅助表'!AZ:BA,2,0),0))*O177-IF(AN:AN="US",6.85,4.9)*(Z177+4.27*O177))/SUMIF('3店辅助表'!AP:AP,B:B,'3店辅助表'!AR:AR),"-")</f>
        <v>0.342107554656864</v>
      </c>
      <c r="AJ177" s="100">
        <f t="shared" si="68"/>
        <v>0.105263862971343</v>
      </c>
      <c r="AK177" s="101">
        <f t="shared" si="69"/>
        <v>25.4</v>
      </c>
      <c r="AL177" s="101">
        <f t="shared" si="70"/>
        <v>50.8</v>
      </c>
      <c r="AM177" s="1" t="str">
        <f>VLOOKUP(B:B,'3店辅助表'!AZ:AZ,1,FALSE)</f>
        <v>Y3075-GN</v>
      </c>
      <c r="AN177" t="str">
        <f>VLOOKUP(B:B,'3店辅助表'!AZ:BB,3,FALSE)</f>
        <v>US</v>
      </c>
    </row>
    <row r="178" customHeight="1" spans="1:40">
      <c r="A178" s="58" t="str">
        <f>INDEX('[1]3店'!$A:$A,MATCH(B:B,'[1]3店'!$B:$B,0))</f>
        <v>欣彤</v>
      </c>
      <c r="B178" s="43" t="s">
        <v>1082</v>
      </c>
      <c r="C178" s="43" t="s">
        <v>1083</v>
      </c>
      <c r="D178" s="59">
        <f>VLOOKUP(B:B,'[1]3店'!$B:$L,3,0)</f>
        <v>45059</v>
      </c>
      <c r="E178" s="43" t="s">
        <v>1084</v>
      </c>
      <c r="F178" s="43">
        <v>19</v>
      </c>
      <c r="G178" s="43">
        <v>0</v>
      </c>
      <c r="H178" s="43">
        <v>0</v>
      </c>
      <c r="I178" s="43">
        <v>0</v>
      </c>
      <c r="J178" s="43">
        <v>0</v>
      </c>
      <c r="K178" s="63">
        <f t="shared" si="59"/>
        <v>19</v>
      </c>
      <c r="L178" s="124">
        <f>VLOOKUP($B:$B,'[1]3店'!$B:$L,11,0)</f>
        <v>12.7</v>
      </c>
      <c r="M178" s="44">
        <f t="shared" si="60"/>
        <v>241.3</v>
      </c>
      <c r="N178" s="65">
        <f>IFERROR(VLOOKUP(B:B,'3店辅助表'!B:C,2,FALSE),0)</f>
        <v>0</v>
      </c>
      <c r="O178" s="65">
        <f>IFERROR(VLOOKUP(B:B,'3店辅助表'!E:F,2,FALSE),0)</f>
        <v>0</v>
      </c>
      <c r="P178" s="65">
        <f>IFERROR(VLOOKUP(B:B,'3店辅助表'!H:I,2,FALSE),0)</f>
        <v>1</v>
      </c>
      <c r="Q178" s="65">
        <f>IFERROR(VLOOKUP(B:B,'[1]3店'!$B:$N,13,FALSE),0)</f>
        <v>0</v>
      </c>
      <c r="R178" s="79">
        <f t="shared" si="61"/>
        <v>0</v>
      </c>
      <c r="S178" s="80">
        <f t="shared" si="62"/>
        <v>1710</v>
      </c>
      <c r="T178" s="44">
        <f t="shared" si="63"/>
        <v>57</v>
      </c>
      <c r="U178" s="44">
        <f>IFERROR(VLOOKUP($B:$B,'[1]3店'!$B:$T,19,0),"-")</f>
        <v>57</v>
      </c>
      <c r="V178" s="81">
        <f t="shared" si="64"/>
        <v>0</v>
      </c>
      <c r="W178" s="82" t="str">
        <f t="shared" si="65"/>
        <v>有库存无销量</v>
      </c>
      <c r="X178" s="83" t="str">
        <f t="shared" si="66"/>
        <v>库存过高</v>
      </c>
      <c r="Y178" s="44">
        <f>IFERROR(SUMIF('3店辅助表'!K:K,B:B,'3店辅助表'!N:N),0)</f>
        <v>0</v>
      </c>
      <c r="Z178" s="44">
        <f>IFERROR(SUMIF('3店辅助表'!T:T,B:B,'3店辅助表'!W:W),0)</f>
        <v>0</v>
      </c>
      <c r="AA178" s="44">
        <f>IFERROR(SUMIF('3店辅助表'!AC:AC,B:B,'3店辅助表'!AF:AF),0)</f>
        <v>0</v>
      </c>
      <c r="AB178" s="91" t="str">
        <f>IFERROR(SUMIF('3店辅助表'!K:K,B:B,'3店辅助表'!N:N)/SUMIF('3店辅助表'!K:K,B:B,'3店辅助表'!O:O),"-")</f>
        <v>-</v>
      </c>
      <c r="AC178" s="91" t="str">
        <f>IFERROR(VLOOKUP(B:B,'[1]3店'!$B:$AB,27,0),"-")</f>
        <v>-</v>
      </c>
      <c r="AD178" s="92" t="str">
        <f t="shared" si="67"/>
        <v>-</v>
      </c>
      <c r="AE178" s="91" t="str">
        <f>IFERROR(SUMIF('3店辅助表'!T:T,B:B,'3店辅助表'!W:W)/SUMIF('3店辅助表'!T:T,B:B,'3店辅助表'!X:X),"-")</f>
        <v>-</v>
      </c>
      <c r="AF178" s="91" t="str">
        <f>IFERROR(SUMIF('3店辅助表'!AC:AC,B:B,'3店辅助表'!AF:AF)/SUMIF('3店辅助表'!AC:AC,B:B,'3店辅助表'!AG:AG),"-")</f>
        <v>-</v>
      </c>
      <c r="AG178" s="99">
        <f>IFERROR(AK178/((SUMIF('3店辅助表'!AT:AT,B:B,'3店辅助表'!AU:AU)+M178)/2),"-")</f>
        <v>0</v>
      </c>
      <c r="AH178" s="99">
        <f>IFERROR(AL178/((SUMIF('3店辅助表'!AW:AW,B:B,'3店辅助表'!AX:AX)+M178)/2),"-")</f>
        <v>0</v>
      </c>
      <c r="AI178" s="100" t="str">
        <f>IFERROR((SUMIF('3店辅助表'!AP:AP,B:B,'3店辅助表'!AR:AR)-SUMIF('3店辅助表'!AP:AP,B:B,'3店辅助表'!AR:AR)*0.15-(L178+IFERROR(VLOOKUP(B:B,'3店辅助表'!AZ:BA,2,0),0))*O178-IF(AN:AN="US",6.85,4.9)*(Z178+4.27*O178))/SUMIF('3店辅助表'!AP:AP,B:B,'3店辅助表'!AR:AR),"-")</f>
        <v>-</v>
      </c>
      <c r="AJ178" s="100" t="str">
        <f t="shared" si="68"/>
        <v>-</v>
      </c>
      <c r="AK178" s="101">
        <f t="shared" si="69"/>
        <v>0</v>
      </c>
      <c r="AL178" s="101">
        <f t="shared" si="70"/>
        <v>0</v>
      </c>
      <c r="AM178" s="1" t="str">
        <f>VLOOKUP(B:B,'3店辅助表'!AZ:AZ,1,FALSE)</f>
        <v>Y3075-GR</v>
      </c>
      <c r="AN178" t="str">
        <f>VLOOKUP(B:B,'3店辅助表'!AZ:BB,3,FALSE)</f>
        <v>US</v>
      </c>
    </row>
    <row r="179" customHeight="1" spans="1:40">
      <c r="A179" s="58" t="str">
        <f>INDEX('[1]3店'!$A:$A,MATCH(B:B,'[1]3店'!$B:$B,0))</f>
        <v>欣彤</v>
      </c>
      <c r="B179" s="43" t="s">
        <v>1085</v>
      </c>
      <c r="C179" s="43" t="s">
        <v>1078</v>
      </c>
      <c r="D179" s="59">
        <f>VLOOKUP(B:B,'[1]3店'!$B:$L,3,0)</f>
        <v>45059</v>
      </c>
      <c r="E179" s="43" t="s">
        <v>1086</v>
      </c>
      <c r="F179" s="43">
        <v>14</v>
      </c>
      <c r="G179" s="43">
        <v>0</v>
      </c>
      <c r="H179" s="43">
        <v>0</v>
      </c>
      <c r="I179" s="43">
        <v>0</v>
      </c>
      <c r="J179" s="43">
        <v>0</v>
      </c>
      <c r="K179" s="63">
        <f t="shared" si="59"/>
        <v>14</v>
      </c>
      <c r="L179" s="124">
        <f>VLOOKUP($B:$B,'[1]3店'!$B:$L,11,0)</f>
        <v>12.7</v>
      </c>
      <c r="M179" s="44">
        <f t="shared" si="60"/>
        <v>177.8</v>
      </c>
      <c r="N179" s="65">
        <f>IFERROR(VLOOKUP(B:B,'3店辅助表'!B:C,2,FALSE),0)</f>
        <v>1</v>
      </c>
      <c r="O179" s="65">
        <f>IFERROR(VLOOKUP(B:B,'3店辅助表'!E:F,2,FALSE),0)</f>
        <v>6</v>
      </c>
      <c r="P179" s="65">
        <f>IFERROR(VLOOKUP(B:B,'3店辅助表'!H:I,2,FALSE),0)</f>
        <v>14</v>
      </c>
      <c r="Q179" s="65">
        <f>IFERROR(VLOOKUP(B:B,'[1]3店'!$B:$N,13,FALSE),0)</f>
        <v>4</v>
      </c>
      <c r="R179" s="79">
        <f t="shared" si="61"/>
        <v>-3</v>
      </c>
      <c r="S179" s="80">
        <f t="shared" si="62"/>
        <v>41.6037735849057</v>
      </c>
      <c r="T179" s="44">
        <f t="shared" si="63"/>
        <v>1.38679245283019</v>
      </c>
      <c r="U179" s="44">
        <f>IFERROR(VLOOKUP($B:$B,'[1]3店'!$B:$T,19,0),"-")</f>
        <v>1.12166172106825</v>
      </c>
      <c r="V179" s="81">
        <f t="shared" si="64"/>
        <v>0.26513073176194</v>
      </c>
      <c r="W179" s="82" t="str">
        <f t="shared" si="65"/>
        <v>库存过高</v>
      </c>
      <c r="X179" s="83" t="str">
        <f t="shared" si="66"/>
        <v>正常</v>
      </c>
      <c r="Y179" s="44">
        <f>IFERROR(SUMIF('3店辅助表'!K:K,B:B,'3店辅助表'!N:N),0)</f>
        <v>2.67</v>
      </c>
      <c r="Z179" s="44">
        <f>IFERROR(SUMIF('3店辅助表'!T:T,B:B,'3店辅助表'!W:W),0)</f>
        <v>8.71</v>
      </c>
      <c r="AA179" s="44">
        <f>IFERROR(SUMIF('3店辅助表'!AC:AC,B:B,'3店辅助表'!AF:AF),0)</f>
        <v>17.49</v>
      </c>
      <c r="AB179" s="91">
        <f>IFERROR(SUMIF('3店辅助表'!K:K,B:B,'3店辅助表'!N:N)/SUMIF('3店辅助表'!K:K,B:B,'3店辅助表'!O:O),"-")</f>
        <v>0.0685142417244034</v>
      </c>
      <c r="AC179" s="91">
        <f>IFERROR(VLOOKUP(B:B,'[1]3店'!$B:$AB,27,0),"-")</f>
        <v>0.549590536851683</v>
      </c>
      <c r="AD179" s="92">
        <f t="shared" si="67"/>
        <v>-0.48107629512728</v>
      </c>
      <c r="AE179" s="91">
        <f>IFERROR(SUMIF('3店辅助表'!T:T,B:B,'3店辅助表'!W:W)/SUMIF('3店辅助表'!T:T,B:B,'3店辅助表'!X:X),"-")</f>
        <v>0.138363780778396</v>
      </c>
      <c r="AF179" s="91">
        <f>IFERROR(SUMIF('3店辅助表'!AC:AC,B:B,'3店辅助表'!AF:AF)/SUMIF('3店辅助表'!AC:AC,B:B,'3店辅助表'!AG:AG),"-")</f>
        <v>0.196671539413021</v>
      </c>
      <c r="AG179" s="99">
        <f>IFERROR(AK179/((SUMIF('3店辅助表'!AT:AT,B:B,'3店辅助表'!AU:AU)+M179)/2),"-")</f>
        <v>0.0625</v>
      </c>
      <c r="AH179" s="99">
        <f>IFERROR(AL179/((SUMIF('3店辅助表'!AW:AW,B:B,'3店辅助表'!AX:AX)+M179)/2),"-")</f>
        <v>0.292682926829268</v>
      </c>
      <c r="AI179" s="100">
        <f>IFERROR((SUMIF('3店辅助表'!AP:AP,B:B,'3店辅助表'!AR:AR)-SUMIF('3店辅助表'!AP:AP,B:B,'3店辅助表'!AR:AR)*0.15-(L179+IFERROR(VLOOKUP(B:B,'3店辅助表'!AZ:BA,2,0),0))*O179-IF(AN:AN="US",6.85,4.9)*(Z179+4.27*O179))/SUMIF('3店辅助表'!AP:AP,B:B,'3店辅助表'!AR:AR),"-")</f>
        <v>0.0547039740470398</v>
      </c>
      <c r="AJ179" s="100">
        <f t="shared" si="68"/>
        <v>0.0160109192332799</v>
      </c>
      <c r="AK179" s="101">
        <f t="shared" si="69"/>
        <v>12.7</v>
      </c>
      <c r="AL179" s="101">
        <f t="shared" si="70"/>
        <v>76.2</v>
      </c>
      <c r="AM179" s="1" t="str">
        <f>VLOOKUP(B:B,'3店辅助表'!AZ:AZ,1,FALSE)</f>
        <v>Y3075-NB</v>
      </c>
      <c r="AN179" t="str">
        <f>VLOOKUP(B:B,'3店辅助表'!AZ:BB,3,FALSE)</f>
        <v>US</v>
      </c>
    </row>
    <row r="180" customHeight="1" spans="1:40">
      <c r="A180" s="58" t="str">
        <f>INDEX('[1]3店'!$A:$A,MATCH(B:B,'[1]3店'!$B:$B,0))</f>
        <v>欣彤</v>
      </c>
      <c r="B180" s="43" t="s">
        <v>1087</v>
      </c>
      <c r="C180" s="43" t="s">
        <v>1078</v>
      </c>
      <c r="D180" s="59">
        <f>VLOOKUP(B:B,'[1]3店'!$B:$L,3,0)</f>
        <v>45059</v>
      </c>
      <c r="E180" s="43" t="s">
        <v>1088</v>
      </c>
      <c r="F180" s="43">
        <v>17</v>
      </c>
      <c r="G180" s="43">
        <v>0</v>
      </c>
      <c r="H180" s="43">
        <v>0</v>
      </c>
      <c r="I180" s="43">
        <v>0</v>
      </c>
      <c r="J180" s="43">
        <v>0</v>
      </c>
      <c r="K180" s="63">
        <f t="shared" si="59"/>
        <v>17</v>
      </c>
      <c r="L180" s="124">
        <f>VLOOKUP($B:$B,'[1]3店'!$B:$L,11,0)</f>
        <v>12.7</v>
      </c>
      <c r="M180" s="44">
        <f t="shared" si="60"/>
        <v>215.9</v>
      </c>
      <c r="N180" s="65">
        <f>IFERROR(VLOOKUP(B:B,'3店辅助表'!B:C,2,FALSE),0)</f>
        <v>1</v>
      </c>
      <c r="O180" s="65">
        <f>IFERROR(VLOOKUP(B:B,'3店辅助表'!E:F,2,FALSE),0)</f>
        <v>2</v>
      </c>
      <c r="P180" s="65">
        <f>IFERROR(VLOOKUP(B:B,'3店辅助表'!H:I,2,FALSE),0)</f>
        <v>2</v>
      </c>
      <c r="Q180" s="65">
        <f>IFERROR(VLOOKUP(B:B,'[1]3店'!$B:$N,13,FALSE),0)</f>
        <v>1</v>
      </c>
      <c r="R180" s="79">
        <f t="shared" si="61"/>
        <v>0</v>
      </c>
      <c r="S180" s="80">
        <f t="shared" si="62"/>
        <v>148.75</v>
      </c>
      <c r="T180" s="44">
        <f t="shared" si="63"/>
        <v>4.95833333333333</v>
      </c>
      <c r="U180" s="44">
        <f>IFERROR(VLOOKUP($B:$B,'[1]3店'!$B:$T,19,0),"-")</f>
        <v>5.49230769230769</v>
      </c>
      <c r="V180" s="81">
        <f t="shared" si="64"/>
        <v>-0.533974358974359</v>
      </c>
      <c r="W180" s="82" t="str">
        <f t="shared" si="65"/>
        <v>库存过高</v>
      </c>
      <c r="X180" s="83" t="str">
        <f t="shared" si="66"/>
        <v>库存过高</v>
      </c>
      <c r="Y180" s="44">
        <f>IFERROR(SUMIF('3店辅助表'!K:K,B:B,'3店辅助表'!N:N),0)</f>
        <v>0</v>
      </c>
      <c r="Z180" s="44">
        <f>IFERROR(SUMIF('3店辅助表'!T:T,B:B,'3店辅助表'!W:W),0)</f>
        <v>0</v>
      </c>
      <c r="AA180" s="44">
        <f>IFERROR(SUMIF('3店辅助表'!AC:AC,B:B,'3店辅助表'!AF:AF),0)</f>
        <v>0</v>
      </c>
      <c r="AB180" s="91" t="str">
        <f>IFERROR(SUMIF('3店辅助表'!K:K,B:B,'3店辅助表'!N:N)/SUMIF('3店辅助表'!K:K,B:B,'3店辅助表'!O:O),"-")</f>
        <v>-</v>
      </c>
      <c r="AC180" s="91" t="str">
        <f>IFERROR(VLOOKUP(B:B,'[1]3店'!$B:$AB,27,0),"-")</f>
        <v>-</v>
      </c>
      <c r="AD180" s="92" t="str">
        <f t="shared" si="67"/>
        <v>-</v>
      </c>
      <c r="AE180" s="91" t="str">
        <f>IFERROR(SUMIF('3店辅助表'!T:T,B:B,'3店辅助表'!W:W)/SUMIF('3店辅助表'!T:T,B:B,'3店辅助表'!X:X),"-")</f>
        <v>-</v>
      </c>
      <c r="AF180" s="91" t="str">
        <f>IFERROR(SUMIF('3店辅助表'!AC:AC,B:B,'3店辅助表'!AF:AF)/SUMIF('3店辅助表'!AC:AC,B:B,'3店辅助表'!AG:AG),"-")</f>
        <v>-</v>
      </c>
      <c r="AG180" s="99">
        <f>IFERROR(AK180/((SUMIF('3店辅助表'!AT:AT,B:B,'3店辅助表'!AU:AU)+M180)/2),"-")</f>
        <v>0.0588235294117647</v>
      </c>
      <c r="AH180" s="99">
        <f>IFERROR(AL180/((SUMIF('3店辅助表'!AW:AW,B:B,'3店辅助表'!AX:AX)+M180)/2),"-")</f>
        <v>0.121212121212121</v>
      </c>
      <c r="AI180" s="100">
        <f>IFERROR((SUMIF('3店辅助表'!AP:AP,B:B,'3店辅助表'!AR:AR)-SUMIF('3店辅助表'!AP:AP,B:B,'3店辅助表'!AR:AR)*0.15-(L180+IFERROR(VLOOKUP(B:B,'3店辅助表'!AZ:BA,2,0),0))*O180-IF(AN:AN="US",6.85,4.9)*(Z180+4.27*O180))/SUMIF('3店辅助表'!AP:AP,B:B,'3店辅助表'!AR:AR),"-")</f>
        <v>0.321487797008456</v>
      </c>
      <c r="AJ180" s="100">
        <f t="shared" si="68"/>
        <v>0.0389682178192068</v>
      </c>
      <c r="AK180" s="101">
        <f t="shared" si="69"/>
        <v>12.7</v>
      </c>
      <c r="AL180" s="101">
        <f t="shared" si="70"/>
        <v>25.4</v>
      </c>
      <c r="AM180" s="1" t="str">
        <f>VLOOKUP(B:B,'3店辅助表'!AZ:AZ,1,FALSE)</f>
        <v>Y3075-TG</v>
      </c>
      <c r="AN180" t="str">
        <f>VLOOKUP(B:B,'3店辅助表'!AZ:BB,3,FALSE)</f>
        <v>US</v>
      </c>
    </row>
    <row r="181" customHeight="1" spans="1:40">
      <c r="A181" s="58" t="str">
        <f>INDEX('[1]3店'!$A:$A,MATCH(B:B,'[1]3店'!$B:$B,0))</f>
        <v>欣彤</v>
      </c>
      <c r="B181" s="43" t="s">
        <v>1089</v>
      </c>
      <c r="C181" s="43" t="s">
        <v>1090</v>
      </c>
      <c r="D181" s="59">
        <f>VLOOKUP(B:B,'[1]3店'!$B:$L,3,0)</f>
        <v>45034</v>
      </c>
      <c r="E181" s="43" t="s">
        <v>1091</v>
      </c>
      <c r="F181" s="43">
        <v>35</v>
      </c>
      <c r="G181" s="43">
        <v>0</v>
      </c>
      <c r="H181" s="43">
        <v>1</v>
      </c>
      <c r="I181" s="43">
        <v>0</v>
      </c>
      <c r="J181" s="43">
        <v>0</v>
      </c>
      <c r="K181" s="63">
        <f t="shared" si="59"/>
        <v>36</v>
      </c>
      <c r="L181" s="124">
        <f>VLOOKUP($B:$B,'[1]3店'!$B:$L,11,0)</f>
        <v>15.2</v>
      </c>
      <c r="M181" s="44">
        <f t="shared" si="60"/>
        <v>547.2</v>
      </c>
      <c r="N181" s="65">
        <f>IFERROR(VLOOKUP(B:B,'3店辅助表'!B:C,2,FALSE),0)</f>
        <v>0</v>
      </c>
      <c r="O181" s="65">
        <f>IFERROR(VLOOKUP(B:B,'3店辅助表'!E:F,2,FALSE),0)</f>
        <v>0</v>
      </c>
      <c r="P181" s="65">
        <f>IFERROR(VLOOKUP(B:B,'3店辅助表'!H:I,2,FALSE),0)</f>
        <v>0</v>
      </c>
      <c r="Q181" s="65">
        <f>IFERROR(VLOOKUP(B:B,'[1]3店'!$B:$N,13,FALSE),0)</f>
        <v>0</v>
      </c>
      <c r="R181" s="79">
        <f t="shared" si="61"/>
        <v>0</v>
      </c>
      <c r="S181" s="80" t="str">
        <f t="shared" si="62"/>
        <v>-</v>
      </c>
      <c r="T181" s="44" t="str">
        <f t="shared" si="63"/>
        <v>-</v>
      </c>
      <c r="U181" s="44" t="str">
        <f>IFERROR(VLOOKUP($B:$B,'[1]3店'!$B:$T,19,0),"-")</f>
        <v>-</v>
      </c>
      <c r="V181" s="81" t="str">
        <f t="shared" si="64"/>
        <v>-</v>
      </c>
      <c r="W181" s="82" t="str">
        <f t="shared" si="65"/>
        <v>有库存无销量</v>
      </c>
      <c r="X181" s="83" t="str">
        <f t="shared" si="66"/>
        <v>有库存无销量</v>
      </c>
      <c r="Y181" s="44">
        <f>IFERROR(SUMIF('3店辅助表'!K:K,B:B,'3店辅助表'!N:N),0)</f>
        <v>0</v>
      </c>
      <c r="Z181" s="44">
        <f>IFERROR(SUMIF('3店辅助表'!T:T,B:B,'3店辅助表'!W:W),0)</f>
        <v>0</v>
      </c>
      <c r="AA181" s="44">
        <f>IFERROR(SUMIF('3店辅助表'!AC:AC,B:B,'3店辅助表'!AF:AF),0)</f>
        <v>0</v>
      </c>
      <c r="AB181" s="91" t="str">
        <f>IFERROR(SUMIF('3店辅助表'!K:K,B:B,'3店辅助表'!N:N)/SUMIF('3店辅助表'!K:K,B:B,'3店辅助表'!O:O),"-")</f>
        <v>-</v>
      </c>
      <c r="AC181" s="91" t="str">
        <f>IFERROR(VLOOKUP(B:B,'[1]3店'!$B:$AB,27,0),"-")</f>
        <v>-</v>
      </c>
      <c r="AD181" s="92" t="str">
        <f t="shared" si="67"/>
        <v>-</v>
      </c>
      <c r="AE181" s="91" t="str">
        <f>IFERROR(SUMIF('3店辅助表'!T:T,B:B,'3店辅助表'!W:W)/SUMIF('3店辅助表'!T:T,B:B,'3店辅助表'!X:X),"-")</f>
        <v>-</v>
      </c>
      <c r="AF181" s="91" t="str">
        <f>IFERROR(SUMIF('3店辅助表'!AC:AC,B:B,'3店辅助表'!AF:AF)/SUMIF('3店辅助表'!AC:AC,B:B,'3店辅助表'!AG:AG),"-")</f>
        <v>-</v>
      </c>
      <c r="AG181" s="99">
        <f>IFERROR(AK181/((SUMIF('3店辅助表'!AT:AT,B:B,'3店辅助表'!AU:AU)+M181)/2),"-")</f>
        <v>0</v>
      </c>
      <c r="AH181" s="99">
        <f>IFERROR(AL181/((SUMIF('3店辅助表'!AW:AW,B:B,'3店辅助表'!AX:AX)+M181)/2),"-")</f>
        <v>0</v>
      </c>
      <c r="AI181" s="100" t="str">
        <f>IFERROR((SUMIF('3店辅助表'!AP:AP,B:B,'3店辅助表'!AR:AR)-SUMIF('3店辅助表'!AP:AP,B:B,'3店辅助表'!AR:AR)*0.15-(L181+IFERROR(VLOOKUP(B:B,'3店辅助表'!AZ:BA,2,0),0))*O181-IF(AN:AN="US",6.85,4.9)*(Z181+4.27*O181))/SUMIF('3店辅助表'!AP:AP,B:B,'3店辅助表'!AR:AR),"-")</f>
        <v>-</v>
      </c>
      <c r="AJ181" s="100" t="str">
        <f t="shared" si="68"/>
        <v>-</v>
      </c>
      <c r="AK181" s="101">
        <f t="shared" si="69"/>
        <v>0</v>
      </c>
      <c r="AL181" s="101">
        <f t="shared" si="70"/>
        <v>0</v>
      </c>
      <c r="AM181" s="1" t="str">
        <f>VLOOKUP(B:B,'3店辅助表'!AZ:AZ,1,FALSE)</f>
        <v>Y3080-GB+Y3081</v>
      </c>
      <c r="AN181" t="str">
        <f>VLOOKUP(B:B,'3店辅助表'!AZ:BB,3,FALSE)</f>
        <v>US</v>
      </c>
    </row>
    <row r="182" customHeight="1" spans="1:40">
      <c r="A182" s="58" t="str">
        <f>INDEX('[1]3店'!$A:$A,MATCH(B:B,'[1]3店'!$B:$B,0))</f>
        <v>欣彤</v>
      </c>
      <c r="B182" s="43" t="s">
        <v>1092</v>
      </c>
      <c r="C182" s="43" t="s">
        <v>1093</v>
      </c>
      <c r="D182" s="59">
        <f>VLOOKUP(B:B,'[1]3店'!$B:$L,3,0)</f>
        <v>45034</v>
      </c>
      <c r="E182" s="43" t="s">
        <v>1094</v>
      </c>
      <c r="F182" s="43">
        <v>35</v>
      </c>
      <c r="G182" s="43">
        <v>0</v>
      </c>
      <c r="H182" s="43">
        <v>1</v>
      </c>
      <c r="I182" s="43">
        <v>0</v>
      </c>
      <c r="J182" s="43">
        <v>0</v>
      </c>
      <c r="K182" s="63">
        <f t="shared" si="59"/>
        <v>36</v>
      </c>
      <c r="L182" s="124">
        <f>VLOOKUP($B:$B,'[1]3店'!$B:$L,11,0)</f>
        <v>15.2</v>
      </c>
      <c r="M182" s="44">
        <f t="shared" si="60"/>
        <v>547.2</v>
      </c>
      <c r="N182" s="65">
        <f>IFERROR(VLOOKUP(B:B,'3店辅助表'!B:C,2,FALSE),0)</f>
        <v>0</v>
      </c>
      <c r="O182" s="65">
        <f>IFERROR(VLOOKUP(B:B,'3店辅助表'!E:F,2,FALSE),0)</f>
        <v>0</v>
      </c>
      <c r="P182" s="65">
        <f>IFERROR(VLOOKUP(B:B,'3店辅助表'!H:I,2,FALSE),0)</f>
        <v>0</v>
      </c>
      <c r="Q182" s="65">
        <f>IFERROR(VLOOKUP(B:B,'[1]3店'!$B:$N,13,FALSE),0)</f>
        <v>0</v>
      </c>
      <c r="R182" s="79">
        <f t="shared" si="61"/>
        <v>0</v>
      </c>
      <c r="S182" s="80" t="str">
        <f t="shared" si="62"/>
        <v>-</v>
      </c>
      <c r="T182" s="44" t="str">
        <f t="shared" si="63"/>
        <v>-</v>
      </c>
      <c r="U182" s="44" t="str">
        <f>IFERROR(VLOOKUP($B:$B,'[1]3店'!$B:$T,19,0),"-")</f>
        <v>-</v>
      </c>
      <c r="V182" s="81" t="str">
        <f t="shared" si="64"/>
        <v>-</v>
      </c>
      <c r="W182" s="82" t="str">
        <f t="shared" si="65"/>
        <v>有库存无销量</v>
      </c>
      <c r="X182" s="83" t="str">
        <f t="shared" si="66"/>
        <v>有库存无销量</v>
      </c>
      <c r="Y182" s="44">
        <f>IFERROR(SUMIF('3店辅助表'!K:K,B:B,'3店辅助表'!N:N),0)</f>
        <v>0</v>
      </c>
      <c r="Z182" s="44">
        <f>IFERROR(SUMIF('3店辅助表'!T:T,B:B,'3店辅助表'!W:W),0)</f>
        <v>0</v>
      </c>
      <c r="AA182" s="44">
        <f>IFERROR(SUMIF('3店辅助表'!AC:AC,B:B,'3店辅助表'!AF:AF),0)</f>
        <v>0</v>
      </c>
      <c r="AB182" s="91" t="str">
        <f>IFERROR(SUMIF('3店辅助表'!K:K,B:B,'3店辅助表'!N:N)/SUMIF('3店辅助表'!K:K,B:B,'3店辅助表'!O:O),"-")</f>
        <v>-</v>
      </c>
      <c r="AC182" s="91" t="str">
        <f>IFERROR(VLOOKUP(B:B,'[1]3店'!$B:$AB,27,0),"-")</f>
        <v>-</v>
      </c>
      <c r="AD182" s="92" t="str">
        <f t="shared" si="67"/>
        <v>-</v>
      </c>
      <c r="AE182" s="91" t="str">
        <f>IFERROR(SUMIF('3店辅助表'!T:T,B:B,'3店辅助表'!W:W)/SUMIF('3店辅助表'!T:T,B:B,'3店辅助表'!X:X),"-")</f>
        <v>-</v>
      </c>
      <c r="AF182" s="91" t="str">
        <f>IFERROR(SUMIF('3店辅助表'!AC:AC,B:B,'3店辅助表'!AF:AF)/SUMIF('3店辅助表'!AC:AC,B:B,'3店辅助表'!AG:AG),"-")</f>
        <v>-</v>
      </c>
      <c r="AG182" s="99">
        <f>IFERROR(AK182/((SUMIF('3店辅助表'!AT:AT,B:B,'3店辅助表'!AU:AU)+M182)/2),"-")</f>
        <v>0</v>
      </c>
      <c r="AH182" s="99">
        <f>IFERROR(AL182/((SUMIF('3店辅助表'!AW:AW,B:B,'3店辅助表'!AX:AX)+M182)/2),"-")</f>
        <v>0</v>
      </c>
      <c r="AI182" s="100" t="str">
        <f>IFERROR((SUMIF('3店辅助表'!AP:AP,B:B,'3店辅助表'!AR:AR)-SUMIF('3店辅助表'!AP:AP,B:B,'3店辅助表'!AR:AR)*0.15-(L182+IFERROR(VLOOKUP(B:B,'3店辅助表'!AZ:BA,2,0),0))*O182-IF(AN:AN="US",6.85,4.9)*(Z182+4.27*O182))/SUMIF('3店辅助表'!AP:AP,B:B,'3店辅助表'!AR:AR),"-")</f>
        <v>-</v>
      </c>
      <c r="AJ182" s="100" t="str">
        <f t="shared" si="68"/>
        <v>-</v>
      </c>
      <c r="AK182" s="101">
        <f t="shared" si="69"/>
        <v>0</v>
      </c>
      <c r="AL182" s="101">
        <f t="shared" si="70"/>
        <v>0</v>
      </c>
      <c r="AM182" s="1" t="str">
        <f>VLOOKUP(B:B,'3店辅助表'!AZ:AZ,1,FALSE)</f>
        <v>Y3080-GN+Y3081</v>
      </c>
      <c r="AN182" t="str">
        <f>VLOOKUP(B:B,'3店辅助表'!AZ:BB,3,FALSE)</f>
        <v>US</v>
      </c>
    </row>
    <row r="183" customHeight="1" spans="1:40">
      <c r="A183" s="58" t="str">
        <f>INDEX('[1]3店'!$A:$A,MATCH(B:B,'[1]3店'!$B:$B,0))</f>
        <v>欣彤</v>
      </c>
      <c r="B183" s="43" t="s">
        <v>1095</v>
      </c>
      <c r="C183" s="43" t="s">
        <v>1096</v>
      </c>
      <c r="D183" s="59">
        <f>VLOOKUP(B:B,'[1]3店'!$B:$L,3,0)</f>
        <v>45034</v>
      </c>
      <c r="E183" s="43" t="s">
        <v>1097</v>
      </c>
      <c r="F183" s="43">
        <v>24</v>
      </c>
      <c r="G183" s="43">
        <v>0</v>
      </c>
      <c r="H183" s="43">
        <v>2</v>
      </c>
      <c r="I183" s="43">
        <v>0</v>
      </c>
      <c r="J183" s="43">
        <v>0</v>
      </c>
      <c r="K183" s="63">
        <f t="shared" si="59"/>
        <v>26</v>
      </c>
      <c r="L183" s="124">
        <f>VLOOKUP($B:$B,'[1]3店'!$B:$L,11,0)</f>
        <v>15.2</v>
      </c>
      <c r="M183" s="44">
        <f t="shared" si="60"/>
        <v>395.2</v>
      </c>
      <c r="N183" s="65">
        <f>IFERROR(VLOOKUP(B:B,'3店辅助表'!B:C,2,FALSE),0)</f>
        <v>0</v>
      </c>
      <c r="O183" s="65">
        <f>IFERROR(VLOOKUP(B:B,'3店辅助表'!E:F,2,FALSE),0)</f>
        <v>0</v>
      </c>
      <c r="P183" s="65">
        <f>IFERROR(VLOOKUP(B:B,'3店辅助表'!H:I,2,FALSE),0)</f>
        <v>0</v>
      </c>
      <c r="Q183" s="65">
        <f>IFERROR(VLOOKUP(B:B,'[1]3店'!$B:$N,13,FALSE),0)</f>
        <v>0</v>
      </c>
      <c r="R183" s="79">
        <f t="shared" si="61"/>
        <v>0</v>
      </c>
      <c r="S183" s="80" t="str">
        <f t="shared" si="62"/>
        <v>-</v>
      </c>
      <c r="T183" s="44" t="str">
        <f t="shared" si="63"/>
        <v>-</v>
      </c>
      <c r="U183" s="44" t="str">
        <f>IFERROR(VLOOKUP($B:$B,'[1]3店'!$B:$T,19,0),"-")</f>
        <v>-</v>
      </c>
      <c r="V183" s="81" t="str">
        <f t="shared" si="64"/>
        <v>-</v>
      </c>
      <c r="W183" s="82" t="str">
        <f t="shared" si="65"/>
        <v>有库存无销量</v>
      </c>
      <c r="X183" s="83" t="str">
        <f t="shared" si="66"/>
        <v>有库存无销量</v>
      </c>
      <c r="Y183" s="44">
        <f>IFERROR(SUMIF('3店辅助表'!K:K,B:B,'3店辅助表'!N:N),0)</f>
        <v>0</v>
      </c>
      <c r="Z183" s="44">
        <f>IFERROR(SUMIF('3店辅助表'!T:T,B:B,'3店辅助表'!W:W),0)</f>
        <v>0</v>
      </c>
      <c r="AA183" s="44">
        <f>IFERROR(SUMIF('3店辅助表'!AC:AC,B:B,'3店辅助表'!AF:AF),0)</f>
        <v>0</v>
      </c>
      <c r="AB183" s="91" t="str">
        <f>IFERROR(SUMIF('3店辅助表'!K:K,B:B,'3店辅助表'!N:N)/SUMIF('3店辅助表'!K:K,B:B,'3店辅助表'!O:O),"-")</f>
        <v>-</v>
      </c>
      <c r="AC183" s="91" t="str">
        <f>IFERROR(VLOOKUP(B:B,'[1]3店'!$B:$AB,27,0),"-")</f>
        <v>-</v>
      </c>
      <c r="AD183" s="92" t="str">
        <f t="shared" si="67"/>
        <v>-</v>
      </c>
      <c r="AE183" s="91" t="str">
        <f>IFERROR(SUMIF('3店辅助表'!T:T,B:B,'3店辅助表'!W:W)/SUMIF('3店辅助表'!T:T,B:B,'3店辅助表'!X:X),"-")</f>
        <v>-</v>
      </c>
      <c r="AF183" s="91" t="str">
        <f>IFERROR(SUMIF('3店辅助表'!AC:AC,B:B,'3店辅助表'!AF:AF)/SUMIF('3店辅助表'!AC:AC,B:B,'3店辅助表'!AG:AG),"-")</f>
        <v>-</v>
      </c>
      <c r="AG183" s="99">
        <f>IFERROR(AK183/((SUMIF('3店辅助表'!AT:AT,B:B,'3店辅助表'!AU:AU)+M183)/2),"-")</f>
        <v>0</v>
      </c>
      <c r="AH183" s="99">
        <f>IFERROR(AL183/((SUMIF('3店辅助表'!AW:AW,B:B,'3店辅助表'!AX:AX)+M183)/2),"-")</f>
        <v>0</v>
      </c>
      <c r="AI183" s="100" t="str">
        <f>IFERROR((SUMIF('3店辅助表'!AP:AP,B:B,'3店辅助表'!AR:AR)-SUMIF('3店辅助表'!AP:AP,B:B,'3店辅助表'!AR:AR)*0.15-(L183+IFERROR(VLOOKUP(B:B,'3店辅助表'!AZ:BA,2,0),0))*O183-IF(AN:AN="US",6.85,4.9)*(Z183+4.27*O183))/SUMIF('3店辅助表'!AP:AP,B:B,'3店辅助表'!AR:AR),"-")</f>
        <v>-</v>
      </c>
      <c r="AJ183" s="100" t="str">
        <f t="shared" si="68"/>
        <v>-</v>
      </c>
      <c r="AK183" s="101">
        <f t="shared" si="69"/>
        <v>0</v>
      </c>
      <c r="AL183" s="101">
        <f t="shared" si="70"/>
        <v>0</v>
      </c>
      <c r="AM183" s="1" t="str">
        <f>VLOOKUP(B:B,'3店辅助表'!AZ:AZ,1,FALSE)</f>
        <v>Y3080-GR+Y3081</v>
      </c>
      <c r="AN183" t="str">
        <f>VLOOKUP(B:B,'3店辅助表'!AZ:BB,3,FALSE)</f>
        <v>US</v>
      </c>
    </row>
    <row r="184" customHeight="1" spans="1:40">
      <c r="A184" s="58" t="str">
        <f>INDEX('[1]3店'!$A:$A,MATCH(B:B,'[1]3店'!$B:$B,0))</f>
        <v>欣彤</v>
      </c>
      <c r="B184" s="43" t="s">
        <v>1098</v>
      </c>
      <c r="C184" s="43" t="s">
        <v>1099</v>
      </c>
      <c r="D184" s="59">
        <f>VLOOKUP(B:B,'[1]3店'!$B:$L,3,0)</f>
        <v>45034</v>
      </c>
      <c r="E184" s="43" t="s">
        <v>1100</v>
      </c>
      <c r="F184" s="43">
        <v>42</v>
      </c>
      <c r="G184" s="43">
        <v>0</v>
      </c>
      <c r="H184" s="43">
        <v>2</v>
      </c>
      <c r="I184" s="43">
        <v>0</v>
      </c>
      <c r="J184" s="43">
        <v>0</v>
      </c>
      <c r="K184" s="63">
        <f t="shared" ref="K184:K215" si="71">F184+G184+H184+I184+J184</f>
        <v>44</v>
      </c>
      <c r="L184" s="124">
        <f>VLOOKUP($B:$B,'[1]3店'!$B:$L,11,0)</f>
        <v>15.2</v>
      </c>
      <c r="M184" s="44">
        <f t="shared" ref="M184:M215" si="72">K184*L184</f>
        <v>668.8</v>
      </c>
      <c r="N184" s="65">
        <f>IFERROR(VLOOKUP(B:B,'3店辅助表'!B:C,2,FALSE),0)</f>
        <v>0</v>
      </c>
      <c r="O184" s="65">
        <f>IFERROR(VLOOKUP(B:B,'3店辅助表'!E:F,2,FALSE),0)</f>
        <v>2</v>
      </c>
      <c r="P184" s="65">
        <f>IFERROR(VLOOKUP(B:B,'3店辅助表'!H:I,2,FALSE),0)</f>
        <v>2</v>
      </c>
      <c r="Q184" s="65">
        <f>IFERROR(VLOOKUP(B:B,'[1]3店'!$B:$N,13,FALSE),0)</f>
        <v>2</v>
      </c>
      <c r="R184" s="79">
        <f t="shared" ref="R184:R215" si="73">N184-Q184</f>
        <v>-2</v>
      </c>
      <c r="S184" s="80">
        <f t="shared" ref="S184:S215" si="74">IFERROR(K184/((N184/7+O184/15+P184/30)/3),"-")</f>
        <v>660</v>
      </c>
      <c r="T184" s="44">
        <f t="shared" ref="T184:T215" si="75">IFERROR(S184/30,"-")</f>
        <v>22</v>
      </c>
      <c r="U184" s="44">
        <f>IFERROR(VLOOKUP($B:$B,'[1]3店'!$B:$T,19,0),"-")</f>
        <v>9.05882352941177</v>
      </c>
      <c r="V184" s="81">
        <f t="shared" ref="V184:V215" si="76">IFERROR(T184-U184,"-")</f>
        <v>12.9411764705882</v>
      </c>
      <c r="W184" s="82" t="str">
        <f t="shared" ref="W184:W215" si="77">_xlfn.IFS(AND(D184&lt;&gt;0,D184-$AM$2&gt;=0,B184&gt;0,D184&lt;&gt;0),"本月刚到货",AND(IFERROR((K184/(N184/7))/30,"-")="-",K184&gt;0),"有库存无销量",AND(IFERROR((K184/(N184/7))/30,"-")="-",K184=0),"无库存无销量",AND(IFERROR((K184/(N184/7))/30,"-")&lt;=0.5,K184=0),"无库存有销量",IFERROR((K184/(N184/7))/30,"-")&lt;=0.5,"库存过低",IFERROR((K184/(N184/7))/30,"-")&lt;=1.5,"正常",IFERROR((K184/(N184/7))/30,"-")&gt;1.5,"库存过高")</f>
        <v>有库存无销量</v>
      </c>
      <c r="X184" s="83" t="str">
        <f t="shared" ref="X184:X215" si="78">_xlfn.IFS(AND(D184&lt;&gt;0,D184-$AM$2&gt;=0,K184&gt;0,D184&lt;&gt;0),"本月刚到货",AND(T184="-",K184&gt;0),"有库存无销量",AND(T184="-",K184=0),"无库存无销量",AND(T184&lt;=0.5,K184=0),"无库存有销量",T184&lt;=0.5,"库存过低",T184&lt;=1.5,"正常",T184&gt;1.5,"库存过高")</f>
        <v>库存过高</v>
      </c>
      <c r="Y184" s="44">
        <f>IFERROR(SUMIF('3店辅助表'!K:K,B:B,'3店辅助表'!N:N),0)</f>
        <v>0</v>
      </c>
      <c r="Z184" s="44">
        <f>IFERROR(SUMIF('3店辅助表'!T:T,B:B,'3店辅助表'!W:W),0)</f>
        <v>0</v>
      </c>
      <c r="AA184" s="44">
        <f>IFERROR(SUMIF('3店辅助表'!AC:AC,B:B,'3店辅助表'!AF:AF),0)</f>
        <v>0</v>
      </c>
      <c r="AB184" s="91" t="str">
        <f>IFERROR(SUMIF('3店辅助表'!K:K,B:B,'3店辅助表'!N:N)/SUMIF('3店辅助表'!K:K,B:B,'3店辅助表'!O:O),"-")</f>
        <v>-</v>
      </c>
      <c r="AC184" s="91" t="str">
        <f>IFERROR(VLOOKUP(B:B,'[1]3店'!$B:$AB,27,0),"-")</f>
        <v>-</v>
      </c>
      <c r="AD184" s="92" t="str">
        <f t="shared" ref="AD184:AD215" si="79">IFERROR(AB184-AC184,"-")</f>
        <v>-</v>
      </c>
      <c r="AE184" s="91" t="str">
        <f>IFERROR(SUMIF('3店辅助表'!T:T,B:B,'3店辅助表'!W:W)/SUMIF('3店辅助表'!T:T,B:B,'3店辅助表'!X:X),"-")</f>
        <v>-</v>
      </c>
      <c r="AF184" s="91" t="str">
        <f>IFERROR(SUMIF('3店辅助表'!AC:AC,B:B,'3店辅助表'!AF:AF)/SUMIF('3店辅助表'!AC:AC,B:B,'3店辅助表'!AG:AG),"-")</f>
        <v>-</v>
      </c>
      <c r="AG184" s="99">
        <f>IFERROR(AK184/((SUMIF('3店辅助表'!AT:AT,B:B,'3店辅助表'!AU:AU)+M184)/2),"-")</f>
        <v>0</v>
      </c>
      <c r="AH184" s="99">
        <f>IFERROR(AL184/((SUMIF('3店辅助表'!AW:AW,B:B,'3店辅助表'!AX:AX)+M184)/2),"-")</f>
        <v>0.0444444444444444</v>
      </c>
      <c r="AI184" s="100">
        <f>IFERROR((SUMIF('3店辅助表'!AP:AP,B:B,'3店辅助表'!AR:AR)-SUMIF('3店辅助表'!AP:AP,B:B,'3店辅助表'!AR:AR)*0.15-(L184+IFERROR(VLOOKUP(B:B,'3店辅助表'!AZ:BA,2,0),0))*O184-IF(AN:AN="US",6.85,4.9)*(Z184+4.27*O184))/SUMIF('3店辅助表'!AP:AP,B:B,'3店辅助表'!AR:AR),"-")</f>
        <v>0.264513129133584</v>
      </c>
      <c r="AJ184" s="100">
        <f t="shared" ref="AJ184:AJ215" si="80">IFERROR(AH184*AI184,"-")</f>
        <v>0.0117561390726037</v>
      </c>
      <c r="AK184" s="101">
        <f t="shared" ref="AK184:AK215" si="81">N184*$L184</f>
        <v>0</v>
      </c>
      <c r="AL184" s="101">
        <f t="shared" ref="AL184:AL215" si="82">O184*$L184</f>
        <v>30.4</v>
      </c>
      <c r="AM184" s="1" t="str">
        <f>VLOOKUP(B:B,'3店辅助表'!AZ:AZ,1,FALSE)</f>
        <v>Y3080-NB+Y3081</v>
      </c>
      <c r="AN184" t="str">
        <f>VLOOKUP(B:B,'3店辅助表'!AZ:BB,3,FALSE)</f>
        <v>US</v>
      </c>
    </row>
    <row r="185" customHeight="1" spans="1:40">
      <c r="A185" s="58" t="str">
        <f>INDEX('[1]3店'!$A:$A,MATCH(B:B,'[1]3店'!$B:$B,0))</f>
        <v>欣彤</v>
      </c>
      <c r="B185" s="43" t="s">
        <v>1101</v>
      </c>
      <c r="C185" s="43" t="s">
        <v>1102</v>
      </c>
      <c r="D185" s="59">
        <f>VLOOKUP(B:B,'[1]3店'!$B:$L,3,0)</f>
        <v>45034</v>
      </c>
      <c r="E185" s="43" t="s">
        <v>1103</v>
      </c>
      <c r="F185" s="43">
        <v>26</v>
      </c>
      <c r="G185" s="43">
        <v>0</v>
      </c>
      <c r="H185" s="43">
        <v>3</v>
      </c>
      <c r="I185" s="43">
        <v>0</v>
      </c>
      <c r="J185" s="43">
        <v>0</v>
      </c>
      <c r="K185" s="63">
        <f t="shared" si="71"/>
        <v>29</v>
      </c>
      <c r="L185" s="124">
        <f>VLOOKUP($B:$B,'[1]3店'!$B:$L,11,0)</f>
        <v>15.2</v>
      </c>
      <c r="M185" s="44">
        <f t="shared" si="72"/>
        <v>440.8</v>
      </c>
      <c r="N185" s="65">
        <f>IFERROR(VLOOKUP(B:B,'3店辅助表'!B:C,2,FALSE),0)</f>
        <v>0</v>
      </c>
      <c r="O185" s="65">
        <f>IFERROR(VLOOKUP(B:B,'3店辅助表'!E:F,2,FALSE),0)</f>
        <v>0</v>
      </c>
      <c r="P185" s="65">
        <f>IFERROR(VLOOKUP(B:B,'3店辅助表'!H:I,2,FALSE),0)</f>
        <v>0</v>
      </c>
      <c r="Q185" s="65">
        <f>IFERROR(VLOOKUP(B:B,'[1]3店'!$B:$N,13,FALSE),0)</f>
        <v>0</v>
      </c>
      <c r="R185" s="79">
        <f t="shared" si="73"/>
        <v>0</v>
      </c>
      <c r="S185" s="80" t="str">
        <f t="shared" si="74"/>
        <v>-</v>
      </c>
      <c r="T185" s="44" t="str">
        <f t="shared" si="75"/>
        <v>-</v>
      </c>
      <c r="U185" s="44" t="str">
        <f>IFERROR(VLOOKUP($B:$B,'[1]3店'!$B:$T,19,0),"-")</f>
        <v>-</v>
      </c>
      <c r="V185" s="81" t="str">
        <f t="shared" si="76"/>
        <v>-</v>
      </c>
      <c r="W185" s="82" t="str">
        <f t="shared" si="77"/>
        <v>有库存无销量</v>
      </c>
      <c r="X185" s="83" t="str">
        <f t="shared" si="78"/>
        <v>有库存无销量</v>
      </c>
      <c r="Y185" s="44">
        <f>IFERROR(SUMIF('3店辅助表'!K:K,B:B,'3店辅助表'!N:N),0)</f>
        <v>0</v>
      </c>
      <c r="Z185" s="44">
        <f>IFERROR(SUMIF('3店辅助表'!T:T,B:B,'3店辅助表'!W:W),0)</f>
        <v>0</v>
      </c>
      <c r="AA185" s="44">
        <f>IFERROR(SUMIF('3店辅助表'!AC:AC,B:B,'3店辅助表'!AF:AF),0)</f>
        <v>0</v>
      </c>
      <c r="AB185" s="91" t="str">
        <f>IFERROR(SUMIF('3店辅助表'!K:K,B:B,'3店辅助表'!N:N)/SUMIF('3店辅助表'!K:K,B:B,'3店辅助表'!O:O),"-")</f>
        <v>-</v>
      </c>
      <c r="AC185" s="91" t="str">
        <f>IFERROR(VLOOKUP(B:B,'[1]3店'!$B:$AB,27,0),"-")</f>
        <v>-</v>
      </c>
      <c r="AD185" s="92" t="str">
        <f t="shared" si="79"/>
        <v>-</v>
      </c>
      <c r="AE185" s="91" t="str">
        <f>IFERROR(SUMIF('3店辅助表'!T:T,B:B,'3店辅助表'!W:W)/SUMIF('3店辅助表'!T:T,B:B,'3店辅助表'!X:X),"-")</f>
        <v>-</v>
      </c>
      <c r="AF185" s="91" t="str">
        <f>IFERROR(SUMIF('3店辅助表'!AC:AC,B:B,'3店辅助表'!AF:AF)/SUMIF('3店辅助表'!AC:AC,B:B,'3店辅助表'!AG:AG),"-")</f>
        <v>-</v>
      </c>
      <c r="AG185" s="99">
        <f>IFERROR(AK185/((SUMIF('3店辅助表'!AT:AT,B:B,'3店辅助表'!AU:AU)+M185)/2),"-")</f>
        <v>0</v>
      </c>
      <c r="AH185" s="99">
        <f>IFERROR(AL185/((SUMIF('3店辅助表'!AW:AW,B:B,'3店辅助表'!AX:AX)+M185)/2),"-")</f>
        <v>0</v>
      </c>
      <c r="AI185" s="100" t="str">
        <f>IFERROR((SUMIF('3店辅助表'!AP:AP,B:B,'3店辅助表'!AR:AR)-SUMIF('3店辅助表'!AP:AP,B:B,'3店辅助表'!AR:AR)*0.15-(L185+IFERROR(VLOOKUP(B:B,'3店辅助表'!AZ:BA,2,0),0))*O185-IF(AN:AN="US",6.85,4.9)*(Z185+4.27*O185))/SUMIF('3店辅助表'!AP:AP,B:B,'3店辅助表'!AR:AR),"-")</f>
        <v>-</v>
      </c>
      <c r="AJ185" s="100" t="str">
        <f t="shared" si="80"/>
        <v>-</v>
      </c>
      <c r="AK185" s="101">
        <f t="shared" si="81"/>
        <v>0</v>
      </c>
      <c r="AL185" s="101">
        <f t="shared" si="82"/>
        <v>0</v>
      </c>
      <c r="AM185" s="1" t="str">
        <f>VLOOKUP(B:B,'3店辅助表'!AZ:AZ,1,FALSE)</f>
        <v>Y3080-TG+Y3081</v>
      </c>
      <c r="AN185" t="str">
        <f>VLOOKUP(B:B,'3店辅助表'!AZ:BB,3,FALSE)</f>
        <v>US</v>
      </c>
    </row>
    <row r="186" customHeight="1" spans="1:40">
      <c r="A186" s="58" t="str">
        <f>INDEX('[1]3店'!$A:$A,MATCH(B:B,'[1]3店'!$B:$B,0))</f>
        <v>欣彤</v>
      </c>
      <c r="B186" s="43" t="s">
        <v>1104</v>
      </c>
      <c r="C186" s="43" t="s">
        <v>1105</v>
      </c>
      <c r="D186" s="59">
        <f>VLOOKUP(B:B,'[1]3店'!$B:$L,3,0)</f>
        <v>45034</v>
      </c>
      <c r="E186" s="43" t="s">
        <v>1106</v>
      </c>
      <c r="F186" s="43">
        <v>52</v>
      </c>
      <c r="G186" s="43">
        <v>0</v>
      </c>
      <c r="H186" s="43">
        <v>0</v>
      </c>
      <c r="I186" s="43">
        <v>0</v>
      </c>
      <c r="J186" s="43">
        <v>0</v>
      </c>
      <c r="K186" s="63">
        <f t="shared" si="71"/>
        <v>52</v>
      </c>
      <c r="L186" s="124">
        <f>VLOOKUP($B:$B,'[1]3店'!$B:$L,11,0)</f>
        <v>12.7</v>
      </c>
      <c r="M186" s="44">
        <f t="shared" si="72"/>
        <v>660.4</v>
      </c>
      <c r="N186" s="65">
        <f>IFERROR(VLOOKUP(B:B,'3店辅助表'!B:C,2,FALSE),0)</f>
        <v>0</v>
      </c>
      <c r="O186" s="65">
        <f>IFERROR(VLOOKUP(B:B,'3店辅助表'!E:F,2,FALSE),0)</f>
        <v>0</v>
      </c>
      <c r="P186" s="65">
        <f>IFERROR(VLOOKUP(B:B,'3店辅助表'!H:I,2,FALSE),0)</f>
        <v>0</v>
      </c>
      <c r="Q186" s="65">
        <f>IFERROR(VLOOKUP(B:B,'[1]3店'!$B:$N,13,FALSE),0)</f>
        <v>0</v>
      </c>
      <c r="R186" s="79">
        <f t="shared" si="73"/>
        <v>0</v>
      </c>
      <c r="S186" s="80" t="str">
        <f t="shared" si="74"/>
        <v>-</v>
      </c>
      <c r="T186" s="44" t="str">
        <f t="shared" si="75"/>
        <v>-</v>
      </c>
      <c r="U186" s="44">
        <f>IFERROR(VLOOKUP($B:$B,'[1]3店'!$B:$T,19,0),"-")</f>
        <v>78</v>
      </c>
      <c r="V186" s="81" t="str">
        <f t="shared" si="76"/>
        <v>-</v>
      </c>
      <c r="W186" s="82" t="str">
        <f t="shared" si="77"/>
        <v>有库存无销量</v>
      </c>
      <c r="X186" s="83" t="str">
        <f t="shared" si="78"/>
        <v>有库存无销量</v>
      </c>
      <c r="Y186" s="44">
        <f>IFERROR(SUMIF('3店辅助表'!K:K,B:B,'3店辅助表'!N:N),0)</f>
        <v>7.75</v>
      </c>
      <c r="Z186" s="44">
        <f>IFERROR(SUMIF('3店辅助表'!T:T,B:B,'3店辅助表'!W:W),0)</f>
        <v>20.94</v>
      </c>
      <c r="AA186" s="44">
        <f>IFERROR(SUMIF('3店辅助表'!AC:AC,B:B,'3店辅助表'!AF:AF),0)</f>
        <v>27.21</v>
      </c>
      <c r="AB186" s="91" t="str">
        <f>IFERROR(SUMIF('3店辅助表'!K:K,B:B,'3店辅助表'!N:N)/SUMIF('3店辅助表'!K:K,B:B,'3店辅助表'!O:O),"-")</f>
        <v>-</v>
      </c>
      <c r="AC186" s="91">
        <f>IFERROR(VLOOKUP(B:B,'[1]3店'!$B:$AB,27,0),"-")</f>
        <v>0.466512702078522</v>
      </c>
      <c r="AD186" s="92" t="str">
        <f t="shared" si="79"/>
        <v>-</v>
      </c>
      <c r="AE186" s="91">
        <f>IFERROR(SUMIF('3店辅助表'!T:T,B:B,'3店辅助表'!W:W)/SUMIF('3店辅助表'!T:T,B:B,'3店辅助表'!X:X),"-")</f>
        <v>0.806004618937644</v>
      </c>
      <c r="AF186" s="91">
        <f>IFERROR(SUMIF('3店辅助表'!AC:AC,B:B,'3店辅助表'!AF:AF)/SUMIF('3店辅助表'!AC:AC,B:B,'3店辅助表'!AG:AG),"-")</f>
        <v>1.0473441108545</v>
      </c>
      <c r="AG186" s="99">
        <f>IFERROR(AK186/((SUMIF('3店辅助表'!AT:AT,B:B,'3店辅助表'!AU:AU)+M186)/2),"-")</f>
        <v>0</v>
      </c>
      <c r="AH186" s="99">
        <f>IFERROR(AL186/((SUMIF('3店辅助表'!AW:AW,B:B,'3店辅助表'!AX:AX)+M186)/2),"-")</f>
        <v>0</v>
      </c>
      <c r="AI186" s="100" t="str">
        <f>IFERROR((SUMIF('3店辅助表'!AP:AP,B:B,'3店辅助表'!AR:AR)-SUMIF('3店辅助表'!AP:AP,B:B,'3店辅助表'!AR:AR)*0.15-(L186+IFERROR(VLOOKUP(B:B,'3店辅助表'!AZ:BA,2,0),0))*O186-IF(AN:AN="US",6.85,4.9)*(Z186+4.27*O186))/SUMIF('3店辅助表'!AP:AP,B:B,'3店辅助表'!AR:AR),"-")</f>
        <v>-</v>
      </c>
      <c r="AJ186" s="100" t="str">
        <f t="shared" si="80"/>
        <v>-</v>
      </c>
      <c r="AK186" s="101">
        <f t="shared" si="81"/>
        <v>0</v>
      </c>
      <c r="AL186" s="101">
        <f t="shared" si="82"/>
        <v>0</v>
      </c>
      <c r="AM186" s="1" t="str">
        <f>VLOOKUP(B:B,'3店辅助表'!AZ:AZ,1,FALSE)</f>
        <v>Y3080-BL+Y3081</v>
      </c>
      <c r="AN186" t="str">
        <f>VLOOKUP(B:B,'3店辅助表'!AZ:BB,3,FALSE)</f>
        <v>US</v>
      </c>
    </row>
    <row r="187" customHeight="1" spans="1:40">
      <c r="A187" s="58" t="str">
        <f>INDEX('[1]3店'!$A:$A,MATCH(B:B,'[1]3店'!$B:$B,0))</f>
        <v>欣彤</v>
      </c>
      <c r="B187" s="43" t="s">
        <v>1107</v>
      </c>
      <c r="C187" s="43" t="s">
        <v>1108</v>
      </c>
      <c r="D187" s="59">
        <f>VLOOKUP(B:B,'[1]3店'!$B:$L,3,0)</f>
        <v>45086</v>
      </c>
      <c r="E187" s="43" t="s">
        <v>1109</v>
      </c>
      <c r="F187" s="43">
        <v>58</v>
      </c>
      <c r="G187" s="43">
        <v>0</v>
      </c>
      <c r="H187" s="43">
        <v>0</v>
      </c>
      <c r="I187" s="43">
        <v>0</v>
      </c>
      <c r="J187" s="43">
        <v>0</v>
      </c>
      <c r="K187" s="63">
        <f t="shared" si="71"/>
        <v>58</v>
      </c>
      <c r="L187" s="124">
        <f>VLOOKUP($B:$B,'[1]3店'!$B:$L,11,0)</f>
        <v>13.9</v>
      </c>
      <c r="M187" s="44">
        <f t="shared" si="72"/>
        <v>806.2</v>
      </c>
      <c r="N187" s="65">
        <f>IFERROR(VLOOKUP(B:B,'3店辅助表'!B:C,2,FALSE),0)</f>
        <v>0</v>
      </c>
      <c r="O187" s="65">
        <f>IFERROR(VLOOKUP(B:B,'3店辅助表'!E:F,2,FALSE),0)</f>
        <v>2</v>
      </c>
      <c r="P187" s="65">
        <f>IFERROR(VLOOKUP(B:B,'3店辅助表'!H:I,2,FALSE),0)</f>
        <v>2</v>
      </c>
      <c r="Q187" s="65">
        <f>IFERROR(VLOOKUP(B:B,'[1]3店'!$B:$N,13,FALSE),0)</f>
        <v>1</v>
      </c>
      <c r="R187" s="79">
        <f t="shared" si="73"/>
        <v>-1</v>
      </c>
      <c r="S187" s="80">
        <f t="shared" si="74"/>
        <v>870</v>
      </c>
      <c r="T187" s="44">
        <f t="shared" si="75"/>
        <v>29</v>
      </c>
      <c r="U187" s="44">
        <f>IFERROR(VLOOKUP($B:$B,'[1]3店'!$B:$T,19,0),"-")</f>
        <v>15.6835443037975</v>
      </c>
      <c r="V187" s="81">
        <f t="shared" si="76"/>
        <v>13.3164556962025</v>
      </c>
      <c r="W187" s="82" t="str">
        <f t="shared" si="77"/>
        <v>有库存无销量</v>
      </c>
      <c r="X187" s="83" t="str">
        <f t="shared" si="78"/>
        <v>库存过高</v>
      </c>
      <c r="Y187" s="44">
        <f>IFERROR(SUMIF('3店辅助表'!K:K,B:B,'3店辅助表'!N:N),0)</f>
        <v>4.29</v>
      </c>
      <c r="Z187" s="44">
        <f>IFERROR(SUMIF('3店辅助表'!T:T,B:B,'3店辅助表'!W:W),0)</f>
        <v>9.83</v>
      </c>
      <c r="AA187" s="44">
        <f>IFERROR(SUMIF('3店辅助表'!AC:AC,B:B,'3店辅助表'!AF:AF),0)</f>
        <v>18.84</v>
      </c>
      <c r="AB187" s="91" t="str">
        <f>IFERROR(SUMIF('3店辅助表'!K:K,B:B,'3店辅助表'!N:N)/SUMIF('3店辅助表'!K:K,B:B,'3店辅助表'!O:O),"-")</f>
        <v>-</v>
      </c>
      <c r="AC187" s="91">
        <f>IFERROR(VLOOKUP(B:B,'[1]3店'!$B:$AB,27,0),"-")</f>
        <v>0.444949954504095</v>
      </c>
      <c r="AD187" s="92" t="str">
        <f t="shared" si="79"/>
        <v>-</v>
      </c>
      <c r="AE187" s="91">
        <f>IFERROR(SUMIF('3店辅助表'!T:T,B:B,'3店辅助表'!W:W)/SUMIF('3店辅助表'!T:T,B:B,'3店辅助表'!X:X),"-")</f>
        <v>0.894449499545041</v>
      </c>
      <c r="AF187" s="91">
        <f>IFERROR(SUMIF('3店辅助表'!AC:AC,B:B,'3店辅助表'!AF:AF)/SUMIF('3店辅助表'!AC:AC,B:B,'3店辅助表'!AG:AG),"-")</f>
        <v>0.509602380308358</v>
      </c>
      <c r="AG187" s="99">
        <f>IFERROR(AK187/((SUMIF('3店辅助表'!AT:AT,B:B,'3店辅助表'!AU:AU)+M187)/2),"-")</f>
        <v>0</v>
      </c>
      <c r="AH187" s="99">
        <f>IFERROR(AL187/((SUMIF('3店辅助表'!AW:AW,B:B,'3店辅助表'!AX:AX)+M187)/2),"-")</f>
        <v>0.0338983050847458</v>
      </c>
      <c r="AI187" s="100">
        <f>IFERROR((SUMIF('3店辅助表'!AP:AP,B:B,'3店辅助表'!AR:AR)-SUMIF('3店辅助表'!AP:AP,B:B,'3店辅助表'!AR:AR)*0.15-(L187+IFERROR(VLOOKUP(B:B,'3店辅助表'!AZ:BA,2,0),0))*O187-IF(AN:AN="US",6.85,4.9)*(Z187+4.27*O187))/SUMIF('3店辅助表'!AP:AP,B:B,'3店辅助表'!AR:AR),"-")</f>
        <v>-0.106956222642957</v>
      </c>
      <c r="AJ187" s="100">
        <f t="shared" si="80"/>
        <v>-0.00362563466586294</v>
      </c>
      <c r="AK187" s="101">
        <f t="shared" si="81"/>
        <v>0</v>
      </c>
      <c r="AL187" s="101">
        <f t="shared" si="82"/>
        <v>27.8</v>
      </c>
      <c r="AM187" s="1" t="str">
        <f>VLOOKUP(B:B,'3店辅助表'!AZ:AZ,1,FALSE)</f>
        <v>Y3082-BL+Y3083+Y3084</v>
      </c>
      <c r="AN187" t="str">
        <f>VLOOKUP(B:B,'3店辅助表'!AZ:BB,3,FALSE)</f>
        <v>US</v>
      </c>
    </row>
    <row r="188" customHeight="1" spans="1:40">
      <c r="A188" s="58" t="str">
        <f>INDEX('[1]3店'!$A:$A,MATCH(B:B,'[1]3店'!$B:$B,0))</f>
        <v>欣彤</v>
      </c>
      <c r="B188" s="43" t="s">
        <v>1110</v>
      </c>
      <c r="C188" s="43" t="s">
        <v>1108</v>
      </c>
      <c r="D188" s="59">
        <f>VLOOKUP(B:B,'[1]3店'!$B:$L,3,0)</f>
        <v>45086</v>
      </c>
      <c r="E188" s="43" t="s">
        <v>1111</v>
      </c>
      <c r="F188" s="43">
        <v>29</v>
      </c>
      <c r="G188" s="43">
        <v>0</v>
      </c>
      <c r="H188" s="43">
        <v>0</v>
      </c>
      <c r="I188" s="43">
        <v>0</v>
      </c>
      <c r="J188" s="43">
        <v>0</v>
      </c>
      <c r="K188" s="63">
        <f t="shared" si="71"/>
        <v>29</v>
      </c>
      <c r="L188" s="124">
        <f>VLOOKUP($B:$B,'[1]3店'!$B:$L,11,0)</f>
        <v>13.9</v>
      </c>
      <c r="M188" s="44">
        <f t="shared" si="72"/>
        <v>403.1</v>
      </c>
      <c r="N188" s="65">
        <f>IFERROR(VLOOKUP(B:B,'3店辅助表'!B:C,2,FALSE),0)</f>
        <v>0</v>
      </c>
      <c r="O188" s="65">
        <f>IFERROR(VLOOKUP(B:B,'3店辅助表'!E:F,2,FALSE),0)</f>
        <v>0</v>
      </c>
      <c r="P188" s="65">
        <f>IFERROR(VLOOKUP(B:B,'3店辅助表'!H:I,2,FALSE),0)</f>
        <v>1</v>
      </c>
      <c r="Q188" s="65">
        <f>IFERROR(VLOOKUP(B:B,'[1]3店'!$B:$N,13,FALSE),0)</f>
        <v>0</v>
      </c>
      <c r="R188" s="79">
        <f t="shared" si="73"/>
        <v>0</v>
      </c>
      <c r="S188" s="80">
        <f t="shared" si="74"/>
        <v>2610</v>
      </c>
      <c r="T188" s="44">
        <f t="shared" si="75"/>
        <v>87</v>
      </c>
      <c r="U188" s="44">
        <f>IFERROR(VLOOKUP($B:$B,'[1]3店'!$B:$T,19,0),"-")</f>
        <v>87</v>
      </c>
      <c r="V188" s="81">
        <f t="shared" si="76"/>
        <v>0</v>
      </c>
      <c r="W188" s="82" t="str">
        <f t="shared" si="77"/>
        <v>有库存无销量</v>
      </c>
      <c r="X188" s="83" t="str">
        <f t="shared" si="78"/>
        <v>库存过高</v>
      </c>
      <c r="Y188" s="44">
        <f>IFERROR(SUMIF('3店辅助表'!K:K,B:B,'3店辅助表'!N:N),0)</f>
        <v>0</v>
      </c>
      <c r="Z188" s="44">
        <f>IFERROR(SUMIF('3店辅助表'!T:T,B:B,'3店辅助表'!W:W),0)</f>
        <v>0</v>
      </c>
      <c r="AA188" s="44">
        <f>IFERROR(SUMIF('3店辅助表'!AC:AC,B:B,'3店辅助表'!AF:AF),0)</f>
        <v>0</v>
      </c>
      <c r="AB188" s="91" t="str">
        <f>IFERROR(SUMIF('3店辅助表'!K:K,B:B,'3店辅助表'!N:N)/SUMIF('3店辅助表'!K:K,B:B,'3店辅助表'!O:O),"-")</f>
        <v>-</v>
      </c>
      <c r="AC188" s="91" t="str">
        <f>IFERROR(VLOOKUP(B:B,'[1]3店'!$B:$AB,27,0),"-")</f>
        <v>-</v>
      </c>
      <c r="AD188" s="92" t="str">
        <f t="shared" si="79"/>
        <v>-</v>
      </c>
      <c r="AE188" s="91" t="str">
        <f>IFERROR(SUMIF('3店辅助表'!T:T,B:B,'3店辅助表'!W:W)/SUMIF('3店辅助表'!T:T,B:B,'3店辅助表'!X:X),"-")</f>
        <v>-</v>
      </c>
      <c r="AF188" s="91" t="str">
        <f>IFERROR(SUMIF('3店辅助表'!AC:AC,B:B,'3店辅助表'!AF:AF)/SUMIF('3店辅助表'!AC:AC,B:B,'3店辅助表'!AG:AG),"-")</f>
        <v>-</v>
      </c>
      <c r="AG188" s="99">
        <f>IFERROR(AK188/((SUMIF('3店辅助表'!AT:AT,B:B,'3店辅助表'!AU:AU)+M188)/2),"-")</f>
        <v>0</v>
      </c>
      <c r="AH188" s="99">
        <f>IFERROR(AL188/((SUMIF('3店辅助表'!AW:AW,B:B,'3店辅助表'!AX:AX)+M188)/2),"-")</f>
        <v>0</v>
      </c>
      <c r="AI188" s="100" t="str">
        <f>IFERROR((SUMIF('3店辅助表'!AP:AP,B:B,'3店辅助表'!AR:AR)-SUMIF('3店辅助表'!AP:AP,B:B,'3店辅助表'!AR:AR)*0.15-(L188+IFERROR(VLOOKUP(B:B,'3店辅助表'!AZ:BA,2,0),0))*O188-IF(AN:AN="US",6.85,4.9)*(Z188+4.27*O188))/SUMIF('3店辅助表'!AP:AP,B:B,'3店辅助表'!AR:AR),"-")</f>
        <v>-</v>
      </c>
      <c r="AJ188" s="100" t="str">
        <f t="shared" si="80"/>
        <v>-</v>
      </c>
      <c r="AK188" s="101">
        <f t="shared" si="81"/>
        <v>0</v>
      </c>
      <c r="AL188" s="101">
        <f t="shared" si="82"/>
        <v>0</v>
      </c>
      <c r="AM188" s="1" t="str">
        <f>VLOOKUP(B:B,'3店辅助表'!AZ:AZ,1,FALSE)</f>
        <v>Y3082-BY+Y3083+Y3084</v>
      </c>
      <c r="AN188" t="str">
        <f>VLOOKUP(B:B,'3店辅助表'!AZ:BB,3,FALSE)</f>
        <v>US</v>
      </c>
    </row>
    <row r="189" customHeight="1" spans="1:40">
      <c r="A189" s="58" t="str">
        <f>INDEX('[1]3店'!$A:$A,MATCH(B:B,'[1]3店'!$B:$B,0))</f>
        <v>欣彤</v>
      </c>
      <c r="B189" s="43" t="s">
        <v>1112</v>
      </c>
      <c r="C189" s="43" t="s">
        <v>1108</v>
      </c>
      <c r="D189" s="59">
        <f>VLOOKUP(B:B,'[1]3店'!$B:$L,3,0)</f>
        <v>45086</v>
      </c>
      <c r="E189" s="43" t="s">
        <v>1113</v>
      </c>
      <c r="F189" s="43">
        <v>45</v>
      </c>
      <c r="G189" s="43">
        <v>0</v>
      </c>
      <c r="H189" s="43">
        <v>0</v>
      </c>
      <c r="I189" s="43">
        <v>0</v>
      </c>
      <c r="J189" s="43">
        <v>0</v>
      </c>
      <c r="K189" s="63">
        <f t="shared" si="71"/>
        <v>45</v>
      </c>
      <c r="L189" s="124">
        <f>VLOOKUP($B:$B,'[1]3店'!$B:$L,11,0)</f>
        <v>13.9</v>
      </c>
      <c r="M189" s="44">
        <f t="shared" si="72"/>
        <v>625.5</v>
      </c>
      <c r="N189" s="65">
        <f>IFERROR(VLOOKUP(B:B,'3店辅助表'!B:C,2,FALSE),0)</f>
        <v>0</v>
      </c>
      <c r="O189" s="65">
        <f>IFERROR(VLOOKUP(B:B,'3店辅助表'!E:F,2,FALSE),0)</f>
        <v>0</v>
      </c>
      <c r="P189" s="65">
        <f>IFERROR(VLOOKUP(B:B,'3店辅助表'!H:I,2,FALSE),0)</f>
        <v>0</v>
      </c>
      <c r="Q189" s="65">
        <f>IFERROR(VLOOKUP(B:B,'[1]3店'!$B:$N,13,FALSE),0)</f>
        <v>0</v>
      </c>
      <c r="R189" s="79">
        <f t="shared" si="73"/>
        <v>0</v>
      </c>
      <c r="S189" s="80" t="str">
        <f t="shared" si="74"/>
        <v>-</v>
      </c>
      <c r="T189" s="44" t="str">
        <f t="shared" si="75"/>
        <v>-</v>
      </c>
      <c r="U189" s="44">
        <f>IFERROR(VLOOKUP($B:$B,'[1]3店'!$B:$T,19,0),"-")</f>
        <v>135</v>
      </c>
      <c r="V189" s="81" t="str">
        <f t="shared" si="76"/>
        <v>-</v>
      </c>
      <c r="W189" s="82" t="str">
        <f t="shared" si="77"/>
        <v>有库存无销量</v>
      </c>
      <c r="X189" s="83" t="str">
        <f t="shared" si="78"/>
        <v>有库存无销量</v>
      </c>
      <c r="Y189" s="44">
        <f>IFERROR(SUMIF('3店辅助表'!K:K,B:B,'3店辅助表'!N:N),0)</f>
        <v>0</v>
      </c>
      <c r="Z189" s="44">
        <f>IFERROR(SUMIF('3店辅助表'!T:T,B:B,'3店辅助表'!W:W),0)</f>
        <v>0</v>
      </c>
      <c r="AA189" s="44">
        <f>IFERROR(SUMIF('3店辅助表'!AC:AC,B:B,'3店辅助表'!AF:AF),0)</f>
        <v>0</v>
      </c>
      <c r="AB189" s="91" t="str">
        <f>IFERROR(SUMIF('3店辅助表'!K:K,B:B,'3店辅助表'!N:N)/SUMIF('3店辅助表'!K:K,B:B,'3店辅助表'!O:O),"-")</f>
        <v>-</v>
      </c>
      <c r="AC189" s="91" t="str">
        <f>IFERROR(VLOOKUP(B:B,'[1]3店'!$B:$AB,27,0),"-")</f>
        <v>-</v>
      </c>
      <c r="AD189" s="92" t="str">
        <f t="shared" si="79"/>
        <v>-</v>
      </c>
      <c r="AE189" s="91" t="str">
        <f>IFERROR(SUMIF('3店辅助表'!T:T,B:B,'3店辅助表'!W:W)/SUMIF('3店辅助表'!T:T,B:B,'3店辅助表'!X:X),"-")</f>
        <v>-</v>
      </c>
      <c r="AF189" s="91" t="str">
        <f>IFERROR(SUMIF('3店辅助表'!AC:AC,B:B,'3店辅助表'!AF:AF)/SUMIF('3店辅助表'!AC:AC,B:B,'3店辅助表'!AG:AG),"-")</f>
        <v>-</v>
      </c>
      <c r="AG189" s="99">
        <f>IFERROR(AK189/((SUMIF('3店辅助表'!AT:AT,B:B,'3店辅助表'!AU:AU)+M189)/2),"-")</f>
        <v>0</v>
      </c>
      <c r="AH189" s="99">
        <f>IFERROR(AL189/((SUMIF('3店辅助表'!AW:AW,B:B,'3店辅助表'!AX:AX)+M189)/2),"-")</f>
        <v>0</v>
      </c>
      <c r="AI189" s="100" t="str">
        <f>IFERROR((SUMIF('3店辅助表'!AP:AP,B:B,'3店辅助表'!AR:AR)-SUMIF('3店辅助表'!AP:AP,B:B,'3店辅助表'!AR:AR)*0.15-(L189+IFERROR(VLOOKUP(B:B,'3店辅助表'!AZ:BA,2,0),0))*O189-IF(AN:AN="US",6.85,4.9)*(Z189+4.27*O189))/SUMIF('3店辅助表'!AP:AP,B:B,'3店辅助表'!AR:AR),"-")</f>
        <v>-</v>
      </c>
      <c r="AJ189" s="100" t="str">
        <f t="shared" si="80"/>
        <v>-</v>
      </c>
      <c r="AK189" s="101">
        <f t="shared" si="81"/>
        <v>0</v>
      </c>
      <c r="AL189" s="101">
        <f t="shared" si="82"/>
        <v>0</v>
      </c>
      <c r="AM189" s="1" t="str">
        <f>VLOOKUP(B:B,'3店辅助表'!AZ:AZ,1,FALSE)</f>
        <v>Y3082-DB+Y3083+Y3084</v>
      </c>
      <c r="AN189" t="str">
        <f>VLOOKUP(B:B,'3店辅助表'!AZ:BB,3,FALSE)</f>
        <v>US</v>
      </c>
    </row>
    <row r="190" customHeight="1" spans="1:40">
      <c r="A190" s="58" t="str">
        <f>INDEX('[1]3店'!$A:$A,MATCH(B:B,'[1]3店'!$B:$B,0))</f>
        <v>欣彤</v>
      </c>
      <c r="B190" s="43" t="s">
        <v>1114</v>
      </c>
      <c r="C190" s="43" t="s">
        <v>1108</v>
      </c>
      <c r="D190" s="59">
        <f>VLOOKUP(B:B,'[1]3店'!$B:$L,3,0)</f>
        <v>45086</v>
      </c>
      <c r="E190" s="43" t="s">
        <v>1115</v>
      </c>
      <c r="F190" s="43">
        <v>27</v>
      </c>
      <c r="G190" s="43">
        <v>0</v>
      </c>
      <c r="H190" s="43">
        <v>0</v>
      </c>
      <c r="I190" s="43">
        <v>2</v>
      </c>
      <c r="J190" s="43">
        <v>0</v>
      </c>
      <c r="K190" s="63">
        <f t="shared" si="71"/>
        <v>29</v>
      </c>
      <c r="L190" s="124">
        <f>VLOOKUP($B:$B,'[1]3店'!$B:$L,11,0)</f>
        <v>13.9</v>
      </c>
      <c r="M190" s="44">
        <f t="shared" si="72"/>
        <v>403.1</v>
      </c>
      <c r="N190" s="65">
        <f>IFERROR(VLOOKUP(B:B,'3店辅助表'!B:C,2,FALSE),0)</f>
        <v>0</v>
      </c>
      <c r="O190" s="65">
        <f>IFERROR(VLOOKUP(B:B,'3店辅助表'!E:F,2,FALSE),0)</f>
        <v>0</v>
      </c>
      <c r="P190" s="65">
        <f>IFERROR(VLOOKUP(B:B,'3店辅助表'!H:I,2,FALSE),0)</f>
        <v>0</v>
      </c>
      <c r="Q190" s="65">
        <f>IFERROR(VLOOKUP(B:B,'[1]3店'!$B:$N,13,FALSE),0)</f>
        <v>0</v>
      </c>
      <c r="R190" s="79">
        <f t="shared" si="73"/>
        <v>0</v>
      </c>
      <c r="S190" s="80" t="str">
        <f t="shared" si="74"/>
        <v>-</v>
      </c>
      <c r="T190" s="44" t="str">
        <f t="shared" si="75"/>
        <v>-</v>
      </c>
      <c r="U190" s="44" t="str">
        <f>IFERROR(VLOOKUP($B:$B,'[1]3店'!$B:$T,19,0),"-")</f>
        <v>-</v>
      </c>
      <c r="V190" s="81" t="str">
        <f t="shared" si="76"/>
        <v>-</v>
      </c>
      <c r="W190" s="82" t="str">
        <f t="shared" si="77"/>
        <v>有库存无销量</v>
      </c>
      <c r="X190" s="83" t="str">
        <f t="shared" si="78"/>
        <v>有库存无销量</v>
      </c>
      <c r="Y190" s="44">
        <f>IFERROR(SUMIF('3店辅助表'!K:K,B:B,'3店辅助表'!N:N),0)</f>
        <v>0</v>
      </c>
      <c r="Z190" s="44">
        <f>IFERROR(SUMIF('3店辅助表'!T:T,B:B,'3店辅助表'!W:W),0)</f>
        <v>0</v>
      </c>
      <c r="AA190" s="44">
        <f>IFERROR(SUMIF('3店辅助表'!AC:AC,B:B,'3店辅助表'!AF:AF),0)</f>
        <v>0</v>
      </c>
      <c r="AB190" s="91" t="str">
        <f>IFERROR(SUMIF('3店辅助表'!K:K,B:B,'3店辅助表'!N:N)/SUMIF('3店辅助表'!K:K,B:B,'3店辅助表'!O:O),"-")</f>
        <v>-</v>
      </c>
      <c r="AC190" s="91" t="str">
        <f>IFERROR(VLOOKUP(B:B,'[1]3店'!$B:$AB,27,0),"-")</f>
        <v>-</v>
      </c>
      <c r="AD190" s="92" t="str">
        <f t="shared" si="79"/>
        <v>-</v>
      </c>
      <c r="AE190" s="91" t="str">
        <f>IFERROR(SUMIF('3店辅助表'!T:T,B:B,'3店辅助表'!W:W)/SUMIF('3店辅助表'!T:T,B:B,'3店辅助表'!X:X),"-")</f>
        <v>-</v>
      </c>
      <c r="AF190" s="91" t="str">
        <f>IFERROR(SUMIF('3店辅助表'!AC:AC,B:B,'3店辅助表'!AF:AF)/SUMIF('3店辅助表'!AC:AC,B:B,'3店辅助表'!AG:AG),"-")</f>
        <v>-</v>
      </c>
      <c r="AG190" s="99">
        <f>IFERROR(AK190/((SUMIF('3店辅助表'!AT:AT,B:B,'3店辅助表'!AU:AU)+M190)/2),"-")</f>
        <v>0</v>
      </c>
      <c r="AH190" s="99">
        <f>IFERROR(AL190/((SUMIF('3店辅助表'!AW:AW,B:B,'3店辅助表'!AX:AX)+M190)/2),"-")</f>
        <v>0</v>
      </c>
      <c r="AI190" s="100" t="str">
        <f>IFERROR((SUMIF('3店辅助表'!AP:AP,B:B,'3店辅助表'!AR:AR)-SUMIF('3店辅助表'!AP:AP,B:B,'3店辅助表'!AR:AR)*0.15-(L190+IFERROR(VLOOKUP(B:B,'3店辅助表'!AZ:BA,2,0),0))*O190-IF(AN:AN="US",6.85,4.9)*(Z190+4.27*O190))/SUMIF('3店辅助表'!AP:AP,B:B,'3店辅助表'!AR:AR),"-")</f>
        <v>-</v>
      </c>
      <c r="AJ190" s="100" t="str">
        <f t="shared" si="80"/>
        <v>-</v>
      </c>
      <c r="AK190" s="101">
        <f t="shared" si="81"/>
        <v>0</v>
      </c>
      <c r="AL190" s="101">
        <f t="shared" si="82"/>
        <v>0</v>
      </c>
      <c r="AM190" s="1" t="str">
        <f>VLOOKUP(B:B,'3店辅助表'!AZ:AZ,1,FALSE)</f>
        <v>Y3082-GK+Y3083+Y3084</v>
      </c>
      <c r="AN190" t="str">
        <f>VLOOKUP(B:B,'3店辅助表'!AZ:BB,3,FALSE)</f>
        <v>US</v>
      </c>
    </row>
    <row r="191" customHeight="1" spans="1:40">
      <c r="A191" s="58" t="str">
        <f>INDEX('[1]3店'!$A:$A,MATCH(B:B,'[1]3店'!$B:$B,0))</f>
        <v>欣彤</v>
      </c>
      <c r="B191" s="43" t="s">
        <v>1116</v>
      </c>
      <c r="C191" s="43" t="s">
        <v>1108</v>
      </c>
      <c r="D191" s="59">
        <f>VLOOKUP(B:B,'[1]3店'!$B:$L,3,0)</f>
        <v>45086</v>
      </c>
      <c r="E191" s="43" t="s">
        <v>1117</v>
      </c>
      <c r="F191" s="43">
        <v>33</v>
      </c>
      <c r="G191" s="43">
        <v>0</v>
      </c>
      <c r="H191" s="43">
        <v>0</v>
      </c>
      <c r="I191" s="43">
        <v>7</v>
      </c>
      <c r="J191" s="43">
        <v>0</v>
      </c>
      <c r="K191" s="63">
        <f t="shared" si="71"/>
        <v>40</v>
      </c>
      <c r="L191" s="124">
        <f>VLOOKUP($B:$B,'[1]3店'!$B:$L,11,0)</f>
        <v>13.9</v>
      </c>
      <c r="M191" s="44">
        <f t="shared" si="72"/>
        <v>556</v>
      </c>
      <c r="N191" s="65">
        <f>IFERROR(VLOOKUP(B:B,'3店辅助表'!B:C,2,FALSE),0)</f>
        <v>0</v>
      </c>
      <c r="O191" s="65">
        <f>IFERROR(VLOOKUP(B:B,'3店辅助表'!E:F,2,FALSE),0)</f>
        <v>0</v>
      </c>
      <c r="P191" s="65">
        <f>IFERROR(VLOOKUP(B:B,'3店辅助表'!H:I,2,FALSE),0)</f>
        <v>0</v>
      </c>
      <c r="Q191" s="65">
        <f>IFERROR(VLOOKUP(B:B,'[1]3店'!$B:$N,13,FALSE),0)</f>
        <v>0</v>
      </c>
      <c r="R191" s="79">
        <f t="shared" si="73"/>
        <v>0</v>
      </c>
      <c r="S191" s="80" t="str">
        <f t="shared" si="74"/>
        <v>-</v>
      </c>
      <c r="T191" s="44" t="str">
        <f t="shared" si="75"/>
        <v>-</v>
      </c>
      <c r="U191" s="44" t="str">
        <f>IFERROR(VLOOKUP($B:$B,'[1]3店'!$B:$T,19,0),"-")</f>
        <v>-</v>
      </c>
      <c r="V191" s="81" t="str">
        <f t="shared" si="76"/>
        <v>-</v>
      </c>
      <c r="W191" s="82" t="str">
        <f t="shared" si="77"/>
        <v>有库存无销量</v>
      </c>
      <c r="X191" s="83" t="str">
        <f t="shared" si="78"/>
        <v>有库存无销量</v>
      </c>
      <c r="Y191" s="44">
        <f>IFERROR(SUMIF('3店辅助表'!K:K,B:B,'3店辅助表'!N:N),0)</f>
        <v>0</v>
      </c>
      <c r="Z191" s="44">
        <f>IFERROR(SUMIF('3店辅助表'!T:T,B:B,'3店辅助表'!W:W),0)</f>
        <v>0</v>
      </c>
      <c r="AA191" s="44">
        <f>IFERROR(SUMIF('3店辅助表'!AC:AC,B:B,'3店辅助表'!AF:AF),0)</f>
        <v>0.66</v>
      </c>
      <c r="AB191" s="91" t="str">
        <f>IFERROR(SUMIF('3店辅助表'!K:K,B:B,'3店辅助表'!N:N)/SUMIF('3店辅助表'!K:K,B:B,'3店辅助表'!O:O),"-")</f>
        <v>-</v>
      </c>
      <c r="AC191" s="91" t="str">
        <f>IFERROR(VLOOKUP(B:B,'[1]3店'!$B:$AB,27,0),"-")</f>
        <v>-</v>
      </c>
      <c r="AD191" s="92" t="str">
        <f t="shared" si="79"/>
        <v>-</v>
      </c>
      <c r="AE191" s="91" t="str">
        <f>IFERROR(SUMIF('3店辅助表'!T:T,B:B,'3店辅助表'!W:W)/SUMIF('3店辅助表'!T:T,B:B,'3店辅助表'!X:X),"-")</f>
        <v>-</v>
      </c>
      <c r="AF191" s="91" t="str">
        <f>IFERROR(SUMIF('3店辅助表'!AC:AC,B:B,'3店辅助表'!AF:AF)/SUMIF('3店辅助表'!AC:AC,B:B,'3店辅助表'!AG:AG),"-")</f>
        <v>-</v>
      </c>
      <c r="AG191" s="99">
        <f>IFERROR(AK191/((SUMIF('3店辅助表'!AT:AT,B:B,'3店辅助表'!AU:AU)+M191)/2),"-")</f>
        <v>0</v>
      </c>
      <c r="AH191" s="99">
        <f>IFERROR(AL191/((SUMIF('3店辅助表'!AW:AW,B:B,'3店辅助表'!AX:AX)+M191)/2),"-")</f>
        <v>0</v>
      </c>
      <c r="AI191" s="100" t="str">
        <f>IFERROR((SUMIF('3店辅助表'!AP:AP,B:B,'3店辅助表'!AR:AR)-SUMIF('3店辅助表'!AP:AP,B:B,'3店辅助表'!AR:AR)*0.15-(L191+IFERROR(VLOOKUP(B:B,'3店辅助表'!AZ:BA,2,0),0))*O191-IF(AN:AN="US",6.85,4.9)*(Z191+4.27*O191))/SUMIF('3店辅助表'!AP:AP,B:B,'3店辅助表'!AR:AR),"-")</f>
        <v>-</v>
      </c>
      <c r="AJ191" s="100" t="str">
        <f t="shared" si="80"/>
        <v>-</v>
      </c>
      <c r="AK191" s="101">
        <f t="shared" si="81"/>
        <v>0</v>
      </c>
      <c r="AL191" s="101">
        <f t="shared" si="82"/>
        <v>0</v>
      </c>
      <c r="AM191" s="1" t="str">
        <f>VLOOKUP(B:B,'3店辅助表'!AZ:AZ,1,FALSE)</f>
        <v>Y3082-OR+Y3083+Y3084</v>
      </c>
      <c r="AN191" t="str">
        <f>VLOOKUP(B:B,'3店辅助表'!AZ:BB,3,FALSE)</f>
        <v>US</v>
      </c>
    </row>
    <row r="192" customHeight="1" spans="1:40">
      <c r="A192" s="58" t="str">
        <f>INDEX('[1]3店'!$A:$A,MATCH(B:B,'[1]3店'!$B:$B,0))</f>
        <v>欣彤</v>
      </c>
      <c r="B192" s="43" t="s">
        <v>1118</v>
      </c>
      <c r="C192" s="43" t="s">
        <v>1119</v>
      </c>
      <c r="D192" s="59">
        <f>VLOOKUP(B:B,'[1]3店'!$B:$L,3,0)</f>
        <v>45052</v>
      </c>
      <c r="E192" s="43" t="s">
        <v>1120</v>
      </c>
      <c r="F192" s="43">
        <v>40</v>
      </c>
      <c r="G192" s="43">
        <v>0</v>
      </c>
      <c r="H192" s="43">
        <v>0</v>
      </c>
      <c r="I192" s="43">
        <v>0</v>
      </c>
      <c r="J192" s="43">
        <v>0</v>
      </c>
      <c r="K192" s="63">
        <f t="shared" si="71"/>
        <v>40</v>
      </c>
      <c r="L192" s="124">
        <f>VLOOKUP($B:$B,'[1]3店'!$B:$L,11,0)</f>
        <v>13.9</v>
      </c>
      <c r="M192" s="44">
        <f t="shared" si="72"/>
        <v>556</v>
      </c>
      <c r="N192" s="65">
        <f>IFERROR(VLOOKUP(B:B,'3店辅助表'!B:C,2,FALSE),0)</f>
        <v>1</v>
      </c>
      <c r="O192" s="65">
        <f>IFERROR(VLOOKUP(B:B,'3店辅助表'!E:F,2,FALSE),0)</f>
        <v>2</v>
      </c>
      <c r="P192" s="65">
        <f>IFERROR(VLOOKUP(B:B,'3店辅助表'!H:I,2,FALSE),0)</f>
        <v>8</v>
      </c>
      <c r="Q192" s="65">
        <f>IFERROR(VLOOKUP(B:B,'[1]3店'!$B:$N,13,FALSE),0)</f>
        <v>0</v>
      </c>
      <c r="R192" s="79">
        <f t="shared" si="73"/>
        <v>1</v>
      </c>
      <c r="S192" s="80">
        <f t="shared" si="74"/>
        <v>221.052631578947</v>
      </c>
      <c r="T192" s="44">
        <f t="shared" si="75"/>
        <v>7.36842105263158</v>
      </c>
      <c r="U192" s="44">
        <f>IFERROR(VLOOKUP($B:$B,'[1]3店'!$B:$T,19,0),"-")</f>
        <v>8.2</v>
      </c>
      <c r="V192" s="81">
        <f t="shared" si="76"/>
        <v>-0.83157894736842</v>
      </c>
      <c r="W192" s="82" t="str">
        <f t="shared" si="77"/>
        <v>库存过高</v>
      </c>
      <c r="X192" s="83" t="str">
        <f t="shared" si="78"/>
        <v>库存过高</v>
      </c>
      <c r="Y192" s="44">
        <f>IFERROR(SUMIF('3店辅助表'!K:K,B:B,'3店辅助表'!N:N),0)</f>
        <v>7.71</v>
      </c>
      <c r="Z192" s="44">
        <f>IFERROR(SUMIF('3店辅助表'!T:T,B:B,'3店辅助表'!W:W),0)</f>
        <v>15.51</v>
      </c>
      <c r="AA192" s="44">
        <f>IFERROR(SUMIF('3店辅助表'!AC:AC,B:B,'3店辅助表'!AF:AF),0)</f>
        <v>29.02</v>
      </c>
      <c r="AB192" s="91">
        <f>IFERROR(SUMIF('3店辅助表'!K:K,B:B,'3店辅助表'!N:N)/SUMIF('3店辅助表'!K:K,B:B,'3店辅助表'!O:O),"-")</f>
        <v>0.593533487297921</v>
      </c>
      <c r="AC192" s="91">
        <f>IFERROR(VLOOKUP(B:B,'[1]3店'!$B:$AB,27,0),"-")</f>
        <v>0.294842186297152</v>
      </c>
      <c r="AD192" s="92">
        <f t="shared" si="79"/>
        <v>0.298691301000769</v>
      </c>
      <c r="AE192" s="91">
        <f>IFERROR(SUMIF('3店辅助表'!T:T,B:B,'3店辅助表'!W:W)/SUMIF('3店辅助表'!T:T,B:B,'3店辅助表'!X:X),"-")</f>
        <v>0.596997690531178</v>
      </c>
      <c r="AF192" s="91">
        <f>IFERROR(SUMIF('3店辅助表'!AC:AC,B:B,'3店辅助表'!AF:AF)/SUMIF('3店辅助表'!AC:AC,B:B,'3店辅助表'!AG:AG),"-")</f>
        <v>0.744675391326661</v>
      </c>
      <c r="AG192" s="99">
        <f>IFERROR(AK192/((SUMIF('3店辅助表'!AT:AT,B:B,'3店辅助表'!AU:AU)+M192)/2),"-")</f>
        <v>0.0246913580246914</v>
      </c>
      <c r="AH192" s="99">
        <f>IFERROR(AL192/((SUMIF('3店辅助表'!AW:AW,B:B,'3店辅助表'!AX:AX)+M192)/2),"-")</f>
        <v>0.0459770114942529</v>
      </c>
      <c r="AI192" s="100">
        <f>IFERROR((SUMIF('3店辅助表'!AP:AP,B:B,'3店辅助表'!AR:AR)-SUMIF('3店辅助表'!AP:AP,B:B,'3店辅助表'!AR:AR)*0.15-(L192+IFERROR(VLOOKUP(B:B,'3店辅助表'!AZ:BA,2,0),0))*O192-IF(AN:AN="US",6.85,4.9)*(Z192+4.27*O192))/SUMIF('3店辅助表'!AP:AP,B:B,'3店辅助表'!AR:AR),"-")</f>
        <v>-0.311952203547928</v>
      </c>
      <c r="AJ192" s="100">
        <f t="shared" si="80"/>
        <v>-0.0143426300481806</v>
      </c>
      <c r="AK192" s="101">
        <f t="shared" si="81"/>
        <v>13.9</v>
      </c>
      <c r="AL192" s="101">
        <f t="shared" si="82"/>
        <v>27.8</v>
      </c>
      <c r="AM192" s="1" t="str">
        <f>VLOOKUP(B:B,'3店辅助表'!AZ:AZ,1,FALSE)</f>
        <v>Y3085-BL+Y3086+Y3087</v>
      </c>
      <c r="AN192" t="str">
        <f>VLOOKUP(B:B,'3店辅助表'!AZ:BB,3,FALSE)</f>
        <v>US</v>
      </c>
    </row>
    <row r="193" customHeight="1" spans="1:40">
      <c r="A193" s="58" t="str">
        <f>INDEX('[1]3店'!$A:$A,MATCH(B:B,'[1]3店'!$B:$B,0))</f>
        <v>欣彤</v>
      </c>
      <c r="B193" s="43" t="s">
        <v>1121</v>
      </c>
      <c r="C193" s="43" t="s">
        <v>1119</v>
      </c>
      <c r="D193" s="59">
        <f>VLOOKUP(B:B,'[1]3店'!$B:$L,3,0)</f>
        <v>45052</v>
      </c>
      <c r="E193" s="43" t="s">
        <v>1122</v>
      </c>
      <c r="F193" s="43">
        <v>26</v>
      </c>
      <c r="G193" s="43">
        <v>0</v>
      </c>
      <c r="H193" s="43">
        <v>0</v>
      </c>
      <c r="I193" s="43">
        <v>0</v>
      </c>
      <c r="J193" s="43">
        <v>0</v>
      </c>
      <c r="K193" s="63">
        <f t="shared" si="71"/>
        <v>26</v>
      </c>
      <c r="L193" s="124">
        <f>VLOOKUP($B:$B,'[1]3店'!$B:$L,11,0)</f>
        <v>13.9</v>
      </c>
      <c r="M193" s="44">
        <f t="shared" si="72"/>
        <v>361.4</v>
      </c>
      <c r="N193" s="65">
        <f>IFERROR(VLOOKUP(B:B,'3店辅助表'!B:C,2,FALSE),0)</f>
        <v>0</v>
      </c>
      <c r="O193" s="65">
        <f>IFERROR(VLOOKUP(B:B,'3店辅助表'!E:F,2,FALSE),0)</f>
        <v>0</v>
      </c>
      <c r="P193" s="65">
        <f>IFERROR(VLOOKUP(B:B,'3店辅助表'!H:I,2,FALSE),0)</f>
        <v>1</v>
      </c>
      <c r="Q193" s="65">
        <f>IFERROR(VLOOKUP(B:B,'[1]3店'!$B:$N,13,FALSE),0)</f>
        <v>0</v>
      </c>
      <c r="R193" s="79">
        <f t="shared" si="73"/>
        <v>0</v>
      </c>
      <c r="S193" s="80">
        <f t="shared" si="74"/>
        <v>2340</v>
      </c>
      <c r="T193" s="44">
        <f t="shared" si="75"/>
        <v>78</v>
      </c>
      <c r="U193" s="44">
        <f>IFERROR(VLOOKUP($B:$B,'[1]3店'!$B:$T,19,0),"-")</f>
        <v>75</v>
      </c>
      <c r="V193" s="81">
        <f t="shared" si="76"/>
        <v>3</v>
      </c>
      <c r="W193" s="82" t="str">
        <f t="shared" si="77"/>
        <v>有库存无销量</v>
      </c>
      <c r="X193" s="83" t="str">
        <f t="shared" si="78"/>
        <v>库存过高</v>
      </c>
      <c r="Y193" s="44">
        <f>IFERROR(SUMIF('3店辅助表'!K:K,B:B,'3店辅助表'!N:N),0)</f>
        <v>0</v>
      </c>
      <c r="Z193" s="44">
        <f>IFERROR(SUMIF('3店辅助表'!T:T,B:B,'3店辅助表'!W:W),0)</f>
        <v>0</v>
      </c>
      <c r="AA193" s="44">
        <f>IFERROR(SUMIF('3店辅助表'!AC:AC,B:B,'3店辅助表'!AF:AF),0)</f>
        <v>0</v>
      </c>
      <c r="AB193" s="91" t="str">
        <f>IFERROR(SUMIF('3店辅助表'!K:K,B:B,'3店辅助表'!N:N)/SUMIF('3店辅助表'!K:K,B:B,'3店辅助表'!O:O),"-")</f>
        <v>-</v>
      </c>
      <c r="AC193" s="91" t="str">
        <f>IFERROR(VLOOKUP(B:B,'[1]3店'!$B:$AB,27,0),"-")</f>
        <v>-</v>
      </c>
      <c r="AD193" s="92" t="str">
        <f t="shared" si="79"/>
        <v>-</v>
      </c>
      <c r="AE193" s="91" t="str">
        <f>IFERROR(SUMIF('3店辅助表'!T:T,B:B,'3店辅助表'!W:W)/SUMIF('3店辅助表'!T:T,B:B,'3店辅助表'!X:X),"-")</f>
        <v>-</v>
      </c>
      <c r="AF193" s="91" t="str">
        <f>IFERROR(SUMIF('3店辅助表'!AC:AC,B:B,'3店辅助表'!AF:AF)/SUMIF('3店辅助表'!AC:AC,B:B,'3店辅助表'!AG:AG),"-")</f>
        <v>-</v>
      </c>
      <c r="AG193" s="99">
        <f>IFERROR(AK193/((SUMIF('3店辅助表'!AT:AT,B:B,'3店辅助表'!AU:AU)+M193)/2),"-")</f>
        <v>0</v>
      </c>
      <c r="AH193" s="99">
        <f>IFERROR(AL193/((SUMIF('3店辅助表'!AW:AW,B:B,'3店辅助表'!AX:AX)+M193)/2),"-")</f>
        <v>0</v>
      </c>
      <c r="AI193" s="100" t="str">
        <f>IFERROR((SUMIF('3店辅助表'!AP:AP,B:B,'3店辅助表'!AR:AR)-SUMIF('3店辅助表'!AP:AP,B:B,'3店辅助表'!AR:AR)*0.15-(L193+IFERROR(VLOOKUP(B:B,'3店辅助表'!AZ:BA,2,0),0))*O193-IF(AN:AN="US",6.85,4.9)*(Z193+4.27*O193))/SUMIF('3店辅助表'!AP:AP,B:B,'3店辅助表'!AR:AR),"-")</f>
        <v>-</v>
      </c>
      <c r="AJ193" s="100" t="str">
        <f t="shared" si="80"/>
        <v>-</v>
      </c>
      <c r="AK193" s="101">
        <f t="shared" si="81"/>
        <v>0</v>
      </c>
      <c r="AL193" s="101">
        <f t="shared" si="82"/>
        <v>0</v>
      </c>
      <c r="AM193" s="1" t="str">
        <f>VLOOKUP(B:B,'3店辅助表'!AZ:AZ,1,FALSE)</f>
        <v>Y3085-BY+Y3086+Y3087</v>
      </c>
      <c r="AN193" t="str">
        <f>VLOOKUP(B:B,'3店辅助表'!AZ:BB,3,FALSE)</f>
        <v>US</v>
      </c>
    </row>
    <row r="194" customHeight="1" spans="1:40">
      <c r="A194" s="58" t="str">
        <f>INDEX('[1]3店'!$A:$A,MATCH(B:B,'[1]3店'!$B:$B,0))</f>
        <v>欣彤</v>
      </c>
      <c r="B194" s="43" t="s">
        <v>1123</v>
      </c>
      <c r="C194" s="43" t="s">
        <v>1119</v>
      </c>
      <c r="D194" s="59">
        <f>VLOOKUP(B:B,'[1]3店'!$B:$L,3,0)</f>
        <v>45052</v>
      </c>
      <c r="E194" s="43" t="s">
        <v>1124</v>
      </c>
      <c r="F194" s="43">
        <v>25</v>
      </c>
      <c r="G194" s="43">
        <v>1</v>
      </c>
      <c r="H194" s="43">
        <v>1</v>
      </c>
      <c r="I194" s="43">
        <v>0</v>
      </c>
      <c r="J194" s="43">
        <v>0</v>
      </c>
      <c r="K194" s="63">
        <f t="shared" si="71"/>
        <v>27</v>
      </c>
      <c r="L194" s="124">
        <f>VLOOKUP($B:$B,'[1]3店'!$B:$L,11,0)</f>
        <v>13.9</v>
      </c>
      <c r="M194" s="44">
        <f t="shared" si="72"/>
        <v>375.3</v>
      </c>
      <c r="N194" s="65">
        <f>IFERROR(VLOOKUP(B:B,'3店辅助表'!B:C,2,FALSE),0)</f>
        <v>1</v>
      </c>
      <c r="O194" s="65">
        <f>IFERROR(VLOOKUP(B:B,'3店辅助表'!E:F,2,FALSE),0)</f>
        <v>2</v>
      </c>
      <c r="P194" s="65">
        <f>IFERROR(VLOOKUP(B:B,'3店辅助表'!H:I,2,FALSE),0)</f>
        <v>3</v>
      </c>
      <c r="Q194" s="65">
        <f>IFERROR(VLOOKUP(B:B,'[1]3店'!$B:$N,13,FALSE),0)</f>
        <v>1</v>
      </c>
      <c r="R194" s="79">
        <f t="shared" si="73"/>
        <v>0</v>
      </c>
      <c r="S194" s="80">
        <f t="shared" si="74"/>
        <v>215.316455696203</v>
      </c>
      <c r="T194" s="44">
        <f t="shared" si="75"/>
        <v>7.17721518987342</v>
      </c>
      <c r="U194" s="44">
        <f>IFERROR(VLOOKUP($B:$B,'[1]3店'!$B:$T,19,0),"-")</f>
        <v>8.72307692307692</v>
      </c>
      <c r="V194" s="81">
        <f t="shared" si="76"/>
        <v>-1.5458617332035</v>
      </c>
      <c r="W194" s="82" t="str">
        <f t="shared" si="77"/>
        <v>库存过高</v>
      </c>
      <c r="X194" s="83" t="str">
        <f t="shared" si="78"/>
        <v>库存过高</v>
      </c>
      <c r="Y194" s="44">
        <f>IFERROR(SUMIF('3店辅助表'!K:K,B:B,'3店辅助表'!N:N),0)</f>
        <v>2.43</v>
      </c>
      <c r="Z194" s="44">
        <f>IFERROR(SUMIF('3店辅助表'!T:T,B:B,'3店辅助表'!W:W),0)</f>
        <v>10.61</v>
      </c>
      <c r="AA194" s="44">
        <f>IFERROR(SUMIF('3店辅助表'!AC:AC,B:B,'3店辅助表'!AF:AF),0)</f>
        <v>19.55</v>
      </c>
      <c r="AB194" s="91">
        <f>IFERROR(SUMIF('3店辅助表'!K:K,B:B,'3店辅助表'!N:N)/SUMIF('3店辅助表'!K:K,B:B,'3店辅助表'!O:O),"-")</f>
        <v>0.187066974595843</v>
      </c>
      <c r="AC194" s="91">
        <f>IFERROR(VLOOKUP(B:B,'[1]3店'!$B:$AB,27,0),"-")</f>
        <v>0.299808429118774</v>
      </c>
      <c r="AD194" s="92">
        <f t="shared" si="79"/>
        <v>-0.112741454522931</v>
      </c>
      <c r="AE194" s="91">
        <f>IFERROR(SUMIF('3店辅助表'!T:T,B:B,'3店辅助表'!W:W)/SUMIF('3店辅助表'!T:T,B:B,'3店辅助表'!X:X),"-")</f>
        <v>0.313256569235311</v>
      </c>
      <c r="AF194" s="91">
        <f>IFERROR(SUMIF('3店辅助表'!AC:AC,B:B,'3店辅助表'!AF:AF)/SUMIF('3店辅助表'!AC:AC,B:B,'3店辅助表'!AG:AG),"-")</f>
        <v>0.326649958228906</v>
      </c>
      <c r="AG194" s="99">
        <f>IFERROR(AK194/((SUMIF('3店辅助表'!AT:AT,B:B,'3店辅助表'!AU:AU)+M194)/2),"-")</f>
        <v>0.037037037037037</v>
      </c>
      <c r="AH194" s="99">
        <f>IFERROR(AL194/((SUMIF('3店辅助表'!AW:AW,B:B,'3店辅助表'!AX:AX)+M194)/2),"-")</f>
        <v>0.0740740740740741</v>
      </c>
      <c r="AI194" s="100">
        <f>IFERROR((SUMIF('3店辅助表'!AP:AP,B:B,'3店辅助表'!AR:AR)-SUMIF('3店辅助表'!AP:AP,B:B,'3店辅助表'!AR:AR)*0.15-(L194+IFERROR(VLOOKUP(B:B,'3店辅助表'!AZ:BA,2,0),0))*O194-IF(AN:AN="US",6.85,4.9)*(Z194+4.27*O194))/SUMIF('3店辅助表'!AP:AP,B:B,'3店辅助表'!AR:AR),"-")</f>
        <v>-0.123345583070638</v>
      </c>
      <c r="AJ194" s="100">
        <f t="shared" si="80"/>
        <v>-0.00913670985708431</v>
      </c>
      <c r="AK194" s="101">
        <f t="shared" si="81"/>
        <v>13.9</v>
      </c>
      <c r="AL194" s="101">
        <f t="shared" si="82"/>
        <v>27.8</v>
      </c>
      <c r="AM194" s="1" t="str">
        <f>VLOOKUP(B:B,'3店辅助表'!AZ:AZ,1,FALSE)</f>
        <v>Y3085-DB+Y3086+Y3087</v>
      </c>
      <c r="AN194" t="str">
        <f>VLOOKUP(B:B,'3店辅助表'!AZ:BB,3,FALSE)</f>
        <v>US</v>
      </c>
    </row>
    <row r="195" customHeight="1" spans="1:40">
      <c r="A195" s="58" t="str">
        <f>INDEX('[1]3店'!$A:$A,MATCH(B:B,'[1]3店'!$B:$B,0))</f>
        <v>欣彤</v>
      </c>
      <c r="B195" s="43" t="s">
        <v>1125</v>
      </c>
      <c r="C195" s="43" t="s">
        <v>1119</v>
      </c>
      <c r="D195" s="59">
        <f>VLOOKUP(B:B,'[1]3店'!$B:$L,3,0)</f>
        <v>45052</v>
      </c>
      <c r="E195" s="43" t="s">
        <v>1126</v>
      </c>
      <c r="F195" s="43">
        <v>28</v>
      </c>
      <c r="G195" s="43">
        <v>0</v>
      </c>
      <c r="H195" s="43">
        <v>0</v>
      </c>
      <c r="I195" s="43">
        <v>0</v>
      </c>
      <c r="J195" s="43">
        <v>0</v>
      </c>
      <c r="K195" s="63">
        <f t="shared" si="71"/>
        <v>28</v>
      </c>
      <c r="L195" s="124">
        <f>VLOOKUP($B:$B,'[1]3店'!$B:$L,11,0)</f>
        <v>13.9</v>
      </c>
      <c r="M195" s="44">
        <f t="shared" si="72"/>
        <v>389.2</v>
      </c>
      <c r="N195" s="65">
        <f>IFERROR(VLOOKUP(B:B,'3店辅助表'!B:C,2,FALSE),0)</f>
        <v>1</v>
      </c>
      <c r="O195" s="65">
        <f>IFERROR(VLOOKUP(B:B,'3店辅助表'!E:F,2,FALSE),0)</f>
        <v>1</v>
      </c>
      <c r="P195" s="65">
        <f>IFERROR(VLOOKUP(B:B,'3店辅助表'!H:I,2,FALSE),0)</f>
        <v>2</v>
      </c>
      <c r="Q195" s="65">
        <f>IFERROR(VLOOKUP(B:B,'[1]3店'!$B:$N,13,FALSE),0)</f>
        <v>0</v>
      </c>
      <c r="R195" s="79">
        <f t="shared" si="73"/>
        <v>1</v>
      </c>
      <c r="S195" s="80">
        <f t="shared" si="74"/>
        <v>304.137931034483</v>
      </c>
      <c r="T195" s="44">
        <f t="shared" si="75"/>
        <v>10.1379310344828</v>
      </c>
      <c r="U195" s="44">
        <f>IFERROR(VLOOKUP($B:$B,'[1]3店'!$B:$T,19,0),"-")</f>
        <v>42</v>
      </c>
      <c r="V195" s="81">
        <f t="shared" si="76"/>
        <v>-31.8620689655172</v>
      </c>
      <c r="W195" s="82" t="str">
        <f t="shared" si="77"/>
        <v>库存过高</v>
      </c>
      <c r="X195" s="83" t="str">
        <f t="shared" si="78"/>
        <v>库存过高</v>
      </c>
      <c r="Y195" s="44">
        <f>IFERROR(SUMIF('3店辅助表'!K:K,B:B,'3店辅助表'!N:N),0)</f>
        <v>0</v>
      </c>
      <c r="Z195" s="44">
        <f>IFERROR(SUMIF('3店辅助表'!T:T,B:B,'3店辅助表'!W:W),0)</f>
        <v>0</v>
      </c>
      <c r="AA195" s="44">
        <f>IFERROR(SUMIF('3店辅助表'!AC:AC,B:B,'3店辅助表'!AF:AF),0)</f>
        <v>0</v>
      </c>
      <c r="AB195" s="91" t="str">
        <f>IFERROR(SUMIF('3店辅助表'!K:K,B:B,'3店辅助表'!N:N)/SUMIF('3店辅助表'!K:K,B:B,'3店辅助表'!O:O),"-")</f>
        <v>-</v>
      </c>
      <c r="AC195" s="91" t="str">
        <f>IFERROR(VLOOKUP(B:B,'[1]3店'!$B:$AB,27,0),"-")</f>
        <v>-</v>
      </c>
      <c r="AD195" s="92" t="str">
        <f t="shared" si="79"/>
        <v>-</v>
      </c>
      <c r="AE195" s="91" t="str">
        <f>IFERROR(SUMIF('3店辅助表'!T:T,B:B,'3店辅助表'!W:W)/SUMIF('3店辅助表'!T:T,B:B,'3店辅助表'!X:X),"-")</f>
        <v>-</v>
      </c>
      <c r="AF195" s="91" t="str">
        <f>IFERROR(SUMIF('3店辅助表'!AC:AC,B:B,'3店辅助表'!AF:AF)/SUMIF('3店辅助表'!AC:AC,B:B,'3店辅助表'!AG:AG),"-")</f>
        <v>-</v>
      </c>
      <c r="AG195" s="99">
        <f>IFERROR(AK195/((SUMIF('3店辅助表'!AT:AT,B:B,'3店辅助表'!AU:AU)+M195)/2),"-")</f>
        <v>0.0357142857142857</v>
      </c>
      <c r="AH195" s="99">
        <f>IFERROR(AL195/((SUMIF('3店辅助表'!AW:AW,B:B,'3店辅助表'!AX:AX)+M195)/2),"-")</f>
        <v>0.0363636363636364</v>
      </c>
      <c r="AI195" s="100">
        <f>IFERROR((SUMIF('3店辅助表'!AP:AP,B:B,'3店辅助表'!AR:AR)-SUMIF('3店辅助表'!AP:AP,B:B,'3店辅助表'!AR:AR)*0.15-(L195+IFERROR(VLOOKUP(B:B,'3店辅助表'!AZ:BA,2,0),0))*O195-IF(AN:AN="US",6.85,4.9)*(Z195+4.27*O195))/SUMIF('3店辅助表'!AP:AP,B:B,'3店辅助表'!AR:AR),"-")</f>
        <v>0.285045486983249</v>
      </c>
      <c r="AJ195" s="100">
        <f t="shared" si="80"/>
        <v>0.0103652904357545</v>
      </c>
      <c r="AK195" s="101">
        <f t="shared" si="81"/>
        <v>13.9</v>
      </c>
      <c r="AL195" s="101">
        <f t="shared" si="82"/>
        <v>13.9</v>
      </c>
      <c r="AM195" s="1" t="str">
        <f>VLOOKUP(B:B,'3店辅助表'!AZ:AZ,1,FALSE)</f>
        <v>Y3085-GK+Y3086+Y3087</v>
      </c>
      <c r="AN195" t="str">
        <f>VLOOKUP(B:B,'3店辅助表'!AZ:BB,3,FALSE)</f>
        <v>US</v>
      </c>
    </row>
    <row r="196" customHeight="1" spans="1:40">
      <c r="A196" s="58" t="str">
        <f>INDEX('[1]3店'!$A:$A,MATCH(B:B,'[1]3店'!$B:$B,0))</f>
        <v>欣彤</v>
      </c>
      <c r="B196" s="43" t="s">
        <v>1127</v>
      </c>
      <c r="C196" s="43" t="s">
        <v>1119</v>
      </c>
      <c r="D196" s="59">
        <f>VLOOKUP(B:B,'[1]3店'!$B:$L,3,0)</f>
        <v>45052</v>
      </c>
      <c r="E196" s="43" t="s">
        <v>1128</v>
      </c>
      <c r="F196" s="43">
        <v>33</v>
      </c>
      <c r="G196" s="43">
        <v>0</v>
      </c>
      <c r="H196" s="43">
        <v>0</v>
      </c>
      <c r="I196" s="43">
        <v>0</v>
      </c>
      <c r="J196" s="43">
        <v>0</v>
      </c>
      <c r="K196" s="63">
        <f t="shared" si="71"/>
        <v>33</v>
      </c>
      <c r="L196" s="124">
        <f>VLOOKUP($B:$B,'[1]3店'!$B:$L,11,0)</f>
        <v>13.9</v>
      </c>
      <c r="M196" s="44">
        <f t="shared" si="72"/>
        <v>458.7</v>
      </c>
      <c r="N196" s="65">
        <f>IFERROR(VLOOKUP(B:B,'3店辅助表'!B:C,2,FALSE),0)</f>
        <v>0</v>
      </c>
      <c r="O196" s="65">
        <f>IFERROR(VLOOKUP(B:B,'3店辅助表'!E:F,2,FALSE),0)</f>
        <v>0</v>
      </c>
      <c r="P196" s="65">
        <f>IFERROR(VLOOKUP(B:B,'3店辅助表'!H:I,2,FALSE),0)</f>
        <v>1</v>
      </c>
      <c r="Q196" s="65">
        <f>IFERROR(VLOOKUP(B:B,'[1]3店'!$B:$N,13,FALSE),0)</f>
        <v>0</v>
      </c>
      <c r="R196" s="79">
        <f t="shared" si="73"/>
        <v>0</v>
      </c>
      <c r="S196" s="80">
        <f t="shared" si="74"/>
        <v>2970</v>
      </c>
      <c r="T196" s="44">
        <f t="shared" si="75"/>
        <v>99</v>
      </c>
      <c r="U196" s="44">
        <f>IFERROR(VLOOKUP($B:$B,'[1]3店'!$B:$T,19,0),"-")</f>
        <v>99</v>
      </c>
      <c r="V196" s="81">
        <f t="shared" si="76"/>
        <v>0</v>
      </c>
      <c r="W196" s="82" t="str">
        <f t="shared" si="77"/>
        <v>有库存无销量</v>
      </c>
      <c r="X196" s="83" t="str">
        <f t="shared" si="78"/>
        <v>库存过高</v>
      </c>
      <c r="Y196" s="44">
        <f>IFERROR(SUMIF('3店辅助表'!K:K,B:B,'3店辅助表'!N:N),0)</f>
        <v>0</v>
      </c>
      <c r="Z196" s="44">
        <f>IFERROR(SUMIF('3店辅助表'!T:T,B:B,'3店辅助表'!W:W),0)</f>
        <v>0</v>
      </c>
      <c r="AA196" s="44">
        <f>IFERROR(SUMIF('3店辅助表'!AC:AC,B:B,'3店辅助表'!AF:AF),0)</f>
        <v>0</v>
      </c>
      <c r="AB196" s="91" t="str">
        <f>IFERROR(SUMIF('3店辅助表'!K:K,B:B,'3店辅助表'!N:N)/SUMIF('3店辅助表'!K:K,B:B,'3店辅助表'!O:O),"-")</f>
        <v>-</v>
      </c>
      <c r="AC196" s="91" t="str">
        <f>IFERROR(VLOOKUP(B:B,'[1]3店'!$B:$AB,27,0),"-")</f>
        <v>-</v>
      </c>
      <c r="AD196" s="92" t="str">
        <f t="shared" si="79"/>
        <v>-</v>
      </c>
      <c r="AE196" s="91" t="str">
        <f>IFERROR(SUMIF('3店辅助表'!T:T,B:B,'3店辅助表'!W:W)/SUMIF('3店辅助表'!T:T,B:B,'3店辅助表'!X:X),"-")</f>
        <v>-</v>
      </c>
      <c r="AF196" s="91" t="str">
        <f>IFERROR(SUMIF('3店辅助表'!AC:AC,B:B,'3店辅助表'!AF:AF)/SUMIF('3店辅助表'!AC:AC,B:B,'3店辅助表'!AG:AG),"-")</f>
        <v>-</v>
      </c>
      <c r="AG196" s="99">
        <f>IFERROR(AK196/((SUMIF('3店辅助表'!AT:AT,B:B,'3店辅助表'!AU:AU)+M196)/2),"-")</f>
        <v>0</v>
      </c>
      <c r="AH196" s="99">
        <f>IFERROR(AL196/((SUMIF('3店辅助表'!AW:AW,B:B,'3店辅助表'!AX:AX)+M196)/2),"-")</f>
        <v>0</v>
      </c>
      <c r="AI196" s="100" t="str">
        <f>IFERROR((SUMIF('3店辅助表'!AP:AP,B:B,'3店辅助表'!AR:AR)-SUMIF('3店辅助表'!AP:AP,B:B,'3店辅助表'!AR:AR)*0.15-(L196+IFERROR(VLOOKUP(B:B,'3店辅助表'!AZ:BA,2,0),0))*O196-IF(AN:AN="US",6.85,4.9)*(Z196+4.27*O196))/SUMIF('3店辅助表'!AP:AP,B:B,'3店辅助表'!AR:AR),"-")</f>
        <v>-</v>
      </c>
      <c r="AJ196" s="100" t="str">
        <f t="shared" si="80"/>
        <v>-</v>
      </c>
      <c r="AK196" s="101">
        <f t="shared" si="81"/>
        <v>0</v>
      </c>
      <c r="AL196" s="101">
        <f t="shared" si="82"/>
        <v>0</v>
      </c>
      <c r="AM196" s="1" t="str">
        <f>VLOOKUP(B:B,'3店辅助表'!AZ:AZ,1,FALSE)</f>
        <v>Y3085-OR+Y3086+Y3087</v>
      </c>
      <c r="AN196" t="str">
        <f>VLOOKUP(B:B,'3店辅助表'!AZ:BB,3,FALSE)</f>
        <v>US</v>
      </c>
    </row>
    <row r="197" customHeight="1" spans="1:40">
      <c r="A197" s="58" t="str">
        <f>INDEX('[1]3店'!$A:$A,MATCH(B:B,'[1]3店'!$B:$B,0))</f>
        <v>欣彤</v>
      </c>
      <c r="B197" s="43" t="s">
        <v>1129</v>
      </c>
      <c r="C197" s="43" t="s">
        <v>1130</v>
      </c>
      <c r="D197" s="59"/>
      <c r="E197" s="43" t="s">
        <v>1131</v>
      </c>
      <c r="F197" s="43">
        <v>0</v>
      </c>
      <c r="G197" s="43">
        <v>0</v>
      </c>
      <c r="H197" s="43">
        <v>0</v>
      </c>
      <c r="I197" s="43">
        <v>0</v>
      </c>
      <c r="J197" s="43">
        <v>0</v>
      </c>
      <c r="K197" s="63">
        <f t="shared" si="71"/>
        <v>0</v>
      </c>
      <c r="L197" s="124">
        <f>VLOOKUP($B:$B,'[1]3店'!$B:$L,11,0)</f>
        <v>13.9</v>
      </c>
      <c r="M197" s="44">
        <f t="shared" si="72"/>
        <v>0</v>
      </c>
      <c r="N197" s="65">
        <f>IFERROR(VLOOKUP(B:B,'3店辅助表'!B:C,2,FALSE),0)</f>
        <v>1</v>
      </c>
      <c r="O197" s="65">
        <f>IFERROR(VLOOKUP(B:B,'3店辅助表'!E:F,2,FALSE),0)</f>
        <v>1</v>
      </c>
      <c r="P197" s="65">
        <f>IFERROR(VLOOKUP(B:B,'3店辅助表'!H:I,2,FALSE),0)</f>
        <v>1</v>
      </c>
      <c r="Q197" s="65">
        <f>IFERROR(VLOOKUP(B:B,'[1]3店'!$B:$N,13,FALSE),0)</f>
        <v>0</v>
      </c>
      <c r="R197" s="79">
        <f t="shared" si="73"/>
        <v>1</v>
      </c>
      <c r="S197" s="80">
        <f t="shared" si="74"/>
        <v>0</v>
      </c>
      <c r="T197" s="44">
        <f t="shared" si="75"/>
        <v>0</v>
      </c>
      <c r="U197" s="44" t="str">
        <f>IFERROR(VLOOKUP($B:$B,'[1]3店'!$B:$T,19,0),"-")</f>
        <v>-</v>
      </c>
      <c r="V197" s="81" t="str">
        <f t="shared" si="76"/>
        <v>-</v>
      </c>
      <c r="W197" s="82" t="str">
        <f t="shared" si="77"/>
        <v>无库存有销量</v>
      </c>
      <c r="X197" s="83" t="str">
        <f t="shared" si="78"/>
        <v>无库存有销量</v>
      </c>
      <c r="Y197" s="44">
        <f>IFERROR(SUMIF('3店辅助表'!K:K,B:B,'3店辅助表'!N:N),0)</f>
        <v>0</v>
      </c>
      <c r="Z197" s="44">
        <f>IFERROR(SUMIF('3店辅助表'!T:T,B:B,'3店辅助表'!W:W),0)</f>
        <v>0</v>
      </c>
      <c r="AA197" s="44">
        <f>IFERROR(SUMIF('3店辅助表'!AC:AC,B:B,'3店辅助表'!AF:AF),0)</f>
        <v>0</v>
      </c>
      <c r="AB197" s="91" t="str">
        <f>IFERROR(SUMIF('3店辅助表'!K:K,B:B,'3店辅助表'!N:N)/SUMIF('3店辅助表'!K:K,B:B,'3店辅助表'!O:O),"-")</f>
        <v>-</v>
      </c>
      <c r="AC197" s="91" t="str">
        <f>IFERROR(VLOOKUP(B:B,'[1]3店'!$B:$AB,27,0),"-")</f>
        <v>-</v>
      </c>
      <c r="AD197" s="92" t="str">
        <f t="shared" si="79"/>
        <v>-</v>
      </c>
      <c r="AE197" s="91" t="str">
        <f>IFERROR(SUMIF('3店辅助表'!T:T,B:B,'3店辅助表'!W:W)/SUMIF('3店辅助表'!T:T,B:B,'3店辅助表'!X:X),"-")</f>
        <v>-</v>
      </c>
      <c r="AF197" s="91" t="str">
        <f>IFERROR(SUMIF('3店辅助表'!AC:AC,B:B,'3店辅助表'!AF:AF)/SUMIF('3店辅助表'!AC:AC,B:B,'3店辅助表'!AG:AG),"-")</f>
        <v>-</v>
      </c>
      <c r="AG197" s="99">
        <f>IFERROR(AK197/((SUMIF('3店辅助表'!AT:AT,B:B,'3店辅助表'!AU:AU)+M197)/2),"-")</f>
        <v>2</v>
      </c>
      <c r="AH197" s="99">
        <f>IFERROR(AL197/((SUMIF('3店辅助表'!AW:AW,B:B,'3店辅助表'!AX:AX)+M197)/2),"-")</f>
        <v>2</v>
      </c>
      <c r="AI197" s="100">
        <f>IFERROR((SUMIF('3店辅助表'!AP:AP,B:B,'3店辅助表'!AR:AR)-SUMIF('3店辅助表'!AP:AP,B:B,'3店辅助表'!AR:AR)*0.15-(L197+IFERROR(VLOOKUP(B:B,'3店辅助表'!AZ:BA,2,0),0))*O197-IF(AN:AN="US",6.85,4.9)*(Z197+4.27*O197))/SUMIF('3店辅助表'!AP:AP,B:B,'3店辅助表'!AR:AR),"-")</f>
        <v>0.523066459118241</v>
      </c>
      <c r="AJ197" s="100">
        <f t="shared" si="80"/>
        <v>1.04613291823648</v>
      </c>
      <c r="AK197" s="101">
        <f t="shared" si="81"/>
        <v>13.9</v>
      </c>
      <c r="AL197" s="101">
        <f t="shared" si="82"/>
        <v>13.9</v>
      </c>
      <c r="AM197" s="1" t="str">
        <f>VLOOKUP(B:B,'3店辅助表'!AZ:AZ,1,FALSE)</f>
        <v>Y3022-BL+Y3023+Y3024</v>
      </c>
      <c r="AN197" t="str">
        <f>VLOOKUP(B:B,'3店辅助表'!AZ:BB,3,FALSE)</f>
        <v>US</v>
      </c>
    </row>
    <row r="198" customHeight="1" spans="1:40">
      <c r="A198" s="58" t="str">
        <f>INDEX('[1]3店'!$A:$A,MATCH(B:B,'[1]3店'!$B:$B,0))</f>
        <v>欣彤</v>
      </c>
      <c r="B198" s="43" t="s">
        <v>1132</v>
      </c>
      <c r="C198" s="43" t="s">
        <v>1133</v>
      </c>
      <c r="D198" s="59">
        <f>VLOOKUP(B:B,'[1]3店'!$B:$L,3,0)</f>
        <v>44800</v>
      </c>
      <c r="E198" s="43" t="s">
        <v>1134</v>
      </c>
      <c r="F198" s="43">
        <v>3</v>
      </c>
      <c r="G198" s="43">
        <v>0</v>
      </c>
      <c r="H198" s="43">
        <v>0</v>
      </c>
      <c r="I198" s="43">
        <v>1</v>
      </c>
      <c r="J198" s="43">
        <v>0</v>
      </c>
      <c r="K198" s="63">
        <f t="shared" si="71"/>
        <v>4</v>
      </c>
      <c r="L198" s="124">
        <f>VLOOKUP($B:$B,'[1]3店'!$B:$L,11,0)</f>
        <v>13.7</v>
      </c>
      <c r="M198" s="44">
        <f t="shared" si="72"/>
        <v>54.8</v>
      </c>
      <c r="N198" s="65">
        <f>IFERROR(VLOOKUP(B:B,'3店辅助表'!B:C,2,FALSE),0)</f>
        <v>0</v>
      </c>
      <c r="O198" s="65">
        <f>IFERROR(VLOOKUP(B:B,'3店辅助表'!E:F,2,FALSE),0)</f>
        <v>1</v>
      </c>
      <c r="P198" s="65">
        <f>IFERROR(VLOOKUP(B:B,'3店辅助表'!H:I,2,FALSE),0)</f>
        <v>2</v>
      </c>
      <c r="Q198" s="65">
        <f>IFERROR(VLOOKUP(B:B,'[1]3店'!$B:$N,13,FALSE),0)</f>
        <v>1</v>
      </c>
      <c r="R198" s="79">
        <f t="shared" si="73"/>
        <v>-1</v>
      </c>
      <c r="S198" s="80">
        <f t="shared" si="74"/>
        <v>90</v>
      </c>
      <c r="T198" s="44">
        <f t="shared" si="75"/>
        <v>3</v>
      </c>
      <c r="U198" s="44">
        <f>IFERROR(VLOOKUP($B:$B,'[1]3店'!$B:$T,19,0),"-")</f>
        <v>1.81034482758621</v>
      </c>
      <c r="V198" s="81">
        <f t="shared" si="76"/>
        <v>1.18965517241379</v>
      </c>
      <c r="W198" s="82" t="str">
        <f t="shared" si="77"/>
        <v>有库存无销量</v>
      </c>
      <c r="X198" s="83" t="str">
        <f t="shared" si="78"/>
        <v>库存过高</v>
      </c>
      <c r="Y198" s="44">
        <f>IFERROR(SUMIF('3店辅助表'!K:K,B:B,'3店辅助表'!N:N),0)</f>
        <v>0.92</v>
      </c>
      <c r="Z198" s="44">
        <f>IFERROR(SUMIF('3店辅助表'!T:T,B:B,'3店辅助表'!W:W),0)</f>
        <v>3.04</v>
      </c>
      <c r="AA198" s="44">
        <f>IFERROR(SUMIF('3店辅助表'!AC:AC,B:B,'3店辅助表'!AF:AF),0)</f>
        <v>5.94</v>
      </c>
      <c r="AB198" s="91" t="str">
        <f>IFERROR(SUMIF('3店辅助表'!K:K,B:B,'3店辅助表'!N:N)/SUMIF('3店辅助表'!K:K,B:B,'3店辅助表'!O:O),"-")</f>
        <v>-</v>
      </c>
      <c r="AC198" s="91" t="str">
        <f>IFERROR(VLOOKUP(B:B,'[1]3店'!$B:$AB,27,0),"-")</f>
        <v>-</v>
      </c>
      <c r="AD198" s="92" t="str">
        <f t="shared" si="79"/>
        <v>-</v>
      </c>
      <c r="AE198" s="91" t="str">
        <f>IFERROR(SUMIF('3店辅助表'!T:T,B:B,'3店辅助表'!W:W)/SUMIF('3店辅助表'!T:T,B:B,'3店辅助表'!X:X),"-")</f>
        <v>-</v>
      </c>
      <c r="AF198" s="91" t="str">
        <f>IFERROR(SUMIF('3店辅助表'!AC:AC,B:B,'3店辅助表'!AF:AF)/SUMIF('3店辅助表'!AC:AC,B:B,'3店辅助表'!AG:AG),"-")</f>
        <v>-</v>
      </c>
      <c r="AG198" s="99">
        <f>IFERROR(AK198/((SUMIF('3店辅助表'!AT:AT,B:B,'3店辅助表'!AU:AU)+M198)/2),"-")</f>
        <v>0</v>
      </c>
      <c r="AH198" s="99">
        <f>IFERROR(AL198/((SUMIF('3店辅助表'!AW:AW,B:B,'3店辅助表'!AX:AX)+M198)/2),"-")</f>
        <v>0.0645161290322581</v>
      </c>
      <c r="AI198" s="100">
        <f>IFERROR((SUMIF('3店辅助表'!AP:AP,B:B,'3店辅助表'!AR:AR)-SUMIF('3店辅助表'!AP:AP,B:B,'3店辅助表'!AR:AR)*0.15-(L198+IFERROR(VLOOKUP(B:B,'3店辅助表'!AZ:BA,2,0),0))*O198-IF(AN:AN="US",6.85,4.9)*(Z198+4.27*O198))/SUMIF('3店辅助表'!AP:AP,B:B,'3店辅助表'!AR:AR),"-")</f>
        <v>0.343434789898035</v>
      </c>
      <c r="AJ198" s="100">
        <f t="shared" si="80"/>
        <v>0.0221570832192281</v>
      </c>
      <c r="AK198" s="101">
        <f t="shared" si="81"/>
        <v>0</v>
      </c>
      <c r="AL198" s="101">
        <f t="shared" si="82"/>
        <v>13.7</v>
      </c>
      <c r="AM198" s="1" t="str">
        <f>VLOOKUP(B:B,'3店辅助表'!AZ:AZ,1,FALSE)</f>
        <v>Y3043-BL</v>
      </c>
      <c r="AN198" t="str">
        <f>VLOOKUP(B:B,'3店辅助表'!AZ:BB,3,FALSE)</f>
        <v>US</v>
      </c>
    </row>
    <row r="199" customHeight="1" spans="1:40">
      <c r="A199" s="58" t="str">
        <f>INDEX('[1]3店'!$A:$A,MATCH(B:B,'[1]3店'!$B:$B,0))</f>
        <v>欣彤</v>
      </c>
      <c r="B199" s="43" t="s">
        <v>1135</v>
      </c>
      <c r="C199" s="43" t="s">
        <v>1136</v>
      </c>
      <c r="D199" s="59">
        <f>VLOOKUP(B:B,'[1]3店'!$B:$L,3,0)</f>
        <v>45070</v>
      </c>
      <c r="E199" s="43" t="s">
        <v>1137</v>
      </c>
      <c r="F199" s="43">
        <v>15</v>
      </c>
      <c r="G199" s="43">
        <v>0</v>
      </c>
      <c r="H199" s="43">
        <v>0</v>
      </c>
      <c r="I199" s="43">
        <v>0</v>
      </c>
      <c r="J199" s="43">
        <v>0</v>
      </c>
      <c r="K199" s="63">
        <f t="shared" si="71"/>
        <v>15</v>
      </c>
      <c r="L199" s="124">
        <f>VLOOKUP($B:$B,'[1]3店'!$B:$L,11,0)</f>
        <v>12.5</v>
      </c>
      <c r="M199" s="44">
        <f t="shared" si="72"/>
        <v>187.5</v>
      </c>
      <c r="N199" s="65">
        <f>IFERROR(VLOOKUP(B:B,'3店辅助表'!B:C,2,FALSE),0)</f>
        <v>1</v>
      </c>
      <c r="O199" s="65">
        <f>IFERROR(VLOOKUP(B:B,'3店辅助表'!E:F,2,FALSE),0)</f>
        <v>2</v>
      </c>
      <c r="P199" s="65">
        <f>IFERROR(VLOOKUP(B:B,'3店辅助表'!H:I,2,FALSE),0)</f>
        <v>3</v>
      </c>
      <c r="Q199" s="65">
        <f>IFERROR(VLOOKUP(B:B,'[1]3店'!$B:$N,13,FALSE),0)</f>
        <v>1</v>
      </c>
      <c r="R199" s="79">
        <f t="shared" si="73"/>
        <v>0</v>
      </c>
      <c r="S199" s="80">
        <f t="shared" si="74"/>
        <v>119.620253164557</v>
      </c>
      <c r="T199" s="44">
        <f t="shared" si="75"/>
        <v>3.9873417721519</v>
      </c>
      <c r="U199" s="44">
        <f>IFERROR(VLOOKUP($B:$B,'[1]3店'!$B:$T,19,0),"-")</f>
        <v>5.79310344827586</v>
      </c>
      <c r="V199" s="81">
        <f t="shared" si="76"/>
        <v>-1.80576167612396</v>
      </c>
      <c r="W199" s="82" t="str">
        <f t="shared" si="77"/>
        <v>库存过高</v>
      </c>
      <c r="X199" s="83" t="str">
        <f t="shared" si="78"/>
        <v>库存过高</v>
      </c>
      <c r="Y199" s="44">
        <f>IFERROR(SUMIF('3店辅助表'!K:K,B:B,'3店辅助表'!N:N),0)</f>
        <v>6.99</v>
      </c>
      <c r="Z199" s="44">
        <f>IFERROR(SUMIF('3店辅助表'!T:T,B:B,'3店辅助表'!W:W),0)</f>
        <v>17.89</v>
      </c>
      <c r="AA199" s="44">
        <f>IFERROR(SUMIF('3店辅助表'!AC:AC,B:B,'3店辅助表'!AF:AF),0)</f>
        <v>30.72</v>
      </c>
      <c r="AB199" s="91">
        <f>IFERROR(SUMIF('3店辅助表'!K:K,B:B,'3店辅助表'!N:N)/SUMIF('3店辅助表'!K:K,B:B,'3店辅助表'!O:O),"-")</f>
        <v>0.437148217636023</v>
      </c>
      <c r="AC199" s="91">
        <f>IFERROR(VLOOKUP(B:B,'[1]3店'!$B:$AB,27,0),"-")</f>
        <v>0.344051446945338</v>
      </c>
      <c r="AD199" s="92">
        <f t="shared" si="79"/>
        <v>0.093096770690685</v>
      </c>
      <c r="AE199" s="91">
        <f>IFERROR(SUMIF('3店辅助表'!T:T,B:B,'3店辅助表'!W:W)/SUMIF('3店辅助表'!T:T,B:B,'3店辅助表'!X:X),"-")</f>
        <v>0.406775807185084</v>
      </c>
      <c r="AF199" s="91">
        <f>IFERROR(SUMIF('3店辅助表'!AC:AC,B:B,'3店辅助表'!AF:AF)/SUMIF('3店辅助表'!AC:AC,B:B,'3店辅助表'!AG:AG),"-")</f>
        <v>0.426844518549396</v>
      </c>
      <c r="AG199" s="99">
        <f>IFERROR(AK199/((SUMIF('3店辅助表'!AT:AT,B:B,'3店辅助表'!AU:AU)+M199)/2),"-")</f>
        <v>0.0645161290322581</v>
      </c>
      <c r="AH199" s="99">
        <f>IFERROR(AL199/((SUMIF('3店辅助表'!AW:AW,B:B,'3店辅助表'!AX:AX)+M199)/2),"-")</f>
        <v>0.121212121212121</v>
      </c>
      <c r="AI199" s="100">
        <f>IFERROR((SUMIF('3店辅助表'!AP:AP,B:B,'3店辅助表'!AR:AR)-SUMIF('3店辅助表'!AP:AP,B:B,'3店辅助表'!AR:AR)*0.15-(L199+IFERROR(VLOOKUP(B:B,'3店辅助表'!AZ:BA,2,0),0))*O199-IF(AN:AN="US",6.85,4.9)*(Z199+4.27*O199))/SUMIF('3店辅助表'!AP:AP,B:B,'3店辅助表'!AR:AR),"-")</f>
        <v>-0.234919145894756</v>
      </c>
      <c r="AJ199" s="100">
        <f t="shared" si="80"/>
        <v>-0.0284750479872431</v>
      </c>
      <c r="AK199" s="101">
        <f t="shared" si="81"/>
        <v>12.5</v>
      </c>
      <c r="AL199" s="101">
        <f t="shared" si="82"/>
        <v>25</v>
      </c>
      <c r="AM199" s="1" t="str">
        <f>VLOOKUP(B:B,'3店辅助表'!AZ:AZ,1,FALSE)</f>
        <v>Y3088-BL</v>
      </c>
      <c r="AN199" t="str">
        <f>VLOOKUP(B:B,'3店辅助表'!AZ:BB,3,FALSE)</f>
        <v>CA</v>
      </c>
    </row>
    <row r="200" customHeight="1" spans="1:40">
      <c r="A200" s="58" t="str">
        <f>INDEX('[1]3店'!$A:$A,MATCH(B:B,'[1]3店'!$B:$B,0))</f>
        <v>欣彤</v>
      </c>
      <c r="B200" s="43" t="s">
        <v>1138</v>
      </c>
      <c r="C200" s="43" t="s">
        <v>1139</v>
      </c>
      <c r="D200" s="59">
        <f>VLOOKUP(B:B,'[1]3店'!$B:$L,3,0)</f>
        <v>45070</v>
      </c>
      <c r="E200" s="43" t="s">
        <v>1140</v>
      </c>
      <c r="F200" s="43">
        <v>18</v>
      </c>
      <c r="G200" s="43">
        <v>0</v>
      </c>
      <c r="H200" s="43">
        <v>0</v>
      </c>
      <c r="I200" s="43">
        <v>0</v>
      </c>
      <c r="J200" s="43">
        <v>0</v>
      </c>
      <c r="K200" s="63">
        <f t="shared" si="71"/>
        <v>18</v>
      </c>
      <c r="L200" s="124">
        <f>VLOOKUP($B:$B,'[1]3店'!$B:$L,11,0)</f>
        <v>12.5</v>
      </c>
      <c r="M200" s="44">
        <f t="shared" si="72"/>
        <v>225</v>
      </c>
      <c r="N200" s="65">
        <f>IFERROR(VLOOKUP(B:B,'3店辅助表'!B:C,2,FALSE),0)</f>
        <v>0</v>
      </c>
      <c r="O200" s="65">
        <f>IFERROR(VLOOKUP(B:B,'3店辅助表'!E:F,2,FALSE),0)</f>
        <v>0</v>
      </c>
      <c r="P200" s="65">
        <f>IFERROR(VLOOKUP(B:B,'3店辅助表'!H:I,2,FALSE),0)</f>
        <v>1</v>
      </c>
      <c r="Q200" s="65">
        <f>IFERROR(VLOOKUP(B:B,'[1]3店'!$B:$N,13,FALSE),0)</f>
        <v>0</v>
      </c>
      <c r="R200" s="79">
        <f t="shared" si="73"/>
        <v>0</v>
      </c>
      <c r="S200" s="80">
        <f t="shared" si="74"/>
        <v>1620</v>
      </c>
      <c r="T200" s="44">
        <f t="shared" si="75"/>
        <v>54</v>
      </c>
      <c r="U200" s="44">
        <f>IFERROR(VLOOKUP($B:$B,'[1]3店'!$B:$T,19,0),"-")</f>
        <v>54</v>
      </c>
      <c r="V200" s="81">
        <f t="shared" si="76"/>
        <v>0</v>
      </c>
      <c r="W200" s="82" t="str">
        <f t="shared" si="77"/>
        <v>有库存无销量</v>
      </c>
      <c r="X200" s="83" t="str">
        <f t="shared" si="78"/>
        <v>库存过高</v>
      </c>
      <c r="Y200" s="44">
        <f>IFERROR(SUMIF('3店辅助表'!K:K,B:B,'3店辅助表'!N:N),0)</f>
        <v>0</v>
      </c>
      <c r="Z200" s="44">
        <f>IFERROR(SUMIF('3店辅助表'!T:T,B:B,'3店辅助表'!W:W),0)</f>
        <v>0</v>
      </c>
      <c r="AA200" s="44">
        <f>IFERROR(SUMIF('3店辅助表'!AC:AC,B:B,'3店辅助表'!AF:AF),0)</f>
        <v>0</v>
      </c>
      <c r="AB200" s="91" t="str">
        <f>IFERROR(SUMIF('3店辅助表'!K:K,B:B,'3店辅助表'!N:N)/SUMIF('3店辅助表'!K:K,B:B,'3店辅助表'!O:O),"-")</f>
        <v>-</v>
      </c>
      <c r="AC200" s="91" t="str">
        <f>IFERROR(VLOOKUP(B:B,'[1]3店'!$B:$AB,27,0),"-")</f>
        <v>-</v>
      </c>
      <c r="AD200" s="92" t="str">
        <f t="shared" si="79"/>
        <v>-</v>
      </c>
      <c r="AE200" s="91" t="str">
        <f>IFERROR(SUMIF('3店辅助表'!T:T,B:B,'3店辅助表'!W:W)/SUMIF('3店辅助表'!T:T,B:B,'3店辅助表'!X:X),"-")</f>
        <v>-</v>
      </c>
      <c r="AF200" s="91" t="str">
        <f>IFERROR(SUMIF('3店辅助表'!AC:AC,B:B,'3店辅助表'!AF:AF)/SUMIF('3店辅助表'!AC:AC,B:B,'3店辅助表'!AG:AG),"-")</f>
        <v>-</v>
      </c>
      <c r="AG200" s="99">
        <f>IFERROR(AK200/((SUMIF('3店辅助表'!AT:AT,B:B,'3店辅助表'!AU:AU)+M200)/2),"-")</f>
        <v>0</v>
      </c>
      <c r="AH200" s="99">
        <f>IFERROR(AL200/((SUMIF('3店辅助表'!AW:AW,B:B,'3店辅助表'!AX:AX)+M200)/2),"-")</f>
        <v>0</v>
      </c>
      <c r="AI200" s="100" t="str">
        <f>IFERROR((SUMIF('3店辅助表'!AP:AP,B:B,'3店辅助表'!AR:AR)-SUMIF('3店辅助表'!AP:AP,B:B,'3店辅助表'!AR:AR)*0.15-(L200+IFERROR(VLOOKUP(B:B,'3店辅助表'!AZ:BA,2,0),0))*O200-IF(AN:AN="US",6.85,4.9)*(Z200+4.27*O200))/SUMIF('3店辅助表'!AP:AP,B:B,'3店辅助表'!AR:AR),"-")</f>
        <v>-</v>
      </c>
      <c r="AJ200" s="100" t="str">
        <f t="shared" si="80"/>
        <v>-</v>
      </c>
      <c r="AK200" s="101">
        <f t="shared" si="81"/>
        <v>0</v>
      </c>
      <c r="AL200" s="101">
        <f t="shared" si="82"/>
        <v>0</v>
      </c>
      <c r="AM200" s="1" t="str">
        <f>VLOOKUP(B:B,'3店辅助表'!AZ:AZ,1,FALSE)</f>
        <v>Y3088-GN</v>
      </c>
      <c r="AN200" t="str">
        <f>VLOOKUP(B:B,'3店辅助表'!AZ:BB,3,FALSE)</f>
        <v>CA</v>
      </c>
    </row>
    <row r="201" customHeight="1" spans="1:40">
      <c r="A201" s="58" t="str">
        <f>INDEX('[1]3店'!$A:$A,MATCH(B:B,'[1]3店'!$B:$B,0))</f>
        <v>欣彤</v>
      </c>
      <c r="B201" s="43" t="s">
        <v>1141</v>
      </c>
      <c r="C201" s="43" t="s">
        <v>1142</v>
      </c>
      <c r="D201" s="59">
        <f>VLOOKUP(B:B,'[1]3店'!$B:$L,3,0)</f>
        <v>45070</v>
      </c>
      <c r="E201" s="43" t="s">
        <v>1143</v>
      </c>
      <c r="F201" s="43">
        <v>19</v>
      </c>
      <c r="G201" s="43">
        <v>0</v>
      </c>
      <c r="H201" s="43">
        <v>0</v>
      </c>
      <c r="I201" s="43">
        <v>0</v>
      </c>
      <c r="J201" s="43">
        <v>0</v>
      </c>
      <c r="K201" s="63">
        <f t="shared" si="71"/>
        <v>19</v>
      </c>
      <c r="L201" s="124">
        <f>VLOOKUP($B:$B,'[1]3店'!$B:$L,11,0)</f>
        <v>12.5</v>
      </c>
      <c r="M201" s="44">
        <f t="shared" si="72"/>
        <v>237.5</v>
      </c>
      <c r="N201" s="65">
        <f>IFERROR(VLOOKUP(B:B,'3店辅助表'!B:C,2,FALSE),0)</f>
        <v>0</v>
      </c>
      <c r="O201" s="65">
        <f>IFERROR(VLOOKUP(B:B,'3店辅助表'!E:F,2,FALSE),0)</f>
        <v>1</v>
      </c>
      <c r="P201" s="65">
        <f>IFERROR(VLOOKUP(B:B,'3店辅助表'!H:I,2,FALSE),0)</f>
        <v>1</v>
      </c>
      <c r="Q201" s="65">
        <f>IFERROR(VLOOKUP(B:B,'[1]3店'!$B:$N,13,FALSE),0)</f>
        <v>1</v>
      </c>
      <c r="R201" s="79">
        <f t="shared" si="73"/>
        <v>-1</v>
      </c>
      <c r="S201" s="80">
        <f t="shared" si="74"/>
        <v>570</v>
      </c>
      <c r="T201" s="44">
        <f t="shared" si="75"/>
        <v>19</v>
      </c>
      <c r="U201" s="44">
        <f>IFERROR(VLOOKUP($B:$B,'[1]3店'!$B:$T,19,0),"-")</f>
        <v>8.23529411764706</v>
      </c>
      <c r="V201" s="81">
        <f t="shared" si="76"/>
        <v>10.7647058823529</v>
      </c>
      <c r="W201" s="82" t="str">
        <f t="shared" si="77"/>
        <v>有库存无销量</v>
      </c>
      <c r="X201" s="83" t="str">
        <f t="shared" si="78"/>
        <v>库存过高</v>
      </c>
      <c r="Y201" s="44">
        <f>IFERROR(SUMIF('3店辅助表'!K:K,B:B,'3店辅助表'!N:N),0)</f>
        <v>0</v>
      </c>
      <c r="Z201" s="44">
        <f>IFERROR(SUMIF('3店辅助表'!T:T,B:B,'3店辅助表'!W:W),0)</f>
        <v>0</v>
      </c>
      <c r="AA201" s="44">
        <f>IFERROR(SUMIF('3店辅助表'!AC:AC,B:B,'3店辅助表'!AF:AF),0)</f>
        <v>0</v>
      </c>
      <c r="AB201" s="91" t="str">
        <f>IFERROR(SUMIF('3店辅助表'!K:K,B:B,'3店辅助表'!N:N)/SUMIF('3店辅助表'!K:K,B:B,'3店辅助表'!O:O),"-")</f>
        <v>-</v>
      </c>
      <c r="AC201" s="91" t="str">
        <f>IFERROR(VLOOKUP(B:B,'[1]3店'!$B:$AB,27,0),"-")</f>
        <v>-</v>
      </c>
      <c r="AD201" s="92" t="str">
        <f t="shared" si="79"/>
        <v>-</v>
      </c>
      <c r="AE201" s="91" t="str">
        <f>IFERROR(SUMIF('3店辅助表'!T:T,B:B,'3店辅助表'!W:W)/SUMIF('3店辅助表'!T:T,B:B,'3店辅助表'!X:X),"-")</f>
        <v>-</v>
      </c>
      <c r="AF201" s="91" t="str">
        <f>IFERROR(SUMIF('3店辅助表'!AC:AC,B:B,'3店辅助表'!AF:AF)/SUMIF('3店辅助表'!AC:AC,B:B,'3店辅助表'!AG:AG),"-")</f>
        <v>-</v>
      </c>
      <c r="AG201" s="99">
        <f>IFERROR(AK201/((SUMIF('3店辅助表'!AT:AT,B:B,'3店辅助表'!AU:AU)+M201)/2),"-")</f>
        <v>0</v>
      </c>
      <c r="AH201" s="99">
        <f>IFERROR(AL201/((SUMIF('3店辅助表'!AW:AW,B:B,'3店辅助表'!AX:AX)+M201)/2),"-")</f>
        <v>0.0512820512820513</v>
      </c>
      <c r="AI201" s="100">
        <f>IFERROR((SUMIF('3店辅助表'!AP:AP,B:B,'3店辅助表'!AR:AR)-SUMIF('3店辅助表'!AP:AP,B:B,'3店辅助表'!AR:AR)*0.15-(L201+IFERROR(VLOOKUP(B:B,'3店辅助表'!AZ:BA,2,0),0))*O201-IF(AN:AN="US",6.85,4.9)*(Z201+4.27*O201))/SUMIF('3店辅助表'!AP:AP,B:B,'3店辅助表'!AR:AR),"-")</f>
        <v>0.549790741591385</v>
      </c>
      <c r="AJ201" s="100">
        <f t="shared" si="80"/>
        <v>0.0281943970046864</v>
      </c>
      <c r="AK201" s="101">
        <f t="shared" si="81"/>
        <v>0</v>
      </c>
      <c r="AL201" s="101">
        <f t="shared" si="82"/>
        <v>12.5</v>
      </c>
      <c r="AM201" s="1" t="str">
        <f>VLOOKUP(B:B,'3店辅助表'!AZ:AZ,1,FALSE)</f>
        <v>Y3088-GY</v>
      </c>
      <c r="AN201" t="str">
        <f>VLOOKUP(B:B,'3店辅助表'!AZ:BB,3,FALSE)</f>
        <v>CA</v>
      </c>
    </row>
    <row r="202" customHeight="1" spans="1:40">
      <c r="A202" s="58" t="str">
        <f>INDEX('[1]3店'!$A:$A,MATCH(B:B,'[1]3店'!$B:$B,0))</f>
        <v>欣彤</v>
      </c>
      <c r="B202" s="43" t="s">
        <v>1144</v>
      </c>
      <c r="C202" s="43" t="s">
        <v>1139</v>
      </c>
      <c r="D202" s="59">
        <f>VLOOKUP(B:B,'[1]3店'!$B:$L,3,0)</f>
        <v>45070</v>
      </c>
      <c r="E202" s="43" t="s">
        <v>1145</v>
      </c>
      <c r="F202" s="43">
        <v>29</v>
      </c>
      <c r="G202" s="43">
        <v>0</v>
      </c>
      <c r="H202" s="43">
        <v>0</v>
      </c>
      <c r="I202" s="43">
        <v>0</v>
      </c>
      <c r="J202" s="43">
        <v>0</v>
      </c>
      <c r="K202" s="63">
        <f t="shared" si="71"/>
        <v>29</v>
      </c>
      <c r="L202" s="124">
        <f>VLOOKUP($B:$B,'[1]3店'!$B:$L,11,0)</f>
        <v>12.5</v>
      </c>
      <c r="M202" s="44">
        <f t="shared" si="72"/>
        <v>362.5</v>
      </c>
      <c r="N202" s="65">
        <f>IFERROR(VLOOKUP(B:B,'3店辅助表'!B:C,2,FALSE),0)</f>
        <v>0</v>
      </c>
      <c r="O202" s="65">
        <f>IFERROR(VLOOKUP(B:B,'3店辅助表'!E:F,2,FALSE),0)</f>
        <v>0</v>
      </c>
      <c r="P202" s="65">
        <f>IFERROR(VLOOKUP(B:B,'3店辅助表'!H:I,2,FALSE),0)</f>
        <v>0</v>
      </c>
      <c r="Q202" s="65">
        <f>IFERROR(VLOOKUP(B:B,'[1]3店'!$B:$N,13,FALSE),0)</f>
        <v>0</v>
      </c>
      <c r="R202" s="79">
        <f t="shared" si="73"/>
        <v>0</v>
      </c>
      <c r="S202" s="80" t="str">
        <f t="shared" si="74"/>
        <v>-</v>
      </c>
      <c r="T202" s="44" t="str">
        <f t="shared" si="75"/>
        <v>-</v>
      </c>
      <c r="U202" s="44">
        <f>IFERROR(VLOOKUP($B:$B,'[1]3店'!$B:$T,19,0),"-")</f>
        <v>43.5</v>
      </c>
      <c r="V202" s="81" t="str">
        <f t="shared" si="76"/>
        <v>-</v>
      </c>
      <c r="W202" s="82" t="str">
        <f t="shared" si="77"/>
        <v>有库存无销量</v>
      </c>
      <c r="X202" s="83" t="str">
        <f t="shared" si="78"/>
        <v>有库存无销量</v>
      </c>
      <c r="Y202" s="44">
        <f>IFERROR(SUMIF('3店辅助表'!K:K,B:B,'3店辅助表'!N:N),0)</f>
        <v>0</v>
      </c>
      <c r="Z202" s="44">
        <f>IFERROR(SUMIF('3店辅助表'!T:T,B:B,'3店辅助表'!W:W),0)</f>
        <v>0</v>
      </c>
      <c r="AA202" s="44">
        <f>IFERROR(SUMIF('3店辅助表'!AC:AC,B:B,'3店辅助表'!AF:AF),0)</f>
        <v>0</v>
      </c>
      <c r="AB202" s="91" t="str">
        <f>IFERROR(SUMIF('3店辅助表'!K:K,B:B,'3店辅助表'!N:N)/SUMIF('3店辅助表'!K:K,B:B,'3店辅助表'!O:O),"-")</f>
        <v>-</v>
      </c>
      <c r="AC202" s="91" t="str">
        <f>IFERROR(VLOOKUP(B:B,'[1]3店'!$B:$AB,27,0),"-")</f>
        <v>-</v>
      </c>
      <c r="AD202" s="92" t="str">
        <f t="shared" si="79"/>
        <v>-</v>
      </c>
      <c r="AE202" s="91" t="str">
        <f>IFERROR(SUMIF('3店辅助表'!T:T,B:B,'3店辅助表'!W:W)/SUMIF('3店辅助表'!T:T,B:B,'3店辅助表'!X:X),"-")</f>
        <v>-</v>
      </c>
      <c r="AF202" s="91" t="str">
        <f>IFERROR(SUMIF('3店辅助表'!AC:AC,B:B,'3店辅助表'!AF:AF)/SUMIF('3店辅助表'!AC:AC,B:B,'3店辅助表'!AG:AG),"-")</f>
        <v>-</v>
      </c>
      <c r="AG202" s="99">
        <f>IFERROR(AK202/((SUMIF('3店辅助表'!AT:AT,B:B,'3店辅助表'!AU:AU)+M202)/2),"-")</f>
        <v>0</v>
      </c>
      <c r="AH202" s="99">
        <f>IFERROR(AL202/((SUMIF('3店辅助表'!AW:AW,B:B,'3店辅助表'!AX:AX)+M202)/2),"-")</f>
        <v>0</v>
      </c>
      <c r="AI202" s="100" t="str">
        <f>IFERROR((SUMIF('3店辅助表'!AP:AP,B:B,'3店辅助表'!AR:AR)-SUMIF('3店辅助表'!AP:AP,B:B,'3店辅助表'!AR:AR)*0.15-(L202+IFERROR(VLOOKUP(B:B,'3店辅助表'!AZ:BA,2,0),0))*O202-IF(AN:AN="US",6.85,4.9)*(Z202+4.27*O202))/SUMIF('3店辅助表'!AP:AP,B:B,'3店辅助表'!AR:AR),"-")</f>
        <v>-</v>
      </c>
      <c r="AJ202" s="100" t="str">
        <f t="shared" si="80"/>
        <v>-</v>
      </c>
      <c r="AK202" s="101">
        <f t="shared" si="81"/>
        <v>0</v>
      </c>
      <c r="AL202" s="101">
        <f t="shared" si="82"/>
        <v>0</v>
      </c>
      <c r="AM202" s="1" t="str">
        <f>VLOOKUP(B:B,'3店辅助表'!AZ:AZ,1,FALSE)</f>
        <v>Y3088-NB</v>
      </c>
      <c r="AN202" t="str">
        <f>VLOOKUP(B:B,'3店辅助表'!AZ:BB,3,FALSE)</f>
        <v>CA</v>
      </c>
    </row>
    <row r="203" customHeight="1" spans="1:40">
      <c r="A203" s="58" t="str">
        <f>INDEX('[1]3店'!$A:$A,MATCH(B:B,'[1]3店'!$B:$B,0))</f>
        <v>欣彤</v>
      </c>
      <c r="B203" s="43" t="s">
        <v>1146</v>
      </c>
      <c r="C203" s="43" t="s">
        <v>1147</v>
      </c>
      <c r="D203" s="59">
        <f>VLOOKUP(B:B,'[1]3店'!$B:$L,3,0)</f>
        <v>45070</v>
      </c>
      <c r="E203" s="43" t="s">
        <v>1148</v>
      </c>
      <c r="F203" s="43">
        <v>10</v>
      </c>
      <c r="G203" s="43">
        <v>0</v>
      </c>
      <c r="H203" s="43">
        <v>0</v>
      </c>
      <c r="I203" s="43">
        <v>0</v>
      </c>
      <c r="J203" s="43">
        <v>0</v>
      </c>
      <c r="K203" s="63">
        <f t="shared" si="71"/>
        <v>10</v>
      </c>
      <c r="L203" s="124">
        <f>VLOOKUP($B:$B,'[1]3店'!$B:$L,11,0)</f>
        <v>13.9</v>
      </c>
      <c r="M203" s="44">
        <f t="shared" si="72"/>
        <v>139</v>
      </c>
      <c r="N203" s="65">
        <f>IFERROR(VLOOKUP(B:B,'3店辅助表'!B:C,2,FALSE),0)</f>
        <v>0</v>
      </c>
      <c r="O203" s="65">
        <f>IFERROR(VLOOKUP(B:B,'3店辅助表'!E:F,2,FALSE),0)</f>
        <v>0</v>
      </c>
      <c r="P203" s="65">
        <f>IFERROR(VLOOKUP(B:B,'3店辅助表'!H:I,2,FALSE),0)</f>
        <v>0</v>
      </c>
      <c r="Q203" s="65">
        <f>IFERROR(VLOOKUP(B:B,'[1]3店'!$B:$N,13,FALSE),0)</f>
        <v>0</v>
      </c>
      <c r="R203" s="79">
        <f t="shared" si="73"/>
        <v>0</v>
      </c>
      <c r="S203" s="80" t="str">
        <f t="shared" si="74"/>
        <v>-</v>
      </c>
      <c r="T203" s="44" t="str">
        <f t="shared" si="75"/>
        <v>-</v>
      </c>
      <c r="U203" s="44" t="str">
        <f>IFERROR(VLOOKUP($B:$B,'[1]3店'!$B:$T,19,0),"-")</f>
        <v>-</v>
      </c>
      <c r="V203" s="81" t="str">
        <f t="shared" si="76"/>
        <v>-</v>
      </c>
      <c r="W203" s="82" t="str">
        <f t="shared" si="77"/>
        <v>有库存无销量</v>
      </c>
      <c r="X203" s="83" t="str">
        <f t="shared" si="78"/>
        <v>有库存无销量</v>
      </c>
      <c r="Y203" s="44">
        <f>IFERROR(SUMIF('3店辅助表'!K:K,B:B,'3店辅助表'!N:N),0)</f>
        <v>0</v>
      </c>
      <c r="Z203" s="44">
        <f>IFERROR(SUMIF('3店辅助表'!T:T,B:B,'3店辅助表'!W:W),0)</f>
        <v>0</v>
      </c>
      <c r="AA203" s="44">
        <f>IFERROR(SUMIF('3店辅助表'!AC:AC,B:B,'3店辅助表'!AF:AF),0)</f>
        <v>0</v>
      </c>
      <c r="AB203" s="91" t="str">
        <f>IFERROR(SUMIF('3店辅助表'!K:K,B:B,'3店辅助表'!N:N)/SUMIF('3店辅助表'!K:K,B:B,'3店辅助表'!O:O),"-")</f>
        <v>-</v>
      </c>
      <c r="AC203" s="91" t="str">
        <f>IFERROR(VLOOKUP(B:B,'[1]3店'!$B:$AB,27,0),"-")</f>
        <v>-</v>
      </c>
      <c r="AD203" s="92" t="str">
        <f t="shared" si="79"/>
        <v>-</v>
      </c>
      <c r="AE203" s="91" t="str">
        <f>IFERROR(SUMIF('3店辅助表'!T:T,B:B,'3店辅助表'!W:W)/SUMIF('3店辅助表'!T:T,B:B,'3店辅助表'!X:X),"-")</f>
        <v>-</v>
      </c>
      <c r="AF203" s="91" t="str">
        <f>IFERROR(SUMIF('3店辅助表'!AC:AC,B:B,'3店辅助表'!AF:AF)/SUMIF('3店辅助表'!AC:AC,B:B,'3店辅助表'!AG:AG),"-")</f>
        <v>-</v>
      </c>
      <c r="AG203" s="99">
        <f>IFERROR(AK203/((SUMIF('3店辅助表'!AT:AT,B:B,'3店辅助表'!AU:AU)+M203)/2),"-")</f>
        <v>0</v>
      </c>
      <c r="AH203" s="99">
        <f>IFERROR(AL203/((SUMIF('3店辅助表'!AW:AW,B:B,'3店辅助表'!AX:AX)+M203)/2),"-")</f>
        <v>0</v>
      </c>
      <c r="AI203" s="100" t="str">
        <f>IFERROR((SUMIF('3店辅助表'!AP:AP,B:B,'3店辅助表'!AR:AR)-SUMIF('3店辅助表'!AP:AP,B:B,'3店辅助表'!AR:AR)*0.15-(L203+IFERROR(VLOOKUP(B:B,'3店辅助表'!AZ:BA,2,0),0))*O203-IF(AN:AN="US",6.85,4.9)*(Z203+4.27*O203))/SUMIF('3店辅助表'!AP:AP,B:B,'3店辅助表'!AR:AR),"-")</f>
        <v>-</v>
      </c>
      <c r="AJ203" s="100" t="str">
        <f t="shared" si="80"/>
        <v>-</v>
      </c>
      <c r="AK203" s="101">
        <f t="shared" si="81"/>
        <v>0</v>
      </c>
      <c r="AL203" s="101">
        <f t="shared" si="82"/>
        <v>0</v>
      </c>
      <c r="AM203" s="1" t="str">
        <f>VLOOKUP(B:B,'3店辅助表'!AZ:AZ,1,FALSE)</f>
        <v>Y3089-BY+Y3090+Y3091</v>
      </c>
      <c r="AN203" t="str">
        <f>VLOOKUP(B:B,'3店辅助表'!AZ:BB,3,FALSE)</f>
        <v>CA</v>
      </c>
    </row>
    <row r="204" customHeight="1" spans="1:40">
      <c r="A204" s="58" t="str">
        <f>INDEX('[1]3店'!$A:$A,MATCH(B:B,'[1]3店'!$B:$B,0))</f>
        <v>欣彤</v>
      </c>
      <c r="B204" s="43" t="s">
        <v>1149</v>
      </c>
      <c r="C204" s="43" t="s">
        <v>1147</v>
      </c>
      <c r="D204" s="59">
        <f>VLOOKUP(B:B,'[1]3店'!$B:$L,3,0)</f>
        <v>45070</v>
      </c>
      <c r="E204" s="43" t="s">
        <v>1150</v>
      </c>
      <c r="F204" s="43">
        <v>19</v>
      </c>
      <c r="G204" s="43">
        <v>0</v>
      </c>
      <c r="H204" s="43">
        <v>0</v>
      </c>
      <c r="I204" s="43">
        <v>0</v>
      </c>
      <c r="J204" s="43">
        <v>0</v>
      </c>
      <c r="K204" s="63">
        <f t="shared" si="71"/>
        <v>19</v>
      </c>
      <c r="L204" s="124">
        <f>VLOOKUP($B:$B,'[1]3店'!$B:$L,11,0)</f>
        <v>13.9</v>
      </c>
      <c r="M204" s="44">
        <f t="shared" si="72"/>
        <v>264.1</v>
      </c>
      <c r="N204" s="65">
        <f>IFERROR(VLOOKUP(B:B,'3店辅助表'!B:C,2,FALSE),0)</f>
        <v>0</v>
      </c>
      <c r="O204" s="65">
        <f>IFERROR(VLOOKUP(B:B,'3店辅助表'!E:F,2,FALSE),0)</f>
        <v>0</v>
      </c>
      <c r="P204" s="65">
        <f>IFERROR(VLOOKUP(B:B,'3店辅助表'!H:I,2,FALSE),0)</f>
        <v>0</v>
      </c>
      <c r="Q204" s="65">
        <f>IFERROR(VLOOKUP(B:B,'[1]3店'!$B:$N,13,FALSE),0)</f>
        <v>0</v>
      </c>
      <c r="R204" s="79">
        <f t="shared" si="73"/>
        <v>0</v>
      </c>
      <c r="S204" s="80" t="str">
        <f t="shared" si="74"/>
        <v>-</v>
      </c>
      <c r="T204" s="44" t="str">
        <f t="shared" si="75"/>
        <v>-</v>
      </c>
      <c r="U204" s="44" t="str">
        <f>IFERROR(VLOOKUP($B:$B,'[1]3店'!$B:$T,19,0),"-")</f>
        <v>-</v>
      </c>
      <c r="V204" s="81" t="str">
        <f t="shared" si="76"/>
        <v>-</v>
      </c>
      <c r="W204" s="82" t="str">
        <f t="shared" si="77"/>
        <v>有库存无销量</v>
      </c>
      <c r="X204" s="83" t="str">
        <f t="shared" si="78"/>
        <v>有库存无销量</v>
      </c>
      <c r="Y204" s="44">
        <f>IFERROR(SUMIF('3店辅助表'!K:K,B:B,'3店辅助表'!N:N),0)</f>
        <v>0</v>
      </c>
      <c r="Z204" s="44">
        <f>IFERROR(SUMIF('3店辅助表'!T:T,B:B,'3店辅助表'!W:W),0)</f>
        <v>0</v>
      </c>
      <c r="AA204" s="44">
        <f>IFERROR(SUMIF('3店辅助表'!AC:AC,B:B,'3店辅助表'!AF:AF),0)</f>
        <v>0</v>
      </c>
      <c r="AB204" s="91" t="str">
        <f>IFERROR(SUMIF('3店辅助表'!K:K,B:B,'3店辅助表'!N:N)/SUMIF('3店辅助表'!K:K,B:B,'3店辅助表'!O:O),"-")</f>
        <v>-</v>
      </c>
      <c r="AC204" s="91" t="str">
        <f>IFERROR(VLOOKUP(B:B,'[1]3店'!$B:$AB,27,0),"-")</f>
        <v>-</v>
      </c>
      <c r="AD204" s="92" t="str">
        <f t="shared" si="79"/>
        <v>-</v>
      </c>
      <c r="AE204" s="91" t="str">
        <f>IFERROR(SUMIF('3店辅助表'!T:T,B:B,'3店辅助表'!W:W)/SUMIF('3店辅助表'!T:T,B:B,'3店辅助表'!X:X),"-")</f>
        <v>-</v>
      </c>
      <c r="AF204" s="91" t="str">
        <f>IFERROR(SUMIF('3店辅助表'!AC:AC,B:B,'3店辅助表'!AF:AF)/SUMIF('3店辅助表'!AC:AC,B:B,'3店辅助表'!AG:AG),"-")</f>
        <v>-</v>
      </c>
      <c r="AG204" s="99">
        <f>IFERROR(AK204/((SUMIF('3店辅助表'!AT:AT,B:B,'3店辅助表'!AU:AU)+M204)/2),"-")</f>
        <v>0</v>
      </c>
      <c r="AH204" s="99">
        <f>IFERROR(AL204/((SUMIF('3店辅助表'!AW:AW,B:B,'3店辅助表'!AX:AX)+M204)/2),"-")</f>
        <v>0</v>
      </c>
      <c r="AI204" s="100" t="str">
        <f>IFERROR((SUMIF('3店辅助表'!AP:AP,B:B,'3店辅助表'!AR:AR)-SUMIF('3店辅助表'!AP:AP,B:B,'3店辅助表'!AR:AR)*0.15-(L204+IFERROR(VLOOKUP(B:B,'3店辅助表'!AZ:BA,2,0),0))*O204-IF(AN:AN="US",6.85,4.9)*(Z204+4.27*O204))/SUMIF('3店辅助表'!AP:AP,B:B,'3店辅助表'!AR:AR),"-")</f>
        <v>-</v>
      </c>
      <c r="AJ204" s="100" t="str">
        <f t="shared" si="80"/>
        <v>-</v>
      </c>
      <c r="AK204" s="101">
        <f t="shared" si="81"/>
        <v>0</v>
      </c>
      <c r="AL204" s="101">
        <f t="shared" si="82"/>
        <v>0</v>
      </c>
      <c r="AM204" s="1" t="str">
        <f>VLOOKUP(B:B,'3店辅助表'!AZ:AZ,1,FALSE)</f>
        <v>Y3089-DB+Y3090+Y3091</v>
      </c>
      <c r="AN204" t="str">
        <f>VLOOKUP(B:B,'3店辅助表'!AZ:BB,3,FALSE)</f>
        <v>CA</v>
      </c>
    </row>
    <row r="205" customHeight="1" spans="1:40">
      <c r="A205" s="58" t="str">
        <f>INDEX('[1]3店'!$A:$A,MATCH(B:B,'[1]3店'!$B:$B,0))</f>
        <v>欣彤</v>
      </c>
      <c r="B205" s="43" t="s">
        <v>1151</v>
      </c>
      <c r="C205" s="43" t="s">
        <v>1147</v>
      </c>
      <c r="D205" s="59">
        <f>VLOOKUP(B:B,'[1]3店'!$B:$L,3,0)</f>
        <v>45070</v>
      </c>
      <c r="E205" s="43" t="s">
        <v>1152</v>
      </c>
      <c r="F205" s="43">
        <v>9</v>
      </c>
      <c r="G205" s="43">
        <v>0</v>
      </c>
      <c r="H205" s="43">
        <v>0</v>
      </c>
      <c r="I205" s="43">
        <v>0</v>
      </c>
      <c r="J205" s="43">
        <v>0</v>
      </c>
      <c r="K205" s="63">
        <f t="shared" si="71"/>
        <v>9</v>
      </c>
      <c r="L205" s="124">
        <f>VLOOKUP($B:$B,'[1]3店'!$B:$L,11,0)</f>
        <v>13.9</v>
      </c>
      <c r="M205" s="44">
        <f t="shared" si="72"/>
        <v>125.1</v>
      </c>
      <c r="N205" s="65">
        <f>IFERROR(VLOOKUP(B:B,'3店辅助表'!B:C,2,FALSE),0)</f>
        <v>0</v>
      </c>
      <c r="O205" s="65">
        <f>IFERROR(VLOOKUP(B:B,'3店辅助表'!E:F,2,FALSE),0)</f>
        <v>0</v>
      </c>
      <c r="P205" s="65">
        <f>IFERROR(VLOOKUP(B:B,'3店辅助表'!H:I,2,FALSE),0)</f>
        <v>0</v>
      </c>
      <c r="Q205" s="65">
        <f>IFERROR(VLOOKUP(B:B,'[1]3店'!$B:$N,13,FALSE),0)</f>
        <v>0</v>
      </c>
      <c r="R205" s="79">
        <f t="shared" si="73"/>
        <v>0</v>
      </c>
      <c r="S205" s="80" t="str">
        <f t="shared" si="74"/>
        <v>-</v>
      </c>
      <c r="T205" s="44" t="str">
        <f t="shared" si="75"/>
        <v>-</v>
      </c>
      <c r="U205" s="44" t="str">
        <f>IFERROR(VLOOKUP($B:$B,'[1]3店'!$B:$T,19,0),"-")</f>
        <v>-</v>
      </c>
      <c r="V205" s="81" t="str">
        <f t="shared" si="76"/>
        <v>-</v>
      </c>
      <c r="W205" s="82" t="str">
        <f t="shared" si="77"/>
        <v>有库存无销量</v>
      </c>
      <c r="X205" s="83" t="str">
        <f t="shared" si="78"/>
        <v>有库存无销量</v>
      </c>
      <c r="Y205" s="44">
        <f>IFERROR(SUMIF('3店辅助表'!K:K,B:B,'3店辅助表'!N:N),0)</f>
        <v>0</v>
      </c>
      <c r="Z205" s="44">
        <f>IFERROR(SUMIF('3店辅助表'!T:T,B:B,'3店辅助表'!W:W),0)</f>
        <v>0</v>
      </c>
      <c r="AA205" s="44">
        <f>IFERROR(SUMIF('3店辅助表'!AC:AC,B:B,'3店辅助表'!AF:AF),0)</f>
        <v>0</v>
      </c>
      <c r="AB205" s="91" t="str">
        <f>IFERROR(SUMIF('3店辅助表'!K:K,B:B,'3店辅助表'!N:N)/SUMIF('3店辅助表'!K:K,B:B,'3店辅助表'!O:O),"-")</f>
        <v>-</v>
      </c>
      <c r="AC205" s="91" t="str">
        <f>IFERROR(VLOOKUP(B:B,'[1]3店'!$B:$AB,27,0),"-")</f>
        <v>-</v>
      </c>
      <c r="AD205" s="92" t="str">
        <f t="shared" si="79"/>
        <v>-</v>
      </c>
      <c r="AE205" s="91" t="str">
        <f>IFERROR(SUMIF('3店辅助表'!T:T,B:B,'3店辅助表'!W:W)/SUMIF('3店辅助表'!T:T,B:B,'3店辅助表'!X:X),"-")</f>
        <v>-</v>
      </c>
      <c r="AF205" s="91" t="str">
        <f>IFERROR(SUMIF('3店辅助表'!AC:AC,B:B,'3店辅助表'!AF:AF)/SUMIF('3店辅助表'!AC:AC,B:B,'3店辅助表'!AG:AG),"-")</f>
        <v>-</v>
      </c>
      <c r="AG205" s="99">
        <f>IFERROR(AK205/((SUMIF('3店辅助表'!AT:AT,B:B,'3店辅助表'!AU:AU)+M205)/2),"-")</f>
        <v>0</v>
      </c>
      <c r="AH205" s="99">
        <f>IFERROR(AL205/((SUMIF('3店辅助表'!AW:AW,B:B,'3店辅助表'!AX:AX)+M205)/2),"-")</f>
        <v>0</v>
      </c>
      <c r="AI205" s="100" t="str">
        <f>IFERROR((SUMIF('3店辅助表'!AP:AP,B:B,'3店辅助表'!AR:AR)-SUMIF('3店辅助表'!AP:AP,B:B,'3店辅助表'!AR:AR)*0.15-(L205+IFERROR(VLOOKUP(B:B,'3店辅助表'!AZ:BA,2,0),0))*O205-IF(AN:AN="US",6.85,4.9)*(Z205+4.27*O205))/SUMIF('3店辅助表'!AP:AP,B:B,'3店辅助表'!AR:AR),"-")</f>
        <v>-</v>
      </c>
      <c r="AJ205" s="100" t="str">
        <f t="shared" si="80"/>
        <v>-</v>
      </c>
      <c r="AK205" s="101">
        <f t="shared" si="81"/>
        <v>0</v>
      </c>
      <c r="AL205" s="101">
        <f t="shared" si="82"/>
        <v>0</v>
      </c>
      <c r="AM205" s="1" t="str">
        <f>VLOOKUP(B:B,'3店辅助表'!AZ:AZ,1,FALSE)</f>
        <v>Y3089-GK+Y3090+Y3091</v>
      </c>
      <c r="AN205" t="str">
        <f>VLOOKUP(B:B,'3店辅助表'!AZ:BB,3,FALSE)</f>
        <v>CA</v>
      </c>
    </row>
    <row r="206" customHeight="1" spans="1:40">
      <c r="A206" s="58" t="str">
        <f>INDEX('[1]3店'!$A:$A,MATCH(B:B,'[1]3店'!$B:$B,0))</f>
        <v>欣彤</v>
      </c>
      <c r="B206" s="43" t="s">
        <v>1153</v>
      </c>
      <c r="C206" s="43" t="s">
        <v>1154</v>
      </c>
      <c r="D206" s="59">
        <f>VLOOKUP(B:B,'[1]3店'!$B:$L,3,0)</f>
        <v>45070</v>
      </c>
      <c r="E206" s="43" t="s">
        <v>1155</v>
      </c>
      <c r="F206" s="43">
        <v>0</v>
      </c>
      <c r="G206" s="43">
        <v>1</v>
      </c>
      <c r="H206" s="43">
        <v>0</v>
      </c>
      <c r="I206" s="43">
        <v>1</v>
      </c>
      <c r="J206" s="43">
        <v>0</v>
      </c>
      <c r="K206" s="63">
        <f t="shared" si="71"/>
        <v>2</v>
      </c>
      <c r="L206" s="124">
        <f>VLOOKUP($B:$B,'[1]3店'!$B:$L,11,0)</f>
        <v>13.9</v>
      </c>
      <c r="M206" s="44">
        <f t="shared" si="72"/>
        <v>27.8</v>
      </c>
      <c r="N206" s="65">
        <f>IFERROR(VLOOKUP(B:B,'3店辅助表'!B:C,2,FALSE),0)</f>
        <v>4</v>
      </c>
      <c r="O206" s="65">
        <f>IFERROR(VLOOKUP(B:B,'3店辅助表'!E:F,2,FALSE),0)</f>
        <v>6</v>
      </c>
      <c r="P206" s="65">
        <f>IFERROR(VLOOKUP(B:B,'3店辅助表'!H:I,2,FALSE),0)</f>
        <v>16</v>
      </c>
      <c r="Q206" s="65">
        <f>IFERROR(VLOOKUP(B:B,'[1]3店'!$B:$N,13,FALSE),0)</f>
        <v>1</v>
      </c>
      <c r="R206" s="79">
        <f t="shared" si="73"/>
        <v>3</v>
      </c>
      <c r="S206" s="80">
        <f t="shared" si="74"/>
        <v>3.9873417721519</v>
      </c>
      <c r="T206" s="44">
        <f t="shared" si="75"/>
        <v>0.132911392405063</v>
      </c>
      <c r="U206" s="44">
        <f>IFERROR(VLOOKUP($B:$B,'[1]3店'!$B:$T,19,0),"-")</f>
        <v>0.496062992125984</v>
      </c>
      <c r="V206" s="81">
        <f t="shared" si="76"/>
        <v>-0.363151599720921</v>
      </c>
      <c r="W206" s="82" t="str">
        <f t="shared" si="77"/>
        <v>库存过低</v>
      </c>
      <c r="X206" s="83" t="str">
        <f t="shared" si="78"/>
        <v>库存过低</v>
      </c>
      <c r="Y206" s="44">
        <f>IFERROR(SUMIF('3店辅助表'!K:K,B:B,'3店辅助表'!N:N),0)</f>
        <v>7.43</v>
      </c>
      <c r="Z206" s="44">
        <f>IFERROR(SUMIF('3店辅助表'!T:T,B:B,'3店辅助表'!W:W),0)</f>
        <v>17.07</v>
      </c>
      <c r="AA206" s="44">
        <f>IFERROR(SUMIF('3店辅助表'!AC:AC,B:B,'3店辅助表'!AF:AF),0)</f>
        <v>29.41</v>
      </c>
      <c r="AB206" s="91">
        <f>IFERROR(SUMIF('3店辅助表'!K:K,B:B,'3店辅助表'!N:N)/SUMIF('3店辅助表'!K:K,B:B,'3店辅助表'!O:O),"-")</f>
        <v>0.132725973561986</v>
      </c>
      <c r="AC206" s="91">
        <f>IFERROR(VLOOKUP(B:B,'[1]3店'!$B:$AB,27,0),"-")</f>
        <v>0.129349855712103</v>
      </c>
      <c r="AD206" s="92">
        <f t="shared" si="79"/>
        <v>0.00337611784988301</v>
      </c>
      <c r="AE206" s="91">
        <f>IFERROR(SUMIF('3店辅助表'!T:T,B:B,'3店辅助表'!W:W)/SUMIF('3店辅助表'!T:T,B:B,'3店辅助表'!X:X),"-")</f>
        <v>0.148576899643137</v>
      </c>
      <c r="AF206" s="91">
        <f>IFERROR(SUMIF('3店辅助表'!AC:AC,B:B,'3店辅助表'!AF:AF)/SUMIF('3店辅助表'!AC:AC,B:B,'3店辅助表'!AG:AG),"-")</f>
        <v>0.154756893285624</v>
      </c>
      <c r="AG206" s="99">
        <f>IFERROR(AK206/((SUMIF('3店辅助表'!AT:AT,B:B,'3店辅助表'!AU:AU)+M206)/2),"-")</f>
        <v>1</v>
      </c>
      <c r="AH206" s="99">
        <f>IFERROR(AL206/((SUMIF('3店辅助表'!AW:AW,B:B,'3店辅助表'!AX:AX)+M206)/2),"-")</f>
        <v>0.666666666666667</v>
      </c>
      <c r="AI206" s="100">
        <f>IFERROR((SUMIF('3店辅助表'!AP:AP,B:B,'3店辅助表'!AR:AR)-SUMIF('3店辅助表'!AP:AP,B:B,'3店辅助表'!AR:AR)*0.15-(L206+IFERROR(VLOOKUP(B:B,'3店辅助表'!AZ:BA,2,0),0))*O206-IF(AN:AN="US",6.85,4.9)*(Z206+4.27*O206))/SUMIF('3店辅助表'!AP:AP,B:B,'3店辅助表'!AR:AR),"-")</f>
        <v>0.437939570254683</v>
      </c>
      <c r="AJ206" s="100">
        <f t="shared" si="80"/>
        <v>0.291959713503122</v>
      </c>
      <c r="AK206" s="101">
        <f t="shared" si="81"/>
        <v>55.6</v>
      </c>
      <c r="AL206" s="101">
        <f t="shared" si="82"/>
        <v>83.4</v>
      </c>
      <c r="AM206" s="1" t="str">
        <f>VLOOKUP(B:B,'3店辅助表'!AZ:AZ,1,FALSE)</f>
        <v>Y3092-BL+Y3093+Y3094</v>
      </c>
      <c r="AN206" t="str">
        <f>VLOOKUP(B:B,'3店辅助表'!AZ:BB,3,FALSE)</f>
        <v>CA</v>
      </c>
    </row>
    <row r="207" customHeight="1" spans="1:40">
      <c r="A207" s="58" t="str">
        <f>INDEX('[1]3店'!$A:$A,MATCH(B:B,'[1]3店'!$B:$B,0))</f>
        <v>欣彤</v>
      </c>
      <c r="B207" s="43" t="s">
        <v>1156</v>
      </c>
      <c r="C207" s="43" t="s">
        <v>1154</v>
      </c>
      <c r="D207" s="59">
        <f>VLOOKUP(B:B,'[1]3店'!$B:$L,3,0)</f>
        <v>45070</v>
      </c>
      <c r="E207" s="43" t="s">
        <v>1157</v>
      </c>
      <c r="F207" s="43">
        <v>17</v>
      </c>
      <c r="G207" s="43">
        <v>0</v>
      </c>
      <c r="H207" s="43">
        <v>0</v>
      </c>
      <c r="I207" s="43">
        <v>0</v>
      </c>
      <c r="J207" s="43">
        <v>0</v>
      </c>
      <c r="K207" s="63">
        <f t="shared" si="71"/>
        <v>17</v>
      </c>
      <c r="L207" s="124">
        <f>VLOOKUP($B:$B,'[1]3店'!$B:$L,11,0)</f>
        <v>13.9</v>
      </c>
      <c r="M207" s="44">
        <f t="shared" si="72"/>
        <v>236.3</v>
      </c>
      <c r="N207" s="65">
        <f>IFERROR(VLOOKUP(B:B,'3店辅助表'!B:C,2,FALSE),0)</f>
        <v>0</v>
      </c>
      <c r="O207" s="65">
        <f>IFERROR(VLOOKUP(B:B,'3店辅助表'!E:F,2,FALSE),0)</f>
        <v>1</v>
      </c>
      <c r="P207" s="65">
        <f>IFERROR(VLOOKUP(B:B,'3店辅助表'!H:I,2,FALSE),0)</f>
        <v>1</v>
      </c>
      <c r="Q207" s="65">
        <f>IFERROR(VLOOKUP(B:B,'[1]3店'!$B:$N,13,FALSE),0)</f>
        <v>0</v>
      </c>
      <c r="R207" s="79">
        <f t="shared" si="73"/>
        <v>0</v>
      </c>
      <c r="S207" s="80">
        <f t="shared" si="74"/>
        <v>510</v>
      </c>
      <c r="T207" s="44">
        <f t="shared" si="75"/>
        <v>17</v>
      </c>
      <c r="U207" s="44">
        <f>IFERROR(VLOOKUP($B:$B,'[1]3店'!$B:$T,19,0),"-")</f>
        <v>17</v>
      </c>
      <c r="V207" s="81">
        <f t="shared" si="76"/>
        <v>0</v>
      </c>
      <c r="W207" s="82" t="str">
        <f t="shared" si="77"/>
        <v>有库存无销量</v>
      </c>
      <c r="X207" s="83" t="str">
        <f t="shared" si="78"/>
        <v>库存过高</v>
      </c>
      <c r="Y207" s="44">
        <f>IFERROR(SUMIF('3店辅助表'!K:K,B:B,'3店辅助表'!N:N),0)</f>
        <v>0</v>
      </c>
      <c r="Z207" s="44">
        <f>IFERROR(SUMIF('3店辅助表'!T:T,B:B,'3店辅助表'!W:W),0)</f>
        <v>0</v>
      </c>
      <c r="AA207" s="44">
        <f>IFERROR(SUMIF('3店辅助表'!AC:AC,B:B,'3店辅助表'!AF:AF),0)</f>
        <v>0</v>
      </c>
      <c r="AB207" s="91" t="str">
        <f>IFERROR(SUMIF('3店辅助表'!K:K,B:B,'3店辅助表'!N:N)/SUMIF('3店辅助表'!K:K,B:B,'3店辅助表'!O:O),"-")</f>
        <v>-</v>
      </c>
      <c r="AC207" s="91" t="str">
        <f>IFERROR(VLOOKUP(B:B,'[1]3店'!$B:$AB,27,0),"-")</f>
        <v>-</v>
      </c>
      <c r="AD207" s="92" t="str">
        <f t="shared" si="79"/>
        <v>-</v>
      </c>
      <c r="AE207" s="91" t="str">
        <f>IFERROR(SUMIF('3店辅助表'!T:T,B:B,'3店辅助表'!W:W)/SUMIF('3店辅助表'!T:T,B:B,'3店辅助表'!X:X),"-")</f>
        <v>-</v>
      </c>
      <c r="AF207" s="91" t="str">
        <f>IFERROR(SUMIF('3店辅助表'!AC:AC,B:B,'3店辅助表'!AF:AF)/SUMIF('3店辅助表'!AC:AC,B:B,'3店辅助表'!AG:AG),"-")</f>
        <v>-</v>
      </c>
      <c r="AG207" s="99">
        <f>IFERROR(AK207/((SUMIF('3店辅助表'!AT:AT,B:B,'3店辅助表'!AU:AU)+M207)/2),"-")</f>
        <v>0</v>
      </c>
      <c r="AH207" s="99">
        <f>IFERROR(AL207/((SUMIF('3店辅助表'!AW:AW,B:B,'3店辅助表'!AX:AX)+M207)/2),"-")</f>
        <v>0.0571428571428571</v>
      </c>
      <c r="AI207" s="100">
        <f>IFERROR((SUMIF('3店辅助表'!AP:AP,B:B,'3店辅助表'!AR:AR)-SUMIF('3店辅助表'!AP:AP,B:B,'3店辅助表'!AR:AR)*0.15-(L207+IFERROR(VLOOKUP(B:B,'3店辅助表'!AZ:BA,2,0),0))*O207-IF(AN:AN="US",6.85,4.9)*(Z207+4.27*O207))/SUMIF('3店辅助表'!AP:AP,B:B,'3店辅助表'!AR:AR),"-")</f>
        <v>0.539583014341857</v>
      </c>
      <c r="AJ207" s="100">
        <f t="shared" si="80"/>
        <v>0.030833315105249</v>
      </c>
      <c r="AK207" s="101">
        <f t="shared" si="81"/>
        <v>0</v>
      </c>
      <c r="AL207" s="101">
        <f t="shared" si="82"/>
        <v>13.9</v>
      </c>
      <c r="AM207" s="1" t="str">
        <f>VLOOKUP(B:B,'3店辅助表'!AZ:AZ,1,FALSE)</f>
        <v>Y3092-BY+Y3093+Y3094</v>
      </c>
      <c r="AN207" t="str">
        <f>VLOOKUP(B:B,'3店辅助表'!AZ:BB,3,FALSE)</f>
        <v>CA</v>
      </c>
    </row>
    <row r="208" customHeight="1" spans="1:40">
      <c r="A208" s="58" t="str">
        <f>INDEX('[1]3店'!$A:$A,MATCH(B:B,'[1]3店'!$B:$B,0))</f>
        <v>欣彤</v>
      </c>
      <c r="B208" s="43" t="s">
        <v>1158</v>
      </c>
      <c r="C208" s="43" t="s">
        <v>1154</v>
      </c>
      <c r="D208" s="59">
        <f>VLOOKUP(B:B,'[1]3店'!$B:$L,3,0)</f>
        <v>45070</v>
      </c>
      <c r="E208" s="43" t="s">
        <v>1159</v>
      </c>
      <c r="F208" s="43">
        <v>11</v>
      </c>
      <c r="G208" s="43">
        <v>1</v>
      </c>
      <c r="H208" s="43">
        <v>0</v>
      </c>
      <c r="I208" s="43">
        <v>0</v>
      </c>
      <c r="J208" s="43">
        <v>0</v>
      </c>
      <c r="K208" s="63">
        <f t="shared" si="71"/>
        <v>12</v>
      </c>
      <c r="L208" s="124">
        <f>VLOOKUP($B:$B,'[1]3店'!$B:$L,11,0)</f>
        <v>13.9</v>
      </c>
      <c r="M208" s="44">
        <f t="shared" si="72"/>
        <v>166.8</v>
      </c>
      <c r="N208" s="65">
        <f>IFERROR(VLOOKUP(B:B,'3店辅助表'!B:C,2,FALSE),0)</f>
        <v>1</v>
      </c>
      <c r="O208" s="65">
        <f>IFERROR(VLOOKUP(B:B,'3店辅助表'!E:F,2,FALSE),0)</f>
        <v>1</v>
      </c>
      <c r="P208" s="65">
        <f>IFERROR(VLOOKUP(B:B,'3店辅助表'!H:I,2,FALSE),0)</f>
        <v>2</v>
      </c>
      <c r="Q208" s="65">
        <f>IFERROR(VLOOKUP(B:B,'[1]3店'!$B:$N,13,FALSE),0)</f>
        <v>0</v>
      </c>
      <c r="R208" s="79">
        <f t="shared" si="73"/>
        <v>1</v>
      </c>
      <c r="S208" s="80">
        <f t="shared" si="74"/>
        <v>130.344827586207</v>
      </c>
      <c r="T208" s="44">
        <f t="shared" si="75"/>
        <v>4.3448275862069</v>
      </c>
      <c r="U208" s="44">
        <f>IFERROR(VLOOKUP($B:$B,'[1]3店'!$B:$T,19,0),"-")</f>
        <v>13</v>
      </c>
      <c r="V208" s="81">
        <f t="shared" si="76"/>
        <v>-8.6551724137931</v>
      </c>
      <c r="W208" s="82" t="str">
        <f t="shared" si="77"/>
        <v>库存过高</v>
      </c>
      <c r="X208" s="83" t="str">
        <f t="shared" si="78"/>
        <v>库存过高</v>
      </c>
      <c r="Y208" s="44">
        <f>IFERROR(SUMIF('3店辅助表'!K:K,B:B,'3店辅助表'!N:N),0)</f>
        <v>0</v>
      </c>
      <c r="Z208" s="44">
        <f>IFERROR(SUMIF('3店辅助表'!T:T,B:B,'3店辅助表'!W:W),0)</f>
        <v>0</v>
      </c>
      <c r="AA208" s="44">
        <f>IFERROR(SUMIF('3店辅助表'!AC:AC,B:B,'3店辅助表'!AF:AF),0)</f>
        <v>0</v>
      </c>
      <c r="AB208" s="91" t="str">
        <f>IFERROR(SUMIF('3店辅助表'!K:K,B:B,'3店辅助表'!N:N)/SUMIF('3店辅助表'!K:K,B:B,'3店辅助表'!O:O),"-")</f>
        <v>-</v>
      </c>
      <c r="AC208" s="91" t="str">
        <f>IFERROR(VLOOKUP(B:B,'[1]3店'!$B:$AB,27,0),"-")</f>
        <v>-</v>
      </c>
      <c r="AD208" s="92" t="str">
        <f t="shared" si="79"/>
        <v>-</v>
      </c>
      <c r="AE208" s="91" t="str">
        <f>IFERROR(SUMIF('3店辅助表'!T:T,B:B,'3店辅助表'!W:W)/SUMIF('3店辅助表'!T:T,B:B,'3店辅助表'!X:X),"-")</f>
        <v>-</v>
      </c>
      <c r="AF208" s="91" t="str">
        <f>IFERROR(SUMIF('3店辅助表'!AC:AC,B:B,'3店辅助表'!AF:AF)/SUMIF('3店辅助表'!AC:AC,B:B,'3店辅助表'!AG:AG),"-")</f>
        <v>-</v>
      </c>
      <c r="AG208" s="99">
        <f>IFERROR(AK208/((SUMIF('3店辅助表'!AT:AT,B:B,'3店辅助表'!AU:AU)+M208)/2),"-")</f>
        <v>0.08</v>
      </c>
      <c r="AH208" s="99">
        <f>IFERROR(AL208/((SUMIF('3店辅助表'!AW:AW,B:B,'3店辅助表'!AX:AX)+M208)/2),"-")</f>
        <v>0.0769230769230769</v>
      </c>
      <c r="AI208" s="100">
        <f>IFERROR((SUMIF('3店辅助表'!AP:AP,B:B,'3店辅助表'!AR:AR)-SUMIF('3店辅助表'!AP:AP,B:B,'3店辅助表'!AR:AR)*0.15-(L208+IFERROR(VLOOKUP(B:B,'3店辅助表'!AZ:BA,2,0),0))*O208-IF(AN:AN="US",6.85,4.9)*(Z208+4.27*O208))/SUMIF('3店辅助表'!AP:AP,B:B,'3店辅助表'!AR:AR),"-")</f>
        <v>0.539583014341857</v>
      </c>
      <c r="AJ208" s="100">
        <f t="shared" si="80"/>
        <v>0.0415063857186044</v>
      </c>
      <c r="AK208" s="101">
        <f t="shared" si="81"/>
        <v>13.9</v>
      </c>
      <c r="AL208" s="101">
        <f t="shared" si="82"/>
        <v>13.9</v>
      </c>
      <c r="AM208" s="1" t="str">
        <f>VLOOKUP(B:B,'3店辅助表'!AZ:AZ,1,FALSE)</f>
        <v>Y3092-DB+Y3093+Y3094</v>
      </c>
      <c r="AN208" t="str">
        <f>VLOOKUP(B:B,'3店辅助表'!AZ:BB,3,FALSE)</f>
        <v>CA</v>
      </c>
    </row>
    <row r="209" customHeight="1" spans="1:40">
      <c r="A209" s="58" t="str">
        <f>INDEX('[1]3店'!$A:$A,MATCH(B:B,'[1]3店'!$B:$B,0))</f>
        <v>欣彤</v>
      </c>
      <c r="B209" s="43" t="s">
        <v>1160</v>
      </c>
      <c r="C209" s="43" t="s">
        <v>1154</v>
      </c>
      <c r="D209" s="59">
        <f>VLOOKUP(B:B,'[1]3店'!$B:$L,3,0)</f>
        <v>45070</v>
      </c>
      <c r="E209" s="43" t="s">
        <v>1161</v>
      </c>
      <c r="F209" s="43">
        <v>18</v>
      </c>
      <c r="G209" s="43">
        <v>0</v>
      </c>
      <c r="H209" s="43">
        <v>0</v>
      </c>
      <c r="I209" s="43">
        <v>0</v>
      </c>
      <c r="J209" s="43">
        <v>0</v>
      </c>
      <c r="K209" s="63">
        <f t="shared" si="71"/>
        <v>18</v>
      </c>
      <c r="L209" s="124">
        <f>VLOOKUP($B:$B,'[1]3店'!$B:$L,11,0)</f>
        <v>13.9</v>
      </c>
      <c r="M209" s="44">
        <f t="shared" si="72"/>
        <v>250.2</v>
      </c>
      <c r="N209" s="65">
        <f>IFERROR(VLOOKUP(B:B,'3店辅助表'!B:C,2,FALSE),0)</f>
        <v>0</v>
      </c>
      <c r="O209" s="65">
        <f>IFERROR(VLOOKUP(B:B,'3店辅助表'!E:F,2,FALSE),0)</f>
        <v>0</v>
      </c>
      <c r="P209" s="65">
        <f>IFERROR(VLOOKUP(B:B,'3店辅助表'!H:I,2,FALSE),0)</f>
        <v>0</v>
      </c>
      <c r="Q209" s="65">
        <f>IFERROR(VLOOKUP(B:B,'[1]3店'!$B:$N,13,FALSE),0)</f>
        <v>0</v>
      </c>
      <c r="R209" s="79">
        <f t="shared" si="73"/>
        <v>0</v>
      </c>
      <c r="S209" s="80" t="str">
        <f t="shared" si="74"/>
        <v>-</v>
      </c>
      <c r="T209" s="44" t="str">
        <f t="shared" si="75"/>
        <v>-</v>
      </c>
      <c r="U209" s="44">
        <f>IFERROR(VLOOKUP($B:$B,'[1]3店'!$B:$T,19,0),"-")</f>
        <v>54</v>
      </c>
      <c r="V209" s="81" t="str">
        <f t="shared" si="76"/>
        <v>-</v>
      </c>
      <c r="W209" s="82" t="str">
        <f t="shared" si="77"/>
        <v>有库存无销量</v>
      </c>
      <c r="X209" s="83" t="str">
        <f t="shared" si="78"/>
        <v>有库存无销量</v>
      </c>
      <c r="Y209" s="44">
        <f>IFERROR(SUMIF('3店辅助表'!K:K,B:B,'3店辅助表'!N:N),0)</f>
        <v>0</v>
      </c>
      <c r="Z209" s="44">
        <f>IFERROR(SUMIF('3店辅助表'!T:T,B:B,'3店辅助表'!W:W),0)</f>
        <v>0</v>
      </c>
      <c r="AA209" s="44">
        <f>IFERROR(SUMIF('3店辅助表'!AC:AC,B:B,'3店辅助表'!AF:AF),0)</f>
        <v>0</v>
      </c>
      <c r="AB209" s="91" t="str">
        <f>IFERROR(SUMIF('3店辅助表'!K:K,B:B,'3店辅助表'!N:N)/SUMIF('3店辅助表'!K:K,B:B,'3店辅助表'!O:O),"-")</f>
        <v>-</v>
      </c>
      <c r="AC209" s="91" t="str">
        <f>IFERROR(VLOOKUP(B:B,'[1]3店'!$B:$AB,27,0),"-")</f>
        <v>-</v>
      </c>
      <c r="AD209" s="92" t="str">
        <f t="shared" si="79"/>
        <v>-</v>
      </c>
      <c r="AE209" s="91" t="str">
        <f>IFERROR(SUMIF('3店辅助表'!T:T,B:B,'3店辅助表'!W:W)/SUMIF('3店辅助表'!T:T,B:B,'3店辅助表'!X:X),"-")</f>
        <v>-</v>
      </c>
      <c r="AF209" s="91" t="str">
        <f>IFERROR(SUMIF('3店辅助表'!AC:AC,B:B,'3店辅助表'!AF:AF)/SUMIF('3店辅助表'!AC:AC,B:B,'3店辅助表'!AG:AG),"-")</f>
        <v>-</v>
      </c>
      <c r="AG209" s="99">
        <f>IFERROR(AK209/((SUMIF('3店辅助表'!AT:AT,B:B,'3店辅助表'!AU:AU)+M209)/2),"-")</f>
        <v>0</v>
      </c>
      <c r="AH209" s="99">
        <f>IFERROR(AL209/((SUMIF('3店辅助表'!AW:AW,B:B,'3店辅助表'!AX:AX)+M209)/2),"-")</f>
        <v>0</v>
      </c>
      <c r="AI209" s="100" t="str">
        <f>IFERROR((SUMIF('3店辅助表'!AP:AP,B:B,'3店辅助表'!AR:AR)-SUMIF('3店辅助表'!AP:AP,B:B,'3店辅助表'!AR:AR)*0.15-(L209+IFERROR(VLOOKUP(B:B,'3店辅助表'!AZ:BA,2,0),0))*O209-IF(AN:AN="US",6.85,4.9)*(Z209+4.27*O209))/SUMIF('3店辅助表'!AP:AP,B:B,'3店辅助表'!AR:AR),"-")</f>
        <v>-</v>
      </c>
      <c r="AJ209" s="100" t="str">
        <f t="shared" si="80"/>
        <v>-</v>
      </c>
      <c r="AK209" s="101">
        <f t="shared" si="81"/>
        <v>0</v>
      </c>
      <c r="AL209" s="101">
        <f t="shared" si="82"/>
        <v>0</v>
      </c>
      <c r="AM209" s="1" t="str">
        <f>VLOOKUP(B:B,'3店辅助表'!AZ:AZ,1,FALSE)</f>
        <v>Y3092-GK+Y3093+Y3094</v>
      </c>
      <c r="AN209" t="str">
        <f>VLOOKUP(B:B,'3店辅助表'!AZ:BB,3,FALSE)</f>
        <v>CA</v>
      </c>
    </row>
    <row r="210" customHeight="1" spans="1:40">
      <c r="A210" s="58" t="str">
        <f>INDEX('[1]3店'!$A:$A,MATCH(B:B,'[1]3店'!$B:$B,0))</f>
        <v>欣彤</v>
      </c>
      <c r="B210" s="43" t="s">
        <v>1162</v>
      </c>
      <c r="C210" s="43" t="s">
        <v>1154</v>
      </c>
      <c r="D210" s="59">
        <f>VLOOKUP(B:B,'[1]3店'!$B:$L,3,0)</f>
        <v>45070</v>
      </c>
      <c r="E210" s="43" t="s">
        <v>1163</v>
      </c>
      <c r="F210" s="43">
        <v>25</v>
      </c>
      <c r="G210" s="43">
        <v>0</v>
      </c>
      <c r="H210" s="43">
        <v>0</v>
      </c>
      <c r="I210" s="43">
        <v>1</v>
      </c>
      <c r="J210" s="43">
        <v>0</v>
      </c>
      <c r="K210" s="63">
        <f t="shared" si="71"/>
        <v>26</v>
      </c>
      <c r="L210" s="124">
        <f>VLOOKUP($B:$B,'[1]3店'!$B:$L,11,0)</f>
        <v>13.9</v>
      </c>
      <c r="M210" s="44">
        <f t="shared" si="72"/>
        <v>361.4</v>
      </c>
      <c r="N210" s="65">
        <f>IFERROR(VLOOKUP(B:B,'3店辅助表'!B:C,2,FALSE),0)</f>
        <v>1</v>
      </c>
      <c r="O210" s="65">
        <f>IFERROR(VLOOKUP(B:B,'3店辅助表'!E:F,2,FALSE),0)</f>
        <v>1</v>
      </c>
      <c r="P210" s="65">
        <f>IFERROR(VLOOKUP(B:B,'3店辅助表'!H:I,2,FALSE),0)</f>
        <v>1</v>
      </c>
      <c r="Q210" s="65">
        <f>IFERROR(VLOOKUP(B:B,'[1]3店'!$B:$N,13,FALSE),0)</f>
        <v>0</v>
      </c>
      <c r="R210" s="79">
        <f t="shared" si="73"/>
        <v>1</v>
      </c>
      <c r="S210" s="80">
        <f t="shared" si="74"/>
        <v>321.176470588235</v>
      </c>
      <c r="T210" s="44">
        <f t="shared" si="75"/>
        <v>10.7058823529412</v>
      </c>
      <c r="U210" s="44">
        <f>IFERROR(VLOOKUP($B:$B,'[1]3店'!$B:$T,19,0),"-")</f>
        <v>78</v>
      </c>
      <c r="V210" s="81">
        <f t="shared" si="76"/>
        <v>-67.2941176470588</v>
      </c>
      <c r="W210" s="82" t="str">
        <f t="shared" si="77"/>
        <v>库存过高</v>
      </c>
      <c r="X210" s="83" t="str">
        <f t="shared" si="78"/>
        <v>库存过高</v>
      </c>
      <c r="Y210" s="44">
        <f>IFERROR(SUMIF('3店辅助表'!K:K,B:B,'3店辅助表'!N:N),0)</f>
        <v>0</v>
      </c>
      <c r="Z210" s="44">
        <f>IFERROR(SUMIF('3店辅助表'!T:T,B:B,'3店辅助表'!W:W),0)</f>
        <v>0</v>
      </c>
      <c r="AA210" s="44">
        <f>IFERROR(SUMIF('3店辅助表'!AC:AC,B:B,'3店辅助表'!AF:AF),0)</f>
        <v>0</v>
      </c>
      <c r="AB210" s="91" t="str">
        <f>IFERROR(SUMIF('3店辅助表'!K:K,B:B,'3店辅助表'!N:N)/SUMIF('3店辅助表'!K:K,B:B,'3店辅助表'!O:O),"-")</f>
        <v>-</v>
      </c>
      <c r="AC210" s="91" t="str">
        <f>IFERROR(VLOOKUP(B:B,'[1]3店'!$B:$AB,27,0),"-")</f>
        <v>-</v>
      </c>
      <c r="AD210" s="92" t="str">
        <f t="shared" si="79"/>
        <v>-</v>
      </c>
      <c r="AE210" s="91" t="str">
        <f>IFERROR(SUMIF('3店辅助表'!T:T,B:B,'3店辅助表'!W:W)/SUMIF('3店辅助表'!T:T,B:B,'3店辅助表'!X:X),"-")</f>
        <v>-</v>
      </c>
      <c r="AF210" s="91" t="str">
        <f>IFERROR(SUMIF('3店辅助表'!AC:AC,B:B,'3店辅助表'!AF:AF)/SUMIF('3店辅助表'!AC:AC,B:B,'3店辅助表'!AG:AG),"-")</f>
        <v>-</v>
      </c>
      <c r="AG210" s="99">
        <f>IFERROR(AK210/((SUMIF('3店辅助表'!AT:AT,B:B,'3店辅助表'!AU:AU)+M210)/2),"-")</f>
        <v>0.0384615384615385</v>
      </c>
      <c r="AH210" s="99">
        <f>IFERROR(AL210/((SUMIF('3店辅助表'!AW:AW,B:B,'3店辅助表'!AX:AX)+M210)/2),"-")</f>
        <v>0.0384615384615385</v>
      </c>
      <c r="AI210" s="100">
        <f>IFERROR((SUMIF('3店辅助表'!AP:AP,B:B,'3店辅助表'!AR:AR)-SUMIF('3店辅助表'!AP:AP,B:B,'3店辅助表'!AR:AR)*0.15-(L210+IFERROR(VLOOKUP(B:B,'3店辅助表'!AZ:BA,2,0),0))*O210-IF(AN:AN="US",6.85,4.9)*(Z210+4.27*O210))/SUMIF('3店辅助表'!AP:AP,B:B,'3店辅助表'!AR:AR),"-")</f>
        <v>0.539583014341857</v>
      </c>
      <c r="AJ210" s="100">
        <f t="shared" si="80"/>
        <v>0.0207531928593022</v>
      </c>
      <c r="AK210" s="101">
        <f t="shared" si="81"/>
        <v>13.9</v>
      </c>
      <c r="AL210" s="101">
        <f t="shared" si="82"/>
        <v>13.9</v>
      </c>
      <c r="AM210" s="1" t="str">
        <f>VLOOKUP(B:B,'3店辅助表'!AZ:AZ,1,FALSE)</f>
        <v>Y3092-OR+Y3093+Y3094</v>
      </c>
      <c r="AN210" t="str">
        <f>VLOOKUP(B:B,'3店辅助表'!AZ:BB,3,FALSE)</f>
        <v>CA</v>
      </c>
    </row>
    <row r="211" customHeight="1" spans="1:40">
      <c r="A211" s="58" t="str">
        <f>INDEX('[1]3店'!$A:$A,MATCH(B:B,'[1]3店'!$B:$B,0))</f>
        <v>欣彤</v>
      </c>
      <c r="B211" s="43" t="s">
        <v>1164</v>
      </c>
      <c r="C211" s="43" t="s">
        <v>1165</v>
      </c>
      <c r="D211" s="59">
        <f>VLOOKUP(B:B,'[1]3店'!$B:$L,3,0)</f>
        <v>45070</v>
      </c>
      <c r="E211" s="43" t="s">
        <v>1166</v>
      </c>
      <c r="F211" s="43">
        <v>19</v>
      </c>
      <c r="G211" s="43">
        <v>0</v>
      </c>
      <c r="H211" s="43">
        <v>0</v>
      </c>
      <c r="I211" s="43">
        <v>0</v>
      </c>
      <c r="J211" s="43">
        <v>0</v>
      </c>
      <c r="K211" s="63">
        <f t="shared" si="71"/>
        <v>19</v>
      </c>
      <c r="L211" s="124">
        <f>VLOOKUP($B:$B,'[1]3店'!$B:$L,11,0)</f>
        <v>13.7</v>
      </c>
      <c r="M211" s="44">
        <f t="shared" si="72"/>
        <v>260.3</v>
      </c>
      <c r="N211" s="65">
        <f>IFERROR(VLOOKUP(B:B,'3店辅助表'!B:C,2,FALSE),0)</f>
        <v>0</v>
      </c>
      <c r="O211" s="65">
        <f>IFERROR(VLOOKUP(B:B,'3店辅助表'!E:F,2,FALSE),0)</f>
        <v>0</v>
      </c>
      <c r="P211" s="65">
        <f>IFERROR(VLOOKUP(B:B,'3店辅助表'!H:I,2,FALSE),0)</f>
        <v>0</v>
      </c>
      <c r="Q211" s="65">
        <f>IFERROR(VLOOKUP(B:B,'[1]3店'!$B:$N,13,FALSE),0)</f>
        <v>0</v>
      </c>
      <c r="R211" s="79">
        <f t="shared" si="73"/>
        <v>0</v>
      </c>
      <c r="S211" s="80" t="str">
        <f t="shared" si="74"/>
        <v>-</v>
      </c>
      <c r="T211" s="44" t="str">
        <f t="shared" si="75"/>
        <v>-</v>
      </c>
      <c r="U211" s="44" t="str">
        <f>IFERROR(VLOOKUP($B:$B,'[1]3店'!$B:$T,19,0),"-")</f>
        <v>-</v>
      </c>
      <c r="V211" s="81" t="str">
        <f t="shared" si="76"/>
        <v>-</v>
      </c>
      <c r="W211" s="82" t="str">
        <f t="shared" si="77"/>
        <v>有库存无销量</v>
      </c>
      <c r="X211" s="83" t="str">
        <f t="shared" si="78"/>
        <v>有库存无销量</v>
      </c>
      <c r="Y211" s="44">
        <f>IFERROR(SUMIF('3店辅助表'!K:K,B:B,'3店辅助表'!N:N),0)</f>
        <v>0</v>
      </c>
      <c r="Z211" s="44">
        <f>IFERROR(SUMIF('3店辅助表'!T:T,B:B,'3店辅助表'!W:W),0)</f>
        <v>0</v>
      </c>
      <c r="AA211" s="44">
        <f>IFERROR(SUMIF('3店辅助表'!AC:AC,B:B,'3店辅助表'!AF:AF),0)</f>
        <v>0</v>
      </c>
      <c r="AB211" s="91" t="str">
        <f>IFERROR(SUMIF('3店辅助表'!K:K,B:B,'3店辅助表'!N:N)/SUMIF('3店辅助表'!K:K,B:B,'3店辅助表'!O:O),"-")</f>
        <v>-</v>
      </c>
      <c r="AC211" s="91" t="str">
        <f>IFERROR(VLOOKUP(B:B,'[1]3店'!$B:$AB,27,0),"-")</f>
        <v>-</v>
      </c>
      <c r="AD211" s="92" t="str">
        <f t="shared" si="79"/>
        <v>-</v>
      </c>
      <c r="AE211" s="91" t="str">
        <f>IFERROR(SUMIF('3店辅助表'!T:T,B:B,'3店辅助表'!W:W)/SUMIF('3店辅助表'!T:T,B:B,'3店辅助表'!X:X),"-")</f>
        <v>-</v>
      </c>
      <c r="AF211" s="91" t="str">
        <f>IFERROR(SUMIF('3店辅助表'!AC:AC,B:B,'3店辅助表'!AF:AF)/SUMIF('3店辅助表'!AC:AC,B:B,'3店辅助表'!AG:AG),"-")</f>
        <v>-</v>
      </c>
      <c r="AG211" s="99">
        <f>IFERROR(AK211/((SUMIF('3店辅助表'!AT:AT,B:B,'3店辅助表'!AU:AU)+M211)/2),"-")</f>
        <v>0</v>
      </c>
      <c r="AH211" s="99">
        <f>IFERROR(AL211/((SUMIF('3店辅助表'!AW:AW,B:B,'3店辅助表'!AX:AX)+M211)/2),"-")</f>
        <v>0</v>
      </c>
      <c r="AI211" s="100" t="str">
        <f>IFERROR((SUMIF('3店辅助表'!AP:AP,B:B,'3店辅助表'!AR:AR)-SUMIF('3店辅助表'!AP:AP,B:B,'3店辅助表'!AR:AR)*0.15-(L211+IFERROR(VLOOKUP(B:B,'3店辅助表'!AZ:BA,2,0),0))*O211-IF(AN:AN="US",6.85,4.9)*(Z211+4.27*O211))/SUMIF('3店辅助表'!AP:AP,B:B,'3店辅助表'!AR:AR),"-")</f>
        <v>-</v>
      </c>
      <c r="AJ211" s="100" t="str">
        <f t="shared" si="80"/>
        <v>-</v>
      </c>
      <c r="AK211" s="101">
        <f t="shared" si="81"/>
        <v>0</v>
      </c>
      <c r="AL211" s="101">
        <f t="shared" si="82"/>
        <v>0</v>
      </c>
      <c r="AM211" s="1" t="str">
        <f>VLOOKUP(B:B,'3店辅助表'!AZ:AZ,1,FALSE)</f>
        <v>Y3095-GN</v>
      </c>
      <c r="AN211" t="str">
        <f>VLOOKUP(B:B,'3店辅助表'!AZ:BB,3,FALSE)</f>
        <v>CA</v>
      </c>
    </row>
    <row r="212" customHeight="1" spans="1:40">
      <c r="A212" s="58" t="str">
        <f>INDEX('[1]3店'!$A:$A,MATCH(B:B,'[1]3店'!$B:$B,0))</f>
        <v>欣彤</v>
      </c>
      <c r="B212" s="43" t="s">
        <v>1167</v>
      </c>
      <c r="C212" s="43" t="s">
        <v>1168</v>
      </c>
      <c r="D212" s="59">
        <f>VLOOKUP(B:B,'[1]3店'!$B:$L,3,0)</f>
        <v>45070</v>
      </c>
      <c r="E212" s="43" t="s">
        <v>1169</v>
      </c>
      <c r="F212" s="43">
        <v>19</v>
      </c>
      <c r="G212" s="43">
        <v>0</v>
      </c>
      <c r="H212" s="43">
        <v>0</v>
      </c>
      <c r="I212" s="43">
        <v>0</v>
      </c>
      <c r="J212" s="43">
        <v>0</v>
      </c>
      <c r="K212" s="63">
        <f t="shared" si="71"/>
        <v>19</v>
      </c>
      <c r="L212" s="124">
        <f>VLOOKUP($B:$B,'[1]3店'!$B:$L,11,0)</f>
        <v>13.7</v>
      </c>
      <c r="M212" s="44">
        <f t="shared" si="72"/>
        <v>260.3</v>
      </c>
      <c r="N212" s="65">
        <f>IFERROR(VLOOKUP(B:B,'3店辅助表'!B:C,2,FALSE),0)</f>
        <v>1</v>
      </c>
      <c r="O212" s="65">
        <f>IFERROR(VLOOKUP(B:B,'3店辅助表'!E:F,2,FALSE),0)</f>
        <v>1</v>
      </c>
      <c r="P212" s="65">
        <f>IFERROR(VLOOKUP(B:B,'3店辅助表'!H:I,2,FALSE),0)</f>
        <v>1</v>
      </c>
      <c r="Q212" s="65">
        <f>IFERROR(VLOOKUP(B:B,'[1]3店'!$B:$N,13,FALSE),0)</f>
        <v>0</v>
      </c>
      <c r="R212" s="79">
        <f t="shared" si="73"/>
        <v>1</v>
      </c>
      <c r="S212" s="80">
        <f t="shared" si="74"/>
        <v>234.705882352941</v>
      </c>
      <c r="T212" s="44">
        <f t="shared" si="75"/>
        <v>7.82352941176471</v>
      </c>
      <c r="U212" s="44" t="str">
        <f>IFERROR(VLOOKUP($B:$B,'[1]3店'!$B:$T,19,0),"-")</f>
        <v>-</v>
      </c>
      <c r="V212" s="81" t="str">
        <f t="shared" si="76"/>
        <v>-</v>
      </c>
      <c r="W212" s="82" t="str">
        <f t="shared" si="77"/>
        <v>库存过高</v>
      </c>
      <c r="X212" s="83" t="str">
        <f t="shared" si="78"/>
        <v>库存过高</v>
      </c>
      <c r="Y212" s="44">
        <f>IFERROR(SUMIF('3店辅助表'!K:K,B:B,'3店辅助表'!N:N),0)</f>
        <v>0</v>
      </c>
      <c r="Z212" s="44">
        <f>IFERROR(SUMIF('3店辅助表'!T:T,B:B,'3店辅助表'!W:W),0)</f>
        <v>0</v>
      </c>
      <c r="AA212" s="44">
        <f>IFERROR(SUMIF('3店辅助表'!AC:AC,B:B,'3店辅助表'!AF:AF),0)</f>
        <v>0</v>
      </c>
      <c r="AB212" s="91" t="str">
        <f>IFERROR(SUMIF('3店辅助表'!K:K,B:B,'3店辅助表'!N:N)/SUMIF('3店辅助表'!K:K,B:B,'3店辅助表'!O:O),"-")</f>
        <v>-</v>
      </c>
      <c r="AC212" s="91" t="str">
        <f>IFERROR(VLOOKUP(B:B,'[1]3店'!$B:$AB,27,0),"-")</f>
        <v>-</v>
      </c>
      <c r="AD212" s="92" t="str">
        <f t="shared" si="79"/>
        <v>-</v>
      </c>
      <c r="AE212" s="91" t="str">
        <f>IFERROR(SUMIF('3店辅助表'!T:T,B:B,'3店辅助表'!W:W)/SUMIF('3店辅助表'!T:T,B:B,'3店辅助表'!X:X),"-")</f>
        <v>-</v>
      </c>
      <c r="AF212" s="91" t="str">
        <f>IFERROR(SUMIF('3店辅助表'!AC:AC,B:B,'3店辅助表'!AF:AF)/SUMIF('3店辅助表'!AC:AC,B:B,'3店辅助表'!AG:AG),"-")</f>
        <v>-</v>
      </c>
      <c r="AG212" s="99">
        <f>IFERROR(AK212/((SUMIF('3店辅助表'!AT:AT,B:B,'3店辅助表'!AU:AU)+M212)/2),"-")</f>
        <v>0.0512820512820513</v>
      </c>
      <c r="AH212" s="99">
        <f>IFERROR(AL212/((SUMIF('3店辅助表'!AW:AW,B:B,'3店辅助表'!AX:AX)+M212)/2),"-")</f>
        <v>0.0512820512820513</v>
      </c>
      <c r="AI212" s="100">
        <f>IFERROR((SUMIF('3店辅助表'!AP:AP,B:B,'3店辅助表'!AR:AR)-SUMIF('3店辅助表'!AP:AP,B:B,'3店辅助表'!AR:AR)*0.15-(L212+IFERROR(VLOOKUP(B:B,'3店辅助表'!AZ:BA,2,0),0))*O212-IF(AN:AN="US",6.85,4.9)*(Z212+4.27*O212))/SUMIF('3店辅助表'!AP:AP,B:B,'3店辅助表'!AR:AR),"-")</f>
        <v>0.541041261091789</v>
      </c>
      <c r="AJ212" s="100">
        <f t="shared" si="80"/>
        <v>0.0277457056970148</v>
      </c>
      <c r="AK212" s="101">
        <f t="shared" si="81"/>
        <v>13.7</v>
      </c>
      <c r="AL212" s="101">
        <f t="shared" si="82"/>
        <v>13.7</v>
      </c>
      <c r="AM212" s="1" t="str">
        <f>VLOOKUP(B:B,'3店辅助表'!AZ:AZ,1,FALSE)</f>
        <v>Y3095-GR</v>
      </c>
      <c r="AN212" t="str">
        <f>VLOOKUP(B:B,'3店辅助表'!AZ:BB,3,FALSE)</f>
        <v>CA</v>
      </c>
    </row>
    <row r="213" customHeight="1" spans="1:40">
      <c r="A213" s="58" t="str">
        <f>INDEX('[1]3店'!$A:$A,MATCH(B:B,'[1]3店'!$B:$B,0))</f>
        <v>欣彤</v>
      </c>
      <c r="B213" s="43" t="s">
        <v>1170</v>
      </c>
      <c r="C213" s="43" t="s">
        <v>1171</v>
      </c>
      <c r="D213" s="59">
        <f>VLOOKUP(B:B,'[1]3店'!$B:$L,3,0)</f>
        <v>45070</v>
      </c>
      <c r="E213" s="43" t="s">
        <v>1172</v>
      </c>
      <c r="F213" s="43">
        <v>34</v>
      </c>
      <c r="G213" s="43">
        <v>0</v>
      </c>
      <c r="H213" s="43">
        <v>0</v>
      </c>
      <c r="I213" s="43">
        <v>0</v>
      </c>
      <c r="J213" s="43">
        <v>0</v>
      </c>
      <c r="K213" s="63">
        <f t="shared" si="71"/>
        <v>34</v>
      </c>
      <c r="L213" s="124">
        <f>VLOOKUP($B:$B,'[1]3店'!$B:$L,11,0)</f>
        <v>13.7</v>
      </c>
      <c r="M213" s="44">
        <f t="shared" si="72"/>
        <v>465.8</v>
      </c>
      <c r="N213" s="65">
        <f>IFERROR(VLOOKUP(B:B,'3店辅助表'!B:C,2,FALSE),0)</f>
        <v>0</v>
      </c>
      <c r="O213" s="65">
        <f>IFERROR(VLOOKUP(B:B,'3店辅助表'!E:F,2,FALSE),0)</f>
        <v>0</v>
      </c>
      <c r="P213" s="65">
        <f>IFERROR(VLOOKUP(B:B,'3店辅助表'!H:I,2,FALSE),0)</f>
        <v>0</v>
      </c>
      <c r="Q213" s="65">
        <f>IFERROR(VLOOKUP(B:B,'[1]3店'!$B:$N,13,FALSE),0)</f>
        <v>0</v>
      </c>
      <c r="R213" s="79">
        <f t="shared" si="73"/>
        <v>0</v>
      </c>
      <c r="S213" s="80" t="str">
        <f t="shared" si="74"/>
        <v>-</v>
      </c>
      <c r="T213" s="44" t="str">
        <f t="shared" si="75"/>
        <v>-</v>
      </c>
      <c r="U213" s="44" t="str">
        <f>IFERROR(VLOOKUP($B:$B,'[1]3店'!$B:$T,19,0),"-")</f>
        <v>-</v>
      </c>
      <c r="V213" s="81" t="str">
        <f t="shared" si="76"/>
        <v>-</v>
      </c>
      <c r="W213" s="82" t="str">
        <f t="shared" si="77"/>
        <v>有库存无销量</v>
      </c>
      <c r="X213" s="83" t="str">
        <f t="shared" si="78"/>
        <v>有库存无销量</v>
      </c>
      <c r="Y213" s="44">
        <f>IFERROR(SUMIF('3店辅助表'!K:K,B:B,'3店辅助表'!N:N),0)</f>
        <v>0</v>
      </c>
      <c r="Z213" s="44">
        <f>IFERROR(SUMIF('3店辅助表'!T:T,B:B,'3店辅助表'!W:W),0)</f>
        <v>0</v>
      </c>
      <c r="AA213" s="44">
        <f>IFERROR(SUMIF('3店辅助表'!AC:AC,B:B,'3店辅助表'!AF:AF),0)</f>
        <v>0</v>
      </c>
      <c r="AB213" s="91" t="str">
        <f>IFERROR(SUMIF('3店辅助表'!K:K,B:B,'3店辅助表'!N:N)/SUMIF('3店辅助表'!K:K,B:B,'3店辅助表'!O:O),"-")</f>
        <v>-</v>
      </c>
      <c r="AC213" s="91" t="str">
        <f>IFERROR(VLOOKUP(B:B,'[1]3店'!$B:$AB,27,0),"-")</f>
        <v>-</v>
      </c>
      <c r="AD213" s="92" t="str">
        <f t="shared" si="79"/>
        <v>-</v>
      </c>
      <c r="AE213" s="91" t="str">
        <f>IFERROR(SUMIF('3店辅助表'!T:T,B:B,'3店辅助表'!W:W)/SUMIF('3店辅助表'!T:T,B:B,'3店辅助表'!X:X),"-")</f>
        <v>-</v>
      </c>
      <c r="AF213" s="91" t="str">
        <f>IFERROR(SUMIF('3店辅助表'!AC:AC,B:B,'3店辅助表'!AF:AF)/SUMIF('3店辅助表'!AC:AC,B:B,'3店辅助表'!AG:AG),"-")</f>
        <v>-</v>
      </c>
      <c r="AG213" s="99">
        <f>IFERROR(AK213/((SUMIF('3店辅助表'!AT:AT,B:B,'3店辅助表'!AU:AU)+M213)/2),"-")</f>
        <v>0</v>
      </c>
      <c r="AH213" s="99">
        <f>IFERROR(AL213/((SUMIF('3店辅助表'!AW:AW,B:B,'3店辅助表'!AX:AX)+M213)/2),"-")</f>
        <v>0</v>
      </c>
      <c r="AI213" s="100" t="str">
        <f>IFERROR((SUMIF('3店辅助表'!AP:AP,B:B,'3店辅助表'!AR:AR)-SUMIF('3店辅助表'!AP:AP,B:B,'3店辅助表'!AR:AR)*0.15-(L213+IFERROR(VLOOKUP(B:B,'3店辅助表'!AZ:BA,2,0),0))*O213-IF(AN:AN="US",6.85,4.9)*(Z213+4.27*O213))/SUMIF('3店辅助表'!AP:AP,B:B,'3店辅助表'!AR:AR),"-")</f>
        <v>-</v>
      </c>
      <c r="AJ213" s="100" t="str">
        <f t="shared" si="80"/>
        <v>-</v>
      </c>
      <c r="AK213" s="101">
        <f t="shared" si="81"/>
        <v>0</v>
      </c>
      <c r="AL213" s="101">
        <f t="shared" si="82"/>
        <v>0</v>
      </c>
      <c r="AM213" s="1" t="str">
        <f>VLOOKUP(B:B,'3店辅助表'!AZ:AZ,1,FALSE)</f>
        <v>Y3095-NB</v>
      </c>
      <c r="AN213" t="str">
        <f>VLOOKUP(B:B,'3店辅助表'!AZ:BB,3,FALSE)</f>
        <v>CA</v>
      </c>
    </row>
    <row r="214" customHeight="1" spans="1:40">
      <c r="A214" s="58" t="str">
        <f>INDEX('[1]3店'!$A:$A,MATCH(B:B,'[1]3店'!$B:$B,0))</f>
        <v>欣彤</v>
      </c>
      <c r="B214" s="43" t="s">
        <v>1173</v>
      </c>
      <c r="C214" s="43" t="s">
        <v>1174</v>
      </c>
      <c r="D214" s="59">
        <f>VLOOKUP(B:B,'[1]3店'!$B:$L,3,0)</f>
        <v>45107</v>
      </c>
      <c r="E214" s="43" t="s">
        <v>1175</v>
      </c>
      <c r="F214" s="43">
        <v>102</v>
      </c>
      <c r="G214" s="43">
        <v>0</v>
      </c>
      <c r="H214" s="43">
        <v>0</v>
      </c>
      <c r="I214" s="43">
        <v>0</v>
      </c>
      <c r="J214" s="43">
        <v>4</v>
      </c>
      <c r="K214" s="63">
        <f t="shared" si="71"/>
        <v>106</v>
      </c>
      <c r="L214" s="124">
        <f>VLOOKUP($B:$B,'[1]3店'!$B:$L,11,0)</f>
        <v>13.9</v>
      </c>
      <c r="M214" s="44">
        <f t="shared" si="72"/>
        <v>1473.4</v>
      </c>
      <c r="N214" s="65">
        <f>IFERROR(VLOOKUP(B:B,'3店辅助表'!B:C,2,FALSE),0)</f>
        <v>2</v>
      </c>
      <c r="O214" s="65">
        <f>IFERROR(VLOOKUP(B:B,'3店辅助表'!E:F,2,FALSE),0)</f>
        <v>7</v>
      </c>
      <c r="P214" s="65">
        <f>IFERROR(VLOOKUP(B:B,'3店辅助表'!H:I,2,FALSE),0)</f>
        <v>15</v>
      </c>
      <c r="Q214" s="65">
        <f>IFERROR(VLOOKUP(B:B,'[1]3店'!$B:$N,13,FALSE),0)</f>
        <v>5</v>
      </c>
      <c r="R214" s="79">
        <f t="shared" si="73"/>
        <v>-3</v>
      </c>
      <c r="S214" s="80">
        <f t="shared" si="74"/>
        <v>253.916349809886</v>
      </c>
      <c r="T214" s="44">
        <f t="shared" si="75"/>
        <v>8.4638783269962</v>
      </c>
      <c r="U214" s="44">
        <f>IFERROR(VLOOKUP($B:$B,'[1]3店'!$B:$T,19,0),"-")</f>
        <v>6.06185567010309</v>
      </c>
      <c r="V214" s="81">
        <f t="shared" si="76"/>
        <v>2.40202265689311</v>
      </c>
      <c r="W214" s="82" t="str">
        <f t="shared" si="77"/>
        <v>库存过高</v>
      </c>
      <c r="X214" s="83" t="str">
        <f t="shared" si="78"/>
        <v>库存过高</v>
      </c>
      <c r="Y214" s="44">
        <f>IFERROR(SUMIF('3店辅助表'!K:K,B:B,'3店辅助表'!N:N),0)</f>
        <v>0</v>
      </c>
      <c r="Z214" s="44">
        <f>IFERROR(SUMIF('3店辅助表'!T:T,B:B,'3店辅助表'!W:W),0)</f>
        <v>0</v>
      </c>
      <c r="AA214" s="44">
        <f>IFERROR(SUMIF('3店辅助表'!AC:AC,B:B,'3店辅助表'!AF:AF),0)</f>
        <v>0</v>
      </c>
      <c r="AB214" s="91" t="str">
        <f>IFERROR(SUMIF('3店辅助表'!K:K,B:B,'3店辅助表'!N:N)/SUMIF('3店辅助表'!K:K,B:B,'3店辅助表'!O:O),"-")</f>
        <v>-</v>
      </c>
      <c r="AC214" s="91" t="str">
        <f>IFERROR(VLOOKUP(B:B,'[1]3店'!$B:$AB,27,0),"-")</f>
        <v>-</v>
      </c>
      <c r="AD214" s="92" t="str">
        <f t="shared" si="79"/>
        <v>-</v>
      </c>
      <c r="AE214" s="91" t="str">
        <f>IFERROR(SUMIF('3店辅助表'!T:T,B:B,'3店辅助表'!W:W)/SUMIF('3店辅助表'!T:T,B:B,'3店辅助表'!X:X),"-")</f>
        <v>-</v>
      </c>
      <c r="AF214" s="91" t="str">
        <f>IFERROR(SUMIF('3店辅助表'!AC:AC,B:B,'3店辅助表'!AF:AF)/SUMIF('3店辅助表'!AC:AC,B:B,'3店辅助表'!AG:AG),"-")</f>
        <v>-</v>
      </c>
      <c r="AG214" s="99">
        <f>IFERROR(AK214/((SUMIF('3店辅助表'!AT:AT,B:B,'3店辅助表'!AU:AU)+M214)/2),"-")</f>
        <v>0.018348623853211</v>
      </c>
      <c r="AH214" s="99">
        <f>IFERROR(AL214/((SUMIF('3店辅助表'!AW:AW,B:B,'3店辅助表'!AX:AX)+M214)/2),"-")</f>
        <v>0.0622222222222222</v>
      </c>
      <c r="AI214" s="100">
        <f>IFERROR((SUMIF('3店辅助表'!AP:AP,B:B,'3店辅助表'!AR:AR)-SUMIF('3店辅助表'!AP:AP,B:B,'3店辅助表'!AR:AR)*0.15-(L214+IFERROR(VLOOKUP(B:B,'3店辅助表'!AZ:BA,2,0),0))*O214-IF(AN:AN="US",6.85,4.9)*(Z214+4.27*O214))/SUMIF('3店辅助表'!AP:AP,B:B,'3店辅助表'!AR:AR),"-")</f>
        <v>0.195543061708388</v>
      </c>
      <c r="AJ214" s="100">
        <f t="shared" si="80"/>
        <v>0.012167123839633</v>
      </c>
      <c r="AK214" s="101">
        <f t="shared" si="81"/>
        <v>27.8</v>
      </c>
      <c r="AL214" s="101">
        <f t="shared" si="82"/>
        <v>97.3</v>
      </c>
      <c r="AM214" s="1" t="str">
        <f>VLOOKUP(B:B,'3店辅助表'!AZ:AZ,1,FALSE)</f>
        <v>Y3096-BL+Y3097+Y3098</v>
      </c>
      <c r="AN214" t="str">
        <f>VLOOKUP(B:B,'3店辅助表'!AZ:BB,3,FALSE)</f>
        <v>US</v>
      </c>
    </row>
    <row r="215" customHeight="1" spans="1:40">
      <c r="A215" s="58" t="str">
        <f>INDEX('[1]3店'!$A:$A,MATCH(B:B,'[1]3店'!$B:$B,0))</f>
        <v>欣彤</v>
      </c>
      <c r="B215" s="43" t="s">
        <v>1176</v>
      </c>
      <c r="C215" s="43" t="s">
        <v>1174</v>
      </c>
      <c r="D215" s="59">
        <f>VLOOKUP(B:B,'[1]3店'!$B:$L,3,0)</f>
        <v>45107</v>
      </c>
      <c r="E215" s="43" t="s">
        <v>1177</v>
      </c>
      <c r="F215" s="43">
        <v>54</v>
      </c>
      <c r="G215" s="43">
        <v>1</v>
      </c>
      <c r="H215" s="43">
        <v>2</v>
      </c>
      <c r="I215" s="43">
        <v>1</v>
      </c>
      <c r="J215" s="43">
        <v>0</v>
      </c>
      <c r="K215" s="63">
        <f t="shared" si="71"/>
        <v>58</v>
      </c>
      <c r="L215" s="124">
        <f>VLOOKUP($B:$B,'[1]3店'!$B:$L,11,0)</f>
        <v>13.9</v>
      </c>
      <c r="M215" s="44">
        <f t="shared" si="72"/>
        <v>806.2</v>
      </c>
      <c r="N215" s="65">
        <f>IFERROR(VLOOKUP(B:B,'3店辅助表'!B:C,2,FALSE),0)</f>
        <v>2</v>
      </c>
      <c r="O215" s="65">
        <f>IFERROR(VLOOKUP(B:B,'3店辅助表'!E:F,2,FALSE),0)</f>
        <v>7</v>
      </c>
      <c r="P215" s="65">
        <f>IFERROR(VLOOKUP(B:B,'3店辅助表'!H:I,2,FALSE),0)</f>
        <v>12</v>
      </c>
      <c r="Q215" s="65">
        <f>IFERROR(VLOOKUP(B:B,'[1]3店'!$B:$N,13,FALSE),0)</f>
        <v>4</v>
      </c>
      <c r="R215" s="79">
        <f t="shared" si="73"/>
        <v>-2</v>
      </c>
      <c r="S215" s="80">
        <f t="shared" si="74"/>
        <v>150.99173553719</v>
      </c>
      <c r="T215" s="44">
        <f t="shared" si="75"/>
        <v>5.03305785123967</v>
      </c>
      <c r="U215" s="44">
        <f>IFERROR(VLOOKUP($B:$B,'[1]3店'!$B:$T,19,0),"-")</f>
        <v>3.45205479452055</v>
      </c>
      <c r="V215" s="81">
        <f t="shared" si="76"/>
        <v>1.58100305671912</v>
      </c>
      <c r="W215" s="82" t="str">
        <f t="shared" si="77"/>
        <v>库存过高</v>
      </c>
      <c r="X215" s="83" t="str">
        <f t="shared" si="78"/>
        <v>库存过高</v>
      </c>
      <c r="Y215" s="44">
        <f>IFERROR(SUMIF('3店辅助表'!K:K,B:B,'3店辅助表'!N:N),0)</f>
        <v>11.67</v>
      </c>
      <c r="Z215" s="44">
        <f>IFERROR(SUMIF('3店辅助表'!T:T,B:B,'3店辅助表'!W:W),0)</f>
        <v>12.12</v>
      </c>
      <c r="AA215" s="44">
        <f>IFERROR(SUMIF('3店辅助表'!AC:AC,B:B,'3店辅助表'!AF:AF),0)</f>
        <v>12.12</v>
      </c>
      <c r="AB215" s="91">
        <f>IFERROR(SUMIF('3店辅助表'!K:K,B:B,'3店辅助表'!N:N)/SUMIF('3店辅助表'!K:K,B:B,'3店辅助表'!O:O),"-")</f>
        <v>0.44919168591224</v>
      </c>
      <c r="AC215" s="91" t="str">
        <f>IFERROR(VLOOKUP(B:B,'[1]3店'!$B:$AB,27,0),"-")</f>
        <v>-</v>
      </c>
      <c r="AD215" s="92" t="str">
        <f t="shared" si="79"/>
        <v>-</v>
      </c>
      <c r="AE215" s="91">
        <f>IFERROR(SUMIF('3店辅助表'!T:T,B:B,'3店辅助表'!W:W)/SUMIF('3店辅助表'!T:T,B:B,'3店辅助表'!X:X),"-")</f>
        <v>0.466512702078522</v>
      </c>
      <c r="AF215" s="91">
        <f>IFERROR(SUMIF('3店辅助表'!AC:AC,B:B,'3店辅助表'!AF:AF)/SUMIF('3店辅助表'!AC:AC,B:B,'3店辅助表'!AG:AG),"-")</f>
        <v>0.466512702078522</v>
      </c>
      <c r="AG215" s="99">
        <f>IFERROR(AK215/((SUMIF('3店辅助表'!AT:AT,B:B,'3店辅助表'!AU:AU)+M215)/2),"-")</f>
        <v>0.0338983050847458</v>
      </c>
      <c r="AH215" s="99">
        <f>IFERROR(AL215/((SUMIF('3店辅助表'!AW:AW,B:B,'3店辅助表'!AX:AX)+M215)/2),"-")</f>
        <v>0.110236220472441</v>
      </c>
      <c r="AI215" s="100">
        <f>IFERROR((SUMIF('3店辅助表'!AP:AP,B:B,'3店辅助表'!AR:AR)-SUMIF('3店辅助表'!AP:AP,B:B,'3店辅助表'!AR:AR)*0.15-(L215+IFERROR(VLOOKUP(B:B,'3店辅助表'!AZ:BA,2,0),0))*O215-IF(AN:AN="US",6.85,4.9)*(Z215+4.27*O215))/SUMIF('3店辅助表'!AP:AP,B:B,'3店辅助表'!AR:AR),"-")</f>
        <v>0.125505185429322</v>
      </c>
      <c r="AJ215" s="100">
        <f t="shared" si="80"/>
        <v>0.0138352172914213</v>
      </c>
      <c r="AK215" s="101">
        <f t="shared" si="81"/>
        <v>27.8</v>
      </c>
      <c r="AL215" s="101">
        <f t="shared" si="82"/>
        <v>97.3</v>
      </c>
      <c r="AM215" s="1" t="str">
        <f>VLOOKUP(B:B,'3店辅助表'!AZ:AZ,1,FALSE)</f>
        <v>Y3096-DB+Y3097+Y3098</v>
      </c>
      <c r="AN215" t="str">
        <f>VLOOKUP(B:B,'3店辅助表'!AZ:BB,3,FALSE)</f>
        <v>US</v>
      </c>
    </row>
    <row r="216" customHeight="1" spans="1:40">
      <c r="A216" s="58" t="str">
        <f>INDEX('[1]3店'!$A:$A,MATCH(B:B,'[1]3店'!$B:$B,0))</f>
        <v>欣彤</v>
      </c>
      <c r="B216" s="43" t="s">
        <v>1178</v>
      </c>
      <c r="C216" s="43" t="s">
        <v>1174</v>
      </c>
      <c r="D216" s="59">
        <f>VLOOKUP(B:B,'[1]3店'!$B:$L,3,0)</f>
        <v>45107</v>
      </c>
      <c r="E216" s="43" t="s">
        <v>1179</v>
      </c>
      <c r="F216" s="43">
        <v>46</v>
      </c>
      <c r="G216" s="43">
        <v>0</v>
      </c>
      <c r="H216" s="43">
        <v>0</v>
      </c>
      <c r="I216" s="43">
        <v>0</v>
      </c>
      <c r="J216" s="43">
        <v>4</v>
      </c>
      <c r="K216" s="63">
        <f t="shared" ref="K216:K251" si="83">F216+G216+H216+I216+J216</f>
        <v>50</v>
      </c>
      <c r="L216" s="124">
        <f>VLOOKUP($B:$B,'[1]3店'!$B:$L,11,0)</f>
        <v>13.9</v>
      </c>
      <c r="M216" s="44">
        <f t="shared" ref="M216:M251" si="84">K216*L216</f>
        <v>695</v>
      </c>
      <c r="N216" s="65">
        <f>IFERROR(VLOOKUP(B:B,'3店辅助表'!B:C,2,FALSE),0)</f>
        <v>1</v>
      </c>
      <c r="O216" s="65">
        <f>IFERROR(VLOOKUP(B:B,'3店辅助表'!E:F,2,FALSE),0)</f>
        <v>1</v>
      </c>
      <c r="P216" s="65">
        <f>IFERROR(VLOOKUP(B:B,'3店辅助表'!H:I,2,FALSE),0)</f>
        <v>3</v>
      </c>
      <c r="Q216" s="65">
        <f>IFERROR(VLOOKUP(B:B,'[1]3店'!$B:$N,13,FALSE),0)</f>
        <v>0</v>
      </c>
      <c r="R216" s="79">
        <f t="shared" ref="R216:R251" si="85">N216-Q216</f>
        <v>1</v>
      </c>
      <c r="S216" s="80">
        <f t="shared" ref="S216:S251" si="86">IFERROR(K216/((N216/7+O216/15+P216/30)/3),"-")</f>
        <v>484.615384615385</v>
      </c>
      <c r="T216" s="44">
        <f t="shared" ref="T216:T251" si="87">IFERROR(S216/30,"-")</f>
        <v>16.1538461538462</v>
      </c>
      <c r="U216" s="44">
        <f>IFERROR(VLOOKUP($B:$B,'[1]3店'!$B:$T,19,0),"-")</f>
        <v>41.25</v>
      </c>
      <c r="V216" s="81">
        <f t="shared" ref="V216:V251" si="88">IFERROR(T216-U216,"-")</f>
        <v>-25.0961538461538</v>
      </c>
      <c r="W216" s="82" t="str">
        <f t="shared" ref="W216:W251" si="89">_xlfn.IFS(AND(D216&lt;&gt;0,D216-$AM$2&gt;=0,B216&gt;0,D216&lt;&gt;0),"本月刚到货",AND(IFERROR((K216/(N216/7))/30,"-")="-",K216&gt;0),"有库存无销量",AND(IFERROR((K216/(N216/7))/30,"-")="-",K216=0),"无库存无销量",AND(IFERROR((K216/(N216/7))/30,"-")&lt;=0.5,K216=0),"无库存有销量",IFERROR((K216/(N216/7))/30,"-")&lt;=0.5,"库存过低",IFERROR((K216/(N216/7))/30,"-")&lt;=1.5,"正常",IFERROR((K216/(N216/7))/30,"-")&gt;1.5,"库存过高")</f>
        <v>库存过高</v>
      </c>
      <c r="X216" s="83" t="str">
        <f t="shared" ref="X216:X251" si="90">_xlfn.IFS(AND(D216&lt;&gt;0,D216-$AM$2&gt;=0,K216&gt;0,D216&lt;&gt;0),"本月刚到货",AND(T216="-",K216&gt;0),"有库存无销量",AND(T216="-",K216=0),"无库存无销量",AND(T216&lt;=0.5,K216=0),"无库存有销量",T216&lt;=0.5,"库存过低",T216&lt;=1.5,"正常",T216&gt;1.5,"库存过高")</f>
        <v>库存过高</v>
      </c>
      <c r="Y216" s="44">
        <f>IFERROR(SUMIF('3店辅助表'!K:K,B:B,'3店辅助表'!N:N),0)</f>
        <v>0</v>
      </c>
      <c r="Z216" s="44">
        <f>IFERROR(SUMIF('3店辅助表'!T:T,B:B,'3店辅助表'!W:W),0)</f>
        <v>0</v>
      </c>
      <c r="AA216" s="44">
        <f>IFERROR(SUMIF('3店辅助表'!AC:AC,B:B,'3店辅助表'!AF:AF),0)</f>
        <v>0</v>
      </c>
      <c r="AB216" s="91" t="str">
        <f>IFERROR(SUMIF('3店辅助表'!K:K,B:B,'3店辅助表'!N:N)/SUMIF('3店辅助表'!K:K,B:B,'3店辅助表'!O:O),"-")</f>
        <v>-</v>
      </c>
      <c r="AC216" s="91" t="str">
        <f>IFERROR(VLOOKUP(B:B,'[1]3店'!$B:$AB,27,0),"-")</f>
        <v>-</v>
      </c>
      <c r="AD216" s="92" t="str">
        <f t="shared" ref="AD216:AD251" si="91">IFERROR(AB216-AC216,"-")</f>
        <v>-</v>
      </c>
      <c r="AE216" s="91" t="str">
        <f>IFERROR(SUMIF('3店辅助表'!T:T,B:B,'3店辅助表'!W:W)/SUMIF('3店辅助表'!T:T,B:B,'3店辅助表'!X:X),"-")</f>
        <v>-</v>
      </c>
      <c r="AF216" s="91" t="str">
        <f>IFERROR(SUMIF('3店辅助表'!AC:AC,B:B,'3店辅助表'!AF:AF)/SUMIF('3店辅助表'!AC:AC,B:B,'3店辅助表'!AG:AG),"-")</f>
        <v>-</v>
      </c>
      <c r="AG216" s="99">
        <f>IFERROR(AK216/((SUMIF('3店辅助表'!AT:AT,B:B,'3店辅助表'!AU:AU)+M216)/2),"-")</f>
        <v>0.019047619047619</v>
      </c>
      <c r="AH216" s="99">
        <f>IFERROR(AL216/((SUMIF('3店辅助表'!AW:AW,B:B,'3店辅助表'!AX:AX)+M216)/2),"-")</f>
        <v>0.0194174757281553</v>
      </c>
      <c r="AI216" s="100">
        <f>IFERROR((SUMIF('3店辅助表'!AP:AP,B:B,'3店辅助表'!AR:AR)-SUMIF('3店辅助表'!AP:AP,B:B,'3店辅助表'!AR:AR)*0.15-(L216+IFERROR(VLOOKUP(B:B,'3店辅助表'!AZ:BA,2,0),0))*O216-IF(AN:AN="US",6.85,4.9)*(Z216+4.27*O216))/SUMIF('3店辅助表'!AP:AP,B:B,'3店辅助表'!AR:AR),"-")</f>
        <v>0.309567438175351</v>
      </c>
      <c r="AJ216" s="100">
        <f t="shared" ref="AJ216:AJ251" si="92">IFERROR(AH216*AI216,"-")</f>
        <v>0.00601101821699711</v>
      </c>
      <c r="AK216" s="101">
        <f t="shared" ref="AK216:AK251" si="93">N216*$L216</f>
        <v>13.9</v>
      </c>
      <c r="AL216" s="101">
        <f t="shared" ref="AL216:AL251" si="94">O216*$L216</f>
        <v>13.9</v>
      </c>
      <c r="AM216" s="1" t="str">
        <f>VLOOKUP(B:B,'3店辅助表'!AZ:AZ,1,FALSE)</f>
        <v>Y3096-GK+Y3097+Y3098</v>
      </c>
      <c r="AN216" t="str">
        <f>VLOOKUP(B:B,'3店辅助表'!AZ:BB,3,FALSE)</f>
        <v>US</v>
      </c>
    </row>
    <row r="217" customHeight="1" spans="1:40">
      <c r="A217" s="58" t="str">
        <f>INDEX('[1]3店'!$A:$A,MATCH(B:B,'[1]3店'!$B:$B,0))</f>
        <v>欣彤</v>
      </c>
      <c r="B217" s="43" t="s">
        <v>1180</v>
      </c>
      <c r="C217" s="43" t="s">
        <v>1174</v>
      </c>
      <c r="D217" s="59">
        <f>VLOOKUP(B:B,'[1]3店'!$B:$L,3,0)</f>
        <v>45107</v>
      </c>
      <c r="E217" s="43" t="s">
        <v>1181</v>
      </c>
      <c r="F217" s="43">
        <v>29</v>
      </c>
      <c r="G217" s="43">
        <v>0</v>
      </c>
      <c r="H217" s="43">
        <v>0</v>
      </c>
      <c r="I217" s="43">
        <v>0</v>
      </c>
      <c r="J217" s="43">
        <v>22</v>
      </c>
      <c r="K217" s="63">
        <f t="shared" si="83"/>
        <v>51</v>
      </c>
      <c r="L217" s="124">
        <f>VLOOKUP($B:$B,'[1]3店'!$B:$L,11,0)</f>
        <v>13.9</v>
      </c>
      <c r="M217" s="44">
        <f t="shared" si="84"/>
        <v>708.9</v>
      </c>
      <c r="N217" s="65">
        <f>IFERROR(VLOOKUP(B:B,'3店辅助表'!B:C,2,FALSE),0)</f>
        <v>1</v>
      </c>
      <c r="O217" s="65">
        <f>IFERROR(VLOOKUP(B:B,'3店辅助表'!E:F,2,FALSE),0)</f>
        <v>1</v>
      </c>
      <c r="P217" s="65">
        <f>IFERROR(VLOOKUP(B:B,'3店辅助表'!H:I,2,FALSE),0)</f>
        <v>3</v>
      </c>
      <c r="Q217" s="65">
        <f>IFERROR(VLOOKUP(B:B,'[1]3店'!$B:$N,13,FALSE),0)</f>
        <v>0</v>
      </c>
      <c r="R217" s="79">
        <f t="shared" si="85"/>
        <v>1</v>
      </c>
      <c r="S217" s="80">
        <f t="shared" si="86"/>
        <v>494.307692307692</v>
      </c>
      <c r="T217" s="44">
        <f t="shared" si="87"/>
        <v>16.4769230769231</v>
      </c>
      <c r="U217" s="44">
        <f>IFERROR(VLOOKUP($B:$B,'[1]3店'!$B:$T,19,0),"-")</f>
        <v>78</v>
      </c>
      <c r="V217" s="81">
        <f t="shared" si="88"/>
        <v>-61.5230769230769</v>
      </c>
      <c r="W217" s="82" t="str">
        <f t="shared" si="89"/>
        <v>库存过高</v>
      </c>
      <c r="X217" s="83" t="str">
        <f t="shared" si="90"/>
        <v>库存过高</v>
      </c>
      <c r="Y217" s="44">
        <f>IFERROR(SUMIF('3店辅助表'!K:K,B:B,'3店辅助表'!N:N),0)</f>
        <v>0</v>
      </c>
      <c r="Z217" s="44">
        <f>IFERROR(SUMIF('3店辅助表'!T:T,B:B,'3店辅助表'!W:W),0)</f>
        <v>0</v>
      </c>
      <c r="AA217" s="44">
        <f>IFERROR(SUMIF('3店辅助表'!AC:AC,B:B,'3店辅助表'!AF:AF),0)</f>
        <v>0</v>
      </c>
      <c r="AB217" s="91" t="str">
        <f>IFERROR(SUMIF('3店辅助表'!K:K,B:B,'3店辅助表'!N:N)/SUMIF('3店辅助表'!K:K,B:B,'3店辅助表'!O:O),"-")</f>
        <v>-</v>
      </c>
      <c r="AC217" s="91" t="str">
        <f>IFERROR(VLOOKUP(B:B,'[1]3店'!$B:$AB,27,0),"-")</f>
        <v>-</v>
      </c>
      <c r="AD217" s="92" t="str">
        <f t="shared" si="91"/>
        <v>-</v>
      </c>
      <c r="AE217" s="91" t="str">
        <f>IFERROR(SUMIF('3店辅助表'!T:T,B:B,'3店辅助表'!W:W)/SUMIF('3店辅助表'!T:T,B:B,'3店辅助表'!X:X),"-")</f>
        <v>-</v>
      </c>
      <c r="AF217" s="91" t="str">
        <f>IFERROR(SUMIF('3店辅助表'!AC:AC,B:B,'3店辅助表'!AF:AF)/SUMIF('3店辅助表'!AC:AC,B:B,'3店辅助表'!AG:AG),"-")</f>
        <v>-</v>
      </c>
      <c r="AG217" s="99">
        <f>IFERROR(AK217/((SUMIF('3店辅助表'!AT:AT,B:B,'3店辅助表'!AU:AU)+M217)/2),"-")</f>
        <v>0.0194174757281553</v>
      </c>
      <c r="AH217" s="99">
        <f>IFERROR(AL217/((SUMIF('3店辅助表'!AW:AW,B:B,'3店辅助表'!AX:AX)+M217)/2),"-")</f>
        <v>0.0192307692307692</v>
      </c>
      <c r="AI217" s="100">
        <f>IFERROR((SUMIF('3店辅助表'!AP:AP,B:B,'3店辅助表'!AR:AR)-SUMIF('3店辅助表'!AP:AP,B:B,'3店辅助表'!AR:AR)*0.15-(L217+IFERROR(VLOOKUP(B:B,'3店辅助表'!AZ:BA,2,0),0))*O217-IF(AN:AN="US",6.85,4.9)*(Z217+4.27*O217))/SUMIF('3店辅助表'!AP:AP,B:B,'3店辅助表'!AR:AR),"-")</f>
        <v>0.309072953366711</v>
      </c>
      <c r="AJ217" s="100">
        <f t="shared" si="92"/>
        <v>0.00594371064166752</v>
      </c>
      <c r="AK217" s="101">
        <f t="shared" si="93"/>
        <v>13.9</v>
      </c>
      <c r="AL217" s="101">
        <f t="shared" si="94"/>
        <v>13.9</v>
      </c>
      <c r="AM217" s="1" t="str">
        <f>VLOOKUP(B:B,'3店辅助表'!AZ:AZ,1,FALSE)</f>
        <v>Y3096-BY+Y3097+Y3098</v>
      </c>
      <c r="AN217" t="str">
        <f>VLOOKUP(B:B,'3店辅助表'!AZ:BB,3,FALSE)</f>
        <v>US</v>
      </c>
    </row>
    <row r="218" customHeight="1" spans="1:40">
      <c r="A218" s="58" t="str">
        <f>INDEX('[1]3店'!$A:$A,MATCH(B:B,'[1]3店'!$B:$B,0))</f>
        <v>欣彤</v>
      </c>
      <c r="B218" s="43" t="s">
        <v>1182</v>
      </c>
      <c r="C218" s="43" t="s">
        <v>1174</v>
      </c>
      <c r="D218" s="59">
        <f>VLOOKUP(B:B,'[1]3店'!$B:$L,3,0)</f>
        <v>45107</v>
      </c>
      <c r="E218" s="43" t="s">
        <v>1183</v>
      </c>
      <c r="F218" s="43">
        <v>37</v>
      </c>
      <c r="G218" s="43">
        <v>1</v>
      </c>
      <c r="H218" s="43">
        <v>16</v>
      </c>
      <c r="I218" s="43">
        <v>0</v>
      </c>
      <c r="J218" s="43">
        <v>0</v>
      </c>
      <c r="K218" s="63">
        <f t="shared" si="83"/>
        <v>54</v>
      </c>
      <c r="L218" s="124">
        <f>VLOOKUP($B:$B,'[1]3店'!$B:$L,11,0)</f>
        <v>13.9</v>
      </c>
      <c r="M218" s="44">
        <f t="shared" si="84"/>
        <v>750.6</v>
      </c>
      <c r="N218" s="65">
        <f>IFERROR(VLOOKUP(B:B,'3店辅助表'!B:C,2,FALSE),0)</f>
        <v>1</v>
      </c>
      <c r="O218" s="65">
        <f>IFERROR(VLOOKUP(B:B,'3店辅助表'!E:F,2,FALSE),0)</f>
        <v>6</v>
      </c>
      <c r="P218" s="65">
        <f>IFERROR(VLOOKUP(B:B,'3店辅助表'!H:I,2,FALSE),0)</f>
        <v>14</v>
      </c>
      <c r="Q218" s="65">
        <f>IFERROR(VLOOKUP(B:B,'[1]3店'!$B:$N,13,FALSE),0)</f>
        <v>4</v>
      </c>
      <c r="R218" s="79">
        <f t="shared" si="85"/>
        <v>-3</v>
      </c>
      <c r="S218" s="80">
        <f t="shared" si="86"/>
        <v>160.471698113208</v>
      </c>
      <c r="T218" s="44">
        <f t="shared" si="87"/>
        <v>5.34905660377359</v>
      </c>
      <c r="U218" s="44">
        <f>IFERROR(VLOOKUP($B:$B,'[1]3店'!$B:$T,19,0),"-")</f>
        <v>5.41935483870968</v>
      </c>
      <c r="V218" s="81">
        <f t="shared" si="88"/>
        <v>-0.0702982349360894</v>
      </c>
      <c r="W218" s="82" t="str">
        <f t="shared" si="89"/>
        <v>库存过高</v>
      </c>
      <c r="X218" s="83" t="str">
        <f t="shared" si="90"/>
        <v>库存过高</v>
      </c>
      <c r="Y218" s="44">
        <f>IFERROR(SUMIF('3店辅助表'!K:K,B:B,'3店辅助表'!N:N),0)</f>
        <v>0</v>
      </c>
      <c r="Z218" s="44">
        <f>IFERROR(SUMIF('3店辅助表'!T:T,B:B,'3店辅助表'!W:W),0)</f>
        <v>60.83</v>
      </c>
      <c r="AA218" s="44">
        <f>IFERROR(SUMIF('3店辅助表'!AC:AC,B:B,'3店辅助表'!AF:AF),0)</f>
        <v>169.15</v>
      </c>
      <c r="AB218" s="91" t="str">
        <f>IFERROR(SUMIF('3店辅助表'!K:K,B:B,'3店辅助表'!N:N)/SUMIF('3店辅助表'!K:K,B:B,'3店辅助表'!O:O),"-")</f>
        <v>-</v>
      </c>
      <c r="AC218" s="91">
        <f>IFERROR(VLOOKUP(B:B,'[1]3店'!$B:$AB,27,0),"-")</f>
        <v>0.564159292035398</v>
      </c>
      <c r="AD218" s="92" t="str">
        <f t="shared" si="91"/>
        <v>-</v>
      </c>
      <c r="AE218" s="91">
        <f>IFERROR(SUMIF('3店辅助表'!T:T,B:B,'3店辅助表'!W:W)/SUMIF('3店辅助表'!T:T,B:B,'3店辅助表'!X:X),"-")</f>
        <v>0.392781042164396</v>
      </c>
      <c r="AF218" s="91">
        <f>IFERROR(SUMIF('3店辅助表'!AC:AC,B:B,'3店辅助表'!AF:AF)/SUMIF('3店辅助表'!AC:AC,B:B,'3店辅助表'!AG:AG),"-")</f>
        <v>0.544345755293815</v>
      </c>
      <c r="AG218" s="99">
        <f>IFERROR(AK218/((SUMIF('3店辅助表'!AT:AT,B:B,'3店辅助表'!AU:AU)+M218)/2),"-")</f>
        <v>0.0133333333333333</v>
      </c>
      <c r="AH218" s="99">
        <f>IFERROR(AL218/((SUMIF('3店辅助表'!AW:AW,B:B,'3店辅助表'!AX:AX)+M218)/2),"-")</f>
        <v>0.0991735537190083</v>
      </c>
      <c r="AI218" s="100">
        <f>IFERROR((SUMIF('3店辅助表'!AP:AP,B:B,'3店辅助表'!AR:AR)-SUMIF('3店辅助表'!AP:AP,B:B,'3店辅助表'!AR:AR)*0.15-(L218+IFERROR(VLOOKUP(B:B,'3店辅助表'!AZ:BA,2,0),0))*O218-IF(AN:AN="US",6.85,4.9)*(Z218+4.27*O218))/SUMIF('3店辅助表'!AP:AP,B:B,'3店辅助表'!AR:AR),"-")</f>
        <v>-0.562616909408593</v>
      </c>
      <c r="AJ218" s="100">
        <f t="shared" si="92"/>
        <v>-0.0557967182884555</v>
      </c>
      <c r="AK218" s="101">
        <f t="shared" si="93"/>
        <v>13.9</v>
      </c>
      <c r="AL218" s="101">
        <f t="shared" si="94"/>
        <v>83.4</v>
      </c>
      <c r="AM218" s="1" t="str">
        <f>VLOOKUP(B:B,'3店辅助表'!AZ:AZ,1,FALSE)</f>
        <v>Y3096-OR+Y3097+Y3098</v>
      </c>
      <c r="AN218" t="str">
        <f>VLOOKUP(B:B,'3店辅助表'!AZ:BB,3,FALSE)</f>
        <v>US</v>
      </c>
    </row>
    <row r="219" customHeight="1" spans="1:40">
      <c r="A219" s="58" t="str">
        <f>INDEX('[1]3店'!$A:$A,MATCH(B:B,'[1]3店'!$B:$B,0))</f>
        <v>欣彤</v>
      </c>
      <c r="B219" s="43" t="s">
        <v>1184</v>
      </c>
      <c r="C219" s="43" t="s">
        <v>1185</v>
      </c>
      <c r="D219" s="59"/>
      <c r="E219" s="43" t="s">
        <v>1186</v>
      </c>
      <c r="F219" s="43">
        <v>4</v>
      </c>
      <c r="G219" s="43">
        <v>2</v>
      </c>
      <c r="H219" s="43">
        <v>0</v>
      </c>
      <c r="I219" s="43">
        <v>1</v>
      </c>
      <c r="J219" s="43">
        <v>0</v>
      </c>
      <c r="K219" s="63">
        <f t="shared" si="83"/>
        <v>7</v>
      </c>
      <c r="L219" s="124">
        <f>VLOOKUP($B:$B,'[1]3店'!$B:$L,11,0)</f>
        <v>13.9</v>
      </c>
      <c r="M219" s="44">
        <f t="shared" si="84"/>
        <v>97.3</v>
      </c>
      <c r="N219" s="65">
        <f>IFERROR(VLOOKUP(B:B,'3店辅助表'!B:C,2,FALSE),0)</f>
        <v>2</v>
      </c>
      <c r="O219" s="65">
        <f>IFERROR(VLOOKUP(B:B,'3店辅助表'!E:F,2,FALSE),0)</f>
        <v>7</v>
      </c>
      <c r="P219" s="65">
        <f>IFERROR(VLOOKUP(B:B,'3店辅助表'!H:I,2,FALSE),0)</f>
        <v>24</v>
      </c>
      <c r="Q219" s="65">
        <f>IFERROR(VLOOKUP(B:B,'[1]3店'!$B:$N,13,FALSE),0)</f>
        <v>4</v>
      </c>
      <c r="R219" s="79">
        <f t="shared" si="85"/>
        <v>-2</v>
      </c>
      <c r="S219" s="80">
        <f t="shared" si="86"/>
        <v>13.5276073619632</v>
      </c>
      <c r="T219" s="44">
        <f t="shared" si="87"/>
        <v>0.450920245398773</v>
      </c>
      <c r="U219" s="44">
        <f>IFERROR(VLOOKUP($B:$B,'[1]3店'!$B:$T,19,0),"-")</f>
        <v>0.484276729559748</v>
      </c>
      <c r="V219" s="81">
        <f t="shared" si="88"/>
        <v>-0.033356484160975</v>
      </c>
      <c r="W219" s="82" t="str">
        <f t="shared" si="89"/>
        <v>正常</v>
      </c>
      <c r="X219" s="83" t="str">
        <f t="shared" si="90"/>
        <v>库存过低</v>
      </c>
      <c r="Y219" s="44">
        <f>IFERROR(SUMIF('3店辅助表'!K:K,B:B,'3店辅助表'!N:N),0)</f>
        <v>0</v>
      </c>
      <c r="Z219" s="44">
        <f>IFERROR(SUMIF('3店辅助表'!T:T,B:B,'3店辅助表'!W:W),0)</f>
        <v>0</v>
      </c>
      <c r="AA219" s="44">
        <f>IFERROR(SUMIF('3店辅助表'!AC:AC,B:B,'3店辅助表'!AF:AF),0)</f>
        <v>0</v>
      </c>
      <c r="AB219" s="91" t="str">
        <f>IFERROR(SUMIF('3店辅助表'!K:K,B:B,'3店辅助表'!N:N)/SUMIF('3店辅助表'!K:K,B:B,'3店辅助表'!O:O),"-")</f>
        <v>-</v>
      </c>
      <c r="AC219" s="91" t="str">
        <f>IFERROR(VLOOKUP(B:B,'[1]3店'!$B:$AB,27,0),"-")</f>
        <v>-</v>
      </c>
      <c r="AD219" s="92" t="str">
        <f t="shared" si="91"/>
        <v>-</v>
      </c>
      <c r="AE219" s="91" t="str">
        <f>IFERROR(SUMIF('3店辅助表'!T:T,B:B,'3店辅助表'!W:W)/SUMIF('3店辅助表'!T:T,B:B,'3店辅助表'!X:X),"-")</f>
        <v>-</v>
      </c>
      <c r="AF219" s="91" t="str">
        <f>IFERROR(SUMIF('3店辅助表'!AC:AC,B:B,'3店辅助表'!AF:AF)/SUMIF('3店辅助表'!AC:AC,B:B,'3店辅助表'!AG:AG),"-")</f>
        <v>-</v>
      </c>
      <c r="AG219" s="99">
        <f>IFERROR(AK219/((SUMIF('3店辅助表'!AT:AT,B:B,'3店辅助表'!AU:AU)+M219)/2),"-")</f>
        <v>0.222222222222222</v>
      </c>
      <c r="AH219" s="99">
        <f>IFERROR(AL219/((SUMIF('3店辅助表'!AW:AW,B:B,'3店辅助表'!AX:AX)+M219)/2),"-")</f>
        <v>0.4</v>
      </c>
      <c r="AI219" s="100">
        <f>IFERROR((SUMIF('3店辅助表'!AP:AP,B:B,'3店辅助表'!AR:AR)-SUMIF('3店辅助表'!AP:AP,B:B,'3店辅助表'!AR:AR)*0.15-(L219+IFERROR(VLOOKUP(B:B,'3店辅助表'!AZ:BA,2,0),0))*O219-IF(AN:AN="US",6.85,4.9)*(Z219+4.27*O219))/SUMIF('3店辅助表'!AP:AP,B:B,'3店辅助表'!AR:AR),"-")</f>
        <v>0.335932469108747</v>
      </c>
      <c r="AJ219" s="100">
        <f t="shared" si="92"/>
        <v>0.134372987643499</v>
      </c>
      <c r="AK219" s="101">
        <f t="shared" si="93"/>
        <v>27.8</v>
      </c>
      <c r="AL219" s="101">
        <f t="shared" si="94"/>
        <v>97.3</v>
      </c>
      <c r="AM219" s="1" t="str">
        <f>VLOOKUP(B:B,'3店辅助表'!AZ:AZ,1,FALSE)</f>
        <v>E03375-BL+E03380+E03397-001</v>
      </c>
      <c r="AN219" t="str">
        <f>VLOOKUP(B:B,'3店辅助表'!AZ:BB,3,FALSE)</f>
        <v>US</v>
      </c>
    </row>
    <row r="220" customHeight="1" spans="1:40">
      <c r="A220" s="58" t="str">
        <f>INDEX('[1]3店'!$A:$A,MATCH(B:B,'[1]3店'!$B:$B,0))</f>
        <v>欣彤</v>
      </c>
      <c r="B220" s="43" t="s">
        <v>1187</v>
      </c>
      <c r="C220" s="43" t="s">
        <v>1188</v>
      </c>
      <c r="D220" s="59">
        <f>VLOOKUP(B:B,'[1]3店'!$B:$L,3,0)</f>
        <v>45182</v>
      </c>
      <c r="E220" s="43" t="s">
        <v>1189</v>
      </c>
      <c r="F220" s="43">
        <v>29</v>
      </c>
      <c r="G220" s="43">
        <v>0</v>
      </c>
      <c r="H220" s="43">
        <v>0</v>
      </c>
      <c r="I220" s="43">
        <v>0</v>
      </c>
      <c r="J220" s="43">
        <v>0</v>
      </c>
      <c r="K220" s="63">
        <f t="shared" si="83"/>
        <v>29</v>
      </c>
      <c r="L220" s="124">
        <f>VLOOKUP($B:$B,'[1]3店'!$B:$L,11,0)</f>
        <v>15.2</v>
      </c>
      <c r="M220" s="44">
        <f t="shared" si="84"/>
        <v>440.8</v>
      </c>
      <c r="N220" s="65">
        <f>IFERROR(VLOOKUP(B:B,'3店辅助表'!B:C,2,FALSE),0)</f>
        <v>0</v>
      </c>
      <c r="O220" s="65">
        <f>IFERROR(VLOOKUP(B:B,'3店辅助表'!E:F,2,FALSE),0)</f>
        <v>0</v>
      </c>
      <c r="P220" s="65">
        <f>IFERROR(VLOOKUP(B:B,'3店辅助表'!H:I,2,FALSE),0)</f>
        <v>1</v>
      </c>
      <c r="Q220" s="65">
        <f>IFERROR(VLOOKUP(B:B,'[1]3店'!$B:$N,13,FALSE),0)</f>
        <v>0</v>
      </c>
      <c r="R220" s="79">
        <f t="shared" si="85"/>
        <v>0</v>
      </c>
      <c r="S220" s="80">
        <f t="shared" si="86"/>
        <v>2610</v>
      </c>
      <c r="T220" s="44">
        <f t="shared" si="87"/>
        <v>87</v>
      </c>
      <c r="U220" s="44">
        <f>IFERROR(VLOOKUP($B:$B,'[1]3店'!$B:$T,19,0),"-")</f>
        <v>29</v>
      </c>
      <c r="V220" s="81">
        <f t="shared" si="88"/>
        <v>58</v>
      </c>
      <c r="W220" s="82" t="str">
        <f t="shared" si="89"/>
        <v>有库存无销量</v>
      </c>
      <c r="X220" s="83" t="str">
        <f t="shared" si="90"/>
        <v>库存过高</v>
      </c>
      <c r="Y220" s="44">
        <f>IFERROR(SUMIF('3店辅助表'!K:K,B:B,'3店辅助表'!N:N),0)</f>
        <v>0</v>
      </c>
      <c r="Z220" s="44">
        <f>IFERROR(SUMIF('3店辅助表'!T:T,B:B,'3店辅助表'!W:W),0)</f>
        <v>0</v>
      </c>
      <c r="AA220" s="44">
        <f>IFERROR(SUMIF('3店辅助表'!AC:AC,B:B,'3店辅助表'!AF:AF),0)</f>
        <v>0</v>
      </c>
      <c r="AB220" s="91" t="str">
        <f>IFERROR(SUMIF('3店辅助表'!K:K,B:B,'3店辅助表'!N:N)/SUMIF('3店辅助表'!K:K,B:B,'3店辅助表'!O:O),"-")</f>
        <v>-</v>
      </c>
      <c r="AC220" s="91" t="str">
        <f>IFERROR(VLOOKUP(B:B,'[1]3店'!$B:$AB,27,0),"-")</f>
        <v>-</v>
      </c>
      <c r="AD220" s="92" t="str">
        <f t="shared" si="91"/>
        <v>-</v>
      </c>
      <c r="AE220" s="91" t="str">
        <f>IFERROR(SUMIF('3店辅助表'!T:T,B:B,'3店辅助表'!W:W)/SUMIF('3店辅助表'!T:T,B:B,'3店辅助表'!X:X),"-")</f>
        <v>-</v>
      </c>
      <c r="AF220" s="91" t="str">
        <f>IFERROR(SUMIF('3店辅助表'!AC:AC,B:B,'3店辅助表'!AF:AF)/SUMIF('3店辅助表'!AC:AC,B:B,'3店辅助表'!AG:AG),"-")</f>
        <v>-</v>
      </c>
      <c r="AG220" s="99">
        <f>IFERROR(AK220/((SUMIF('3店辅助表'!AT:AT,B:B,'3店辅助表'!AU:AU)+M220)/2),"-")</f>
        <v>0</v>
      </c>
      <c r="AH220" s="99">
        <f>IFERROR(AL220/((SUMIF('3店辅助表'!AW:AW,B:B,'3店辅助表'!AX:AX)+M220)/2),"-")</f>
        <v>0</v>
      </c>
      <c r="AI220" s="100" t="str">
        <f>IFERROR((SUMIF('3店辅助表'!AP:AP,B:B,'3店辅助表'!AR:AR)-SUMIF('3店辅助表'!AP:AP,B:B,'3店辅助表'!AR:AR)*0.15-(L220+IFERROR(VLOOKUP(B:B,'3店辅助表'!AZ:BA,2,0),0))*O220-IF(AN:AN="US",6.85,4.9)*(Z220+4.27*O220))/SUMIF('3店辅助表'!AP:AP,B:B,'3店辅助表'!AR:AR),"-")</f>
        <v>-</v>
      </c>
      <c r="AJ220" s="100" t="str">
        <f t="shared" si="92"/>
        <v>-</v>
      </c>
      <c r="AK220" s="101">
        <f t="shared" si="93"/>
        <v>0</v>
      </c>
      <c r="AL220" s="101">
        <f t="shared" si="94"/>
        <v>0</v>
      </c>
      <c r="AM220" s="1" t="str">
        <f>VLOOKUP(B:B,'3店辅助表'!AZ:AZ,1,FALSE)</f>
        <v>Y3102-BG+Y3103</v>
      </c>
      <c r="AN220" t="str">
        <f>VLOOKUP(B:B,'3店辅助表'!AZ:BB,3,FALSE)</f>
        <v>US</v>
      </c>
    </row>
    <row r="221" customHeight="1" spans="1:40">
      <c r="A221" s="58" t="str">
        <f>INDEX('[1]3店'!$A:$A,MATCH(B:B,'[1]3店'!$B:$B,0))</f>
        <v>欣彤</v>
      </c>
      <c r="B221" s="43" t="s">
        <v>1190</v>
      </c>
      <c r="C221" s="43" t="s">
        <v>1191</v>
      </c>
      <c r="D221" s="59">
        <f>VLOOKUP(B:B,'[1]3店'!$B:$L,3,0)</f>
        <v>45182</v>
      </c>
      <c r="E221" s="43" t="s">
        <v>1192</v>
      </c>
      <c r="F221" s="43">
        <v>69</v>
      </c>
      <c r="G221" s="43">
        <v>0</v>
      </c>
      <c r="H221" s="43">
        <v>12</v>
      </c>
      <c r="I221" s="43">
        <v>61</v>
      </c>
      <c r="J221" s="43">
        <v>0</v>
      </c>
      <c r="K221" s="63">
        <f t="shared" si="83"/>
        <v>142</v>
      </c>
      <c r="L221" s="124">
        <f>VLOOKUP($B:$B,'[1]3店'!$B:$L,11,0)</f>
        <v>15.2</v>
      </c>
      <c r="M221" s="44">
        <f t="shared" si="84"/>
        <v>2158.4</v>
      </c>
      <c r="N221" s="65">
        <f>IFERROR(VLOOKUP(B:B,'3店辅助表'!B:C,2,FALSE),0)</f>
        <v>2</v>
      </c>
      <c r="O221" s="65">
        <f>IFERROR(VLOOKUP(B:B,'3店辅助表'!E:F,2,FALSE),0)</f>
        <v>4</v>
      </c>
      <c r="P221" s="65">
        <f>IFERROR(VLOOKUP(B:B,'3店辅助表'!H:I,2,FALSE),0)</f>
        <v>19</v>
      </c>
      <c r="Q221" s="65">
        <f>IFERROR(VLOOKUP(B:B,'[1]3店'!$B:$N,13,FALSE),0)</f>
        <v>1</v>
      </c>
      <c r="R221" s="79">
        <f t="shared" si="85"/>
        <v>1</v>
      </c>
      <c r="S221" s="80">
        <f t="shared" si="86"/>
        <v>359.277108433735</v>
      </c>
      <c r="T221" s="44">
        <f t="shared" si="87"/>
        <v>11.9759036144578</v>
      </c>
      <c r="U221" s="44">
        <f>IFERROR(VLOOKUP($B:$B,'[1]3店'!$B:$T,19,0),"-")</f>
        <v>10.9963636363636</v>
      </c>
      <c r="V221" s="81">
        <f t="shared" si="88"/>
        <v>0.9795399780942</v>
      </c>
      <c r="W221" s="82" t="str">
        <f t="shared" si="89"/>
        <v>库存过高</v>
      </c>
      <c r="X221" s="83" t="str">
        <f t="shared" si="90"/>
        <v>库存过高</v>
      </c>
      <c r="Y221" s="44">
        <f>IFERROR(SUMIF('3店辅助表'!K:K,B:B,'3店辅助表'!N:N),0)</f>
        <v>4.92</v>
      </c>
      <c r="Z221" s="44">
        <f>IFERROR(SUMIF('3店辅助表'!T:T,B:B,'3店辅助表'!W:W),0)</f>
        <v>10.11</v>
      </c>
      <c r="AA221" s="44">
        <f>IFERROR(SUMIF('3店辅助表'!AC:AC,B:B,'3店辅助表'!AF:AF),0)</f>
        <v>27.22</v>
      </c>
      <c r="AB221" s="91">
        <f>IFERROR(SUMIF('3店辅助表'!K:K,B:B,'3店辅助表'!N:N)/SUMIF('3店辅助表'!K:K,B:B,'3店辅助表'!O:O),"-")</f>
        <v>0.189376443418014</v>
      </c>
      <c r="AC221" s="91" t="str">
        <f>IFERROR(VLOOKUP(B:B,'[1]3店'!$B:$AB,27,0),"-")</f>
        <v>-</v>
      </c>
      <c r="AD221" s="92" t="str">
        <f t="shared" si="91"/>
        <v>-</v>
      </c>
      <c r="AE221" s="91">
        <f>IFERROR(SUMIF('3店辅助表'!T:T,B:B,'3店辅助表'!W:W)/SUMIF('3店辅助表'!T:T,B:B,'3店辅助表'!X:X),"-")</f>
        <v>0.389145496535797</v>
      </c>
      <c r="AF221" s="91">
        <f>IFERROR(SUMIF('3店辅助表'!AC:AC,B:B,'3店辅助表'!AF:AF)/SUMIF('3店辅助表'!AC:AC,B:B,'3店辅助表'!AG:AG),"-")</f>
        <v>0.523864511162433</v>
      </c>
      <c r="AG221" s="99">
        <f>IFERROR(AK221/((SUMIF('3店辅助表'!AT:AT,B:B,'3店辅助表'!AU:AU)+M221)/2),"-")</f>
        <v>0.013986013986014</v>
      </c>
      <c r="AH221" s="99">
        <f>IFERROR(AL221/((SUMIF('3店辅助表'!AW:AW,B:B,'3店辅助表'!AX:AX)+M221)/2),"-")</f>
        <v>0.026578073089701</v>
      </c>
      <c r="AI221" s="100">
        <f>IFERROR((SUMIF('3店辅助表'!AP:AP,B:B,'3店辅助表'!AR:AR)-SUMIF('3店辅助表'!AP:AP,B:B,'3店辅助表'!AR:AR)*0.15-(L221+IFERROR(VLOOKUP(B:B,'3店辅助表'!AZ:BA,2,0),0))*O221-IF(AN:AN="US",6.85,4.9)*(Z221+4.27*O221))/SUMIF('3店辅助表'!AP:AP,B:B,'3店辅助表'!AR:AR),"-")</f>
        <v>0.128637975309475</v>
      </c>
      <c r="AJ221" s="100">
        <f t="shared" si="92"/>
        <v>0.00341894950988637</v>
      </c>
      <c r="AK221" s="101">
        <f t="shared" si="93"/>
        <v>30.4</v>
      </c>
      <c r="AL221" s="101">
        <f t="shared" si="94"/>
        <v>60.8</v>
      </c>
      <c r="AM221" s="1" t="str">
        <f>VLOOKUP(B:B,'3店辅助表'!AZ:AZ,1,FALSE)</f>
        <v>Y3102-BL+Y3103</v>
      </c>
      <c r="AN221" t="str">
        <f>VLOOKUP(B:B,'3店辅助表'!AZ:BB,3,FALSE)</f>
        <v>US</v>
      </c>
    </row>
    <row r="222" customHeight="1" spans="1:40">
      <c r="A222" s="58" t="str">
        <f>INDEX('[1]3店'!$A:$A,MATCH(B:B,'[1]3店'!$B:$B,0))</f>
        <v>欣彤</v>
      </c>
      <c r="B222" s="43" t="s">
        <v>1193</v>
      </c>
      <c r="C222" s="43" t="s">
        <v>1194</v>
      </c>
      <c r="D222" s="59">
        <f>VLOOKUP(B:B,'[1]3店'!$B:$L,3,0)</f>
        <v>45182</v>
      </c>
      <c r="E222" s="43" t="s">
        <v>1195</v>
      </c>
      <c r="F222" s="43">
        <v>29</v>
      </c>
      <c r="G222" s="43">
        <v>0</v>
      </c>
      <c r="H222" s="43">
        <v>0</v>
      </c>
      <c r="I222" s="43">
        <v>0</v>
      </c>
      <c r="J222" s="43">
        <v>0</v>
      </c>
      <c r="K222" s="63">
        <f t="shared" si="83"/>
        <v>29</v>
      </c>
      <c r="L222" s="124">
        <f>VLOOKUP($B:$B,'[1]3店'!$B:$L,11,0)</f>
        <v>15.2</v>
      </c>
      <c r="M222" s="44">
        <f t="shared" si="84"/>
        <v>440.8</v>
      </c>
      <c r="N222" s="65">
        <f>IFERROR(VLOOKUP(B:B,'3店辅助表'!B:C,2,FALSE),0)</f>
        <v>0</v>
      </c>
      <c r="O222" s="65">
        <f>IFERROR(VLOOKUP(B:B,'3店辅助表'!E:F,2,FALSE),0)</f>
        <v>0</v>
      </c>
      <c r="P222" s="65">
        <f>IFERROR(VLOOKUP(B:B,'3店辅助表'!H:I,2,FALSE),0)</f>
        <v>1</v>
      </c>
      <c r="Q222" s="65">
        <f>IFERROR(VLOOKUP(B:B,'[1]3店'!$B:$N,13,FALSE),0)</f>
        <v>0</v>
      </c>
      <c r="R222" s="79">
        <f t="shared" si="85"/>
        <v>0</v>
      </c>
      <c r="S222" s="80">
        <f t="shared" si="86"/>
        <v>2610</v>
      </c>
      <c r="T222" s="44">
        <f t="shared" si="87"/>
        <v>87</v>
      </c>
      <c r="U222" s="44">
        <f>IFERROR(VLOOKUP($B:$B,'[1]3店'!$B:$T,19,0),"-")</f>
        <v>87</v>
      </c>
      <c r="V222" s="81">
        <f t="shared" si="88"/>
        <v>0</v>
      </c>
      <c r="W222" s="82" t="str">
        <f t="shared" si="89"/>
        <v>有库存无销量</v>
      </c>
      <c r="X222" s="83" t="str">
        <f t="shared" si="90"/>
        <v>库存过高</v>
      </c>
      <c r="Y222" s="44">
        <f>IFERROR(SUMIF('3店辅助表'!K:K,B:B,'3店辅助表'!N:N),0)</f>
        <v>4.34</v>
      </c>
      <c r="Z222" s="44">
        <f>IFERROR(SUMIF('3店辅助表'!T:T,B:B,'3店辅助表'!W:W),0)</f>
        <v>9.83</v>
      </c>
      <c r="AA222" s="44">
        <f>IFERROR(SUMIF('3店辅助表'!AC:AC,B:B,'3店辅助表'!AF:AF),0)</f>
        <v>20.05</v>
      </c>
      <c r="AB222" s="91" t="str">
        <f>IFERROR(SUMIF('3店辅助表'!K:K,B:B,'3店辅助表'!N:N)/SUMIF('3店辅助表'!K:K,B:B,'3店辅助表'!O:O),"-")</f>
        <v>-</v>
      </c>
      <c r="AC222" s="91">
        <f>IFERROR(VLOOKUP(B:B,'[1]3店'!$B:$AB,27,0),"-")</f>
        <v>0.280985373364126</v>
      </c>
      <c r="AD222" s="92" t="str">
        <f t="shared" si="91"/>
        <v>-</v>
      </c>
      <c r="AE222" s="91">
        <f>IFERROR(SUMIF('3店辅助表'!T:T,B:B,'3店辅助表'!W:W)/SUMIF('3店辅助表'!T:T,B:B,'3店辅助表'!X:X),"-")</f>
        <v>0.756735950731332</v>
      </c>
      <c r="AF222" s="91">
        <f>IFERROR(SUMIF('3店辅助表'!AC:AC,B:B,'3店辅助表'!AF:AF)/SUMIF('3店辅助表'!AC:AC,B:B,'3店辅助表'!AG:AG),"-")</f>
        <v>0.308698999230177</v>
      </c>
      <c r="AG222" s="99">
        <f>IFERROR(AK222/((SUMIF('3店辅助表'!AT:AT,B:B,'3店辅助表'!AU:AU)+M222)/2),"-")</f>
        <v>0</v>
      </c>
      <c r="AH222" s="99">
        <f>IFERROR(AL222/((SUMIF('3店辅助表'!AW:AW,B:B,'3店辅助表'!AX:AX)+M222)/2),"-")</f>
        <v>0</v>
      </c>
      <c r="AI222" s="100" t="str">
        <f>IFERROR((SUMIF('3店辅助表'!AP:AP,B:B,'3店辅助表'!AR:AR)-SUMIF('3店辅助表'!AP:AP,B:B,'3店辅助表'!AR:AR)*0.15-(L222+IFERROR(VLOOKUP(B:B,'3店辅助表'!AZ:BA,2,0),0))*O222-IF(AN:AN="US",6.85,4.9)*(Z222+4.27*O222))/SUMIF('3店辅助表'!AP:AP,B:B,'3店辅助表'!AR:AR),"-")</f>
        <v>-</v>
      </c>
      <c r="AJ222" s="100" t="str">
        <f t="shared" si="92"/>
        <v>-</v>
      </c>
      <c r="AK222" s="101">
        <f t="shared" si="93"/>
        <v>0</v>
      </c>
      <c r="AL222" s="101">
        <f t="shared" si="94"/>
        <v>0</v>
      </c>
      <c r="AM222" s="1" t="str">
        <f>VLOOKUP(B:B,'3店辅助表'!AZ:AZ,1,FALSE)</f>
        <v>Y3102-GN+Y3103</v>
      </c>
      <c r="AN222" t="str">
        <f>VLOOKUP(B:B,'3店辅助表'!AZ:BB,3,FALSE)</f>
        <v>US</v>
      </c>
    </row>
    <row r="223" customHeight="1" spans="1:40">
      <c r="A223" s="58" t="str">
        <f>INDEX('[1]3店'!$A:$A,MATCH(B:B,'[1]3店'!$B:$B,0))</f>
        <v>欣彤</v>
      </c>
      <c r="B223" s="43" t="s">
        <v>1196</v>
      </c>
      <c r="C223" s="43" t="s">
        <v>1197</v>
      </c>
      <c r="D223" s="59">
        <f>VLOOKUP(B:B,'[1]3店'!$B:$L,3,0)</f>
        <v>45182</v>
      </c>
      <c r="E223" s="43" t="s">
        <v>1198</v>
      </c>
      <c r="F223" s="43">
        <v>28</v>
      </c>
      <c r="G223" s="43">
        <v>1</v>
      </c>
      <c r="H223" s="43">
        <v>0</v>
      </c>
      <c r="I223" s="43">
        <v>0</v>
      </c>
      <c r="J223" s="43">
        <v>0</v>
      </c>
      <c r="K223" s="63">
        <f t="shared" si="83"/>
        <v>29</v>
      </c>
      <c r="L223" s="124">
        <f>VLOOKUP($B:$B,'[1]3店'!$B:$L,11,0)</f>
        <v>15.2</v>
      </c>
      <c r="M223" s="44">
        <f t="shared" si="84"/>
        <v>440.8</v>
      </c>
      <c r="N223" s="65">
        <f>IFERROR(VLOOKUP(B:B,'3店辅助表'!B:C,2,FALSE),0)</f>
        <v>0</v>
      </c>
      <c r="O223" s="65">
        <f>IFERROR(VLOOKUP(B:B,'3店辅助表'!E:F,2,FALSE),0)</f>
        <v>1</v>
      </c>
      <c r="P223" s="65">
        <f>IFERROR(VLOOKUP(B:B,'3店辅助表'!H:I,2,FALSE),0)</f>
        <v>2</v>
      </c>
      <c r="Q223" s="65">
        <f>IFERROR(VLOOKUP(B:B,'[1]3店'!$B:$N,13,FALSE),0)</f>
        <v>1</v>
      </c>
      <c r="R223" s="79">
        <f t="shared" si="85"/>
        <v>-1</v>
      </c>
      <c r="S223" s="80">
        <f t="shared" si="86"/>
        <v>652.5</v>
      </c>
      <c r="T223" s="44">
        <f t="shared" si="87"/>
        <v>21.75</v>
      </c>
      <c r="U223" s="44">
        <f>IFERROR(VLOOKUP($B:$B,'[1]3店'!$B:$T,19,0),"-")</f>
        <v>10.8620689655172</v>
      </c>
      <c r="V223" s="81">
        <f t="shared" si="88"/>
        <v>10.8879310344828</v>
      </c>
      <c r="W223" s="82" t="str">
        <f t="shared" si="89"/>
        <v>有库存无销量</v>
      </c>
      <c r="X223" s="83" t="str">
        <f t="shared" si="90"/>
        <v>库存过高</v>
      </c>
      <c r="Y223" s="44">
        <f>IFERROR(SUMIF('3店辅助表'!K:K,B:B,'3店辅助表'!N:N),0)</f>
        <v>0</v>
      </c>
      <c r="Z223" s="44">
        <f>IFERROR(SUMIF('3店辅助表'!T:T,B:B,'3店辅助表'!W:W),0)</f>
        <v>0</v>
      </c>
      <c r="AA223" s="44">
        <f>IFERROR(SUMIF('3店辅助表'!AC:AC,B:B,'3店辅助表'!AF:AF),0)</f>
        <v>0</v>
      </c>
      <c r="AB223" s="91" t="str">
        <f>IFERROR(SUMIF('3店辅助表'!K:K,B:B,'3店辅助表'!N:N)/SUMIF('3店辅助表'!K:K,B:B,'3店辅助表'!O:O),"-")</f>
        <v>-</v>
      </c>
      <c r="AC223" s="91" t="str">
        <f>IFERROR(VLOOKUP(B:B,'[1]3店'!$B:$AB,27,0),"-")</f>
        <v>-</v>
      </c>
      <c r="AD223" s="92" t="str">
        <f t="shared" si="91"/>
        <v>-</v>
      </c>
      <c r="AE223" s="91" t="str">
        <f>IFERROR(SUMIF('3店辅助表'!T:T,B:B,'3店辅助表'!W:W)/SUMIF('3店辅助表'!T:T,B:B,'3店辅助表'!X:X),"-")</f>
        <v>-</v>
      </c>
      <c r="AF223" s="91" t="str">
        <f>IFERROR(SUMIF('3店辅助表'!AC:AC,B:B,'3店辅助表'!AF:AF)/SUMIF('3店辅助表'!AC:AC,B:B,'3店辅助表'!AG:AG),"-")</f>
        <v>-</v>
      </c>
      <c r="AG223" s="99">
        <f>IFERROR(AK223/((SUMIF('3店辅助表'!AT:AT,B:B,'3店辅助表'!AU:AU)+M223)/2),"-")</f>
        <v>0</v>
      </c>
      <c r="AH223" s="99">
        <f>IFERROR(AL223/((SUMIF('3店辅助表'!AW:AW,B:B,'3店辅助表'!AX:AX)+M223)/2),"-")</f>
        <v>0.0344827586206897</v>
      </c>
      <c r="AI223" s="100">
        <f>IFERROR((SUMIF('3店辅助表'!AP:AP,B:B,'3店辅助表'!AR:AR)-SUMIF('3店辅助表'!AP:AP,B:B,'3店辅助表'!AR:AR)*0.15-(L223+IFERROR(VLOOKUP(B:B,'3店辅助表'!AZ:BA,2,0),0))*O223-IF(AN:AN="US",6.85,4.9)*(Z223+4.27*O223))/SUMIF('3店辅助表'!AP:AP,B:B,'3店辅助表'!AR:AR),"-")</f>
        <v>0.22734370330028</v>
      </c>
      <c r="AJ223" s="100">
        <f t="shared" si="92"/>
        <v>0.00783943804483723</v>
      </c>
      <c r="AK223" s="101">
        <f t="shared" si="93"/>
        <v>0</v>
      </c>
      <c r="AL223" s="101">
        <f t="shared" si="94"/>
        <v>15.2</v>
      </c>
      <c r="AM223" s="1" t="str">
        <f>VLOOKUP(B:B,'3店辅助表'!AZ:AZ,1,FALSE)</f>
        <v>Y3102-GY+Y3103</v>
      </c>
      <c r="AN223" t="str">
        <f>VLOOKUP(B:B,'3店辅助表'!AZ:BB,3,FALSE)</f>
        <v>US</v>
      </c>
    </row>
    <row r="224" customHeight="1" spans="1:40">
      <c r="A224" s="58" t="str">
        <f>INDEX('[1]3店'!$A:$A,MATCH(B:B,'[1]3店'!$B:$B,0))</f>
        <v>欣彤</v>
      </c>
      <c r="B224" s="43" t="s">
        <v>1199</v>
      </c>
      <c r="C224" s="43" t="s">
        <v>1200</v>
      </c>
      <c r="D224" s="59">
        <f>VLOOKUP(B:B,'[1]3店'!$B:$L,3,0)</f>
        <v>45182</v>
      </c>
      <c r="E224" s="43" t="s">
        <v>1201</v>
      </c>
      <c r="F224" s="43">
        <v>43</v>
      </c>
      <c r="G224" s="43">
        <v>0</v>
      </c>
      <c r="H224" s="43">
        <v>0</v>
      </c>
      <c r="I224" s="43">
        <v>28</v>
      </c>
      <c r="J224" s="43">
        <v>0</v>
      </c>
      <c r="K224" s="63">
        <f t="shared" si="83"/>
        <v>71</v>
      </c>
      <c r="L224" s="124">
        <f>VLOOKUP($B:$B,'[1]3店'!$B:$L,11,0)</f>
        <v>15.2</v>
      </c>
      <c r="M224" s="44">
        <f t="shared" si="84"/>
        <v>1079.2</v>
      </c>
      <c r="N224" s="65">
        <f>IFERROR(VLOOKUP(B:B,'3店辅助表'!B:C,2,FALSE),0)</f>
        <v>0</v>
      </c>
      <c r="O224" s="65">
        <f>IFERROR(VLOOKUP(B:B,'3店辅助表'!E:F,2,FALSE),0)</f>
        <v>1</v>
      </c>
      <c r="P224" s="65">
        <f>IFERROR(VLOOKUP(B:B,'3店辅助表'!H:I,2,FALSE),0)</f>
        <v>6</v>
      </c>
      <c r="Q224" s="65">
        <f>IFERROR(VLOOKUP(B:B,'[1]3店'!$B:$N,13,FALSE),0)</f>
        <v>1</v>
      </c>
      <c r="R224" s="79">
        <f t="shared" si="85"/>
        <v>-1</v>
      </c>
      <c r="S224" s="80">
        <f t="shared" si="86"/>
        <v>798.75</v>
      </c>
      <c r="T224" s="44">
        <f t="shared" si="87"/>
        <v>26.625</v>
      </c>
      <c r="U224" s="44">
        <f>IFERROR(VLOOKUP($B:$B,'[1]3店'!$B:$T,19,0),"-")</f>
        <v>11.8125</v>
      </c>
      <c r="V224" s="81">
        <f t="shared" si="88"/>
        <v>14.8125</v>
      </c>
      <c r="W224" s="82" t="str">
        <f t="shared" si="89"/>
        <v>有库存无销量</v>
      </c>
      <c r="X224" s="83" t="str">
        <f t="shared" si="90"/>
        <v>库存过高</v>
      </c>
      <c r="Y224" s="44">
        <f>IFERROR(SUMIF('3店辅助表'!K:K,B:B,'3店辅助表'!N:N),0)</f>
        <v>8.68</v>
      </c>
      <c r="Z224" s="44">
        <f>IFERROR(SUMIF('3店辅助表'!T:T,B:B,'3店辅助表'!W:W),0)</f>
        <v>16.63</v>
      </c>
      <c r="AA224" s="44">
        <f>IFERROR(SUMIF('3店辅助表'!AC:AC,B:B,'3店辅助表'!AF:AF),0)</f>
        <v>75.91</v>
      </c>
      <c r="AB224" s="91" t="str">
        <f>IFERROR(SUMIF('3店辅助表'!K:K,B:B,'3店辅助表'!N:N)/SUMIF('3店辅助表'!K:K,B:B,'3店辅助表'!O:O),"-")</f>
        <v>-</v>
      </c>
      <c r="AC224" s="91">
        <f>IFERROR(VLOOKUP(B:B,'[1]3店'!$B:$AB,27,0),"-")</f>
        <v>0.309372156505914</v>
      </c>
      <c r="AD224" s="92" t="str">
        <f t="shared" si="91"/>
        <v>-</v>
      </c>
      <c r="AE224" s="91">
        <f>IFERROR(SUMIF('3店辅助表'!T:T,B:B,'3店辅助表'!W:W)/SUMIF('3店辅助表'!T:T,B:B,'3店辅助表'!X:X),"-")</f>
        <v>0.756596906278435</v>
      </c>
      <c r="AF224" s="91">
        <f>IFERROR(SUMIF('3店辅助表'!AC:AC,B:B,'3店辅助表'!AF:AF)/SUMIF('3店辅助表'!AC:AC,B:B,'3店辅助表'!AG:AG),"-")</f>
        <v>0.39774692166623</v>
      </c>
      <c r="AG224" s="99">
        <f>IFERROR(AK224/((SUMIF('3店辅助表'!AT:AT,B:B,'3店辅助表'!AU:AU)+M224)/2),"-")</f>
        <v>0</v>
      </c>
      <c r="AH224" s="99">
        <f>IFERROR(AL224/((SUMIF('3店辅助表'!AW:AW,B:B,'3店辅助表'!AX:AX)+M224)/2),"-")</f>
        <v>0.0133333333333333</v>
      </c>
      <c r="AI224" s="100">
        <f>IFERROR((SUMIF('3店辅助表'!AP:AP,B:B,'3店辅助表'!AR:AR)-SUMIF('3店辅助表'!AP:AP,B:B,'3店辅助表'!AR:AR)*0.15-(L224+IFERROR(VLOOKUP(B:B,'3店辅助表'!AZ:BA,2,0),0))*O224-IF(AN:AN="US",6.85,4.9)*(Z224+4.27*O224))/SUMIF('3店辅助表'!AP:AP,B:B,'3店辅助表'!AR:AR),"-")</f>
        <v>-1.28585010925659</v>
      </c>
      <c r="AJ224" s="100">
        <f t="shared" si="92"/>
        <v>-0.0171446681234212</v>
      </c>
      <c r="AK224" s="101">
        <f t="shared" si="93"/>
        <v>0</v>
      </c>
      <c r="AL224" s="101">
        <f t="shared" si="94"/>
        <v>15.2</v>
      </c>
      <c r="AM224" s="1" t="str">
        <f>VLOOKUP(B:B,'3店辅助表'!AZ:AZ,1,FALSE)</f>
        <v>Y3102-NB+Y3103</v>
      </c>
      <c r="AN224" t="str">
        <f>VLOOKUP(B:B,'3店辅助表'!AZ:BB,3,FALSE)</f>
        <v>US</v>
      </c>
    </row>
    <row r="225" customHeight="1" spans="1:40">
      <c r="A225" s="58" t="str">
        <f>INDEX('[1]3店'!$A:$A,MATCH(B:B,'[1]3店'!$B:$B,0))</f>
        <v>欣彤</v>
      </c>
      <c r="B225" s="43" t="s">
        <v>1202</v>
      </c>
      <c r="C225" s="43" t="s">
        <v>1203</v>
      </c>
      <c r="D225" s="59">
        <f>VLOOKUP(B:B,'[1]3店'!$B:$L,3,0)</f>
        <v>45182</v>
      </c>
      <c r="E225" s="43" t="s">
        <v>1204</v>
      </c>
      <c r="F225" s="43">
        <v>30</v>
      </c>
      <c r="G225" s="43">
        <v>0</v>
      </c>
      <c r="H225" s="43">
        <v>0</v>
      </c>
      <c r="I225" s="43">
        <v>0</v>
      </c>
      <c r="J225" s="43">
        <v>0</v>
      </c>
      <c r="K225" s="63">
        <f t="shared" si="83"/>
        <v>30</v>
      </c>
      <c r="L225" s="124">
        <f>VLOOKUP($B:$B,'[1]3店'!$B:$L,11,0)</f>
        <v>15.2</v>
      </c>
      <c r="M225" s="44">
        <f t="shared" si="84"/>
        <v>456</v>
      </c>
      <c r="N225" s="65">
        <f>IFERROR(VLOOKUP(B:B,'3店辅助表'!B:C,2,FALSE),0)</f>
        <v>0</v>
      </c>
      <c r="O225" s="65">
        <f>IFERROR(VLOOKUP(B:B,'3店辅助表'!E:F,2,FALSE),0)</f>
        <v>0</v>
      </c>
      <c r="P225" s="65">
        <f>IFERROR(VLOOKUP(B:B,'3店辅助表'!H:I,2,FALSE),0)</f>
        <v>0</v>
      </c>
      <c r="Q225" s="65">
        <f>IFERROR(VLOOKUP(B:B,'[1]3店'!$B:$N,13,FALSE),0)</f>
        <v>0</v>
      </c>
      <c r="R225" s="79">
        <f t="shared" si="85"/>
        <v>0</v>
      </c>
      <c r="S225" s="80" t="str">
        <f t="shared" si="86"/>
        <v>-</v>
      </c>
      <c r="T225" s="44" t="str">
        <f t="shared" si="87"/>
        <v>-</v>
      </c>
      <c r="U225" s="44" t="str">
        <f>IFERROR(VLOOKUP($B:$B,'[1]3店'!$B:$T,19,0),"-")</f>
        <v>-</v>
      </c>
      <c r="V225" s="81" t="str">
        <f t="shared" si="88"/>
        <v>-</v>
      </c>
      <c r="W225" s="82" t="str">
        <f t="shared" si="89"/>
        <v>有库存无销量</v>
      </c>
      <c r="X225" s="83" t="str">
        <f t="shared" si="90"/>
        <v>有库存无销量</v>
      </c>
      <c r="Y225" s="44">
        <f>IFERROR(SUMIF('3店辅助表'!K:K,B:B,'3店辅助表'!N:N),0)</f>
        <v>0</v>
      </c>
      <c r="Z225" s="44">
        <f>IFERROR(SUMIF('3店辅助表'!T:T,B:B,'3店辅助表'!W:W),0)</f>
        <v>0</v>
      </c>
      <c r="AA225" s="44">
        <f>IFERROR(SUMIF('3店辅助表'!AC:AC,B:B,'3店辅助表'!AF:AF),0)</f>
        <v>13.15</v>
      </c>
      <c r="AB225" s="91" t="str">
        <f>IFERROR(SUMIF('3店辅助表'!K:K,B:B,'3店辅助表'!N:N)/SUMIF('3店辅助表'!K:K,B:B,'3店辅助表'!O:O),"-")</f>
        <v>-</v>
      </c>
      <c r="AC225" s="91" t="str">
        <f>IFERROR(VLOOKUP(B:B,'[1]3店'!$B:$AB,27,0),"-")</f>
        <v>-</v>
      </c>
      <c r="AD225" s="92" t="str">
        <f t="shared" si="91"/>
        <v>-</v>
      </c>
      <c r="AE225" s="91" t="str">
        <f>IFERROR(SUMIF('3店辅助表'!T:T,B:B,'3店辅助表'!W:W)/SUMIF('3店辅助表'!T:T,B:B,'3店辅助表'!X:X),"-")</f>
        <v>-</v>
      </c>
      <c r="AF225" s="91" t="str">
        <f>IFERROR(SUMIF('3店辅助表'!AC:AC,B:B,'3店辅助表'!AF:AF)/SUMIF('3店辅助表'!AC:AC,B:B,'3店辅助表'!AG:AG),"-")</f>
        <v>-</v>
      </c>
      <c r="AG225" s="99">
        <f>IFERROR(AK225/((SUMIF('3店辅助表'!AT:AT,B:B,'3店辅助表'!AU:AU)+M225)/2),"-")</f>
        <v>0</v>
      </c>
      <c r="AH225" s="99">
        <f>IFERROR(AL225/((SUMIF('3店辅助表'!AW:AW,B:B,'3店辅助表'!AX:AX)+M225)/2),"-")</f>
        <v>0</v>
      </c>
      <c r="AI225" s="100" t="str">
        <f>IFERROR((SUMIF('3店辅助表'!AP:AP,B:B,'3店辅助表'!AR:AR)-SUMIF('3店辅助表'!AP:AP,B:B,'3店辅助表'!AR:AR)*0.15-(L225+IFERROR(VLOOKUP(B:B,'3店辅助表'!AZ:BA,2,0),0))*O225-IF(AN:AN="US",6.85,4.9)*(Z225+4.27*O225))/SUMIF('3店辅助表'!AP:AP,B:B,'3店辅助表'!AR:AR),"-")</f>
        <v>-</v>
      </c>
      <c r="AJ225" s="100" t="str">
        <f t="shared" si="92"/>
        <v>-</v>
      </c>
      <c r="AK225" s="101">
        <f t="shared" si="93"/>
        <v>0</v>
      </c>
      <c r="AL225" s="101">
        <f t="shared" si="94"/>
        <v>0</v>
      </c>
      <c r="AM225" s="1" t="str">
        <f>VLOOKUP(B:B,'3店辅助表'!AZ:AZ,1,FALSE)</f>
        <v>Y3104-BG+Y3105</v>
      </c>
      <c r="AN225" t="str">
        <f>VLOOKUP(B:B,'3店辅助表'!AZ:BB,3,FALSE)</f>
        <v>US</v>
      </c>
    </row>
    <row r="226" customHeight="1" spans="1:40">
      <c r="A226" s="58" t="str">
        <f>INDEX('[1]3店'!$A:$A,MATCH(B:B,'[1]3店'!$B:$B,0))</f>
        <v>欣彤</v>
      </c>
      <c r="B226" s="43" t="s">
        <v>1205</v>
      </c>
      <c r="C226" s="43" t="s">
        <v>1206</v>
      </c>
      <c r="D226" s="59">
        <f>VLOOKUP(B:B,'[1]3店'!$B:$L,3,0)</f>
        <v>45182</v>
      </c>
      <c r="E226" s="43" t="s">
        <v>1207</v>
      </c>
      <c r="F226" s="43">
        <v>74</v>
      </c>
      <c r="G226" s="43">
        <v>0</v>
      </c>
      <c r="H226" s="43">
        <v>0</v>
      </c>
      <c r="I226" s="43">
        <v>0</v>
      </c>
      <c r="J226" s="43">
        <v>0</v>
      </c>
      <c r="K226" s="63">
        <f t="shared" si="83"/>
        <v>74</v>
      </c>
      <c r="L226" s="124">
        <f>VLOOKUP($B:$B,'[1]3店'!$B:$L,11,0)</f>
        <v>15.2</v>
      </c>
      <c r="M226" s="44">
        <f t="shared" si="84"/>
        <v>1124.8</v>
      </c>
      <c r="N226" s="65">
        <f>IFERROR(VLOOKUP(B:B,'3店辅助表'!B:C,2,FALSE),0)</f>
        <v>3</v>
      </c>
      <c r="O226" s="65">
        <f>IFERROR(VLOOKUP(B:B,'3店辅助表'!E:F,2,FALSE),0)</f>
        <v>3</v>
      </c>
      <c r="P226" s="65">
        <f>IFERROR(VLOOKUP(B:B,'3店辅助表'!H:I,2,FALSE),0)</f>
        <v>5</v>
      </c>
      <c r="Q226" s="65">
        <f>IFERROR(VLOOKUP(B:B,'[1]3店'!$B:$N,13,FALSE),0)</f>
        <v>0</v>
      </c>
      <c r="R226" s="79">
        <f t="shared" si="85"/>
        <v>3</v>
      </c>
      <c r="S226" s="80">
        <f t="shared" si="86"/>
        <v>279.161676646707</v>
      </c>
      <c r="T226" s="44">
        <f t="shared" si="87"/>
        <v>9.30538922155689</v>
      </c>
      <c r="U226" s="44">
        <f>IFERROR(VLOOKUP($B:$B,'[1]3店'!$B:$T,19,0),"-")</f>
        <v>77</v>
      </c>
      <c r="V226" s="81">
        <f t="shared" si="88"/>
        <v>-67.6946107784431</v>
      </c>
      <c r="W226" s="82" t="str">
        <f t="shared" si="89"/>
        <v>库存过高</v>
      </c>
      <c r="X226" s="83" t="str">
        <f t="shared" si="90"/>
        <v>库存过高</v>
      </c>
      <c r="Y226" s="44">
        <f>IFERROR(SUMIF('3店辅助表'!K:K,B:B,'3店辅助表'!N:N),0)</f>
        <v>5.75</v>
      </c>
      <c r="Z226" s="44">
        <f>IFERROR(SUMIF('3店辅助表'!T:T,B:B,'3店辅助表'!W:W),0)</f>
        <v>11.66</v>
      </c>
      <c r="AA226" s="44">
        <f>IFERROR(SUMIF('3店辅助表'!AC:AC,B:B,'3店辅助表'!AF:AF),0)</f>
        <v>32.77</v>
      </c>
      <c r="AB226" s="91" t="str">
        <f>IFERROR(SUMIF('3店辅助表'!K:K,B:B,'3店辅助表'!N:N)/SUMIF('3店辅助表'!K:K,B:B,'3店辅助表'!O:O),"-")</f>
        <v>-</v>
      </c>
      <c r="AC226" s="91" t="str">
        <f>IFERROR(VLOOKUP(B:B,'[1]3店'!$B:$AB,27,0),"-")</f>
        <v>-</v>
      </c>
      <c r="AD226" s="92" t="str">
        <f t="shared" si="91"/>
        <v>-</v>
      </c>
      <c r="AE226" s="91" t="str">
        <f>IFERROR(SUMIF('3店辅助表'!T:T,B:B,'3店辅助表'!W:W)/SUMIF('3店辅助表'!T:T,B:B,'3店辅助表'!X:X),"-")</f>
        <v>-</v>
      </c>
      <c r="AF226" s="91">
        <f>IFERROR(SUMIF('3店辅助表'!AC:AC,B:B,'3店辅助表'!AF:AF)/SUMIF('3店辅助表'!AC:AC,B:B,'3店辅助表'!AG:AG),"-")</f>
        <v>1.26135488837567</v>
      </c>
      <c r="AG226" s="99">
        <f>IFERROR(AK226/((SUMIF('3店辅助表'!AT:AT,B:B,'3店辅助表'!AU:AU)+M226)/2),"-")</f>
        <v>0.0397350993377483</v>
      </c>
      <c r="AH226" s="99">
        <f>IFERROR(AL226/((SUMIF('3店辅助表'!AW:AW,B:B,'3店辅助表'!AX:AX)+M226)/2),"-")</f>
        <v>0.0394736842105263</v>
      </c>
      <c r="AI226" s="100">
        <f>IFERROR((SUMIF('3店辅助表'!AP:AP,B:B,'3店辅助表'!AR:AR)-SUMIF('3店辅助表'!AP:AP,B:B,'3店辅助表'!AR:AR)*0.15-(L226+IFERROR(VLOOKUP(B:B,'3店辅助表'!AZ:BA,2,0),0))*O226-IF(AN:AN="US",6.85,4.9)*(Z226+4.27*O226))/SUMIF('3店辅助表'!AP:AP,B:B,'3店辅助表'!AR:AR),"-")</f>
        <v>0.0240062072827873</v>
      </c>
      <c r="AJ226" s="100">
        <f t="shared" si="92"/>
        <v>0.000947613445373184</v>
      </c>
      <c r="AK226" s="101">
        <f t="shared" si="93"/>
        <v>45.6</v>
      </c>
      <c r="AL226" s="101">
        <f t="shared" si="94"/>
        <v>45.6</v>
      </c>
      <c r="AM226" s="1" t="str">
        <f>VLOOKUP(B:B,'3店辅助表'!AZ:AZ,1,FALSE)</f>
        <v>Y3104-BL+Y3105</v>
      </c>
      <c r="AN226" t="str">
        <f>VLOOKUP(B:B,'3店辅助表'!AZ:BB,3,FALSE)</f>
        <v>US</v>
      </c>
    </row>
    <row r="227" customHeight="1" spans="1:40">
      <c r="A227" s="58" t="str">
        <f>INDEX('[1]3店'!$A:$A,MATCH(B:B,'[1]3店'!$B:$B,0))</f>
        <v>欣彤</v>
      </c>
      <c r="B227" s="43" t="s">
        <v>1208</v>
      </c>
      <c r="C227" s="43" t="s">
        <v>1209</v>
      </c>
      <c r="D227" s="59">
        <f>VLOOKUP(B:B,'[1]3店'!$B:$L,3,0)</f>
        <v>45182</v>
      </c>
      <c r="E227" s="43" t="s">
        <v>1210</v>
      </c>
      <c r="F227" s="43">
        <v>26</v>
      </c>
      <c r="G227" s="43">
        <v>0</v>
      </c>
      <c r="H227" s="43">
        <v>0</v>
      </c>
      <c r="I227" s="43">
        <v>0</v>
      </c>
      <c r="J227" s="43">
        <v>0</v>
      </c>
      <c r="K227" s="63">
        <f t="shared" si="83"/>
        <v>26</v>
      </c>
      <c r="L227" s="124">
        <f>VLOOKUP($B:$B,'[1]3店'!$B:$L,11,0)</f>
        <v>15.2</v>
      </c>
      <c r="M227" s="44">
        <f t="shared" si="84"/>
        <v>395.2</v>
      </c>
      <c r="N227" s="65">
        <f>IFERROR(VLOOKUP(B:B,'3店辅助表'!B:C,2,FALSE),0)</f>
        <v>0</v>
      </c>
      <c r="O227" s="65">
        <f>IFERROR(VLOOKUP(B:B,'3店辅助表'!E:F,2,FALSE),0)</f>
        <v>0</v>
      </c>
      <c r="P227" s="65">
        <f>IFERROR(VLOOKUP(B:B,'3店辅助表'!H:I,2,FALSE),0)</f>
        <v>3</v>
      </c>
      <c r="Q227" s="65">
        <f>IFERROR(VLOOKUP(B:B,'[1]3店'!$B:$N,13,FALSE),0)</f>
        <v>0</v>
      </c>
      <c r="R227" s="79">
        <f t="shared" si="85"/>
        <v>0</v>
      </c>
      <c r="S227" s="80">
        <f t="shared" si="86"/>
        <v>780</v>
      </c>
      <c r="T227" s="44">
        <f t="shared" si="87"/>
        <v>26</v>
      </c>
      <c r="U227" s="44">
        <f>IFERROR(VLOOKUP($B:$B,'[1]3店'!$B:$T,19,0),"-")</f>
        <v>20.25</v>
      </c>
      <c r="V227" s="81">
        <f t="shared" si="88"/>
        <v>5.75</v>
      </c>
      <c r="W227" s="82" t="str">
        <f t="shared" si="89"/>
        <v>有库存无销量</v>
      </c>
      <c r="X227" s="83" t="str">
        <f t="shared" si="90"/>
        <v>库存过高</v>
      </c>
      <c r="Y227" s="44">
        <f>IFERROR(SUMIF('3店辅助表'!K:K,B:B,'3店辅助表'!N:N),0)</f>
        <v>0</v>
      </c>
      <c r="Z227" s="44">
        <f>IFERROR(SUMIF('3店辅助表'!T:T,B:B,'3店辅助表'!W:W),0)</f>
        <v>0</v>
      </c>
      <c r="AA227" s="44">
        <f>IFERROR(SUMIF('3店辅助表'!AC:AC,B:B,'3店辅助表'!AF:AF),0)</f>
        <v>0</v>
      </c>
      <c r="AB227" s="91" t="str">
        <f>IFERROR(SUMIF('3店辅助表'!K:K,B:B,'3店辅助表'!N:N)/SUMIF('3店辅助表'!K:K,B:B,'3店辅助表'!O:O),"-")</f>
        <v>-</v>
      </c>
      <c r="AC227" s="91" t="str">
        <f>IFERROR(VLOOKUP(B:B,'[1]3店'!$B:$AB,27,0),"-")</f>
        <v>-</v>
      </c>
      <c r="AD227" s="92" t="str">
        <f t="shared" si="91"/>
        <v>-</v>
      </c>
      <c r="AE227" s="91" t="str">
        <f>IFERROR(SUMIF('3店辅助表'!T:T,B:B,'3店辅助表'!W:W)/SUMIF('3店辅助表'!T:T,B:B,'3店辅助表'!X:X),"-")</f>
        <v>-</v>
      </c>
      <c r="AF227" s="91" t="str">
        <f>IFERROR(SUMIF('3店辅助表'!AC:AC,B:B,'3店辅助表'!AF:AF)/SUMIF('3店辅助表'!AC:AC,B:B,'3店辅助表'!AG:AG),"-")</f>
        <v>-</v>
      </c>
      <c r="AG227" s="99">
        <f>IFERROR(AK227/((SUMIF('3店辅助表'!AT:AT,B:B,'3店辅助表'!AU:AU)+M227)/2),"-")</f>
        <v>0</v>
      </c>
      <c r="AH227" s="99">
        <f>IFERROR(AL227/((SUMIF('3店辅助表'!AW:AW,B:B,'3店辅助表'!AX:AX)+M227)/2),"-")</f>
        <v>0</v>
      </c>
      <c r="AI227" s="100" t="str">
        <f>IFERROR((SUMIF('3店辅助表'!AP:AP,B:B,'3店辅助表'!AR:AR)-SUMIF('3店辅助表'!AP:AP,B:B,'3店辅助表'!AR:AR)*0.15-(L227+IFERROR(VLOOKUP(B:B,'3店辅助表'!AZ:BA,2,0),0))*O227-IF(AN:AN="US",6.85,4.9)*(Z227+4.27*O227))/SUMIF('3店辅助表'!AP:AP,B:B,'3店辅助表'!AR:AR),"-")</f>
        <v>-</v>
      </c>
      <c r="AJ227" s="100" t="str">
        <f t="shared" si="92"/>
        <v>-</v>
      </c>
      <c r="AK227" s="101">
        <f t="shared" si="93"/>
        <v>0</v>
      </c>
      <c r="AL227" s="101">
        <f t="shared" si="94"/>
        <v>0</v>
      </c>
      <c r="AM227" s="1" t="str">
        <f>VLOOKUP(B:B,'3店辅助表'!AZ:AZ,1,FALSE)</f>
        <v>Y3104-GN+Y3105</v>
      </c>
      <c r="AN227" t="str">
        <f>VLOOKUP(B:B,'3店辅助表'!AZ:BB,3,FALSE)</f>
        <v>US</v>
      </c>
    </row>
    <row r="228" customHeight="1" spans="1:40">
      <c r="A228" s="58" t="str">
        <f>INDEX('[1]3店'!$A:$A,MATCH(B:B,'[1]3店'!$B:$B,0))</f>
        <v>欣彤</v>
      </c>
      <c r="B228" s="43" t="s">
        <v>1211</v>
      </c>
      <c r="C228" s="43" t="s">
        <v>1212</v>
      </c>
      <c r="D228" s="59">
        <f>VLOOKUP(B:B,'[1]3店'!$B:$L,3,0)</f>
        <v>45182</v>
      </c>
      <c r="E228" s="43" t="s">
        <v>1213</v>
      </c>
      <c r="F228" s="43">
        <v>28</v>
      </c>
      <c r="G228" s="43">
        <v>0</v>
      </c>
      <c r="H228" s="43">
        <v>0</v>
      </c>
      <c r="I228" s="43">
        <v>0</v>
      </c>
      <c r="J228" s="43">
        <v>0</v>
      </c>
      <c r="K228" s="63">
        <f t="shared" si="83"/>
        <v>28</v>
      </c>
      <c r="L228" s="124">
        <f>VLOOKUP($B:$B,'[1]3店'!$B:$L,11,0)</f>
        <v>15.2</v>
      </c>
      <c r="M228" s="44">
        <f t="shared" si="84"/>
        <v>425.6</v>
      </c>
      <c r="N228" s="65">
        <f>IFERROR(VLOOKUP(B:B,'3店辅助表'!B:C,2,FALSE),0)</f>
        <v>0</v>
      </c>
      <c r="O228" s="65">
        <f>IFERROR(VLOOKUP(B:B,'3店辅助表'!E:F,2,FALSE),0)</f>
        <v>0</v>
      </c>
      <c r="P228" s="65">
        <f>IFERROR(VLOOKUP(B:B,'3店辅助表'!H:I,2,FALSE),0)</f>
        <v>2</v>
      </c>
      <c r="Q228" s="65">
        <f>IFERROR(VLOOKUP(B:B,'[1]3店'!$B:$N,13,FALSE),0)</f>
        <v>0</v>
      </c>
      <c r="R228" s="79">
        <f t="shared" si="85"/>
        <v>0</v>
      </c>
      <c r="S228" s="80">
        <f t="shared" si="86"/>
        <v>1260</v>
      </c>
      <c r="T228" s="44">
        <f t="shared" si="87"/>
        <v>42</v>
      </c>
      <c r="U228" s="44">
        <f>IFERROR(VLOOKUP($B:$B,'[1]3店'!$B:$T,19,0),"-")</f>
        <v>21</v>
      </c>
      <c r="V228" s="81">
        <f t="shared" si="88"/>
        <v>21</v>
      </c>
      <c r="W228" s="82" t="str">
        <f t="shared" si="89"/>
        <v>有库存无销量</v>
      </c>
      <c r="X228" s="83" t="str">
        <f t="shared" si="90"/>
        <v>库存过高</v>
      </c>
      <c r="Y228" s="44">
        <f>IFERROR(SUMIF('3店辅助表'!K:K,B:B,'3店辅助表'!N:N),0)</f>
        <v>0</v>
      </c>
      <c r="Z228" s="44">
        <f>IFERROR(SUMIF('3店辅助表'!T:T,B:B,'3店辅助表'!W:W),0)</f>
        <v>0</v>
      </c>
      <c r="AA228" s="44">
        <f>IFERROR(SUMIF('3店辅助表'!AC:AC,B:B,'3店辅助表'!AF:AF),0)</f>
        <v>0</v>
      </c>
      <c r="AB228" s="91" t="str">
        <f>IFERROR(SUMIF('3店辅助表'!K:K,B:B,'3店辅助表'!N:N)/SUMIF('3店辅助表'!K:K,B:B,'3店辅助表'!O:O),"-")</f>
        <v>-</v>
      </c>
      <c r="AC228" s="91" t="str">
        <f>IFERROR(VLOOKUP(B:B,'[1]3店'!$B:$AB,27,0),"-")</f>
        <v>-</v>
      </c>
      <c r="AD228" s="92" t="str">
        <f t="shared" si="91"/>
        <v>-</v>
      </c>
      <c r="AE228" s="91" t="str">
        <f>IFERROR(SUMIF('3店辅助表'!T:T,B:B,'3店辅助表'!W:W)/SUMIF('3店辅助表'!T:T,B:B,'3店辅助表'!X:X),"-")</f>
        <v>-</v>
      </c>
      <c r="AF228" s="91" t="str">
        <f>IFERROR(SUMIF('3店辅助表'!AC:AC,B:B,'3店辅助表'!AF:AF)/SUMIF('3店辅助表'!AC:AC,B:B,'3店辅助表'!AG:AG),"-")</f>
        <v>-</v>
      </c>
      <c r="AG228" s="99">
        <f>IFERROR(AK228/((SUMIF('3店辅助表'!AT:AT,B:B,'3店辅助表'!AU:AU)+M228)/2),"-")</f>
        <v>0</v>
      </c>
      <c r="AH228" s="99">
        <f>IFERROR(AL228/((SUMIF('3店辅助表'!AW:AW,B:B,'3店辅助表'!AX:AX)+M228)/2),"-")</f>
        <v>0</v>
      </c>
      <c r="AI228" s="100" t="str">
        <f>IFERROR((SUMIF('3店辅助表'!AP:AP,B:B,'3店辅助表'!AR:AR)-SUMIF('3店辅助表'!AP:AP,B:B,'3店辅助表'!AR:AR)*0.15-(L228+IFERROR(VLOOKUP(B:B,'3店辅助表'!AZ:BA,2,0),0))*O228-IF(AN:AN="US",6.85,4.9)*(Z228+4.27*O228))/SUMIF('3店辅助表'!AP:AP,B:B,'3店辅助表'!AR:AR),"-")</f>
        <v>-</v>
      </c>
      <c r="AJ228" s="100" t="str">
        <f t="shared" si="92"/>
        <v>-</v>
      </c>
      <c r="AK228" s="101">
        <f t="shared" si="93"/>
        <v>0</v>
      </c>
      <c r="AL228" s="101">
        <f t="shared" si="94"/>
        <v>0</v>
      </c>
      <c r="AM228" s="1" t="str">
        <f>VLOOKUP(B:B,'3店辅助表'!AZ:AZ,1,FALSE)</f>
        <v>Y3104-GY+Y3105</v>
      </c>
      <c r="AN228" t="str">
        <f>VLOOKUP(B:B,'3店辅助表'!AZ:BB,3,FALSE)</f>
        <v>US</v>
      </c>
    </row>
    <row r="229" customHeight="1" spans="1:40">
      <c r="A229" s="58" t="str">
        <f>INDEX('[1]3店'!$A:$A,MATCH(B:B,'[1]3店'!$B:$B,0))</f>
        <v>欣彤</v>
      </c>
      <c r="B229" s="43" t="s">
        <v>1214</v>
      </c>
      <c r="C229" s="43" t="s">
        <v>1215</v>
      </c>
      <c r="D229" s="59">
        <f>VLOOKUP(B:B,'[1]3店'!$B:$L,3,0)</f>
        <v>45182</v>
      </c>
      <c r="E229" s="43" t="s">
        <v>1216</v>
      </c>
      <c r="F229" s="43">
        <v>48</v>
      </c>
      <c r="G229" s="43">
        <v>0</v>
      </c>
      <c r="H229" s="43">
        <v>0</v>
      </c>
      <c r="I229" s="43">
        <v>0</v>
      </c>
      <c r="J229" s="43">
        <v>0</v>
      </c>
      <c r="K229" s="63">
        <f t="shared" si="83"/>
        <v>48</v>
      </c>
      <c r="L229" s="124">
        <f>VLOOKUP($B:$B,'[1]3店'!$B:$L,11,0)</f>
        <v>15.2</v>
      </c>
      <c r="M229" s="44">
        <f t="shared" si="84"/>
        <v>729.6</v>
      </c>
      <c r="N229" s="65">
        <f>IFERROR(VLOOKUP(B:B,'3店辅助表'!B:C,2,FALSE),0)</f>
        <v>0</v>
      </c>
      <c r="O229" s="65">
        <f>IFERROR(VLOOKUP(B:B,'3店辅助表'!E:F,2,FALSE),0)</f>
        <v>0</v>
      </c>
      <c r="P229" s="65">
        <f>IFERROR(VLOOKUP(B:B,'3店辅助表'!H:I,2,FALSE),0)</f>
        <v>2</v>
      </c>
      <c r="Q229" s="65">
        <f>IFERROR(VLOOKUP(B:B,'[1]3店'!$B:$N,13,FALSE),0)</f>
        <v>0</v>
      </c>
      <c r="R229" s="79">
        <f t="shared" si="85"/>
        <v>0</v>
      </c>
      <c r="S229" s="80">
        <f t="shared" si="86"/>
        <v>2160</v>
      </c>
      <c r="T229" s="44">
        <f t="shared" si="87"/>
        <v>72</v>
      </c>
      <c r="U229" s="44">
        <f>IFERROR(VLOOKUP($B:$B,'[1]3店'!$B:$T,19,0),"-")</f>
        <v>72</v>
      </c>
      <c r="V229" s="81">
        <f t="shared" si="88"/>
        <v>0</v>
      </c>
      <c r="W229" s="82" t="str">
        <f t="shared" si="89"/>
        <v>有库存无销量</v>
      </c>
      <c r="X229" s="83" t="str">
        <f t="shared" si="90"/>
        <v>库存过高</v>
      </c>
      <c r="Y229" s="44">
        <f>IFERROR(SUMIF('3店辅助表'!K:K,B:B,'3店辅助表'!N:N),0)</f>
        <v>1.99</v>
      </c>
      <c r="Z229" s="44">
        <f>IFERROR(SUMIF('3店辅助表'!T:T,B:B,'3店辅助表'!W:W),0)</f>
        <v>6.11</v>
      </c>
      <c r="AA229" s="44">
        <f>IFERROR(SUMIF('3店辅助表'!AC:AC,B:B,'3店辅助表'!AF:AF),0)</f>
        <v>20.22</v>
      </c>
      <c r="AB229" s="91">
        <f>IFERROR(SUMIF('3店辅助表'!K:K,B:B,'3店辅助表'!N:N)/SUMIF('3店辅助表'!K:K,B:B,'3店辅助表'!O:O),"-")</f>
        <v>0.0765973826020015</v>
      </c>
      <c r="AC229" s="91" t="str">
        <f>IFERROR(VLOOKUP(B:B,'[1]3店'!$B:$AB,27,0),"-")</f>
        <v>-</v>
      </c>
      <c r="AD229" s="92" t="str">
        <f t="shared" si="91"/>
        <v>-</v>
      </c>
      <c r="AE229" s="91">
        <f>IFERROR(SUMIF('3店辅助表'!T:T,B:B,'3店辅助表'!W:W)/SUMIF('3店辅助表'!T:T,B:B,'3店辅助表'!X:X),"-")</f>
        <v>0.23518090839107</v>
      </c>
      <c r="AF229" s="91">
        <f>IFERROR(SUMIF('3店辅助表'!AC:AC,B:B,'3店辅助表'!AF:AF)/SUMIF('3店辅助表'!AC:AC,B:B,'3店辅助表'!AG:AG),"-")</f>
        <v>0.311316397228637</v>
      </c>
      <c r="AG229" s="99">
        <f>IFERROR(AK229/((SUMIF('3店辅助表'!AT:AT,B:B,'3店辅助表'!AU:AU)+M229)/2),"-")</f>
        <v>0</v>
      </c>
      <c r="AH229" s="99">
        <f>IFERROR(AL229/((SUMIF('3店辅助表'!AW:AW,B:B,'3店辅助表'!AX:AX)+M229)/2),"-")</f>
        <v>0</v>
      </c>
      <c r="AI229" s="100" t="str">
        <f>IFERROR((SUMIF('3店辅助表'!AP:AP,B:B,'3店辅助表'!AR:AR)-SUMIF('3店辅助表'!AP:AP,B:B,'3店辅助表'!AR:AR)*0.15-(L229+IFERROR(VLOOKUP(B:B,'3店辅助表'!AZ:BA,2,0),0))*O229-IF(AN:AN="US",6.85,4.9)*(Z229+4.27*O229))/SUMIF('3店辅助表'!AP:AP,B:B,'3店辅助表'!AR:AR),"-")</f>
        <v>-</v>
      </c>
      <c r="AJ229" s="100" t="str">
        <f t="shared" si="92"/>
        <v>-</v>
      </c>
      <c r="AK229" s="101">
        <f t="shared" si="93"/>
        <v>0</v>
      </c>
      <c r="AL229" s="101">
        <f t="shared" si="94"/>
        <v>0</v>
      </c>
      <c r="AM229" s="1" t="str">
        <f>VLOOKUP(B:B,'3店辅助表'!AZ:AZ,1,FALSE)</f>
        <v>Y3104-NB+Y3105</v>
      </c>
      <c r="AN229" t="str">
        <f>VLOOKUP(B:B,'3店辅助表'!AZ:BB,3,FALSE)</f>
        <v>US</v>
      </c>
    </row>
    <row r="230" customHeight="1" spans="1:40">
      <c r="A230" s="58" t="str">
        <f>INDEX('[1]3店'!$A:$A,MATCH(B:B,'[1]3店'!$B:$B,0))</f>
        <v>欣彤</v>
      </c>
      <c r="B230" s="43" t="s">
        <v>1217</v>
      </c>
      <c r="C230" s="43" t="s">
        <v>1218</v>
      </c>
      <c r="D230" s="59">
        <f>VLOOKUP(B:B,'[1]3店'!$B:$L,3,0)</f>
        <v>45182</v>
      </c>
      <c r="E230" s="43" t="s">
        <v>1219</v>
      </c>
      <c r="F230" s="43">
        <v>29</v>
      </c>
      <c r="G230" s="43">
        <v>0</v>
      </c>
      <c r="H230" s="43">
        <v>0</v>
      </c>
      <c r="I230" s="43">
        <v>0</v>
      </c>
      <c r="J230" s="43">
        <v>0</v>
      </c>
      <c r="K230" s="63">
        <f t="shared" si="83"/>
        <v>29</v>
      </c>
      <c r="L230" s="124">
        <f>VLOOKUP($B:$B,'[1]3店'!$B:$L,11,0)</f>
        <v>15.2</v>
      </c>
      <c r="M230" s="44">
        <f t="shared" si="84"/>
        <v>440.8</v>
      </c>
      <c r="N230" s="65">
        <f>IFERROR(VLOOKUP(B:B,'3店辅助表'!B:C,2,FALSE),0)</f>
        <v>0</v>
      </c>
      <c r="O230" s="65">
        <f>IFERROR(VLOOKUP(B:B,'3店辅助表'!E:F,2,FALSE),0)</f>
        <v>0</v>
      </c>
      <c r="P230" s="65">
        <f>IFERROR(VLOOKUP(B:B,'3店辅助表'!H:I,2,FALSE),0)</f>
        <v>1</v>
      </c>
      <c r="Q230" s="65">
        <f>IFERROR(VLOOKUP(B:B,'[1]3店'!$B:$N,13,FALSE),0)</f>
        <v>0</v>
      </c>
      <c r="R230" s="79">
        <f t="shared" si="85"/>
        <v>0</v>
      </c>
      <c r="S230" s="80">
        <f t="shared" si="86"/>
        <v>2610</v>
      </c>
      <c r="T230" s="44">
        <f t="shared" si="87"/>
        <v>87</v>
      </c>
      <c r="U230" s="44">
        <f>IFERROR(VLOOKUP($B:$B,'[1]3店'!$B:$T,19,0),"-")</f>
        <v>87</v>
      </c>
      <c r="V230" s="81">
        <f t="shared" si="88"/>
        <v>0</v>
      </c>
      <c r="W230" s="82" t="str">
        <f t="shared" si="89"/>
        <v>有库存无销量</v>
      </c>
      <c r="X230" s="83" t="str">
        <f t="shared" si="90"/>
        <v>库存过高</v>
      </c>
      <c r="Y230" s="44">
        <f>IFERROR(SUMIF('3店辅助表'!K:K,B:B,'3店辅助表'!N:N),0)</f>
        <v>1.48</v>
      </c>
      <c r="Z230" s="44">
        <f>IFERROR(SUMIF('3店辅助表'!T:T,B:B,'3店辅助表'!W:W),0)</f>
        <v>1.48</v>
      </c>
      <c r="AA230" s="44">
        <f>IFERROR(SUMIF('3店辅助表'!AC:AC,B:B,'3店辅助表'!AF:AF),0)</f>
        <v>15.52</v>
      </c>
      <c r="AB230" s="91" t="str">
        <f>IFERROR(SUMIF('3店辅助表'!K:K,B:B,'3店辅助表'!N:N)/SUMIF('3店辅助表'!K:K,B:B,'3店辅助表'!O:O),"-")</f>
        <v>-</v>
      </c>
      <c r="AC230" s="91" t="str">
        <f>IFERROR(VLOOKUP(B:B,'[1]3店'!$B:$AB,27,0),"-")</f>
        <v>-</v>
      </c>
      <c r="AD230" s="92" t="str">
        <f t="shared" si="91"/>
        <v>-</v>
      </c>
      <c r="AE230" s="91" t="str">
        <f>IFERROR(SUMIF('3店辅助表'!T:T,B:B,'3店辅助表'!W:W)/SUMIF('3店辅助表'!T:T,B:B,'3店辅助表'!X:X),"-")</f>
        <v>-</v>
      </c>
      <c r="AF230" s="91">
        <f>IFERROR(SUMIF('3店辅助表'!AC:AC,B:B,'3店辅助表'!AF:AF)/SUMIF('3店辅助表'!AC:AC,B:B,'3店辅助表'!AG:AG),"-")</f>
        <v>0.408743745061891</v>
      </c>
      <c r="AG230" s="99">
        <f>IFERROR(AK230/((SUMIF('3店辅助表'!AT:AT,B:B,'3店辅助表'!AU:AU)+M230)/2),"-")</f>
        <v>0</v>
      </c>
      <c r="AH230" s="99">
        <f>IFERROR(AL230/((SUMIF('3店辅助表'!AW:AW,B:B,'3店辅助表'!AX:AX)+M230)/2),"-")</f>
        <v>0</v>
      </c>
      <c r="AI230" s="100" t="str">
        <f>IFERROR((SUMIF('3店辅助表'!AP:AP,B:B,'3店辅助表'!AR:AR)-SUMIF('3店辅助表'!AP:AP,B:B,'3店辅助表'!AR:AR)*0.15-(L230+IFERROR(VLOOKUP(B:B,'3店辅助表'!AZ:BA,2,0),0))*O230-IF(AN:AN="US",6.85,4.9)*(Z230+4.27*O230))/SUMIF('3店辅助表'!AP:AP,B:B,'3店辅助表'!AR:AR),"-")</f>
        <v>-</v>
      </c>
      <c r="AJ230" s="100" t="str">
        <f t="shared" si="92"/>
        <v>-</v>
      </c>
      <c r="AK230" s="101">
        <f t="shared" si="93"/>
        <v>0</v>
      </c>
      <c r="AL230" s="101">
        <f t="shared" si="94"/>
        <v>0</v>
      </c>
      <c r="AM230" s="1" t="str">
        <f>VLOOKUP(B:B,'3店辅助表'!AZ:AZ,1,FALSE)</f>
        <v>Y3106-BG+Y3107</v>
      </c>
      <c r="AN230" t="str">
        <f>VLOOKUP(B:B,'3店辅助表'!AZ:BB,3,FALSE)</f>
        <v>US</v>
      </c>
    </row>
    <row r="231" customHeight="1" spans="1:40">
      <c r="A231" s="58" t="str">
        <f>INDEX('[1]3店'!$A:$A,MATCH(B:B,'[1]3店'!$B:$B,0))</f>
        <v>欣彤</v>
      </c>
      <c r="B231" s="43" t="s">
        <v>1220</v>
      </c>
      <c r="C231" s="43" t="s">
        <v>1221</v>
      </c>
      <c r="D231" s="59">
        <f>VLOOKUP(B:B,'[1]3店'!$B:$L,3,0)</f>
        <v>45182</v>
      </c>
      <c r="E231" s="43" t="s">
        <v>1222</v>
      </c>
      <c r="F231" s="43">
        <v>72</v>
      </c>
      <c r="G231" s="43">
        <v>0</v>
      </c>
      <c r="H231" s="43">
        <v>0</v>
      </c>
      <c r="I231" s="43">
        <v>0</v>
      </c>
      <c r="J231" s="43">
        <v>0</v>
      </c>
      <c r="K231" s="63">
        <f t="shared" si="83"/>
        <v>72</v>
      </c>
      <c r="L231" s="124">
        <f>VLOOKUP($B:$B,'[1]3店'!$B:$L,11,0)</f>
        <v>15.2</v>
      </c>
      <c r="M231" s="44">
        <f t="shared" si="84"/>
        <v>1094.4</v>
      </c>
      <c r="N231" s="65">
        <f>IFERROR(VLOOKUP(B:B,'3店辅助表'!B:C,2,FALSE),0)</f>
        <v>5</v>
      </c>
      <c r="O231" s="65">
        <f>IFERROR(VLOOKUP(B:B,'3店辅助表'!E:F,2,FALSE),0)</f>
        <v>5</v>
      </c>
      <c r="P231" s="65">
        <f>IFERROR(VLOOKUP(B:B,'3店辅助表'!H:I,2,FALSE),0)</f>
        <v>9</v>
      </c>
      <c r="Q231" s="65">
        <f>IFERROR(VLOOKUP(B:B,'[1]3店'!$B:$N,13,FALSE),0)</f>
        <v>1</v>
      </c>
      <c r="R231" s="79">
        <f t="shared" si="85"/>
        <v>4</v>
      </c>
      <c r="S231" s="80">
        <f t="shared" si="86"/>
        <v>160.282685512367</v>
      </c>
      <c r="T231" s="44">
        <f t="shared" si="87"/>
        <v>5.34275618374558</v>
      </c>
      <c r="U231" s="44">
        <f>IFERROR(VLOOKUP($B:$B,'[1]3店'!$B:$T,19,0),"-")</f>
        <v>17.1612903225806</v>
      </c>
      <c r="V231" s="81">
        <f t="shared" si="88"/>
        <v>-11.818534138835</v>
      </c>
      <c r="W231" s="82" t="str">
        <f t="shared" si="89"/>
        <v>库存过高</v>
      </c>
      <c r="X231" s="83" t="str">
        <f t="shared" si="90"/>
        <v>库存过高</v>
      </c>
      <c r="Y231" s="44">
        <f>IFERROR(SUMIF('3店辅助表'!K:K,B:B,'3店辅助表'!N:N),0)</f>
        <v>3.57</v>
      </c>
      <c r="Z231" s="44">
        <f>IFERROR(SUMIF('3店辅助表'!T:T,B:B,'3店辅助表'!W:W),0)</f>
        <v>6.75</v>
      </c>
      <c r="AA231" s="44">
        <f>IFERROR(SUMIF('3店辅助表'!AC:AC,B:B,'3店辅助表'!AF:AF),0)</f>
        <v>17.21</v>
      </c>
      <c r="AB231" s="91">
        <f>IFERROR(SUMIF('3店辅助表'!K:K,B:B,'3店辅助表'!N:N)/SUMIF('3店辅助表'!K:K,B:B,'3店辅助表'!O:O),"-")</f>
        <v>0.274826789838337</v>
      </c>
      <c r="AC231" s="91" t="str">
        <f>IFERROR(VLOOKUP(B:B,'[1]3店'!$B:$AB,27,0),"-")</f>
        <v>-</v>
      </c>
      <c r="AD231" s="92" t="str">
        <f t="shared" si="91"/>
        <v>-</v>
      </c>
      <c r="AE231" s="91">
        <f>IFERROR(SUMIF('3店辅助表'!T:T,B:B,'3店辅助表'!W:W)/SUMIF('3店辅助表'!T:T,B:B,'3店辅助表'!X:X),"-")</f>
        <v>0.519630484988453</v>
      </c>
      <c r="AF231" s="91">
        <f>IFERROR(SUMIF('3店辅助表'!AC:AC,B:B,'3店辅助表'!AF:AF)/SUMIF('3店辅助表'!AC:AC,B:B,'3店辅助表'!AG:AG),"-")</f>
        <v>1.32486528098537</v>
      </c>
      <c r="AG231" s="99">
        <f>IFERROR(AK231/((SUMIF('3店辅助表'!AT:AT,B:B,'3店辅助表'!AU:AU)+M231)/2),"-")</f>
        <v>0.0675675675675676</v>
      </c>
      <c r="AH231" s="99">
        <f>IFERROR(AL231/((SUMIF('3店辅助表'!AW:AW,B:B,'3店辅助表'!AX:AX)+M231)/2),"-")</f>
        <v>0.0657894736842105</v>
      </c>
      <c r="AI231" s="100">
        <f>IFERROR((SUMIF('3店辅助表'!AP:AP,B:B,'3店辅助表'!AR:AR)-SUMIF('3店辅助表'!AP:AP,B:B,'3店辅助表'!AR:AR)*0.15-(L231+IFERROR(VLOOKUP(B:B,'3店辅助表'!AZ:BA,2,0),0))*O231-IF(AN:AN="US",6.85,4.9)*(Z231+4.27*O231))/SUMIF('3店辅助表'!AP:AP,B:B,'3店辅助表'!AR:AR),"-")</f>
        <v>0.219284626579682</v>
      </c>
      <c r="AJ231" s="100">
        <f t="shared" si="92"/>
        <v>0.0144266201697159</v>
      </c>
      <c r="AK231" s="101">
        <f t="shared" si="93"/>
        <v>76</v>
      </c>
      <c r="AL231" s="101">
        <f t="shared" si="94"/>
        <v>76</v>
      </c>
      <c r="AM231" s="1" t="str">
        <f>VLOOKUP(B:B,'3店辅助表'!AZ:AZ,1,FALSE)</f>
        <v>Y3106-BL+Y3107</v>
      </c>
      <c r="AN231" t="str">
        <f>VLOOKUP(B:B,'3店辅助表'!AZ:BB,3,FALSE)</f>
        <v>US</v>
      </c>
    </row>
    <row r="232" customHeight="1" spans="1:40">
      <c r="A232" s="58" t="str">
        <f>INDEX('[1]3店'!$A:$A,MATCH(B:B,'[1]3店'!$B:$B,0))</f>
        <v>欣彤</v>
      </c>
      <c r="B232" s="43" t="s">
        <v>1223</v>
      </c>
      <c r="C232" s="43" t="s">
        <v>1224</v>
      </c>
      <c r="D232" s="59">
        <f>VLOOKUP(B:B,'[1]3店'!$B:$L,3,0)</f>
        <v>45182</v>
      </c>
      <c r="E232" s="43" t="s">
        <v>1225</v>
      </c>
      <c r="F232" s="43">
        <v>30</v>
      </c>
      <c r="G232" s="43">
        <v>0</v>
      </c>
      <c r="H232" s="43">
        <v>0</v>
      </c>
      <c r="I232" s="43">
        <v>0</v>
      </c>
      <c r="J232" s="43">
        <v>0</v>
      </c>
      <c r="K232" s="63">
        <f t="shared" si="83"/>
        <v>30</v>
      </c>
      <c r="L232" s="124">
        <f>VLOOKUP($B:$B,'[1]3店'!$B:$L,11,0)</f>
        <v>15.2</v>
      </c>
      <c r="M232" s="44">
        <f t="shared" si="84"/>
        <v>456</v>
      </c>
      <c r="N232" s="65">
        <f>IFERROR(VLOOKUP(B:B,'3店辅助表'!B:C,2,FALSE),0)</f>
        <v>0</v>
      </c>
      <c r="O232" s="65">
        <f>IFERROR(VLOOKUP(B:B,'3店辅助表'!E:F,2,FALSE),0)</f>
        <v>0</v>
      </c>
      <c r="P232" s="65">
        <f>IFERROR(VLOOKUP(B:B,'3店辅助表'!H:I,2,FALSE),0)</f>
        <v>0</v>
      </c>
      <c r="Q232" s="65">
        <f>IFERROR(VLOOKUP(B:B,'[1]3店'!$B:$N,13,FALSE),0)</f>
        <v>0</v>
      </c>
      <c r="R232" s="79">
        <f t="shared" si="85"/>
        <v>0</v>
      </c>
      <c r="S232" s="80" t="str">
        <f t="shared" si="86"/>
        <v>-</v>
      </c>
      <c r="T232" s="44" t="str">
        <f t="shared" si="87"/>
        <v>-</v>
      </c>
      <c r="U232" s="44" t="str">
        <f>IFERROR(VLOOKUP($B:$B,'[1]3店'!$B:$T,19,0),"-")</f>
        <v>-</v>
      </c>
      <c r="V232" s="81" t="str">
        <f t="shared" si="88"/>
        <v>-</v>
      </c>
      <c r="W232" s="82" t="str">
        <f t="shared" si="89"/>
        <v>有库存无销量</v>
      </c>
      <c r="X232" s="83" t="str">
        <f t="shared" si="90"/>
        <v>有库存无销量</v>
      </c>
      <c r="Y232" s="44">
        <f>IFERROR(SUMIF('3店辅助表'!K:K,B:B,'3店辅助表'!N:N),0)</f>
        <v>0</v>
      </c>
      <c r="Z232" s="44">
        <f>IFERROR(SUMIF('3店辅助表'!T:T,B:B,'3店辅助表'!W:W),0)</f>
        <v>0</v>
      </c>
      <c r="AA232" s="44">
        <f>IFERROR(SUMIF('3店辅助表'!AC:AC,B:B,'3店辅助表'!AF:AF),0)</f>
        <v>0</v>
      </c>
      <c r="AB232" s="91" t="str">
        <f>IFERROR(SUMIF('3店辅助表'!K:K,B:B,'3店辅助表'!N:N)/SUMIF('3店辅助表'!K:K,B:B,'3店辅助表'!O:O),"-")</f>
        <v>-</v>
      </c>
      <c r="AC232" s="91" t="str">
        <f>IFERROR(VLOOKUP(B:B,'[1]3店'!$B:$AB,27,0),"-")</f>
        <v>-</v>
      </c>
      <c r="AD232" s="92" t="str">
        <f t="shared" si="91"/>
        <v>-</v>
      </c>
      <c r="AE232" s="91" t="str">
        <f>IFERROR(SUMIF('3店辅助表'!T:T,B:B,'3店辅助表'!W:W)/SUMIF('3店辅助表'!T:T,B:B,'3店辅助表'!X:X),"-")</f>
        <v>-</v>
      </c>
      <c r="AF232" s="91" t="str">
        <f>IFERROR(SUMIF('3店辅助表'!AC:AC,B:B,'3店辅助表'!AF:AF)/SUMIF('3店辅助表'!AC:AC,B:B,'3店辅助表'!AG:AG),"-")</f>
        <v>-</v>
      </c>
      <c r="AG232" s="99">
        <f>IFERROR(AK232/((SUMIF('3店辅助表'!AT:AT,B:B,'3店辅助表'!AU:AU)+M232)/2),"-")</f>
        <v>0</v>
      </c>
      <c r="AH232" s="99">
        <f>IFERROR(AL232/((SUMIF('3店辅助表'!AW:AW,B:B,'3店辅助表'!AX:AX)+M232)/2),"-")</f>
        <v>0</v>
      </c>
      <c r="AI232" s="100" t="str">
        <f>IFERROR((SUMIF('3店辅助表'!AP:AP,B:B,'3店辅助表'!AR:AR)-SUMIF('3店辅助表'!AP:AP,B:B,'3店辅助表'!AR:AR)*0.15-(L232+IFERROR(VLOOKUP(B:B,'3店辅助表'!AZ:BA,2,0),0))*O232-IF(AN:AN="US",6.85,4.9)*(Z232+4.27*O232))/SUMIF('3店辅助表'!AP:AP,B:B,'3店辅助表'!AR:AR),"-")</f>
        <v>-</v>
      </c>
      <c r="AJ232" s="100" t="str">
        <f t="shared" si="92"/>
        <v>-</v>
      </c>
      <c r="AK232" s="101">
        <f t="shared" si="93"/>
        <v>0</v>
      </c>
      <c r="AL232" s="101">
        <f t="shared" si="94"/>
        <v>0</v>
      </c>
      <c r="AM232" s="1" t="str">
        <f>VLOOKUP(B:B,'3店辅助表'!AZ:AZ,1,FALSE)</f>
        <v>Y3106-GN+Y3107</v>
      </c>
      <c r="AN232" t="str">
        <f>VLOOKUP(B:B,'3店辅助表'!AZ:BB,3,FALSE)</f>
        <v>US</v>
      </c>
    </row>
    <row r="233" customHeight="1" spans="1:40">
      <c r="A233" s="58" t="str">
        <f>INDEX('[1]3店'!$A:$A,MATCH(B:B,'[1]3店'!$B:$B,0))</f>
        <v>欣彤</v>
      </c>
      <c r="B233" s="43" t="s">
        <v>1226</v>
      </c>
      <c r="C233" s="43" t="s">
        <v>1227</v>
      </c>
      <c r="D233" s="59">
        <f>VLOOKUP(B:B,'[1]3店'!$B:$L,3,0)</f>
        <v>45182</v>
      </c>
      <c r="E233" s="43" t="s">
        <v>1228</v>
      </c>
      <c r="F233" s="43">
        <v>28</v>
      </c>
      <c r="G233" s="43">
        <v>0</v>
      </c>
      <c r="H233" s="43">
        <v>0</v>
      </c>
      <c r="I233" s="43">
        <v>0</v>
      </c>
      <c r="J233" s="43">
        <v>0</v>
      </c>
      <c r="K233" s="63">
        <f t="shared" si="83"/>
        <v>28</v>
      </c>
      <c r="L233" s="124">
        <f>VLOOKUP($B:$B,'[1]3店'!$B:$L,11,0)</f>
        <v>15.2</v>
      </c>
      <c r="M233" s="44">
        <f t="shared" si="84"/>
        <v>425.6</v>
      </c>
      <c r="N233" s="65">
        <f>IFERROR(VLOOKUP(B:B,'3店辅助表'!B:C,2,FALSE),0)</f>
        <v>1</v>
      </c>
      <c r="O233" s="65">
        <f>IFERROR(VLOOKUP(B:B,'3店辅助表'!E:F,2,FALSE),0)</f>
        <v>2</v>
      </c>
      <c r="P233" s="65">
        <f>IFERROR(VLOOKUP(B:B,'3店辅助表'!H:I,2,FALSE),0)</f>
        <v>3</v>
      </c>
      <c r="Q233" s="65">
        <f>IFERROR(VLOOKUP(B:B,'[1]3店'!$B:$N,13,FALSE),0)</f>
        <v>1</v>
      </c>
      <c r="R233" s="79">
        <f t="shared" si="85"/>
        <v>0</v>
      </c>
      <c r="S233" s="80">
        <f t="shared" si="86"/>
        <v>223.291139240506</v>
      </c>
      <c r="T233" s="44">
        <f t="shared" si="87"/>
        <v>7.44303797468354</v>
      </c>
      <c r="U233" s="44">
        <f>IFERROR(VLOOKUP($B:$B,'[1]3店'!$B:$T,19,0),"-")</f>
        <v>8.45833333333333</v>
      </c>
      <c r="V233" s="81">
        <f t="shared" si="88"/>
        <v>-1.01529535864979</v>
      </c>
      <c r="W233" s="82" t="str">
        <f t="shared" si="89"/>
        <v>库存过高</v>
      </c>
      <c r="X233" s="83" t="str">
        <f t="shared" si="90"/>
        <v>库存过高</v>
      </c>
      <c r="Y233" s="44">
        <f>IFERROR(SUMIF('3店辅助表'!K:K,B:B,'3店辅助表'!N:N),0)</f>
        <v>0</v>
      </c>
      <c r="Z233" s="44">
        <f>IFERROR(SUMIF('3店辅助表'!T:T,B:B,'3店辅助表'!W:W),0)</f>
        <v>0</v>
      </c>
      <c r="AA233" s="44">
        <f>IFERROR(SUMIF('3店辅助表'!AC:AC,B:B,'3店辅助表'!AF:AF),0)</f>
        <v>0</v>
      </c>
      <c r="AB233" s="91" t="str">
        <f>IFERROR(SUMIF('3店辅助表'!K:K,B:B,'3店辅助表'!N:N)/SUMIF('3店辅助表'!K:K,B:B,'3店辅助表'!O:O),"-")</f>
        <v>-</v>
      </c>
      <c r="AC233" s="91" t="str">
        <f>IFERROR(VLOOKUP(B:B,'[1]3店'!$B:$AB,27,0),"-")</f>
        <v>-</v>
      </c>
      <c r="AD233" s="92" t="str">
        <f t="shared" si="91"/>
        <v>-</v>
      </c>
      <c r="AE233" s="91" t="str">
        <f>IFERROR(SUMIF('3店辅助表'!T:T,B:B,'3店辅助表'!W:W)/SUMIF('3店辅助表'!T:T,B:B,'3店辅助表'!X:X),"-")</f>
        <v>-</v>
      </c>
      <c r="AF233" s="91" t="str">
        <f>IFERROR(SUMIF('3店辅助表'!AC:AC,B:B,'3店辅助表'!AF:AF)/SUMIF('3店辅助表'!AC:AC,B:B,'3店辅助表'!AG:AG),"-")</f>
        <v>-</v>
      </c>
      <c r="AG233" s="99">
        <f>IFERROR(AK233/((SUMIF('3店辅助表'!AT:AT,B:B,'3店辅助表'!AU:AU)+M233)/2),"-")</f>
        <v>0.0350877192982456</v>
      </c>
      <c r="AH233" s="99">
        <f>IFERROR(AL233/((SUMIF('3店辅助表'!AW:AW,B:B,'3店辅助表'!AX:AX)+M233)/2),"-")</f>
        <v>0.0689655172413793</v>
      </c>
      <c r="AI233" s="100">
        <f>IFERROR((SUMIF('3店辅助表'!AP:AP,B:B,'3店辅助表'!AR:AR)-SUMIF('3店辅助表'!AP:AP,B:B,'3店辅助表'!AR:AR)*0.15-(L233+IFERROR(VLOOKUP(B:B,'3店辅助表'!AZ:BA,2,0),0))*O233-IF(AN:AN="US",6.85,4.9)*(Z233+4.27*O233))/SUMIF('3店辅助表'!AP:AP,B:B,'3店辅助表'!AR:AR),"-")</f>
        <v>0.279275004109264</v>
      </c>
      <c r="AJ233" s="100">
        <f t="shared" si="92"/>
        <v>0.0192603451109837</v>
      </c>
      <c r="AK233" s="101">
        <f t="shared" si="93"/>
        <v>15.2</v>
      </c>
      <c r="AL233" s="101">
        <f t="shared" si="94"/>
        <v>30.4</v>
      </c>
      <c r="AM233" s="1" t="str">
        <f>VLOOKUP(B:B,'3店辅助表'!AZ:AZ,1,FALSE)</f>
        <v>Y3106-GY+Y3107</v>
      </c>
      <c r="AN233" t="str">
        <f>VLOOKUP(B:B,'3店辅助表'!AZ:BB,3,FALSE)</f>
        <v>US</v>
      </c>
    </row>
    <row r="234" customHeight="1" spans="1:40">
      <c r="A234" s="58" t="str">
        <f>INDEX('[1]3店'!$A:$A,MATCH(B:B,'[1]3店'!$B:$B,0))</f>
        <v>欣彤</v>
      </c>
      <c r="B234" s="43" t="s">
        <v>1229</v>
      </c>
      <c r="C234" s="43" t="s">
        <v>1230</v>
      </c>
      <c r="D234" s="59">
        <f>VLOOKUP(B:B,'[1]3店'!$B:$L,3,0)</f>
        <v>45182</v>
      </c>
      <c r="E234" s="43" t="s">
        <v>1231</v>
      </c>
      <c r="F234" s="43">
        <v>48</v>
      </c>
      <c r="G234" s="43">
        <v>0</v>
      </c>
      <c r="H234" s="43">
        <v>13</v>
      </c>
      <c r="I234" s="43">
        <v>11</v>
      </c>
      <c r="J234" s="43">
        <v>0</v>
      </c>
      <c r="K234" s="63">
        <f t="shared" si="83"/>
        <v>72</v>
      </c>
      <c r="L234" s="124">
        <f>VLOOKUP($B:$B,'[1]3店'!$B:$L,11,0)</f>
        <v>15.2</v>
      </c>
      <c r="M234" s="44">
        <f t="shared" si="84"/>
        <v>1094.4</v>
      </c>
      <c r="N234" s="65">
        <f>IFERROR(VLOOKUP(B:B,'3店辅助表'!B:C,2,FALSE),0)</f>
        <v>0</v>
      </c>
      <c r="O234" s="65">
        <f>IFERROR(VLOOKUP(B:B,'3店辅助表'!E:F,2,FALSE),0)</f>
        <v>1</v>
      </c>
      <c r="P234" s="65">
        <f>IFERROR(VLOOKUP(B:B,'3店辅助表'!H:I,2,FALSE),0)</f>
        <v>1</v>
      </c>
      <c r="Q234" s="65">
        <f>IFERROR(VLOOKUP(B:B,'[1]3店'!$B:$N,13,FALSE),0)</f>
        <v>1</v>
      </c>
      <c r="R234" s="79">
        <f t="shared" si="85"/>
        <v>-1</v>
      </c>
      <c r="S234" s="80">
        <f t="shared" si="86"/>
        <v>2160</v>
      </c>
      <c r="T234" s="44">
        <f t="shared" si="87"/>
        <v>72</v>
      </c>
      <c r="U234" s="44">
        <f>IFERROR(VLOOKUP($B:$B,'[1]3店'!$B:$T,19,0),"-")</f>
        <v>30.0588235294118</v>
      </c>
      <c r="V234" s="81">
        <f t="shared" si="88"/>
        <v>41.9411764705882</v>
      </c>
      <c r="W234" s="82" t="str">
        <f t="shared" si="89"/>
        <v>有库存无销量</v>
      </c>
      <c r="X234" s="83" t="str">
        <f t="shared" si="90"/>
        <v>库存过高</v>
      </c>
      <c r="Y234" s="44">
        <f>IFERROR(SUMIF('3店辅助表'!K:K,B:B,'3店辅助表'!N:N),0)</f>
        <v>1.43</v>
      </c>
      <c r="Z234" s="44">
        <f>IFERROR(SUMIF('3店辅助表'!T:T,B:B,'3店辅助表'!W:W),0)</f>
        <v>4.1</v>
      </c>
      <c r="AA234" s="44">
        <f>IFERROR(SUMIF('3店辅助表'!AC:AC,B:B,'3店辅助表'!AF:AF),0)</f>
        <v>13.57</v>
      </c>
      <c r="AB234" s="91" t="str">
        <f>IFERROR(SUMIF('3店辅助表'!K:K,B:B,'3店辅助表'!N:N)/SUMIF('3店辅助表'!K:K,B:B,'3店辅助表'!O:O),"-")</f>
        <v>-</v>
      </c>
      <c r="AC234" s="91">
        <f>IFERROR(VLOOKUP(B:B,'[1]3店'!$B:$AB,27,0),"-")</f>
        <v>0.12147406733394</v>
      </c>
      <c r="AD234" s="92" t="str">
        <f t="shared" si="91"/>
        <v>-</v>
      </c>
      <c r="AE234" s="91">
        <f>IFERROR(SUMIF('3店辅助表'!T:T,B:B,'3店辅助表'!W:W)/SUMIF('3店辅助表'!T:T,B:B,'3店辅助表'!X:X),"-")</f>
        <v>0.186533212010919</v>
      </c>
      <c r="AF234" s="91">
        <f>IFERROR(SUMIF('3店辅助表'!AC:AC,B:B,'3店辅助表'!AF:AF)/SUMIF('3店辅助表'!AC:AC,B:B,'3店辅助表'!AG:AG),"-")</f>
        <v>0.388046897340578</v>
      </c>
      <c r="AG234" s="99">
        <f>IFERROR(AK234/((SUMIF('3店辅助表'!AT:AT,B:B,'3店辅助表'!AU:AU)+M234)/2),"-")</f>
        <v>0</v>
      </c>
      <c r="AH234" s="99">
        <f>IFERROR(AL234/((SUMIF('3店辅助表'!AW:AW,B:B,'3店辅助表'!AX:AX)+M234)/2),"-")</f>
        <v>0.0141843971631206</v>
      </c>
      <c r="AI234" s="100">
        <f>IFERROR((SUMIF('3店辅助表'!AP:AP,B:B,'3店辅助表'!AR:AR)-SUMIF('3店辅助表'!AP:AP,B:B,'3店辅助表'!AR:AR)*0.15-(L234+IFERROR(VLOOKUP(B:B,'3店辅助表'!AZ:BA,2,0),0))*O234-IF(AN:AN="US",6.85,4.9)*(Z234+4.27*O234))/SUMIF('3店辅助表'!AP:AP,B:B,'3店辅助表'!AR:AR),"-")</f>
        <v>-0.145722720721558</v>
      </c>
      <c r="AJ234" s="100">
        <f t="shared" si="92"/>
        <v>-0.00206698894640508</v>
      </c>
      <c r="AK234" s="101">
        <f t="shared" si="93"/>
        <v>0</v>
      </c>
      <c r="AL234" s="101">
        <f t="shared" si="94"/>
        <v>15.2</v>
      </c>
      <c r="AM234" s="1" t="str">
        <f>VLOOKUP(B:B,'3店辅助表'!AZ:AZ,1,FALSE)</f>
        <v>Y3106-NB+Y3107</v>
      </c>
      <c r="AN234" t="str">
        <f>VLOOKUP(B:B,'3店辅助表'!AZ:BB,3,FALSE)</f>
        <v>US</v>
      </c>
    </row>
    <row r="235" customHeight="1" spans="1:40">
      <c r="A235" s="58" t="str">
        <f>INDEX('[1]3店'!$A:$A,MATCH(B:B,'[1]3店'!$B:$B,0))</f>
        <v>欣彤</v>
      </c>
      <c r="B235" s="43" t="s">
        <v>1232</v>
      </c>
      <c r="C235" s="43" t="s">
        <v>1233</v>
      </c>
      <c r="D235" s="59">
        <f>VLOOKUP(B:B,'[1]3店'!$B:$L,3,0)</f>
        <v>45182</v>
      </c>
      <c r="E235" s="43" t="s">
        <v>1234</v>
      </c>
      <c r="F235" s="43">
        <v>20</v>
      </c>
      <c r="G235" s="43">
        <v>0</v>
      </c>
      <c r="H235" s="43">
        <v>0</v>
      </c>
      <c r="I235" s="43">
        <v>0</v>
      </c>
      <c r="J235" s="43">
        <v>0</v>
      </c>
      <c r="K235" s="63">
        <f t="shared" si="83"/>
        <v>20</v>
      </c>
      <c r="L235" s="124">
        <f>VLOOKUP($B:$B,'[1]3店'!$B:$L,11,0)</f>
        <v>15.2</v>
      </c>
      <c r="M235" s="44">
        <f t="shared" si="84"/>
        <v>304</v>
      </c>
      <c r="N235" s="65">
        <f>IFERROR(VLOOKUP(B:B,'3店辅助表'!B:C,2,FALSE),0)</f>
        <v>1</v>
      </c>
      <c r="O235" s="65">
        <f>IFERROR(VLOOKUP(B:B,'3店辅助表'!E:F,2,FALSE),0)</f>
        <v>3</v>
      </c>
      <c r="P235" s="65">
        <f>IFERROR(VLOOKUP(B:B,'3店辅助表'!H:I,2,FALSE),0)</f>
        <v>8</v>
      </c>
      <c r="Q235" s="65">
        <f>IFERROR(VLOOKUP(B:B,'[1]3店'!$B:$N,13,FALSE),0)</f>
        <v>1</v>
      </c>
      <c r="R235" s="79">
        <f t="shared" si="85"/>
        <v>0</v>
      </c>
      <c r="S235" s="80">
        <f t="shared" si="86"/>
        <v>98.4375</v>
      </c>
      <c r="T235" s="44">
        <f t="shared" si="87"/>
        <v>3.28125</v>
      </c>
      <c r="U235" s="44">
        <f>IFERROR(VLOOKUP($B:$B,'[1]3店'!$B:$T,19,0),"-")</f>
        <v>2.95973154362416</v>
      </c>
      <c r="V235" s="81">
        <f t="shared" si="88"/>
        <v>0.32151845637584</v>
      </c>
      <c r="W235" s="82" t="str">
        <f t="shared" si="89"/>
        <v>库存过高</v>
      </c>
      <c r="X235" s="83" t="str">
        <f t="shared" si="90"/>
        <v>库存过高</v>
      </c>
      <c r="Y235" s="44">
        <f>IFERROR(SUMIF('3店辅助表'!K:K,B:B,'3店辅助表'!N:N),0)</f>
        <v>0</v>
      </c>
      <c r="Z235" s="44">
        <f>IFERROR(SUMIF('3店辅助表'!T:T,B:B,'3店辅助表'!W:W),0)</f>
        <v>5.4</v>
      </c>
      <c r="AA235" s="44">
        <f>IFERROR(SUMIF('3店辅助表'!AC:AC,B:B,'3店辅助表'!AF:AF),0)</f>
        <v>51.5</v>
      </c>
      <c r="AB235" s="91" t="str">
        <f>IFERROR(SUMIF('3店辅助表'!K:K,B:B,'3店辅助表'!N:N)/SUMIF('3店辅助表'!K:K,B:B,'3店辅助表'!O:O),"-")</f>
        <v>-</v>
      </c>
      <c r="AC235" s="91">
        <f>IFERROR(VLOOKUP(B:B,'[1]3店'!$B:$AB,27,0),"-")</f>
        <v>0.182832948421863</v>
      </c>
      <c r="AD235" s="92" t="str">
        <f t="shared" si="91"/>
        <v>-</v>
      </c>
      <c r="AE235" s="91">
        <f>IFERROR(SUMIF('3店辅助表'!T:T,B:B,'3店辅助表'!W:W)/SUMIF('3店辅助表'!T:T,B:B,'3店辅助表'!X:X),"-")</f>
        <v>0.207852193995381</v>
      </c>
      <c r="AF235" s="91">
        <f>IFERROR(SUMIF('3店辅助表'!AC:AC,B:B,'3店辅助表'!AF:AF)/SUMIF('3店辅助表'!AC:AC,B:B,'3店辅助表'!AG:AG),"-")</f>
        <v>0.440509793858524</v>
      </c>
      <c r="AG235" s="99">
        <f>IFERROR(AK235/((SUMIF('3店辅助表'!AT:AT,B:B,'3店辅助表'!AU:AU)+M235)/2),"-")</f>
        <v>0.048780487804878</v>
      </c>
      <c r="AH235" s="99">
        <f>IFERROR(AL235/((SUMIF('3店辅助表'!AW:AW,B:B,'3店辅助表'!AX:AX)+M235)/2),"-")</f>
        <v>0.122448979591837</v>
      </c>
      <c r="AI235" s="100">
        <f>IFERROR((SUMIF('3店辅助表'!AP:AP,B:B,'3店辅助表'!AR:AR)-SUMIF('3店辅助表'!AP:AP,B:B,'3店辅助表'!AR:AR)*0.15-(L235+IFERROR(VLOOKUP(B:B,'3店辅助表'!AZ:BA,2,0),0))*O235-IF(AN:AN="US",6.85,4.9)*(Z235+4.27*O235))/SUMIF('3店辅助表'!AP:AP,B:B,'3店辅助表'!AR:AR),"-")</f>
        <v>0.184642594247119</v>
      </c>
      <c r="AJ235" s="100">
        <f t="shared" si="92"/>
        <v>0.0226092972547492</v>
      </c>
      <c r="AK235" s="101">
        <f t="shared" si="93"/>
        <v>15.2</v>
      </c>
      <c r="AL235" s="101">
        <f t="shared" si="94"/>
        <v>45.6</v>
      </c>
      <c r="AM235" s="1" t="str">
        <f>VLOOKUP(B:B,'3店辅助表'!AZ:AZ,1,FALSE)</f>
        <v>Y3108-BG+Y3109</v>
      </c>
      <c r="AN235" t="str">
        <f>VLOOKUP(B:B,'3店辅助表'!AZ:BB,3,FALSE)</f>
        <v>US</v>
      </c>
    </row>
    <row r="236" customHeight="1" spans="1:40">
      <c r="A236" s="58" t="str">
        <f>INDEX('[1]3店'!$A:$A,MATCH(B:B,'[1]3店'!$B:$B,0))</f>
        <v>欣彤</v>
      </c>
      <c r="B236" s="43" t="s">
        <v>1235</v>
      </c>
      <c r="C236" s="43" t="s">
        <v>1236</v>
      </c>
      <c r="D236" s="59">
        <f>VLOOKUP(B:B,'[1]3店'!$B:$L,3,0)</f>
        <v>45182</v>
      </c>
      <c r="E236" s="43" t="s">
        <v>1237</v>
      </c>
      <c r="F236" s="43">
        <v>79</v>
      </c>
      <c r="G236" s="43">
        <v>1</v>
      </c>
      <c r="H236" s="43">
        <v>33</v>
      </c>
      <c r="I236" s="43">
        <v>0</v>
      </c>
      <c r="J236" s="43">
        <v>1</v>
      </c>
      <c r="K236" s="63">
        <f t="shared" si="83"/>
        <v>114</v>
      </c>
      <c r="L236" s="124">
        <f>VLOOKUP($B:$B,'[1]3店'!$B:$L,11,0)</f>
        <v>15.2</v>
      </c>
      <c r="M236" s="44">
        <f t="shared" si="84"/>
        <v>1732.8</v>
      </c>
      <c r="N236" s="65">
        <f>IFERROR(VLOOKUP(B:B,'3店辅助表'!B:C,2,FALSE),0)</f>
        <v>8</v>
      </c>
      <c r="O236" s="65">
        <f>IFERROR(VLOOKUP(B:B,'3店辅助表'!E:F,2,FALSE),0)</f>
        <v>27</v>
      </c>
      <c r="P236" s="65">
        <f>IFERROR(VLOOKUP(B:B,'3店辅助表'!H:I,2,FALSE),0)</f>
        <v>65</v>
      </c>
      <c r="Q236" s="65">
        <f>IFERROR(VLOOKUP(B:B,'[1]3店'!$B:$N,13,FALSE),0)</f>
        <v>18</v>
      </c>
      <c r="R236" s="79">
        <f t="shared" si="85"/>
        <v>-10</v>
      </c>
      <c r="S236" s="80">
        <f t="shared" si="86"/>
        <v>66.9338303821063</v>
      </c>
      <c r="T236" s="44">
        <f t="shared" si="87"/>
        <v>2.23112767940354</v>
      </c>
      <c r="U236" s="44">
        <f>IFERROR(VLOOKUP($B:$B,'[1]3店'!$B:$T,19,0),"-")</f>
        <v>2.99785867237687</v>
      </c>
      <c r="V236" s="81">
        <f t="shared" si="88"/>
        <v>-0.76673099297333</v>
      </c>
      <c r="W236" s="82" t="str">
        <f t="shared" si="89"/>
        <v>库存过高</v>
      </c>
      <c r="X236" s="83" t="str">
        <f t="shared" si="90"/>
        <v>库存过高</v>
      </c>
      <c r="Y236" s="44">
        <f>IFERROR(SUMIF('3店辅助表'!K:K,B:B,'3店辅助表'!N:N),0)</f>
        <v>14.39</v>
      </c>
      <c r="Z236" s="44">
        <f>IFERROR(SUMIF('3店辅助表'!T:T,B:B,'3店辅助表'!W:W),0)</f>
        <v>31.2</v>
      </c>
      <c r="AA236" s="44">
        <f>IFERROR(SUMIF('3店辅助表'!AC:AC,B:B,'3店辅助表'!AF:AF),0)</f>
        <v>71.13</v>
      </c>
      <c r="AB236" s="91">
        <f>IFERROR(SUMIF('3店辅助表'!K:K,B:B,'3店辅助表'!N:N)/SUMIF('3店辅助表'!K:K,B:B,'3店辅助表'!O:O),"-")</f>
        <v>0.553887605850654</v>
      </c>
      <c r="AC236" s="91" t="str">
        <f>IFERROR(VLOOKUP(B:B,'[1]3店'!$B:$AB,27,0),"-")</f>
        <v>-</v>
      </c>
      <c r="AD236" s="92" t="str">
        <f t="shared" si="91"/>
        <v>-</v>
      </c>
      <c r="AE236" s="91">
        <f>IFERROR(SUMIF('3店辅助表'!T:T,B:B,'3店辅助表'!W:W)/SUMIF('3店辅助表'!T:T,B:B,'3店辅助表'!X:X),"-")</f>
        <v>1.20092378752887</v>
      </c>
      <c r="AF236" s="91">
        <f>IFERROR(SUMIF('3店辅助表'!AC:AC,B:B,'3店辅助表'!AF:AF)/SUMIF('3店辅助表'!AC:AC,B:B,'3店辅助表'!AG:AG),"-")</f>
        <v>0.608416730818578</v>
      </c>
      <c r="AG236" s="99">
        <f>IFERROR(AK236/((SUMIF('3店辅助表'!AT:AT,B:B,'3店辅助表'!AU:AU)+M236)/2),"-")</f>
        <v>0.0509554140127388</v>
      </c>
      <c r="AH236" s="99">
        <f>IFERROR(AL236/((SUMIF('3店辅助表'!AW:AW,B:B,'3店辅助表'!AX:AX)+M236)/2),"-")</f>
        <v>0.266009852216749</v>
      </c>
      <c r="AI236" s="100">
        <f>IFERROR((SUMIF('3店辅助表'!AP:AP,B:B,'3店辅助表'!AR:AR)-SUMIF('3店辅助表'!AP:AP,B:B,'3店辅助表'!AR:AR)*0.15-(L236+IFERROR(VLOOKUP(B:B,'3店辅助表'!AZ:BA,2,0),0))*O236-IF(AN:AN="US",6.85,4.9)*(Z236+4.27*O236))/SUMIF('3店辅助表'!AP:AP,B:B,'3店辅助表'!AR:AR),"-")</f>
        <v>0.189990556717094</v>
      </c>
      <c r="AJ236" s="100">
        <f t="shared" si="92"/>
        <v>0.050539359914892</v>
      </c>
      <c r="AK236" s="101">
        <f t="shared" si="93"/>
        <v>121.6</v>
      </c>
      <c r="AL236" s="101">
        <f t="shared" si="94"/>
        <v>410.4</v>
      </c>
      <c r="AM236" s="1" t="str">
        <f>VLOOKUP(B:B,'3店辅助表'!AZ:AZ,1,FALSE)</f>
        <v>Y3108-BL+Y3109</v>
      </c>
      <c r="AN236" t="str">
        <f>VLOOKUP(B:B,'3店辅助表'!AZ:BB,3,FALSE)</f>
        <v>US</v>
      </c>
    </row>
    <row r="237" customHeight="1" spans="1:40">
      <c r="A237" s="58" t="str">
        <f>INDEX('[1]3店'!$A:$A,MATCH(B:B,'[1]3店'!$B:$B,0))</f>
        <v>欣彤</v>
      </c>
      <c r="B237" s="43" t="s">
        <v>1238</v>
      </c>
      <c r="C237" s="43" t="s">
        <v>1239</v>
      </c>
      <c r="D237" s="59">
        <f>VLOOKUP(B:B,'[1]3店'!$B:$L,3,0)</f>
        <v>45182</v>
      </c>
      <c r="E237" s="43" t="s">
        <v>1240</v>
      </c>
      <c r="F237" s="43">
        <v>26</v>
      </c>
      <c r="G237" s="43">
        <v>0</v>
      </c>
      <c r="H237" s="43">
        <v>0</v>
      </c>
      <c r="I237" s="43">
        <v>1</v>
      </c>
      <c r="J237" s="43">
        <v>0</v>
      </c>
      <c r="K237" s="63">
        <f t="shared" si="83"/>
        <v>27</v>
      </c>
      <c r="L237" s="124">
        <f>VLOOKUP($B:$B,'[1]3店'!$B:$L,11,0)</f>
        <v>15.2</v>
      </c>
      <c r="M237" s="44">
        <f t="shared" si="84"/>
        <v>410.4</v>
      </c>
      <c r="N237" s="65">
        <f>IFERROR(VLOOKUP(B:B,'3店辅助表'!B:C,2,FALSE),0)</f>
        <v>1</v>
      </c>
      <c r="O237" s="65">
        <f>IFERROR(VLOOKUP(B:B,'3店辅助表'!E:F,2,FALSE),0)</f>
        <v>3</v>
      </c>
      <c r="P237" s="65">
        <f>IFERROR(VLOOKUP(B:B,'3店辅助表'!H:I,2,FALSE),0)</f>
        <v>4</v>
      </c>
      <c r="Q237" s="65">
        <f>IFERROR(VLOOKUP(B:B,'[1]3店'!$B:$N,13,FALSE),0)</f>
        <v>2</v>
      </c>
      <c r="R237" s="79">
        <f t="shared" si="85"/>
        <v>-1</v>
      </c>
      <c r="S237" s="80">
        <f t="shared" si="86"/>
        <v>170.1</v>
      </c>
      <c r="T237" s="44">
        <f t="shared" si="87"/>
        <v>5.67</v>
      </c>
      <c r="U237" s="44">
        <f>IFERROR(VLOOKUP($B:$B,'[1]3店'!$B:$T,19,0),"-")</f>
        <v>5.20183486238532</v>
      </c>
      <c r="V237" s="81">
        <f t="shared" si="88"/>
        <v>0.46816513761468</v>
      </c>
      <c r="W237" s="82" t="str">
        <f t="shared" si="89"/>
        <v>库存过高</v>
      </c>
      <c r="X237" s="83" t="str">
        <f t="shared" si="90"/>
        <v>库存过高</v>
      </c>
      <c r="Y237" s="44">
        <f>IFERROR(SUMIF('3店辅助表'!K:K,B:B,'3店辅助表'!N:N),0)</f>
        <v>0</v>
      </c>
      <c r="Z237" s="44">
        <f>IFERROR(SUMIF('3店辅助表'!T:T,B:B,'3店辅助表'!W:W),0)</f>
        <v>0</v>
      </c>
      <c r="AA237" s="44">
        <f>IFERROR(SUMIF('3店辅助表'!AC:AC,B:B,'3店辅助表'!AF:AF),0)</f>
        <v>0</v>
      </c>
      <c r="AB237" s="91" t="str">
        <f>IFERROR(SUMIF('3店辅助表'!K:K,B:B,'3店辅助表'!N:N)/SUMIF('3店辅助表'!K:K,B:B,'3店辅助表'!O:O),"-")</f>
        <v>-</v>
      </c>
      <c r="AC237" s="91" t="str">
        <f>IFERROR(VLOOKUP(B:B,'[1]3店'!$B:$AB,27,0),"-")</f>
        <v>-</v>
      </c>
      <c r="AD237" s="92" t="str">
        <f t="shared" si="91"/>
        <v>-</v>
      </c>
      <c r="AE237" s="91" t="str">
        <f>IFERROR(SUMIF('3店辅助表'!T:T,B:B,'3店辅助表'!W:W)/SUMIF('3店辅助表'!T:T,B:B,'3店辅助表'!X:X),"-")</f>
        <v>-</v>
      </c>
      <c r="AF237" s="91" t="str">
        <f>IFERROR(SUMIF('3店辅助表'!AC:AC,B:B,'3店辅助表'!AF:AF)/SUMIF('3店辅助表'!AC:AC,B:B,'3店辅助表'!AG:AG),"-")</f>
        <v>-</v>
      </c>
      <c r="AG237" s="99">
        <f>IFERROR(AK237/((SUMIF('3店辅助表'!AT:AT,B:B,'3店辅助表'!AU:AU)+M237)/2),"-")</f>
        <v>0.037037037037037</v>
      </c>
      <c r="AH237" s="99">
        <f>IFERROR(AL237/((SUMIF('3店辅助表'!AW:AW,B:B,'3店辅助表'!AX:AX)+M237)/2),"-")</f>
        <v>0.107142857142857</v>
      </c>
      <c r="AI237" s="100">
        <f>IFERROR((SUMIF('3店辅助表'!AP:AP,B:B,'3店辅助表'!AR:AR)-SUMIF('3店辅助表'!AP:AP,B:B,'3店辅助表'!AR:AR)*0.15-(L237+IFERROR(VLOOKUP(B:B,'3店辅助表'!AZ:BA,2,0),0))*O237-IF(AN:AN="US",6.85,4.9)*(Z237+4.27*O237))/SUMIF('3店辅助表'!AP:AP,B:B,'3店辅助表'!AR:AR),"-")</f>
        <v>0.323210723577373</v>
      </c>
      <c r="AJ237" s="100">
        <f t="shared" si="92"/>
        <v>0.0346297203832899</v>
      </c>
      <c r="AK237" s="101">
        <f t="shared" si="93"/>
        <v>15.2</v>
      </c>
      <c r="AL237" s="101">
        <f t="shared" si="94"/>
        <v>45.6</v>
      </c>
      <c r="AM237" s="1" t="str">
        <f>VLOOKUP(B:B,'3店辅助表'!AZ:AZ,1,FALSE)</f>
        <v>Y3108-GN+Y3109</v>
      </c>
      <c r="AN237" t="str">
        <f>VLOOKUP(B:B,'3店辅助表'!AZ:BB,3,FALSE)</f>
        <v>US</v>
      </c>
    </row>
    <row r="238" customHeight="1" spans="1:40">
      <c r="A238" s="58" t="str">
        <f>INDEX('[1]3店'!$A:$A,MATCH(B:B,'[1]3店'!$B:$B,0))</f>
        <v>欣彤</v>
      </c>
      <c r="B238" s="43" t="s">
        <v>1241</v>
      </c>
      <c r="C238" s="43" t="s">
        <v>1242</v>
      </c>
      <c r="D238" s="59">
        <f>VLOOKUP(B:B,'[1]3店'!$B:$L,3,0)</f>
        <v>45182</v>
      </c>
      <c r="E238" s="43" t="s">
        <v>1243</v>
      </c>
      <c r="F238" s="43">
        <v>12</v>
      </c>
      <c r="G238" s="43">
        <v>2</v>
      </c>
      <c r="H238" s="43">
        <v>0</v>
      </c>
      <c r="I238" s="43">
        <v>0</v>
      </c>
      <c r="J238" s="43">
        <v>1</v>
      </c>
      <c r="K238" s="63">
        <f t="shared" si="83"/>
        <v>15</v>
      </c>
      <c r="L238" s="124">
        <f>VLOOKUP($B:$B,'[1]3店'!$B:$L,11,0)</f>
        <v>15.2</v>
      </c>
      <c r="M238" s="44">
        <f t="shared" si="84"/>
        <v>228</v>
      </c>
      <c r="N238" s="65">
        <f>IFERROR(VLOOKUP(B:B,'3店辅助表'!B:C,2,FALSE),0)</f>
        <v>1</v>
      </c>
      <c r="O238" s="65">
        <f>IFERROR(VLOOKUP(B:B,'3店辅助表'!E:F,2,FALSE),0)</f>
        <v>4</v>
      </c>
      <c r="P238" s="65">
        <f>IFERROR(VLOOKUP(B:B,'3店辅助表'!H:I,2,FALSE),0)</f>
        <v>16</v>
      </c>
      <c r="Q238" s="65">
        <f>IFERROR(VLOOKUP(B:B,'[1]3店'!$B:$N,13,FALSE),0)</f>
        <v>3</v>
      </c>
      <c r="R238" s="79">
        <f t="shared" si="85"/>
        <v>-2</v>
      </c>
      <c r="S238" s="80">
        <f t="shared" si="86"/>
        <v>47.7272727272727</v>
      </c>
      <c r="T238" s="44">
        <f t="shared" si="87"/>
        <v>1.59090909090909</v>
      </c>
      <c r="U238" s="44">
        <f>IFERROR(VLOOKUP($B:$B,'[1]3店'!$B:$T,19,0),"-")</f>
        <v>1.0031847133758</v>
      </c>
      <c r="V238" s="81">
        <f t="shared" si="88"/>
        <v>0.58772437753329</v>
      </c>
      <c r="W238" s="82" t="str">
        <f t="shared" si="89"/>
        <v>库存过高</v>
      </c>
      <c r="X238" s="83" t="str">
        <f t="shared" si="90"/>
        <v>库存过高</v>
      </c>
      <c r="Y238" s="44">
        <f>IFERROR(SUMIF('3店辅助表'!K:K,B:B,'3店辅助表'!N:N),0)</f>
        <v>0</v>
      </c>
      <c r="Z238" s="44">
        <f>IFERROR(SUMIF('3店辅助表'!T:T,B:B,'3店辅助表'!W:W),0)</f>
        <v>0</v>
      </c>
      <c r="AA238" s="44">
        <f>IFERROR(SUMIF('3店辅助表'!AC:AC,B:B,'3店辅助表'!AF:AF),0)</f>
        <v>0</v>
      </c>
      <c r="AB238" s="91" t="str">
        <f>IFERROR(SUMIF('3店辅助表'!K:K,B:B,'3店辅助表'!N:N)/SUMIF('3店辅助表'!K:K,B:B,'3店辅助表'!O:O),"-")</f>
        <v>-</v>
      </c>
      <c r="AC238" s="91" t="str">
        <f>IFERROR(VLOOKUP(B:B,'[1]3店'!$B:$AB,27,0),"-")</f>
        <v>-</v>
      </c>
      <c r="AD238" s="92" t="str">
        <f t="shared" si="91"/>
        <v>-</v>
      </c>
      <c r="AE238" s="91" t="str">
        <f>IFERROR(SUMIF('3店辅助表'!T:T,B:B,'3店辅助表'!W:W)/SUMIF('3店辅助表'!T:T,B:B,'3店辅助表'!X:X),"-")</f>
        <v>-</v>
      </c>
      <c r="AF238" s="91" t="str">
        <f>IFERROR(SUMIF('3店辅助表'!AC:AC,B:B,'3店辅助表'!AF:AF)/SUMIF('3店辅助表'!AC:AC,B:B,'3店辅助表'!AG:AG),"-")</f>
        <v>-</v>
      </c>
      <c r="AG238" s="99">
        <f>IFERROR(AK238/((SUMIF('3店辅助表'!AT:AT,B:B,'3店辅助表'!AU:AU)+M238)/2),"-")</f>
        <v>0.0666666666666667</v>
      </c>
      <c r="AH238" s="99">
        <f>IFERROR(AL238/((SUMIF('3店辅助表'!AW:AW,B:B,'3店辅助表'!AX:AX)+M238)/2),"-")</f>
        <v>0.2</v>
      </c>
      <c r="AI238" s="100">
        <f>IFERROR((SUMIF('3店辅助表'!AP:AP,B:B,'3店辅助表'!AR:AR)-SUMIF('3店辅助表'!AP:AP,B:B,'3店辅助表'!AR:AR)*0.15-(L238+IFERROR(VLOOKUP(B:B,'3店辅助表'!AZ:BA,2,0),0))*O238-IF(AN:AN="US",6.85,4.9)*(Z238+4.27*O238))/SUMIF('3店辅助表'!AP:AP,B:B,'3店辅助表'!AR:AR),"-")</f>
        <v>0.109616694538282</v>
      </c>
      <c r="AJ238" s="100">
        <f t="shared" si="92"/>
        <v>0.0219233389076565</v>
      </c>
      <c r="AK238" s="101">
        <f t="shared" si="93"/>
        <v>15.2</v>
      </c>
      <c r="AL238" s="101">
        <f t="shared" si="94"/>
        <v>60.8</v>
      </c>
      <c r="AM238" s="1" t="str">
        <f>VLOOKUP(B:B,'3店辅助表'!AZ:AZ,1,FALSE)</f>
        <v>Y3108-GY+Y3109</v>
      </c>
      <c r="AN238" t="str">
        <f>VLOOKUP(B:B,'3店辅助表'!AZ:BB,3,FALSE)</f>
        <v>US</v>
      </c>
    </row>
    <row r="239" customHeight="1" spans="1:40">
      <c r="A239" s="58" t="str">
        <f>INDEX('[1]3店'!$A:$A,MATCH(B:B,'[1]3店'!$B:$B,0))</f>
        <v>欣彤</v>
      </c>
      <c r="B239" s="43" t="s">
        <v>1244</v>
      </c>
      <c r="C239" s="43" t="s">
        <v>1245</v>
      </c>
      <c r="D239" s="59">
        <f>VLOOKUP(B:B,'[1]3店'!$B:$L,3,0)</f>
        <v>45182</v>
      </c>
      <c r="E239" s="43" t="s">
        <v>1246</v>
      </c>
      <c r="F239" s="43">
        <v>47</v>
      </c>
      <c r="G239" s="43">
        <v>1</v>
      </c>
      <c r="H239" s="43">
        <v>0</v>
      </c>
      <c r="I239" s="43">
        <v>0</v>
      </c>
      <c r="J239" s="43">
        <v>0</v>
      </c>
      <c r="K239" s="63">
        <f t="shared" si="83"/>
        <v>48</v>
      </c>
      <c r="L239" s="124">
        <f>VLOOKUP($B:$B,'[1]3店'!$B:$L,11,0)</f>
        <v>15.2</v>
      </c>
      <c r="M239" s="44">
        <f t="shared" si="84"/>
        <v>729.6</v>
      </c>
      <c r="N239" s="65">
        <f>IFERROR(VLOOKUP(B:B,'3店辅助表'!B:C,2,FALSE),0)</f>
        <v>0</v>
      </c>
      <c r="O239" s="65">
        <f>IFERROR(VLOOKUP(B:B,'3店辅助表'!E:F,2,FALSE),0)</f>
        <v>1</v>
      </c>
      <c r="P239" s="65">
        <f>IFERROR(VLOOKUP(B:B,'3店辅助表'!H:I,2,FALSE),0)</f>
        <v>12</v>
      </c>
      <c r="Q239" s="65">
        <f>IFERROR(VLOOKUP(B:B,'[1]3店'!$B:$N,13,FALSE),0)</f>
        <v>1</v>
      </c>
      <c r="R239" s="79">
        <f t="shared" si="85"/>
        <v>-1</v>
      </c>
      <c r="S239" s="80">
        <f t="shared" si="86"/>
        <v>308.571428571429</v>
      </c>
      <c r="T239" s="44">
        <f t="shared" si="87"/>
        <v>10.2857142857143</v>
      </c>
      <c r="U239" s="44">
        <f>IFERROR(VLOOKUP($B:$B,'[1]3店'!$B:$T,19,0),"-")</f>
        <v>5.27748691099476</v>
      </c>
      <c r="V239" s="81">
        <f t="shared" si="88"/>
        <v>5.00822737471954</v>
      </c>
      <c r="W239" s="82" t="str">
        <f t="shared" si="89"/>
        <v>有库存无销量</v>
      </c>
      <c r="X239" s="83" t="str">
        <f t="shared" si="90"/>
        <v>库存过高</v>
      </c>
      <c r="Y239" s="44">
        <f>IFERROR(SUMIF('3店辅助表'!K:K,B:B,'3店辅助表'!N:N),0)</f>
        <v>10.41</v>
      </c>
      <c r="Z239" s="44">
        <f>IFERROR(SUMIF('3店辅助表'!T:T,B:B,'3店辅助表'!W:W),0)</f>
        <v>21.26</v>
      </c>
      <c r="AA239" s="44">
        <f>IFERROR(SUMIF('3店辅助表'!AC:AC,B:B,'3店辅助表'!AF:AF),0)</f>
        <v>46.72</v>
      </c>
      <c r="AB239" s="91">
        <f>IFERROR(SUMIF('3店辅助表'!K:K,B:B,'3店辅助表'!N:N)/SUMIF('3店辅助表'!K:K,B:B,'3店辅助表'!O:O),"-")</f>
        <v>0.801385681293303</v>
      </c>
      <c r="AC239" s="91">
        <f>IFERROR(VLOOKUP(B:B,'[1]3店'!$B:$AB,27,0),"-")</f>
        <v>0.987261146496815</v>
      </c>
      <c r="AD239" s="92">
        <f t="shared" si="91"/>
        <v>-0.185875465203512</v>
      </c>
      <c r="AE239" s="91">
        <f>IFERROR(SUMIF('3店辅助表'!T:T,B:B,'3店辅助表'!W:W)/SUMIF('3店辅助表'!T:T,B:B,'3店辅助表'!X:X),"-")</f>
        <v>0.886572143452877</v>
      </c>
      <c r="AF239" s="91">
        <f>IFERROR(SUMIF('3店辅助表'!AC:AC,B:B,'3店辅助表'!AF:AF)/SUMIF('3店辅助表'!AC:AC,B:B,'3店辅助表'!AG:AG),"-")</f>
        <v>0.45839874411303</v>
      </c>
      <c r="AG239" s="99">
        <f>IFERROR(AK239/((SUMIF('3店辅助表'!AT:AT,B:B,'3店辅助表'!AU:AU)+M239)/2),"-")</f>
        <v>0</v>
      </c>
      <c r="AH239" s="99">
        <f>IFERROR(AL239/((SUMIF('3店辅助表'!AW:AW,B:B,'3店辅助表'!AX:AX)+M239)/2),"-")</f>
        <v>0.0186915887850467</v>
      </c>
      <c r="AI239" s="100">
        <f>IFERROR((SUMIF('3店辅助表'!AP:AP,B:B,'3店辅助表'!AR:AR)-SUMIF('3店辅助表'!AP:AP,B:B,'3店辅助表'!AR:AR)*0.15-(L239+IFERROR(VLOOKUP(B:B,'3店辅助表'!AZ:BA,2,0),0))*O239-IF(AN:AN="US",6.85,4.9)*(Z239+4.27*O239))/SUMIF('3店辅助表'!AP:AP,B:B,'3店辅助表'!AR:AR),"-")</f>
        <v>-1.31343284840107</v>
      </c>
      <c r="AJ239" s="100">
        <f t="shared" si="92"/>
        <v>-0.0245501466990855</v>
      </c>
      <c r="AK239" s="101">
        <f t="shared" si="93"/>
        <v>0</v>
      </c>
      <c r="AL239" s="101">
        <f t="shared" si="94"/>
        <v>15.2</v>
      </c>
      <c r="AM239" s="1" t="str">
        <f>VLOOKUP(B:B,'3店辅助表'!AZ:AZ,1,FALSE)</f>
        <v>Y3108-NB+Y3109</v>
      </c>
      <c r="AN239" t="str">
        <f>VLOOKUP(B:B,'3店辅助表'!AZ:BB,3,FALSE)</f>
        <v>US</v>
      </c>
    </row>
    <row r="240" customHeight="1" spans="1:40">
      <c r="A240" s="58" t="str">
        <f>INDEX('[1]3店'!$A:$A,MATCH(B:B,'[1]3店'!$B:$B,0))</f>
        <v>欣彤</v>
      </c>
      <c r="B240" s="43" t="s">
        <v>1247</v>
      </c>
      <c r="C240" s="43" t="s">
        <v>1147</v>
      </c>
      <c r="D240" s="59">
        <f>VLOOKUP(B:B,'[1]3店'!$B:$L,3,0)</f>
        <v>45070</v>
      </c>
      <c r="E240" s="43" t="s">
        <v>1120</v>
      </c>
      <c r="F240" s="43">
        <v>28</v>
      </c>
      <c r="G240" s="43">
        <v>0</v>
      </c>
      <c r="H240" s="43">
        <v>0</v>
      </c>
      <c r="I240" s="43">
        <v>0</v>
      </c>
      <c r="J240" s="43">
        <v>0</v>
      </c>
      <c r="K240" s="63">
        <f t="shared" si="83"/>
        <v>28</v>
      </c>
      <c r="L240" s="124">
        <f>VLOOKUP($B:$B,'[1]3店'!$B:$L,11,0)</f>
        <v>13.9</v>
      </c>
      <c r="M240" s="44">
        <f t="shared" si="84"/>
        <v>389.2</v>
      </c>
      <c r="N240" s="65">
        <f>IFERROR(VLOOKUP(B:B,'3店辅助表'!B:C,2,FALSE),0)</f>
        <v>0</v>
      </c>
      <c r="O240" s="65">
        <f>IFERROR(VLOOKUP(B:B,'3店辅助表'!E:F,2,FALSE),0)</f>
        <v>0</v>
      </c>
      <c r="P240" s="65">
        <f>IFERROR(VLOOKUP(B:B,'3店辅助表'!H:I,2,FALSE),0)</f>
        <v>0</v>
      </c>
      <c r="Q240" s="65">
        <f>IFERROR(VLOOKUP(B:B,'[1]3店'!$B:$N,13,FALSE),0)</f>
        <v>0</v>
      </c>
      <c r="R240" s="79">
        <f t="shared" si="85"/>
        <v>0</v>
      </c>
      <c r="S240" s="80" t="str">
        <f t="shared" si="86"/>
        <v>-</v>
      </c>
      <c r="T240" s="44" t="str">
        <f t="shared" si="87"/>
        <v>-</v>
      </c>
      <c r="U240" s="44">
        <f>IFERROR(VLOOKUP($B:$B,'[1]3店'!$B:$T,19,0),"-")</f>
        <v>84</v>
      </c>
      <c r="V240" s="81" t="str">
        <f t="shared" si="88"/>
        <v>-</v>
      </c>
      <c r="W240" s="82" t="str">
        <f t="shared" si="89"/>
        <v>有库存无销量</v>
      </c>
      <c r="X240" s="83" t="str">
        <f t="shared" si="90"/>
        <v>有库存无销量</v>
      </c>
      <c r="Y240" s="44">
        <f>IFERROR(SUMIF('3店辅助表'!K:K,B:B,'3店辅助表'!N:N),0)</f>
        <v>2.44</v>
      </c>
      <c r="Z240" s="44">
        <f>IFERROR(SUMIF('3店辅助表'!T:T,B:B,'3店辅助表'!W:W),0)</f>
        <v>3.14</v>
      </c>
      <c r="AA240" s="44">
        <f>IFERROR(SUMIF('3店辅助表'!AC:AC,B:B,'3店辅助表'!AF:AF),0)</f>
        <v>4.81</v>
      </c>
      <c r="AB240" s="91">
        <f>IFERROR(SUMIF('3店辅助表'!K:K,B:B,'3店辅助表'!N:N)/SUMIF('3店辅助表'!K:K,B:B,'3店辅助表'!O:O),"-")</f>
        <v>0.082348970637867</v>
      </c>
      <c r="AC240" s="91" t="str">
        <f>IFERROR(VLOOKUP(B:B,'[1]3店'!$B:$AB,27,0),"-")</f>
        <v>-</v>
      </c>
      <c r="AD240" s="92" t="str">
        <f t="shared" si="91"/>
        <v>-</v>
      </c>
      <c r="AE240" s="91">
        <f>IFERROR(SUMIF('3店辅助表'!T:T,B:B,'3店辅助表'!W:W)/SUMIF('3店辅助表'!T:T,B:B,'3店辅助表'!X:X),"-")</f>
        <v>0.105973675329058</v>
      </c>
      <c r="AF240" s="91">
        <f>IFERROR(SUMIF('3店辅助表'!AC:AC,B:B,'3店辅助表'!AF:AF)/SUMIF('3店辅助表'!AC:AC,B:B,'3店辅助表'!AG:AG),"-")</f>
        <v>0.162335470806615</v>
      </c>
      <c r="AG240" s="99">
        <f>IFERROR(AK240/((SUMIF('3店辅助表'!AT:AT,B:B,'3店辅助表'!AU:AU)+M240)/2),"-")</f>
        <v>0</v>
      </c>
      <c r="AH240" s="99">
        <f>IFERROR(AL240/((SUMIF('3店辅助表'!AW:AW,B:B,'3店辅助表'!AX:AX)+M240)/2),"-")</f>
        <v>0</v>
      </c>
      <c r="AI240" s="100" t="str">
        <f>IFERROR((SUMIF('3店辅助表'!AP:AP,B:B,'3店辅助表'!AR:AR)-SUMIF('3店辅助表'!AP:AP,B:B,'3店辅助表'!AR:AR)*0.15-(L240+IFERROR(VLOOKUP(B:B,'3店辅助表'!AZ:BA,2,0),0))*O240-IF(AN:AN="US",6.85,4.9)*(Z240+4.27*O240))/SUMIF('3店辅助表'!AP:AP,B:B,'3店辅助表'!AR:AR),"-")</f>
        <v>-</v>
      </c>
      <c r="AJ240" s="100" t="str">
        <f t="shared" si="92"/>
        <v>-</v>
      </c>
      <c r="AK240" s="101">
        <f t="shared" si="93"/>
        <v>0</v>
      </c>
      <c r="AL240" s="101">
        <f t="shared" si="94"/>
        <v>0</v>
      </c>
      <c r="AM240" s="1" t="str">
        <f>VLOOKUP(B:B,'3店辅助表'!AZ:AZ,1,FALSE)</f>
        <v>Y3089-BL+Y3090+Y3091</v>
      </c>
      <c r="AN240" t="str">
        <f>VLOOKUP(B:B,'3店辅助表'!AZ:BB,3,FALSE)</f>
        <v>CA</v>
      </c>
    </row>
    <row r="241" customHeight="1" spans="1:40">
      <c r="A241" s="58" t="str">
        <f>INDEX('[1]3店'!$A:$A,MATCH(B:B,'[1]3店'!$B:$B,0))</f>
        <v>欣彤</v>
      </c>
      <c r="B241" s="43" t="s">
        <v>1248</v>
      </c>
      <c r="C241" s="43" t="s">
        <v>1147</v>
      </c>
      <c r="D241" s="59">
        <f>VLOOKUP(B:B,'[1]3店'!$B:$L,3,0)</f>
        <v>45070</v>
      </c>
      <c r="E241" s="43" t="s">
        <v>1128</v>
      </c>
      <c r="F241" s="43">
        <v>15</v>
      </c>
      <c r="G241" s="43">
        <v>0</v>
      </c>
      <c r="H241" s="43">
        <v>0</v>
      </c>
      <c r="I241" s="43">
        <v>0</v>
      </c>
      <c r="J241" s="43">
        <v>0</v>
      </c>
      <c r="K241" s="63">
        <f t="shared" si="83"/>
        <v>15</v>
      </c>
      <c r="L241" s="124">
        <f>VLOOKUP($B:$B,'[1]3店'!$B:$L,11,0)</f>
        <v>13.9</v>
      </c>
      <c r="M241" s="44">
        <f t="shared" si="84"/>
        <v>208.5</v>
      </c>
      <c r="N241" s="65">
        <f>IFERROR(VLOOKUP(B:B,'3店辅助表'!B:C,2,FALSE),0)</f>
        <v>0</v>
      </c>
      <c r="O241" s="65">
        <f>IFERROR(VLOOKUP(B:B,'3店辅助表'!E:F,2,FALSE),0)</f>
        <v>0</v>
      </c>
      <c r="P241" s="65">
        <f>IFERROR(VLOOKUP(B:B,'3店辅助表'!H:I,2,FALSE),0)</f>
        <v>0</v>
      </c>
      <c r="Q241" s="65">
        <f>IFERROR(VLOOKUP(B:B,'[1]3店'!$B:$N,13,FALSE),0)</f>
        <v>0</v>
      </c>
      <c r="R241" s="79">
        <f t="shared" si="85"/>
        <v>0</v>
      </c>
      <c r="S241" s="80" t="str">
        <f t="shared" si="86"/>
        <v>-</v>
      </c>
      <c r="T241" s="44" t="str">
        <f t="shared" si="87"/>
        <v>-</v>
      </c>
      <c r="U241" s="44" t="str">
        <f>IFERROR(VLOOKUP($B:$B,'[1]3店'!$B:$T,19,0),"-")</f>
        <v>-</v>
      </c>
      <c r="V241" s="81" t="str">
        <f t="shared" si="88"/>
        <v>-</v>
      </c>
      <c r="W241" s="82" t="str">
        <f t="shared" si="89"/>
        <v>有库存无销量</v>
      </c>
      <c r="X241" s="83" t="str">
        <f t="shared" si="90"/>
        <v>有库存无销量</v>
      </c>
      <c r="Y241" s="44">
        <f>IFERROR(SUMIF('3店辅助表'!K:K,B:B,'3店辅助表'!N:N),0)</f>
        <v>0</v>
      </c>
      <c r="Z241" s="44">
        <f>IFERROR(SUMIF('3店辅助表'!T:T,B:B,'3店辅助表'!W:W),0)</f>
        <v>0</v>
      </c>
      <c r="AA241" s="44">
        <f>IFERROR(SUMIF('3店辅助表'!AC:AC,B:B,'3店辅助表'!AF:AF),0)</f>
        <v>0</v>
      </c>
      <c r="AB241" s="91" t="str">
        <f>IFERROR(SUMIF('3店辅助表'!K:K,B:B,'3店辅助表'!N:N)/SUMIF('3店辅助表'!K:K,B:B,'3店辅助表'!O:O),"-")</f>
        <v>-</v>
      </c>
      <c r="AC241" s="91" t="str">
        <f>IFERROR(VLOOKUP(B:B,'[1]3店'!$B:$AB,27,0),"-")</f>
        <v>-</v>
      </c>
      <c r="AD241" s="92" t="str">
        <f t="shared" si="91"/>
        <v>-</v>
      </c>
      <c r="AE241" s="91" t="str">
        <f>IFERROR(SUMIF('3店辅助表'!T:T,B:B,'3店辅助表'!W:W)/SUMIF('3店辅助表'!T:T,B:B,'3店辅助表'!X:X),"-")</f>
        <v>-</v>
      </c>
      <c r="AF241" s="91" t="str">
        <f>IFERROR(SUMIF('3店辅助表'!AC:AC,B:B,'3店辅助表'!AF:AF)/SUMIF('3店辅助表'!AC:AC,B:B,'3店辅助表'!AG:AG),"-")</f>
        <v>-</v>
      </c>
      <c r="AG241" s="99">
        <f>IFERROR(AK241/((SUMIF('3店辅助表'!AT:AT,B:B,'3店辅助表'!AU:AU)+M241)/2),"-")</f>
        <v>0</v>
      </c>
      <c r="AH241" s="99">
        <f>IFERROR(AL241/((SUMIF('3店辅助表'!AW:AW,B:B,'3店辅助表'!AX:AX)+M241)/2),"-")</f>
        <v>0</v>
      </c>
      <c r="AI241" s="100" t="str">
        <f>IFERROR((SUMIF('3店辅助表'!AP:AP,B:B,'3店辅助表'!AR:AR)-SUMIF('3店辅助表'!AP:AP,B:B,'3店辅助表'!AR:AR)*0.15-(L241+IFERROR(VLOOKUP(B:B,'3店辅助表'!AZ:BA,2,0),0))*O241-IF(AN:AN="US",6.85,4.9)*(Z241+4.27*O241))/SUMIF('3店辅助表'!AP:AP,B:B,'3店辅助表'!AR:AR),"-")</f>
        <v>-</v>
      </c>
      <c r="AJ241" s="100" t="str">
        <f t="shared" si="92"/>
        <v>-</v>
      </c>
      <c r="AK241" s="101">
        <f t="shared" si="93"/>
        <v>0</v>
      </c>
      <c r="AL241" s="101">
        <f t="shared" si="94"/>
        <v>0</v>
      </c>
      <c r="AM241" s="1" t="str">
        <f>VLOOKUP(B:B,'3店辅助表'!AZ:AZ,1,FALSE)</f>
        <v>Y3089-OR+Y3090+Y3091</v>
      </c>
      <c r="AN241" t="str">
        <f>VLOOKUP(B:B,'3店辅助表'!AZ:BB,3,FALSE)</f>
        <v>CA</v>
      </c>
    </row>
    <row r="242" customHeight="1" spans="1:40">
      <c r="A242" s="58" t="str">
        <f>INDEX('[1]3店'!$A:$A,MATCH(B:B,'[1]3店'!$B:$B,0))</f>
        <v>欣彤</v>
      </c>
      <c r="B242" s="43" t="s">
        <v>1249</v>
      </c>
      <c r="C242" s="43" t="s">
        <v>1250</v>
      </c>
      <c r="D242" s="59">
        <f>VLOOKUP(B:B,'[1]3店'!$B:$L,3,0)</f>
        <v>45211</v>
      </c>
      <c r="E242" s="43" t="s">
        <v>1251</v>
      </c>
      <c r="F242" s="43">
        <v>48</v>
      </c>
      <c r="G242" s="43">
        <v>0</v>
      </c>
      <c r="H242" s="43">
        <v>0</v>
      </c>
      <c r="I242" s="43">
        <v>0</v>
      </c>
      <c r="J242" s="43">
        <v>0</v>
      </c>
      <c r="K242" s="63">
        <f t="shared" si="83"/>
        <v>48</v>
      </c>
      <c r="L242" s="124">
        <f>VLOOKUP($B:$B,'[1]3店'!$B:$L,11,0)</f>
        <v>12.5</v>
      </c>
      <c r="M242" s="44">
        <f t="shared" si="84"/>
        <v>600</v>
      </c>
      <c r="N242" s="65">
        <f>IFERROR(VLOOKUP(B:B,'3店辅助表'!B:C,2,FALSE),0)</f>
        <v>2</v>
      </c>
      <c r="O242" s="65">
        <f>IFERROR(VLOOKUP(B:B,'3店辅助表'!E:F,2,FALSE),0)</f>
        <v>2</v>
      </c>
      <c r="P242" s="65">
        <f>IFERROR(VLOOKUP(B:B,'3店辅助表'!H:I,2,FALSE),0)</f>
        <v>2</v>
      </c>
      <c r="Q242" s="65">
        <f>IFERROR(VLOOKUP(B:B,'[1]3店'!$B:$N,13,FALSE),0)</f>
        <v>0</v>
      </c>
      <c r="R242" s="79">
        <f t="shared" si="85"/>
        <v>2</v>
      </c>
      <c r="S242" s="80">
        <f t="shared" si="86"/>
        <v>296.470588235294</v>
      </c>
      <c r="T242" s="44">
        <f t="shared" si="87"/>
        <v>9.88235294117647</v>
      </c>
      <c r="U242" s="44" t="str">
        <f>IFERROR(VLOOKUP($B:$B,'[1]3店'!$B:$T,19,0),"-")</f>
        <v>-</v>
      </c>
      <c r="V242" s="81" t="str">
        <f t="shared" si="88"/>
        <v>-</v>
      </c>
      <c r="W242" s="82" t="str">
        <f t="shared" si="89"/>
        <v>本月刚到货</v>
      </c>
      <c r="X242" s="83" t="str">
        <f t="shared" si="90"/>
        <v>本月刚到货</v>
      </c>
      <c r="Y242" s="44">
        <f>IFERROR(SUMIF('3店辅助表'!K:K,B:B,'3店辅助表'!N:N),0)</f>
        <v>10.93</v>
      </c>
      <c r="Z242" s="44">
        <f>IFERROR(SUMIF('3店辅助表'!T:T,B:B,'3店辅助表'!W:W),0)</f>
        <v>10.93</v>
      </c>
      <c r="AA242" s="44">
        <f>IFERROR(SUMIF('3店辅助表'!AC:AC,B:B,'3店辅助表'!AF:AF),0)</f>
        <v>10.93</v>
      </c>
      <c r="AB242" s="91">
        <f>IFERROR(SUMIF('3店辅助表'!K:K,B:B,'3店辅助表'!N:N)/SUMIF('3店辅助表'!K:K,B:B,'3店辅助表'!O:O),"-")</f>
        <v>0.420708237105466</v>
      </c>
      <c r="AC242" s="91" t="str">
        <f>IFERROR(VLOOKUP(B:B,'[1]3店'!$B:$AB,27,0),"-")</f>
        <v>-</v>
      </c>
      <c r="AD242" s="92" t="str">
        <f t="shared" si="91"/>
        <v>-</v>
      </c>
      <c r="AE242" s="91">
        <f>IFERROR(SUMIF('3店辅助表'!T:T,B:B,'3店辅助表'!W:W)/SUMIF('3店辅助表'!T:T,B:B,'3店辅助表'!X:X),"-")</f>
        <v>0.420708237105466</v>
      </c>
      <c r="AF242" s="91">
        <f>IFERROR(SUMIF('3店辅助表'!AC:AC,B:B,'3店辅助表'!AF:AF)/SUMIF('3店辅助表'!AC:AC,B:B,'3店辅助表'!AG:AG),"-")</f>
        <v>0.420708237105466</v>
      </c>
      <c r="AG242" s="99">
        <f>IFERROR(AK242/((SUMIF('3店辅助表'!AT:AT,B:B,'3店辅助表'!AU:AU)+M242)/2),"-")</f>
        <v>0.0408163265306122</v>
      </c>
      <c r="AH242" s="99">
        <f>IFERROR(AL242/((SUMIF('3店辅助表'!AW:AW,B:B,'3店辅助表'!AX:AX)+M242)/2),"-")</f>
        <v>0.0833333333333333</v>
      </c>
      <c r="AI242" s="100">
        <f>IFERROR((SUMIF('3店辅助表'!AP:AP,B:B,'3店辅助表'!AR:AR)-SUMIF('3店辅助表'!AP:AP,B:B,'3店辅助表'!AR:AR)*0.15-(L242+IFERROR(VLOOKUP(B:B,'3店辅助表'!AZ:BA,2,0),0))*O242-IF(AN:AN="US",6.85,4.9)*(Z242+4.27*O242))/SUMIF('3店辅助表'!AP:AP,B:B,'3店辅助表'!AR:AR),"-")</f>
        <v>-0.0577813927614166</v>
      </c>
      <c r="AJ242" s="100">
        <f t="shared" si="92"/>
        <v>-0.00481511606345138</v>
      </c>
      <c r="AK242" s="101">
        <f t="shared" si="93"/>
        <v>25</v>
      </c>
      <c r="AL242" s="101">
        <f t="shared" si="94"/>
        <v>25</v>
      </c>
      <c r="AM242" s="1" t="str">
        <f>VLOOKUP(B:B,'3店辅助表'!AZ:AZ,1,FALSE)</f>
        <v>Y3110-BL</v>
      </c>
      <c r="AN242" t="str">
        <f>VLOOKUP(B:B,'3店辅助表'!AZ:BB,3,FALSE)</f>
        <v>US</v>
      </c>
    </row>
    <row r="243" customHeight="1" spans="1:40">
      <c r="A243" s="58" t="str">
        <f>INDEX('[1]3店'!$A:$A,MATCH(B:B,'[1]3店'!$B:$B,0))</f>
        <v>欣彤</v>
      </c>
      <c r="B243" s="43" t="s">
        <v>1252</v>
      </c>
      <c r="C243" s="43" t="s">
        <v>1253</v>
      </c>
      <c r="D243" s="59">
        <f>VLOOKUP(B:B,'[1]3店'!$B:$L,3,0)</f>
        <v>45211</v>
      </c>
      <c r="E243" s="43" t="s">
        <v>1254</v>
      </c>
      <c r="F243" s="43">
        <v>27</v>
      </c>
      <c r="G243" s="43">
        <v>0</v>
      </c>
      <c r="H243" s="43">
        <v>0</v>
      </c>
      <c r="I243" s="43">
        <v>2</v>
      </c>
      <c r="J243" s="43">
        <v>0</v>
      </c>
      <c r="K243" s="63">
        <f t="shared" si="83"/>
        <v>29</v>
      </c>
      <c r="L243" s="124">
        <f>VLOOKUP($B:$B,'[1]3店'!$B:$L,11,0)</f>
        <v>12.5</v>
      </c>
      <c r="M243" s="44">
        <f t="shared" si="84"/>
        <v>362.5</v>
      </c>
      <c r="N243" s="65">
        <f>IFERROR(VLOOKUP(B:B,'3店辅助表'!B:C,2,FALSE),0)</f>
        <v>1</v>
      </c>
      <c r="O243" s="65">
        <f>IFERROR(VLOOKUP(B:B,'3店辅助表'!E:F,2,FALSE),0)</f>
        <v>1</v>
      </c>
      <c r="P243" s="65">
        <f>IFERROR(VLOOKUP(B:B,'3店辅助表'!H:I,2,FALSE),0)</f>
        <v>1</v>
      </c>
      <c r="Q243" s="65">
        <f>IFERROR(VLOOKUP(B:B,'[1]3店'!$B:$N,13,FALSE),0)</f>
        <v>0</v>
      </c>
      <c r="R243" s="79">
        <f t="shared" si="85"/>
        <v>1</v>
      </c>
      <c r="S243" s="80">
        <f t="shared" si="86"/>
        <v>358.235294117647</v>
      </c>
      <c r="T243" s="44">
        <f t="shared" si="87"/>
        <v>11.9411764705882</v>
      </c>
      <c r="U243" s="44" t="str">
        <f>IFERROR(VLOOKUP($B:$B,'[1]3店'!$B:$T,19,0),"-")</f>
        <v>-</v>
      </c>
      <c r="V243" s="81" t="str">
        <f t="shared" si="88"/>
        <v>-</v>
      </c>
      <c r="W243" s="82" t="str">
        <f t="shared" si="89"/>
        <v>本月刚到货</v>
      </c>
      <c r="X243" s="83" t="str">
        <f t="shared" si="90"/>
        <v>本月刚到货</v>
      </c>
      <c r="Y243" s="44">
        <f>IFERROR(SUMIF('3店辅助表'!K:K,B:B,'3店辅助表'!N:N),0)</f>
        <v>0</v>
      </c>
      <c r="Z243" s="44">
        <f>IFERROR(SUMIF('3店辅助表'!T:T,B:B,'3店辅助表'!W:W),0)</f>
        <v>0</v>
      </c>
      <c r="AA243" s="44">
        <f>IFERROR(SUMIF('3店辅助表'!AC:AC,B:B,'3店辅助表'!AF:AF),0)</f>
        <v>0</v>
      </c>
      <c r="AB243" s="91" t="str">
        <f>IFERROR(SUMIF('3店辅助表'!K:K,B:B,'3店辅助表'!N:N)/SUMIF('3店辅助表'!K:K,B:B,'3店辅助表'!O:O),"-")</f>
        <v>-</v>
      </c>
      <c r="AC243" s="91" t="str">
        <f>IFERROR(VLOOKUP(B:B,'[1]3店'!$B:$AB,27,0),"-")</f>
        <v>-</v>
      </c>
      <c r="AD243" s="92" t="str">
        <f t="shared" si="91"/>
        <v>-</v>
      </c>
      <c r="AE243" s="91" t="str">
        <f>IFERROR(SUMIF('3店辅助表'!T:T,B:B,'3店辅助表'!W:W)/SUMIF('3店辅助表'!T:T,B:B,'3店辅助表'!X:X),"-")</f>
        <v>-</v>
      </c>
      <c r="AF243" s="91" t="str">
        <f>IFERROR(SUMIF('3店辅助表'!AC:AC,B:B,'3店辅助表'!AF:AF)/SUMIF('3店辅助表'!AC:AC,B:B,'3店辅助表'!AG:AG),"-")</f>
        <v>-</v>
      </c>
      <c r="AG243" s="99">
        <f>IFERROR(AK243/((SUMIF('3店辅助表'!AT:AT,B:B,'3店辅助表'!AU:AU)+M243)/2),"-")</f>
        <v>0.0338983050847458</v>
      </c>
      <c r="AH243" s="99">
        <f>IFERROR(AL243/((SUMIF('3店辅助表'!AW:AW,B:B,'3店辅助表'!AX:AX)+M243)/2),"-")</f>
        <v>0.0689655172413793</v>
      </c>
      <c r="AI243" s="100">
        <f>IFERROR((SUMIF('3店辅助表'!AP:AP,B:B,'3店辅助表'!AR:AR)-SUMIF('3店辅助表'!AP:AP,B:B,'3店辅助表'!AR:AR)*0.15-(L243+IFERROR(VLOOKUP(B:B,'3店辅助表'!AZ:BA,2,0),0))*O243-IF(AN:AN="US",6.85,4.9)*(Z243+4.27*O243))/SUMIF('3店辅助表'!AP:AP,B:B,'3店辅助表'!AR:AR),"-")</f>
        <v>0.362926844344049</v>
      </c>
      <c r="AJ243" s="100">
        <f t="shared" si="92"/>
        <v>0.0250294375409689</v>
      </c>
      <c r="AK243" s="101">
        <f t="shared" si="93"/>
        <v>12.5</v>
      </c>
      <c r="AL243" s="101">
        <f t="shared" si="94"/>
        <v>12.5</v>
      </c>
      <c r="AM243" s="1" t="str">
        <f>VLOOKUP(B:B,'3店辅助表'!AZ:AZ,1,FALSE)</f>
        <v>Y3110-GN</v>
      </c>
      <c r="AN243" t="str">
        <f>VLOOKUP(B:B,'3店辅助表'!AZ:BB,3,FALSE)</f>
        <v>US</v>
      </c>
    </row>
    <row r="244" customHeight="1" spans="1:40">
      <c r="A244" s="58" t="str">
        <f>INDEX('[1]3店'!$A:$A,MATCH(B:B,'[1]3店'!$B:$B,0))</f>
        <v>欣彤</v>
      </c>
      <c r="B244" s="43" t="s">
        <v>1255</v>
      </c>
      <c r="C244" s="43" t="s">
        <v>1256</v>
      </c>
      <c r="D244" s="59">
        <f>VLOOKUP(B:B,'[1]3店'!$B:$L,3,0)</f>
        <v>45211</v>
      </c>
      <c r="E244" s="43" t="s">
        <v>1257</v>
      </c>
      <c r="F244" s="43">
        <v>29</v>
      </c>
      <c r="G244" s="43">
        <v>0</v>
      </c>
      <c r="H244" s="43">
        <v>0</v>
      </c>
      <c r="I244" s="43">
        <v>1</v>
      </c>
      <c r="J244" s="43">
        <v>0</v>
      </c>
      <c r="K244" s="63">
        <f t="shared" si="83"/>
        <v>30</v>
      </c>
      <c r="L244" s="124">
        <f>VLOOKUP($B:$B,'[1]3店'!$B:$L,11,0)</f>
        <v>12.5</v>
      </c>
      <c r="M244" s="44">
        <f t="shared" si="84"/>
        <v>375</v>
      </c>
      <c r="N244" s="65">
        <f>IFERROR(VLOOKUP(B:B,'3店辅助表'!B:C,2,FALSE),0)</f>
        <v>0</v>
      </c>
      <c r="O244" s="65">
        <f>IFERROR(VLOOKUP(B:B,'3店辅助表'!E:F,2,FALSE),0)</f>
        <v>0</v>
      </c>
      <c r="P244" s="65">
        <f>IFERROR(VLOOKUP(B:B,'3店辅助表'!H:I,2,FALSE),0)</f>
        <v>0</v>
      </c>
      <c r="Q244" s="65">
        <f>IFERROR(VLOOKUP(B:B,'[1]3店'!$B:$N,13,FALSE),0)</f>
        <v>0</v>
      </c>
      <c r="R244" s="79">
        <f t="shared" si="85"/>
        <v>0</v>
      </c>
      <c r="S244" s="80" t="str">
        <f t="shared" si="86"/>
        <v>-</v>
      </c>
      <c r="T244" s="44" t="str">
        <f t="shared" si="87"/>
        <v>-</v>
      </c>
      <c r="U244" s="44" t="str">
        <f>IFERROR(VLOOKUP($B:$B,'[1]3店'!$B:$T,19,0),"-")</f>
        <v>-</v>
      </c>
      <c r="V244" s="81" t="str">
        <f t="shared" si="88"/>
        <v>-</v>
      </c>
      <c r="W244" s="82" t="str">
        <f t="shared" si="89"/>
        <v>本月刚到货</v>
      </c>
      <c r="X244" s="83" t="str">
        <f t="shared" si="90"/>
        <v>本月刚到货</v>
      </c>
      <c r="Y244" s="44">
        <f>IFERROR(SUMIF('3店辅助表'!K:K,B:B,'3店辅助表'!N:N),0)</f>
        <v>2.21</v>
      </c>
      <c r="Z244" s="44">
        <f>IFERROR(SUMIF('3店辅助表'!T:T,B:B,'3店辅助表'!W:W),0)</f>
        <v>2.21</v>
      </c>
      <c r="AA244" s="44">
        <f>IFERROR(SUMIF('3店辅助表'!AC:AC,B:B,'3店辅助表'!AF:AF),0)</f>
        <v>2.21</v>
      </c>
      <c r="AB244" s="91" t="str">
        <f>IFERROR(SUMIF('3店辅助表'!K:K,B:B,'3店辅助表'!N:N)/SUMIF('3店辅助表'!K:K,B:B,'3店辅助表'!O:O),"-")</f>
        <v>-</v>
      </c>
      <c r="AC244" s="91" t="str">
        <f>IFERROR(VLOOKUP(B:B,'[1]3店'!$B:$AB,27,0),"-")</f>
        <v>-</v>
      </c>
      <c r="AD244" s="92" t="str">
        <f t="shared" si="91"/>
        <v>-</v>
      </c>
      <c r="AE244" s="91" t="str">
        <f>IFERROR(SUMIF('3店辅助表'!T:T,B:B,'3店辅助表'!W:W)/SUMIF('3店辅助表'!T:T,B:B,'3店辅助表'!X:X),"-")</f>
        <v>-</v>
      </c>
      <c r="AF244" s="91" t="str">
        <f>IFERROR(SUMIF('3店辅助表'!AC:AC,B:B,'3店辅助表'!AF:AF)/SUMIF('3店辅助表'!AC:AC,B:B,'3店辅助表'!AG:AG),"-")</f>
        <v>-</v>
      </c>
      <c r="AG244" s="99">
        <f>IFERROR(AK244/((SUMIF('3店辅助表'!AT:AT,B:B,'3店辅助表'!AU:AU)+M244)/2),"-")</f>
        <v>0</v>
      </c>
      <c r="AH244" s="99">
        <f>IFERROR(AL244/((SUMIF('3店辅助表'!AW:AW,B:B,'3店辅助表'!AX:AX)+M244)/2),"-")</f>
        <v>0</v>
      </c>
      <c r="AI244" s="100" t="str">
        <f>IFERROR((SUMIF('3店辅助表'!AP:AP,B:B,'3店辅助表'!AR:AR)-SUMIF('3店辅助表'!AP:AP,B:B,'3店辅助表'!AR:AR)*0.15-(L244+IFERROR(VLOOKUP(B:B,'3店辅助表'!AZ:BA,2,0),0))*O244-IF(AN:AN="US",6.85,4.9)*(Z244+4.27*O244))/SUMIF('3店辅助表'!AP:AP,B:B,'3店辅助表'!AR:AR),"-")</f>
        <v>-</v>
      </c>
      <c r="AJ244" s="100" t="str">
        <f t="shared" si="92"/>
        <v>-</v>
      </c>
      <c r="AK244" s="101">
        <f t="shared" si="93"/>
        <v>0</v>
      </c>
      <c r="AL244" s="101">
        <f t="shared" si="94"/>
        <v>0</v>
      </c>
      <c r="AM244" s="1" t="str">
        <f>VLOOKUP(B:B,'3店辅助表'!AZ:AZ,1,FALSE)</f>
        <v>Y3110-GR</v>
      </c>
      <c r="AN244" t="str">
        <f>VLOOKUP(B:B,'3店辅助表'!AZ:BB,3,FALSE)</f>
        <v>US</v>
      </c>
    </row>
    <row r="245" customHeight="1" spans="1:40">
      <c r="A245" s="58" t="str">
        <f>INDEX('[1]3店'!$A:$A,MATCH(B:B,'[1]3店'!$B:$B,0))</f>
        <v>欣彤</v>
      </c>
      <c r="B245" s="43" t="s">
        <v>1258</v>
      </c>
      <c r="C245" s="43" t="s">
        <v>1259</v>
      </c>
      <c r="D245" s="59">
        <f>VLOOKUP(B:B,'[1]3店'!$B:$L,3,0)</f>
        <v>45211</v>
      </c>
      <c r="E245" s="43" t="s">
        <v>1260</v>
      </c>
      <c r="F245" s="43">
        <v>30</v>
      </c>
      <c r="G245" s="43">
        <v>0</v>
      </c>
      <c r="H245" s="43">
        <v>0</v>
      </c>
      <c r="I245" s="43">
        <v>0</v>
      </c>
      <c r="J245" s="43">
        <v>0</v>
      </c>
      <c r="K245" s="63">
        <f t="shared" si="83"/>
        <v>30</v>
      </c>
      <c r="L245" s="124">
        <f>VLOOKUP($B:$B,'[1]3店'!$B:$L,11,0)</f>
        <v>12.5</v>
      </c>
      <c r="M245" s="44">
        <f t="shared" si="84"/>
        <v>375</v>
      </c>
      <c r="N245" s="65">
        <f>IFERROR(VLOOKUP(B:B,'3店辅助表'!B:C,2,FALSE),0)</f>
        <v>0</v>
      </c>
      <c r="O245" s="65">
        <f>IFERROR(VLOOKUP(B:B,'3店辅助表'!E:F,2,FALSE),0)</f>
        <v>0</v>
      </c>
      <c r="P245" s="65">
        <f>IFERROR(VLOOKUP(B:B,'3店辅助表'!H:I,2,FALSE),0)</f>
        <v>0</v>
      </c>
      <c r="Q245" s="65">
        <f>IFERROR(VLOOKUP(B:B,'[1]3店'!$B:$N,13,FALSE),0)</f>
        <v>0</v>
      </c>
      <c r="R245" s="79">
        <f t="shared" si="85"/>
        <v>0</v>
      </c>
      <c r="S245" s="80" t="str">
        <f t="shared" si="86"/>
        <v>-</v>
      </c>
      <c r="T245" s="44" t="str">
        <f t="shared" si="87"/>
        <v>-</v>
      </c>
      <c r="U245" s="44" t="str">
        <f>IFERROR(VLOOKUP($B:$B,'[1]3店'!$B:$T,19,0),"-")</f>
        <v>-</v>
      </c>
      <c r="V245" s="81" t="str">
        <f t="shared" si="88"/>
        <v>-</v>
      </c>
      <c r="W245" s="82" t="str">
        <f t="shared" si="89"/>
        <v>本月刚到货</v>
      </c>
      <c r="X245" s="83" t="str">
        <f t="shared" si="90"/>
        <v>本月刚到货</v>
      </c>
      <c r="Y245" s="44">
        <f>IFERROR(SUMIF('3店辅助表'!K:K,B:B,'3店辅助表'!N:N),0)</f>
        <v>1.58</v>
      </c>
      <c r="Z245" s="44">
        <f>IFERROR(SUMIF('3店辅助表'!T:T,B:B,'3店辅助表'!W:W),0)</f>
        <v>1.58</v>
      </c>
      <c r="AA245" s="44">
        <f>IFERROR(SUMIF('3店辅助表'!AC:AC,B:B,'3店辅助表'!AF:AF),0)</f>
        <v>1.58</v>
      </c>
      <c r="AB245" s="91" t="str">
        <f>IFERROR(SUMIF('3店辅助表'!K:K,B:B,'3店辅助表'!N:N)/SUMIF('3店辅助表'!K:K,B:B,'3店辅助表'!O:O),"-")</f>
        <v>-</v>
      </c>
      <c r="AC245" s="91" t="str">
        <f>IFERROR(VLOOKUP(B:B,'[1]3店'!$B:$AB,27,0),"-")</f>
        <v>-</v>
      </c>
      <c r="AD245" s="92" t="str">
        <f t="shared" si="91"/>
        <v>-</v>
      </c>
      <c r="AE245" s="91" t="str">
        <f>IFERROR(SUMIF('3店辅助表'!T:T,B:B,'3店辅助表'!W:W)/SUMIF('3店辅助表'!T:T,B:B,'3店辅助表'!X:X),"-")</f>
        <v>-</v>
      </c>
      <c r="AF245" s="91" t="str">
        <f>IFERROR(SUMIF('3店辅助表'!AC:AC,B:B,'3店辅助表'!AF:AF)/SUMIF('3店辅助表'!AC:AC,B:B,'3店辅助表'!AG:AG),"-")</f>
        <v>-</v>
      </c>
      <c r="AG245" s="99">
        <f>IFERROR(AK245/((SUMIF('3店辅助表'!AT:AT,B:B,'3店辅助表'!AU:AU)+M245)/2),"-")</f>
        <v>0</v>
      </c>
      <c r="AH245" s="99">
        <f>IFERROR(AL245/((SUMIF('3店辅助表'!AW:AW,B:B,'3店辅助表'!AX:AX)+M245)/2),"-")</f>
        <v>0</v>
      </c>
      <c r="AI245" s="100" t="str">
        <f>IFERROR((SUMIF('3店辅助表'!AP:AP,B:B,'3店辅助表'!AR:AR)-SUMIF('3店辅助表'!AP:AP,B:B,'3店辅助表'!AR:AR)*0.15-(L245+IFERROR(VLOOKUP(B:B,'3店辅助表'!AZ:BA,2,0),0))*O245-IF(AN:AN="US",6.85,4.9)*(Z245+4.27*O245))/SUMIF('3店辅助表'!AP:AP,B:B,'3店辅助表'!AR:AR),"-")</f>
        <v>-</v>
      </c>
      <c r="AJ245" s="100" t="str">
        <f t="shared" si="92"/>
        <v>-</v>
      </c>
      <c r="AK245" s="101">
        <f t="shared" si="93"/>
        <v>0</v>
      </c>
      <c r="AL245" s="101">
        <f t="shared" si="94"/>
        <v>0</v>
      </c>
      <c r="AM245" s="1" t="str">
        <f>VLOOKUP(B:B,'3店辅助表'!AZ:AZ,1,FALSE)</f>
        <v>Y3110-NB</v>
      </c>
      <c r="AN245" t="str">
        <f>VLOOKUP(B:B,'3店辅助表'!AZ:BB,3,FALSE)</f>
        <v>US</v>
      </c>
    </row>
    <row r="246" customHeight="1" spans="1:40">
      <c r="A246" s="58" t="str">
        <f>INDEX('[1]3店'!$A:$A,MATCH(B:B,'[1]3店'!$B:$B,0))</f>
        <v>欣彤</v>
      </c>
      <c r="B246" s="43" t="s">
        <v>1261</v>
      </c>
      <c r="C246" s="43" t="s">
        <v>1262</v>
      </c>
      <c r="D246" s="59">
        <f>VLOOKUP(B:B,'[1]3店'!$B:$L,3,0)</f>
        <v>45211</v>
      </c>
      <c r="E246" s="43" t="s">
        <v>1263</v>
      </c>
      <c r="F246" s="43">
        <v>47</v>
      </c>
      <c r="G246" s="43">
        <v>0</v>
      </c>
      <c r="H246" s="43">
        <v>0</v>
      </c>
      <c r="I246" s="43">
        <v>3</v>
      </c>
      <c r="J246" s="43">
        <v>0</v>
      </c>
      <c r="K246" s="63">
        <f t="shared" si="83"/>
        <v>50</v>
      </c>
      <c r="L246" s="124">
        <f>VLOOKUP($B:$B,'[1]3店'!$B:$L,11,0)</f>
        <v>12.5</v>
      </c>
      <c r="M246" s="44">
        <f t="shared" si="84"/>
        <v>625</v>
      </c>
      <c r="N246" s="65">
        <f>IFERROR(VLOOKUP(B:B,'3店辅助表'!B:C,2,FALSE),0)</f>
        <v>5</v>
      </c>
      <c r="O246" s="65">
        <f>IFERROR(VLOOKUP(B:B,'3店辅助表'!E:F,2,FALSE),0)</f>
        <v>5</v>
      </c>
      <c r="P246" s="65">
        <f>IFERROR(VLOOKUP(B:B,'3店辅助表'!H:I,2,FALSE),0)</f>
        <v>5</v>
      </c>
      <c r="Q246" s="65">
        <f>IFERROR(VLOOKUP(B:B,'[1]3店'!$B:$N,13,FALSE),0)</f>
        <v>0</v>
      </c>
      <c r="R246" s="79">
        <f t="shared" si="85"/>
        <v>5</v>
      </c>
      <c r="S246" s="80">
        <f t="shared" si="86"/>
        <v>123.529411764706</v>
      </c>
      <c r="T246" s="44">
        <f t="shared" si="87"/>
        <v>4.11764705882353</v>
      </c>
      <c r="U246" s="44" t="str">
        <f>IFERROR(VLOOKUP($B:$B,'[1]3店'!$B:$T,19,0),"-")</f>
        <v>-</v>
      </c>
      <c r="V246" s="81" t="str">
        <f t="shared" si="88"/>
        <v>-</v>
      </c>
      <c r="W246" s="82" t="str">
        <f t="shared" si="89"/>
        <v>本月刚到货</v>
      </c>
      <c r="X246" s="83" t="str">
        <f t="shared" si="90"/>
        <v>本月刚到货</v>
      </c>
      <c r="Y246" s="44">
        <f>IFERROR(SUMIF('3店辅助表'!K:K,B:B,'3店辅助表'!N:N),0)</f>
        <v>31.99</v>
      </c>
      <c r="Z246" s="44">
        <f>IFERROR(SUMIF('3店辅助表'!T:T,B:B,'3店辅助表'!W:W),0)</f>
        <v>31.99</v>
      </c>
      <c r="AA246" s="44">
        <f>IFERROR(SUMIF('3店辅助表'!AC:AC,B:B,'3店辅助表'!AF:AF),0)</f>
        <v>31.99</v>
      </c>
      <c r="AB246" s="91">
        <f>IFERROR(SUMIF('3店辅助表'!K:K,B:B,'3店辅助表'!N:N)/SUMIF('3店辅助表'!K:K,B:B,'3店辅助表'!O:O),"-")</f>
        <v>0.820887862458301</v>
      </c>
      <c r="AC246" s="91" t="str">
        <f>IFERROR(VLOOKUP(B:B,'[1]3店'!$B:$AB,27,0),"-")</f>
        <v>-</v>
      </c>
      <c r="AD246" s="92" t="str">
        <f t="shared" si="91"/>
        <v>-</v>
      </c>
      <c r="AE246" s="91">
        <f>IFERROR(SUMIF('3店辅助表'!T:T,B:B,'3店辅助表'!W:W)/SUMIF('3店辅助表'!T:T,B:B,'3店辅助表'!X:X),"-")</f>
        <v>0.820887862458301</v>
      </c>
      <c r="AF246" s="91">
        <f>IFERROR(SUMIF('3店辅助表'!AC:AC,B:B,'3店辅助表'!AF:AF)/SUMIF('3店辅助表'!AC:AC,B:B,'3店辅助表'!AG:AG),"-")</f>
        <v>0.820887862458301</v>
      </c>
      <c r="AG246" s="99">
        <f>IFERROR(AK246/((SUMIF('3店辅助表'!AT:AT,B:B,'3店辅助表'!AU:AU)+M246)/2),"-")</f>
        <v>0.1</v>
      </c>
      <c r="AH246" s="99">
        <f>IFERROR(AL246/((SUMIF('3店辅助表'!AW:AW,B:B,'3店辅助表'!AX:AX)+M246)/2),"-")</f>
        <v>0.2</v>
      </c>
      <c r="AI246" s="100">
        <f>IFERROR((SUMIF('3店辅助表'!AP:AP,B:B,'3店辅助表'!AR:AR)-SUMIF('3店辅助表'!AP:AP,B:B,'3店辅助表'!AR:AR)*0.15-(L246+IFERROR(VLOOKUP(B:B,'3店辅助表'!AZ:BA,2,0),0))*O246-IF(AN:AN="US",6.85,4.9)*(Z246+4.27*O246))/SUMIF('3店辅助表'!AP:AP,B:B,'3店辅助表'!AR:AR),"-")</f>
        <v>-0.129605873130932</v>
      </c>
      <c r="AJ246" s="100">
        <f t="shared" si="92"/>
        <v>-0.0259211746261863</v>
      </c>
      <c r="AK246" s="101">
        <f t="shared" si="93"/>
        <v>62.5</v>
      </c>
      <c r="AL246" s="101">
        <f t="shared" si="94"/>
        <v>62.5</v>
      </c>
      <c r="AM246" s="1" t="str">
        <f>VLOOKUP(B:B,'3店辅助表'!AZ:AZ,1,FALSE)</f>
        <v>Y3111-BL</v>
      </c>
      <c r="AN246" t="str">
        <f>VLOOKUP(B:B,'3店辅助表'!AZ:BB,3,FALSE)</f>
        <v>US</v>
      </c>
    </row>
    <row r="247" customHeight="1" spans="1:40">
      <c r="A247" s="58" t="str">
        <f>INDEX('[1]3店'!$A:$A,MATCH(B:B,'[1]3店'!$B:$B,0))</f>
        <v>欣彤</v>
      </c>
      <c r="B247" s="43" t="s">
        <v>1264</v>
      </c>
      <c r="C247" s="43" t="s">
        <v>1265</v>
      </c>
      <c r="D247" s="59">
        <f>VLOOKUP(B:B,'[1]3店'!$B:$L,3,0)</f>
        <v>45211</v>
      </c>
      <c r="E247" s="43" t="s">
        <v>1266</v>
      </c>
      <c r="F247" s="43">
        <v>30</v>
      </c>
      <c r="G247" s="43">
        <v>0</v>
      </c>
      <c r="H247" s="43">
        <v>0</v>
      </c>
      <c r="I247" s="43">
        <v>0</v>
      </c>
      <c r="J247" s="43">
        <v>0</v>
      </c>
      <c r="K247" s="63">
        <f t="shared" si="83"/>
        <v>30</v>
      </c>
      <c r="L247" s="124">
        <f>VLOOKUP($B:$B,'[1]3店'!$B:$L,11,0)</f>
        <v>12.5</v>
      </c>
      <c r="M247" s="44">
        <f t="shared" si="84"/>
        <v>375</v>
      </c>
      <c r="N247" s="65">
        <f>IFERROR(VLOOKUP(B:B,'3店辅助表'!B:C,2,FALSE),0)</f>
        <v>0</v>
      </c>
      <c r="O247" s="65">
        <f>IFERROR(VLOOKUP(B:B,'3店辅助表'!E:F,2,FALSE),0)</f>
        <v>0</v>
      </c>
      <c r="P247" s="65">
        <f>IFERROR(VLOOKUP(B:B,'3店辅助表'!H:I,2,FALSE),0)</f>
        <v>0</v>
      </c>
      <c r="Q247" s="65">
        <f>IFERROR(VLOOKUP(B:B,'[1]3店'!$B:$N,13,FALSE),0)</f>
        <v>0</v>
      </c>
      <c r="R247" s="79">
        <f t="shared" si="85"/>
        <v>0</v>
      </c>
      <c r="S247" s="80" t="str">
        <f t="shared" si="86"/>
        <v>-</v>
      </c>
      <c r="T247" s="44" t="str">
        <f t="shared" si="87"/>
        <v>-</v>
      </c>
      <c r="U247" s="44" t="str">
        <f>IFERROR(VLOOKUP($B:$B,'[1]3店'!$B:$T,19,0),"-")</f>
        <v>-</v>
      </c>
      <c r="V247" s="81" t="str">
        <f t="shared" si="88"/>
        <v>-</v>
      </c>
      <c r="W247" s="82" t="str">
        <f t="shared" si="89"/>
        <v>本月刚到货</v>
      </c>
      <c r="X247" s="83" t="str">
        <f t="shared" si="90"/>
        <v>本月刚到货</v>
      </c>
      <c r="Y247" s="44">
        <f>IFERROR(SUMIF('3店辅助表'!K:K,B:B,'3店辅助表'!N:N),0)</f>
        <v>0</v>
      </c>
      <c r="Z247" s="44">
        <f>IFERROR(SUMIF('3店辅助表'!T:T,B:B,'3店辅助表'!W:W),0)</f>
        <v>0</v>
      </c>
      <c r="AA247" s="44">
        <f>IFERROR(SUMIF('3店辅助表'!AC:AC,B:B,'3店辅助表'!AF:AF),0)</f>
        <v>0</v>
      </c>
      <c r="AB247" s="91" t="str">
        <f>IFERROR(SUMIF('3店辅助表'!K:K,B:B,'3店辅助表'!N:N)/SUMIF('3店辅助表'!K:K,B:B,'3店辅助表'!O:O),"-")</f>
        <v>-</v>
      </c>
      <c r="AC247" s="91" t="str">
        <f>IFERROR(VLOOKUP(B:B,'[1]3店'!$B:$AB,27,0),"-")</f>
        <v>-</v>
      </c>
      <c r="AD247" s="92" t="str">
        <f t="shared" si="91"/>
        <v>-</v>
      </c>
      <c r="AE247" s="91" t="str">
        <f>IFERROR(SUMIF('3店辅助表'!T:T,B:B,'3店辅助表'!W:W)/SUMIF('3店辅助表'!T:T,B:B,'3店辅助表'!X:X),"-")</f>
        <v>-</v>
      </c>
      <c r="AF247" s="91" t="str">
        <f>IFERROR(SUMIF('3店辅助表'!AC:AC,B:B,'3店辅助表'!AF:AF)/SUMIF('3店辅助表'!AC:AC,B:B,'3店辅助表'!AG:AG),"-")</f>
        <v>-</v>
      </c>
      <c r="AG247" s="99">
        <f>IFERROR(AK247/((SUMIF('3店辅助表'!AT:AT,B:B,'3店辅助表'!AU:AU)+M247)/2),"-")</f>
        <v>0</v>
      </c>
      <c r="AH247" s="99">
        <f>IFERROR(AL247/((SUMIF('3店辅助表'!AW:AW,B:B,'3店辅助表'!AX:AX)+M247)/2),"-")</f>
        <v>0</v>
      </c>
      <c r="AI247" s="100" t="str">
        <f>IFERROR((SUMIF('3店辅助表'!AP:AP,B:B,'3店辅助表'!AR:AR)-SUMIF('3店辅助表'!AP:AP,B:B,'3店辅助表'!AR:AR)*0.15-(L247+IFERROR(VLOOKUP(B:B,'3店辅助表'!AZ:BA,2,0),0))*O247-IF(AN:AN="US",6.85,4.9)*(Z247+4.27*O247))/SUMIF('3店辅助表'!AP:AP,B:B,'3店辅助表'!AR:AR),"-")</f>
        <v>-</v>
      </c>
      <c r="AJ247" s="100" t="str">
        <f t="shared" si="92"/>
        <v>-</v>
      </c>
      <c r="AK247" s="101">
        <f t="shared" si="93"/>
        <v>0</v>
      </c>
      <c r="AL247" s="101">
        <f t="shared" si="94"/>
        <v>0</v>
      </c>
      <c r="AM247" s="1" t="str">
        <f>VLOOKUP(B:B,'3店辅助表'!AZ:AZ,1,FALSE)</f>
        <v>Y3111-GN</v>
      </c>
      <c r="AN247" t="str">
        <f>VLOOKUP(B:B,'3店辅助表'!AZ:BB,3,FALSE)</f>
        <v>US</v>
      </c>
    </row>
    <row r="248" customHeight="1" spans="1:40">
      <c r="A248" s="58" t="str">
        <f>INDEX('[1]3店'!$A:$A,MATCH(B:B,'[1]3店'!$B:$B,0))</f>
        <v>欣彤</v>
      </c>
      <c r="B248" s="43" t="s">
        <v>1267</v>
      </c>
      <c r="C248" s="43" t="s">
        <v>1268</v>
      </c>
      <c r="D248" s="59">
        <f>VLOOKUP(B:B,'[1]3店'!$B:$L,3,0)</f>
        <v>45211</v>
      </c>
      <c r="E248" s="43" t="s">
        <v>1269</v>
      </c>
      <c r="F248" s="43">
        <v>29</v>
      </c>
      <c r="G248" s="43">
        <v>0</v>
      </c>
      <c r="H248" s="43">
        <v>0</v>
      </c>
      <c r="I248" s="43">
        <v>0</v>
      </c>
      <c r="J248" s="43">
        <v>0</v>
      </c>
      <c r="K248" s="63">
        <f t="shared" si="83"/>
        <v>29</v>
      </c>
      <c r="L248" s="124">
        <f>VLOOKUP($B:$B,'[1]3店'!$B:$L,11,0)</f>
        <v>12.5</v>
      </c>
      <c r="M248" s="44">
        <f t="shared" si="84"/>
        <v>362.5</v>
      </c>
      <c r="N248" s="65">
        <f>IFERROR(VLOOKUP(B:B,'3店辅助表'!B:C,2,FALSE),0)</f>
        <v>1</v>
      </c>
      <c r="O248" s="65">
        <f>IFERROR(VLOOKUP(B:B,'3店辅助表'!E:F,2,FALSE),0)</f>
        <v>1</v>
      </c>
      <c r="P248" s="65">
        <f>IFERROR(VLOOKUP(B:B,'3店辅助表'!H:I,2,FALSE),0)</f>
        <v>1</v>
      </c>
      <c r="Q248" s="65">
        <f>IFERROR(VLOOKUP(B:B,'[1]3店'!$B:$N,13,FALSE),0)</f>
        <v>0</v>
      </c>
      <c r="R248" s="79">
        <f t="shared" si="85"/>
        <v>1</v>
      </c>
      <c r="S248" s="80">
        <f t="shared" si="86"/>
        <v>358.235294117647</v>
      </c>
      <c r="T248" s="44">
        <f t="shared" si="87"/>
        <v>11.9411764705882</v>
      </c>
      <c r="U248" s="44" t="str">
        <f>IFERROR(VLOOKUP($B:$B,'[1]3店'!$B:$T,19,0),"-")</f>
        <v>-</v>
      </c>
      <c r="V248" s="81" t="str">
        <f t="shared" si="88"/>
        <v>-</v>
      </c>
      <c r="W248" s="82" t="str">
        <f t="shared" si="89"/>
        <v>本月刚到货</v>
      </c>
      <c r="X248" s="83" t="str">
        <f t="shared" si="90"/>
        <v>本月刚到货</v>
      </c>
      <c r="Y248" s="44">
        <f>IFERROR(SUMIF('3店辅助表'!K:K,B:B,'3店辅助表'!N:N),0)</f>
        <v>31.08</v>
      </c>
      <c r="Z248" s="44">
        <f>IFERROR(SUMIF('3店辅助表'!T:T,B:B,'3店辅助表'!W:W),0)</f>
        <v>31.08</v>
      </c>
      <c r="AA248" s="44">
        <f>IFERROR(SUMIF('3店辅助表'!AC:AC,B:B,'3店辅助表'!AF:AF),0)</f>
        <v>31.08</v>
      </c>
      <c r="AB248" s="91">
        <f>IFERROR(SUMIF('3店辅助表'!K:K,B:B,'3店辅助表'!N:N)/SUMIF('3店辅助表'!K:K,B:B,'3店辅助表'!O:O),"-")</f>
        <v>2.39260969976905</v>
      </c>
      <c r="AC248" s="91" t="str">
        <f>IFERROR(VLOOKUP(B:B,'[1]3店'!$B:$AB,27,0),"-")</f>
        <v>-</v>
      </c>
      <c r="AD248" s="92" t="str">
        <f t="shared" si="91"/>
        <v>-</v>
      </c>
      <c r="AE248" s="91">
        <f>IFERROR(SUMIF('3店辅助表'!T:T,B:B,'3店辅助表'!W:W)/SUMIF('3店辅助表'!T:T,B:B,'3店辅助表'!X:X),"-")</f>
        <v>2.39260969976905</v>
      </c>
      <c r="AF248" s="91">
        <f>IFERROR(SUMIF('3店辅助表'!AC:AC,B:B,'3店辅助表'!AF:AF)/SUMIF('3店辅助表'!AC:AC,B:B,'3店辅助表'!AG:AG),"-")</f>
        <v>2.39260969976905</v>
      </c>
      <c r="AG248" s="99">
        <f>IFERROR(AK248/((SUMIF('3店辅助表'!AT:AT,B:B,'3店辅助表'!AU:AU)+M248)/2),"-")</f>
        <v>0.0338983050847458</v>
      </c>
      <c r="AH248" s="99">
        <f>IFERROR(AL248/((SUMIF('3店辅助表'!AW:AW,B:B,'3店辅助表'!AX:AX)+M248)/2),"-")</f>
        <v>0.0689655172413793</v>
      </c>
      <c r="AI248" s="100">
        <f>IFERROR((SUMIF('3店辅助表'!AP:AP,B:B,'3店辅助表'!AR:AR)-SUMIF('3店辅助表'!AP:AP,B:B,'3店辅助表'!AR:AR)*0.15-(L248+IFERROR(VLOOKUP(B:B,'3店辅助表'!AZ:BA,2,0),0))*O248-IF(AN:AN="US",6.85,4.9)*(Z248+4.27*O248))/SUMIF('3店辅助表'!AP:AP,B:B,'3店辅助表'!AR:AR),"-")</f>
        <v>-2.029682855425</v>
      </c>
      <c r="AJ248" s="100">
        <f t="shared" si="92"/>
        <v>-0.139978127960345</v>
      </c>
      <c r="AK248" s="101">
        <f t="shared" si="93"/>
        <v>12.5</v>
      </c>
      <c r="AL248" s="101">
        <f t="shared" si="94"/>
        <v>12.5</v>
      </c>
      <c r="AM248" s="1" t="str">
        <f>VLOOKUP(B:B,'3店辅助表'!AZ:AZ,1,FALSE)</f>
        <v>Y3111-GR</v>
      </c>
      <c r="AN248" t="str">
        <f>VLOOKUP(B:B,'3店辅助表'!AZ:BB,3,FALSE)</f>
        <v>US</v>
      </c>
    </row>
    <row r="249" customHeight="1" spans="1:40">
      <c r="A249" s="58" t="str">
        <f>INDEX('[1]3店'!$A:$A,MATCH(B:B,'[1]3店'!$B:$B,0))</f>
        <v>欣彤</v>
      </c>
      <c r="B249" s="43" t="s">
        <v>1270</v>
      </c>
      <c r="C249" s="43" t="s">
        <v>1271</v>
      </c>
      <c r="D249" s="59">
        <f>VLOOKUP(B:B,'[1]3店'!$B:$L,3,0)</f>
        <v>45211</v>
      </c>
      <c r="E249" s="43" t="s">
        <v>1272</v>
      </c>
      <c r="F249" s="43">
        <v>29</v>
      </c>
      <c r="G249" s="43">
        <v>0</v>
      </c>
      <c r="H249" s="43">
        <v>0</v>
      </c>
      <c r="I249" s="43">
        <v>0</v>
      </c>
      <c r="J249" s="43">
        <v>0</v>
      </c>
      <c r="K249" s="63">
        <f t="shared" si="83"/>
        <v>29</v>
      </c>
      <c r="L249" s="124">
        <f>VLOOKUP($B:$B,'[1]3店'!$B:$L,11,0)</f>
        <v>12.5</v>
      </c>
      <c r="M249" s="44">
        <f t="shared" si="84"/>
        <v>362.5</v>
      </c>
      <c r="N249" s="65">
        <f>IFERROR(VLOOKUP(B:B,'3店辅助表'!B:C,2,FALSE),0)</f>
        <v>2</v>
      </c>
      <c r="O249" s="65">
        <f>IFERROR(VLOOKUP(B:B,'3店辅助表'!E:F,2,FALSE),0)</f>
        <v>2</v>
      </c>
      <c r="P249" s="65">
        <f>IFERROR(VLOOKUP(B:B,'3店辅助表'!H:I,2,FALSE),0)</f>
        <v>2</v>
      </c>
      <c r="Q249" s="65">
        <f>IFERROR(VLOOKUP(B:B,'[1]3店'!$B:$N,13,FALSE),0)</f>
        <v>0</v>
      </c>
      <c r="R249" s="79">
        <f t="shared" si="85"/>
        <v>2</v>
      </c>
      <c r="S249" s="80">
        <f t="shared" si="86"/>
        <v>179.117647058824</v>
      </c>
      <c r="T249" s="44">
        <f t="shared" si="87"/>
        <v>5.97058823529412</v>
      </c>
      <c r="U249" s="44" t="str">
        <f>IFERROR(VLOOKUP($B:$B,'[1]3店'!$B:$T,19,0),"-")</f>
        <v>-</v>
      </c>
      <c r="V249" s="81" t="str">
        <f t="shared" si="88"/>
        <v>-</v>
      </c>
      <c r="W249" s="82" t="str">
        <f t="shared" si="89"/>
        <v>本月刚到货</v>
      </c>
      <c r="X249" s="83" t="str">
        <f t="shared" si="90"/>
        <v>本月刚到货</v>
      </c>
      <c r="Y249" s="44">
        <f>IFERROR(SUMIF('3店辅助表'!K:K,B:B,'3店辅助表'!N:N),0)</f>
        <v>2.3</v>
      </c>
      <c r="Z249" s="44">
        <f>IFERROR(SUMIF('3店辅助表'!T:T,B:B,'3店辅助表'!W:W),0)</f>
        <v>2.3</v>
      </c>
      <c r="AA249" s="44">
        <f>IFERROR(SUMIF('3店辅助表'!AC:AC,B:B,'3店辅助表'!AF:AF),0)</f>
        <v>2.3</v>
      </c>
      <c r="AB249" s="91">
        <f>IFERROR(SUMIF('3店辅助表'!K:K,B:B,'3店辅助表'!N:N)/SUMIF('3店辅助表'!K:K,B:B,'3店辅助表'!O:O),"-")</f>
        <v>0.0885296381832179</v>
      </c>
      <c r="AC249" s="91" t="str">
        <f>IFERROR(VLOOKUP(B:B,'[1]3店'!$B:$AB,27,0),"-")</f>
        <v>-</v>
      </c>
      <c r="AD249" s="92" t="str">
        <f t="shared" si="91"/>
        <v>-</v>
      </c>
      <c r="AE249" s="91">
        <f>IFERROR(SUMIF('3店辅助表'!T:T,B:B,'3店辅助表'!W:W)/SUMIF('3店辅助表'!T:T,B:B,'3店辅助表'!X:X),"-")</f>
        <v>0.0885296381832179</v>
      </c>
      <c r="AF249" s="91">
        <f>IFERROR(SUMIF('3店辅助表'!AC:AC,B:B,'3店辅助表'!AF:AF)/SUMIF('3店辅助表'!AC:AC,B:B,'3店辅助表'!AG:AG),"-")</f>
        <v>0.0885296381832179</v>
      </c>
      <c r="AG249" s="99">
        <f>IFERROR(AK249/((SUMIF('3店辅助表'!AT:AT,B:B,'3店辅助表'!AU:AU)+M249)/2),"-")</f>
        <v>0.0677966101694915</v>
      </c>
      <c r="AH249" s="99">
        <f>IFERROR(AL249/((SUMIF('3店辅助表'!AW:AW,B:B,'3店辅助表'!AX:AX)+M249)/2),"-")</f>
        <v>0.137931034482759</v>
      </c>
      <c r="AI249" s="100">
        <f>IFERROR((SUMIF('3店辅助表'!AP:AP,B:B,'3店辅助表'!AR:AR)-SUMIF('3店辅助表'!AP:AP,B:B,'3店辅助表'!AR:AR)*0.15-(L249+IFERROR(VLOOKUP(B:B,'3店辅助表'!AZ:BA,2,0),0))*O249-IF(AN:AN="US",6.85,4.9)*(Z249+4.27*O249))/SUMIF('3店辅助表'!AP:AP,B:B,'3店辅助表'!AR:AR),"-")</f>
        <v>0.274397206160831</v>
      </c>
      <c r="AJ249" s="100">
        <f t="shared" si="92"/>
        <v>0.0378478905049422</v>
      </c>
      <c r="AK249" s="101">
        <f t="shared" si="93"/>
        <v>25</v>
      </c>
      <c r="AL249" s="101">
        <f t="shared" si="94"/>
        <v>25</v>
      </c>
      <c r="AM249" s="1" t="str">
        <f>VLOOKUP(B:B,'3店辅助表'!AZ:AZ,1,FALSE)</f>
        <v>Y3111-NB</v>
      </c>
      <c r="AN249" t="str">
        <f>VLOOKUP(B:B,'3店辅助表'!AZ:BB,3,FALSE)</f>
        <v>US</v>
      </c>
    </row>
    <row r="250" customHeight="1" spans="1:40">
      <c r="A250" s="58" t="str">
        <f>INDEX('[1]3店'!$A:$A,MATCH(B:B,'[1]3店'!$B:$B,0))</f>
        <v>欣彤</v>
      </c>
      <c r="B250" s="43" t="s">
        <v>1273</v>
      </c>
      <c r="C250" s="43" t="s">
        <v>1171</v>
      </c>
      <c r="D250" s="59">
        <f>VLOOKUP(B:B,'[1]3店'!$B:$L,3,0)</f>
        <v>45070</v>
      </c>
      <c r="E250" s="43" t="s">
        <v>1079</v>
      </c>
      <c r="F250" s="43">
        <v>38</v>
      </c>
      <c r="G250" s="43">
        <v>0</v>
      </c>
      <c r="H250" s="43">
        <v>0</v>
      </c>
      <c r="I250" s="43">
        <v>0</v>
      </c>
      <c r="J250" s="43">
        <v>0</v>
      </c>
      <c r="K250" s="63">
        <f t="shared" si="83"/>
        <v>38</v>
      </c>
      <c r="L250" s="124">
        <f>VLOOKUP($B:$B,'[1]3店'!$B:$L,11,0)</f>
        <v>13.7</v>
      </c>
      <c r="M250" s="44">
        <f t="shared" si="84"/>
        <v>520.6</v>
      </c>
      <c r="N250" s="65">
        <f>IFERROR(VLOOKUP(B:B,'3店辅助表'!B:C,2,FALSE),0)</f>
        <v>1</v>
      </c>
      <c r="O250" s="65">
        <f>IFERROR(VLOOKUP(B:B,'3店辅助表'!E:F,2,FALSE),0)</f>
        <v>2</v>
      </c>
      <c r="P250" s="65">
        <f>IFERROR(VLOOKUP(B:B,'3店辅助表'!H:I,2,FALSE),0)</f>
        <v>4</v>
      </c>
      <c r="Q250" s="65">
        <f>IFERROR(VLOOKUP(B:B,'[1]3店'!$B:$N,13,FALSE),0)</f>
        <v>1</v>
      </c>
      <c r="R250" s="79">
        <f t="shared" si="85"/>
        <v>0</v>
      </c>
      <c r="S250" s="80">
        <f t="shared" si="86"/>
        <v>278.372093023256</v>
      </c>
      <c r="T250" s="44">
        <f t="shared" si="87"/>
        <v>9.27906976744186</v>
      </c>
      <c r="U250" s="44">
        <f>IFERROR(VLOOKUP($B:$B,'[1]3店'!$B:$T,19,0),"-")</f>
        <v>8.80645161290323</v>
      </c>
      <c r="V250" s="81">
        <f t="shared" si="88"/>
        <v>0.47261815453863</v>
      </c>
      <c r="W250" s="82" t="str">
        <f t="shared" si="89"/>
        <v>库存过高</v>
      </c>
      <c r="X250" s="83" t="str">
        <f t="shared" si="90"/>
        <v>库存过高</v>
      </c>
      <c r="Y250" s="44">
        <f>IFERROR(SUMIF('3店辅助表'!K:K,B:B,'3店辅助表'!N:N),0)</f>
        <v>3.41</v>
      </c>
      <c r="Z250" s="44">
        <f>IFERROR(SUMIF('3店辅助表'!T:T,B:B,'3店辅助表'!W:W),0)</f>
        <v>7.19</v>
      </c>
      <c r="AA250" s="44">
        <f>IFERROR(SUMIF('3店辅助表'!AC:AC,B:B,'3店辅助表'!AF:AF),0)</f>
        <v>9.73</v>
      </c>
      <c r="AB250" s="91">
        <f>IFERROR(SUMIF('3店辅助表'!K:K,B:B,'3店辅助表'!N:N)/SUMIF('3店辅助表'!K:K,B:B,'3店辅助表'!O:O),"-")</f>
        <v>0.121829224723115</v>
      </c>
      <c r="AC250" s="91" t="str">
        <f>IFERROR(VLOOKUP(B:B,'[1]3店'!$B:$AB,27,0),"-")</f>
        <v>-</v>
      </c>
      <c r="AD250" s="92" t="str">
        <f t="shared" si="91"/>
        <v>-</v>
      </c>
      <c r="AE250" s="91">
        <f>IFERROR(SUMIF('3店辅助表'!T:T,B:B,'3店辅助表'!W:W)/SUMIF('3店辅助表'!T:T,B:B,'3店辅助表'!X:X),"-")</f>
        <v>0.256877456234369</v>
      </c>
      <c r="AF250" s="91">
        <f>IFERROR(SUMIF('3店辅助表'!AC:AC,B:B,'3店辅助表'!AF:AF)/SUMIF('3店辅助表'!AC:AC,B:B,'3店辅助表'!AG:AG),"-")</f>
        <v>0.173812075741336</v>
      </c>
      <c r="AG250" s="99">
        <f>IFERROR(AK250/((SUMIF('3店辅助表'!AT:AT,B:B,'3店辅助表'!AU:AU)+M250)/2),"-")</f>
        <v>0.025974025974026</v>
      </c>
      <c r="AH250" s="99">
        <f>IFERROR(AL250/((SUMIF('3店辅助表'!AW:AW,B:B,'3店辅助表'!AX:AX)+M250)/2),"-")</f>
        <v>0.0493827160493827</v>
      </c>
      <c r="AI250" s="100">
        <f>IFERROR((SUMIF('3店辅助表'!AP:AP,B:B,'3店辅助表'!AR:AR)-SUMIF('3店辅助表'!AP:AP,B:B,'3店辅助表'!AR:AR)*0.15-(L250+IFERROR(VLOOKUP(B:B,'3店辅助表'!AZ:BA,2,0),0))*O250-IF(AN:AN="US",6.85,4.9)*(Z250+4.27*O250))/SUMIF('3店辅助表'!AP:AP,B:B,'3店辅助表'!AR:AR),"-")</f>
        <v>0.412602532974605</v>
      </c>
      <c r="AJ250" s="100">
        <f t="shared" si="92"/>
        <v>0.020375433727141</v>
      </c>
      <c r="AK250" s="101">
        <f t="shared" si="93"/>
        <v>13.7</v>
      </c>
      <c r="AL250" s="101">
        <f t="shared" si="94"/>
        <v>27.4</v>
      </c>
      <c r="AM250" s="1" t="str">
        <f>VLOOKUP(B:B,'3店辅助表'!AZ:AZ,1,FALSE)</f>
        <v>Y3095-BL</v>
      </c>
      <c r="AN250" t="str">
        <f>VLOOKUP(B:B,'3店辅助表'!AZ:BB,3,FALSE)</f>
        <v>CA</v>
      </c>
    </row>
    <row r="251" customHeight="1" spans="1:40">
      <c r="A251" s="58" t="s">
        <v>948</v>
      </c>
      <c r="B251" s="43" t="s">
        <v>1274</v>
      </c>
      <c r="C251" s="43" t="s">
        <v>1174</v>
      </c>
      <c r="D251" s="59">
        <v>45107</v>
      </c>
      <c r="E251" s="43" t="s">
        <v>1275</v>
      </c>
      <c r="F251" s="43">
        <v>8</v>
      </c>
      <c r="G251" s="43">
        <v>0</v>
      </c>
      <c r="H251" s="43">
        <v>41</v>
      </c>
      <c r="I251" s="43">
        <v>1</v>
      </c>
      <c r="J251" s="43">
        <v>0</v>
      </c>
      <c r="K251" s="63">
        <f t="shared" si="83"/>
        <v>50</v>
      </c>
      <c r="L251" s="124">
        <v>13.9</v>
      </c>
      <c r="M251" s="44">
        <f t="shared" si="84"/>
        <v>695</v>
      </c>
      <c r="N251" s="65">
        <f>IFERROR(VLOOKUP(B:B,'3店辅助表'!B:C,2,FALSE),0)</f>
        <v>0</v>
      </c>
      <c r="O251" s="65">
        <f>IFERROR(VLOOKUP(B:B,'3店辅助表'!E:F,2,FALSE),0)</f>
        <v>0</v>
      </c>
      <c r="P251" s="65">
        <f>IFERROR(VLOOKUP(B:B,'3店辅助表'!H:I,2,FALSE),0)</f>
        <v>0</v>
      </c>
      <c r="Q251" s="65">
        <f>IFERROR(VLOOKUP(B:B,'[1]3店'!$B:$N,13,FALSE),0)</f>
        <v>0</v>
      </c>
      <c r="R251" s="79">
        <f t="shared" si="85"/>
        <v>0</v>
      </c>
      <c r="S251" s="80" t="str">
        <f t="shared" si="86"/>
        <v>-</v>
      </c>
      <c r="T251" s="44" t="str">
        <f t="shared" si="87"/>
        <v>-</v>
      </c>
      <c r="U251" s="44" t="str">
        <f>IFERROR(VLOOKUP($B:$B,'[1]3店'!$B:$T,19,0),"-")</f>
        <v>-</v>
      </c>
      <c r="V251" s="81" t="str">
        <f t="shared" si="88"/>
        <v>-</v>
      </c>
      <c r="W251" s="82" t="str">
        <f t="shared" si="89"/>
        <v>有库存无销量</v>
      </c>
      <c r="X251" s="83" t="str">
        <f t="shared" si="90"/>
        <v>有库存无销量</v>
      </c>
      <c r="Y251" s="44">
        <f>IFERROR(SUMIF('3店辅助表'!K:K,B:B,'3店辅助表'!N:N),0)</f>
        <v>0</v>
      </c>
      <c r="Z251" s="44">
        <f>IFERROR(SUMIF('3店辅助表'!T:T,B:B,'3店辅助表'!W:W),0)</f>
        <v>0</v>
      </c>
      <c r="AA251" s="44">
        <f>IFERROR(SUMIF('3店辅助表'!AC:AC,B:B,'3店辅助表'!AF:AF),0)</f>
        <v>0</v>
      </c>
      <c r="AB251" s="91" t="str">
        <f>IFERROR(SUMIF('3店辅助表'!K:K,B:B,'3店辅助表'!N:N)/SUMIF('3店辅助表'!K:K,B:B,'3店辅助表'!O:O),"-")</f>
        <v>-</v>
      </c>
      <c r="AC251" s="91" t="str">
        <f>IFERROR(VLOOKUP(B:B,'[1]3店'!$B:$AB,27,0),"-")</f>
        <v>-</v>
      </c>
      <c r="AD251" s="92" t="str">
        <f t="shared" si="91"/>
        <v>-</v>
      </c>
      <c r="AE251" s="91" t="str">
        <f>IFERROR(SUMIF('3店辅助表'!T:T,B:B,'3店辅助表'!W:W)/SUMIF('3店辅助表'!T:T,B:B,'3店辅助表'!X:X),"-")</f>
        <v>-</v>
      </c>
      <c r="AF251" s="91" t="str">
        <f>IFERROR(SUMIF('3店辅助表'!AC:AC,B:B,'3店辅助表'!AF:AF)/SUMIF('3店辅助表'!AC:AC,B:B,'3店辅助表'!AG:AG),"-")</f>
        <v>-</v>
      </c>
      <c r="AG251" s="99">
        <f>IFERROR(AK251/((SUMIF('3店辅助表'!AT:AT,B:B,'3店辅助表'!AU:AU)+M251)/2),"-")</f>
        <v>0</v>
      </c>
      <c r="AH251" s="99">
        <f>IFERROR(AL251/((SUMIF('3店辅助表'!AW:AW,B:B,'3店辅助表'!AX:AX)+M251)/2),"-")</f>
        <v>0</v>
      </c>
      <c r="AI251" s="100" t="str">
        <f>IFERROR((SUMIF('3店辅助表'!AP:AP,B:B,'3店辅助表'!AR:AR)-SUMIF('3店辅助表'!AP:AP,B:B,'3店辅助表'!AR:AR)*0.15-(L251+IFERROR(VLOOKUP(B:B,'3店辅助表'!AZ:BA,2,0),0))*O251-IF(AN:AN="US",6.85,4.9)*(Z251+4.27*O251))/SUMIF('3店辅助表'!AP:AP,B:B,'3店辅助表'!AR:AR),"-")</f>
        <v>-</v>
      </c>
      <c r="AJ251" s="100" t="str">
        <f t="shared" si="92"/>
        <v>-</v>
      </c>
      <c r="AK251" s="101">
        <f t="shared" si="93"/>
        <v>0</v>
      </c>
      <c r="AL251" s="101">
        <f t="shared" si="94"/>
        <v>0</v>
      </c>
      <c r="AM251" s="1" t="str">
        <f>VLOOKUP(B:B,'3店辅助表'!AZ:AZ,1,FALSE)</f>
        <v>Y3096-BL+Y3097+Y3098-1</v>
      </c>
      <c r="AN251" t="str">
        <f>VLOOKUP(B:B,'3店辅助表'!AZ:BB,3,FALSE)</f>
        <v>US</v>
      </c>
    </row>
  </sheetData>
  <autoFilter ref="A2:AV251">
    <extLst/>
  </autoFilter>
  <mergeCells count="3">
    <mergeCell ref="Y1:AF1"/>
    <mergeCell ref="AG1:AH1"/>
    <mergeCell ref="B3:E3"/>
  </mergeCells>
  <conditionalFormatting sqref="E2">
    <cfRule type="duplicateValues" dxfId="984" priority="211"/>
  </conditionalFormatting>
  <conditionalFormatting sqref="B3">
    <cfRule type="duplicateValues" dxfId="984" priority="213"/>
    <cfRule type="duplicateValues" dxfId="984" priority="215"/>
  </conditionalFormatting>
  <conditionalFormatting sqref="E3">
    <cfRule type="duplicateValues" dxfId="984" priority="214"/>
  </conditionalFormatting>
  <conditionalFormatting sqref="V3">
    <cfRule type="iconSet" priority="217">
      <iconSet iconSet="3Arrows">
        <cfvo type="percent" val="0"/>
        <cfvo type="num" val="0"/>
        <cfvo type="num" val="0" gte="0"/>
      </iconSet>
    </cfRule>
  </conditionalFormatting>
  <conditionalFormatting sqref="AD3">
    <cfRule type="iconSet" priority="216">
      <iconSet iconSet="3Arrows">
        <cfvo type="percent" val="0"/>
        <cfvo type="num" val="0"/>
        <cfvo type="num" val="0" gte="0"/>
      </iconSet>
    </cfRule>
  </conditionalFormatting>
  <conditionalFormatting sqref="B$1:B$1048576">
    <cfRule type="duplicateValues" dxfId="984" priority="1"/>
  </conditionalFormatting>
  <conditionalFormatting sqref="R4:R251">
    <cfRule type="iconSet" priority="220">
      <iconSet iconSet="3Arrows">
        <cfvo type="percent" val="0"/>
        <cfvo type="num" val="0"/>
        <cfvo type="num" val="0" gte="0"/>
      </iconSet>
    </cfRule>
  </conditionalFormatting>
  <conditionalFormatting sqref="V4:V251">
    <cfRule type="iconSet" priority="219">
      <iconSet iconSet="3Arrows">
        <cfvo type="percent" val="0"/>
        <cfvo type="num" val="0"/>
        <cfvo type="num" val="0" gte="0"/>
      </iconSet>
    </cfRule>
  </conditionalFormatting>
  <conditionalFormatting sqref="X4:X1048576">
    <cfRule type="expression" dxfId="985" priority="2">
      <formula>AND($X4="库存过高",$K4&gt;2,OR($V4&gt;=0,$V4="-"))</formula>
    </cfRule>
    <cfRule type="expression" dxfId="985" priority="3">
      <formula>AND($X4="有库存无销量",$K4&gt;2,OR($V4&gt;=0,$V4="-"))</formula>
    </cfRule>
  </conditionalFormatting>
  <conditionalFormatting sqref="Y4:Y251">
    <cfRule type="expression" dxfId="985" priority="4">
      <formula>AND($Y4&gt;3,$AB4=0)</formula>
    </cfRule>
  </conditionalFormatting>
  <conditionalFormatting sqref="AB4:AB251">
    <cfRule type="expression" dxfId="985" priority="5">
      <formula>AND($AB4&gt;30%,$AD4&gt;0,$AB4&lt;&gt;"-")</formula>
    </cfRule>
  </conditionalFormatting>
  <conditionalFormatting sqref="AD4:AD251">
    <cfRule type="iconSet" priority="218">
      <iconSet iconSet="3Arrows">
        <cfvo type="percent" val="0"/>
        <cfvo type="num" val="0"/>
        <cfvo type="num" val="0" gte="0"/>
      </iconSet>
    </cfRule>
  </conditionalFormatting>
  <conditionalFormatting sqref="AI4:AI251">
    <cfRule type="cellIs" dxfId="986" priority="6" operator="lessThan">
      <formula>25%</formula>
    </cfRule>
  </conditionalFormatting>
  <conditionalFormatting sqref="D2:D3 D252:D1048576">
    <cfRule type="expression" dxfId="987" priority="210">
      <formula>(TODAY()-$D2)&lt;30</formula>
    </cfRule>
  </conditionalFormatting>
  <pageMargins left="0.7" right="0.7" top="0.75" bottom="0.75" header="0.3" footer="0.3"/>
  <pageSetup paperSize="9" orientation="portrait"/>
  <headerFooter/>
  <extLst>
    <ext xmlns:x14="http://schemas.microsoft.com/office/spreadsheetml/2009/9/main" uri="{78C0D931-6437-407d-A8EE-F0AAD7539E65}">
      <x14:conditionalFormattings>
        <x14:conditionalFormatting xmlns:xm="http://schemas.microsoft.com/office/excel/2006/main">
          <x14:cfRule type="iconSet" priority="11" id="{54157706-be46-49ea-9284-4635cc84a2f7}">
            <x14:iconSet iconSet="3Arrows" custom="1">
              <x14:cfvo type="percent">
                <xm:f>0</xm:f>
              </x14:cfvo>
              <x14:cfvo type="num">
                <xm:f>0</xm:f>
              </x14:cfvo>
              <x14:cfvo type="num" gte="0">
                <xm:f>0</xm:f>
              </x14:cfvo>
              <x14:cfIcon iconSet="3Arrows" iconId="0"/>
              <x14:cfIcon iconSet="3Arrows" iconId="1"/>
              <x14:cfIcon iconSet="3Arrows" iconId="2"/>
            </x14:iconSet>
          </x14:cfRule>
          <xm:sqref>W4:W251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BB296"/>
  <sheetViews>
    <sheetView topLeftCell="AC1" workbookViewId="0">
      <pane ySplit="1" topLeftCell="A2" activePane="bottomLeft" state="frozen"/>
      <selection/>
      <selection pane="bottomLeft" activeCell="M8" sqref="M8"/>
    </sheetView>
  </sheetViews>
  <sheetFormatPr defaultColWidth="9" defaultRowHeight="12.9"/>
  <cols>
    <col min="1" max="1" width="9" style="1"/>
    <col min="2" max="2" width="23.1743119266055" style="1" customWidth="1"/>
    <col min="3" max="3" width="16.9449541284404" style="1" customWidth="1"/>
    <col min="4" max="4" width="9" style="1"/>
    <col min="5" max="5" width="23.1743119266055" style="1" customWidth="1"/>
    <col min="6" max="6" width="16.9449541284404" style="1" customWidth="1"/>
    <col min="7" max="7" width="9" style="1"/>
    <col min="8" max="8" width="23.1743119266055" style="1" customWidth="1"/>
    <col min="9" max="9" width="16.9449541284404" style="1" customWidth="1"/>
    <col min="10" max="10" width="9" style="1"/>
    <col min="11" max="11" width="26.2385321100917" style="1"/>
    <col min="12" max="14" width="12.7064220183486" style="1" customWidth="1"/>
    <col min="15" max="15" width="18.9449541284404" style="1" customWidth="1"/>
    <col min="16" max="16" width="23.9174311926606" style="1"/>
    <col min="17" max="18" width="15.4495412844037" style="2" customWidth="1"/>
    <col min="19" max="19" width="9" style="1"/>
    <col min="20" max="20" width="26.2385321100917" style="1"/>
    <col min="21" max="23" width="14.2018348623853" style="1" customWidth="1"/>
    <col min="24" max="24" width="21.0550458715596" style="1" customWidth="1"/>
    <col min="25" max="25" width="23.9174311926606" style="1"/>
    <col min="26" max="27" width="14.954128440367" style="2" customWidth="1"/>
    <col min="28" max="28" width="9" style="1"/>
    <col min="29" max="29" width="22.0642201834862" style="1" customWidth="1"/>
    <col min="30" max="32" width="14.954128440367" style="1" customWidth="1"/>
    <col min="33" max="33" width="20.4311926605505" style="1" customWidth="1"/>
    <col min="34" max="34" width="23.9174311926606" style="1"/>
    <col min="35" max="36" width="15.954128440367" style="2" customWidth="1"/>
    <col min="37" max="37" width="10.0917431192661" customWidth="1"/>
    <col min="39" max="39" width="10.4954128440367"/>
    <col min="40" max="40" width="10.0917431192661" style="2" customWidth="1"/>
    <col min="41" max="41" width="9" style="1"/>
    <col min="43" max="43" width="10.4954128440367"/>
    <col min="44" max="44" width="11.6146788990826" style="1"/>
    <col min="45" max="45" width="9" style="1"/>
    <col min="46" max="46" width="14.8256880733945" customWidth="1"/>
    <col min="47" max="47" width="11.5871559633028" customWidth="1"/>
    <col min="48" max="48" width="8.22018348623853" customWidth="1"/>
    <col min="49" max="49" width="14.8256880733945" customWidth="1"/>
    <col min="50" max="50" width="11.5871559633028" customWidth="1"/>
    <col min="51" max="51" width="9" style="1"/>
    <col min="52" max="52" width="21.1284403669725" style="157" customWidth="1"/>
    <col min="53" max="53" width="15.954128440367" style="158" customWidth="1"/>
    <col min="54" max="16384" width="9" style="1"/>
  </cols>
  <sheetData>
    <row r="1" spans="2:50">
      <c r="B1" t="s">
        <v>408</v>
      </c>
      <c r="C1" t="s">
        <v>409</v>
      </c>
      <c r="E1" t="s">
        <v>408</v>
      </c>
      <c r="F1" t="s">
        <v>409</v>
      </c>
      <c r="H1" t="s">
        <v>408</v>
      </c>
      <c r="I1" t="s">
        <v>409</v>
      </c>
      <c r="K1" t="s">
        <v>410</v>
      </c>
      <c r="L1" t="s">
        <v>411</v>
      </c>
      <c r="M1" t="s">
        <v>412</v>
      </c>
      <c r="N1" t="s">
        <v>413</v>
      </c>
      <c r="O1" t="s">
        <v>414</v>
      </c>
      <c r="P1" t="s">
        <v>415</v>
      </c>
      <c r="Q1" s="31" t="s">
        <v>416</v>
      </c>
      <c r="R1" s="31" t="s">
        <v>417</v>
      </c>
      <c r="T1" t="s">
        <v>410</v>
      </c>
      <c r="U1" t="s">
        <v>411</v>
      </c>
      <c r="V1" t="s">
        <v>412</v>
      </c>
      <c r="W1" t="s">
        <v>413</v>
      </c>
      <c r="X1" t="s">
        <v>414</v>
      </c>
      <c r="Y1" t="s">
        <v>415</v>
      </c>
      <c r="Z1" s="31" t="s">
        <v>418</v>
      </c>
      <c r="AA1" s="31" t="s">
        <v>419</v>
      </c>
      <c r="AC1" t="s">
        <v>410</v>
      </c>
      <c r="AD1" t="s">
        <v>411</v>
      </c>
      <c r="AE1" t="s">
        <v>412</v>
      </c>
      <c r="AF1" t="s">
        <v>413</v>
      </c>
      <c r="AG1" t="s">
        <v>414</v>
      </c>
      <c r="AH1" t="s">
        <v>415</v>
      </c>
      <c r="AI1" s="31" t="s">
        <v>420</v>
      </c>
      <c r="AJ1" s="31" t="s">
        <v>421</v>
      </c>
      <c r="AK1" s="32" t="s">
        <v>422</v>
      </c>
      <c r="AL1" t="s">
        <v>408</v>
      </c>
      <c r="AM1" t="s">
        <v>423</v>
      </c>
      <c r="AN1" s="1"/>
      <c r="AO1" s="32" t="s">
        <v>424</v>
      </c>
      <c r="AP1" s="29" t="s">
        <v>408</v>
      </c>
      <c r="AQ1" s="29" t="s">
        <v>423</v>
      </c>
      <c r="AS1" s="34">
        <v>6.85</v>
      </c>
      <c r="AT1" s="35">
        <v>246</v>
      </c>
      <c r="AU1" s="36"/>
      <c r="AV1" s="1"/>
      <c r="AW1" s="35">
        <v>247</v>
      </c>
      <c r="AX1" s="36"/>
    </row>
    <row r="2" spans="2:50">
      <c r="B2" t="s">
        <v>426</v>
      </c>
      <c r="C2"/>
      <c r="E2" t="s">
        <v>426</v>
      </c>
      <c r="F2"/>
      <c r="G2" s="1" t="e">
        <f>VLOOKUP(E:E,'3店'!$B:$B,1,0)</f>
        <v>#N/A</v>
      </c>
      <c r="H2" t="s">
        <v>426</v>
      </c>
      <c r="I2"/>
      <c r="J2" s="1" t="e">
        <f>VLOOKUP(H:H,'3店'!$B:$B,1,0)</f>
        <v>#N/A</v>
      </c>
      <c r="K2" t="s">
        <v>426</v>
      </c>
      <c r="L2"/>
      <c r="M2"/>
      <c r="N2"/>
      <c r="O2"/>
      <c r="P2"/>
      <c r="Q2" s="31">
        <v>0</v>
      </c>
      <c r="R2" s="31">
        <v>0</v>
      </c>
      <c r="S2" s="1" t="e">
        <f>VLOOKUP(K:K,'3店'!$B:$B,1,0)</f>
        <v>#N/A</v>
      </c>
      <c r="T2" t="s">
        <v>426</v>
      </c>
      <c r="U2"/>
      <c r="V2"/>
      <c r="W2"/>
      <c r="X2"/>
      <c r="Y2"/>
      <c r="Z2" s="31">
        <v>0</v>
      </c>
      <c r="AA2" s="31">
        <v>0</v>
      </c>
      <c r="AB2" s="1" t="e">
        <f>VLOOKUP(T:T,'3店'!$B:$B,1,0)</f>
        <v>#N/A</v>
      </c>
      <c r="AC2" t="s">
        <v>426</v>
      </c>
      <c r="AD2"/>
      <c r="AE2"/>
      <c r="AF2"/>
      <c r="AG2"/>
      <c r="AH2"/>
      <c r="AI2" s="31">
        <v>0</v>
      </c>
      <c r="AJ2" s="31">
        <v>0</v>
      </c>
      <c r="AK2" s="1" t="e">
        <f>VLOOKUP(AC:AC,'3店'!$B:$B,1,0)</f>
        <v>#N/A</v>
      </c>
      <c r="AL2" t="s">
        <v>648</v>
      </c>
      <c r="AM2" s="102">
        <v>2056.61</v>
      </c>
      <c r="AN2" s="1">
        <f>AM2*$AS$1</f>
        <v>14087.7785</v>
      </c>
      <c r="AP2" s="29" t="s">
        <v>648</v>
      </c>
      <c r="AQ2" s="33">
        <v>3179.81</v>
      </c>
      <c r="AR2" s="1">
        <f>AQ2*$AS$1</f>
        <v>21781.6985</v>
      </c>
      <c r="AS2" s="34"/>
      <c r="AT2" s="37" t="s">
        <v>10</v>
      </c>
      <c r="AU2" s="38" t="s">
        <v>21</v>
      </c>
      <c r="AV2" s="39"/>
      <c r="AW2" s="37" t="s">
        <v>10</v>
      </c>
      <c r="AX2" s="38" t="s">
        <v>21</v>
      </c>
    </row>
    <row r="3" spans="2:53">
      <c r="B3" t="s">
        <v>744</v>
      </c>
      <c r="C3">
        <v>75</v>
      </c>
      <c r="D3" s="1" t="str">
        <f>VLOOKUP(B:B,'3店'!$B:$B,1,0)</f>
        <v>Y3013-BL+Y3014</v>
      </c>
      <c r="E3" t="s">
        <v>744</v>
      </c>
      <c r="F3">
        <v>151</v>
      </c>
      <c r="G3" s="1" t="str">
        <f>VLOOKUP(E:E,'3店'!$B:$B,1,0)</f>
        <v>Y3013-BL+Y3014</v>
      </c>
      <c r="H3" t="s">
        <v>744</v>
      </c>
      <c r="I3">
        <v>323</v>
      </c>
      <c r="J3" s="1" t="str">
        <f>VLOOKUP(H:H,'3店'!$B:$B,1,0)</f>
        <v>Y3013-BL+Y3014</v>
      </c>
      <c r="K3" t="s">
        <v>726</v>
      </c>
      <c r="L3">
        <v>10491</v>
      </c>
      <c r="M3">
        <v>58</v>
      </c>
      <c r="N3">
        <v>22.87</v>
      </c>
      <c r="O3">
        <v>116.91</v>
      </c>
      <c r="P3">
        <v>9</v>
      </c>
      <c r="Q3" s="31">
        <v>0.195620562826106</v>
      </c>
      <c r="R3" s="31">
        <v>0.155172413793103</v>
      </c>
      <c r="S3" s="1" t="str">
        <f>VLOOKUP(K:K,'3店'!$B:$B,1,0)</f>
        <v>Y03652-BL+Y03653+Y03654</v>
      </c>
      <c r="T3" t="s">
        <v>726</v>
      </c>
      <c r="U3">
        <v>23894</v>
      </c>
      <c r="V3">
        <v>132</v>
      </c>
      <c r="W3">
        <v>51.49</v>
      </c>
      <c r="X3">
        <v>539.58</v>
      </c>
      <c r="Y3">
        <v>23</v>
      </c>
      <c r="Z3" s="31">
        <v>0.0954260721301753</v>
      </c>
      <c r="AA3" s="31">
        <v>0.174242424242424</v>
      </c>
      <c r="AB3" s="1" t="str">
        <f>VLOOKUP(T:T,'3店'!$B:$B,1,0)</f>
        <v>Y03652-BL+Y03653+Y03654</v>
      </c>
      <c r="AC3" t="s">
        <v>726</v>
      </c>
      <c r="AD3">
        <v>48525</v>
      </c>
      <c r="AE3">
        <v>264</v>
      </c>
      <c r="AF3">
        <v>102.99</v>
      </c>
      <c r="AG3">
        <v>812.37</v>
      </c>
      <c r="AH3">
        <v>43</v>
      </c>
      <c r="AI3" s="31">
        <v>0.126777207430112</v>
      </c>
      <c r="AJ3" s="31">
        <v>0.162878787878788</v>
      </c>
      <c r="AK3" s="1" t="str">
        <f>VLOOKUP(AC:AC,'3店'!$B:$B,1,0)</f>
        <v>Y03652-BL+Y03653+Y03654</v>
      </c>
      <c r="AL3" t="s">
        <v>744</v>
      </c>
      <c r="AM3" s="102">
        <v>969.81</v>
      </c>
      <c r="AN3" s="1">
        <f t="shared" ref="AN3:AN34" si="0">AM3*$AS$1</f>
        <v>6643.1985</v>
      </c>
      <c r="AP3" s="29" t="s">
        <v>744</v>
      </c>
      <c r="AQ3" s="33">
        <v>1913.28</v>
      </c>
      <c r="AR3" s="1">
        <f t="shared" ref="AR3:AR34" si="1">AQ3*$AS$1</f>
        <v>13105.968</v>
      </c>
      <c r="AT3" s="40" t="s">
        <v>48</v>
      </c>
      <c r="AU3" s="57">
        <v>155569.925</v>
      </c>
      <c r="AV3" s="42"/>
      <c r="AW3" s="40" t="s">
        <v>48</v>
      </c>
      <c r="AX3" s="57">
        <v>137444.638</v>
      </c>
      <c r="AZ3" s="159" t="s">
        <v>1276</v>
      </c>
      <c r="BA3" s="127" t="s">
        <v>508</v>
      </c>
    </row>
    <row r="4" spans="2:54">
      <c r="B4" t="s">
        <v>597</v>
      </c>
      <c r="C4">
        <v>68</v>
      </c>
      <c r="D4" s="1" t="str">
        <f>VLOOKUP(B:B,'3店'!$B:$B,1,0)</f>
        <v>E03375-BL+E03380+E03397</v>
      </c>
      <c r="E4" t="s">
        <v>597</v>
      </c>
      <c r="F4">
        <v>157</v>
      </c>
      <c r="G4" s="1" t="str">
        <f>VLOOKUP(E:E,'3店'!$B:$B,1,0)</f>
        <v>E03375-BL+E03380+E03397</v>
      </c>
      <c r="H4" t="s">
        <v>597</v>
      </c>
      <c r="I4">
        <v>251</v>
      </c>
      <c r="J4" s="1" t="str">
        <f>VLOOKUP(H:H,'3店'!$B:$B,1,0)</f>
        <v>E03375-BL+E03380+E03397</v>
      </c>
      <c r="K4" t="s">
        <v>744</v>
      </c>
      <c r="L4">
        <v>22261</v>
      </c>
      <c r="M4">
        <v>136</v>
      </c>
      <c r="N4">
        <v>50.03</v>
      </c>
      <c r="O4">
        <v>415.68</v>
      </c>
      <c r="P4">
        <v>30</v>
      </c>
      <c r="Q4" s="31">
        <v>0.120357005388761</v>
      </c>
      <c r="R4" s="31">
        <v>0.220588235294118</v>
      </c>
      <c r="S4" s="1" t="str">
        <f>VLOOKUP(K:K,'3店'!$B:$B,1,0)</f>
        <v>Y3013-BL+Y3014</v>
      </c>
      <c r="T4" t="s">
        <v>744</v>
      </c>
      <c r="U4">
        <v>48480</v>
      </c>
      <c r="V4">
        <v>279</v>
      </c>
      <c r="W4">
        <v>103.47</v>
      </c>
      <c r="X4">
        <v>683.24</v>
      </c>
      <c r="Y4">
        <v>51</v>
      </c>
      <c r="Z4" s="31">
        <v>0.151440196709795</v>
      </c>
      <c r="AA4" s="31">
        <v>0.182795698924731</v>
      </c>
      <c r="AB4" s="1" t="str">
        <f>VLOOKUP(T:T,'3店'!$B:$B,1,0)</f>
        <v>Y3013-BL+Y3014</v>
      </c>
      <c r="AC4" t="s">
        <v>1277</v>
      </c>
      <c r="AD4">
        <v>357</v>
      </c>
      <c r="AE4">
        <v>0</v>
      </c>
      <c r="AF4">
        <v>0</v>
      </c>
      <c r="AG4">
        <v>0</v>
      </c>
      <c r="AH4">
        <v>0</v>
      </c>
      <c r="AI4" s="31">
        <v>0</v>
      </c>
      <c r="AJ4" s="31">
        <v>0</v>
      </c>
      <c r="AK4" s="1" t="e">
        <f>VLOOKUP(AC:AC,'3店'!$B:$B,1,0)</f>
        <v>#N/A</v>
      </c>
      <c r="AL4" t="s">
        <v>597</v>
      </c>
      <c r="AM4" s="102">
        <v>867</v>
      </c>
      <c r="AN4" s="1">
        <f t="shared" si="0"/>
        <v>5938.95</v>
      </c>
      <c r="AP4" s="29" t="s">
        <v>597</v>
      </c>
      <c r="AQ4" s="33">
        <v>1917.56</v>
      </c>
      <c r="AR4" s="1">
        <f t="shared" si="1"/>
        <v>13135.286</v>
      </c>
      <c r="AT4" s="43" t="s">
        <v>588</v>
      </c>
      <c r="AU4" s="44">
        <v>1191.9</v>
      </c>
      <c r="AV4" s="35"/>
      <c r="AW4" s="43" t="s">
        <v>1278</v>
      </c>
      <c r="AX4" s="44">
        <v>137</v>
      </c>
      <c r="AZ4" s="160" t="s">
        <v>1279</v>
      </c>
      <c r="BA4" s="127">
        <v>6.263</v>
      </c>
      <c r="BB4" s="1" t="s">
        <v>430</v>
      </c>
    </row>
    <row r="5" spans="2:54">
      <c r="B5" t="s">
        <v>630</v>
      </c>
      <c r="C5">
        <v>25</v>
      </c>
      <c r="D5" s="1" t="str">
        <f>VLOOKUP(B:B,'3店'!$B:$B,1,0)</f>
        <v>E03390-BL+E03240</v>
      </c>
      <c r="E5" t="s">
        <v>630</v>
      </c>
      <c r="F5">
        <v>55</v>
      </c>
      <c r="G5" s="1" t="str">
        <f>VLOOKUP(E:E,'3店'!$B:$B,1,0)</f>
        <v>E03390-BL+E03240</v>
      </c>
      <c r="H5" t="s">
        <v>630</v>
      </c>
      <c r="I5">
        <v>101</v>
      </c>
      <c r="J5" s="1" t="str">
        <f>VLOOKUP(H:H,'3店'!$B:$B,1,0)</f>
        <v>E03390-BL+E03240</v>
      </c>
      <c r="K5" t="s">
        <v>786</v>
      </c>
      <c r="L5">
        <v>9297</v>
      </c>
      <c r="M5">
        <v>79</v>
      </c>
      <c r="N5">
        <v>31.11</v>
      </c>
      <c r="O5">
        <v>115.8</v>
      </c>
      <c r="P5">
        <v>9</v>
      </c>
      <c r="Q5" s="31">
        <v>0.268652849740933</v>
      </c>
      <c r="R5" s="31">
        <v>0.113924050632911</v>
      </c>
      <c r="S5" s="1" t="str">
        <f>VLOOKUP(K:K,'3店'!$B:$B,1,0)</f>
        <v>Y03742-BL+Y03743</v>
      </c>
      <c r="T5" t="s">
        <v>786</v>
      </c>
      <c r="U5">
        <v>19964</v>
      </c>
      <c r="V5">
        <v>188</v>
      </c>
      <c r="W5">
        <v>72.88</v>
      </c>
      <c r="X5">
        <v>272.67</v>
      </c>
      <c r="Y5">
        <v>21</v>
      </c>
      <c r="Z5" s="31">
        <v>0.267282796053838</v>
      </c>
      <c r="AA5" s="31">
        <v>0.111702127659574</v>
      </c>
      <c r="AB5" s="1" t="str">
        <f>VLOOKUP(T:T,'3店'!$B:$B,1,0)</f>
        <v>Y03742-BL+Y03743</v>
      </c>
      <c r="AC5" t="s">
        <v>744</v>
      </c>
      <c r="AD5">
        <v>92432</v>
      </c>
      <c r="AE5">
        <v>551</v>
      </c>
      <c r="AF5">
        <v>209.89</v>
      </c>
      <c r="AG5">
        <v>1305.65</v>
      </c>
      <c r="AH5">
        <v>97</v>
      </c>
      <c r="AI5" s="31">
        <v>0.160755179412553</v>
      </c>
      <c r="AJ5" s="31">
        <v>0.176043557168784</v>
      </c>
      <c r="AK5" s="1" t="str">
        <f>VLOOKUP(AC:AC,'3店'!$B:$B,1,0)</f>
        <v>Y3013-BL+Y3014</v>
      </c>
      <c r="AL5" t="s">
        <v>786</v>
      </c>
      <c r="AM5" s="102">
        <v>478.41</v>
      </c>
      <c r="AN5" s="1">
        <f t="shared" si="0"/>
        <v>3277.1085</v>
      </c>
      <c r="AP5" s="29" t="s">
        <v>726</v>
      </c>
      <c r="AQ5" s="33">
        <v>1045.08</v>
      </c>
      <c r="AR5" s="1">
        <f t="shared" si="1"/>
        <v>7158.798</v>
      </c>
      <c r="AT5" s="43" t="s">
        <v>591</v>
      </c>
      <c r="AU5" s="44">
        <v>506.9</v>
      </c>
      <c r="AV5" s="35"/>
      <c r="AW5" s="43" t="s">
        <v>588</v>
      </c>
      <c r="AX5" s="44">
        <v>643.9</v>
      </c>
      <c r="AZ5" s="160" t="s">
        <v>1280</v>
      </c>
      <c r="BA5" s="127">
        <v>7.747</v>
      </c>
      <c r="BB5" s="1" t="s">
        <v>430</v>
      </c>
    </row>
    <row r="6" spans="2:54">
      <c r="B6" t="s">
        <v>726</v>
      </c>
      <c r="C6">
        <v>28</v>
      </c>
      <c r="D6" s="1" t="str">
        <f>VLOOKUP(B:B,'3店'!$B:$B,1,0)</f>
        <v>Y03652-BL+Y03653+Y03654</v>
      </c>
      <c r="E6" t="s">
        <v>726</v>
      </c>
      <c r="F6">
        <v>81</v>
      </c>
      <c r="G6" s="1" t="str">
        <f>VLOOKUP(E:E,'3店'!$B:$B,1,0)</f>
        <v>Y03652-BL+Y03653+Y03654</v>
      </c>
      <c r="H6" t="s">
        <v>726</v>
      </c>
      <c r="I6">
        <v>150</v>
      </c>
      <c r="J6" s="1" t="str">
        <f>VLOOKUP(H:H,'3店'!$B:$B,1,0)</f>
        <v>Y03652-BL+Y03653+Y03654</v>
      </c>
      <c r="K6" t="s">
        <v>759</v>
      </c>
      <c r="L6">
        <v>2610</v>
      </c>
      <c r="M6">
        <v>37</v>
      </c>
      <c r="N6">
        <v>13.41</v>
      </c>
      <c r="O6">
        <v>51.96</v>
      </c>
      <c r="P6">
        <v>4</v>
      </c>
      <c r="Q6" s="31">
        <v>0.258083140877598</v>
      </c>
      <c r="R6" s="31">
        <v>0.108108108108108</v>
      </c>
      <c r="S6" s="1" t="str">
        <f>VLOOKUP(K:K,'3店'!$B:$B,1,0)</f>
        <v>Y3015-BL+Y3016+Y3017</v>
      </c>
      <c r="T6" t="s">
        <v>759</v>
      </c>
      <c r="U6">
        <v>5972</v>
      </c>
      <c r="V6">
        <v>97</v>
      </c>
      <c r="W6">
        <v>34.31</v>
      </c>
      <c r="X6">
        <v>140.89</v>
      </c>
      <c r="Y6">
        <v>11</v>
      </c>
      <c r="Z6" s="31">
        <v>0.243523316062176</v>
      </c>
      <c r="AA6" s="31">
        <v>0.11340206185567</v>
      </c>
      <c r="AB6" s="1" t="str">
        <f>VLOOKUP(T:T,'3店'!$B:$B,1,0)</f>
        <v>Y3015-BL+Y3016+Y3017</v>
      </c>
      <c r="AC6" t="s">
        <v>786</v>
      </c>
      <c r="AD6">
        <v>37923</v>
      </c>
      <c r="AE6">
        <v>386</v>
      </c>
      <c r="AF6">
        <v>152</v>
      </c>
      <c r="AG6">
        <v>571.44</v>
      </c>
      <c r="AH6">
        <v>44</v>
      </c>
      <c r="AI6" s="31">
        <v>0.265994680106398</v>
      </c>
      <c r="AJ6" s="31">
        <v>0.113989637305699</v>
      </c>
      <c r="AK6" s="1" t="str">
        <f>VLOOKUP(AC:AC,'3店'!$B:$B,1,0)</f>
        <v>Y03742-BL+Y03743</v>
      </c>
      <c r="AL6" t="s">
        <v>696</v>
      </c>
      <c r="AM6" s="102">
        <v>352.73</v>
      </c>
      <c r="AN6" s="1">
        <f t="shared" si="0"/>
        <v>2416.2005</v>
      </c>
      <c r="AP6" s="29" t="s">
        <v>630</v>
      </c>
      <c r="AQ6" s="33">
        <v>691.12</v>
      </c>
      <c r="AR6" s="1">
        <f t="shared" si="1"/>
        <v>4734.172</v>
      </c>
      <c r="AT6" s="43" t="s">
        <v>594</v>
      </c>
      <c r="AU6" s="44">
        <v>1520.7</v>
      </c>
      <c r="AV6" s="35"/>
      <c r="AW6" s="43" t="s">
        <v>591</v>
      </c>
      <c r="AX6" s="44">
        <v>575.4</v>
      </c>
      <c r="AZ6" s="160" t="s">
        <v>1278</v>
      </c>
      <c r="BA6" s="127">
        <v>6.009</v>
      </c>
      <c r="BB6" s="1" t="s">
        <v>430</v>
      </c>
    </row>
    <row r="7" spans="2:54">
      <c r="B7" t="s">
        <v>995</v>
      </c>
      <c r="C7">
        <v>15</v>
      </c>
      <c r="D7" s="1" t="str">
        <f>VLOOKUP(B:B,'3店'!$B:$B,1,0)</f>
        <v>Y3060-BL+Y3061+Y3062</v>
      </c>
      <c r="E7" t="s">
        <v>786</v>
      </c>
      <c r="F7">
        <v>57</v>
      </c>
      <c r="G7" s="1" t="str">
        <f>VLOOKUP(E:E,'3店'!$B:$B,1,0)</f>
        <v>Y03742-BL+Y03743</v>
      </c>
      <c r="H7" t="s">
        <v>786</v>
      </c>
      <c r="I7">
        <v>86</v>
      </c>
      <c r="J7" s="1" t="str">
        <f>VLOOKUP(H:H,'3店'!$B:$B,1,0)</f>
        <v>Y03742-BL+Y03743</v>
      </c>
      <c r="K7" t="s">
        <v>768</v>
      </c>
      <c r="L7">
        <v>5513</v>
      </c>
      <c r="M7">
        <v>53</v>
      </c>
      <c r="N7">
        <v>21.9</v>
      </c>
      <c r="O7">
        <v>64.95</v>
      </c>
      <c r="P7">
        <v>4</v>
      </c>
      <c r="Q7" s="31">
        <v>0.337182448036951</v>
      </c>
      <c r="R7" s="31">
        <v>0.0754716981132076</v>
      </c>
      <c r="S7" s="1" t="str">
        <f>VLOOKUP(K:K,'3店'!$B:$B,1,0)</f>
        <v>Y3018-BL+Y3019</v>
      </c>
      <c r="T7" t="s">
        <v>768</v>
      </c>
      <c r="U7">
        <v>11165</v>
      </c>
      <c r="V7">
        <v>101</v>
      </c>
      <c r="W7">
        <v>41.69</v>
      </c>
      <c r="X7">
        <v>178.75</v>
      </c>
      <c r="Y7">
        <v>13</v>
      </c>
      <c r="Z7" s="31">
        <v>0.233230769230769</v>
      </c>
      <c r="AA7" s="31">
        <v>0.128712871287129</v>
      </c>
      <c r="AB7" s="1" t="str">
        <f>VLOOKUP(T:T,'3店'!$B:$B,1,0)</f>
        <v>Y3018-BL+Y3019</v>
      </c>
      <c r="AC7" t="s">
        <v>759</v>
      </c>
      <c r="AD7">
        <v>13901</v>
      </c>
      <c r="AE7">
        <v>216</v>
      </c>
      <c r="AF7">
        <v>79.28</v>
      </c>
      <c r="AG7">
        <v>387.7</v>
      </c>
      <c r="AH7">
        <v>30</v>
      </c>
      <c r="AI7" s="31">
        <v>0.204488006190353</v>
      </c>
      <c r="AJ7" s="31">
        <v>0.138888888888889</v>
      </c>
      <c r="AK7" s="1" t="str">
        <f>VLOOKUP(AC:AC,'3店'!$B:$B,1,0)</f>
        <v>Y3015-BL+Y3016+Y3017</v>
      </c>
      <c r="AL7" t="s">
        <v>630</v>
      </c>
      <c r="AM7" s="102">
        <v>323.64</v>
      </c>
      <c r="AN7" s="1">
        <f t="shared" si="0"/>
        <v>2216.934</v>
      </c>
      <c r="AP7" s="29" t="s">
        <v>696</v>
      </c>
      <c r="AQ7" s="33">
        <v>646.49</v>
      </c>
      <c r="AR7" s="1">
        <f t="shared" si="1"/>
        <v>4428.4565</v>
      </c>
      <c r="AT7" s="43" t="s">
        <v>597</v>
      </c>
      <c r="AU7" s="44">
        <v>11960.1</v>
      </c>
      <c r="AV7" s="35"/>
      <c r="AW7" s="43" t="s">
        <v>594</v>
      </c>
      <c r="AX7" s="44">
        <v>1575.5</v>
      </c>
      <c r="AZ7" s="160" t="s">
        <v>621</v>
      </c>
      <c r="BA7" s="127">
        <v>5.372</v>
      </c>
      <c r="BB7" s="1" t="s">
        <v>430</v>
      </c>
    </row>
    <row r="8" spans="2:54">
      <c r="B8" t="s">
        <v>696</v>
      </c>
      <c r="C8">
        <v>27</v>
      </c>
      <c r="D8" s="1" t="str">
        <f>VLOOKUP(B:B,'3店'!$B:$B,1,0)</f>
        <v>Y03507-BL+Y03508+Y03509</v>
      </c>
      <c r="E8" t="s">
        <v>995</v>
      </c>
      <c r="F8">
        <v>45</v>
      </c>
      <c r="G8" s="1" t="str">
        <f>VLOOKUP(E:E,'3店'!$B:$B,1,0)</f>
        <v>Y3060-BL+Y3061+Y3062</v>
      </c>
      <c r="H8" t="s">
        <v>995</v>
      </c>
      <c r="I8">
        <v>122</v>
      </c>
      <c r="J8" s="1" t="str">
        <f>VLOOKUP(H:H,'3店'!$B:$B,1,0)</f>
        <v>Y3060-BL+Y3061+Y3062</v>
      </c>
      <c r="K8" t="s">
        <v>639</v>
      </c>
      <c r="L8">
        <v>4444</v>
      </c>
      <c r="M8">
        <v>46</v>
      </c>
      <c r="N8">
        <v>15.12</v>
      </c>
      <c r="O8">
        <v>103.92</v>
      </c>
      <c r="P8">
        <v>8</v>
      </c>
      <c r="Q8" s="31">
        <v>0.145496535796767</v>
      </c>
      <c r="R8" s="31">
        <v>0.173913043478261</v>
      </c>
      <c r="S8" s="1" t="str">
        <f>VLOOKUP(K:K,'3店'!$B:$B,1,0)</f>
        <v>E03391-BL+E03271</v>
      </c>
      <c r="T8" t="s">
        <v>639</v>
      </c>
      <c r="U8">
        <v>9510</v>
      </c>
      <c r="V8">
        <v>100</v>
      </c>
      <c r="W8">
        <v>33.87</v>
      </c>
      <c r="X8">
        <v>241.7</v>
      </c>
      <c r="Y8">
        <v>19</v>
      </c>
      <c r="Z8" s="31">
        <v>0.140132395531651</v>
      </c>
      <c r="AA8" s="31">
        <v>0.19</v>
      </c>
      <c r="AB8" s="1" t="str">
        <f>VLOOKUP(T:T,'3店'!$B:$B,1,0)</f>
        <v>E03391-BL+E03271</v>
      </c>
      <c r="AC8" t="s">
        <v>768</v>
      </c>
      <c r="AD8">
        <v>20110</v>
      </c>
      <c r="AE8">
        <v>168</v>
      </c>
      <c r="AF8">
        <v>67.33</v>
      </c>
      <c r="AG8">
        <v>295.66</v>
      </c>
      <c r="AH8">
        <v>22</v>
      </c>
      <c r="AI8" s="31">
        <v>0.227727795440709</v>
      </c>
      <c r="AJ8" s="31">
        <v>0.130952380952381</v>
      </c>
      <c r="AK8" s="1" t="str">
        <f>VLOOKUP(AC:AC,'3店'!$B:$B,1,0)</f>
        <v>Y3018-BL+Y3019</v>
      </c>
      <c r="AL8" t="s">
        <v>726</v>
      </c>
      <c r="AM8" s="102">
        <v>362.61</v>
      </c>
      <c r="AN8" s="1">
        <f t="shared" si="0"/>
        <v>2483.8785</v>
      </c>
      <c r="AP8" s="29" t="s">
        <v>840</v>
      </c>
      <c r="AQ8" s="33">
        <v>657.26</v>
      </c>
      <c r="AR8" s="1">
        <f t="shared" si="1"/>
        <v>4502.231</v>
      </c>
      <c r="AT8" s="43" t="s">
        <v>600</v>
      </c>
      <c r="AU8" s="44">
        <v>767.2</v>
      </c>
      <c r="AV8" s="35"/>
      <c r="AW8" s="43" t="s">
        <v>597</v>
      </c>
      <c r="AX8" s="44">
        <v>698.7</v>
      </c>
      <c r="AZ8" s="160" t="s">
        <v>624</v>
      </c>
      <c r="BA8" s="127">
        <v>6.986</v>
      </c>
      <c r="BB8" s="1" t="s">
        <v>430</v>
      </c>
    </row>
    <row r="9" spans="2:54">
      <c r="B9" t="s">
        <v>648</v>
      </c>
      <c r="C9">
        <v>176</v>
      </c>
      <c r="D9" s="1" t="str">
        <f>VLOOKUP(B:B,'3店'!$B:$B,1,0)</f>
        <v>Y03449-BL+Y03476</v>
      </c>
      <c r="E9" t="s">
        <v>696</v>
      </c>
      <c r="F9">
        <v>53</v>
      </c>
      <c r="G9" s="1" t="str">
        <f>VLOOKUP(E:E,'3店'!$B:$B,1,0)</f>
        <v>Y03507-BL+Y03508+Y03509</v>
      </c>
      <c r="H9" t="s">
        <v>696</v>
      </c>
      <c r="I9">
        <v>107</v>
      </c>
      <c r="J9" s="1" t="str">
        <f>VLOOKUP(H:H,'3店'!$B:$B,1,0)</f>
        <v>Y03507-BL+Y03508+Y03509</v>
      </c>
      <c r="K9" t="s">
        <v>630</v>
      </c>
      <c r="L9">
        <v>12581</v>
      </c>
      <c r="M9">
        <v>114</v>
      </c>
      <c r="N9">
        <v>42.7</v>
      </c>
      <c r="O9">
        <v>245.7</v>
      </c>
      <c r="P9">
        <v>18</v>
      </c>
      <c r="Q9" s="31">
        <v>0.173789173789174</v>
      </c>
      <c r="R9" s="31">
        <v>0.157894736842105</v>
      </c>
      <c r="S9" s="1" t="str">
        <f>VLOOKUP(K:K,'3店'!$B:$B,1,0)</f>
        <v>E03390-BL+E03240</v>
      </c>
      <c r="T9" t="s">
        <v>630</v>
      </c>
      <c r="U9">
        <v>28534</v>
      </c>
      <c r="V9">
        <v>257</v>
      </c>
      <c r="W9">
        <v>97.35</v>
      </c>
      <c r="X9">
        <v>507.38</v>
      </c>
      <c r="Y9">
        <v>38</v>
      </c>
      <c r="Z9" s="31">
        <v>0.191868027908077</v>
      </c>
      <c r="AA9" s="31">
        <v>0.147859922178988</v>
      </c>
      <c r="AB9" s="1" t="str">
        <f>VLOOKUP(T:T,'3店'!$B:$B,1,0)</f>
        <v>E03390-BL+E03240</v>
      </c>
      <c r="AC9" t="s">
        <v>639</v>
      </c>
      <c r="AD9">
        <v>16520</v>
      </c>
      <c r="AE9">
        <v>191</v>
      </c>
      <c r="AF9">
        <v>64.35</v>
      </c>
      <c r="AG9">
        <v>436.55</v>
      </c>
      <c r="AH9">
        <v>33</v>
      </c>
      <c r="AI9" s="31">
        <v>0.14740579544153</v>
      </c>
      <c r="AJ9" s="31">
        <v>0.172774869109948</v>
      </c>
      <c r="AK9" s="1" t="str">
        <f>VLOOKUP(AC:AC,'3店'!$B:$B,1,0)</f>
        <v>E03391-BL+E03271</v>
      </c>
      <c r="AL9" t="s">
        <v>840</v>
      </c>
      <c r="AM9" s="102">
        <v>298.77</v>
      </c>
      <c r="AN9" s="1">
        <f t="shared" si="0"/>
        <v>2046.5745</v>
      </c>
      <c r="AP9" s="29" t="s">
        <v>786</v>
      </c>
      <c r="AQ9" s="33">
        <v>730.21</v>
      </c>
      <c r="AR9" s="1">
        <f t="shared" si="1"/>
        <v>5001.9385</v>
      </c>
      <c r="AT9" s="43" t="s">
        <v>603</v>
      </c>
      <c r="AU9" s="44">
        <v>1479.6</v>
      </c>
      <c r="AV9" s="35"/>
      <c r="AW9" s="43" t="s">
        <v>600</v>
      </c>
      <c r="AX9" s="44">
        <v>986.4</v>
      </c>
      <c r="AZ9" s="106" t="s">
        <v>627</v>
      </c>
      <c r="BA9" s="127">
        <v>6.344</v>
      </c>
      <c r="BB9" s="1" t="s">
        <v>430</v>
      </c>
    </row>
    <row r="10" spans="2:54">
      <c r="B10" t="s">
        <v>786</v>
      </c>
      <c r="C10">
        <v>37</v>
      </c>
      <c r="D10" s="1" t="str">
        <f>VLOOKUP(B:B,'3店'!$B:$B,1,0)</f>
        <v>Y03742-BL+Y03743</v>
      </c>
      <c r="E10" t="s">
        <v>648</v>
      </c>
      <c r="F10">
        <v>269</v>
      </c>
      <c r="G10" s="1" t="str">
        <f>VLOOKUP(E:E,'3店'!$B:$B,1,0)</f>
        <v>Y03449-BL+Y03476</v>
      </c>
      <c r="H10" t="s">
        <v>648</v>
      </c>
      <c r="I10">
        <v>563</v>
      </c>
      <c r="J10" s="1" t="str">
        <f>VLOOKUP(H:H,'3店'!$B:$B,1,0)</f>
        <v>Y03449-BL+Y03476</v>
      </c>
      <c r="K10" t="s">
        <v>621</v>
      </c>
      <c r="L10">
        <v>6258</v>
      </c>
      <c r="M10">
        <v>41</v>
      </c>
      <c r="N10">
        <v>10.26</v>
      </c>
      <c r="O10">
        <v>0</v>
      </c>
      <c r="P10">
        <v>0</v>
      </c>
      <c r="Q10" s="31">
        <v>0</v>
      </c>
      <c r="R10" s="31">
        <v>0</v>
      </c>
      <c r="S10" s="1" t="str">
        <f>VLOOKUP(K:K,'3店'!$B:$B,1,0)</f>
        <v>E03388-BL+E03267</v>
      </c>
      <c r="T10" t="s">
        <v>621</v>
      </c>
      <c r="U10">
        <v>14404</v>
      </c>
      <c r="V10">
        <v>87</v>
      </c>
      <c r="W10">
        <v>22.81</v>
      </c>
      <c r="X10">
        <v>68.95</v>
      </c>
      <c r="Y10">
        <v>5</v>
      </c>
      <c r="Z10" s="31">
        <v>0.330819434372734</v>
      </c>
      <c r="AA10" s="31">
        <v>0.0574712643678161</v>
      </c>
      <c r="AB10" s="1" t="str">
        <f>VLOOKUP(T:T,'3店'!$B:$B,1,0)</f>
        <v>E03388-BL+E03267</v>
      </c>
      <c r="AC10" t="s">
        <v>630</v>
      </c>
      <c r="AD10">
        <v>53656</v>
      </c>
      <c r="AE10">
        <v>524</v>
      </c>
      <c r="AF10">
        <v>195.1</v>
      </c>
      <c r="AG10">
        <v>897.97</v>
      </c>
      <c r="AH10">
        <v>67</v>
      </c>
      <c r="AI10" s="31">
        <v>0.217267837455594</v>
      </c>
      <c r="AJ10" s="31">
        <v>0.127862595419847</v>
      </c>
      <c r="AK10" s="1" t="str">
        <f>VLOOKUP(AC:AC,'3店'!$B:$B,1,0)</f>
        <v>E03390-BL+E03240</v>
      </c>
      <c r="AL10" t="s">
        <v>1049</v>
      </c>
      <c r="AM10" s="102">
        <v>284.67</v>
      </c>
      <c r="AN10" s="1">
        <f t="shared" si="0"/>
        <v>1949.9895</v>
      </c>
      <c r="AP10" s="29" t="s">
        <v>1049</v>
      </c>
      <c r="AQ10" s="33">
        <v>624.08</v>
      </c>
      <c r="AR10" s="1">
        <f t="shared" si="1"/>
        <v>4274.948</v>
      </c>
      <c r="AT10" s="43" t="s">
        <v>606</v>
      </c>
      <c r="AU10" s="44">
        <v>822</v>
      </c>
      <c r="AV10" s="35"/>
      <c r="AW10" s="43" t="s">
        <v>603</v>
      </c>
      <c r="AX10" s="44">
        <v>780.9</v>
      </c>
      <c r="AZ10" s="160" t="s">
        <v>630</v>
      </c>
      <c r="BA10" s="127">
        <v>4.97</v>
      </c>
      <c r="BB10" s="1" t="s">
        <v>430</v>
      </c>
    </row>
    <row r="11" spans="2:54">
      <c r="B11" t="s">
        <v>717</v>
      </c>
      <c r="C11">
        <v>10</v>
      </c>
      <c r="D11" s="1" t="str">
        <f>VLOOKUP(B:B,'3店'!$B:$B,1,0)</f>
        <v>Y03564-BL+Y03565+Y03566</v>
      </c>
      <c r="E11" t="s">
        <v>681</v>
      </c>
      <c r="F11">
        <v>37</v>
      </c>
      <c r="G11" s="1" t="str">
        <f>VLOOKUP(E:E,'3店'!$B:$B,1,0)</f>
        <v>Y03466-BL+E03063</v>
      </c>
      <c r="H11" t="s">
        <v>681</v>
      </c>
      <c r="I11">
        <v>70</v>
      </c>
      <c r="J11" s="1" t="str">
        <f>VLOOKUP(H:H,'3店'!$B:$B,1,0)</f>
        <v>Y03466-BL+E03063</v>
      </c>
      <c r="K11" t="s">
        <v>588</v>
      </c>
      <c r="L11">
        <v>6972</v>
      </c>
      <c r="M11">
        <v>47</v>
      </c>
      <c r="N11">
        <v>17.29</v>
      </c>
      <c r="O11">
        <v>103.92</v>
      </c>
      <c r="P11">
        <v>8</v>
      </c>
      <c r="Q11" s="31">
        <v>0.166377983063895</v>
      </c>
      <c r="R11" s="31">
        <v>0.170212765957447</v>
      </c>
      <c r="S11" s="1" t="str">
        <f>VLOOKUP(K:K,'3店'!$B:$B,1,0)</f>
        <v>E03135-bl</v>
      </c>
      <c r="T11" t="s">
        <v>588</v>
      </c>
      <c r="U11">
        <v>14639</v>
      </c>
      <c r="V11">
        <v>102</v>
      </c>
      <c r="W11">
        <v>37.85</v>
      </c>
      <c r="X11">
        <v>205.84</v>
      </c>
      <c r="Y11">
        <v>16</v>
      </c>
      <c r="Z11" s="31">
        <v>0.183880684026428</v>
      </c>
      <c r="AA11" s="31">
        <v>0.156862745098039</v>
      </c>
      <c r="AB11" s="1" t="str">
        <f>VLOOKUP(T:T,'3店'!$B:$B,1,0)</f>
        <v>E03135-bl</v>
      </c>
      <c r="AC11" t="s">
        <v>621</v>
      </c>
      <c r="AD11">
        <v>26707</v>
      </c>
      <c r="AE11">
        <v>156</v>
      </c>
      <c r="AF11">
        <v>42.55</v>
      </c>
      <c r="AG11">
        <v>133.9</v>
      </c>
      <c r="AH11">
        <v>10</v>
      </c>
      <c r="AI11" s="31">
        <v>0.317774458551158</v>
      </c>
      <c r="AJ11" s="31">
        <v>0.0641025641025641</v>
      </c>
      <c r="AK11" s="1" t="str">
        <f>VLOOKUP(AC:AC,'3店'!$B:$B,1,0)</f>
        <v>E03388-BL+E03267</v>
      </c>
      <c r="AL11" t="s">
        <v>639</v>
      </c>
      <c r="AM11" s="102">
        <v>285.78</v>
      </c>
      <c r="AN11" s="1">
        <f t="shared" si="0"/>
        <v>1957.593</v>
      </c>
      <c r="AP11" s="29" t="s">
        <v>995</v>
      </c>
      <c r="AQ11" s="33">
        <v>532.25</v>
      </c>
      <c r="AR11" s="1">
        <f t="shared" si="1"/>
        <v>3645.9125</v>
      </c>
      <c r="AT11" s="43" t="s">
        <v>609</v>
      </c>
      <c r="AU11" s="44">
        <v>452.1</v>
      </c>
      <c r="AV11" s="35"/>
      <c r="AW11" s="43" t="s">
        <v>606</v>
      </c>
      <c r="AX11" s="44">
        <v>1397.4</v>
      </c>
      <c r="AZ11" s="160" t="s">
        <v>633</v>
      </c>
      <c r="BA11" s="127">
        <v>6.045</v>
      </c>
      <c r="BB11" s="1" t="s">
        <v>430</v>
      </c>
    </row>
    <row r="12" spans="2:54">
      <c r="B12" t="s">
        <v>951</v>
      </c>
      <c r="C12">
        <v>9</v>
      </c>
      <c r="D12" s="1" t="str">
        <f>VLOOKUP(B:B,'3店'!$B:$B,1,0)</f>
        <v>Y3049-BL+Y3050+Y3051</v>
      </c>
      <c r="E12" t="s">
        <v>717</v>
      </c>
      <c r="F12">
        <v>16</v>
      </c>
      <c r="G12" s="1" t="str">
        <f>VLOOKUP(E:E,'3店'!$B:$B,1,0)</f>
        <v>Y03564-BL+Y03565+Y03566</v>
      </c>
      <c r="H12" t="s">
        <v>717</v>
      </c>
      <c r="I12">
        <v>29</v>
      </c>
      <c r="J12" s="1" t="str">
        <f>VLOOKUP(H:H,'3店'!$B:$B,1,0)</f>
        <v>Y03564-BL+Y03565+Y03566</v>
      </c>
      <c r="K12" t="s">
        <v>597</v>
      </c>
      <c r="L12">
        <v>8174</v>
      </c>
      <c r="M12">
        <v>82</v>
      </c>
      <c r="N12">
        <v>31.68</v>
      </c>
      <c r="O12">
        <v>298.77</v>
      </c>
      <c r="P12">
        <v>22</v>
      </c>
      <c r="Q12" s="31">
        <v>0.10603474244402</v>
      </c>
      <c r="R12" s="31">
        <v>0.268292682926829</v>
      </c>
      <c r="S12" s="1" t="str">
        <f>VLOOKUP(K:K,'3店'!$B:$B,1,0)</f>
        <v>E03375-BL+E03380+E03397</v>
      </c>
      <c r="T12" t="s">
        <v>597</v>
      </c>
      <c r="U12">
        <v>20411</v>
      </c>
      <c r="V12">
        <v>196</v>
      </c>
      <c r="W12">
        <v>75.75</v>
      </c>
      <c r="X12">
        <v>750.41</v>
      </c>
      <c r="Y12">
        <v>56</v>
      </c>
      <c r="Z12" s="31">
        <v>0.100944816833464</v>
      </c>
      <c r="AA12" s="31">
        <v>0.285714285714286</v>
      </c>
      <c r="AB12" s="1" t="str">
        <f>VLOOKUP(T:T,'3店'!$B:$B,1,0)</f>
        <v>E03375-BL+E03380+E03397</v>
      </c>
      <c r="AC12" t="s">
        <v>588</v>
      </c>
      <c r="AD12">
        <v>27176</v>
      </c>
      <c r="AE12">
        <v>189</v>
      </c>
      <c r="AF12">
        <v>68.88</v>
      </c>
      <c r="AG12">
        <v>383.49</v>
      </c>
      <c r="AH12">
        <v>28</v>
      </c>
      <c r="AI12" s="31">
        <v>0.179613549245091</v>
      </c>
      <c r="AJ12" s="31">
        <v>0.148148148148148</v>
      </c>
      <c r="AK12" s="1" t="str">
        <f>VLOOKUP(AC:AC,'3店'!$B:$B,1,0)</f>
        <v>E03135-bl</v>
      </c>
      <c r="AL12" t="s">
        <v>603</v>
      </c>
      <c r="AM12" s="102">
        <v>270.57</v>
      </c>
      <c r="AN12" s="1">
        <f t="shared" si="0"/>
        <v>1853.4045</v>
      </c>
      <c r="AP12" s="29" t="s">
        <v>681</v>
      </c>
      <c r="AQ12" s="33">
        <v>469.64</v>
      </c>
      <c r="AR12" s="1">
        <f t="shared" si="1"/>
        <v>3217.034</v>
      </c>
      <c r="AT12" s="43" t="s">
        <v>612</v>
      </c>
      <c r="AU12" s="44">
        <v>0</v>
      </c>
      <c r="AV12" s="35"/>
      <c r="AW12" s="43" t="s">
        <v>609</v>
      </c>
      <c r="AX12" s="44">
        <v>548</v>
      </c>
      <c r="AZ12" s="160" t="s">
        <v>636</v>
      </c>
      <c r="BA12" s="127">
        <v>7.828</v>
      </c>
      <c r="BB12" s="1" t="s">
        <v>430</v>
      </c>
    </row>
    <row r="13" spans="1:54">
      <c r="A13" s="42" t="s">
        <v>1281</v>
      </c>
      <c r="B13" t="s">
        <v>681</v>
      </c>
      <c r="C13">
        <v>13</v>
      </c>
      <c r="D13" s="1" t="str">
        <f>VLOOKUP(B:B,'3店'!$B:$B,1,0)</f>
        <v>Y03466-BL+E03063</v>
      </c>
      <c r="E13" t="s">
        <v>603</v>
      </c>
      <c r="F13">
        <v>40</v>
      </c>
      <c r="G13" s="1" t="str">
        <f>VLOOKUP(E:E,'3店'!$B:$B,1,0)</f>
        <v>E03375-NB+E03380+E03397</v>
      </c>
      <c r="H13" t="s">
        <v>603</v>
      </c>
      <c r="I13">
        <v>67</v>
      </c>
      <c r="J13" s="1" t="str">
        <f>VLOOKUP(H:H,'3店'!$B:$B,1,0)</f>
        <v>E03375-NB+E03380+E03397</v>
      </c>
      <c r="K13" t="s">
        <v>681</v>
      </c>
      <c r="L13">
        <v>5891</v>
      </c>
      <c r="M13">
        <v>38</v>
      </c>
      <c r="N13">
        <v>14.11</v>
      </c>
      <c r="O13">
        <v>103.92</v>
      </c>
      <c r="P13">
        <v>8</v>
      </c>
      <c r="Q13" s="31">
        <v>0.135777521170131</v>
      </c>
      <c r="R13" s="31">
        <v>0.210526315789474</v>
      </c>
      <c r="S13" s="1" t="str">
        <f>VLOOKUP(K:K,'3店'!$B:$B,1,0)</f>
        <v>Y03466-BL+E03063</v>
      </c>
      <c r="T13" t="s">
        <v>681</v>
      </c>
      <c r="U13">
        <v>12331</v>
      </c>
      <c r="V13">
        <v>101</v>
      </c>
      <c r="W13">
        <v>39.16</v>
      </c>
      <c r="X13">
        <v>268.79</v>
      </c>
      <c r="Y13">
        <v>21</v>
      </c>
      <c r="Z13" s="31">
        <v>0.145689943822315</v>
      </c>
      <c r="AA13" s="31">
        <v>0.207920792079208</v>
      </c>
      <c r="AB13" s="1" t="str">
        <f>VLOOKUP(T:T,'3店'!$B:$B,1,0)</f>
        <v>Y03466-BL+E03063</v>
      </c>
      <c r="AC13" t="s">
        <v>597</v>
      </c>
      <c r="AD13">
        <v>34458</v>
      </c>
      <c r="AE13">
        <v>353</v>
      </c>
      <c r="AF13">
        <v>134.86</v>
      </c>
      <c r="AG13">
        <v>1403.92</v>
      </c>
      <c r="AH13">
        <v>98</v>
      </c>
      <c r="AI13" s="31">
        <v>0.096059604535871</v>
      </c>
      <c r="AJ13" s="31">
        <v>0.277620396600567</v>
      </c>
      <c r="AK13" s="1" t="str">
        <f>VLOOKUP(AC:AC,'3店'!$B:$B,1,0)</f>
        <v>E03375-BL+E03380+E03397</v>
      </c>
      <c r="AL13" t="s">
        <v>750</v>
      </c>
      <c r="AM13" s="102">
        <v>261.87</v>
      </c>
      <c r="AN13" s="1">
        <f t="shared" si="0"/>
        <v>1793.8095</v>
      </c>
      <c r="AP13" s="29" t="s">
        <v>639</v>
      </c>
      <c r="AQ13" s="33">
        <v>452.65</v>
      </c>
      <c r="AR13" s="1">
        <f t="shared" si="1"/>
        <v>3100.6525</v>
      </c>
      <c r="AT13" s="43" t="s">
        <v>615</v>
      </c>
      <c r="AU13" s="44">
        <v>41.1</v>
      </c>
      <c r="AV13" s="35"/>
      <c r="AW13" s="43" t="s">
        <v>612</v>
      </c>
      <c r="AX13" s="44">
        <v>54.8</v>
      </c>
      <c r="AZ13" s="160" t="s">
        <v>1104</v>
      </c>
      <c r="BA13" s="127">
        <v>7.648</v>
      </c>
      <c r="BB13" s="1" t="s">
        <v>430</v>
      </c>
    </row>
    <row r="14" spans="2:54">
      <c r="B14" t="s">
        <v>639</v>
      </c>
      <c r="C14">
        <v>22</v>
      </c>
      <c r="D14" s="1" t="str">
        <f>VLOOKUP(B:B,'3店'!$B:$B,1,0)</f>
        <v>E03391-BL+E03271</v>
      </c>
      <c r="E14" t="s">
        <v>750</v>
      </c>
      <c r="F14">
        <v>31</v>
      </c>
      <c r="G14" s="1" t="str">
        <f>VLOOKUP(E:E,'3店'!$B:$B,1,0)</f>
        <v>Y3013-NB+Y3014</v>
      </c>
      <c r="H14" t="s">
        <v>750</v>
      </c>
      <c r="I14">
        <v>55</v>
      </c>
      <c r="J14" s="1" t="str">
        <f>VLOOKUP(H:H,'3店'!$B:$B,1,0)</f>
        <v>Y3013-NB+Y3014</v>
      </c>
      <c r="K14" t="s">
        <v>822</v>
      </c>
      <c r="L14">
        <v>1249</v>
      </c>
      <c r="M14">
        <v>18</v>
      </c>
      <c r="N14">
        <v>6.04</v>
      </c>
      <c r="O14">
        <v>90.93</v>
      </c>
      <c r="P14">
        <v>6</v>
      </c>
      <c r="Q14" s="31">
        <v>0.0664247223138678</v>
      </c>
      <c r="R14" s="31">
        <v>0.333333333333333</v>
      </c>
      <c r="S14" s="1" t="str">
        <f>VLOOKUP(K:K,'3店'!$B:$B,1,0)</f>
        <v>Y3033-BL+Y3034+Y3035</v>
      </c>
      <c r="T14" t="s">
        <v>822</v>
      </c>
      <c r="U14">
        <v>2956</v>
      </c>
      <c r="V14">
        <v>34</v>
      </c>
      <c r="W14">
        <v>11.41</v>
      </c>
      <c r="X14">
        <v>90.93</v>
      </c>
      <c r="Y14">
        <v>6</v>
      </c>
      <c r="Z14" s="31">
        <v>0.125481139337952</v>
      </c>
      <c r="AA14" s="31">
        <v>0.176470588235294</v>
      </c>
      <c r="AB14" s="1" t="str">
        <f>VLOOKUP(T:T,'3店'!$B:$B,1,0)</f>
        <v>Y3033-BL+Y3034+Y3035</v>
      </c>
      <c r="AC14" t="s">
        <v>681</v>
      </c>
      <c r="AD14">
        <v>23165</v>
      </c>
      <c r="AE14">
        <v>179</v>
      </c>
      <c r="AF14">
        <v>68.47</v>
      </c>
      <c r="AG14">
        <v>450.65</v>
      </c>
      <c r="AH14">
        <v>36</v>
      </c>
      <c r="AI14" s="31">
        <v>0.151936092311106</v>
      </c>
      <c r="AJ14" s="31">
        <v>0.201117318435754</v>
      </c>
      <c r="AK14" s="1" t="str">
        <f>VLOOKUP(AC:AC,'3店'!$B:$B,1,0)</f>
        <v>Y03466-BL+E03063</v>
      </c>
      <c r="AL14" t="s">
        <v>995</v>
      </c>
      <c r="AM14" s="102">
        <v>193.74</v>
      </c>
      <c r="AN14" s="1">
        <f t="shared" si="0"/>
        <v>1327.119</v>
      </c>
      <c r="AP14" s="29" t="s">
        <v>603</v>
      </c>
      <c r="AQ14" s="33">
        <v>496.06</v>
      </c>
      <c r="AR14" s="1">
        <f t="shared" si="1"/>
        <v>3398.011</v>
      </c>
      <c r="AT14" s="43" t="s">
        <v>618</v>
      </c>
      <c r="AU14" s="44">
        <v>137</v>
      </c>
      <c r="AV14" s="35"/>
      <c r="AW14" s="43" t="s">
        <v>615</v>
      </c>
      <c r="AX14" s="44">
        <v>137</v>
      </c>
      <c r="AZ14" s="160" t="s">
        <v>1098</v>
      </c>
      <c r="BA14" s="127">
        <v>7.648</v>
      </c>
      <c r="BB14" s="1" t="s">
        <v>430</v>
      </c>
    </row>
    <row r="15" spans="2:54">
      <c r="B15" t="s">
        <v>729</v>
      </c>
      <c r="C15">
        <v>7</v>
      </c>
      <c r="D15" s="1" t="str">
        <f>VLOOKUP(B:B,'3店'!$B:$B,1,0)</f>
        <v>Y03652-DB+Y03653+Y03654</v>
      </c>
      <c r="E15" t="s">
        <v>729</v>
      </c>
      <c r="F15">
        <v>20</v>
      </c>
      <c r="G15" s="1" t="str">
        <f>VLOOKUP(E:E,'3店'!$B:$B,1,0)</f>
        <v>Y03652-DB+Y03653+Y03654</v>
      </c>
      <c r="H15" t="s">
        <v>729</v>
      </c>
      <c r="I15">
        <v>43</v>
      </c>
      <c r="J15" s="1" t="str">
        <f>VLOOKUP(H:H,'3店'!$B:$B,1,0)</f>
        <v>Y03652-DB+Y03653+Y03654</v>
      </c>
      <c r="K15" t="s">
        <v>696</v>
      </c>
      <c r="L15">
        <v>12521</v>
      </c>
      <c r="M15">
        <v>147</v>
      </c>
      <c r="N15">
        <v>40.36</v>
      </c>
      <c r="O15">
        <v>207.84</v>
      </c>
      <c r="P15">
        <v>16</v>
      </c>
      <c r="Q15" s="31">
        <v>0.194187836797537</v>
      </c>
      <c r="R15" s="31">
        <v>0.108843537414966</v>
      </c>
      <c r="S15" s="1" t="str">
        <f>VLOOKUP(K:K,'3店'!$B:$B,1,0)</f>
        <v>Y03507-BL+Y03508+Y03509</v>
      </c>
      <c r="T15" t="s">
        <v>696</v>
      </c>
      <c r="U15">
        <v>28108</v>
      </c>
      <c r="V15">
        <v>303</v>
      </c>
      <c r="W15">
        <v>87.83</v>
      </c>
      <c r="X15">
        <v>403.68</v>
      </c>
      <c r="Y15">
        <v>30</v>
      </c>
      <c r="Z15" s="31">
        <v>0.217573325406262</v>
      </c>
      <c r="AA15" s="31">
        <v>0.099009900990099</v>
      </c>
      <c r="AB15" s="1" t="str">
        <f>VLOOKUP(T:T,'3店'!$B:$B,1,0)</f>
        <v>Y03507-BL+Y03508+Y03509</v>
      </c>
      <c r="AC15" t="s">
        <v>822</v>
      </c>
      <c r="AD15">
        <v>6392</v>
      </c>
      <c r="AE15">
        <v>74</v>
      </c>
      <c r="AF15">
        <v>26.04</v>
      </c>
      <c r="AG15">
        <v>155.88</v>
      </c>
      <c r="AH15">
        <v>11</v>
      </c>
      <c r="AI15" s="31">
        <v>0.167051578137028</v>
      </c>
      <c r="AJ15" s="31">
        <v>0.148648648648649</v>
      </c>
      <c r="AK15" s="1" t="str">
        <f>VLOOKUP(AC:AC,'3店'!$B:$B,1,0)</f>
        <v>Y3033-BL+Y3034+Y3035</v>
      </c>
      <c r="AL15" t="s">
        <v>681</v>
      </c>
      <c r="AM15" s="102">
        <v>168.87</v>
      </c>
      <c r="AN15" s="1">
        <f t="shared" si="0"/>
        <v>1156.7595</v>
      </c>
      <c r="AP15" s="29" t="s">
        <v>750</v>
      </c>
      <c r="AQ15" s="33">
        <v>372.78</v>
      </c>
      <c r="AR15" s="1">
        <f t="shared" si="1"/>
        <v>2553.543</v>
      </c>
      <c r="AT15" s="43" t="s">
        <v>621</v>
      </c>
      <c r="AU15" s="44">
        <v>602.8</v>
      </c>
      <c r="AV15" s="35"/>
      <c r="AW15" s="43" t="s">
        <v>618</v>
      </c>
      <c r="AX15" s="44">
        <v>219.2</v>
      </c>
      <c r="AZ15" s="160" t="s">
        <v>1101</v>
      </c>
      <c r="BA15" s="127">
        <v>7.648</v>
      </c>
      <c r="BB15" s="1" t="s">
        <v>430</v>
      </c>
    </row>
    <row r="16" spans="2:54">
      <c r="B16" t="s">
        <v>750</v>
      </c>
      <c r="C16">
        <v>22</v>
      </c>
      <c r="D16" s="1" t="str">
        <f>VLOOKUP(B:B,'3店'!$B:$B,1,0)</f>
        <v>Y3013-NB+Y3014</v>
      </c>
      <c r="E16" t="s">
        <v>639</v>
      </c>
      <c r="F16">
        <v>35</v>
      </c>
      <c r="G16" s="1" t="str">
        <f>VLOOKUP(E:E,'3店'!$B:$B,1,0)</f>
        <v>E03391-BL+E03271</v>
      </c>
      <c r="H16" t="s">
        <v>639</v>
      </c>
      <c r="I16">
        <v>61</v>
      </c>
      <c r="J16" s="1" t="str">
        <f>VLOOKUP(H:H,'3店'!$B:$B,1,0)</f>
        <v>E03391-BL+E03271</v>
      </c>
      <c r="K16" t="s">
        <v>1132</v>
      </c>
      <c r="L16">
        <v>408</v>
      </c>
      <c r="M16">
        <v>2</v>
      </c>
      <c r="N16">
        <v>0.92</v>
      </c>
      <c r="O16">
        <v>0</v>
      </c>
      <c r="P16">
        <v>0</v>
      </c>
      <c r="Q16" s="31">
        <v>0</v>
      </c>
      <c r="R16" s="31">
        <v>0</v>
      </c>
      <c r="S16" s="1" t="str">
        <f>VLOOKUP(K:K,'3店'!$B:$B,1,0)</f>
        <v>Y3043-BL</v>
      </c>
      <c r="T16" t="s">
        <v>897</v>
      </c>
      <c r="U16">
        <v>9</v>
      </c>
      <c r="V16">
        <v>1</v>
      </c>
      <c r="W16">
        <v>0.45</v>
      </c>
      <c r="X16">
        <v>0</v>
      </c>
      <c r="Y16">
        <v>0</v>
      </c>
      <c r="Z16" s="31">
        <v>0</v>
      </c>
      <c r="AA16" s="31">
        <v>0</v>
      </c>
      <c r="AB16" s="1" t="str">
        <f>VLOOKUP(T:T,'3店'!$B:$B,1,0)</f>
        <v>Y3042-BL</v>
      </c>
      <c r="AC16" t="s">
        <v>828</v>
      </c>
      <c r="AD16">
        <v>10409</v>
      </c>
      <c r="AE16">
        <v>111</v>
      </c>
      <c r="AF16">
        <v>41.3</v>
      </c>
      <c r="AG16">
        <v>196.85</v>
      </c>
      <c r="AH16">
        <v>15</v>
      </c>
      <c r="AI16" s="31">
        <v>0.209804419608839</v>
      </c>
      <c r="AJ16" s="31">
        <v>0.135135135135135</v>
      </c>
      <c r="AK16" s="1" t="str">
        <f>VLOOKUP(AC:AC,'3店'!$B:$B,1,0)</f>
        <v>Y3033-DB+Y3034+Y3035</v>
      </c>
      <c r="AL16" t="s">
        <v>822</v>
      </c>
      <c r="AM16" s="102">
        <v>180.75</v>
      </c>
      <c r="AN16" s="1">
        <f t="shared" si="0"/>
        <v>1238.1375</v>
      </c>
      <c r="AP16" s="29" t="s">
        <v>1064</v>
      </c>
      <c r="AQ16" s="33">
        <v>321.52</v>
      </c>
      <c r="AR16" s="1">
        <f t="shared" si="1"/>
        <v>2202.412</v>
      </c>
      <c r="AT16" s="43" t="s">
        <v>624</v>
      </c>
      <c r="AU16" s="44">
        <v>95.9</v>
      </c>
      <c r="AV16" s="35"/>
      <c r="AW16" s="43" t="s">
        <v>621</v>
      </c>
      <c r="AX16" s="44">
        <v>959</v>
      </c>
      <c r="AZ16" s="160" t="s">
        <v>1089</v>
      </c>
      <c r="BA16" s="127">
        <v>7.648</v>
      </c>
      <c r="BB16" s="1" t="s">
        <v>430</v>
      </c>
    </row>
    <row r="17" spans="2:54">
      <c r="B17" t="s">
        <v>588</v>
      </c>
      <c r="C17">
        <v>8</v>
      </c>
      <c r="D17" s="1" t="str">
        <f>VLOOKUP(B:B,'3店'!$B:$B,1,0)</f>
        <v>E03135-bl</v>
      </c>
      <c r="E17" t="s">
        <v>951</v>
      </c>
      <c r="F17">
        <v>14</v>
      </c>
      <c r="G17" s="1" t="str">
        <f>VLOOKUP(E:E,'3店'!$B:$B,1,0)</f>
        <v>Y3049-BL+Y3050+Y3051</v>
      </c>
      <c r="H17" t="s">
        <v>951</v>
      </c>
      <c r="I17">
        <v>26</v>
      </c>
      <c r="J17" s="1" t="str">
        <f>VLOOKUP(H:H,'3店'!$B:$B,1,0)</f>
        <v>Y3049-BL+Y3050+Y3051</v>
      </c>
      <c r="K17" t="s">
        <v>840</v>
      </c>
      <c r="L17">
        <v>8479</v>
      </c>
      <c r="M17">
        <v>85</v>
      </c>
      <c r="N17">
        <v>31.7</v>
      </c>
      <c r="O17">
        <v>129.9</v>
      </c>
      <c r="P17">
        <v>10</v>
      </c>
      <c r="Q17" s="31">
        <v>0.244033872209392</v>
      </c>
      <c r="R17" s="31">
        <v>0.117647058823529</v>
      </c>
      <c r="S17" s="1" t="str">
        <f>VLOOKUP(K:K,'3店'!$B:$B,1,0)</f>
        <v>Y3025-BL+Y3026</v>
      </c>
      <c r="T17" t="s">
        <v>909</v>
      </c>
      <c r="U17">
        <v>324</v>
      </c>
      <c r="V17">
        <v>4</v>
      </c>
      <c r="W17">
        <v>1.57</v>
      </c>
      <c r="X17">
        <v>0</v>
      </c>
      <c r="Y17">
        <v>0</v>
      </c>
      <c r="Z17" s="31">
        <v>0</v>
      </c>
      <c r="AA17" s="31">
        <v>0</v>
      </c>
      <c r="AB17" s="1" t="str">
        <f>VLOOKUP(T:T,'3店'!$B:$B,1,0)</f>
        <v>Y3044-DK</v>
      </c>
      <c r="AC17" t="s">
        <v>696</v>
      </c>
      <c r="AD17">
        <v>56356</v>
      </c>
      <c r="AE17">
        <v>559</v>
      </c>
      <c r="AF17">
        <v>163.63</v>
      </c>
      <c r="AG17">
        <v>754.41</v>
      </c>
      <c r="AH17">
        <v>56</v>
      </c>
      <c r="AI17" s="31">
        <v>0.21689797325062</v>
      </c>
      <c r="AJ17" s="31">
        <v>0.100178890876565</v>
      </c>
      <c r="AK17" s="1" t="str">
        <f>VLOOKUP(AC:AC,'3店'!$B:$B,1,0)</f>
        <v>Y03507-BL+Y03508+Y03509</v>
      </c>
      <c r="AL17" t="s">
        <v>654</v>
      </c>
      <c r="AM17" s="102">
        <v>128.79</v>
      </c>
      <c r="AN17" s="1">
        <f t="shared" si="0"/>
        <v>882.2115</v>
      </c>
      <c r="AP17" s="29" t="s">
        <v>1235</v>
      </c>
      <c r="AQ17" s="33">
        <v>342.73</v>
      </c>
      <c r="AR17" s="1">
        <f t="shared" si="1"/>
        <v>2347.7005</v>
      </c>
      <c r="AT17" s="43" t="s">
        <v>627</v>
      </c>
      <c r="AU17" s="44">
        <v>602.8</v>
      </c>
      <c r="AV17" s="35"/>
      <c r="AW17" s="43" t="s">
        <v>624</v>
      </c>
      <c r="AX17" s="44">
        <v>219.2</v>
      </c>
      <c r="AZ17" s="160" t="s">
        <v>1092</v>
      </c>
      <c r="BA17" s="127">
        <v>7.648</v>
      </c>
      <c r="BB17" s="1" t="s">
        <v>430</v>
      </c>
    </row>
    <row r="18" spans="2:54">
      <c r="B18" t="s">
        <v>603</v>
      </c>
      <c r="C18">
        <v>21</v>
      </c>
      <c r="D18" s="1" t="str">
        <f>VLOOKUP(B:B,'3店'!$B:$B,1,0)</f>
        <v>E03375-NB+E03380+E03397</v>
      </c>
      <c r="E18" t="s">
        <v>633</v>
      </c>
      <c r="F18">
        <v>17</v>
      </c>
      <c r="G18" s="1" t="str">
        <f>VLOOKUP(E:E,'3店'!$B:$B,1,0)</f>
        <v>E03390-NB+E03240</v>
      </c>
      <c r="H18" t="s">
        <v>633</v>
      </c>
      <c r="I18">
        <v>37</v>
      </c>
      <c r="J18" s="1" t="str">
        <f>VLOOKUP(H:H,'3店'!$B:$B,1,0)</f>
        <v>E03390-NB+E03240</v>
      </c>
      <c r="K18" t="s">
        <v>870</v>
      </c>
      <c r="L18">
        <v>2998</v>
      </c>
      <c r="M18">
        <v>29</v>
      </c>
      <c r="N18">
        <v>11.36</v>
      </c>
      <c r="O18">
        <v>64.95</v>
      </c>
      <c r="P18">
        <v>5</v>
      </c>
      <c r="Q18" s="31">
        <v>0.17490377213241</v>
      </c>
      <c r="R18" s="31">
        <v>0.172413793103448</v>
      </c>
      <c r="S18" s="1" t="str">
        <f>VLOOKUP(K:K,'3店'!$B:$B,1,0)</f>
        <v>Y3029-BL+Y3030</v>
      </c>
      <c r="T18" t="s">
        <v>1132</v>
      </c>
      <c r="U18">
        <v>884</v>
      </c>
      <c r="V18">
        <v>6</v>
      </c>
      <c r="W18">
        <v>3.04</v>
      </c>
      <c r="X18">
        <v>0</v>
      </c>
      <c r="Y18">
        <v>0</v>
      </c>
      <c r="Z18" s="31">
        <v>0</v>
      </c>
      <c r="AA18" s="31">
        <v>0</v>
      </c>
      <c r="AB18" s="1" t="str">
        <f>VLOOKUP(T:T,'3店'!$B:$B,1,0)</f>
        <v>Y3043-BL</v>
      </c>
      <c r="AC18" t="s">
        <v>897</v>
      </c>
      <c r="AD18">
        <v>32</v>
      </c>
      <c r="AE18">
        <v>1</v>
      </c>
      <c r="AF18">
        <v>0.45</v>
      </c>
      <c r="AG18">
        <v>0</v>
      </c>
      <c r="AH18">
        <v>0</v>
      </c>
      <c r="AI18" s="31">
        <v>0</v>
      </c>
      <c r="AJ18" s="31">
        <v>0</v>
      </c>
      <c r="AK18" s="1" t="str">
        <f>VLOOKUP(AC:AC,'3店'!$B:$B,1,0)</f>
        <v>Y3042-BL</v>
      </c>
      <c r="AL18" t="s">
        <v>768</v>
      </c>
      <c r="AM18" s="102">
        <v>155.88</v>
      </c>
      <c r="AN18" s="1">
        <f t="shared" si="0"/>
        <v>1067.778</v>
      </c>
      <c r="AP18" s="29" t="s">
        <v>654</v>
      </c>
      <c r="AQ18" s="33">
        <v>283.66</v>
      </c>
      <c r="AR18" s="1">
        <f t="shared" si="1"/>
        <v>1943.071</v>
      </c>
      <c r="AT18" s="43" t="s">
        <v>630</v>
      </c>
      <c r="AU18" s="44">
        <v>3041.4</v>
      </c>
      <c r="AV18" s="35"/>
      <c r="AW18" s="43" t="s">
        <v>627</v>
      </c>
      <c r="AX18" s="44">
        <v>712.4</v>
      </c>
      <c r="AZ18" s="160" t="s">
        <v>1095</v>
      </c>
      <c r="BA18" s="127">
        <v>7.648</v>
      </c>
      <c r="BB18" s="1" t="s">
        <v>430</v>
      </c>
    </row>
    <row r="19" spans="2:54">
      <c r="B19" t="s">
        <v>756</v>
      </c>
      <c r="C19">
        <v>8</v>
      </c>
      <c r="D19" s="1" t="str">
        <f>VLOOKUP(B:B,'3店'!$B:$B,1,0)</f>
        <v>Y3013-TG+Y3014</v>
      </c>
      <c r="E19" t="s">
        <v>666</v>
      </c>
      <c r="F19">
        <v>13</v>
      </c>
      <c r="G19" s="1" t="str">
        <f>VLOOKUP(E:E,'3店'!$B:$B,1,0)</f>
        <v>Y03451-BL+Y03478</v>
      </c>
      <c r="H19" t="s">
        <v>666</v>
      </c>
      <c r="I19">
        <v>15</v>
      </c>
      <c r="J19" s="1" t="str">
        <f>VLOOKUP(H:H,'3店'!$B:$B,1,0)</f>
        <v>Y03451-BL+Y03478</v>
      </c>
      <c r="K19" t="s">
        <v>861</v>
      </c>
      <c r="L19">
        <v>2440</v>
      </c>
      <c r="M19">
        <v>27</v>
      </c>
      <c r="N19">
        <v>8.29</v>
      </c>
      <c r="O19">
        <v>12.99</v>
      </c>
      <c r="P19">
        <v>1</v>
      </c>
      <c r="Q19" s="31">
        <v>0.638183217859892</v>
      </c>
      <c r="R19" s="31">
        <v>0.037037037037037</v>
      </c>
      <c r="S19" s="1" t="str">
        <f>VLOOKUP(K:K,'3店'!$B:$B,1,0)</f>
        <v>Y3027-BL+Y3028</v>
      </c>
      <c r="T19" t="s">
        <v>840</v>
      </c>
      <c r="U19">
        <v>22025</v>
      </c>
      <c r="V19">
        <v>208</v>
      </c>
      <c r="W19">
        <v>79.47</v>
      </c>
      <c r="X19">
        <v>325.74</v>
      </c>
      <c r="Y19">
        <v>26</v>
      </c>
      <c r="Z19" s="31">
        <v>0.243967581506723</v>
      </c>
      <c r="AA19" s="31">
        <v>0.125</v>
      </c>
      <c r="AB19" s="1" t="str">
        <f>VLOOKUP(T:T,'3店'!$B:$B,1,0)</f>
        <v>Y3025-BL+Y3026</v>
      </c>
      <c r="AC19" t="s">
        <v>909</v>
      </c>
      <c r="AD19">
        <v>1071</v>
      </c>
      <c r="AE19">
        <v>23</v>
      </c>
      <c r="AF19">
        <v>9.15</v>
      </c>
      <c r="AG19">
        <v>17.98</v>
      </c>
      <c r="AH19">
        <v>2</v>
      </c>
      <c r="AI19" s="31">
        <v>0.508898776418243</v>
      </c>
      <c r="AJ19" s="31">
        <v>0.0869565217391304</v>
      </c>
      <c r="AK19" s="1" t="str">
        <f>VLOOKUP(AC:AC,'3店'!$B:$B,1,0)</f>
        <v>Y3044-DK</v>
      </c>
      <c r="AL19" t="s">
        <v>1064</v>
      </c>
      <c r="AM19" s="102">
        <v>127.68</v>
      </c>
      <c r="AN19" s="1">
        <f t="shared" si="0"/>
        <v>874.608</v>
      </c>
      <c r="AP19" s="29" t="s">
        <v>588</v>
      </c>
      <c r="AQ19" s="33">
        <v>289.66</v>
      </c>
      <c r="AR19" s="1">
        <f t="shared" si="1"/>
        <v>1984.171</v>
      </c>
      <c r="AT19" s="43" t="s">
        <v>633</v>
      </c>
      <c r="AU19" s="44">
        <v>685</v>
      </c>
      <c r="AV19" s="35"/>
      <c r="AW19" s="43" t="s">
        <v>630</v>
      </c>
      <c r="AX19" s="44">
        <v>1616.6</v>
      </c>
      <c r="AZ19" s="160" t="s">
        <v>588</v>
      </c>
      <c r="BA19" s="127">
        <v>4.935</v>
      </c>
      <c r="BB19" s="1" t="s">
        <v>430</v>
      </c>
    </row>
    <row r="20" spans="2:54">
      <c r="B20" t="s">
        <v>621</v>
      </c>
      <c r="C20">
        <v>4</v>
      </c>
      <c r="D20" s="1" t="str">
        <f>VLOOKUP(B:B,'3店'!$B:$B,1,0)</f>
        <v>E03388-BL+E03267</v>
      </c>
      <c r="E20" t="s">
        <v>1064</v>
      </c>
      <c r="F20">
        <v>26</v>
      </c>
      <c r="G20" s="1" t="str">
        <f>VLOOKUP(E:E,'3店'!$B:$B,1,0)</f>
        <v>Y3074-BL</v>
      </c>
      <c r="H20" t="s">
        <v>1064</v>
      </c>
      <c r="I20">
        <v>59</v>
      </c>
      <c r="J20" s="1" t="str">
        <f>VLOOKUP(H:H,'3店'!$B:$B,1,0)</f>
        <v>Y3074-BL</v>
      </c>
      <c r="K20" t="s">
        <v>663</v>
      </c>
      <c r="L20">
        <v>1979</v>
      </c>
      <c r="M20">
        <v>6</v>
      </c>
      <c r="N20">
        <v>1.69</v>
      </c>
      <c r="O20">
        <v>12.99</v>
      </c>
      <c r="P20">
        <v>1</v>
      </c>
      <c r="Q20" s="31">
        <v>0.130100076982294</v>
      </c>
      <c r="R20" s="31">
        <v>0.166666666666667</v>
      </c>
      <c r="S20" s="1" t="str">
        <f>VLOOKUP(K:K,'3店'!$B:$B,1,0)</f>
        <v>Y03450-NB+Y03477</v>
      </c>
      <c r="T20" t="s">
        <v>870</v>
      </c>
      <c r="U20">
        <v>7673</v>
      </c>
      <c r="V20">
        <v>75</v>
      </c>
      <c r="W20">
        <v>30.97</v>
      </c>
      <c r="X20">
        <v>125.9</v>
      </c>
      <c r="Y20">
        <v>10</v>
      </c>
      <c r="Z20" s="31">
        <v>0.245988880063542</v>
      </c>
      <c r="AA20" s="31">
        <v>0.133333333333333</v>
      </c>
      <c r="AB20" s="1" t="str">
        <f>VLOOKUP(T:T,'3店'!$B:$B,1,0)</f>
        <v>Y3029-BL+Y3030</v>
      </c>
      <c r="AC20" t="s">
        <v>1132</v>
      </c>
      <c r="AD20">
        <v>1356</v>
      </c>
      <c r="AE20">
        <v>11</v>
      </c>
      <c r="AF20">
        <v>5.94</v>
      </c>
      <c r="AG20">
        <v>0</v>
      </c>
      <c r="AH20">
        <v>0</v>
      </c>
      <c r="AI20" s="31">
        <v>0</v>
      </c>
      <c r="AJ20" s="31">
        <v>0</v>
      </c>
      <c r="AK20" s="1" t="str">
        <f>VLOOKUP(AC:AC,'3店'!$B:$B,1,0)</f>
        <v>Y3043-BL</v>
      </c>
      <c r="AL20" t="s">
        <v>702</v>
      </c>
      <c r="AM20" s="102">
        <v>102.81</v>
      </c>
      <c r="AN20" s="1">
        <f t="shared" si="0"/>
        <v>704.2485</v>
      </c>
      <c r="AP20" s="29" t="s">
        <v>822</v>
      </c>
      <c r="AQ20" s="33">
        <v>276.67</v>
      </c>
      <c r="AR20" s="1">
        <f t="shared" si="1"/>
        <v>1895.1895</v>
      </c>
      <c r="AT20" s="43" t="s">
        <v>636</v>
      </c>
      <c r="AU20" s="44">
        <v>369.9</v>
      </c>
      <c r="AV20" s="35"/>
      <c r="AW20" s="43" t="s">
        <v>633</v>
      </c>
      <c r="AX20" s="44">
        <v>671.3</v>
      </c>
      <c r="AZ20" s="160" t="s">
        <v>591</v>
      </c>
      <c r="BA20" s="127">
        <v>6.414</v>
      </c>
      <c r="BB20" s="1" t="s">
        <v>430</v>
      </c>
    </row>
    <row r="21" spans="2:54">
      <c r="B21" t="s">
        <v>633</v>
      </c>
      <c r="C21">
        <v>7</v>
      </c>
      <c r="D21" s="1" t="str">
        <f>VLOOKUP(B:B,'3店'!$B:$B,1,0)</f>
        <v>E03390-NB+E03240</v>
      </c>
      <c r="E21" t="s">
        <v>621</v>
      </c>
      <c r="F21">
        <v>9</v>
      </c>
      <c r="G21" s="1" t="str">
        <f>VLOOKUP(E:E,'3店'!$B:$B,1,0)</f>
        <v>E03388-BL+E03267</v>
      </c>
      <c r="H21" t="s">
        <v>621</v>
      </c>
      <c r="I21">
        <v>21</v>
      </c>
      <c r="J21" s="1" t="str">
        <f>VLOOKUP(H:H,'3店'!$B:$B,1,0)</f>
        <v>E03388-BL+E03267</v>
      </c>
      <c r="K21" t="s">
        <v>930</v>
      </c>
      <c r="L21">
        <v>1222</v>
      </c>
      <c r="M21">
        <v>15</v>
      </c>
      <c r="N21">
        <v>5.44</v>
      </c>
      <c r="O21">
        <v>0</v>
      </c>
      <c r="P21">
        <v>0</v>
      </c>
      <c r="Q21" s="31">
        <v>0</v>
      </c>
      <c r="R21" s="31">
        <v>0</v>
      </c>
      <c r="S21" s="1" t="str">
        <f>VLOOKUP(K:K,'3店'!$B:$B,1,0)</f>
        <v>Y3036-BL</v>
      </c>
      <c r="T21" t="s">
        <v>861</v>
      </c>
      <c r="U21">
        <v>5064</v>
      </c>
      <c r="V21">
        <v>47</v>
      </c>
      <c r="W21">
        <v>14.85</v>
      </c>
      <c r="X21">
        <v>12.99</v>
      </c>
      <c r="Y21">
        <v>1</v>
      </c>
      <c r="Z21" s="31">
        <v>1.1431870669746</v>
      </c>
      <c r="AA21" s="31">
        <v>0.0212765957446809</v>
      </c>
      <c r="AB21" s="1" t="str">
        <f>VLOOKUP(T:T,'3店'!$B:$B,1,0)</f>
        <v>Y3027-BL+Y3028</v>
      </c>
      <c r="AC21" t="s">
        <v>840</v>
      </c>
      <c r="AD21">
        <v>40122</v>
      </c>
      <c r="AE21">
        <v>374</v>
      </c>
      <c r="AF21">
        <v>143.52</v>
      </c>
      <c r="AG21">
        <v>598.53</v>
      </c>
      <c r="AH21">
        <v>46</v>
      </c>
      <c r="AI21" s="31">
        <v>0.239787479324345</v>
      </c>
      <c r="AJ21" s="31">
        <v>0.122994652406417</v>
      </c>
      <c r="AK21" s="1" t="str">
        <f>VLOOKUP(AC:AC,'3店'!$B:$B,1,0)</f>
        <v>Y3025-BL+Y3026</v>
      </c>
      <c r="AL21" t="s">
        <v>717</v>
      </c>
      <c r="AM21" s="102">
        <v>116.91</v>
      </c>
      <c r="AN21" s="1">
        <f t="shared" si="0"/>
        <v>800.8335</v>
      </c>
      <c r="AP21" s="29" t="s">
        <v>729</v>
      </c>
      <c r="AQ21" s="33">
        <v>249.8</v>
      </c>
      <c r="AR21" s="1">
        <f t="shared" si="1"/>
        <v>1711.13</v>
      </c>
      <c r="AT21" s="43" t="s">
        <v>639</v>
      </c>
      <c r="AU21" s="44">
        <v>2770.341</v>
      </c>
      <c r="AV21" s="35"/>
      <c r="AW21" s="43" t="s">
        <v>636</v>
      </c>
      <c r="AX21" s="44">
        <v>246.6</v>
      </c>
      <c r="AZ21" s="160" t="s">
        <v>594</v>
      </c>
      <c r="BA21" s="127">
        <v>4.431</v>
      </c>
      <c r="BB21" s="1" t="s">
        <v>430</v>
      </c>
    </row>
    <row r="22" spans="2:54">
      <c r="B22" t="s">
        <v>666</v>
      </c>
      <c r="C22">
        <v>6</v>
      </c>
      <c r="D22" s="1" t="str">
        <f>VLOOKUP(B:B,'3店'!$B:$B,1,0)</f>
        <v>Y03451-BL+Y03478</v>
      </c>
      <c r="E22" t="s">
        <v>759</v>
      </c>
      <c r="F22">
        <v>12</v>
      </c>
      <c r="G22" s="1" t="str">
        <f>VLOOKUP(E:E,'3店'!$B:$B,1,0)</f>
        <v>Y3015-BL+Y3016+Y3017</v>
      </c>
      <c r="H22" t="s">
        <v>759</v>
      </c>
      <c r="I22">
        <v>35</v>
      </c>
      <c r="J22" s="1" t="str">
        <f>VLOOKUP(H:H,'3店'!$B:$B,1,0)</f>
        <v>Y3015-BL+Y3016+Y3017</v>
      </c>
      <c r="K22" t="s">
        <v>951</v>
      </c>
      <c r="L22">
        <v>9300</v>
      </c>
      <c r="M22">
        <v>97</v>
      </c>
      <c r="N22">
        <v>37.66</v>
      </c>
      <c r="O22">
        <v>155.88</v>
      </c>
      <c r="P22">
        <v>11</v>
      </c>
      <c r="Q22" s="31">
        <v>0.241596099563767</v>
      </c>
      <c r="R22" s="31">
        <v>0.11340206185567</v>
      </c>
      <c r="S22" s="1" t="str">
        <f>VLOOKUP(K:K,'3店'!$B:$B,1,0)</f>
        <v>Y3049-BL+Y3050+Y3051</v>
      </c>
      <c r="T22" t="s">
        <v>663</v>
      </c>
      <c r="U22">
        <v>4203</v>
      </c>
      <c r="V22">
        <v>12</v>
      </c>
      <c r="W22">
        <v>3.27</v>
      </c>
      <c r="X22">
        <v>12.99</v>
      </c>
      <c r="Y22">
        <v>1</v>
      </c>
      <c r="Z22" s="31">
        <v>0.251732101616628</v>
      </c>
      <c r="AA22" s="31">
        <v>0.0833333333333333</v>
      </c>
      <c r="AB22" s="1" t="str">
        <f>VLOOKUP(T:T,'3店'!$B:$B,1,0)</f>
        <v>Y03450-NB+Y03477</v>
      </c>
      <c r="AC22" t="s">
        <v>1282</v>
      </c>
      <c r="AD22">
        <v>3225</v>
      </c>
      <c r="AE22">
        <v>33</v>
      </c>
      <c r="AF22">
        <v>13.47</v>
      </c>
      <c r="AG22">
        <v>64.95</v>
      </c>
      <c r="AH22">
        <v>3</v>
      </c>
      <c r="AI22" s="31">
        <v>0.207390300230947</v>
      </c>
      <c r="AJ22" s="31">
        <v>0.0909090909090909</v>
      </c>
      <c r="AK22" s="1" t="e">
        <f>VLOOKUP(AC:AC,'3店'!$B:$B,1,0)</f>
        <v>#N/A</v>
      </c>
      <c r="AL22" t="s">
        <v>951</v>
      </c>
      <c r="AM22" s="102">
        <v>115.8</v>
      </c>
      <c r="AN22" s="1">
        <f t="shared" si="0"/>
        <v>793.23</v>
      </c>
      <c r="AP22" s="29" t="s">
        <v>756</v>
      </c>
      <c r="AQ22" s="33">
        <v>251.8</v>
      </c>
      <c r="AR22" s="1">
        <f t="shared" si="1"/>
        <v>1724.83</v>
      </c>
      <c r="AT22" s="43" t="s">
        <v>642</v>
      </c>
      <c r="AU22" s="44">
        <v>1520.7</v>
      </c>
      <c r="AV22" s="35"/>
      <c r="AW22" s="43" t="s">
        <v>639</v>
      </c>
      <c r="AX22" s="44">
        <v>2101.638</v>
      </c>
      <c r="AZ22" s="160" t="s">
        <v>1049</v>
      </c>
      <c r="BA22" s="127">
        <v>4.935</v>
      </c>
      <c r="BB22" s="1" t="s">
        <v>430</v>
      </c>
    </row>
    <row r="23" spans="2:54">
      <c r="B23" t="s">
        <v>768</v>
      </c>
      <c r="C23">
        <v>12</v>
      </c>
      <c r="D23" s="1" t="str">
        <f>VLOOKUP(B:B,'3店'!$B:$B,1,0)</f>
        <v>Y3018-BL+Y3019</v>
      </c>
      <c r="E23" t="s">
        <v>768</v>
      </c>
      <c r="F23">
        <v>22</v>
      </c>
      <c r="G23" s="1" t="str">
        <f>VLOOKUP(E:E,'3店'!$B:$B,1,0)</f>
        <v>Y3018-BL+Y3019</v>
      </c>
      <c r="H23" t="s">
        <v>768</v>
      </c>
      <c r="I23">
        <v>42</v>
      </c>
      <c r="J23" s="1" t="str">
        <f>VLOOKUP(H:H,'3店'!$B:$B,1,0)</f>
        <v>Y3018-BL+Y3019</v>
      </c>
      <c r="K23" t="s">
        <v>966</v>
      </c>
      <c r="L23">
        <v>7387</v>
      </c>
      <c r="M23">
        <v>35</v>
      </c>
      <c r="N23">
        <v>13.55</v>
      </c>
      <c r="O23">
        <v>0</v>
      </c>
      <c r="P23">
        <v>0</v>
      </c>
      <c r="Q23" s="31">
        <v>0</v>
      </c>
      <c r="R23" s="31">
        <v>0</v>
      </c>
      <c r="S23" s="1" t="str">
        <f>VLOOKUP(K:K,'3店'!$B:$B,1,0)</f>
        <v>Y3046-BL+Y3047+Y3048</v>
      </c>
      <c r="T23" t="s">
        <v>930</v>
      </c>
      <c r="U23">
        <v>2868</v>
      </c>
      <c r="V23">
        <v>34</v>
      </c>
      <c r="W23">
        <v>12.57</v>
      </c>
      <c r="X23">
        <v>36.97</v>
      </c>
      <c r="Y23">
        <v>3</v>
      </c>
      <c r="Z23" s="31">
        <v>0.340005409791723</v>
      </c>
      <c r="AA23" s="31">
        <v>0.0882352941176471</v>
      </c>
      <c r="AB23" s="1" t="str">
        <f>VLOOKUP(T:T,'3店'!$B:$B,1,0)</f>
        <v>Y3036-BL</v>
      </c>
      <c r="AC23" t="s">
        <v>870</v>
      </c>
      <c r="AD23">
        <v>15604</v>
      </c>
      <c r="AE23">
        <v>168</v>
      </c>
      <c r="AF23">
        <v>69.39</v>
      </c>
      <c r="AG23">
        <v>242.81</v>
      </c>
      <c r="AH23">
        <v>19</v>
      </c>
      <c r="AI23" s="31">
        <v>0.285779004159631</v>
      </c>
      <c r="AJ23" s="31">
        <v>0.113095238095238</v>
      </c>
      <c r="AK23" s="1" t="str">
        <f>VLOOKUP(AC:AC,'3店'!$B:$B,1,0)</f>
        <v>Y3029-BL+Y3030</v>
      </c>
      <c r="AL23" t="s">
        <v>588</v>
      </c>
      <c r="AM23" s="102">
        <v>102.81</v>
      </c>
      <c r="AN23" s="1">
        <f t="shared" si="0"/>
        <v>704.2485</v>
      </c>
      <c r="AP23" s="29" t="s">
        <v>600</v>
      </c>
      <c r="AQ23" s="33">
        <v>299.76</v>
      </c>
      <c r="AR23" s="1">
        <f t="shared" si="1"/>
        <v>2053.356</v>
      </c>
      <c r="AT23" s="43" t="s">
        <v>645</v>
      </c>
      <c r="AU23" s="44">
        <v>260.3</v>
      </c>
      <c r="AV23" s="35"/>
      <c r="AW23" s="43" t="s">
        <v>642</v>
      </c>
      <c r="AX23" s="44">
        <v>465.8</v>
      </c>
      <c r="AZ23" s="160" t="s">
        <v>1052</v>
      </c>
      <c r="BA23" s="127">
        <v>7.844</v>
      </c>
      <c r="BB23" s="1" t="s">
        <v>430</v>
      </c>
    </row>
    <row r="24" spans="2:54">
      <c r="B24" t="s">
        <v>1064</v>
      </c>
      <c r="C24">
        <v>10</v>
      </c>
      <c r="D24" s="1" t="str">
        <f>VLOOKUP(B:B,'3店'!$B:$B,1,0)</f>
        <v>Y3074-BL</v>
      </c>
      <c r="E24" t="s">
        <v>747</v>
      </c>
      <c r="F24">
        <v>13</v>
      </c>
      <c r="G24" s="1" t="str">
        <f>VLOOKUP(E:E,'3店'!$B:$B,1,0)</f>
        <v>Y3013-DG+Y3014</v>
      </c>
      <c r="H24" t="s">
        <v>747</v>
      </c>
      <c r="I24">
        <v>30</v>
      </c>
      <c r="J24" s="1" t="str">
        <f>VLOOKUP(H:H,'3店'!$B:$B,1,0)</f>
        <v>Y3013-DG+Y3014</v>
      </c>
      <c r="K24" t="s">
        <v>717</v>
      </c>
      <c r="L24">
        <v>6876</v>
      </c>
      <c r="M24">
        <v>58</v>
      </c>
      <c r="N24">
        <v>22.04</v>
      </c>
      <c r="O24">
        <v>51.96</v>
      </c>
      <c r="P24">
        <v>4</v>
      </c>
      <c r="Q24" s="31">
        <v>0.424172440338722</v>
      </c>
      <c r="R24" s="31">
        <v>0.0689655172413793</v>
      </c>
      <c r="S24" s="1" t="str">
        <f>VLOOKUP(K:K,'3店'!$B:$B,1,0)</f>
        <v>Y03564-BL+Y03565+Y03566</v>
      </c>
      <c r="T24" t="s">
        <v>951</v>
      </c>
      <c r="U24">
        <v>17352</v>
      </c>
      <c r="V24">
        <v>171</v>
      </c>
      <c r="W24">
        <v>66.25</v>
      </c>
      <c r="X24">
        <v>260.58</v>
      </c>
      <c r="Y24">
        <v>19</v>
      </c>
      <c r="Z24" s="31">
        <v>0.254240540333103</v>
      </c>
      <c r="AA24" s="31">
        <v>0.111111111111111</v>
      </c>
      <c r="AB24" s="1" t="str">
        <f>VLOOKUP(T:T,'3店'!$B:$B,1,0)</f>
        <v>Y3049-BL+Y3050+Y3051</v>
      </c>
      <c r="AC24" t="s">
        <v>861</v>
      </c>
      <c r="AD24">
        <v>11140</v>
      </c>
      <c r="AE24">
        <v>103</v>
      </c>
      <c r="AF24">
        <v>32</v>
      </c>
      <c r="AG24">
        <v>24.98</v>
      </c>
      <c r="AH24">
        <v>3</v>
      </c>
      <c r="AI24" s="31">
        <v>1.28102481985588</v>
      </c>
      <c r="AJ24" s="31">
        <v>0.029126213592233</v>
      </c>
      <c r="AK24" s="1" t="str">
        <f>VLOOKUP(AC:AC,'3店'!$B:$B,1,0)</f>
        <v>Y3027-BL+Y3028</v>
      </c>
      <c r="AL24" t="s">
        <v>600</v>
      </c>
      <c r="AM24" s="102">
        <v>155.88</v>
      </c>
      <c r="AN24" s="1">
        <f t="shared" si="0"/>
        <v>1067.778</v>
      </c>
      <c r="AP24" s="29" t="s">
        <v>768</v>
      </c>
      <c r="AQ24" s="33">
        <v>280.67</v>
      </c>
      <c r="AR24" s="1">
        <f t="shared" si="1"/>
        <v>1922.5895</v>
      </c>
      <c r="AT24" s="45" t="s">
        <v>648</v>
      </c>
      <c r="AU24" s="44">
        <v>2616.7</v>
      </c>
      <c r="AV24" s="35"/>
      <c r="AW24" s="43" t="s">
        <v>645</v>
      </c>
      <c r="AX24" s="44">
        <v>260.3</v>
      </c>
      <c r="AZ24" s="160" t="s">
        <v>1055</v>
      </c>
      <c r="BA24" s="127">
        <v>4.174</v>
      </c>
      <c r="BB24" s="1" t="s">
        <v>430</v>
      </c>
    </row>
    <row r="25" spans="2:54">
      <c r="B25" t="s">
        <v>759</v>
      </c>
      <c r="C25">
        <v>1</v>
      </c>
      <c r="D25" s="1" t="str">
        <f>VLOOKUP(B:B,'3店'!$B:$B,1,0)</f>
        <v>Y3015-BL+Y3016+Y3017</v>
      </c>
      <c r="E25" t="s">
        <v>756</v>
      </c>
      <c r="F25">
        <v>20</v>
      </c>
      <c r="G25" s="1" t="str">
        <f>VLOOKUP(E:E,'3店'!$B:$B,1,0)</f>
        <v>Y3013-TG+Y3014</v>
      </c>
      <c r="H25" t="s">
        <v>756</v>
      </c>
      <c r="I25">
        <v>36</v>
      </c>
      <c r="J25" s="1" t="str">
        <f>VLOOKUP(H:H,'3店'!$B:$B,1,0)</f>
        <v>Y3013-TG+Y3014</v>
      </c>
      <c r="K25" t="s">
        <v>828</v>
      </c>
      <c r="L25">
        <v>2440</v>
      </c>
      <c r="M25">
        <v>26</v>
      </c>
      <c r="N25">
        <v>9.25</v>
      </c>
      <c r="O25">
        <v>12.99</v>
      </c>
      <c r="P25">
        <v>1</v>
      </c>
      <c r="Q25" s="31">
        <v>0.712086220169361</v>
      </c>
      <c r="R25" s="31">
        <v>0.0384615384615385</v>
      </c>
      <c r="S25" s="1" t="str">
        <f>VLOOKUP(K:K,'3店'!$B:$B,1,0)</f>
        <v>Y3033-DB+Y3034+Y3035</v>
      </c>
      <c r="T25" t="s">
        <v>966</v>
      </c>
      <c r="U25">
        <v>18011</v>
      </c>
      <c r="V25">
        <v>83</v>
      </c>
      <c r="W25">
        <v>31.99</v>
      </c>
      <c r="X25">
        <v>34.97</v>
      </c>
      <c r="Y25">
        <v>3</v>
      </c>
      <c r="Z25" s="31">
        <v>0.914784100657707</v>
      </c>
      <c r="AA25" s="31">
        <v>0.036144578313253</v>
      </c>
      <c r="AB25" s="1" t="str">
        <f>VLOOKUP(T:T,'3店'!$B:$B,1,0)</f>
        <v>Y3046-BL+Y3047+Y3048</v>
      </c>
      <c r="AC25" t="s">
        <v>663</v>
      </c>
      <c r="AD25">
        <v>7292</v>
      </c>
      <c r="AE25">
        <v>21</v>
      </c>
      <c r="AF25">
        <v>5.75</v>
      </c>
      <c r="AG25">
        <v>61.95</v>
      </c>
      <c r="AH25">
        <v>5</v>
      </c>
      <c r="AI25" s="31">
        <v>0.092816787732042</v>
      </c>
      <c r="AJ25" s="31">
        <v>0.238095238095238</v>
      </c>
      <c r="AK25" s="1" t="str">
        <f>VLOOKUP(AC:AC,'3店'!$B:$B,1,0)</f>
        <v>Y03450-NB+Y03477</v>
      </c>
      <c r="AL25" t="s">
        <v>756</v>
      </c>
      <c r="AM25" s="102">
        <v>103.92</v>
      </c>
      <c r="AN25" s="1">
        <f t="shared" si="0"/>
        <v>711.852</v>
      </c>
      <c r="AP25" s="29" t="s">
        <v>870</v>
      </c>
      <c r="AQ25" s="33">
        <v>236.81</v>
      </c>
      <c r="AR25" s="1">
        <f t="shared" si="1"/>
        <v>1622.1485</v>
      </c>
      <c r="AT25" s="45" t="s">
        <v>651</v>
      </c>
      <c r="AU25" s="44">
        <v>123.3</v>
      </c>
      <c r="AV25" s="35"/>
      <c r="AW25" s="43" t="s">
        <v>648</v>
      </c>
      <c r="AX25" s="44">
        <v>4397.7</v>
      </c>
      <c r="AZ25" s="160" t="s">
        <v>1058</v>
      </c>
      <c r="BA25" s="127">
        <v>4.628</v>
      </c>
      <c r="BB25" s="1" t="s">
        <v>430</v>
      </c>
    </row>
    <row r="26" spans="2:54">
      <c r="B26" t="s">
        <v>870</v>
      </c>
      <c r="C26">
        <v>6</v>
      </c>
      <c r="D26" s="1" t="str">
        <f>VLOOKUP(B:B,'3店'!$B:$B,1,0)</f>
        <v>Y3029-BL+Y3030</v>
      </c>
      <c r="E26" t="s">
        <v>840</v>
      </c>
      <c r="F26">
        <v>52</v>
      </c>
      <c r="G26" s="1" t="str">
        <f>VLOOKUP(E:E,'3店'!$B:$B,1,0)</f>
        <v>Y3025-BL+Y3026</v>
      </c>
      <c r="H26" t="s">
        <v>840</v>
      </c>
      <c r="I26">
        <v>85</v>
      </c>
      <c r="J26" s="1" t="str">
        <f>VLOOKUP(H:H,'3店'!$B:$B,1,0)</f>
        <v>Y3025-BL+Y3026</v>
      </c>
      <c r="K26" t="s">
        <v>995</v>
      </c>
      <c r="L26">
        <v>3510</v>
      </c>
      <c r="M26">
        <v>30</v>
      </c>
      <c r="N26">
        <v>11.09</v>
      </c>
      <c r="O26">
        <v>77.94</v>
      </c>
      <c r="P26">
        <v>6</v>
      </c>
      <c r="Q26" s="31">
        <v>0.142288940210418</v>
      </c>
      <c r="R26" s="31">
        <v>0.2</v>
      </c>
      <c r="S26" s="1" t="str">
        <f>VLOOKUP(K:K,'3店'!$B:$B,1,0)</f>
        <v>Y3060-BL+Y3061+Y3062</v>
      </c>
      <c r="T26" t="s">
        <v>717</v>
      </c>
      <c r="U26">
        <v>18595</v>
      </c>
      <c r="V26">
        <v>128</v>
      </c>
      <c r="W26">
        <v>46.36</v>
      </c>
      <c r="X26">
        <v>136.89</v>
      </c>
      <c r="Y26">
        <v>11</v>
      </c>
      <c r="Z26" s="31">
        <v>0.338666082255826</v>
      </c>
      <c r="AA26" s="31">
        <v>0.0859375</v>
      </c>
      <c r="AB26" s="1" t="str">
        <f>VLOOKUP(T:T,'3店'!$B:$B,1,0)</f>
        <v>Y03564-BL+Y03565+Y03566</v>
      </c>
      <c r="AC26" t="s">
        <v>666</v>
      </c>
      <c r="AD26">
        <v>165</v>
      </c>
      <c r="AE26">
        <v>3</v>
      </c>
      <c r="AF26">
        <v>0.85</v>
      </c>
      <c r="AG26">
        <v>0</v>
      </c>
      <c r="AH26">
        <v>0</v>
      </c>
      <c r="AI26" s="31">
        <v>0</v>
      </c>
      <c r="AJ26" s="31">
        <v>0</v>
      </c>
      <c r="AK26" s="1" t="str">
        <f>VLOOKUP(AC:AC,'3店'!$B:$B,1,0)</f>
        <v>Y03451-BL+Y03478</v>
      </c>
      <c r="AL26" t="s">
        <v>1007</v>
      </c>
      <c r="AM26" s="102">
        <v>103.92</v>
      </c>
      <c r="AN26" s="1">
        <f t="shared" si="0"/>
        <v>711.852</v>
      </c>
      <c r="AP26" s="29" t="s">
        <v>633</v>
      </c>
      <c r="AQ26" s="33">
        <v>219.72</v>
      </c>
      <c r="AR26" s="1">
        <f t="shared" si="1"/>
        <v>1505.082</v>
      </c>
      <c r="AT26" s="45" t="s">
        <v>654</v>
      </c>
      <c r="AU26" s="44">
        <v>931.6</v>
      </c>
      <c r="AV26" s="35"/>
      <c r="AW26" s="43" t="s">
        <v>651</v>
      </c>
      <c r="AX26" s="44">
        <v>863.1</v>
      </c>
      <c r="AZ26" s="160" t="s">
        <v>1061</v>
      </c>
      <c r="BA26" s="127">
        <v>6.815</v>
      </c>
      <c r="BB26" s="1" t="s">
        <v>430</v>
      </c>
    </row>
    <row r="27" spans="2:54">
      <c r="B27" t="s">
        <v>702</v>
      </c>
      <c r="C27">
        <v>9</v>
      </c>
      <c r="D27" s="1" t="str">
        <f>VLOOKUP(B:B,'3店'!$B:$B,1,0)</f>
        <v>Y03507-NB+Y03508+Y03509</v>
      </c>
      <c r="E27" t="s">
        <v>588</v>
      </c>
      <c r="F27">
        <v>23</v>
      </c>
      <c r="G27" s="1" t="str">
        <f>VLOOKUP(E:E,'3店'!$B:$B,1,0)</f>
        <v>E03135-bl</v>
      </c>
      <c r="H27" t="s">
        <v>588</v>
      </c>
      <c r="I27">
        <v>39</v>
      </c>
      <c r="J27" s="1" t="str">
        <f>VLOOKUP(H:H,'3店'!$B:$B,1,0)</f>
        <v>E03135-bl</v>
      </c>
      <c r="K27" t="s">
        <v>989</v>
      </c>
      <c r="L27">
        <v>396</v>
      </c>
      <c r="M27">
        <v>0</v>
      </c>
      <c r="N27">
        <v>0</v>
      </c>
      <c r="O27">
        <v>0</v>
      </c>
      <c r="P27">
        <v>0</v>
      </c>
      <c r="Q27" s="31">
        <v>0</v>
      </c>
      <c r="R27" s="31">
        <v>0</v>
      </c>
      <c r="S27" s="1" t="str">
        <f>VLOOKUP(K:K,'3店'!$B:$B,1,0)</f>
        <v>Y3052-NB+Y3053</v>
      </c>
      <c r="T27" t="s">
        <v>828</v>
      </c>
      <c r="U27">
        <v>5774</v>
      </c>
      <c r="V27">
        <v>60</v>
      </c>
      <c r="W27">
        <v>21.98</v>
      </c>
      <c r="X27">
        <v>92.93</v>
      </c>
      <c r="Y27">
        <v>7</v>
      </c>
      <c r="Z27" s="31">
        <v>0.236522113418702</v>
      </c>
      <c r="AA27" s="31">
        <v>0.116666666666667</v>
      </c>
      <c r="AB27" s="1" t="str">
        <f>VLOOKUP(T:T,'3店'!$B:$B,1,0)</f>
        <v>Y3033-DB+Y3034+Y3035</v>
      </c>
      <c r="AC27" t="s">
        <v>930</v>
      </c>
      <c r="AD27">
        <v>6635</v>
      </c>
      <c r="AE27">
        <v>75</v>
      </c>
      <c r="AF27">
        <v>27.53</v>
      </c>
      <c r="AG27">
        <v>88.93</v>
      </c>
      <c r="AH27">
        <v>7</v>
      </c>
      <c r="AI27" s="31">
        <v>0.309569324187563</v>
      </c>
      <c r="AJ27" s="31">
        <v>0.0933333333333333</v>
      </c>
      <c r="AK27" s="1" t="str">
        <f>VLOOKUP(AC:AC,'3店'!$B:$B,1,0)</f>
        <v>Y3036-BL</v>
      </c>
      <c r="AL27" t="s">
        <v>1235</v>
      </c>
      <c r="AM27" s="102">
        <v>103.92</v>
      </c>
      <c r="AN27" s="1">
        <f t="shared" si="0"/>
        <v>711.852</v>
      </c>
      <c r="AP27" s="29" t="s">
        <v>702</v>
      </c>
      <c r="AQ27" s="33">
        <v>193.74</v>
      </c>
      <c r="AR27" s="1">
        <f t="shared" si="1"/>
        <v>1327.119</v>
      </c>
      <c r="AT27" s="45" t="s">
        <v>657</v>
      </c>
      <c r="AU27" s="44">
        <v>712.4</v>
      </c>
      <c r="AV27" s="35"/>
      <c r="AW27" s="43" t="s">
        <v>654</v>
      </c>
      <c r="AX27" s="44">
        <v>1315.2</v>
      </c>
      <c r="AZ27" s="160" t="s">
        <v>597</v>
      </c>
      <c r="BA27" s="127">
        <v>4.383</v>
      </c>
      <c r="BB27" s="1" t="s">
        <v>430</v>
      </c>
    </row>
    <row r="28" spans="2:54">
      <c r="B28" t="s">
        <v>609</v>
      </c>
      <c r="C28">
        <v>5</v>
      </c>
      <c r="D28" s="1" t="str">
        <f>VLOOKUP(B:B,'3店'!$B:$B,1,0)</f>
        <v>E03375-TG+E03380+E03397</v>
      </c>
      <c r="E28" t="s">
        <v>609</v>
      </c>
      <c r="F28">
        <v>17</v>
      </c>
      <c r="G28" s="1" t="str">
        <f>VLOOKUP(E:E,'3店'!$B:$B,1,0)</f>
        <v>E03375-TG+E03380+E03397</v>
      </c>
      <c r="H28" t="s">
        <v>609</v>
      </c>
      <c r="I28">
        <v>23</v>
      </c>
      <c r="J28" s="1" t="str">
        <f>VLOOKUP(H:H,'3店'!$B:$B,1,0)</f>
        <v>E03375-TG+E03380+E03397</v>
      </c>
      <c r="K28" t="s">
        <v>1019</v>
      </c>
      <c r="L28">
        <v>4287</v>
      </c>
      <c r="M28">
        <v>24</v>
      </c>
      <c r="N28">
        <v>13.27</v>
      </c>
      <c r="O28">
        <v>32.97</v>
      </c>
      <c r="P28">
        <v>3</v>
      </c>
      <c r="Q28" s="31">
        <v>0.402487109493479</v>
      </c>
      <c r="R28" s="31">
        <v>0.125</v>
      </c>
      <c r="S28" s="1" t="str">
        <f>VLOOKUP(K:K,'3店'!$B:$B,1,0)</f>
        <v>Y3054-NB+Y3055</v>
      </c>
      <c r="T28" t="s">
        <v>995</v>
      </c>
      <c r="U28">
        <v>9778</v>
      </c>
      <c r="V28">
        <v>61</v>
      </c>
      <c r="W28">
        <v>22.87</v>
      </c>
      <c r="X28">
        <v>138.89</v>
      </c>
      <c r="Y28">
        <v>11</v>
      </c>
      <c r="Z28" s="31">
        <v>0.164662682698538</v>
      </c>
      <c r="AA28" s="31">
        <v>0.180327868852459</v>
      </c>
      <c r="AB28" s="1" t="str">
        <f>VLOOKUP(T:T,'3店'!$B:$B,1,0)</f>
        <v>Y3060-BL+Y3061+Y3062</v>
      </c>
      <c r="AC28" t="s">
        <v>951</v>
      </c>
      <c r="AD28">
        <v>31619</v>
      </c>
      <c r="AE28">
        <v>284</v>
      </c>
      <c r="AF28">
        <v>109.79</v>
      </c>
      <c r="AG28">
        <v>390.48</v>
      </c>
      <c r="AH28">
        <v>29</v>
      </c>
      <c r="AI28" s="31">
        <v>0.281166769104692</v>
      </c>
      <c r="AJ28" s="31">
        <v>0.102112676056338</v>
      </c>
      <c r="AK28" s="1" t="str">
        <f>VLOOKUP(AC:AC,'3店'!$B:$B,1,0)</f>
        <v>Y3049-BL+Y3050+Y3051</v>
      </c>
      <c r="AL28" t="s">
        <v>633</v>
      </c>
      <c r="AM28" s="102">
        <v>90.93</v>
      </c>
      <c r="AN28" s="1">
        <f t="shared" si="0"/>
        <v>622.8705</v>
      </c>
      <c r="AP28" s="29" t="s">
        <v>717</v>
      </c>
      <c r="AQ28" s="33">
        <v>192.85</v>
      </c>
      <c r="AR28" s="1">
        <f t="shared" si="1"/>
        <v>1321.0225</v>
      </c>
      <c r="AT28" s="45" t="s">
        <v>660</v>
      </c>
      <c r="AU28" s="44">
        <v>164.4</v>
      </c>
      <c r="AV28" s="35"/>
      <c r="AW28" s="43" t="s">
        <v>657</v>
      </c>
      <c r="AX28" s="44">
        <v>863.1</v>
      </c>
      <c r="AZ28" s="160" t="s">
        <v>603</v>
      </c>
      <c r="BA28" s="127">
        <v>5.626</v>
      </c>
      <c r="BB28" s="1" t="s">
        <v>430</v>
      </c>
    </row>
    <row r="29" spans="2:54">
      <c r="B29" t="s">
        <v>720</v>
      </c>
      <c r="C29">
        <v>2</v>
      </c>
      <c r="D29" s="1" t="str">
        <f>VLOOKUP(B:B,'3店'!$B:$B,1,0)</f>
        <v>Y03564-NB+Y03565+Y03566</v>
      </c>
      <c r="E29" t="s">
        <v>600</v>
      </c>
      <c r="F29">
        <v>24</v>
      </c>
      <c r="G29" s="1" t="str">
        <f>VLOOKUP(E:E,'3店'!$B:$B,1,0)</f>
        <v>E03375-DG+E03380+E03397</v>
      </c>
      <c r="H29" t="s">
        <v>600</v>
      </c>
      <c r="I29">
        <v>36</v>
      </c>
      <c r="J29" s="1" t="str">
        <f>VLOOKUP(H:H,'3店'!$B:$B,1,0)</f>
        <v>E03375-DG+E03380+E03397</v>
      </c>
      <c r="K29" t="s">
        <v>1064</v>
      </c>
      <c r="L29">
        <v>6383</v>
      </c>
      <c r="M29">
        <v>60</v>
      </c>
      <c r="N29">
        <v>31.45</v>
      </c>
      <c r="O29">
        <v>64.95</v>
      </c>
      <c r="P29">
        <v>5</v>
      </c>
      <c r="Q29" s="31">
        <v>0.484218629715166</v>
      </c>
      <c r="R29" s="31">
        <v>0.0833333333333333</v>
      </c>
      <c r="S29" s="1" t="str">
        <f>VLOOKUP(K:K,'3店'!$B:$B,1,0)</f>
        <v>Y3074-BL</v>
      </c>
      <c r="T29" t="s">
        <v>989</v>
      </c>
      <c r="U29">
        <v>952</v>
      </c>
      <c r="V29">
        <v>0</v>
      </c>
      <c r="W29">
        <v>0</v>
      </c>
      <c r="X29">
        <v>0</v>
      </c>
      <c r="Y29">
        <v>0</v>
      </c>
      <c r="Z29" s="31">
        <v>0</v>
      </c>
      <c r="AA29" s="31">
        <v>0</v>
      </c>
      <c r="AB29" s="1" t="str">
        <f>VLOOKUP(T:T,'3店'!$B:$B,1,0)</f>
        <v>Y3052-NB+Y3053</v>
      </c>
      <c r="AC29" t="s">
        <v>966</v>
      </c>
      <c r="AD29">
        <v>39722</v>
      </c>
      <c r="AE29">
        <v>223</v>
      </c>
      <c r="AF29">
        <v>85.3</v>
      </c>
      <c r="AG29">
        <v>241.7</v>
      </c>
      <c r="AH29">
        <v>19</v>
      </c>
      <c r="AI29" s="31">
        <v>0.352916839056682</v>
      </c>
      <c r="AJ29" s="31">
        <v>0.0852017937219731</v>
      </c>
      <c r="AK29" s="1" t="str">
        <f>VLOOKUP(AC:AC,'3店'!$B:$B,1,0)</f>
        <v>Y3046-BL+Y3047+Y3048</v>
      </c>
      <c r="AL29" t="s">
        <v>606</v>
      </c>
      <c r="AM29" s="102">
        <v>103.92</v>
      </c>
      <c r="AN29" s="1">
        <f t="shared" si="0"/>
        <v>711.852</v>
      </c>
      <c r="AP29" s="29" t="s">
        <v>951</v>
      </c>
      <c r="AQ29" s="33">
        <v>175.64</v>
      </c>
      <c r="AR29" s="1">
        <f t="shared" si="1"/>
        <v>1203.134</v>
      </c>
      <c r="AT29" s="45" t="s">
        <v>663</v>
      </c>
      <c r="AU29" s="44">
        <v>109.6</v>
      </c>
      <c r="AV29" s="35"/>
      <c r="AW29" s="43" t="s">
        <v>660</v>
      </c>
      <c r="AX29" s="44">
        <v>342.5</v>
      </c>
      <c r="AZ29" s="160" t="s">
        <v>606</v>
      </c>
      <c r="BA29" s="127">
        <v>5.658</v>
      </c>
      <c r="BB29" s="1" t="s">
        <v>430</v>
      </c>
    </row>
    <row r="30" spans="2:54">
      <c r="B30" t="s">
        <v>747</v>
      </c>
      <c r="C30">
        <v>6</v>
      </c>
      <c r="D30" s="1" t="str">
        <f>VLOOKUP(B:B,'3店'!$B:$B,1,0)</f>
        <v>Y3013-DG+Y3014</v>
      </c>
      <c r="E30" t="s">
        <v>870</v>
      </c>
      <c r="F30">
        <v>19</v>
      </c>
      <c r="G30" s="1" t="str">
        <f>VLOOKUP(E:E,'3店'!$B:$B,1,0)</f>
        <v>Y3029-BL+Y3030</v>
      </c>
      <c r="H30" t="s">
        <v>870</v>
      </c>
      <c r="I30">
        <v>31</v>
      </c>
      <c r="J30" s="1" t="str">
        <f>VLOOKUP(H:H,'3店'!$B:$B,1,0)</f>
        <v>Y3029-BL+Y3030</v>
      </c>
      <c r="K30" t="s">
        <v>1104</v>
      </c>
      <c r="L30">
        <v>1565</v>
      </c>
      <c r="M30">
        <v>18</v>
      </c>
      <c r="N30">
        <v>7.75</v>
      </c>
      <c r="O30">
        <v>0</v>
      </c>
      <c r="P30">
        <v>0</v>
      </c>
      <c r="Q30" s="31">
        <v>0</v>
      </c>
      <c r="R30" s="31">
        <v>0</v>
      </c>
      <c r="S30" s="1" t="str">
        <f>VLOOKUP(K:K,'3店'!$B:$B,1,0)</f>
        <v>Y3080-BL+Y3081</v>
      </c>
      <c r="T30" t="s">
        <v>1032</v>
      </c>
      <c r="U30">
        <v>6602</v>
      </c>
      <c r="V30">
        <v>28</v>
      </c>
      <c r="W30">
        <v>13.01</v>
      </c>
      <c r="X30">
        <v>19.98</v>
      </c>
      <c r="Y30">
        <v>2</v>
      </c>
      <c r="Z30" s="31">
        <v>0.651151151151151</v>
      </c>
      <c r="AA30" s="31">
        <v>0.0714285714285714</v>
      </c>
      <c r="AB30" s="1" t="str">
        <f>VLOOKUP(T:T,'3店'!$B:$B,1,0)</f>
        <v>Y3056-NB+Y3057</v>
      </c>
      <c r="AC30" t="s">
        <v>717</v>
      </c>
      <c r="AD30">
        <v>35269</v>
      </c>
      <c r="AE30">
        <v>291</v>
      </c>
      <c r="AF30">
        <v>105.79</v>
      </c>
      <c r="AG30">
        <v>421.56</v>
      </c>
      <c r="AH30">
        <v>32</v>
      </c>
      <c r="AI30" s="31">
        <v>0.250948856627764</v>
      </c>
      <c r="AJ30" s="31">
        <v>0.109965635738832</v>
      </c>
      <c r="AK30" s="1" t="str">
        <f>VLOOKUP(AC:AC,'3店'!$B:$B,1,0)</f>
        <v>Y03564-BL+Y03565+Y03566</v>
      </c>
      <c r="AL30" t="s">
        <v>729</v>
      </c>
      <c r="AM30" s="102">
        <v>90.93</v>
      </c>
      <c r="AN30" s="1">
        <f t="shared" si="0"/>
        <v>622.8705</v>
      </c>
      <c r="AP30" s="29" t="s">
        <v>1007</v>
      </c>
      <c r="AQ30" s="33">
        <v>177.86</v>
      </c>
      <c r="AR30" s="1">
        <f t="shared" si="1"/>
        <v>1218.341</v>
      </c>
      <c r="AT30" s="45" t="s">
        <v>1283</v>
      </c>
      <c r="AU30" s="44">
        <v>68.5</v>
      </c>
      <c r="AV30" s="35"/>
      <c r="AW30" s="43" t="s">
        <v>663</v>
      </c>
      <c r="AX30" s="44">
        <v>150.7</v>
      </c>
      <c r="AZ30" s="160" t="s">
        <v>600</v>
      </c>
      <c r="BA30" s="127">
        <v>4.469</v>
      </c>
      <c r="BB30" s="1" t="s">
        <v>430</v>
      </c>
    </row>
    <row r="31" spans="2:54">
      <c r="B31" t="s">
        <v>822</v>
      </c>
      <c r="C31">
        <v>14</v>
      </c>
      <c r="D31" s="1" t="str">
        <f>VLOOKUP(B:B,'3店'!$B:$B,1,0)</f>
        <v>Y3033-BL+Y3034+Y3035</v>
      </c>
      <c r="E31" t="s">
        <v>822</v>
      </c>
      <c r="F31">
        <v>22</v>
      </c>
      <c r="G31" s="1" t="str">
        <f>VLOOKUP(E:E,'3店'!$B:$B,1,0)</f>
        <v>Y3033-BL+Y3034+Y3035</v>
      </c>
      <c r="H31" t="s">
        <v>822</v>
      </c>
      <c r="I31">
        <v>49</v>
      </c>
      <c r="J31" s="1" t="str">
        <f>VLOOKUP(H:H,'3店'!$B:$B,1,0)</f>
        <v>Y3033-BL+Y3034+Y3035</v>
      </c>
      <c r="K31" t="s">
        <v>1118</v>
      </c>
      <c r="L31">
        <v>1564</v>
      </c>
      <c r="M31">
        <v>12</v>
      </c>
      <c r="N31">
        <v>7.71</v>
      </c>
      <c r="O31">
        <v>12.99</v>
      </c>
      <c r="P31">
        <v>1</v>
      </c>
      <c r="Q31" s="31">
        <v>0.593533487297921</v>
      </c>
      <c r="R31" s="31">
        <v>0.0833333333333333</v>
      </c>
      <c r="S31" s="1" t="str">
        <f>VLOOKUP(K:K,'3店'!$B:$B,1,0)</f>
        <v>Y3085-BL+Y3086+Y3087</v>
      </c>
      <c r="T31" t="s">
        <v>1019</v>
      </c>
      <c r="U31">
        <v>11436</v>
      </c>
      <c r="V31">
        <v>45</v>
      </c>
      <c r="W31">
        <v>24.72</v>
      </c>
      <c r="X31">
        <v>53.95</v>
      </c>
      <c r="Y31">
        <v>5</v>
      </c>
      <c r="Z31" s="31">
        <v>0.45820203892493</v>
      </c>
      <c r="AA31" s="31">
        <v>0.111111111111111</v>
      </c>
      <c r="AB31" s="1" t="str">
        <f>VLOOKUP(T:T,'3店'!$B:$B,1,0)</f>
        <v>Y3054-NB+Y3055</v>
      </c>
      <c r="AC31" t="s">
        <v>995</v>
      </c>
      <c r="AD31">
        <v>19963</v>
      </c>
      <c r="AE31">
        <v>141</v>
      </c>
      <c r="AF31">
        <v>53.56</v>
      </c>
      <c r="AG31">
        <v>216.83</v>
      </c>
      <c r="AH31">
        <v>17</v>
      </c>
      <c r="AI31" s="31">
        <v>0.247013789604759</v>
      </c>
      <c r="AJ31" s="31">
        <v>0.120567375886525</v>
      </c>
      <c r="AK31" s="1" t="str">
        <f>VLOOKUP(AC:AC,'3店'!$B:$B,1,0)</f>
        <v>Y3060-BL+Y3061+Y3062</v>
      </c>
      <c r="AL31" t="s">
        <v>1077</v>
      </c>
      <c r="AM31" s="102">
        <v>88.71</v>
      </c>
      <c r="AN31" s="1">
        <f t="shared" si="0"/>
        <v>607.6635</v>
      </c>
      <c r="AP31" s="29" t="s">
        <v>1077</v>
      </c>
      <c r="AQ31" s="33">
        <v>175.64</v>
      </c>
      <c r="AR31" s="1">
        <f t="shared" si="1"/>
        <v>1203.134</v>
      </c>
      <c r="AT31" s="45" t="s">
        <v>666</v>
      </c>
      <c r="AU31" s="44">
        <v>1780.812</v>
      </c>
      <c r="AV31" s="35"/>
      <c r="AW31" s="43" t="s">
        <v>1283</v>
      </c>
      <c r="AX31" s="44">
        <v>95.9</v>
      </c>
      <c r="AZ31" s="160" t="s">
        <v>609</v>
      </c>
      <c r="BA31" s="127">
        <v>5.026</v>
      </c>
      <c r="BB31" s="1" t="s">
        <v>430</v>
      </c>
    </row>
    <row r="32" spans="2:54">
      <c r="B32" t="s">
        <v>840</v>
      </c>
      <c r="C32">
        <v>23</v>
      </c>
      <c r="D32" s="1" t="str">
        <f>VLOOKUP(B:B,'3店'!$B:$B,1,0)</f>
        <v>Y3025-BL+Y3026</v>
      </c>
      <c r="E32" t="s">
        <v>654</v>
      </c>
      <c r="F32">
        <v>23</v>
      </c>
      <c r="G32" s="1" t="str">
        <f>VLOOKUP(E:E,'3店'!$B:$B,1,0)</f>
        <v>Y03449-NB+Y03476</v>
      </c>
      <c r="H32" t="s">
        <v>654</v>
      </c>
      <c r="I32">
        <v>57</v>
      </c>
      <c r="J32" s="1" t="str">
        <f>VLOOKUP(H:H,'3店'!$B:$B,1,0)</f>
        <v>Y03449-NB+Y03476</v>
      </c>
      <c r="K32" t="s">
        <v>1077</v>
      </c>
      <c r="L32">
        <v>1780</v>
      </c>
      <c r="M32">
        <v>7</v>
      </c>
      <c r="N32">
        <v>3.7</v>
      </c>
      <c r="O32">
        <v>12.99</v>
      </c>
      <c r="P32">
        <v>1</v>
      </c>
      <c r="Q32" s="31">
        <v>0.284834488067744</v>
      </c>
      <c r="R32" s="31">
        <v>0.142857142857143</v>
      </c>
      <c r="S32" s="1" t="str">
        <f>VLOOKUP(K:K,'3店'!$B:$B,1,0)</f>
        <v>Y3075-BL</v>
      </c>
      <c r="T32" t="s">
        <v>1064</v>
      </c>
      <c r="U32">
        <v>22163</v>
      </c>
      <c r="V32">
        <v>137</v>
      </c>
      <c r="W32">
        <v>72.44</v>
      </c>
      <c r="X32">
        <v>197.84</v>
      </c>
      <c r="Y32">
        <v>15</v>
      </c>
      <c r="Z32" s="31">
        <v>0.366154468257178</v>
      </c>
      <c r="AA32" s="31">
        <v>0.109489051094891</v>
      </c>
      <c r="AB32" s="1" t="str">
        <f>VLOOKUP(T:T,'3店'!$B:$B,1,0)</f>
        <v>Y3074-BL</v>
      </c>
      <c r="AC32" t="s">
        <v>989</v>
      </c>
      <c r="AD32">
        <v>2350</v>
      </c>
      <c r="AE32">
        <v>7</v>
      </c>
      <c r="AF32">
        <v>2.1</v>
      </c>
      <c r="AG32">
        <v>0</v>
      </c>
      <c r="AH32">
        <v>0</v>
      </c>
      <c r="AI32" s="31">
        <v>0</v>
      </c>
      <c r="AJ32" s="31">
        <v>0</v>
      </c>
      <c r="AK32" s="1" t="str">
        <f>VLOOKUP(AC:AC,'3店'!$B:$B,1,0)</f>
        <v>Y3052-NB+Y3053</v>
      </c>
      <c r="AL32" t="s">
        <v>642</v>
      </c>
      <c r="AM32" s="102">
        <v>77.94</v>
      </c>
      <c r="AN32" s="1">
        <f t="shared" si="0"/>
        <v>533.889</v>
      </c>
      <c r="AP32" s="29" t="s">
        <v>666</v>
      </c>
      <c r="AQ32" s="33">
        <v>160.87</v>
      </c>
      <c r="AR32" s="1">
        <f t="shared" si="1"/>
        <v>1101.9595</v>
      </c>
      <c r="AT32" s="45" t="s">
        <v>669</v>
      </c>
      <c r="AU32" s="44">
        <v>226.049</v>
      </c>
      <c r="AV32" s="35"/>
      <c r="AW32" s="43" t="s">
        <v>666</v>
      </c>
      <c r="AX32" s="44">
        <v>269.82</v>
      </c>
      <c r="AZ32" s="160" t="s">
        <v>1284</v>
      </c>
      <c r="BA32" s="127">
        <v>6.556</v>
      </c>
      <c r="BB32" s="1" t="s">
        <v>430</v>
      </c>
    </row>
    <row r="33" spans="2:54">
      <c r="B33" t="s">
        <v>654</v>
      </c>
      <c r="C33">
        <v>10</v>
      </c>
      <c r="D33" s="1" t="str">
        <f>VLOOKUP(B:B,'3店'!$B:$B,1,0)</f>
        <v>Y03449-NB+Y03476</v>
      </c>
      <c r="E33" t="s">
        <v>720</v>
      </c>
      <c r="F33">
        <v>6</v>
      </c>
      <c r="G33" s="1" t="str">
        <f>VLOOKUP(E:E,'3店'!$B:$B,1,0)</f>
        <v>Y03564-NB+Y03565+Y03566</v>
      </c>
      <c r="H33" t="s">
        <v>720</v>
      </c>
      <c r="I33">
        <v>16</v>
      </c>
      <c r="J33" s="1" t="str">
        <f>VLOOKUP(H:H,'3店'!$B:$B,1,0)</f>
        <v>Y03564-NB+Y03565+Y03566</v>
      </c>
      <c r="K33" t="s">
        <v>1007</v>
      </c>
      <c r="L33">
        <v>16801</v>
      </c>
      <c r="M33">
        <v>93</v>
      </c>
      <c r="N33">
        <v>44.08</v>
      </c>
      <c r="O33">
        <v>77.94</v>
      </c>
      <c r="P33">
        <v>6</v>
      </c>
      <c r="Q33" s="31">
        <v>0.565563253784963</v>
      </c>
      <c r="R33" s="31">
        <v>0.0645161290322581</v>
      </c>
      <c r="S33" s="1" t="str">
        <f>VLOOKUP(K:K,'3店'!$B:$B,1,0)</f>
        <v>Y3060-OR+Y3061+Y3062</v>
      </c>
      <c r="T33" t="s">
        <v>1104</v>
      </c>
      <c r="U33">
        <v>4462</v>
      </c>
      <c r="V33">
        <v>47</v>
      </c>
      <c r="W33">
        <v>20.94</v>
      </c>
      <c r="X33">
        <v>25.98</v>
      </c>
      <c r="Y33">
        <v>1</v>
      </c>
      <c r="Z33" s="31">
        <v>0.806004618937644</v>
      </c>
      <c r="AA33" s="31">
        <v>0.0212765957446809</v>
      </c>
      <c r="AB33" s="1" t="str">
        <f>VLOOKUP(T:T,'3店'!$B:$B,1,0)</f>
        <v>Y3080-BL+Y3081</v>
      </c>
      <c r="AC33" t="s">
        <v>1010</v>
      </c>
      <c r="AD33">
        <v>5811</v>
      </c>
      <c r="AE33">
        <v>42</v>
      </c>
      <c r="AF33">
        <v>22.05</v>
      </c>
      <c r="AG33">
        <v>89.91</v>
      </c>
      <c r="AH33">
        <v>9</v>
      </c>
      <c r="AI33" s="31">
        <v>0.245245245245245</v>
      </c>
      <c r="AJ33" s="31">
        <v>0.214285714285714</v>
      </c>
      <c r="AK33" s="1" t="str">
        <f>VLOOKUP(AC:AC,'3店'!$B:$B,1,0)</f>
        <v>Y3054-BL+Y3055</v>
      </c>
      <c r="AL33" t="s">
        <v>666</v>
      </c>
      <c r="AM33" s="102">
        <v>77.94</v>
      </c>
      <c r="AN33" s="1">
        <f t="shared" si="0"/>
        <v>533.889</v>
      </c>
      <c r="AP33" s="29" t="s">
        <v>747</v>
      </c>
      <c r="AQ33" s="33">
        <v>164.87</v>
      </c>
      <c r="AR33" s="1">
        <f t="shared" si="1"/>
        <v>1129.3595</v>
      </c>
      <c r="AT33" s="45" t="s">
        <v>672</v>
      </c>
      <c r="AU33" s="44">
        <v>328.8</v>
      </c>
      <c r="AV33" s="35"/>
      <c r="AW33" s="43" t="s">
        <v>669</v>
      </c>
      <c r="AX33" s="44">
        <v>252.643</v>
      </c>
      <c r="AZ33" s="160" t="s">
        <v>1285</v>
      </c>
      <c r="BA33" s="127">
        <v>7.97</v>
      </c>
      <c r="BB33" s="1" t="s">
        <v>430</v>
      </c>
    </row>
    <row r="34" spans="2:54">
      <c r="B34" t="s">
        <v>804</v>
      </c>
      <c r="C34">
        <v>2</v>
      </c>
      <c r="D34" s="1" t="str">
        <f>VLOOKUP(B:B,'3店'!$B:$B,1,0)</f>
        <v>Y03652-GK+Y03653+Y03654</v>
      </c>
      <c r="E34" t="s">
        <v>732</v>
      </c>
      <c r="F34">
        <v>5</v>
      </c>
      <c r="G34" s="1" t="str">
        <f>VLOOKUP(E:E,'3店'!$B:$B,1,0)</f>
        <v>Y03652-OR+Y03653+Y03654</v>
      </c>
      <c r="H34" t="s">
        <v>732</v>
      </c>
      <c r="I34">
        <v>13</v>
      </c>
      <c r="J34" s="1" t="str">
        <f>VLOOKUP(H:H,'3店'!$B:$B,1,0)</f>
        <v>Y03652-OR+Y03653+Y03654</v>
      </c>
      <c r="K34" t="s">
        <v>1107</v>
      </c>
      <c r="L34">
        <v>2326</v>
      </c>
      <c r="M34">
        <v>10</v>
      </c>
      <c r="N34">
        <v>4.29</v>
      </c>
      <c r="O34">
        <v>0</v>
      </c>
      <c r="P34">
        <v>0</v>
      </c>
      <c r="Q34" s="31">
        <v>0</v>
      </c>
      <c r="R34" s="31">
        <v>0</v>
      </c>
      <c r="S34" s="1" t="str">
        <f>VLOOKUP(K:K,'3店'!$B:$B,1,0)</f>
        <v>Y3082-BL+Y3083+Y3084</v>
      </c>
      <c r="T34" t="s">
        <v>1118</v>
      </c>
      <c r="U34">
        <v>3192</v>
      </c>
      <c r="V34">
        <v>24</v>
      </c>
      <c r="W34">
        <v>15.51</v>
      </c>
      <c r="X34">
        <v>25.98</v>
      </c>
      <c r="Y34">
        <v>2</v>
      </c>
      <c r="Z34" s="31">
        <v>0.596997690531178</v>
      </c>
      <c r="AA34" s="31">
        <v>0.0833333333333333</v>
      </c>
      <c r="AB34" s="1" t="str">
        <f>VLOOKUP(T:T,'3店'!$B:$B,1,0)</f>
        <v>Y3085-BL+Y3086+Y3087</v>
      </c>
      <c r="AC34" t="s">
        <v>1032</v>
      </c>
      <c r="AD34">
        <v>15180</v>
      </c>
      <c r="AE34">
        <v>71</v>
      </c>
      <c r="AF34">
        <v>31.95</v>
      </c>
      <c r="AG34">
        <v>49.95</v>
      </c>
      <c r="AH34">
        <v>5</v>
      </c>
      <c r="AI34" s="31">
        <v>0.63963963963964</v>
      </c>
      <c r="AJ34" s="31">
        <v>0.0704225352112676</v>
      </c>
      <c r="AK34" s="1" t="str">
        <f>VLOOKUP(AC:AC,'3店'!$B:$B,1,0)</f>
        <v>Y3056-NB+Y3057</v>
      </c>
      <c r="AL34" t="s">
        <v>651</v>
      </c>
      <c r="AM34" s="102">
        <v>77.94</v>
      </c>
      <c r="AN34" s="1">
        <f t="shared" si="0"/>
        <v>533.889</v>
      </c>
      <c r="AP34" s="29" t="s">
        <v>609</v>
      </c>
      <c r="AQ34" s="33">
        <v>205.73</v>
      </c>
      <c r="AR34" s="1">
        <f t="shared" si="1"/>
        <v>1409.2505</v>
      </c>
      <c r="AT34" s="45" t="s">
        <v>675</v>
      </c>
      <c r="AU34" s="44">
        <v>487.512</v>
      </c>
      <c r="AV34" s="35"/>
      <c r="AW34" s="43" t="s">
        <v>672</v>
      </c>
      <c r="AX34" s="44">
        <v>424.7</v>
      </c>
      <c r="AZ34" s="160" t="s">
        <v>1286</v>
      </c>
      <c r="BA34" s="127">
        <v>8.313</v>
      </c>
      <c r="BB34" s="1" t="s">
        <v>430</v>
      </c>
    </row>
    <row r="35" spans="2:54">
      <c r="B35" t="s">
        <v>1001</v>
      </c>
      <c r="C35">
        <v>6</v>
      </c>
      <c r="D35" s="1" t="str">
        <f>VLOOKUP(B:B,'3店'!$B:$B,1,0)</f>
        <v>Y3060-DB+Y3061+Y3062</v>
      </c>
      <c r="E35" t="s">
        <v>966</v>
      </c>
      <c r="F35">
        <v>11</v>
      </c>
      <c r="G35" s="1" t="str">
        <f>VLOOKUP(E:E,'3店'!$B:$B,1,0)</f>
        <v>Y3046-BL+Y3047+Y3048</v>
      </c>
      <c r="H35" t="s">
        <v>966</v>
      </c>
      <c r="I35">
        <v>38</v>
      </c>
      <c r="J35" s="1" t="str">
        <f>VLOOKUP(H:H,'3店'!$B:$B,1,0)</f>
        <v>Y3046-BL+Y3047+Y3048</v>
      </c>
      <c r="K35" t="s">
        <v>1116</v>
      </c>
      <c r="L35">
        <v>68</v>
      </c>
      <c r="M35">
        <v>0</v>
      </c>
      <c r="N35">
        <v>0</v>
      </c>
      <c r="O35">
        <v>0</v>
      </c>
      <c r="P35">
        <v>0</v>
      </c>
      <c r="Q35" s="31">
        <v>0</v>
      </c>
      <c r="R35" s="31">
        <v>0</v>
      </c>
      <c r="S35" s="1" t="str">
        <f>VLOOKUP(K:K,'3店'!$B:$B,1,0)</f>
        <v>Y3082-OR+Y3083+Y3084</v>
      </c>
      <c r="T35" t="s">
        <v>1077</v>
      </c>
      <c r="U35">
        <v>5681</v>
      </c>
      <c r="V35">
        <v>25</v>
      </c>
      <c r="W35">
        <v>15.86</v>
      </c>
      <c r="X35">
        <v>82.93</v>
      </c>
      <c r="Y35">
        <v>7</v>
      </c>
      <c r="Z35" s="31">
        <v>0.191245628843603</v>
      </c>
      <c r="AA35" s="31">
        <v>0.28</v>
      </c>
      <c r="AB35" s="1" t="str">
        <f>VLOOKUP(T:T,'3店'!$B:$B,1,0)</f>
        <v>Y3075-BL</v>
      </c>
      <c r="AC35" t="s">
        <v>1019</v>
      </c>
      <c r="AD35">
        <v>17033</v>
      </c>
      <c r="AE35">
        <v>64</v>
      </c>
      <c r="AF35">
        <v>34.24</v>
      </c>
      <c r="AG35">
        <v>53.95</v>
      </c>
      <c r="AH35">
        <v>5</v>
      </c>
      <c r="AI35" s="31">
        <v>0.63466172381835</v>
      </c>
      <c r="AJ35" s="31">
        <v>0.078125</v>
      </c>
      <c r="AK35" s="1" t="str">
        <f>VLOOKUP(AC:AC,'3店'!$B:$B,1,0)</f>
        <v>Y3054-NB+Y3055</v>
      </c>
      <c r="AL35" t="s">
        <v>711</v>
      </c>
      <c r="AM35" s="102">
        <v>77.94</v>
      </c>
      <c r="AN35" s="1">
        <f t="shared" ref="AN35:AN66" si="2">AM35*$AS$1</f>
        <v>533.889</v>
      </c>
      <c r="AP35" s="29" t="s">
        <v>792</v>
      </c>
      <c r="AQ35" s="33">
        <v>159.76</v>
      </c>
      <c r="AR35" s="1">
        <f t="shared" ref="AR35:AR66" si="3">AQ35*$AS$1</f>
        <v>1094.356</v>
      </c>
      <c r="AT35" s="45" t="s">
        <v>678</v>
      </c>
      <c r="AU35" s="44">
        <v>287.7</v>
      </c>
      <c r="AV35" s="35"/>
      <c r="AW35" s="43" t="s">
        <v>675</v>
      </c>
      <c r="AX35" s="44">
        <v>568.764</v>
      </c>
      <c r="AZ35" s="160" t="s">
        <v>639</v>
      </c>
      <c r="BA35" s="127">
        <v>3.828</v>
      </c>
      <c r="BB35" s="1" t="s">
        <v>430</v>
      </c>
    </row>
    <row r="36" spans="2:54">
      <c r="B36" t="s">
        <v>801</v>
      </c>
      <c r="C36">
        <v>6</v>
      </c>
      <c r="D36" s="1" t="str">
        <f>VLOOKUP(B:B,'3店'!$B:$B,1,0)</f>
        <v>Y03652-BY+Y03653+Y03654</v>
      </c>
      <c r="E36" t="s">
        <v>1049</v>
      </c>
      <c r="F36">
        <v>48</v>
      </c>
      <c r="G36" s="1" t="str">
        <f>VLOOKUP(E:E,'3店'!$B:$B,1,0)</f>
        <v>Y3079-BL+Y3079</v>
      </c>
      <c r="H36" t="s">
        <v>1049</v>
      </c>
      <c r="I36">
        <v>87</v>
      </c>
      <c r="J36" s="1" t="str">
        <f>VLOOKUP(H:H,'3店'!$B:$B,1,0)</f>
        <v>Y3079-BL+Y3079</v>
      </c>
      <c r="K36" t="s">
        <v>813</v>
      </c>
      <c r="L36">
        <v>0</v>
      </c>
      <c r="M36">
        <v>0</v>
      </c>
      <c r="N36">
        <v>0</v>
      </c>
      <c r="O36">
        <v>0</v>
      </c>
      <c r="P36">
        <v>0</v>
      </c>
      <c r="Q36" s="31">
        <v>0</v>
      </c>
      <c r="R36" s="31">
        <v>0</v>
      </c>
      <c r="S36" s="1" t="str">
        <f>VLOOKUP(K:K,'3店'!$B:$B,1,0)</f>
        <v>Y3022-GK+Y3023+Y3024</v>
      </c>
      <c r="T36" t="s">
        <v>1007</v>
      </c>
      <c r="U36">
        <v>31177</v>
      </c>
      <c r="V36">
        <v>188</v>
      </c>
      <c r="W36">
        <v>88.5300000000001</v>
      </c>
      <c r="X36">
        <v>214.83</v>
      </c>
      <c r="Y36">
        <v>18</v>
      </c>
      <c r="Z36" s="31">
        <v>0.412093283061025</v>
      </c>
      <c r="AA36" s="31">
        <v>0.0957446808510638</v>
      </c>
      <c r="AB36" s="1" t="str">
        <f>VLOOKUP(T:T,'3店'!$B:$B,1,0)</f>
        <v>Y3060-OR+Y3061+Y3062</v>
      </c>
      <c r="AC36" t="s">
        <v>1064</v>
      </c>
      <c r="AD36">
        <v>42241</v>
      </c>
      <c r="AE36">
        <v>323</v>
      </c>
      <c r="AF36">
        <v>173.88</v>
      </c>
      <c r="AG36">
        <v>452.54</v>
      </c>
      <c r="AH36">
        <v>32</v>
      </c>
      <c r="AI36" s="31">
        <v>0.384231228178725</v>
      </c>
      <c r="AJ36" s="31">
        <v>0.0990712074303406</v>
      </c>
      <c r="AK36" s="1" t="str">
        <f>VLOOKUP(AC:AC,'3店'!$B:$B,1,0)</f>
        <v>Y3074-BL</v>
      </c>
      <c r="AL36" t="s">
        <v>747</v>
      </c>
      <c r="AM36" s="102">
        <v>77.94</v>
      </c>
      <c r="AN36" s="1">
        <f t="shared" si="2"/>
        <v>533.889</v>
      </c>
      <c r="AP36" s="29" t="s">
        <v>711</v>
      </c>
      <c r="AQ36" s="33">
        <v>138.89</v>
      </c>
      <c r="AR36" s="1">
        <f t="shared" si="3"/>
        <v>951.3965</v>
      </c>
      <c r="AT36" s="45" t="s">
        <v>681</v>
      </c>
      <c r="AU36" s="44">
        <v>1794.7</v>
      </c>
      <c r="AV36" s="35"/>
      <c r="AW36" s="43" t="s">
        <v>678</v>
      </c>
      <c r="AX36" s="44">
        <v>315.1</v>
      </c>
      <c r="AZ36" s="160" t="s">
        <v>642</v>
      </c>
      <c r="BA36" s="127">
        <v>5.557</v>
      </c>
      <c r="BB36" s="1" t="s">
        <v>430</v>
      </c>
    </row>
    <row r="37" spans="2:54">
      <c r="B37" t="s">
        <v>966</v>
      </c>
      <c r="C37">
        <v>4</v>
      </c>
      <c r="D37" s="1" t="str">
        <f>VLOOKUP(B:B,'3店'!$B:$B,1,0)</f>
        <v>Y3046-BL+Y3047+Y3048</v>
      </c>
      <c r="E37" t="s">
        <v>1001</v>
      </c>
      <c r="F37">
        <v>15</v>
      </c>
      <c r="G37" s="1" t="str">
        <f>VLOOKUP(E:E,'3店'!$B:$B,1,0)</f>
        <v>Y3060-DB+Y3061+Y3062</v>
      </c>
      <c r="H37" t="s">
        <v>1001</v>
      </c>
      <c r="I37">
        <v>36</v>
      </c>
      <c r="J37" s="1" t="str">
        <f>VLOOKUP(H:H,'3店'!$B:$B,1,0)</f>
        <v>Y3060-DB+Y3061+Y3062</v>
      </c>
      <c r="K37" t="s">
        <v>1182</v>
      </c>
      <c r="L37">
        <v>0</v>
      </c>
      <c r="M37">
        <v>0</v>
      </c>
      <c r="N37">
        <v>0</v>
      </c>
      <c r="O37">
        <v>0</v>
      </c>
      <c r="P37">
        <v>0</v>
      </c>
      <c r="Q37" s="31">
        <v>0</v>
      </c>
      <c r="R37" s="31">
        <v>0</v>
      </c>
      <c r="S37" s="1" t="str">
        <f>VLOOKUP(K:K,'3店'!$B:$B,1,0)</f>
        <v>Y3096-OR+Y3097+Y3098</v>
      </c>
      <c r="T37" t="s">
        <v>1107</v>
      </c>
      <c r="U37">
        <v>5488</v>
      </c>
      <c r="V37">
        <v>19</v>
      </c>
      <c r="W37">
        <v>9.83</v>
      </c>
      <c r="X37">
        <v>10.99</v>
      </c>
      <c r="Y37">
        <v>1</v>
      </c>
      <c r="Z37" s="31">
        <v>0.894449499545041</v>
      </c>
      <c r="AA37" s="31">
        <v>0.0526315789473684</v>
      </c>
      <c r="AB37" s="1" t="str">
        <f>VLOOKUP(T:T,'3店'!$B:$B,1,0)</f>
        <v>Y3082-BL+Y3083+Y3084</v>
      </c>
      <c r="AC37" t="s">
        <v>1104</v>
      </c>
      <c r="AD37">
        <v>7758</v>
      </c>
      <c r="AE37">
        <v>60</v>
      </c>
      <c r="AF37">
        <v>27.21</v>
      </c>
      <c r="AG37">
        <v>25.98</v>
      </c>
      <c r="AH37">
        <v>1</v>
      </c>
      <c r="AI37" s="31">
        <v>1.0473441108545</v>
      </c>
      <c r="AJ37" s="31">
        <v>0.0166666666666667</v>
      </c>
      <c r="AK37" s="1" t="str">
        <f>VLOOKUP(AC:AC,'3店'!$B:$B,1,0)</f>
        <v>Y3080-BL+Y3081</v>
      </c>
      <c r="AL37" t="s">
        <v>801</v>
      </c>
      <c r="AM37" s="102">
        <v>77.94</v>
      </c>
      <c r="AN37" s="1">
        <f t="shared" si="2"/>
        <v>533.889</v>
      </c>
      <c r="AP37" s="29" t="s">
        <v>753</v>
      </c>
      <c r="AQ37" s="33">
        <v>142.89</v>
      </c>
      <c r="AR37" s="1">
        <f t="shared" si="3"/>
        <v>978.7965</v>
      </c>
      <c r="AT37" s="45" t="s">
        <v>684</v>
      </c>
      <c r="AU37" s="44">
        <v>383.6</v>
      </c>
      <c r="AV37" s="35"/>
      <c r="AW37" s="43" t="s">
        <v>681</v>
      </c>
      <c r="AX37" s="44">
        <v>1465.9</v>
      </c>
      <c r="AZ37" s="160" t="s">
        <v>645</v>
      </c>
      <c r="BA37" s="127">
        <v>6.067</v>
      </c>
      <c r="BB37" s="1" t="s">
        <v>430</v>
      </c>
    </row>
    <row r="38" spans="2:54">
      <c r="B38" t="s">
        <v>690</v>
      </c>
      <c r="C38">
        <v>1</v>
      </c>
      <c r="D38" s="1" t="str">
        <f>VLOOKUP(B:B,'3店'!$B:$B,1,0)</f>
        <v>Y03466-OR+E03063</v>
      </c>
      <c r="E38" t="s">
        <v>702</v>
      </c>
      <c r="F38">
        <v>16</v>
      </c>
      <c r="G38" s="1" t="str">
        <f>VLOOKUP(E:E,'3店'!$B:$B,1,0)</f>
        <v>Y03507-NB+Y03508+Y03509</v>
      </c>
      <c r="H38" t="s">
        <v>702</v>
      </c>
      <c r="I38">
        <v>26</v>
      </c>
      <c r="J38" s="1" t="str">
        <f>VLOOKUP(H:H,'3店'!$B:$B,1,0)</f>
        <v>Y03507-NB+Y03508+Y03509</v>
      </c>
      <c r="K38" t="s">
        <v>714</v>
      </c>
      <c r="L38">
        <v>3776</v>
      </c>
      <c r="M38">
        <v>45</v>
      </c>
      <c r="N38">
        <v>13.4</v>
      </c>
      <c r="O38">
        <v>51.96</v>
      </c>
      <c r="P38">
        <v>4</v>
      </c>
      <c r="Q38" s="31">
        <v>0.257890685142417</v>
      </c>
      <c r="R38" s="31">
        <v>0.0888888888888889</v>
      </c>
      <c r="S38" s="1" t="str">
        <f>VLOOKUP(K:K,'3店'!$B:$B,1,0)</f>
        <v>Y03561-OR+Y03562+Y03565</v>
      </c>
      <c r="T38" t="s">
        <v>1116</v>
      </c>
      <c r="U38">
        <v>222</v>
      </c>
      <c r="V38">
        <v>0</v>
      </c>
      <c r="W38">
        <v>0</v>
      </c>
      <c r="X38">
        <v>0</v>
      </c>
      <c r="Y38">
        <v>0</v>
      </c>
      <c r="Z38" s="31">
        <v>0</v>
      </c>
      <c r="AA38" s="31">
        <v>0</v>
      </c>
      <c r="AB38" s="1" t="str">
        <f>VLOOKUP(T:T,'3店'!$B:$B,1,0)</f>
        <v>Y3082-OR+Y3083+Y3084</v>
      </c>
      <c r="AC38" t="s">
        <v>1118</v>
      </c>
      <c r="AD38">
        <v>6594</v>
      </c>
      <c r="AE38">
        <v>45</v>
      </c>
      <c r="AF38">
        <v>29.02</v>
      </c>
      <c r="AG38">
        <v>38.97</v>
      </c>
      <c r="AH38">
        <v>3</v>
      </c>
      <c r="AI38" s="31">
        <v>0.744675391326662</v>
      </c>
      <c r="AJ38" s="31">
        <v>0.0666666666666667</v>
      </c>
      <c r="AK38" s="1" t="str">
        <f>VLOOKUP(AC:AC,'3店'!$B:$B,1,0)</f>
        <v>Y3085-BL+Y3086+Y3087</v>
      </c>
      <c r="AL38" t="s">
        <v>870</v>
      </c>
      <c r="AM38" s="102">
        <v>77.94</v>
      </c>
      <c r="AN38" s="1">
        <f t="shared" si="2"/>
        <v>533.889</v>
      </c>
      <c r="AP38" s="29" t="s">
        <v>759</v>
      </c>
      <c r="AQ38" s="33">
        <v>152.55</v>
      </c>
      <c r="AR38" s="1">
        <f t="shared" si="3"/>
        <v>1044.9675</v>
      </c>
      <c r="AT38" s="45" t="s">
        <v>687</v>
      </c>
      <c r="AU38" s="44">
        <v>630.2</v>
      </c>
      <c r="AV38" s="35"/>
      <c r="AW38" s="43" t="s">
        <v>684</v>
      </c>
      <c r="AX38" s="44">
        <v>137</v>
      </c>
      <c r="AZ38" s="160" t="s">
        <v>681</v>
      </c>
      <c r="BA38" s="127">
        <v>3.553</v>
      </c>
      <c r="BB38" s="1" t="s">
        <v>430</v>
      </c>
    </row>
    <row r="39" spans="2:54">
      <c r="B39" t="s">
        <v>600</v>
      </c>
      <c r="C39">
        <v>12</v>
      </c>
      <c r="D39" s="1" t="str">
        <f>VLOOKUP(B:B,'3店'!$B:$B,1,0)</f>
        <v>E03375-DG+E03380+E03397</v>
      </c>
      <c r="E39" t="s">
        <v>753</v>
      </c>
      <c r="F39">
        <v>11</v>
      </c>
      <c r="G39" s="1" t="str">
        <f>VLOOKUP(E:E,'3店'!$B:$B,1,0)</f>
        <v>Y3013-OR+Y3014</v>
      </c>
      <c r="H39" t="s">
        <v>753</v>
      </c>
      <c r="I39">
        <v>31</v>
      </c>
      <c r="J39" s="1" t="str">
        <f>VLOOKUP(H:H,'3店'!$B:$B,1,0)</f>
        <v>Y3013-OR+Y3014</v>
      </c>
      <c r="K39" t="s">
        <v>1055</v>
      </c>
      <c r="L39">
        <v>4136</v>
      </c>
      <c r="M39">
        <v>21</v>
      </c>
      <c r="N39">
        <v>10.45</v>
      </c>
      <c r="O39">
        <v>25.98</v>
      </c>
      <c r="P39">
        <v>2</v>
      </c>
      <c r="Q39" s="31">
        <v>0.402232486528099</v>
      </c>
      <c r="R39" s="31">
        <v>0.0952380952380952</v>
      </c>
      <c r="S39" s="1" t="str">
        <f>VLOOKUP(K:K,'3店'!$B:$B,1,0)</f>
        <v>Y3079-NB+Y3079</v>
      </c>
      <c r="T39" t="s">
        <v>1278</v>
      </c>
      <c r="U39">
        <v>2070</v>
      </c>
      <c r="V39">
        <v>19</v>
      </c>
      <c r="W39">
        <v>6.53</v>
      </c>
      <c r="X39">
        <v>23.98</v>
      </c>
      <c r="Y39">
        <v>2</v>
      </c>
      <c r="Z39" s="31">
        <v>0.272310258548791</v>
      </c>
      <c r="AA39" s="31">
        <v>0.105263157894737</v>
      </c>
      <c r="AB39" s="1" t="e">
        <f>VLOOKUP(T:T,'3店'!$B:$B,1,0)</f>
        <v>#N/A</v>
      </c>
      <c r="AC39" t="s">
        <v>1077</v>
      </c>
      <c r="AD39">
        <v>9851</v>
      </c>
      <c r="AE39">
        <v>51</v>
      </c>
      <c r="AF39">
        <v>33.04</v>
      </c>
      <c r="AG39">
        <v>134.89</v>
      </c>
      <c r="AH39">
        <v>11</v>
      </c>
      <c r="AI39" s="31">
        <v>0.244940321743643</v>
      </c>
      <c r="AJ39" s="31">
        <v>0.215686274509804</v>
      </c>
      <c r="AK39" s="1" t="str">
        <f>VLOOKUP(AC:AC,'3店'!$B:$B,1,0)</f>
        <v>Y3075-BL</v>
      </c>
      <c r="AL39" t="s">
        <v>1004</v>
      </c>
      <c r="AM39" s="102">
        <v>77.94</v>
      </c>
      <c r="AN39" s="1">
        <f t="shared" si="2"/>
        <v>533.889</v>
      </c>
      <c r="AP39" s="29" t="s">
        <v>1001</v>
      </c>
      <c r="AQ39" s="33">
        <v>177.74</v>
      </c>
      <c r="AR39" s="1">
        <f t="shared" si="3"/>
        <v>1217.519</v>
      </c>
      <c r="AT39" s="45" t="s">
        <v>690</v>
      </c>
      <c r="AU39" s="44">
        <v>232.9</v>
      </c>
      <c r="AV39" s="35"/>
      <c r="AW39" s="43" t="s">
        <v>687</v>
      </c>
      <c r="AX39" s="44">
        <v>534.3</v>
      </c>
      <c r="AZ39" s="160" t="s">
        <v>687</v>
      </c>
      <c r="BA39" s="127">
        <v>3.675</v>
      </c>
      <c r="BB39" s="1" t="s">
        <v>430</v>
      </c>
    </row>
    <row r="40" spans="2:54">
      <c r="B40" t="s">
        <v>732</v>
      </c>
      <c r="C40">
        <v>3</v>
      </c>
      <c r="D40" s="1" t="str">
        <f>VLOOKUP(B:B,'3店'!$B:$B,1,0)</f>
        <v>Y03652-OR+Y03653+Y03654</v>
      </c>
      <c r="E40" t="s">
        <v>957</v>
      </c>
      <c r="F40">
        <v>6</v>
      </c>
      <c r="G40" s="1" t="str">
        <f>VLOOKUP(E:E,'3店'!$B:$B,1,0)</f>
        <v>Y3049-DB+Y3050+Y3051</v>
      </c>
      <c r="H40" t="s">
        <v>1282</v>
      </c>
      <c r="I40">
        <v>9</v>
      </c>
      <c r="J40" s="1" t="e">
        <f>VLOOKUP(H:H,'3店'!$B:$B,1,0)</f>
        <v>#N/A</v>
      </c>
      <c r="K40" t="s">
        <v>1058</v>
      </c>
      <c r="L40">
        <v>3014</v>
      </c>
      <c r="M40">
        <v>22</v>
      </c>
      <c r="N40">
        <v>9.22</v>
      </c>
      <c r="O40">
        <v>77.94</v>
      </c>
      <c r="P40">
        <v>6</v>
      </c>
      <c r="Q40" s="31">
        <v>0.118296125224532</v>
      </c>
      <c r="R40" s="31">
        <v>0.272727272727273</v>
      </c>
      <c r="S40" s="1" t="str">
        <f>VLOOKUP(K:K,'3店'!$B:$B,1,0)</f>
        <v>Y3079-OR+Y3079</v>
      </c>
      <c r="T40" t="s">
        <v>813</v>
      </c>
      <c r="U40">
        <v>1572</v>
      </c>
      <c r="V40">
        <v>22</v>
      </c>
      <c r="W40">
        <v>5.13</v>
      </c>
      <c r="X40">
        <v>21.98</v>
      </c>
      <c r="Y40">
        <v>2</v>
      </c>
      <c r="Z40" s="31">
        <v>0.233393994540491</v>
      </c>
      <c r="AA40" s="31">
        <v>0.0909090909090909</v>
      </c>
      <c r="AB40" s="1" t="str">
        <f>VLOOKUP(T:T,'3店'!$B:$B,1,0)</f>
        <v>Y3022-GK+Y3023+Y3024</v>
      </c>
      <c r="AC40" t="s">
        <v>1007</v>
      </c>
      <c r="AD40">
        <v>62309</v>
      </c>
      <c r="AE40">
        <v>385</v>
      </c>
      <c r="AF40">
        <v>179.77</v>
      </c>
      <c r="AG40">
        <v>487.62</v>
      </c>
      <c r="AH40">
        <v>40</v>
      </c>
      <c r="AI40" s="31">
        <v>0.368668225257373</v>
      </c>
      <c r="AJ40" s="31">
        <v>0.103896103896104</v>
      </c>
      <c r="AK40" s="1" t="str">
        <f>VLOOKUP(AC:AC,'3店'!$B:$B,1,0)</f>
        <v>Y3060-OR+Y3061+Y3062</v>
      </c>
      <c r="AL40" t="s">
        <v>1001</v>
      </c>
      <c r="AM40" s="102">
        <v>76.83</v>
      </c>
      <c r="AN40" s="1">
        <f t="shared" si="2"/>
        <v>526.2855</v>
      </c>
      <c r="AP40" s="29" t="s">
        <v>606</v>
      </c>
      <c r="AQ40" s="33">
        <v>139.78</v>
      </c>
      <c r="AR40" s="1">
        <f t="shared" si="3"/>
        <v>957.493</v>
      </c>
      <c r="AT40" s="45" t="s">
        <v>693</v>
      </c>
      <c r="AU40" s="44">
        <v>137</v>
      </c>
      <c r="AV40" s="35"/>
      <c r="AW40" s="43" t="s">
        <v>690</v>
      </c>
      <c r="AX40" s="44">
        <v>274</v>
      </c>
      <c r="AZ40" s="160" t="s">
        <v>690</v>
      </c>
      <c r="BA40" s="127">
        <v>5.691</v>
      </c>
      <c r="BB40" s="1" t="s">
        <v>430</v>
      </c>
    </row>
    <row r="41" spans="2:54">
      <c r="B41" t="s">
        <v>753</v>
      </c>
      <c r="C41">
        <v>5</v>
      </c>
      <c r="D41" s="1" t="str">
        <f>VLOOKUP(B:B,'3店'!$B:$B,1,0)</f>
        <v>Y3013-OR+Y3014</v>
      </c>
      <c r="E41" t="s">
        <v>792</v>
      </c>
      <c r="F41">
        <v>13</v>
      </c>
      <c r="G41" s="1" t="str">
        <f>VLOOKUP(E:E,'3店'!$B:$B,1,0)</f>
        <v>Y03742-NB+Y03743</v>
      </c>
      <c r="H41" t="s">
        <v>957</v>
      </c>
      <c r="I41">
        <v>11</v>
      </c>
      <c r="J41" s="1" t="str">
        <f>VLOOKUP(H:H,'3店'!$B:$B,1,0)</f>
        <v>Y3049-DB+Y3050+Y3051</v>
      </c>
      <c r="K41" t="s">
        <v>1273</v>
      </c>
      <c r="L41">
        <v>1564</v>
      </c>
      <c r="M41">
        <v>6</v>
      </c>
      <c r="N41">
        <v>3.41</v>
      </c>
      <c r="O41">
        <v>27.99</v>
      </c>
      <c r="P41">
        <v>1</v>
      </c>
      <c r="Q41" s="31">
        <v>0.121829224723115</v>
      </c>
      <c r="R41" s="31">
        <v>0.166666666666667</v>
      </c>
      <c r="S41" s="1" t="str">
        <f>VLOOKUP(K:K,'3店'!$B:$B,1,0)</f>
        <v>Y3095-BL</v>
      </c>
      <c r="T41" t="s">
        <v>1182</v>
      </c>
      <c r="U41">
        <v>14085</v>
      </c>
      <c r="V41">
        <v>123</v>
      </c>
      <c r="W41">
        <v>60.83</v>
      </c>
      <c r="X41">
        <v>154.87</v>
      </c>
      <c r="Y41">
        <v>13</v>
      </c>
      <c r="Z41" s="31">
        <v>0.392781042164396</v>
      </c>
      <c r="AA41" s="31">
        <v>0.105691056910569</v>
      </c>
      <c r="AB41" s="1" t="str">
        <f>VLOOKUP(T:T,'3店'!$B:$B,1,0)</f>
        <v>Y3096-OR+Y3097+Y3098</v>
      </c>
      <c r="AC41" t="s">
        <v>1107</v>
      </c>
      <c r="AD41">
        <v>12425</v>
      </c>
      <c r="AE41">
        <v>39</v>
      </c>
      <c r="AF41">
        <v>18.84</v>
      </c>
      <c r="AG41">
        <v>36.97</v>
      </c>
      <c r="AH41">
        <v>3</v>
      </c>
      <c r="AI41" s="31">
        <v>0.509602380308358</v>
      </c>
      <c r="AJ41" s="31">
        <v>0.0769230769230769</v>
      </c>
      <c r="AK41" s="1" t="str">
        <f>VLOOKUP(AC:AC,'3店'!$B:$B,1,0)</f>
        <v>Y3082-BL+Y3083+Y3084</v>
      </c>
      <c r="AL41" t="s">
        <v>609</v>
      </c>
      <c r="AM41" s="102">
        <v>64.95</v>
      </c>
      <c r="AN41" s="1">
        <f t="shared" si="2"/>
        <v>444.9075</v>
      </c>
      <c r="AP41" s="29" t="s">
        <v>801</v>
      </c>
      <c r="AQ41" s="33">
        <v>129.9</v>
      </c>
      <c r="AR41" s="1">
        <f t="shared" si="3"/>
        <v>889.815</v>
      </c>
      <c r="AT41" s="45" t="s">
        <v>696</v>
      </c>
      <c r="AU41" s="44">
        <v>5573.9</v>
      </c>
      <c r="AV41" s="35"/>
      <c r="AW41" s="43" t="s">
        <v>693</v>
      </c>
      <c r="AX41" s="44">
        <v>178.1</v>
      </c>
      <c r="AZ41" s="160" t="s">
        <v>684</v>
      </c>
      <c r="BA41" s="127">
        <v>3.915</v>
      </c>
      <c r="BB41" s="1" t="s">
        <v>430</v>
      </c>
    </row>
    <row r="42" spans="2:54">
      <c r="B42" t="s">
        <v>828</v>
      </c>
      <c r="C42">
        <v>2</v>
      </c>
      <c r="D42" s="1" t="str">
        <f>VLOOKUP(B:B,'3店'!$B:$B,1,0)</f>
        <v>Y3033-DB+Y3034+Y3035</v>
      </c>
      <c r="E42" t="s">
        <v>606</v>
      </c>
      <c r="F42">
        <v>11</v>
      </c>
      <c r="G42" s="1" t="str">
        <f>VLOOKUP(E:E,'3店'!$B:$B,1,0)</f>
        <v>E03375-OR+E03380+E03397</v>
      </c>
      <c r="H42" t="s">
        <v>792</v>
      </c>
      <c r="I42">
        <v>23</v>
      </c>
      <c r="J42" s="1" t="str">
        <f>VLOOKUP(H:H,'3店'!$B:$B,1,0)</f>
        <v>Y03742-NB+Y03743</v>
      </c>
      <c r="K42" t="s">
        <v>1085</v>
      </c>
      <c r="L42">
        <v>1902</v>
      </c>
      <c r="M42">
        <v>6</v>
      </c>
      <c r="N42">
        <v>2.67</v>
      </c>
      <c r="O42">
        <v>38.97</v>
      </c>
      <c r="P42">
        <v>3</v>
      </c>
      <c r="Q42" s="31">
        <v>0.0685142417244034</v>
      </c>
      <c r="R42" s="31">
        <v>0.5</v>
      </c>
      <c r="S42" s="1" t="str">
        <f>VLOOKUP(K:K,'3店'!$B:$B,1,0)</f>
        <v>Y3075-NB</v>
      </c>
      <c r="T42" t="s">
        <v>714</v>
      </c>
      <c r="U42">
        <v>5080</v>
      </c>
      <c r="V42">
        <v>58</v>
      </c>
      <c r="W42">
        <v>17.38</v>
      </c>
      <c r="X42">
        <v>51.96</v>
      </c>
      <c r="Y42">
        <v>4</v>
      </c>
      <c r="Z42" s="31">
        <v>0.334488067744419</v>
      </c>
      <c r="AA42" s="31">
        <v>0.0689655172413793</v>
      </c>
      <c r="AB42" s="1" t="str">
        <f>VLOOKUP(T:T,'3店'!$B:$B,1,0)</f>
        <v>Y03561-OR+Y03562+Y03565</v>
      </c>
      <c r="AC42" t="s">
        <v>1116</v>
      </c>
      <c r="AD42">
        <v>491</v>
      </c>
      <c r="AE42">
        <v>1</v>
      </c>
      <c r="AF42">
        <v>0.66</v>
      </c>
      <c r="AG42">
        <v>0</v>
      </c>
      <c r="AH42">
        <v>0</v>
      </c>
      <c r="AI42" s="31">
        <v>0</v>
      </c>
      <c r="AJ42" s="31">
        <v>0</v>
      </c>
      <c r="AK42" s="1" t="str">
        <f>VLOOKUP(AC:AC,'3店'!$B:$B,1,0)</f>
        <v>Y3082-OR+Y3083+Y3084</v>
      </c>
      <c r="AL42" t="s">
        <v>657</v>
      </c>
      <c r="AM42" s="102">
        <v>64.95</v>
      </c>
      <c r="AN42" s="1">
        <f t="shared" si="2"/>
        <v>444.9075</v>
      </c>
      <c r="AP42" s="29" t="s">
        <v>966</v>
      </c>
      <c r="AQ42" s="33">
        <v>132.67</v>
      </c>
      <c r="AR42" s="1">
        <f t="shared" si="3"/>
        <v>908.7895</v>
      </c>
      <c r="AT42" s="45" t="s">
        <v>699</v>
      </c>
      <c r="AU42" s="44">
        <v>389.2</v>
      </c>
      <c r="AV42" s="35"/>
      <c r="AW42" s="43" t="s">
        <v>696</v>
      </c>
      <c r="AX42" s="44">
        <v>1612.4</v>
      </c>
      <c r="AZ42" s="160" t="s">
        <v>693</v>
      </c>
      <c r="BA42" s="127">
        <v>3.528</v>
      </c>
      <c r="BB42" s="1" t="s">
        <v>430</v>
      </c>
    </row>
    <row r="43" spans="2:54">
      <c r="B43" t="s">
        <v>957</v>
      </c>
      <c r="C43">
        <v>4</v>
      </c>
      <c r="D43" s="1" t="str">
        <f>VLOOKUP(B:B,'3店'!$B:$B,1,0)</f>
        <v>Y3049-DB+Y3050+Y3051</v>
      </c>
      <c r="E43" t="s">
        <v>930</v>
      </c>
      <c r="F43">
        <v>7</v>
      </c>
      <c r="G43" s="1" t="str">
        <f>VLOOKUP(E:E,'3店'!$B:$B,1,0)</f>
        <v>Y3036-BL</v>
      </c>
      <c r="H43" t="s">
        <v>606</v>
      </c>
      <c r="I43">
        <v>60</v>
      </c>
      <c r="J43" s="1" t="str">
        <f>VLOOKUP(H:H,'3店'!$B:$B,1,0)</f>
        <v>E03375-OR+E03380+E03397</v>
      </c>
      <c r="K43" t="s">
        <v>946</v>
      </c>
      <c r="L43">
        <v>2114</v>
      </c>
      <c r="M43">
        <v>7</v>
      </c>
      <c r="N43">
        <v>2.08</v>
      </c>
      <c r="O43">
        <v>0</v>
      </c>
      <c r="P43">
        <v>0</v>
      </c>
      <c r="Q43" s="31">
        <v>0</v>
      </c>
      <c r="R43" s="31">
        <v>0</v>
      </c>
      <c r="S43" s="1" t="str">
        <f>VLOOKUP(K:K,'3店'!$B:$B,1,0)</f>
        <v>Y3039-GK</v>
      </c>
      <c r="T43" t="s">
        <v>1055</v>
      </c>
      <c r="U43">
        <v>9186</v>
      </c>
      <c r="V43">
        <v>44</v>
      </c>
      <c r="W43">
        <v>21.92</v>
      </c>
      <c r="X43">
        <v>83.83</v>
      </c>
      <c r="Y43">
        <v>6</v>
      </c>
      <c r="Z43" s="31">
        <v>0.261481569843731</v>
      </c>
      <c r="AA43" s="31">
        <v>0.136363636363636</v>
      </c>
      <c r="AB43" s="1" t="str">
        <f>VLOOKUP(T:T,'3店'!$B:$B,1,0)</f>
        <v>Y3079-NB+Y3079</v>
      </c>
      <c r="AC43" t="s">
        <v>1278</v>
      </c>
      <c r="AD43">
        <v>7869</v>
      </c>
      <c r="AE43">
        <v>66</v>
      </c>
      <c r="AF43">
        <v>23.04</v>
      </c>
      <c r="AG43">
        <v>88.93</v>
      </c>
      <c r="AH43">
        <v>6</v>
      </c>
      <c r="AI43" s="31">
        <v>0.259080175418869</v>
      </c>
      <c r="AJ43" s="31">
        <v>0.0909090909090909</v>
      </c>
      <c r="AK43" s="1" t="e">
        <f>VLOOKUP(AC:AC,'3店'!$B:$B,1,0)</f>
        <v>#N/A</v>
      </c>
      <c r="AL43" t="s">
        <v>753</v>
      </c>
      <c r="AM43" s="102">
        <v>64.95</v>
      </c>
      <c r="AN43" s="1">
        <f t="shared" si="2"/>
        <v>444.9075</v>
      </c>
      <c r="AP43" s="29" t="s">
        <v>636</v>
      </c>
      <c r="AQ43" s="33">
        <v>114.91</v>
      </c>
      <c r="AR43" s="1">
        <f t="shared" si="3"/>
        <v>787.1335</v>
      </c>
      <c r="AT43" s="45" t="s">
        <v>702</v>
      </c>
      <c r="AU43" s="44">
        <v>291.9</v>
      </c>
      <c r="AV43" s="35"/>
      <c r="AW43" s="43" t="s">
        <v>702</v>
      </c>
      <c r="AX43" s="44">
        <v>250.2</v>
      </c>
      <c r="AZ43" s="160" t="s">
        <v>1287</v>
      </c>
      <c r="BA43" s="127">
        <v>7.93</v>
      </c>
      <c r="BB43" s="1" t="s">
        <v>430</v>
      </c>
    </row>
    <row r="44" spans="2:54">
      <c r="B44" t="s">
        <v>591</v>
      </c>
      <c r="C44">
        <v>3</v>
      </c>
      <c r="D44" s="1" t="str">
        <f>VLOOKUP(B:B,'3店'!$B:$B,1,0)</f>
        <v>E03135-db</v>
      </c>
      <c r="E44" t="s">
        <v>636</v>
      </c>
      <c r="F44">
        <v>9</v>
      </c>
      <c r="G44" s="1" t="str">
        <f>VLOOKUP(E:E,'3店'!$B:$B,1,0)</f>
        <v>E03390-OR+E03240</v>
      </c>
      <c r="H44" t="s">
        <v>930</v>
      </c>
      <c r="I44">
        <v>15</v>
      </c>
      <c r="J44" s="1" t="str">
        <f>VLOOKUP(H:H,'3店'!$B:$B,1,0)</f>
        <v>Y3036-BL</v>
      </c>
      <c r="K44" t="s">
        <v>1153</v>
      </c>
      <c r="L44">
        <v>2231</v>
      </c>
      <c r="M44">
        <v>11</v>
      </c>
      <c r="N44">
        <v>7.43</v>
      </c>
      <c r="O44">
        <v>55.98</v>
      </c>
      <c r="P44">
        <v>2</v>
      </c>
      <c r="Q44" s="31">
        <v>0.132725973561986</v>
      </c>
      <c r="R44" s="31">
        <v>0.181818181818182</v>
      </c>
      <c r="S44" s="1" t="str">
        <f>VLOOKUP(K:K,'3店'!$B:$B,1,0)</f>
        <v>Y3092-BL+Y3093+Y3094</v>
      </c>
      <c r="T44" t="s">
        <v>1058</v>
      </c>
      <c r="U44">
        <v>5168</v>
      </c>
      <c r="V44">
        <v>35</v>
      </c>
      <c r="W44">
        <v>14.68</v>
      </c>
      <c r="X44">
        <v>75.94</v>
      </c>
      <c r="Y44">
        <v>6</v>
      </c>
      <c r="Z44" s="31">
        <v>0.193310508296023</v>
      </c>
      <c r="AA44" s="31">
        <v>0.171428571428571</v>
      </c>
      <c r="AB44" s="1" t="str">
        <f>VLOOKUP(T:T,'3店'!$B:$B,1,0)</f>
        <v>Y3079-OR+Y3079</v>
      </c>
      <c r="AC44" t="s">
        <v>813</v>
      </c>
      <c r="AD44">
        <v>5530</v>
      </c>
      <c r="AE44">
        <v>71</v>
      </c>
      <c r="AF44">
        <v>18.01</v>
      </c>
      <c r="AG44">
        <v>34.97</v>
      </c>
      <c r="AH44">
        <v>3</v>
      </c>
      <c r="AI44" s="31">
        <v>0.51501286817272</v>
      </c>
      <c r="AJ44" s="31">
        <v>0.0422535211267606</v>
      </c>
      <c r="AK44" s="1" t="str">
        <f>VLOOKUP(AC:AC,'3店'!$B:$B,1,0)</f>
        <v>Y3022-GK+Y3023+Y3024</v>
      </c>
      <c r="AL44" t="s">
        <v>963</v>
      </c>
      <c r="AM44" s="102">
        <v>64.95</v>
      </c>
      <c r="AN44" s="1">
        <f t="shared" si="2"/>
        <v>444.9075</v>
      </c>
      <c r="AP44" s="29" t="s">
        <v>642</v>
      </c>
      <c r="AQ44" s="33">
        <v>114.91</v>
      </c>
      <c r="AR44" s="1">
        <f t="shared" si="3"/>
        <v>787.1335</v>
      </c>
      <c r="AT44" s="45" t="s">
        <v>705</v>
      </c>
      <c r="AU44" s="44">
        <v>264.1</v>
      </c>
      <c r="AV44" s="35"/>
      <c r="AW44" s="43" t="s">
        <v>705</v>
      </c>
      <c r="AX44" s="44">
        <v>41.7</v>
      </c>
      <c r="AZ44" s="160" t="s">
        <v>1288</v>
      </c>
      <c r="BA44" s="127">
        <v>11.57</v>
      </c>
      <c r="BB44" s="1" t="s">
        <v>430</v>
      </c>
    </row>
    <row r="45" spans="2:54">
      <c r="B45" t="s">
        <v>636</v>
      </c>
      <c r="C45">
        <v>4</v>
      </c>
      <c r="D45" s="1" t="str">
        <f>VLOOKUP(B:B,'3店'!$B:$B,1,0)</f>
        <v>E03390-OR+E03240</v>
      </c>
      <c r="E45" t="s">
        <v>705</v>
      </c>
      <c r="F45">
        <v>6</v>
      </c>
      <c r="G45" s="1" t="str">
        <f>VLOOKUP(E:E,'3店'!$B:$B,1,0)</f>
        <v>Y03507-OR+Y03508+Y03509</v>
      </c>
      <c r="H45" t="s">
        <v>636</v>
      </c>
      <c r="I45">
        <v>18</v>
      </c>
      <c r="J45" s="1" t="str">
        <f>VLOOKUP(H:H,'3店'!$B:$B,1,0)</f>
        <v>E03390-OR+E03240</v>
      </c>
      <c r="K45" t="s">
        <v>615</v>
      </c>
      <c r="L45">
        <v>4351</v>
      </c>
      <c r="M45">
        <v>24</v>
      </c>
      <c r="N45">
        <v>7.77</v>
      </c>
      <c r="O45">
        <v>12.99</v>
      </c>
      <c r="P45">
        <v>1</v>
      </c>
      <c r="Q45" s="31">
        <v>0.598152424942263</v>
      </c>
      <c r="R45" s="31">
        <v>0.0416666666666667</v>
      </c>
      <c r="S45" s="1" t="str">
        <f>VLOOKUP(K:K,'3店'!$B:$B,1,0)</f>
        <v>E03386-NB+E03268-02</v>
      </c>
      <c r="T45" t="s">
        <v>1247</v>
      </c>
      <c r="U45">
        <v>1282</v>
      </c>
      <c r="V45">
        <v>5</v>
      </c>
      <c r="W45">
        <v>3.14</v>
      </c>
      <c r="X45">
        <v>29.63</v>
      </c>
      <c r="Y45">
        <v>1</v>
      </c>
      <c r="Z45" s="31">
        <v>0.105973675329058</v>
      </c>
      <c r="AA45" s="31">
        <v>0.2</v>
      </c>
      <c r="AB45" s="1" t="str">
        <f>VLOOKUP(T:T,'3店'!$B:$B,1,0)</f>
        <v>Y3089-BL+Y3090+Y3091</v>
      </c>
      <c r="AC45" t="s">
        <v>1182</v>
      </c>
      <c r="AD45">
        <v>43159</v>
      </c>
      <c r="AE45">
        <v>335</v>
      </c>
      <c r="AF45">
        <v>169.15</v>
      </c>
      <c r="AG45">
        <v>310.74</v>
      </c>
      <c r="AH45">
        <v>27</v>
      </c>
      <c r="AI45" s="31">
        <v>0.544345755293815</v>
      </c>
      <c r="AJ45" s="31">
        <v>0.0805970149253731</v>
      </c>
      <c r="AK45" s="1" t="str">
        <f>VLOOKUP(AC:AC,'3店'!$B:$B,1,0)</f>
        <v>Y3096-OR+Y3097+Y3098</v>
      </c>
      <c r="AL45" t="s">
        <v>1041</v>
      </c>
      <c r="AM45" s="102">
        <v>77.94</v>
      </c>
      <c r="AN45" s="1">
        <f t="shared" si="2"/>
        <v>533.889</v>
      </c>
      <c r="AP45" s="29" t="s">
        <v>651</v>
      </c>
      <c r="AQ45" s="33">
        <v>112.02</v>
      </c>
      <c r="AR45" s="1">
        <f t="shared" si="3"/>
        <v>767.337</v>
      </c>
      <c r="AT45" s="45" t="s">
        <v>708</v>
      </c>
      <c r="AU45" s="44">
        <v>13.9</v>
      </c>
      <c r="AV45" s="35"/>
      <c r="AW45" s="43" t="s">
        <v>708</v>
      </c>
      <c r="AX45" s="44">
        <v>319.7</v>
      </c>
      <c r="AZ45" s="160" t="s">
        <v>1289</v>
      </c>
      <c r="BA45" s="127">
        <v>11.57</v>
      </c>
      <c r="BB45" s="1" t="s">
        <v>430</v>
      </c>
    </row>
    <row r="46" spans="2:54">
      <c r="B46" t="s">
        <v>642</v>
      </c>
      <c r="C46">
        <v>6</v>
      </c>
      <c r="D46" s="1" t="str">
        <f>VLOOKUP(B:B,'3店'!$B:$B,1,0)</f>
        <v>E03391-NB+E03271</v>
      </c>
      <c r="E46" t="s">
        <v>804</v>
      </c>
      <c r="F46">
        <v>7</v>
      </c>
      <c r="G46" s="1" t="str">
        <f>VLOOKUP(E:E,'3店'!$B:$B,1,0)</f>
        <v>Y03652-GK+Y03653+Y03654</v>
      </c>
      <c r="H46" t="s">
        <v>705</v>
      </c>
      <c r="I46">
        <v>11</v>
      </c>
      <c r="J46" s="1" t="str">
        <f>VLOOKUP(H:H,'3店'!$B:$B,1,0)</f>
        <v>Y03507-OR+Y03508+Y03509</v>
      </c>
      <c r="K46" t="s">
        <v>612</v>
      </c>
      <c r="L46">
        <v>3501</v>
      </c>
      <c r="M46">
        <v>36</v>
      </c>
      <c r="N46">
        <v>13.72</v>
      </c>
      <c r="O46">
        <v>90.93</v>
      </c>
      <c r="P46">
        <v>6</v>
      </c>
      <c r="Q46" s="31">
        <v>0.150885296381832</v>
      </c>
      <c r="R46" s="31">
        <v>0.166666666666667</v>
      </c>
      <c r="S46" s="1" t="str">
        <f>VLOOKUP(K:K,'3店'!$B:$B,1,0)</f>
        <v>E03386-BL+E03268-02</v>
      </c>
      <c r="T46" t="s">
        <v>1273</v>
      </c>
      <c r="U46">
        <v>5424</v>
      </c>
      <c r="V46">
        <v>12</v>
      </c>
      <c r="W46">
        <v>7.19</v>
      </c>
      <c r="X46">
        <v>27.99</v>
      </c>
      <c r="Y46">
        <v>1</v>
      </c>
      <c r="Z46" s="31">
        <v>0.256877456234369</v>
      </c>
      <c r="AA46" s="31">
        <v>0.0833333333333333</v>
      </c>
      <c r="AB46" s="1" t="str">
        <f>VLOOKUP(T:T,'3店'!$B:$B,1,0)</f>
        <v>Y3095-BL</v>
      </c>
      <c r="AC46" t="s">
        <v>714</v>
      </c>
      <c r="AD46">
        <v>8738</v>
      </c>
      <c r="AE46">
        <v>86</v>
      </c>
      <c r="AF46">
        <v>26.13</v>
      </c>
      <c r="AG46">
        <v>77.94</v>
      </c>
      <c r="AH46">
        <v>6</v>
      </c>
      <c r="AI46" s="31">
        <v>0.335257890685142</v>
      </c>
      <c r="AJ46" s="31">
        <v>0.0697674418604651</v>
      </c>
      <c r="AK46" s="1" t="str">
        <f>VLOOKUP(AC:AC,'3店'!$B:$B,1,0)</f>
        <v>Y03561-OR+Y03562+Y03565</v>
      </c>
      <c r="AL46" t="s">
        <v>1058</v>
      </c>
      <c r="AM46" s="102">
        <v>64.95</v>
      </c>
      <c r="AN46" s="1">
        <f t="shared" si="2"/>
        <v>444.9075</v>
      </c>
      <c r="AP46" s="29" t="s">
        <v>621</v>
      </c>
      <c r="AQ46" s="33">
        <v>116.91</v>
      </c>
      <c r="AR46" s="1">
        <f t="shared" si="3"/>
        <v>800.8335</v>
      </c>
      <c r="AT46" s="45" t="s">
        <v>711</v>
      </c>
      <c r="AU46" s="44">
        <v>111.2</v>
      </c>
      <c r="AV46" s="35"/>
      <c r="AW46" s="43" t="s">
        <v>711</v>
      </c>
      <c r="AX46" s="44">
        <v>222.4</v>
      </c>
      <c r="AZ46" s="160" t="s">
        <v>1290</v>
      </c>
      <c r="BA46" s="127">
        <v>0</v>
      </c>
      <c r="BB46" s="1" t="s">
        <v>430</v>
      </c>
    </row>
    <row r="47" spans="2:54">
      <c r="B47" t="s">
        <v>651</v>
      </c>
      <c r="C47">
        <v>6</v>
      </c>
      <c r="D47" s="1" t="str">
        <f>VLOOKUP(B:B,'3店'!$B:$B,1,0)</f>
        <v>Y03449-DG+Y03476</v>
      </c>
      <c r="E47" t="s">
        <v>801</v>
      </c>
      <c r="F47">
        <v>10</v>
      </c>
      <c r="G47" s="1" t="str">
        <f>VLOOKUP(E:E,'3店'!$B:$B,1,0)</f>
        <v>Y03652-BY+Y03653+Y03654</v>
      </c>
      <c r="H47" t="s">
        <v>804</v>
      </c>
      <c r="I47">
        <v>12</v>
      </c>
      <c r="J47" s="1" t="str">
        <f>VLOOKUP(H:H,'3店'!$B:$B,1,0)</f>
        <v>Y03652-GK+Y03653+Y03654</v>
      </c>
      <c r="K47" t="s">
        <v>618</v>
      </c>
      <c r="L47">
        <v>1441</v>
      </c>
      <c r="M47">
        <v>4</v>
      </c>
      <c r="N47">
        <v>1.73</v>
      </c>
      <c r="O47">
        <v>0</v>
      </c>
      <c r="P47">
        <v>0</v>
      </c>
      <c r="Q47" s="31">
        <v>0</v>
      </c>
      <c r="R47" s="31">
        <v>0</v>
      </c>
      <c r="S47" s="1" t="str">
        <f>VLOOKUP(K:K,'3店'!$B:$B,1,0)</f>
        <v>E03386-OR+E03268-02</v>
      </c>
      <c r="T47" t="s">
        <v>1085</v>
      </c>
      <c r="U47">
        <v>4902</v>
      </c>
      <c r="V47">
        <v>18</v>
      </c>
      <c r="W47">
        <v>8.71</v>
      </c>
      <c r="X47">
        <v>62.95</v>
      </c>
      <c r="Y47">
        <v>5</v>
      </c>
      <c r="Z47" s="31">
        <v>0.138363780778396</v>
      </c>
      <c r="AA47" s="31">
        <v>0.277777777777778</v>
      </c>
      <c r="AB47" s="1" t="str">
        <f>VLOOKUP(T:T,'3店'!$B:$B,1,0)</f>
        <v>Y3075-NB</v>
      </c>
      <c r="AC47" t="s">
        <v>1055</v>
      </c>
      <c r="AD47">
        <v>18905</v>
      </c>
      <c r="AE47">
        <v>103</v>
      </c>
      <c r="AF47">
        <v>52.78</v>
      </c>
      <c r="AG47">
        <v>122.8</v>
      </c>
      <c r="AH47">
        <v>9</v>
      </c>
      <c r="AI47" s="31">
        <v>0.429804560260586</v>
      </c>
      <c r="AJ47" s="31">
        <v>0.087378640776699</v>
      </c>
      <c r="AK47" s="1" t="str">
        <f>VLOOKUP(AC:AC,'3店'!$B:$B,1,0)</f>
        <v>Y3079-NB+Y3079</v>
      </c>
      <c r="AL47" t="s">
        <v>1220</v>
      </c>
      <c r="AM47" s="102">
        <v>64.95</v>
      </c>
      <c r="AN47" s="1">
        <f t="shared" si="2"/>
        <v>444.9075</v>
      </c>
      <c r="AP47" s="29" t="s">
        <v>672</v>
      </c>
      <c r="AQ47" s="33">
        <v>224.21</v>
      </c>
      <c r="AR47" s="1">
        <f t="shared" si="3"/>
        <v>1535.8385</v>
      </c>
      <c r="AT47" s="45" t="s">
        <v>714</v>
      </c>
      <c r="AU47" s="44">
        <v>27.8</v>
      </c>
      <c r="AV47" s="35"/>
      <c r="AW47" s="43" t="s">
        <v>714</v>
      </c>
      <c r="AX47" s="44">
        <v>41.7</v>
      </c>
      <c r="AZ47" s="160" t="s">
        <v>648</v>
      </c>
      <c r="BA47" s="127">
        <v>3.9</v>
      </c>
      <c r="BB47" s="1" t="s">
        <v>430</v>
      </c>
    </row>
    <row r="48" spans="2:54">
      <c r="B48" t="s">
        <v>645</v>
      </c>
      <c r="C48">
        <v>4</v>
      </c>
      <c r="D48" s="1" t="str">
        <f>VLOOKUP(B:B,'3店'!$B:$B,1,0)</f>
        <v>E03391-OR+E03271</v>
      </c>
      <c r="E48" t="s">
        <v>591</v>
      </c>
      <c r="F48">
        <v>6</v>
      </c>
      <c r="G48" s="1" t="str">
        <f>VLOOKUP(E:E,'3店'!$B:$B,1,0)</f>
        <v>E03135-db</v>
      </c>
      <c r="H48" t="s">
        <v>801</v>
      </c>
      <c r="I48">
        <v>21</v>
      </c>
      <c r="J48" s="1" t="str">
        <f>VLOOKUP(H:H,'3店'!$B:$B,1,0)</f>
        <v>Y03652-BY+Y03653+Y03654</v>
      </c>
      <c r="K48" t="s">
        <v>708</v>
      </c>
      <c r="L48">
        <v>3512</v>
      </c>
      <c r="M48">
        <v>21</v>
      </c>
      <c r="N48">
        <v>5.28</v>
      </c>
      <c r="O48">
        <v>51.96</v>
      </c>
      <c r="P48">
        <v>4</v>
      </c>
      <c r="Q48" s="31">
        <v>0.10161662817552</v>
      </c>
      <c r="R48" s="31">
        <v>0.19047619047619</v>
      </c>
      <c r="S48" s="1" t="str">
        <f>VLOOKUP(K:K,'3店'!$B:$B,1,0)</f>
        <v>Y03561-BL+Y03562+Y03565</v>
      </c>
      <c r="T48" t="s">
        <v>946</v>
      </c>
      <c r="U48">
        <v>5433</v>
      </c>
      <c r="V48">
        <v>18</v>
      </c>
      <c r="W48">
        <v>5.72</v>
      </c>
      <c r="X48">
        <v>0</v>
      </c>
      <c r="Y48">
        <v>0</v>
      </c>
      <c r="Z48" s="31">
        <v>0</v>
      </c>
      <c r="AA48" s="31">
        <v>0</v>
      </c>
      <c r="AB48" s="1" t="str">
        <f>VLOOKUP(T:T,'3店'!$B:$B,1,0)</f>
        <v>Y3039-GK</v>
      </c>
      <c r="AC48" t="s">
        <v>1058</v>
      </c>
      <c r="AD48">
        <v>9257</v>
      </c>
      <c r="AE48">
        <v>70</v>
      </c>
      <c r="AF48">
        <v>30.02</v>
      </c>
      <c r="AG48">
        <v>166.87</v>
      </c>
      <c r="AH48">
        <v>13</v>
      </c>
      <c r="AI48" s="31">
        <v>0.179900521363936</v>
      </c>
      <c r="AJ48" s="31">
        <v>0.185714285714286</v>
      </c>
      <c r="AK48" s="1" t="str">
        <f>VLOOKUP(AC:AC,'3店'!$B:$B,1,0)</f>
        <v>Y3079-OR+Y3079</v>
      </c>
      <c r="AL48" t="s">
        <v>1261</v>
      </c>
      <c r="AM48" s="102">
        <v>64.95</v>
      </c>
      <c r="AN48" s="1">
        <f t="shared" si="2"/>
        <v>444.9075</v>
      </c>
      <c r="AP48" s="29" t="s">
        <v>1004</v>
      </c>
      <c r="AQ48" s="33">
        <v>103.92</v>
      </c>
      <c r="AR48" s="1">
        <f t="shared" si="3"/>
        <v>711.852</v>
      </c>
      <c r="AT48" s="45" t="s">
        <v>717</v>
      </c>
      <c r="AU48" s="44">
        <v>2641</v>
      </c>
      <c r="AV48" s="35"/>
      <c r="AW48" s="43" t="s">
        <v>717</v>
      </c>
      <c r="AX48" s="44">
        <v>1681.9</v>
      </c>
      <c r="AZ48" s="160" t="s">
        <v>654</v>
      </c>
      <c r="BA48" s="127">
        <v>3.823</v>
      </c>
      <c r="BB48" s="1" t="s">
        <v>430</v>
      </c>
    </row>
    <row r="49" spans="2:54">
      <c r="B49" t="s">
        <v>606</v>
      </c>
      <c r="C49">
        <v>8</v>
      </c>
      <c r="D49" s="1" t="str">
        <f>VLOOKUP(B:B,'3店'!$B:$B,1,0)</f>
        <v>E03375-OR+E03380+E03397</v>
      </c>
      <c r="E49" t="s">
        <v>690</v>
      </c>
      <c r="F49">
        <v>4</v>
      </c>
      <c r="G49" s="1" t="str">
        <f>VLOOKUP(E:E,'3店'!$B:$B,1,0)</f>
        <v>Y03466-OR+E03063</v>
      </c>
      <c r="H49" t="s">
        <v>591</v>
      </c>
      <c r="I49">
        <v>10</v>
      </c>
      <c r="J49" s="1" t="str">
        <f>VLOOKUP(H:H,'3店'!$B:$B,1,0)</f>
        <v>E03135-db</v>
      </c>
      <c r="K49" t="s">
        <v>1123</v>
      </c>
      <c r="L49">
        <v>3921</v>
      </c>
      <c r="M49">
        <v>7</v>
      </c>
      <c r="N49">
        <v>2.43</v>
      </c>
      <c r="O49">
        <v>12.99</v>
      </c>
      <c r="P49">
        <v>1</v>
      </c>
      <c r="Q49" s="31">
        <v>0.187066974595843</v>
      </c>
      <c r="R49" s="31">
        <v>0.142857142857143</v>
      </c>
      <c r="S49" s="1" t="str">
        <f>VLOOKUP(K:K,'3店'!$B:$B,1,0)</f>
        <v>Y3085-DB+Y3086+Y3087</v>
      </c>
      <c r="T49" t="s">
        <v>1153</v>
      </c>
      <c r="U49">
        <v>4646</v>
      </c>
      <c r="V49">
        <v>28</v>
      </c>
      <c r="W49">
        <v>17.07</v>
      </c>
      <c r="X49">
        <v>114.89</v>
      </c>
      <c r="Y49">
        <v>4</v>
      </c>
      <c r="Z49" s="31">
        <v>0.148576899643137</v>
      </c>
      <c r="AA49" s="31">
        <v>0.142857142857143</v>
      </c>
      <c r="AB49" s="1" t="str">
        <f>VLOOKUP(T:T,'3店'!$B:$B,1,0)</f>
        <v>Y3092-BL+Y3093+Y3094</v>
      </c>
      <c r="AC49" t="s">
        <v>1247</v>
      </c>
      <c r="AD49">
        <v>3020</v>
      </c>
      <c r="AE49">
        <v>8</v>
      </c>
      <c r="AF49">
        <v>4.81</v>
      </c>
      <c r="AG49">
        <v>29.63</v>
      </c>
      <c r="AH49">
        <v>1</v>
      </c>
      <c r="AI49" s="31">
        <v>0.162335470806615</v>
      </c>
      <c r="AJ49" s="31">
        <v>0.125</v>
      </c>
      <c r="AK49" s="1" t="str">
        <f>VLOOKUP(AC:AC,'3店'!$B:$B,1,0)</f>
        <v>Y3089-BL+Y3090+Y3091</v>
      </c>
      <c r="AL49" t="s">
        <v>636</v>
      </c>
      <c r="AM49" s="102">
        <v>51.96</v>
      </c>
      <c r="AN49" s="1">
        <f t="shared" si="2"/>
        <v>355.926</v>
      </c>
      <c r="AP49" s="29" t="s">
        <v>645</v>
      </c>
      <c r="AQ49" s="33">
        <v>89.82</v>
      </c>
      <c r="AR49" s="1">
        <f t="shared" si="3"/>
        <v>615.267</v>
      </c>
      <c r="AT49" s="45" t="s">
        <v>720</v>
      </c>
      <c r="AU49" s="44">
        <v>889.6</v>
      </c>
      <c r="AV49" s="35"/>
      <c r="AW49" s="43" t="s">
        <v>720</v>
      </c>
      <c r="AX49" s="44">
        <v>500.4</v>
      </c>
      <c r="AZ49" s="160" t="s">
        <v>657</v>
      </c>
      <c r="BA49" s="127">
        <v>4.737</v>
      </c>
      <c r="BB49" s="1" t="s">
        <v>430</v>
      </c>
    </row>
    <row r="50" spans="2:54">
      <c r="B50" t="s">
        <v>792</v>
      </c>
      <c r="C50">
        <v>4</v>
      </c>
      <c r="D50" s="1" t="str">
        <f>VLOOKUP(B:B,'3店'!$B:$B,1,0)</f>
        <v>Y03742-NB+Y03743</v>
      </c>
      <c r="E50" t="s">
        <v>642</v>
      </c>
      <c r="F50">
        <v>9</v>
      </c>
      <c r="G50" s="1" t="str">
        <f>VLOOKUP(E:E,'3店'!$B:$B,1,0)</f>
        <v>E03391-NB+E03271</v>
      </c>
      <c r="H50" t="s">
        <v>690</v>
      </c>
      <c r="I50">
        <v>6</v>
      </c>
      <c r="J50" s="1" t="str">
        <f>VLOOKUP(H:H,'3店'!$B:$B,1,0)</f>
        <v>Y03466-OR+E03063</v>
      </c>
      <c r="K50" t="s">
        <v>1247</v>
      </c>
      <c r="L50">
        <v>665</v>
      </c>
      <c r="M50">
        <v>4</v>
      </c>
      <c r="N50">
        <v>2.44</v>
      </c>
      <c r="O50">
        <v>29.63</v>
      </c>
      <c r="P50">
        <v>1</v>
      </c>
      <c r="Q50" s="31">
        <v>0.082348970637867</v>
      </c>
      <c r="R50" s="31">
        <v>0.25</v>
      </c>
      <c r="S50" s="1" t="str">
        <f>VLOOKUP(K:K,'3店'!$B:$B,1,0)</f>
        <v>Y3089-BL+Y3090+Y3091</v>
      </c>
      <c r="T50" t="s">
        <v>615</v>
      </c>
      <c r="U50">
        <v>9007</v>
      </c>
      <c r="V50">
        <v>45</v>
      </c>
      <c r="W50">
        <v>14.97</v>
      </c>
      <c r="X50">
        <v>36.97</v>
      </c>
      <c r="Y50">
        <v>3</v>
      </c>
      <c r="Z50" s="31">
        <v>0.404922910467947</v>
      </c>
      <c r="AA50" s="31">
        <v>0.0666666666666667</v>
      </c>
      <c r="AB50" s="1" t="str">
        <f>VLOOKUP(T:T,'3店'!$B:$B,1,0)</f>
        <v>E03386-NB+E03268-02</v>
      </c>
      <c r="AC50" t="s">
        <v>1153</v>
      </c>
      <c r="AD50">
        <v>11583</v>
      </c>
      <c r="AE50">
        <v>47</v>
      </c>
      <c r="AF50">
        <v>29.41</v>
      </c>
      <c r="AG50">
        <v>190.04</v>
      </c>
      <c r="AH50">
        <v>5</v>
      </c>
      <c r="AI50" s="31">
        <v>0.154756893285624</v>
      </c>
      <c r="AJ50" s="31">
        <v>0.106382978723404</v>
      </c>
      <c r="AK50" s="1" t="str">
        <f>VLOOKUP(AC:AC,'3店'!$B:$B,1,0)</f>
        <v>Y3092-BL+Y3093+Y3094</v>
      </c>
      <c r="AL50" t="s">
        <v>645</v>
      </c>
      <c r="AM50" s="102">
        <v>51.96</v>
      </c>
      <c r="AN50" s="1">
        <f t="shared" si="2"/>
        <v>355.926</v>
      </c>
      <c r="AP50" s="29" t="s">
        <v>687</v>
      </c>
      <c r="AQ50" s="33">
        <v>90.93</v>
      </c>
      <c r="AR50" s="1">
        <f t="shared" si="3"/>
        <v>622.8705</v>
      </c>
      <c r="AT50" s="45" t="s">
        <v>723</v>
      </c>
      <c r="AU50" s="44">
        <v>444.8</v>
      </c>
      <c r="AV50" s="35"/>
      <c r="AW50" s="43" t="s">
        <v>723</v>
      </c>
      <c r="AX50" s="44">
        <v>542.1</v>
      </c>
      <c r="AZ50" s="160" t="s">
        <v>651</v>
      </c>
      <c r="BA50" s="127">
        <v>4.141</v>
      </c>
      <c r="BB50" s="1" t="s">
        <v>430</v>
      </c>
    </row>
    <row r="51" spans="2:54">
      <c r="B51" t="s">
        <v>1055</v>
      </c>
      <c r="C51">
        <v>3</v>
      </c>
      <c r="D51" s="1" t="str">
        <f>VLOOKUP(B:B,'3店'!$B:$B,1,0)</f>
        <v>Y3079-NB+Y3079</v>
      </c>
      <c r="E51" t="s">
        <v>687</v>
      </c>
      <c r="F51">
        <v>7</v>
      </c>
      <c r="G51" s="1" t="str">
        <f>VLOOKUP(E:E,'3店'!$B:$B,1,0)</f>
        <v>Y03466-NB+E03063</v>
      </c>
      <c r="H51" t="s">
        <v>765</v>
      </c>
      <c r="I51">
        <v>9</v>
      </c>
      <c r="J51" s="1" t="str">
        <f>VLOOKUP(H:H,'3店'!$B:$B,1,0)</f>
        <v>Y3015-OR+Y3016+Y3017</v>
      </c>
      <c r="K51" t="s">
        <v>648</v>
      </c>
      <c r="L51">
        <v>17651</v>
      </c>
      <c r="M51">
        <v>144</v>
      </c>
      <c r="N51">
        <v>50.72</v>
      </c>
      <c r="O51">
        <v>362.61</v>
      </c>
      <c r="P51">
        <v>26</v>
      </c>
      <c r="Q51" s="31">
        <v>0.139874796613441</v>
      </c>
      <c r="R51" s="31">
        <v>0.180555555555556</v>
      </c>
      <c r="S51" s="1" t="str">
        <f>VLOOKUP(K:K,'3店'!$B:$B,1,0)</f>
        <v>Y03449-BL+Y03476</v>
      </c>
      <c r="T51" t="s">
        <v>612</v>
      </c>
      <c r="U51">
        <v>4204</v>
      </c>
      <c r="V51">
        <v>44</v>
      </c>
      <c r="W51">
        <v>16.76</v>
      </c>
      <c r="X51">
        <v>100.92</v>
      </c>
      <c r="Y51">
        <v>7</v>
      </c>
      <c r="Z51" s="31">
        <v>0.16607213634562</v>
      </c>
      <c r="AA51" s="31">
        <v>0.159090909090909</v>
      </c>
      <c r="AB51" s="1" t="str">
        <f>VLOOKUP(T:T,'3店'!$B:$B,1,0)</f>
        <v>E03386-BL+E03268-02</v>
      </c>
      <c r="AC51" t="s">
        <v>1273</v>
      </c>
      <c r="AD51">
        <v>6944</v>
      </c>
      <c r="AE51">
        <v>17</v>
      </c>
      <c r="AF51">
        <v>9.73</v>
      </c>
      <c r="AG51">
        <v>55.98</v>
      </c>
      <c r="AH51">
        <v>2</v>
      </c>
      <c r="AI51" s="31">
        <v>0.173812075741336</v>
      </c>
      <c r="AJ51" s="31">
        <v>0.117647058823529</v>
      </c>
      <c r="AK51" s="1" t="str">
        <f>VLOOKUP(AC:AC,'3店'!$B:$B,1,0)</f>
        <v>Y3095-BL</v>
      </c>
      <c r="AL51" t="s">
        <v>615</v>
      </c>
      <c r="AM51" s="102">
        <v>51.96</v>
      </c>
      <c r="AN51" s="1">
        <f t="shared" si="2"/>
        <v>355.926</v>
      </c>
      <c r="AP51" s="29" t="s">
        <v>615</v>
      </c>
      <c r="AQ51" s="33">
        <v>99.92</v>
      </c>
      <c r="AR51" s="1">
        <f t="shared" si="3"/>
        <v>684.452</v>
      </c>
      <c r="AT51" s="45" t="s">
        <v>726</v>
      </c>
      <c r="AU51" s="44">
        <v>1904.3</v>
      </c>
      <c r="AV51" s="35"/>
      <c r="AW51" s="43" t="s">
        <v>726</v>
      </c>
      <c r="AX51" s="44">
        <v>4420.2</v>
      </c>
      <c r="AZ51" s="160" t="s">
        <v>660</v>
      </c>
      <c r="BA51" s="127">
        <v>3.924</v>
      </c>
      <c r="BB51" s="1" t="s">
        <v>430</v>
      </c>
    </row>
    <row r="52" spans="2:54">
      <c r="B52" t="s">
        <v>687</v>
      </c>
      <c r="C52">
        <v>3</v>
      </c>
      <c r="D52" s="1" t="str">
        <f>VLOOKUP(B:B,'3店'!$B:$B,1,0)</f>
        <v>Y03466-NB+E03063</v>
      </c>
      <c r="E52" t="s">
        <v>651</v>
      </c>
      <c r="F52">
        <v>9</v>
      </c>
      <c r="G52" s="1" t="str">
        <f>VLOOKUP(E:E,'3店'!$B:$B,1,0)</f>
        <v>Y03449-DG+Y03476</v>
      </c>
      <c r="H52" t="s">
        <v>1036</v>
      </c>
      <c r="I52">
        <v>16</v>
      </c>
      <c r="J52" s="1" t="str">
        <f>VLOOKUP(H:H,'3店'!$B:$B,1,0)</f>
        <v>Y3058-BL</v>
      </c>
      <c r="K52" t="s">
        <v>1045</v>
      </c>
      <c r="L52">
        <v>8423</v>
      </c>
      <c r="M52">
        <v>62</v>
      </c>
      <c r="N52">
        <v>29.91</v>
      </c>
      <c r="O52">
        <v>64.95</v>
      </c>
      <c r="P52">
        <v>5</v>
      </c>
      <c r="Q52" s="31">
        <v>0.460508083140878</v>
      </c>
      <c r="R52" s="31">
        <v>0.0806451612903226</v>
      </c>
      <c r="S52" s="1" t="str">
        <f>VLOOKUP(K:K,'3店'!$B:$B,1,0)</f>
        <v>Y3058-NB</v>
      </c>
      <c r="T52" t="s">
        <v>618</v>
      </c>
      <c r="U52">
        <v>4463</v>
      </c>
      <c r="V52">
        <v>15</v>
      </c>
      <c r="W52">
        <v>6.08</v>
      </c>
      <c r="X52">
        <v>11.99</v>
      </c>
      <c r="Y52">
        <v>1</v>
      </c>
      <c r="Z52" s="31">
        <v>0.507089241034195</v>
      </c>
      <c r="AA52" s="31">
        <v>0.0666666666666667</v>
      </c>
      <c r="AB52" s="1" t="str">
        <f>VLOOKUP(T:T,'3店'!$B:$B,1,0)</f>
        <v>E03386-OR+E03268-02</v>
      </c>
      <c r="AC52" t="s">
        <v>1085</v>
      </c>
      <c r="AD52">
        <v>7929</v>
      </c>
      <c r="AE52">
        <v>36</v>
      </c>
      <c r="AF52">
        <v>17.49</v>
      </c>
      <c r="AG52">
        <v>88.93</v>
      </c>
      <c r="AH52">
        <v>7</v>
      </c>
      <c r="AI52" s="31">
        <v>0.196671539413021</v>
      </c>
      <c r="AJ52" s="31">
        <v>0.194444444444444</v>
      </c>
      <c r="AK52" s="1" t="str">
        <f>VLOOKUP(AC:AC,'3店'!$B:$B,1,0)</f>
        <v>Y3075-NB</v>
      </c>
      <c r="AL52" t="s">
        <v>672</v>
      </c>
      <c r="AM52" s="102">
        <v>77.94</v>
      </c>
      <c r="AN52" s="1">
        <f t="shared" si="2"/>
        <v>533.889</v>
      </c>
      <c r="AP52" s="29" t="s">
        <v>657</v>
      </c>
      <c r="AQ52" s="33">
        <v>133.79</v>
      </c>
      <c r="AR52" s="1">
        <f t="shared" si="3"/>
        <v>916.4615</v>
      </c>
      <c r="AT52" s="45" t="s">
        <v>729</v>
      </c>
      <c r="AU52" s="44">
        <v>917.4</v>
      </c>
      <c r="AV52" s="35"/>
      <c r="AW52" s="43" t="s">
        <v>729</v>
      </c>
      <c r="AX52" s="44">
        <v>1362.2</v>
      </c>
      <c r="AZ52" s="160" t="s">
        <v>1291</v>
      </c>
      <c r="BA52" s="127">
        <v>8.599</v>
      </c>
      <c r="BB52" s="1" t="s">
        <v>430</v>
      </c>
    </row>
    <row r="53" spans="2:54">
      <c r="B53" t="s">
        <v>657</v>
      </c>
      <c r="C53">
        <v>5</v>
      </c>
      <c r="D53" s="1" t="str">
        <f>VLOOKUP(B:B,'3店'!$B:$B,1,0)</f>
        <v>Y03449-OR+Y03476</v>
      </c>
      <c r="E53" t="s">
        <v>795</v>
      </c>
      <c r="F53">
        <v>5</v>
      </c>
      <c r="G53" s="1" t="str">
        <f>VLOOKUP(E:E,'3店'!$B:$B,1,0)</f>
        <v>Y03742-OR+Y03743</v>
      </c>
      <c r="H53" t="s">
        <v>642</v>
      </c>
      <c r="I53">
        <v>15</v>
      </c>
      <c r="J53" s="1" t="str">
        <f>VLOOKUP(H:H,'3店'!$B:$B,1,0)</f>
        <v>E03391-NB+E03271</v>
      </c>
      <c r="K53" t="s">
        <v>1220</v>
      </c>
      <c r="L53">
        <v>2944</v>
      </c>
      <c r="M53">
        <v>6</v>
      </c>
      <c r="N53">
        <v>3.57</v>
      </c>
      <c r="O53">
        <v>12.99</v>
      </c>
      <c r="P53">
        <v>1</v>
      </c>
      <c r="Q53" s="31">
        <v>0.274826789838337</v>
      </c>
      <c r="R53" s="31">
        <v>0.166666666666667</v>
      </c>
      <c r="S53" s="1" t="str">
        <f>VLOOKUP(K:K,'3店'!$B:$B,1,0)</f>
        <v>Y3106-BL+Y3107</v>
      </c>
      <c r="T53" t="s">
        <v>708</v>
      </c>
      <c r="U53">
        <v>7713</v>
      </c>
      <c r="V53">
        <v>43</v>
      </c>
      <c r="W53">
        <v>11.38</v>
      </c>
      <c r="X53">
        <v>75.94</v>
      </c>
      <c r="Y53">
        <v>6</v>
      </c>
      <c r="Z53" s="31">
        <v>0.149855148801686</v>
      </c>
      <c r="AA53" s="31">
        <v>0.13953488372093</v>
      </c>
      <c r="AB53" s="1" t="str">
        <f>VLOOKUP(T:T,'3店'!$B:$B,1,0)</f>
        <v>Y03561-BL+Y03562+Y03565</v>
      </c>
      <c r="AC53" t="s">
        <v>946</v>
      </c>
      <c r="AD53">
        <v>9524</v>
      </c>
      <c r="AE53">
        <v>36</v>
      </c>
      <c r="AF53">
        <v>11.86</v>
      </c>
      <c r="AG53">
        <v>23.98</v>
      </c>
      <c r="AH53">
        <v>3</v>
      </c>
      <c r="AI53" s="31">
        <v>0.494578815679733</v>
      </c>
      <c r="AJ53" s="31">
        <v>0.0833333333333333</v>
      </c>
      <c r="AK53" s="1" t="str">
        <f>VLOOKUP(AC:AC,'3店'!$B:$B,1,0)</f>
        <v>Y3039-GK</v>
      </c>
      <c r="AL53" t="s">
        <v>660</v>
      </c>
      <c r="AM53" s="102">
        <v>51.96</v>
      </c>
      <c r="AN53" s="1">
        <f t="shared" si="2"/>
        <v>355.926</v>
      </c>
      <c r="AP53" s="29" t="s">
        <v>660</v>
      </c>
      <c r="AQ53" s="33">
        <v>88.93</v>
      </c>
      <c r="AR53" s="1">
        <f t="shared" si="3"/>
        <v>609.1705</v>
      </c>
      <c r="AT53" s="45" t="s">
        <v>732</v>
      </c>
      <c r="AU53" s="44">
        <v>834</v>
      </c>
      <c r="AV53" s="35"/>
      <c r="AW53" s="43" t="s">
        <v>732</v>
      </c>
      <c r="AX53" s="44">
        <v>375.3</v>
      </c>
      <c r="AZ53" s="160" t="s">
        <v>663</v>
      </c>
      <c r="BA53" s="127">
        <v>8.525</v>
      </c>
      <c r="BB53" s="1" t="s">
        <v>430</v>
      </c>
    </row>
    <row r="54" spans="2:54">
      <c r="B54" t="s">
        <v>1058</v>
      </c>
      <c r="C54">
        <v>5</v>
      </c>
      <c r="D54" s="1" t="str">
        <f>VLOOKUP(B:B,'3店'!$B:$B,1,0)</f>
        <v>Y3079-OR+Y3079</v>
      </c>
      <c r="E54" t="s">
        <v>816</v>
      </c>
      <c r="F54">
        <v>3</v>
      </c>
      <c r="G54" s="1" t="str">
        <f>VLOOKUP(E:E,'3店'!$B:$B,1,0)</f>
        <v>Y03564-BY+Y03565+Y03566</v>
      </c>
      <c r="H54" t="s">
        <v>687</v>
      </c>
      <c r="I54">
        <v>23</v>
      </c>
      <c r="J54" s="1" t="str">
        <f>VLOOKUP(H:H,'3店'!$B:$B,1,0)</f>
        <v>Y03466-NB+E03063</v>
      </c>
      <c r="K54" t="s">
        <v>1229</v>
      </c>
      <c r="L54">
        <v>2411</v>
      </c>
      <c r="M54">
        <v>2</v>
      </c>
      <c r="N54">
        <v>1.43</v>
      </c>
      <c r="O54">
        <v>0</v>
      </c>
      <c r="P54">
        <v>0</v>
      </c>
      <c r="Q54" s="31">
        <v>0</v>
      </c>
      <c r="R54" s="31">
        <v>0</v>
      </c>
      <c r="S54" s="1" t="str">
        <f>VLOOKUP(K:K,'3店'!$B:$B,1,0)</f>
        <v>Y3106-NB+Y3107</v>
      </c>
      <c r="T54" t="s">
        <v>1123</v>
      </c>
      <c r="U54">
        <v>8464</v>
      </c>
      <c r="V54">
        <v>27</v>
      </c>
      <c r="W54">
        <v>10.61</v>
      </c>
      <c r="X54">
        <v>33.87</v>
      </c>
      <c r="Y54">
        <v>2</v>
      </c>
      <c r="Z54" s="31">
        <v>0.313256569235312</v>
      </c>
      <c r="AA54" s="31">
        <v>0.0740740740740741</v>
      </c>
      <c r="AB54" s="1" t="str">
        <f>VLOOKUP(T:T,'3店'!$B:$B,1,0)</f>
        <v>Y3085-DB+Y3086+Y3087</v>
      </c>
      <c r="AC54" t="s">
        <v>1292</v>
      </c>
      <c r="AD54">
        <v>3986</v>
      </c>
      <c r="AE54">
        <v>27</v>
      </c>
      <c r="AF54">
        <v>10.49</v>
      </c>
      <c r="AG54">
        <v>17.98</v>
      </c>
      <c r="AH54">
        <v>2</v>
      </c>
      <c r="AI54" s="31">
        <v>0.583426028921023</v>
      </c>
      <c r="AJ54" s="31">
        <v>0.0740740740740741</v>
      </c>
      <c r="AK54" s="1" t="e">
        <f>VLOOKUP(AC:AC,'3店'!$B:$B,1,0)</f>
        <v>#N/A</v>
      </c>
      <c r="AL54" t="s">
        <v>708</v>
      </c>
      <c r="AM54" s="102">
        <v>51.96</v>
      </c>
      <c r="AN54" s="1">
        <f t="shared" si="2"/>
        <v>355.926</v>
      </c>
      <c r="AP54" s="29" t="s">
        <v>804</v>
      </c>
      <c r="AQ54" s="33">
        <v>86.93</v>
      </c>
      <c r="AR54" s="1">
        <f t="shared" si="3"/>
        <v>595.4705</v>
      </c>
      <c r="AT54" s="45" t="s">
        <v>735</v>
      </c>
      <c r="AU54" s="44">
        <v>13.7</v>
      </c>
      <c r="AV54" s="35"/>
      <c r="AW54" s="43" t="s">
        <v>735</v>
      </c>
      <c r="AX54" s="44">
        <v>13.7</v>
      </c>
      <c r="AZ54" s="160" t="s">
        <v>1283</v>
      </c>
      <c r="BA54" s="127">
        <v>8.447</v>
      </c>
      <c r="BB54" s="1" t="s">
        <v>430</v>
      </c>
    </row>
    <row r="55" spans="2:54">
      <c r="B55" t="s">
        <v>1052</v>
      </c>
      <c r="C55">
        <v>4</v>
      </c>
      <c r="D55" s="1" t="str">
        <f>VLOOKUP(B:B,'3店'!$B:$B,1,0)</f>
        <v>Y3079-GB+Y3079</v>
      </c>
      <c r="E55" t="s">
        <v>963</v>
      </c>
      <c r="F55">
        <v>7</v>
      </c>
      <c r="G55" s="1" t="str">
        <f>VLOOKUP(E:E,'3店'!$B:$B,1,0)</f>
        <v>Y3049-OR+Y3050+Y3051</v>
      </c>
      <c r="H55" t="s">
        <v>651</v>
      </c>
      <c r="I55">
        <v>37</v>
      </c>
      <c r="J55" s="1" t="str">
        <f>VLOOKUP(H:H,'3店'!$B:$B,1,0)</f>
        <v>Y03449-DG+Y03476</v>
      </c>
      <c r="K55" t="s">
        <v>1217</v>
      </c>
      <c r="L55">
        <v>1379</v>
      </c>
      <c r="M55">
        <v>2</v>
      </c>
      <c r="N55">
        <v>1.48</v>
      </c>
      <c r="O55">
        <v>0</v>
      </c>
      <c r="P55">
        <v>0</v>
      </c>
      <c r="Q55" s="31">
        <v>0</v>
      </c>
      <c r="R55" s="31">
        <v>0</v>
      </c>
      <c r="S55" s="1" t="str">
        <f>VLOOKUP(K:K,'3店'!$B:$B,1,0)</f>
        <v>Y3106-BG+Y3107</v>
      </c>
      <c r="T55" t="s">
        <v>648</v>
      </c>
      <c r="U55">
        <v>49147</v>
      </c>
      <c r="V55">
        <v>317</v>
      </c>
      <c r="W55">
        <v>107.94</v>
      </c>
      <c r="X55">
        <v>711.22</v>
      </c>
      <c r="Y55">
        <v>51</v>
      </c>
      <c r="Z55" s="31">
        <v>0.151767385619077</v>
      </c>
      <c r="AA55" s="31">
        <v>0.160883280757098</v>
      </c>
      <c r="AB55" s="1" t="str">
        <f>VLOOKUP(T:T,'3店'!$B:$B,1,0)</f>
        <v>Y03449-BL+Y03476</v>
      </c>
      <c r="AC55" t="s">
        <v>615</v>
      </c>
      <c r="AD55">
        <v>15546</v>
      </c>
      <c r="AE55">
        <v>64</v>
      </c>
      <c r="AF55">
        <v>21.24</v>
      </c>
      <c r="AG55">
        <v>73.94</v>
      </c>
      <c r="AH55">
        <v>6</v>
      </c>
      <c r="AI55" s="31">
        <v>0.287259940492291</v>
      </c>
      <c r="AJ55" s="31">
        <v>0.09375</v>
      </c>
      <c r="AK55" s="1" t="str">
        <f>VLOOKUP(AC:AC,'3店'!$B:$B,1,0)</f>
        <v>E03386-NB+E03268-02</v>
      </c>
      <c r="AL55" t="s">
        <v>795</v>
      </c>
      <c r="AM55" s="102">
        <v>51.96</v>
      </c>
      <c r="AN55" s="1">
        <f t="shared" si="2"/>
        <v>355.926</v>
      </c>
      <c r="AP55" s="29" t="s">
        <v>828</v>
      </c>
      <c r="AQ55" s="33">
        <v>92.93</v>
      </c>
      <c r="AR55" s="1">
        <f t="shared" si="3"/>
        <v>636.5705</v>
      </c>
      <c r="AT55" s="45" t="s">
        <v>738</v>
      </c>
      <c r="AU55" s="44">
        <v>41.1</v>
      </c>
      <c r="AV55" s="35"/>
      <c r="AW55" s="43" t="s">
        <v>1277</v>
      </c>
      <c r="AX55" s="44">
        <v>41.1</v>
      </c>
      <c r="AZ55" s="160" t="s">
        <v>1293</v>
      </c>
      <c r="BA55" s="127">
        <v>0</v>
      </c>
      <c r="BB55" s="1" t="s">
        <v>430</v>
      </c>
    </row>
    <row r="56" spans="2:54">
      <c r="B56" t="s">
        <v>1007</v>
      </c>
      <c r="C56">
        <v>8</v>
      </c>
      <c r="D56" s="1" t="str">
        <f>VLOOKUP(B:B,'3店'!$B:$B,1,0)</f>
        <v>Y3060-OR+Y3061+Y3062</v>
      </c>
      <c r="E56" t="s">
        <v>774</v>
      </c>
      <c r="F56">
        <v>2</v>
      </c>
      <c r="G56" s="1" t="str">
        <f>VLOOKUP(E:E,'3店'!$B:$B,1,0)</f>
        <v>Y3018-NB+Y3019</v>
      </c>
      <c r="H56" t="s">
        <v>795</v>
      </c>
      <c r="I56">
        <v>10</v>
      </c>
      <c r="J56" s="1" t="str">
        <f>VLOOKUP(H:H,'3店'!$B:$B,1,0)</f>
        <v>Y03742-OR+Y03743</v>
      </c>
      <c r="K56" t="s">
        <v>1244</v>
      </c>
      <c r="L56">
        <v>8054</v>
      </c>
      <c r="M56">
        <v>18</v>
      </c>
      <c r="N56">
        <v>10.41</v>
      </c>
      <c r="O56">
        <v>12.99</v>
      </c>
      <c r="P56">
        <v>1</v>
      </c>
      <c r="Q56" s="31">
        <v>0.801385681293303</v>
      </c>
      <c r="R56" s="31">
        <v>0.0555555555555556</v>
      </c>
      <c r="S56" s="1" t="str">
        <f>VLOOKUP(K:K,'3店'!$B:$B,1,0)</f>
        <v>Y3108-NB+Y3109</v>
      </c>
      <c r="T56" t="s">
        <v>1176</v>
      </c>
      <c r="U56">
        <v>3781</v>
      </c>
      <c r="V56">
        <v>27</v>
      </c>
      <c r="W56">
        <v>12.12</v>
      </c>
      <c r="X56">
        <v>25.98</v>
      </c>
      <c r="Y56">
        <v>2</v>
      </c>
      <c r="Z56" s="31">
        <v>0.466512702078522</v>
      </c>
      <c r="AA56" s="31">
        <v>0.0740740740740741</v>
      </c>
      <c r="AB56" s="1" t="str">
        <f>VLOOKUP(T:T,'3店'!$B:$B,1,0)</f>
        <v>Y3096-DB+Y3097+Y3098</v>
      </c>
      <c r="AC56" t="s">
        <v>612</v>
      </c>
      <c r="AD56">
        <v>10243</v>
      </c>
      <c r="AE56">
        <v>86</v>
      </c>
      <c r="AF56">
        <v>33.18</v>
      </c>
      <c r="AG56">
        <v>136.89</v>
      </c>
      <c r="AH56">
        <v>10</v>
      </c>
      <c r="AI56" s="31">
        <v>0.24238439623055</v>
      </c>
      <c r="AJ56" s="31">
        <v>0.116279069767442</v>
      </c>
      <c r="AK56" s="1" t="str">
        <f>VLOOKUP(AC:AC,'3店'!$B:$B,1,0)</f>
        <v>E03386-BL+E03268-02</v>
      </c>
      <c r="AL56" t="s">
        <v>792</v>
      </c>
      <c r="AM56" s="102">
        <v>50.85</v>
      </c>
      <c r="AN56" s="1">
        <f t="shared" si="2"/>
        <v>348.3225</v>
      </c>
      <c r="AP56" s="29" t="s">
        <v>846</v>
      </c>
      <c r="AQ56" s="33">
        <v>86.93</v>
      </c>
      <c r="AR56" s="1">
        <f t="shared" si="3"/>
        <v>595.4705</v>
      </c>
      <c r="AT56" s="45" t="s">
        <v>741</v>
      </c>
      <c r="AU56" s="44">
        <v>68.5</v>
      </c>
      <c r="AV56" s="35"/>
      <c r="AW56" s="43" t="s">
        <v>738</v>
      </c>
      <c r="AX56" s="44">
        <v>109.6</v>
      </c>
      <c r="AZ56" s="160" t="s">
        <v>669</v>
      </c>
      <c r="BA56" s="127">
        <v>4.141</v>
      </c>
      <c r="BB56" s="1" t="s">
        <v>430</v>
      </c>
    </row>
    <row r="57" spans="2:54">
      <c r="B57" t="s">
        <v>998</v>
      </c>
      <c r="C57">
        <v>3</v>
      </c>
      <c r="D57" s="1" t="str">
        <f>VLOOKUP(B:B,'3店'!$B:$B,1,0)</f>
        <v>Y3060-BY+Y3061+Y3062</v>
      </c>
      <c r="E57" t="s">
        <v>1023</v>
      </c>
      <c r="F57">
        <v>6</v>
      </c>
      <c r="G57" s="1" t="str">
        <f>VLOOKUP(E:E,'3店'!$B:$B,1,0)</f>
        <v>Y3056-BL+Y3057</v>
      </c>
      <c r="H57" t="s">
        <v>816</v>
      </c>
      <c r="I57">
        <v>9</v>
      </c>
      <c r="J57" s="1" t="str">
        <f>VLOOKUP(H:H,'3店'!$B:$B,1,0)</f>
        <v>Y03564-BY+Y03565+Y03566</v>
      </c>
      <c r="K57" t="s">
        <v>1235</v>
      </c>
      <c r="L57">
        <v>3371</v>
      </c>
      <c r="M57">
        <v>23</v>
      </c>
      <c r="N57">
        <v>14.39</v>
      </c>
      <c r="O57">
        <v>25.98</v>
      </c>
      <c r="P57">
        <v>2</v>
      </c>
      <c r="Q57" s="31">
        <v>0.553887605850654</v>
      </c>
      <c r="R57" s="31">
        <v>0.0869565217391304</v>
      </c>
      <c r="S57" s="1" t="str">
        <f>VLOOKUP(K:K,'3店'!$B:$B,1,0)</f>
        <v>Y3108-BL+Y3109</v>
      </c>
      <c r="T57" t="s">
        <v>1045</v>
      </c>
      <c r="U57">
        <v>20521</v>
      </c>
      <c r="V57">
        <v>121</v>
      </c>
      <c r="W57">
        <v>59</v>
      </c>
      <c r="X57">
        <v>114.82</v>
      </c>
      <c r="Y57">
        <v>10</v>
      </c>
      <c r="Z57" s="31">
        <v>0.513847761713987</v>
      </c>
      <c r="AA57" s="31">
        <v>0.0826446280991736</v>
      </c>
      <c r="AB57" s="1" t="str">
        <f>VLOOKUP(T:T,'3店'!$B:$B,1,0)</f>
        <v>Y3058-NB</v>
      </c>
      <c r="AC57" t="s">
        <v>618</v>
      </c>
      <c r="AD57">
        <v>8617</v>
      </c>
      <c r="AE57">
        <v>38</v>
      </c>
      <c r="AF57">
        <v>15.01</v>
      </c>
      <c r="AG57">
        <v>23.98</v>
      </c>
      <c r="AH57">
        <v>2</v>
      </c>
      <c r="AI57" s="31">
        <v>0.625938281901585</v>
      </c>
      <c r="AJ57" s="31">
        <v>0.0526315789473684</v>
      </c>
      <c r="AK57" s="1" t="str">
        <f>VLOOKUP(AC:AC,'3店'!$B:$B,1,0)</f>
        <v>E03386-OR+E03268-02</v>
      </c>
      <c r="AL57" t="s">
        <v>957</v>
      </c>
      <c r="AM57" s="102">
        <v>51.96</v>
      </c>
      <c r="AN57" s="1">
        <f t="shared" si="2"/>
        <v>355.926</v>
      </c>
      <c r="AP57" s="29" t="s">
        <v>930</v>
      </c>
      <c r="AQ57" s="33">
        <v>88.93</v>
      </c>
      <c r="AR57" s="1">
        <f t="shared" si="3"/>
        <v>609.1705</v>
      </c>
      <c r="AT57" s="45" t="s">
        <v>744</v>
      </c>
      <c r="AU57" s="44">
        <v>6343.1</v>
      </c>
      <c r="AV57" s="35"/>
      <c r="AW57" s="43" t="s">
        <v>741</v>
      </c>
      <c r="AX57" s="44">
        <v>82.2</v>
      </c>
      <c r="AZ57" s="160" t="s">
        <v>672</v>
      </c>
      <c r="BA57" s="127">
        <v>5.842</v>
      </c>
      <c r="BB57" s="1" t="s">
        <v>430</v>
      </c>
    </row>
    <row r="58" spans="2:54">
      <c r="B58" t="s">
        <v>846</v>
      </c>
      <c r="C58">
        <v>2</v>
      </c>
      <c r="D58" s="1" t="str">
        <f>VLOOKUP(B:B,'3店'!$B:$B,1,0)</f>
        <v>Y3025-NB+Y3026</v>
      </c>
      <c r="E58" t="s">
        <v>624</v>
      </c>
      <c r="F58">
        <v>3</v>
      </c>
      <c r="G58" s="1" t="str">
        <f>VLOOKUP(E:E,'3店'!$B:$B,1,0)</f>
        <v>E03388-NB+E03267</v>
      </c>
      <c r="H58" t="s">
        <v>963</v>
      </c>
      <c r="I58">
        <v>13</v>
      </c>
      <c r="J58" s="1" t="str">
        <f>VLOOKUP(H:H,'3店'!$B:$B,1,0)</f>
        <v>Y3049-OR+Y3050+Y3051</v>
      </c>
      <c r="K58" t="s">
        <v>1205</v>
      </c>
      <c r="L58">
        <v>9173</v>
      </c>
      <c r="M58">
        <v>9</v>
      </c>
      <c r="N58">
        <v>5.75</v>
      </c>
      <c r="O58">
        <v>0</v>
      </c>
      <c r="P58">
        <v>0</v>
      </c>
      <c r="Q58" s="31">
        <v>0</v>
      </c>
      <c r="R58" s="31">
        <v>0</v>
      </c>
      <c r="S58" s="1" t="str">
        <f>VLOOKUP(K:K,'3店'!$B:$B,1,0)</f>
        <v>Y3104-BL+Y3105</v>
      </c>
      <c r="T58" t="s">
        <v>1220</v>
      </c>
      <c r="U58">
        <v>6200</v>
      </c>
      <c r="V58">
        <v>11</v>
      </c>
      <c r="W58">
        <v>6.75</v>
      </c>
      <c r="X58">
        <v>12.99</v>
      </c>
      <c r="Y58">
        <v>1</v>
      </c>
      <c r="Z58" s="31">
        <v>0.519630484988453</v>
      </c>
      <c r="AA58" s="31">
        <v>0.0909090909090909</v>
      </c>
      <c r="AB58" s="1" t="str">
        <f>VLOOKUP(T:T,'3店'!$B:$B,1,0)</f>
        <v>Y3106-BL+Y3107</v>
      </c>
      <c r="AC58" t="s">
        <v>708</v>
      </c>
      <c r="AD58">
        <v>15453</v>
      </c>
      <c r="AE58">
        <v>104</v>
      </c>
      <c r="AF58">
        <v>27.19</v>
      </c>
      <c r="AG58">
        <v>204.73</v>
      </c>
      <c r="AH58">
        <v>15</v>
      </c>
      <c r="AI58" s="31">
        <v>0.132809065598593</v>
      </c>
      <c r="AJ58" s="31">
        <v>0.144230769230769</v>
      </c>
      <c r="AK58" s="1" t="str">
        <f>VLOOKUP(AC:AC,'3店'!$B:$B,1,0)</f>
        <v>Y03561-BL+Y03562+Y03565</v>
      </c>
      <c r="AL58" t="s">
        <v>1023</v>
      </c>
      <c r="AM58" s="102">
        <v>51.96</v>
      </c>
      <c r="AN58" s="1">
        <f t="shared" si="2"/>
        <v>355.926</v>
      </c>
      <c r="AP58" s="29" t="s">
        <v>963</v>
      </c>
      <c r="AQ58" s="33">
        <v>98.82</v>
      </c>
      <c r="AR58" s="1">
        <f t="shared" si="3"/>
        <v>676.917</v>
      </c>
      <c r="AT58" s="45" t="s">
        <v>747</v>
      </c>
      <c r="AU58" s="44">
        <v>1123.4</v>
      </c>
      <c r="AV58" s="35"/>
      <c r="AW58" s="43" t="s">
        <v>744</v>
      </c>
      <c r="AX58" s="44">
        <v>5219.7</v>
      </c>
      <c r="AZ58" s="160" t="s">
        <v>675</v>
      </c>
      <c r="BA58" s="127">
        <v>6.16</v>
      </c>
      <c r="BB58" s="1" t="s">
        <v>430</v>
      </c>
    </row>
    <row r="59" spans="2:54">
      <c r="B59" t="s">
        <v>1077</v>
      </c>
      <c r="C59">
        <v>7</v>
      </c>
      <c r="D59" s="1" t="str">
        <f>VLOOKUP(B:B,'3店'!$B:$B,1,0)</f>
        <v>Y3075-BL</v>
      </c>
      <c r="E59" t="s">
        <v>762</v>
      </c>
      <c r="F59">
        <v>2</v>
      </c>
      <c r="G59" s="1" t="str">
        <f>VLOOKUP(E:E,'3店'!$B:$B,1,0)</f>
        <v>Y3015-NB+Y3016+Y3017</v>
      </c>
      <c r="H59" t="s">
        <v>774</v>
      </c>
      <c r="I59">
        <v>4</v>
      </c>
      <c r="J59" s="1" t="str">
        <f>VLOOKUP(H:H,'3店'!$B:$B,1,0)</f>
        <v>Y3018-NB+Y3019</v>
      </c>
      <c r="K59" t="s">
        <v>1214</v>
      </c>
      <c r="L59">
        <v>2328</v>
      </c>
      <c r="M59">
        <v>3</v>
      </c>
      <c r="N59">
        <v>1.99</v>
      </c>
      <c r="O59">
        <v>25.98</v>
      </c>
      <c r="P59">
        <v>1</v>
      </c>
      <c r="Q59" s="31">
        <v>0.0765973826020015</v>
      </c>
      <c r="R59" s="31">
        <v>0.333333333333333</v>
      </c>
      <c r="S59" s="1" t="str">
        <f>VLOOKUP(K:K,'3店'!$B:$B,1,0)</f>
        <v>Y3104-NB+Y3105</v>
      </c>
      <c r="T59" t="s">
        <v>1229</v>
      </c>
      <c r="U59">
        <v>5768</v>
      </c>
      <c r="V59">
        <v>6</v>
      </c>
      <c r="W59">
        <v>4.1</v>
      </c>
      <c r="X59">
        <v>21.98</v>
      </c>
      <c r="Y59">
        <v>2</v>
      </c>
      <c r="Z59" s="31">
        <v>0.186533212010919</v>
      </c>
      <c r="AA59" s="31">
        <v>0.333333333333333</v>
      </c>
      <c r="AB59" s="1" t="str">
        <f>VLOOKUP(T:T,'3店'!$B:$B,1,0)</f>
        <v>Y3106-NB+Y3107</v>
      </c>
      <c r="AC59" t="s">
        <v>1123</v>
      </c>
      <c r="AD59">
        <v>13434</v>
      </c>
      <c r="AE59">
        <v>46</v>
      </c>
      <c r="AF59">
        <v>19.55</v>
      </c>
      <c r="AG59">
        <v>59.85</v>
      </c>
      <c r="AH59">
        <v>4</v>
      </c>
      <c r="AI59" s="31">
        <v>0.326649958228906</v>
      </c>
      <c r="AJ59" s="31">
        <v>0.0869565217391304</v>
      </c>
      <c r="AK59" s="1" t="str">
        <f>VLOOKUP(AC:AC,'3店'!$B:$B,1,0)</f>
        <v>Y3085-DB+Y3086+Y3087</v>
      </c>
      <c r="AL59" t="s">
        <v>1052</v>
      </c>
      <c r="AM59" s="102">
        <v>51.96</v>
      </c>
      <c r="AN59" s="1">
        <f t="shared" si="2"/>
        <v>355.926</v>
      </c>
      <c r="AP59" s="29" t="s">
        <v>1058</v>
      </c>
      <c r="AQ59" s="33">
        <v>98.82</v>
      </c>
      <c r="AR59" s="1">
        <f t="shared" si="3"/>
        <v>676.917</v>
      </c>
      <c r="AT59" s="45" t="s">
        <v>750</v>
      </c>
      <c r="AU59" s="44">
        <v>3507.2</v>
      </c>
      <c r="AV59" s="35"/>
      <c r="AW59" s="43" t="s">
        <v>747</v>
      </c>
      <c r="AX59" s="44">
        <v>602.8</v>
      </c>
      <c r="AZ59" s="160" t="s">
        <v>678</v>
      </c>
      <c r="BA59" s="127">
        <v>3.517</v>
      </c>
      <c r="BB59" s="1" t="s">
        <v>430</v>
      </c>
    </row>
    <row r="60" spans="2:54">
      <c r="B60" t="s">
        <v>930</v>
      </c>
      <c r="C60">
        <v>2</v>
      </c>
      <c r="D60" s="1" t="str">
        <f>VLOOKUP(B:B,'3店'!$B:$B,1,0)</f>
        <v>Y3036-BL</v>
      </c>
      <c r="E60" t="s">
        <v>789</v>
      </c>
      <c r="F60">
        <v>1</v>
      </c>
      <c r="G60" s="1" t="str">
        <f>VLOOKUP(E:E,'3店'!$B:$B,1,0)</f>
        <v>Y03742-DG+Y03743</v>
      </c>
      <c r="H60" t="s">
        <v>1023</v>
      </c>
      <c r="I60">
        <v>15</v>
      </c>
      <c r="J60" s="1" t="str">
        <f>VLOOKUP(H:H,'3店'!$B:$B,1,0)</f>
        <v>Y3056-BL+Y3057</v>
      </c>
      <c r="K60" t="s">
        <v>1199</v>
      </c>
      <c r="L60">
        <v>5897</v>
      </c>
      <c r="M60">
        <v>12</v>
      </c>
      <c r="N60">
        <v>8.68</v>
      </c>
      <c r="O60">
        <v>0</v>
      </c>
      <c r="P60">
        <v>0</v>
      </c>
      <c r="Q60" s="31">
        <v>0</v>
      </c>
      <c r="R60" s="31">
        <v>0</v>
      </c>
      <c r="S60" s="1" t="str">
        <f>VLOOKUP(K:K,'3店'!$B:$B,1,0)</f>
        <v>Y3102-NB+Y3103</v>
      </c>
      <c r="T60" t="s">
        <v>1217</v>
      </c>
      <c r="U60">
        <v>2972</v>
      </c>
      <c r="V60">
        <v>2</v>
      </c>
      <c r="W60">
        <v>1.48</v>
      </c>
      <c r="X60">
        <v>0</v>
      </c>
      <c r="Y60">
        <v>0</v>
      </c>
      <c r="Z60" s="31">
        <v>0</v>
      </c>
      <c r="AA60" s="31">
        <v>0</v>
      </c>
      <c r="AB60" s="1" t="str">
        <f>VLOOKUP(T:T,'3店'!$B:$B,1,0)</f>
        <v>Y3106-BG+Y3107</v>
      </c>
      <c r="AC60" t="s">
        <v>648</v>
      </c>
      <c r="AD60">
        <v>82963</v>
      </c>
      <c r="AE60">
        <v>548</v>
      </c>
      <c r="AF60">
        <v>183.2</v>
      </c>
      <c r="AG60">
        <v>1212.73</v>
      </c>
      <c r="AH60">
        <v>88</v>
      </c>
      <c r="AI60" s="31">
        <v>0.151064128041691</v>
      </c>
      <c r="AJ60" s="31">
        <v>0.160583941605839</v>
      </c>
      <c r="AK60" s="1" t="str">
        <f>VLOOKUP(AC:AC,'3店'!$B:$B,1,0)</f>
        <v>Y03449-BL+Y03476</v>
      </c>
      <c r="AL60" t="s">
        <v>591</v>
      </c>
      <c r="AM60" s="102">
        <v>38.97</v>
      </c>
      <c r="AN60" s="1">
        <f t="shared" si="2"/>
        <v>266.9445</v>
      </c>
      <c r="AP60" s="29" t="s">
        <v>1052</v>
      </c>
      <c r="AQ60" s="33">
        <v>90.93</v>
      </c>
      <c r="AR60" s="1">
        <f t="shared" si="3"/>
        <v>622.8705</v>
      </c>
      <c r="AT60" s="45" t="s">
        <v>753</v>
      </c>
      <c r="AU60" s="44">
        <v>1822.1</v>
      </c>
      <c r="AV60" s="35"/>
      <c r="AW60" s="43" t="s">
        <v>750</v>
      </c>
      <c r="AX60" s="44">
        <v>274</v>
      </c>
      <c r="AZ60" s="160" t="s">
        <v>666</v>
      </c>
      <c r="BA60" s="127">
        <v>4.095</v>
      </c>
      <c r="BB60" s="1" t="s">
        <v>430</v>
      </c>
    </row>
    <row r="61" spans="2:54">
      <c r="B61" t="s">
        <v>1004</v>
      </c>
      <c r="C61">
        <v>6</v>
      </c>
      <c r="D61" s="1" t="str">
        <f>VLOOKUP(B:B,'3店'!$B:$B,1,0)</f>
        <v>Y3060-GK+Y3061+Y3062</v>
      </c>
      <c r="E61" t="s">
        <v>828</v>
      </c>
      <c r="F61">
        <v>8</v>
      </c>
      <c r="G61" s="1" t="str">
        <f>VLOOKUP(E:E,'3店'!$B:$B,1,0)</f>
        <v>Y3033-DB+Y3034+Y3035</v>
      </c>
      <c r="H61" t="s">
        <v>624</v>
      </c>
      <c r="I61">
        <v>10</v>
      </c>
      <c r="J61" s="1" t="str">
        <f>VLOOKUP(H:H,'3店'!$B:$B,1,0)</f>
        <v>E03388-NB+E03267</v>
      </c>
      <c r="K61" t="s">
        <v>1135</v>
      </c>
      <c r="L61">
        <v>2078</v>
      </c>
      <c r="M61">
        <v>10</v>
      </c>
      <c r="N61">
        <v>6.99</v>
      </c>
      <c r="O61">
        <v>15.99</v>
      </c>
      <c r="P61">
        <v>1</v>
      </c>
      <c r="Q61" s="31">
        <v>0.437148217636023</v>
      </c>
      <c r="R61" s="31">
        <v>0.1</v>
      </c>
      <c r="S61" s="1" t="str">
        <f>VLOOKUP(K:K,'3店'!$B:$B,1,0)</f>
        <v>Y3088-BL</v>
      </c>
      <c r="T61" t="s">
        <v>1244</v>
      </c>
      <c r="U61">
        <v>21108</v>
      </c>
      <c r="V61">
        <v>34</v>
      </c>
      <c r="W61">
        <v>21.26</v>
      </c>
      <c r="X61">
        <v>23.98</v>
      </c>
      <c r="Y61">
        <v>2</v>
      </c>
      <c r="Z61" s="31">
        <v>0.886572143452878</v>
      </c>
      <c r="AA61" s="31">
        <v>0.0588235294117647</v>
      </c>
      <c r="AB61" s="1" t="str">
        <f>VLOOKUP(T:T,'3店'!$B:$B,1,0)</f>
        <v>Y3108-NB+Y3109</v>
      </c>
      <c r="AC61" t="s">
        <v>1176</v>
      </c>
      <c r="AD61">
        <v>3781</v>
      </c>
      <c r="AE61">
        <v>27</v>
      </c>
      <c r="AF61">
        <v>12.12</v>
      </c>
      <c r="AG61">
        <v>25.98</v>
      </c>
      <c r="AH61">
        <v>2</v>
      </c>
      <c r="AI61" s="31">
        <v>0.466512702078522</v>
      </c>
      <c r="AJ61" s="31">
        <v>0.0740740740740741</v>
      </c>
      <c r="AK61" s="1" t="str">
        <f>VLOOKUP(AC:AC,'3店'!$B:$B,1,0)</f>
        <v>Y3096-DB+Y3097+Y3098</v>
      </c>
      <c r="AL61" t="s">
        <v>621</v>
      </c>
      <c r="AM61" s="102">
        <v>51.96</v>
      </c>
      <c r="AN61" s="1">
        <f t="shared" si="2"/>
        <v>355.926</v>
      </c>
      <c r="AP61" s="29" t="s">
        <v>1184</v>
      </c>
      <c r="AQ61" s="33">
        <v>90.93</v>
      </c>
      <c r="AR61" s="1">
        <f t="shared" si="3"/>
        <v>622.8705</v>
      </c>
      <c r="AT61" s="45" t="s">
        <v>756</v>
      </c>
      <c r="AU61" s="44">
        <v>794.6</v>
      </c>
      <c r="AV61" s="35"/>
      <c r="AW61" s="43" t="s">
        <v>753</v>
      </c>
      <c r="AX61" s="44">
        <v>1246.7</v>
      </c>
      <c r="AZ61" s="160" t="s">
        <v>732</v>
      </c>
      <c r="BA61" s="127">
        <v>5.054</v>
      </c>
      <c r="BB61" s="1" t="s">
        <v>430</v>
      </c>
    </row>
    <row r="62" spans="2:54">
      <c r="B62" t="s">
        <v>1173</v>
      </c>
      <c r="C62">
        <v>2</v>
      </c>
      <c r="D62" s="1" t="str">
        <f>VLOOKUP(B:B,'3店'!$B:$B,1,0)</f>
        <v>Y3096-BL+Y3097+Y3098</v>
      </c>
      <c r="E62" t="s">
        <v>645</v>
      </c>
      <c r="F62">
        <v>7</v>
      </c>
      <c r="G62" s="1" t="str">
        <f>VLOOKUP(E:E,'3店'!$B:$B,1,0)</f>
        <v>E03391-OR+E03271</v>
      </c>
      <c r="H62" t="s">
        <v>762</v>
      </c>
      <c r="I62">
        <v>9</v>
      </c>
      <c r="J62" s="1" t="str">
        <f>VLOOKUP(H:H,'3店'!$B:$B,1,0)</f>
        <v>Y3015-NB+Y3016+Y3017</v>
      </c>
      <c r="K62" t="s">
        <v>672</v>
      </c>
      <c r="L62">
        <v>4302</v>
      </c>
      <c r="M62">
        <v>28</v>
      </c>
      <c r="N62">
        <v>11.04</v>
      </c>
      <c r="O62">
        <v>77.94</v>
      </c>
      <c r="P62">
        <v>5</v>
      </c>
      <c r="Q62" s="31">
        <v>0.141647421093149</v>
      </c>
      <c r="R62" s="31">
        <v>0.178571428571429</v>
      </c>
      <c r="S62" s="1" t="str">
        <f>VLOOKUP(K:K,'3店'!$B:$B,1,0)</f>
        <v>Y03451-NB+Y03478</v>
      </c>
      <c r="T62" t="s">
        <v>1235</v>
      </c>
      <c r="U62">
        <v>7315</v>
      </c>
      <c r="V62">
        <v>48</v>
      </c>
      <c r="W62">
        <v>31.2</v>
      </c>
      <c r="X62">
        <v>25.98</v>
      </c>
      <c r="Y62">
        <v>2</v>
      </c>
      <c r="Z62" s="31">
        <v>1.20092378752887</v>
      </c>
      <c r="AA62" s="31">
        <v>0.0416666666666667</v>
      </c>
      <c r="AB62" s="1" t="str">
        <f>VLOOKUP(T:T,'3店'!$B:$B,1,0)</f>
        <v>Y3108-BL+Y3109</v>
      </c>
      <c r="AC62" t="s">
        <v>1045</v>
      </c>
      <c r="AD62">
        <v>31426</v>
      </c>
      <c r="AE62">
        <v>191</v>
      </c>
      <c r="AF62">
        <v>95.24</v>
      </c>
      <c r="AG62">
        <v>224.71</v>
      </c>
      <c r="AH62">
        <v>21</v>
      </c>
      <c r="AI62" s="31">
        <v>0.423835165324196</v>
      </c>
      <c r="AJ62" s="31">
        <v>0.109947643979058</v>
      </c>
      <c r="AK62" s="1" t="str">
        <f>VLOOKUP(AC:AC,'3店'!$B:$B,1,0)</f>
        <v>Y3058-NB</v>
      </c>
      <c r="AL62" t="s">
        <v>687</v>
      </c>
      <c r="AM62" s="102">
        <v>38.97</v>
      </c>
      <c r="AN62" s="1">
        <f t="shared" si="2"/>
        <v>266.9445</v>
      </c>
      <c r="AP62" s="29" t="s">
        <v>1176</v>
      </c>
      <c r="AQ62" s="33">
        <v>85.93</v>
      </c>
      <c r="AR62" s="1">
        <f t="shared" si="3"/>
        <v>588.6205</v>
      </c>
      <c r="AT62" s="45" t="s">
        <v>759</v>
      </c>
      <c r="AU62" s="44">
        <v>1570.7</v>
      </c>
      <c r="AV62" s="35"/>
      <c r="AW62" s="43" t="s">
        <v>756</v>
      </c>
      <c r="AX62" s="44">
        <v>506.9</v>
      </c>
      <c r="AZ62" s="160" t="s">
        <v>726</v>
      </c>
      <c r="BA62" s="127">
        <v>4.461</v>
      </c>
      <c r="BB62" s="1" t="s">
        <v>430</v>
      </c>
    </row>
    <row r="63" spans="2:54">
      <c r="B63" t="s">
        <v>660</v>
      </c>
      <c r="C63">
        <v>4</v>
      </c>
      <c r="D63" s="1" t="str">
        <f>VLOOKUP(B:B,'3店'!$B:$B,1,0)</f>
        <v>Y03449-TG+Y03476</v>
      </c>
      <c r="E63" t="s">
        <v>693</v>
      </c>
      <c r="F63">
        <v>4</v>
      </c>
      <c r="G63" s="1" t="str">
        <f>VLOOKUP(E:E,'3店'!$B:$B,1,0)</f>
        <v>Y03466-TG+E03063</v>
      </c>
      <c r="H63" t="s">
        <v>789</v>
      </c>
      <c r="I63">
        <v>8</v>
      </c>
      <c r="J63" s="1" t="str">
        <f>VLOOKUP(H:H,'3店'!$B:$B,1,0)</f>
        <v>Y03742-DG+Y03743</v>
      </c>
      <c r="K63" t="s">
        <v>1190</v>
      </c>
      <c r="L63">
        <v>2311</v>
      </c>
      <c r="M63">
        <v>8</v>
      </c>
      <c r="N63">
        <v>4.92</v>
      </c>
      <c r="O63">
        <v>25.98</v>
      </c>
      <c r="P63">
        <v>2</v>
      </c>
      <c r="Q63" s="31">
        <v>0.189376443418014</v>
      </c>
      <c r="R63" s="31">
        <v>0.25</v>
      </c>
      <c r="S63" s="1" t="str">
        <f>VLOOKUP(K:K,'3店'!$B:$B,1,0)</f>
        <v>Y3102-BL+Y3103</v>
      </c>
      <c r="T63" t="s">
        <v>1232</v>
      </c>
      <c r="U63">
        <v>2458</v>
      </c>
      <c r="V63">
        <v>9</v>
      </c>
      <c r="W63">
        <v>5.4</v>
      </c>
      <c r="X63">
        <v>25.98</v>
      </c>
      <c r="Y63">
        <v>2</v>
      </c>
      <c r="Z63" s="31">
        <v>0.207852193995381</v>
      </c>
      <c r="AA63" s="31">
        <v>0.222222222222222</v>
      </c>
      <c r="AB63" s="1" t="str">
        <f>VLOOKUP(T:T,'3店'!$B:$B,1,0)</f>
        <v>Y3108-BG+Y3109</v>
      </c>
      <c r="AC63" t="s">
        <v>1220</v>
      </c>
      <c r="AD63">
        <v>14232</v>
      </c>
      <c r="AE63">
        <v>28</v>
      </c>
      <c r="AF63">
        <v>17.21</v>
      </c>
      <c r="AG63">
        <v>12.99</v>
      </c>
      <c r="AH63">
        <v>1</v>
      </c>
      <c r="AI63" s="31">
        <v>1.32486528098537</v>
      </c>
      <c r="AJ63" s="31">
        <v>0.0357142857142857</v>
      </c>
      <c r="AK63" s="1" t="str">
        <f>VLOOKUP(AC:AC,'3店'!$B:$B,1,0)</f>
        <v>Y3106-BL+Y3107</v>
      </c>
      <c r="AL63" t="s">
        <v>705</v>
      </c>
      <c r="AM63" s="102">
        <v>38.97</v>
      </c>
      <c r="AN63" s="1">
        <f t="shared" si="2"/>
        <v>266.9445</v>
      </c>
      <c r="AP63" s="29" t="s">
        <v>1173</v>
      </c>
      <c r="AQ63" s="33">
        <v>76.93</v>
      </c>
      <c r="AR63" s="1">
        <f t="shared" si="3"/>
        <v>526.9705</v>
      </c>
      <c r="AT63" s="45" t="s">
        <v>762</v>
      </c>
      <c r="AU63" s="44">
        <v>556</v>
      </c>
      <c r="AV63" s="35"/>
      <c r="AW63" s="43" t="s">
        <v>759</v>
      </c>
      <c r="AX63" s="44">
        <v>1932.1</v>
      </c>
      <c r="AZ63" s="160" t="s">
        <v>729</v>
      </c>
      <c r="BA63" s="127">
        <v>5.397</v>
      </c>
      <c r="BB63" s="1" t="s">
        <v>430</v>
      </c>
    </row>
    <row r="64" spans="2:54">
      <c r="B64" t="s">
        <v>876</v>
      </c>
      <c r="C64">
        <v>3</v>
      </c>
      <c r="D64" s="1" t="str">
        <f>VLOOKUP(B:B,'3店'!$B:$B,1,0)</f>
        <v>Y3029-NB+Y3030</v>
      </c>
      <c r="E64" t="s">
        <v>657</v>
      </c>
      <c r="F64">
        <v>11</v>
      </c>
      <c r="G64" s="1" t="str">
        <f>VLOOKUP(E:E,'3店'!$B:$B,1,0)</f>
        <v>Y03449-OR+Y03476</v>
      </c>
      <c r="H64" t="s">
        <v>828</v>
      </c>
      <c r="I64">
        <v>14</v>
      </c>
      <c r="J64" s="1" t="str">
        <f>VLOOKUP(H:H,'3店'!$B:$B,1,0)</f>
        <v>Y3033-DB+Y3034+Y3035</v>
      </c>
      <c r="K64" t="s">
        <v>1193</v>
      </c>
      <c r="L64">
        <v>1340</v>
      </c>
      <c r="M64">
        <v>6</v>
      </c>
      <c r="N64">
        <v>4.34</v>
      </c>
      <c r="O64">
        <v>0</v>
      </c>
      <c r="P64">
        <v>0</v>
      </c>
      <c r="Q64" s="31">
        <v>0</v>
      </c>
      <c r="R64" s="31">
        <v>0</v>
      </c>
      <c r="S64" s="1" t="str">
        <f>VLOOKUP(K:K,'3店'!$B:$B,1,0)</f>
        <v>Y3102-GN+Y3103</v>
      </c>
      <c r="T64" t="s">
        <v>1205</v>
      </c>
      <c r="U64">
        <v>20103</v>
      </c>
      <c r="V64">
        <v>19</v>
      </c>
      <c r="W64">
        <v>11.66</v>
      </c>
      <c r="X64">
        <v>0</v>
      </c>
      <c r="Y64">
        <v>0</v>
      </c>
      <c r="Z64" s="31">
        <v>0</v>
      </c>
      <c r="AA64" s="31">
        <v>0</v>
      </c>
      <c r="AB64" s="1" t="str">
        <f>VLOOKUP(T:T,'3店'!$B:$B,1,0)</f>
        <v>Y3104-BL+Y3105</v>
      </c>
      <c r="AC64" t="s">
        <v>1229</v>
      </c>
      <c r="AD64">
        <v>15377</v>
      </c>
      <c r="AE64">
        <v>21</v>
      </c>
      <c r="AF64">
        <v>13.57</v>
      </c>
      <c r="AG64">
        <v>34.97</v>
      </c>
      <c r="AH64">
        <v>3</v>
      </c>
      <c r="AI64" s="31">
        <v>0.388046897340578</v>
      </c>
      <c r="AJ64" s="31">
        <v>0.142857142857143</v>
      </c>
      <c r="AK64" s="1" t="str">
        <f>VLOOKUP(AC:AC,'3店'!$B:$B,1,0)</f>
        <v>Y3106-NB+Y3107</v>
      </c>
      <c r="AL64" t="s">
        <v>684</v>
      </c>
      <c r="AM64" s="102">
        <v>38.97</v>
      </c>
      <c r="AN64" s="1">
        <f t="shared" si="2"/>
        <v>266.9445</v>
      </c>
      <c r="AP64" s="29" t="s">
        <v>591</v>
      </c>
      <c r="AQ64" s="33">
        <v>77.94</v>
      </c>
      <c r="AR64" s="1">
        <f t="shared" si="3"/>
        <v>533.889</v>
      </c>
      <c r="AT64" s="45" t="s">
        <v>765</v>
      </c>
      <c r="AU64" s="44">
        <v>361.4</v>
      </c>
      <c r="AV64" s="35"/>
      <c r="AW64" s="43" t="s">
        <v>762</v>
      </c>
      <c r="AX64" s="44">
        <v>681.1</v>
      </c>
      <c r="AZ64" s="160" t="s">
        <v>801</v>
      </c>
      <c r="BA64" s="127">
        <v>5.778</v>
      </c>
      <c r="BB64" s="1" t="s">
        <v>430</v>
      </c>
    </row>
    <row r="65" spans="2:54">
      <c r="B65" t="s">
        <v>705</v>
      </c>
      <c r="C65">
        <v>3</v>
      </c>
      <c r="D65" s="1" t="str">
        <f>VLOOKUP(B:B,'3店'!$B:$B,1,0)</f>
        <v>Y03507-OR+Y03508+Y03509</v>
      </c>
      <c r="E65" t="s">
        <v>660</v>
      </c>
      <c r="F65">
        <v>7</v>
      </c>
      <c r="G65" s="1" t="str">
        <f>VLOOKUP(E:E,'3店'!$B:$B,1,0)</f>
        <v>Y03449-TG+Y03476</v>
      </c>
      <c r="H65" t="s">
        <v>645</v>
      </c>
      <c r="I65">
        <v>13</v>
      </c>
      <c r="J65" s="1" t="str">
        <f>VLOOKUP(H:H,'3店'!$B:$B,1,0)</f>
        <v>E03391-OR+E03271</v>
      </c>
      <c r="K65" t="s">
        <v>888</v>
      </c>
      <c r="L65">
        <v>1979</v>
      </c>
      <c r="M65">
        <v>11</v>
      </c>
      <c r="N65">
        <v>3.45</v>
      </c>
      <c r="O65">
        <v>0</v>
      </c>
      <c r="P65">
        <v>0</v>
      </c>
      <c r="Q65" s="31">
        <v>0</v>
      </c>
      <c r="R65" s="31">
        <v>0</v>
      </c>
      <c r="S65" s="1" t="str">
        <f>VLOOKUP(K:K,'3店'!$B:$B,1,0)</f>
        <v>Y3031-NB+Y3032</v>
      </c>
      <c r="T65" t="s">
        <v>1214</v>
      </c>
      <c r="U65">
        <v>4923</v>
      </c>
      <c r="V65">
        <v>9</v>
      </c>
      <c r="W65">
        <v>6.11</v>
      </c>
      <c r="X65">
        <v>25.98</v>
      </c>
      <c r="Y65">
        <v>1</v>
      </c>
      <c r="Z65" s="31">
        <v>0.23518090839107</v>
      </c>
      <c r="AA65" s="31">
        <v>0.111111111111111</v>
      </c>
      <c r="AB65" s="1" t="str">
        <f>VLOOKUP(T:T,'3店'!$B:$B,1,0)</f>
        <v>Y3104-NB+Y3105</v>
      </c>
      <c r="AC65" t="s">
        <v>1217</v>
      </c>
      <c r="AD65">
        <v>10260</v>
      </c>
      <c r="AE65">
        <v>22</v>
      </c>
      <c r="AF65">
        <v>15.52</v>
      </c>
      <c r="AG65">
        <v>37.97</v>
      </c>
      <c r="AH65">
        <v>3</v>
      </c>
      <c r="AI65" s="31">
        <v>0.408743745061891</v>
      </c>
      <c r="AJ65" s="31">
        <v>0.136363636363636</v>
      </c>
      <c r="AK65" s="1" t="str">
        <f>VLOOKUP(AC:AC,'3店'!$B:$B,1,0)</f>
        <v>Y3106-BG+Y3107</v>
      </c>
      <c r="AL65" t="s">
        <v>669</v>
      </c>
      <c r="AM65" s="102">
        <v>38.97</v>
      </c>
      <c r="AN65" s="1">
        <f t="shared" si="2"/>
        <v>266.9445</v>
      </c>
      <c r="AP65" s="29" t="s">
        <v>705</v>
      </c>
      <c r="AQ65" s="33">
        <v>79.94</v>
      </c>
      <c r="AR65" s="1">
        <f t="shared" si="3"/>
        <v>547.589</v>
      </c>
      <c r="AT65" s="45" t="s">
        <v>768</v>
      </c>
      <c r="AU65" s="44">
        <v>863.1</v>
      </c>
      <c r="AV65" s="35"/>
      <c r="AW65" s="45" t="s">
        <v>765</v>
      </c>
      <c r="AX65" s="44">
        <v>444.8</v>
      </c>
      <c r="AZ65" s="160" t="s">
        <v>804</v>
      </c>
      <c r="BA65" s="127">
        <v>5.163</v>
      </c>
      <c r="BB65" s="1" t="s">
        <v>430</v>
      </c>
    </row>
    <row r="66" spans="2:54">
      <c r="B66" t="s">
        <v>1176</v>
      </c>
      <c r="C66">
        <v>2</v>
      </c>
      <c r="D66" s="1" t="str">
        <f>VLOOKUP(B:B,'3店'!$B:$B,1,0)</f>
        <v>Y3096-DB+Y3097+Y3098</v>
      </c>
      <c r="E66" t="s">
        <v>723</v>
      </c>
      <c r="F66">
        <v>5</v>
      </c>
      <c r="G66" s="1" t="str">
        <f>VLOOKUP(E:E,'3店'!$B:$B,1,0)</f>
        <v>Y03564-OR+Y03565+Y03566</v>
      </c>
      <c r="H66" t="s">
        <v>693</v>
      </c>
      <c r="I66">
        <v>9</v>
      </c>
      <c r="J66" s="1" t="str">
        <f>VLOOKUP(H:H,'3店'!$B:$B,1,0)</f>
        <v>Y03466-TG+E03063</v>
      </c>
      <c r="K66" t="s">
        <v>1023</v>
      </c>
      <c r="L66">
        <v>1920</v>
      </c>
      <c r="M66">
        <v>11</v>
      </c>
      <c r="N66">
        <v>4.06</v>
      </c>
      <c r="O66">
        <v>12.99</v>
      </c>
      <c r="P66">
        <v>1</v>
      </c>
      <c r="Q66" s="31">
        <v>0.312548113933795</v>
      </c>
      <c r="R66" s="31">
        <v>0.0909090909090909</v>
      </c>
      <c r="S66" s="1" t="str">
        <f>VLOOKUP(K:K,'3店'!$B:$B,1,0)</f>
        <v>Y3056-BL+Y3057</v>
      </c>
      <c r="T66" t="s">
        <v>1199</v>
      </c>
      <c r="U66">
        <v>19525</v>
      </c>
      <c r="V66">
        <v>24</v>
      </c>
      <c r="W66">
        <v>16.63</v>
      </c>
      <c r="X66">
        <v>21.98</v>
      </c>
      <c r="Y66">
        <v>2</v>
      </c>
      <c r="Z66" s="31">
        <v>0.756596906278435</v>
      </c>
      <c r="AA66" s="31">
        <v>0.0833333333333333</v>
      </c>
      <c r="AB66" s="1" t="str">
        <f>VLOOKUP(T:T,'3店'!$B:$B,1,0)</f>
        <v>Y3102-NB+Y3103</v>
      </c>
      <c r="AC66" t="s">
        <v>1244</v>
      </c>
      <c r="AD66">
        <v>49492</v>
      </c>
      <c r="AE66">
        <v>70</v>
      </c>
      <c r="AF66">
        <v>46.72</v>
      </c>
      <c r="AG66">
        <v>101.92</v>
      </c>
      <c r="AH66">
        <v>7</v>
      </c>
      <c r="AI66" s="31">
        <v>0.45839874411303</v>
      </c>
      <c r="AJ66" s="31">
        <v>0.1</v>
      </c>
      <c r="AK66" s="1" t="str">
        <f>VLOOKUP(AC:AC,'3店'!$B:$B,1,0)</f>
        <v>Y3108-NB+Y3109</v>
      </c>
      <c r="AL66" t="s">
        <v>732</v>
      </c>
      <c r="AM66" s="102">
        <v>38.97</v>
      </c>
      <c r="AN66" s="1">
        <f t="shared" si="2"/>
        <v>266.9445</v>
      </c>
      <c r="AP66" s="29" t="s">
        <v>720</v>
      </c>
      <c r="AQ66" s="33">
        <v>75.94</v>
      </c>
      <c r="AR66" s="1">
        <f t="shared" si="3"/>
        <v>520.189</v>
      </c>
      <c r="AT66" s="45" t="s">
        <v>771</v>
      </c>
      <c r="AU66" s="44">
        <v>178.1</v>
      </c>
      <c r="AV66" s="35"/>
      <c r="AW66" s="45" t="s">
        <v>768</v>
      </c>
      <c r="AX66" s="44">
        <v>561.7</v>
      </c>
      <c r="AZ66" s="160" t="s">
        <v>708</v>
      </c>
      <c r="BA66" s="127">
        <v>5.502</v>
      </c>
      <c r="BB66" s="1" t="s">
        <v>430</v>
      </c>
    </row>
    <row r="67" spans="2:54">
      <c r="B67" t="s">
        <v>963</v>
      </c>
      <c r="C67">
        <v>5</v>
      </c>
      <c r="D67" s="1" t="str">
        <f>VLOOKUP(B:B,'3店'!$B:$B,1,0)</f>
        <v>Y3049-OR+Y3050+Y3051</v>
      </c>
      <c r="E67" t="s">
        <v>978</v>
      </c>
      <c r="F67">
        <v>2</v>
      </c>
      <c r="G67" s="1" t="str">
        <f>VLOOKUP(E:E,'3店'!$B:$B,1,0)</f>
        <v>Y3046-OR+Y3047+Y3048</v>
      </c>
      <c r="H67" t="s">
        <v>657</v>
      </c>
      <c r="I67">
        <v>18</v>
      </c>
      <c r="J67" s="1" t="str">
        <f>VLOOKUP(H:H,'3店'!$B:$B,1,0)</f>
        <v>Y03449-OR+Y03476</v>
      </c>
      <c r="K67" t="s">
        <v>1176</v>
      </c>
      <c r="L67">
        <v>3727</v>
      </c>
      <c r="M67">
        <v>26</v>
      </c>
      <c r="N67">
        <v>11.67</v>
      </c>
      <c r="O67">
        <v>25.98</v>
      </c>
      <c r="P67">
        <v>2</v>
      </c>
      <c r="Q67" s="31">
        <v>0.44919168591224</v>
      </c>
      <c r="R67" s="31">
        <v>0.0769230769230769</v>
      </c>
      <c r="S67" s="1" t="str">
        <f>VLOOKUP(K:K,'3店'!$B:$B,1,0)</f>
        <v>Y3096-DB+Y3097+Y3098</v>
      </c>
      <c r="T67" t="s">
        <v>1135</v>
      </c>
      <c r="U67">
        <v>5631</v>
      </c>
      <c r="V67">
        <v>25</v>
      </c>
      <c r="W67">
        <v>17.89</v>
      </c>
      <c r="X67">
        <v>43.98</v>
      </c>
      <c r="Y67">
        <v>2</v>
      </c>
      <c r="Z67" s="31">
        <v>0.406775807185084</v>
      </c>
      <c r="AA67" s="31">
        <v>0.08</v>
      </c>
      <c r="AB67" s="1" t="str">
        <f>VLOOKUP(T:T,'3店'!$B:$B,1,0)</f>
        <v>Y3088-BL</v>
      </c>
      <c r="AC67" t="s">
        <v>1235</v>
      </c>
      <c r="AD67">
        <v>39138</v>
      </c>
      <c r="AE67">
        <v>105</v>
      </c>
      <c r="AF67">
        <v>71.13</v>
      </c>
      <c r="AG67">
        <v>116.91</v>
      </c>
      <c r="AH67">
        <v>8</v>
      </c>
      <c r="AI67" s="31">
        <v>0.608416730818578</v>
      </c>
      <c r="AJ67" s="31">
        <v>0.0761904761904762</v>
      </c>
      <c r="AK67" s="1" t="str">
        <f>VLOOKUP(AC:AC,'3店'!$B:$B,1,0)</f>
        <v>Y3108-BL+Y3109</v>
      </c>
      <c r="AL67" t="s">
        <v>831</v>
      </c>
      <c r="AM67" s="102">
        <v>38.97</v>
      </c>
      <c r="AN67" s="1">
        <f t="shared" ref="AN67:AN98" si="4">AM67*$AS$1</f>
        <v>266.9445</v>
      </c>
      <c r="AP67" s="29" t="s">
        <v>831</v>
      </c>
      <c r="AQ67" s="33">
        <v>77.94</v>
      </c>
      <c r="AR67" s="1">
        <f t="shared" ref="AR67:AR98" si="5">AQ67*$AS$1</f>
        <v>533.889</v>
      </c>
      <c r="AT67" s="45" t="s">
        <v>774</v>
      </c>
      <c r="AU67" s="44">
        <v>356.2</v>
      </c>
      <c r="AV67" s="35"/>
      <c r="AW67" s="45" t="s">
        <v>771</v>
      </c>
      <c r="AX67" s="44">
        <v>123.3</v>
      </c>
      <c r="AZ67" s="160" t="s">
        <v>711</v>
      </c>
      <c r="BA67" s="127">
        <v>5.321</v>
      </c>
      <c r="BB67" s="1" t="s">
        <v>430</v>
      </c>
    </row>
    <row r="68" spans="2:54">
      <c r="B68" t="s">
        <v>711</v>
      </c>
      <c r="C68">
        <v>6</v>
      </c>
      <c r="D68" s="1" t="str">
        <f>VLOOKUP(B:B,'3店'!$B:$B,1,0)</f>
        <v>Y03561-NB+Y03562+Y03565</v>
      </c>
      <c r="E68" t="s">
        <v>972</v>
      </c>
      <c r="F68">
        <v>7</v>
      </c>
      <c r="G68" s="1" t="str">
        <f>VLOOKUP(E:E,'3店'!$B:$B,1,0)</f>
        <v>Y3046-DB+Y3047+Y3048</v>
      </c>
      <c r="H68" t="s">
        <v>660</v>
      </c>
      <c r="I68">
        <v>17</v>
      </c>
      <c r="J68" s="1" t="str">
        <f>VLOOKUP(H:H,'3店'!$B:$B,1,0)</f>
        <v>Y03449-TG+Y03476</v>
      </c>
      <c r="K68" t="s">
        <v>603</v>
      </c>
      <c r="L68">
        <v>0</v>
      </c>
      <c r="M68">
        <v>0</v>
      </c>
      <c r="N68">
        <v>0</v>
      </c>
      <c r="O68">
        <v>0</v>
      </c>
      <c r="P68">
        <v>0</v>
      </c>
      <c r="Q68" s="31">
        <v>0</v>
      </c>
      <c r="R68" s="31">
        <v>0</v>
      </c>
      <c r="S68" s="1" t="str">
        <f>VLOOKUP(K:K,'3店'!$B:$B,1,0)</f>
        <v>E03375-NB+E03380+E03397</v>
      </c>
      <c r="T68" t="s">
        <v>672</v>
      </c>
      <c r="U68">
        <v>9754</v>
      </c>
      <c r="V68">
        <v>48</v>
      </c>
      <c r="W68">
        <v>18.99</v>
      </c>
      <c r="X68">
        <v>101.92</v>
      </c>
      <c r="Y68">
        <v>7</v>
      </c>
      <c r="Z68" s="31">
        <v>0.186322605965463</v>
      </c>
      <c r="AA68" s="31">
        <v>0.145833333333333</v>
      </c>
      <c r="AB68" s="1" t="str">
        <f>VLOOKUP(T:T,'3店'!$B:$B,1,0)</f>
        <v>Y03451-NB+Y03478</v>
      </c>
      <c r="AC68" t="s">
        <v>1232</v>
      </c>
      <c r="AD68">
        <v>16514</v>
      </c>
      <c r="AE68">
        <v>80</v>
      </c>
      <c r="AF68">
        <v>51.5</v>
      </c>
      <c r="AG68">
        <v>116.91</v>
      </c>
      <c r="AH68">
        <v>10</v>
      </c>
      <c r="AI68" s="31">
        <v>0.440509793858524</v>
      </c>
      <c r="AJ68" s="31">
        <v>0.125</v>
      </c>
      <c r="AK68" s="1" t="str">
        <f>VLOOKUP(AC:AC,'3店'!$B:$B,1,0)</f>
        <v>Y3108-BG+Y3109</v>
      </c>
      <c r="AL68" t="s">
        <v>861</v>
      </c>
      <c r="AM68" s="102">
        <v>37.86</v>
      </c>
      <c r="AN68" s="1">
        <f t="shared" si="4"/>
        <v>259.341</v>
      </c>
      <c r="AP68" s="29" t="s">
        <v>957</v>
      </c>
      <c r="AQ68" s="33">
        <v>77.94</v>
      </c>
      <c r="AR68" s="1">
        <f t="shared" si="5"/>
        <v>533.889</v>
      </c>
      <c r="AT68" s="45" t="s">
        <v>777</v>
      </c>
      <c r="AU68" s="44">
        <v>82.2</v>
      </c>
      <c r="AV68" s="35"/>
      <c r="AW68" s="45" t="s">
        <v>774</v>
      </c>
      <c r="AX68" s="44">
        <v>383.6</v>
      </c>
      <c r="AZ68" s="160" t="s">
        <v>714</v>
      </c>
      <c r="BA68" s="127">
        <v>5.227</v>
      </c>
      <c r="BB68" s="1" t="s">
        <v>430</v>
      </c>
    </row>
    <row r="69" spans="2:54">
      <c r="B69" t="s">
        <v>1049</v>
      </c>
      <c r="C69">
        <v>22</v>
      </c>
      <c r="D69" s="1" t="str">
        <f>VLOOKUP(B:B,'3店'!$B:$B,1,0)</f>
        <v>Y3079-BL+Y3079</v>
      </c>
      <c r="E69" t="s">
        <v>1004</v>
      </c>
      <c r="F69">
        <v>8</v>
      </c>
      <c r="G69" s="1" t="str">
        <f>VLOOKUP(E:E,'3店'!$B:$B,1,0)</f>
        <v>Y3060-GK+Y3061+Y3062</v>
      </c>
      <c r="H69" t="s">
        <v>723</v>
      </c>
      <c r="I69">
        <v>7</v>
      </c>
      <c r="J69" s="1" t="str">
        <f>VLOOKUP(H:H,'3店'!$B:$B,1,0)</f>
        <v>Y03564-OR+Y03565+Y03566</v>
      </c>
      <c r="K69" t="s">
        <v>666</v>
      </c>
      <c r="L69">
        <v>165</v>
      </c>
      <c r="M69">
        <v>3</v>
      </c>
      <c r="N69">
        <v>0.85</v>
      </c>
      <c r="O69">
        <v>0</v>
      </c>
      <c r="P69">
        <v>0</v>
      </c>
      <c r="Q69" s="31">
        <v>0</v>
      </c>
      <c r="R69" s="31">
        <v>0</v>
      </c>
      <c r="S69" s="1" t="str">
        <f>VLOOKUP(K:K,'3店'!$B:$B,1,0)</f>
        <v>Y03451-BL+Y03478</v>
      </c>
      <c r="T69" t="s">
        <v>1190</v>
      </c>
      <c r="U69">
        <v>5876</v>
      </c>
      <c r="V69">
        <v>15</v>
      </c>
      <c r="W69">
        <v>10.11</v>
      </c>
      <c r="X69">
        <v>25.98</v>
      </c>
      <c r="Y69">
        <v>2</v>
      </c>
      <c r="Z69" s="31">
        <v>0.389145496535797</v>
      </c>
      <c r="AA69" s="31">
        <v>0.133333333333333</v>
      </c>
      <c r="AB69" s="1" t="str">
        <f>VLOOKUP(T:T,'3店'!$B:$B,1,0)</f>
        <v>Y3102-BL+Y3103</v>
      </c>
      <c r="AC69" t="s">
        <v>1205</v>
      </c>
      <c r="AD69">
        <v>38118</v>
      </c>
      <c r="AE69">
        <v>50</v>
      </c>
      <c r="AF69">
        <v>32.77</v>
      </c>
      <c r="AG69">
        <v>25.98</v>
      </c>
      <c r="AH69">
        <v>2</v>
      </c>
      <c r="AI69" s="31">
        <v>1.26135488837567</v>
      </c>
      <c r="AJ69" s="31">
        <v>0.04</v>
      </c>
      <c r="AK69" s="1" t="str">
        <f>VLOOKUP(AC:AC,'3店'!$B:$B,1,0)</f>
        <v>Y3104-BL+Y3105</v>
      </c>
      <c r="AL69" t="s">
        <v>876</v>
      </c>
      <c r="AM69" s="102">
        <v>38.97</v>
      </c>
      <c r="AN69" s="1">
        <f t="shared" si="4"/>
        <v>266.9445</v>
      </c>
      <c r="AP69" s="29" t="s">
        <v>972</v>
      </c>
      <c r="AQ69" s="33">
        <v>86.93</v>
      </c>
      <c r="AR69" s="1">
        <f t="shared" si="5"/>
        <v>595.4705</v>
      </c>
      <c r="AT69" s="45" t="s">
        <v>780</v>
      </c>
      <c r="AU69" s="44">
        <v>246.6</v>
      </c>
      <c r="AV69" s="35"/>
      <c r="AW69" s="45" t="s">
        <v>777</v>
      </c>
      <c r="AX69" s="44">
        <v>137</v>
      </c>
      <c r="AZ69" s="160" t="s">
        <v>717</v>
      </c>
      <c r="BA69" s="127">
        <v>5.107</v>
      </c>
      <c r="BB69" s="1" t="s">
        <v>430</v>
      </c>
    </row>
    <row r="70" spans="2:54">
      <c r="B70" t="s">
        <v>714</v>
      </c>
      <c r="C70">
        <v>1</v>
      </c>
      <c r="D70" s="1" t="str">
        <f>VLOOKUP(B:B,'3店'!$B:$B,1,0)</f>
        <v>Y03561-OR+Y03562+Y03565</v>
      </c>
      <c r="E70" t="s">
        <v>627</v>
      </c>
      <c r="F70">
        <v>5</v>
      </c>
      <c r="G70" s="1" t="str">
        <f>VLOOKUP(E:E,'3店'!$B:$B,1,0)</f>
        <v>E03388-OR+E03267</v>
      </c>
      <c r="H70" t="s">
        <v>978</v>
      </c>
      <c r="I70">
        <v>3</v>
      </c>
      <c r="J70" s="1" t="str">
        <f>VLOOKUP(H:H,'3店'!$B:$B,1,0)</f>
        <v>Y3046-OR+Y3047+Y3048</v>
      </c>
      <c r="K70" t="s">
        <v>1255</v>
      </c>
      <c r="L70">
        <v>5569</v>
      </c>
      <c r="M70">
        <v>3</v>
      </c>
      <c r="N70">
        <v>2.21</v>
      </c>
      <c r="O70">
        <v>0</v>
      </c>
      <c r="P70">
        <v>0</v>
      </c>
      <c r="Q70" s="31">
        <v>0</v>
      </c>
      <c r="R70" s="31">
        <v>0</v>
      </c>
      <c r="S70" s="1" t="str">
        <f>VLOOKUP(K:K,'3店'!$B:$B,1,0)</f>
        <v>Y3110-GR</v>
      </c>
      <c r="T70" t="s">
        <v>1193</v>
      </c>
      <c r="U70">
        <v>2623</v>
      </c>
      <c r="V70">
        <v>14</v>
      </c>
      <c r="W70">
        <v>9.83</v>
      </c>
      <c r="X70">
        <v>12.99</v>
      </c>
      <c r="Y70">
        <v>1</v>
      </c>
      <c r="Z70" s="31">
        <v>0.756735950731332</v>
      </c>
      <c r="AA70" s="31">
        <v>0.0714285714285714</v>
      </c>
      <c r="AB70" s="1" t="str">
        <f>VLOOKUP(T:T,'3店'!$B:$B,1,0)</f>
        <v>Y3102-GN+Y3103</v>
      </c>
      <c r="AC70" t="s">
        <v>1214</v>
      </c>
      <c r="AD70">
        <v>30744</v>
      </c>
      <c r="AE70">
        <v>30</v>
      </c>
      <c r="AF70">
        <v>20.22</v>
      </c>
      <c r="AG70">
        <v>64.95</v>
      </c>
      <c r="AH70">
        <v>4</v>
      </c>
      <c r="AI70" s="31">
        <v>0.311316397228637</v>
      </c>
      <c r="AJ70" s="31">
        <v>0.133333333333333</v>
      </c>
      <c r="AK70" s="1" t="str">
        <f>VLOOKUP(AC:AC,'3店'!$B:$B,1,0)</f>
        <v>Y3104-NB+Y3105</v>
      </c>
      <c r="AL70" t="s">
        <v>966</v>
      </c>
      <c r="AM70" s="102">
        <v>49.74</v>
      </c>
      <c r="AN70" s="1">
        <f t="shared" si="4"/>
        <v>340.719</v>
      </c>
      <c r="AP70" s="29" t="s">
        <v>998</v>
      </c>
      <c r="AQ70" s="33">
        <v>77.94</v>
      </c>
      <c r="AR70" s="1">
        <f t="shared" si="5"/>
        <v>533.889</v>
      </c>
      <c r="AT70" s="45" t="s">
        <v>783</v>
      </c>
      <c r="AU70" s="44">
        <v>458.7</v>
      </c>
      <c r="AV70" s="35"/>
      <c r="AW70" s="45" t="s">
        <v>780</v>
      </c>
      <c r="AX70" s="44">
        <v>287.7</v>
      </c>
      <c r="AZ70" s="160" t="s">
        <v>720</v>
      </c>
      <c r="BA70" s="127">
        <v>4.945</v>
      </c>
      <c r="BB70" s="1" t="s">
        <v>430</v>
      </c>
    </row>
    <row r="71" spans="2:54">
      <c r="B71" t="s">
        <v>795</v>
      </c>
      <c r="C71">
        <v>4</v>
      </c>
      <c r="D71" s="1" t="str">
        <f>VLOOKUP(B:B,'3店'!$B:$B,1,0)</f>
        <v>Y03742-OR+Y03743</v>
      </c>
      <c r="E71" t="s">
        <v>699</v>
      </c>
      <c r="F71">
        <v>3</v>
      </c>
      <c r="G71" s="1" t="str">
        <f>VLOOKUP(E:E,'3店'!$B:$B,1,0)</f>
        <v>Y03507-GR+Y03508+Y03509</v>
      </c>
      <c r="H71" t="s">
        <v>972</v>
      </c>
      <c r="I71">
        <v>18</v>
      </c>
      <c r="J71" s="1" t="str">
        <f>VLOOKUP(H:H,'3店'!$B:$B,1,0)</f>
        <v>Y3046-DB+Y3047+Y3048</v>
      </c>
      <c r="K71" t="s">
        <v>1249</v>
      </c>
      <c r="L71">
        <v>7846</v>
      </c>
      <c r="M71">
        <v>15</v>
      </c>
      <c r="N71">
        <v>10.93</v>
      </c>
      <c r="O71">
        <v>25.98</v>
      </c>
      <c r="P71">
        <v>2</v>
      </c>
      <c r="Q71" s="31">
        <v>0.420708237105466</v>
      </c>
      <c r="R71" s="31">
        <v>0.133333333333333</v>
      </c>
      <c r="S71" s="1" t="str">
        <f>VLOOKUP(K:K,'3店'!$B:$B,1,0)</f>
        <v>Y3110-BL</v>
      </c>
      <c r="T71" t="s">
        <v>603</v>
      </c>
      <c r="U71">
        <v>0</v>
      </c>
      <c r="V71">
        <v>0</v>
      </c>
      <c r="W71">
        <v>0</v>
      </c>
      <c r="X71">
        <v>0</v>
      </c>
      <c r="Y71">
        <v>0</v>
      </c>
      <c r="Z71" s="31">
        <v>0</v>
      </c>
      <c r="AA71" s="31">
        <v>0</v>
      </c>
      <c r="AB71" s="1" t="str">
        <f>VLOOKUP(T:T,'3店'!$B:$B,1,0)</f>
        <v>E03375-NB+E03380+E03397</v>
      </c>
      <c r="AC71" t="s">
        <v>1202</v>
      </c>
      <c r="AD71">
        <v>3611</v>
      </c>
      <c r="AE71">
        <v>19</v>
      </c>
      <c r="AF71">
        <v>13.15</v>
      </c>
      <c r="AG71">
        <v>0</v>
      </c>
      <c r="AH71">
        <v>0</v>
      </c>
      <c r="AI71" s="31">
        <v>0</v>
      </c>
      <c r="AJ71" s="31">
        <v>0</v>
      </c>
      <c r="AK71" s="1" t="str">
        <f>VLOOKUP(AC:AC,'3店'!$B:$B,1,0)</f>
        <v>Y3104-BG+Y3105</v>
      </c>
      <c r="AL71" t="s">
        <v>998</v>
      </c>
      <c r="AM71" s="102">
        <v>38.97</v>
      </c>
      <c r="AN71" s="1">
        <f t="shared" si="4"/>
        <v>266.9445</v>
      </c>
      <c r="AP71" s="29" t="s">
        <v>1032</v>
      </c>
      <c r="AQ71" s="33">
        <v>55.95</v>
      </c>
      <c r="AR71" s="1">
        <f t="shared" si="5"/>
        <v>383.2575</v>
      </c>
      <c r="AT71" s="45" t="s">
        <v>786</v>
      </c>
      <c r="AU71" s="44">
        <v>2539.495</v>
      </c>
      <c r="AV71" s="35"/>
      <c r="AW71" s="45" t="s">
        <v>783</v>
      </c>
      <c r="AX71" s="44">
        <v>0</v>
      </c>
      <c r="AZ71" s="160" t="s">
        <v>723</v>
      </c>
      <c r="BA71" s="127">
        <v>5.281</v>
      </c>
      <c r="BB71" s="1" t="s">
        <v>430</v>
      </c>
    </row>
    <row r="72" spans="2:54">
      <c r="B72" t="s">
        <v>1032</v>
      </c>
      <c r="C72">
        <v>2</v>
      </c>
      <c r="D72" s="1" t="str">
        <f>VLOOKUP(B:B,'3店'!$B:$B,1,0)</f>
        <v>Y3056-NB+Y3057</v>
      </c>
      <c r="E72" t="s">
        <v>777</v>
      </c>
      <c r="F72">
        <v>1</v>
      </c>
      <c r="G72" s="1" t="str">
        <f>VLOOKUP(E:E,'3店'!$B:$B,1,0)</f>
        <v>Y3018-OR+Y3019</v>
      </c>
      <c r="H72" t="s">
        <v>1004</v>
      </c>
      <c r="I72">
        <v>10</v>
      </c>
      <c r="J72" s="1" t="str">
        <f>VLOOKUP(H:H,'3店'!$B:$B,1,0)</f>
        <v>Y3060-GK+Y3061+Y3062</v>
      </c>
      <c r="K72" t="s">
        <v>1267</v>
      </c>
      <c r="L72">
        <v>24610</v>
      </c>
      <c r="M72">
        <v>44</v>
      </c>
      <c r="N72">
        <v>31.08</v>
      </c>
      <c r="O72">
        <v>12.99</v>
      </c>
      <c r="P72">
        <v>1</v>
      </c>
      <c r="Q72" s="31">
        <v>2.39260969976905</v>
      </c>
      <c r="R72" s="31">
        <v>0.0227272727272727</v>
      </c>
      <c r="S72" s="1" t="str">
        <f>VLOOKUP(K:K,'3店'!$B:$B,1,0)</f>
        <v>Y3111-GR</v>
      </c>
      <c r="T72" t="s">
        <v>888</v>
      </c>
      <c r="U72">
        <v>3472</v>
      </c>
      <c r="V72">
        <v>16</v>
      </c>
      <c r="W72">
        <v>5.26</v>
      </c>
      <c r="X72">
        <v>0</v>
      </c>
      <c r="Y72">
        <v>0</v>
      </c>
      <c r="Z72" s="31">
        <v>0</v>
      </c>
      <c r="AA72" s="31">
        <v>0</v>
      </c>
      <c r="AB72" s="1" t="str">
        <f>VLOOKUP(T:T,'3店'!$B:$B,1,0)</f>
        <v>Y3031-NB+Y3032</v>
      </c>
      <c r="AC72" t="s">
        <v>1199</v>
      </c>
      <c r="AD72">
        <v>46136</v>
      </c>
      <c r="AE72">
        <v>108</v>
      </c>
      <c r="AF72">
        <v>75.91</v>
      </c>
      <c r="AG72">
        <v>190.85</v>
      </c>
      <c r="AH72">
        <v>15</v>
      </c>
      <c r="AI72" s="31">
        <v>0.39774692166623</v>
      </c>
      <c r="AJ72" s="31">
        <v>0.138888888888889</v>
      </c>
      <c r="AK72" s="1" t="str">
        <f>VLOOKUP(AC:AC,'3店'!$B:$B,1,0)</f>
        <v>Y3102-NB+Y3103</v>
      </c>
      <c r="AL72" t="s">
        <v>594</v>
      </c>
      <c r="AM72" s="102">
        <v>25.98</v>
      </c>
      <c r="AN72" s="1">
        <f t="shared" si="4"/>
        <v>177.963</v>
      </c>
      <c r="AP72" s="29" t="s">
        <v>1023</v>
      </c>
      <c r="AQ72" s="33">
        <v>71.94</v>
      </c>
      <c r="AR72" s="1">
        <f t="shared" si="5"/>
        <v>492.789</v>
      </c>
      <c r="AT72" s="45" t="s">
        <v>789</v>
      </c>
      <c r="AU72" s="44">
        <v>315.721</v>
      </c>
      <c r="AV72" s="35"/>
      <c r="AW72" s="45" t="s">
        <v>786</v>
      </c>
      <c r="AX72" s="44">
        <v>919.709</v>
      </c>
      <c r="AZ72" s="160" t="s">
        <v>816</v>
      </c>
      <c r="BA72" s="127">
        <v>4.464</v>
      </c>
      <c r="BB72" s="1" t="s">
        <v>430</v>
      </c>
    </row>
    <row r="73" spans="2:54">
      <c r="B73" t="s">
        <v>774</v>
      </c>
      <c r="C73">
        <v>1</v>
      </c>
      <c r="D73" s="1" t="str">
        <f>VLOOKUP(B:B,'3店'!$B:$B,1,0)</f>
        <v>Y3018-NB+Y3019</v>
      </c>
      <c r="E73" t="s">
        <v>798</v>
      </c>
      <c r="F73">
        <v>4</v>
      </c>
      <c r="G73" s="1" t="str">
        <f>VLOOKUP(E:E,'3店'!$B:$B,1,0)</f>
        <v>Y03742-TG+Y03743</v>
      </c>
      <c r="H73" t="s">
        <v>1010</v>
      </c>
      <c r="I73">
        <v>6</v>
      </c>
      <c r="J73" s="1" t="str">
        <f>VLOOKUP(H:H,'3店'!$B:$B,1,0)</f>
        <v>Y3054-BL+Y3055</v>
      </c>
      <c r="K73" t="s">
        <v>1261</v>
      </c>
      <c r="L73">
        <v>13446</v>
      </c>
      <c r="M73">
        <v>51</v>
      </c>
      <c r="N73">
        <v>31.99</v>
      </c>
      <c r="O73">
        <v>38.97</v>
      </c>
      <c r="P73">
        <v>3</v>
      </c>
      <c r="Q73" s="31">
        <v>0.820887862458301</v>
      </c>
      <c r="R73" s="31">
        <v>0.0588235294117647</v>
      </c>
      <c r="S73" s="1" t="str">
        <f>VLOOKUP(K:K,'3店'!$B:$B,1,0)</f>
        <v>Y3111-BL</v>
      </c>
      <c r="T73" t="s">
        <v>1023</v>
      </c>
      <c r="U73">
        <v>2044</v>
      </c>
      <c r="V73">
        <v>11</v>
      </c>
      <c r="W73">
        <v>4.06</v>
      </c>
      <c r="X73">
        <v>12.99</v>
      </c>
      <c r="Y73">
        <v>1</v>
      </c>
      <c r="Z73" s="31">
        <v>0.312548113933795</v>
      </c>
      <c r="AA73" s="31">
        <v>0.0909090909090909</v>
      </c>
      <c r="AB73" s="1" t="str">
        <f>VLOOKUP(T:T,'3店'!$B:$B,1,0)</f>
        <v>Y3056-BL+Y3057</v>
      </c>
      <c r="AC73" t="s">
        <v>1135</v>
      </c>
      <c r="AD73">
        <v>10618</v>
      </c>
      <c r="AE73">
        <v>44</v>
      </c>
      <c r="AF73">
        <v>30.72</v>
      </c>
      <c r="AG73">
        <v>71.97</v>
      </c>
      <c r="AH73">
        <v>3</v>
      </c>
      <c r="AI73" s="31">
        <v>0.426844518549396</v>
      </c>
      <c r="AJ73" s="31">
        <v>0.0681818181818182</v>
      </c>
      <c r="AK73" s="1" t="str">
        <f>VLOOKUP(AC:AC,'3店'!$B:$B,1,0)</f>
        <v>Y3088-BL</v>
      </c>
      <c r="AL73" t="s">
        <v>612</v>
      </c>
      <c r="AM73" s="102">
        <v>38.97</v>
      </c>
      <c r="AN73" s="1">
        <f t="shared" si="4"/>
        <v>266.9445</v>
      </c>
      <c r="AP73" s="29" t="s">
        <v>1085</v>
      </c>
      <c r="AQ73" s="33">
        <v>58.95</v>
      </c>
      <c r="AR73" s="1">
        <f t="shared" si="5"/>
        <v>403.8075</v>
      </c>
      <c r="AT73" s="45" t="s">
        <v>792</v>
      </c>
      <c r="AU73" s="44">
        <v>521.626</v>
      </c>
      <c r="AV73" s="35"/>
      <c r="AW73" s="45" t="s">
        <v>789</v>
      </c>
      <c r="AX73" s="44">
        <v>507.899</v>
      </c>
      <c r="AZ73" s="160" t="s">
        <v>819</v>
      </c>
      <c r="BA73" s="127">
        <v>6.657</v>
      </c>
      <c r="BB73" s="1" t="s">
        <v>430</v>
      </c>
    </row>
    <row r="74" spans="2:54">
      <c r="B74" t="s">
        <v>1023</v>
      </c>
      <c r="C74">
        <v>4</v>
      </c>
      <c r="D74" s="1" t="str">
        <f>VLOOKUP(B:B,'3店'!$B:$B,1,0)</f>
        <v>Y3056-BL+Y3057</v>
      </c>
      <c r="E74" t="s">
        <v>1055</v>
      </c>
      <c r="F74">
        <v>5</v>
      </c>
      <c r="G74" s="1" t="str">
        <f>VLOOKUP(E:E,'3店'!$B:$B,1,0)</f>
        <v>Y3079-NB+Y3079</v>
      </c>
      <c r="H74" t="s">
        <v>1278</v>
      </c>
      <c r="I74">
        <v>10</v>
      </c>
      <c r="J74" s="1" t="e">
        <f>VLOOKUP(H:H,'3店'!$B:$B,1,0)</f>
        <v>#N/A</v>
      </c>
      <c r="K74" t="s">
        <v>1258</v>
      </c>
      <c r="L74">
        <v>2796</v>
      </c>
      <c r="M74">
        <v>3</v>
      </c>
      <c r="N74">
        <v>1.58</v>
      </c>
      <c r="O74">
        <v>0</v>
      </c>
      <c r="P74">
        <v>0</v>
      </c>
      <c r="Q74" s="31">
        <v>0</v>
      </c>
      <c r="R74" s="31">
        <v>0</v>
      </c>
      <c r="S74" s="1" t="str">
        <f>VLOOKUP(K:K,'3店'!$B:$B,1,0)</f>
        <v>Y3110-NB</v>
      </c>
      <c r="T74" t="s">
        <v>666</v>
      </c>
      <c r="U74">
        <v>165</v>
      </c>
      <c r="V74">
        <v>3</v>
      </c>
      <c r="W74">
        <v>0.85</v>
      </c>
      <c r="X74">
        <v>0</v>
      </c>
      <c r="Y74">
        <v>0</v>
      </c>
      <c r="Z74" s="31">
        <v>0</v>
      </c>
      <c r="AA74" s="31">
        <v>0</v>
      </c>
      <c r="AB74" s="1" t="str">
        <f>VLOOKUP(T:T,'3店'!$B:$B,1,0)</f>
        <v>Y03451-BL+Y03478</v>
      </c>
      <c r="AC74" t="s">
        <v>672</v>
      </c>
      <c r="AD74">
        <v>17205</v>
      </c>
      <c r="AE74">
        <v>67</v>
      </c>
      <c r="AF74">
        <v>26.01</v>
      </c>
      <c r="AG74">
        <v>153.88</v>
      </c>
      <c r="AH74">
        <v>11</v>
      </c>
      <c r="AI74" s="31">
        <v>0.169027813880946</v>
      </c>
      <c r="AJ74" s="31">
        <v>0.164179104477612</v>
      </c>
      <c r="AK74" s="1" t="str">
        <f>VLOOKUP(AC:AC,'3店'!$B:$B,1,0)</f>
        <v>Y03451-NB+Y03478</v>
      </c>
      <c r="AL74" t="s">
        <v>693</v>
      </c>
      <c r="AM74" s="102">
        <v>25.98</v>
      </c>
      <c r="AN74" s="1">
        <f t="shared" si="4"/>
        <v>177.963</v>
      </c>
      <c r="AP74" s="29" t="s">
        <v>1182</v>
      </c>
      <c r="AQ74" s="33">
        <v>72.94</v>
      </c>
      <c r="AR74" s="1">
        <f t="shared" si="5"/>
        <v>499.639</v>
      </c>
      <c r="AT74" s="45" t="s">
        <v>795</v>
      </c>
      <c r="AU74" s="44">
        <v>315.721</v>
      </c>
      <c r="AV74" s="35"/>
      <c r="AW74" s="45" t="s">
        <v>792</v>
      </c>
      <c r="AX74" s="44">
        <v>741.258</v>
      </c>
      <c r="AZ74" s="160" t="s">
        <v>1294</v>
      </c>
      <c r="BA74" s="127">
        <v>2.856</v>
      </c>
      <c r="BB74" s="1" t="s">
        <v>430</v>
      </c>
    </row>
    <row r="75" spans="2:54">
      <c r="B75" t="s">
        <v>1085</v>
      </c>
      <c r="C75">
        <v>1</v>
      </c>
      <c r="D75" s="1" t="str">
        <f>VLOOKUP(B:B,'3店'!$B:$B,1,0)</f>
        <v>Y3075-NB</v>
      </c>
      <c r="E75" t="s">
        <v>1073</v>
      </c>
      <c r="F75">
        <v>1</v>
      </c>
      <c r="G75" s="1" t="str">
        <f>VLOOKUP(E:E,'3店'!$B:$B,1,0)</f>
        <v>Y3074-NB</v>
      </c>
      <c r="H75" t="s">
        <v>627</v>
      </c>
      <c r="I75">
        <v>10</v>
      </c>
      <c r="J75" s="1" t="str">
        <f>VLOOKUP(H:H,'3店'!$B:$B,1,0)</f>
        <v>E03388-OR+E03267</v>
      </c>
      <c r="K75" t="s">
        <v>1270</v>
      </c>
      <c r="L75">
        <v>2212</v>
      </c>
      <c r="M75">
        <v>5</v>
      </c>
      <c r="N75">
        <v>2.3</v>
      </c>
      <c r="O75">
        <v>25.98</v>
      </c>
      <c r="P75">
        <v>2</v>
      </c>
      <c r="Q75" s="31">
        <v>0.0885296381832179</v>
      </c>
      <c r="R75" s="31">
        <v>0.4</v>
      </c>
      <c r="S75" s="1" t="str">
        <f>VLOOKUP(K:K,'3店'!$B:$B,1,0)</f>
        <v>Y3111-NB</v>
      </c>
      <c r="T75" t="s">
        <v>1255</v>
      </c>
      <c r="U75">
        <v>5569</v>
      </c>
      <c r="V75">
        <v>3</v>
      </c>
      <c r="W75">
        <v>2.21</v>
      </c>
      <c r="X75">
        <v>0</v>
      </c>
      <c r="Y75">
        <v>0</v>
      </c>
      <c r="Z75" s="31">
        <v>0</v>
      </c>
      <c r="AA75" s="31">
        <v>0</v>
      </c>
      <c r="AB75" s="1" t="str">
        <f>VLOOKUP(T:T,'3店'!$B:$B,1,0)</f>
        <v>Y3110-GR</v>
      </c>
      <c r="AC75" t="s">
        <v>1190</v>
      </c>
      <c r="AD75">
        <v>16144</v>
      </c>
      <c r="AE75">
        <v>39</v>
      </c>
      <c r="AF75">
        <v>27.22</v>
      </c>
      <c r="AG75">
        <v>51.96</v>
      </c>
      <c r="AH75">
        <v>4</v>
      </c>
      <c r="AI75" s="31">
        <v>0.523864511162433</v>
      </c>
      <c r="AJ75" s="31">
        <v>0.102564102564103</v>
      </c>
      <c r="AK75" s="1" t="str">
        <f>VLOOKUP(AC:AC,'3店'!$B:$B,1,0)</f>
        <v>Y3102-BL+Y3103</v>
      </c>
      <c r="AL75" t="s">
        <v>699</v>
      </c>
      <c r="AM75" s="102">
        <v>25.98</v>
      </c>
      <c r="AN75" s="1">
        <f t="shared" si="4"/>
        <v>177.963</v>
      </c>
      <c r="AP75" s="29" t="s">
        <v>594</v>
      </c>
      <c r="AQ75" s="33">
        <v>60.95</v>
      </c>
      <c r="AR75" s="1">
        <f t="shared" si="5"/>
        <v>417.5075</v>
      </c>
      <c r="AT75" s="45" t="s">
        <v>798</v>
      </c>
      <c r="AU75" s="44">
        <v>329.448</v>
      </c>
      <c r="AV75" s="35"/>
      <c r="AW75" s="45" t="s">
        <v>795</v>
      </c>
      <c r="AX75" s="44">
        <v>384.356</v>
      </c>
      <c r="AZ75" s="160" t="s">
        <v>1277</v>
      </c>
      <c r="BA75" s="127">
        <v>2.985</v>
      </c>
      <c r="BB75" s="1" t="s">
        <v>430</v>
      </c>
    </row>
    <row r="76" spans="2:54">
      <c r="B76" t="s">
        <v>798</v>
      </c>
      <c r="C76">
        <v>2</v>
      </c>
      <c r="D76" s="1" t="str">
        <f>VLOOKUP(B:B,'3店'!$B:$B,1,0)</f>
        <v>Y03742-TG+Y03743</v>
      </c>
      <c r="E76" t="s">
        <v>831</v>
      </c>
      <c r="F76">
        <v>6</v>
      </c>
      <c r="G76" s="1" t="str">
        <f>VLOOKUP(E:E,'3店'!$B:$B,1,0)</f>
        <v>Y3033-GK+Y3034+Y3035</v>
      </c>
      <c r="H76" t="s">
        <v>699</v>
      </c>
      <c r="I76">
        <v>4</v>
      </c>
      <c r="J76" s="1" t="str">
        <f>VLOOKUP(H:H,'3店'!$B:$B,1,0)</f>
        <v>Y03507-GR+Y03508+Y03509</v>
      </c>
      <c r="K76" t="s">
        <v>439</v>
      </c>
      <c r="L76">
        <v>362531</v>
      </c>
      <c r="M76">
        <v>2249</v>
      </c>
      <c r="N76">
        <v>919.89</v>
      </c>
      <c r="O76">
        <v>3887.36</v>
      </c>
      <c r="P76">
        <v>283</v>
      </c>
      <c r="Q76" s="31">
        <v>0.236636174678959</v>
      </c>
      <c r="R76" s="31">
        <v>0.125833703868386</v>
      </c>
      <c r="S76"/>
      <c r="T76" t="s">
        <v>1249</v>
      </c>
      <c r="U76">
        <v>7838</v>
      </c>
      <c r="V76">
        <v>15</v>
      </c>
      <c r="W76">
        <v>10.93</v>
      </c>
      <c r="X76">
        <v>25.98</v>
      </c>
      <c r="Y76">
        <v>2</v>
      </c>
      <c r="Z76" s="31">
        <v>0.420708237105466</v>
      </c>
      <c r="AA76" s="31">
        <v>0.133333333333333</v>
      </c>
      <c r="AB76" s="1" t="str">
        <f>VLOOKUP(T:T,'3店'!$B:$B,1,0)</f>
        <v>Y3110-BL</v>
      </c>
      <c r="AC76" t="s">
        <v>1193</v>
      </c>
      <c r="AD76">
        <v>6105</v>
      </c>
      <c r="AE76">
        <v>29</v>
      </c>
      <c r="AF76">
        <v>20.05</v>
      </c>
      <c r="AG76">
        <v>64.95</v>
      </c>
      <c r="AH76">
        <v>4</v>
      </c>
      <c r="AI76" s="31">
        <v>0.308698999230177</v>
      </c>
      <c r="AJ76" s="31">
        <v>0.137931034482759</v>
      </c>
      <c r="AK76" s="1" t="str">
        <f>VLOOKUP(AC:AC,'3店'!$B:$B,1,0)</f>
        <v>Y3102-GN+Y3103</v>
      </c>
      <c r="AL76" t="s">
        <v>720</v>
      </c>
      <c r="AM76" s="102">
        <v>25.98</v>
      </c>
      <c r="AN76" s="1">
        <f t="shared" si="4"/>
        <v>177.963</v>
      </c>
      <c r="AP76" s="29" t="s">
        <v>708</v>
      </c>
      <c r="AQ76" s="33">
        <v>64.95</v>
      </c>
      <c r="AR76" s="1">
        <f t="shared" si="5"/>
        <v>444.9075</v>
      </c>
      <c r="AT76" s="45" t="s">
        <v>801</v>
      </c>
      <c r="AU76" s="44">
        <v>611.6</v>
      </c>
      <c r="AV76" s="35"/>
      <c r="AW76" s="45" t="s">
        <v>798</v>
      </c>
      <c r="AX76" s="44">
        <v>178.451</v>
      </c>
      <c r="AZ76" s="160" t="s">
        <v>738</v>
      </c>
      <c r="BA76" s="127">
        <v>5.594</v>
      </c>
      <c r="BB76" s="1" t="s">
        <v>430</v>
      </c>
    </row>
    <row r="77" spans="2:54">
      <c r="B77" t="s">
        <v>816</v>
      </c>
      <c r="C77">
        <v>1</v>
      </c>
      <c r="D77" s="1" t="str">
        <f>VLOOKUP(B:B,'3店'!$B:$B,1,0)</f>
        <v>Y03564-BY+Y03565+Y03566</v>
      </c>
      <c r="E77" t="s">
        <v>998</v>
      </c>
      <c r="F77">
        <v>6</v>
      </c>
      <c r="G77" s="1" t="str">
        <f>VLOOKUP(E:E,'3店'!$B:$B,1,0)</f>
        <v>Y3060-BY+Y3061+Y3062</v>
      </c>
      <c r="H77" t="s">
        <v>777</v>
      </c>
      <c r="I77">
        <v>5</v>
      </c>
      <c r="J77" s="1" t="str">
        <f>VLOOKUP(H:H,'3店'!$B:$B,1,0)</f>
        <v>Y3018-OR+Y3019</v>
      </c>
      <c r="K77"/>
      <c r="L77"/>
      <c r="M77"/>
      <c r="N77"/>
      <c r="O77"/>
      <c r="P77"/>
      <c r="Q77"/>
      <c r="R77"/>
      <c r="S77"/>
      <c r="T77" t="s">
        <v>1267</v>
      </c>
      <c r="U77">
        <v>24609</v>
      </c>
      <c r="V77">
        <v>44</v>
      </c>
      <c r="W77">
        <v>31.08</v>
      </c>
      <c r="X77">
        <v>12.99</v>
      </c>
      <c r="Y77">
        <v>1</v>
      </c>
      <c r="Z77" s="31">
        <v>2.39260969976905</v>
      </c>
      <c r="AA77" s="31">
        <v>0.0227272727272727</v>
      </c>
      <c r="AB77" s="1" t="str">
        <f>VLOOKUP(T:T,'3店'!$B:$B,1,0)</f>
        <v>Y3111-GR</v>
      </c>
      <c r="AC77" t="s">
        <v>603</v>
      </c>
      <c r="AD77">
        <v>5239</v>
      </c>
      <c r="AE77">
        <v>39</v>
      </c>
      <c r="AF77">
        <v>14.85</v>
      </c>
      <c r="AG77">
        <v>195.74</v>
      </c>
      <c r="AH77">
        <v>11</v>
      </c>
      <c r="AI77" s="31">
        <v>0.0758659446204148</v>
      </c>
      <c r="AJ77" s="31">
        <v>0.282051282051282</v>
      </c>
      <c r="AK77" s="1" t="str">
        <f>VLOOKUP(AC:AC,'3店'!$B:$B,1,0)</f>
        <v>E03375-NB+E03380+E03397</v>
      </c>
      <c r="AL77" t="s">
        <v>765</v>
      </c>
      <c r="AM77" s="102">
        <v>38.97</v>
      </c>
      <c r="AN77" s="1">
        <f t="shared" si="4"/>
        <v>266.9445</v>
      </c>
      <c r="AP77" s="29" t="s">
        <v>723</v>
      </c>
      <c r="AQ77" s="33">
        <v>60.95</v>
      </c>
      <c r="AR77" s="1">
        <f t="shared" si="5"/>
        <v>417.5075</v>
      </c>
      <c r="AT77" s="45" t="s">
        <v>804</v>
      </c>
      <c r="AU77" s="44">
        <v>166.8</v>
      </c>
      <c r="AV77" s="35"/>
      <c r="AW77" s="45" t="s">
        <v>801</v>
      </c>
      <c r="AX77" s="44">
        <v>542.1</v>
      </c>
      <c r="AZ77" s="160" t="s">
        <v>741</v>
      </c>
      <c r="BA77" s="127">
        <v>6.902</v>
      </c>
      <c r="BB77" s="1" t="s">
        <v>430</v>
      </c>
    </row>
    <row r="78" spans="2:54">
      <c r="B78" t="s">
        <v>1061</v>
      </c>
      <c r="C78">
        <v>1</v>
      </c>
      <c r="D78" s="1" t="str">
        <f>VLOOKUP(B:B,'3店'!$B:$B,1,0)</f>
        <v>Y3079-TG+Y3079</v>
      </c>
      <c r="E78" t="s">
        <v>1052</v>
      </c>
      <c r="F78">
        <v>7</v>
      </c>
      <c r="G78" s="1" t="str">
        <f>VLOOKUP(E:E,'3店'!$B:$B,1,0)</f>
        <v>Y3079-GB+Y3079</v>
      </c>
      <c r="H78" t="s">
        <v>798</v>
      </c>
      <c r="I78">
        <v>6</v>
      </c>
      <c r="J78" s="1" t="str">
        <f>VLOOKUP(H:H,'3店'!$B:$B,1,0)</f>
        <v>Y03742-TG+Y03743</v>
      </c>
      <c r="K78"/>
      <c r="L78"/>
      <c r="M78"/>
      <c r="N78"/>
      <c r="O78"/>
      <c r="P78"/>
      <c r="Q78"/>
      <c r="R78"/>
      <c r="S78"/>
      <c r="T78" t="s">
        <v>1261</v>
      </c>
      <c r="U78">
        <v>13437</v>
      </c>
      <c r="V78">
        <v>51</v>
      </c>
      <c r="W78">
        <v>31.99</v>
      </c>
      <c r="X78">
        <v>38.97</v>
      </c>
      <c r="Y78">
        <v>3</v>
      </c>
      <c r="Z78" s="31">
        <v>0.820887862458301</v>
      </c>
      <c r="AA78" s="31">
        <v>0.0588235294117647</v>
      </c>
      <c r="AB78" s="1" t="str">
        <f>VLOOKUP(T:T,'3店'!$B:$B,1,0)</f>
        <v>Y3111-BL</v>
      </c>
      <c r="AC78" t="s">
        <v>888</v>
      </c>
      <c r="AD78">
        <v>3472</v>
      </c>
      <c r="AE78">
        <v>16</v>
      </c>
      <c r="AF78">
        <v>5.26</v>
      </c>
      <c r="AG78">
        <v>0</v>
      </c>
      <c r="AH78">
        <v>0</v>
      </c>
      <c r="AI78" s="31">
        <v>0</v>
      </c>
      <c r="AJ78" s="31">
        <v>0</v>
      </c>
      <c r="AK78" s="1" t="str">
        <f>VLOOKUP(AC:AC,'3店'!$B:$B,1,0)</f>
        <v>Y3031-NB+Y3032</v>
      </c>
      <c r="AL78" t="s">
        <v>780</v>
      </c>
      <c r="AM78" s="102">
        <v>25.98</v>
      </c>
      <c r="AN78" s="1">
        <f t="shared" si="4"/>
        <v>177.963</v>
      </c>
      <c r="AP78" s="29" t="s">
        <v>732</v>
      </c>
      <c r="AQ78" s="33">
        <v>62.95</v>
      </c>
      <c r="AR78" s="1">
        <f t="shared" si="5"/>
        <v>431.2075</v>
      </c>
      <c r="AT78" s="45" t="s">
        <v>807</v>
      </c>
      <c r="AU78" s="44">
        <v>556</v>
      </c>
      <c r="AV78" s="35"/>
      <c r="AW78" s="45" t="s">
        <v>804</v>
      </c>
      <c r="AX78" s="44">
        <v>166.8</v>
      </c>
      <c r="AZ78" s="160" t="s">
        <v>744</v>
      </c>
      <c r="BA78" s="127">
        <v>3.64</v>
      </c>
      <c r="BB78" s="1" t="s">
        <v>430</v>
      </c>
    </row>
    <row r="79" spans="2:54">
      <c r="B79" t="s">
        <v>612</v>
      </c>
      <c r="C79">
        <v>3</v>
      </c>
      <c r="D79" s="1" t="str">
        <f>VLOOKUP(B:B,'3店'!$B:$B,1,0)</f>
        <v>E03386-BL+E03268-02</v>
      </c>
      <c r="E79" t="s">
        <v>846</v>
      </c>
      <c r="F79">
        <v>7</v>
      </c>
      <c r="G79" s="1" t="str">
        <f>VLOOKUP(E:E,'3店'!$B:$B,1,0)</f>
        <v>Y3025-NB+Y3026</v>
      </c>
      <c r="H79" t="s">
        <v>825</v>
      </c>
      <c r="I79">
        <v>4</v>
      </c>
      <c r="J79" s="1" t="str">
        <f>VLOOKUP(H:H,'3店'!$B:$B,1,0)</f>
        <v>Y3033-BY+Y3034+Y3035</v>
      </c>
      <c r="K79"/>
      <c r="L79"/>
      <c r="M79"/>
      <c r="N79"/>
      <c r="O79"/>
      <c r="P79"/>
      <c r="Q79"/>
      <c r="R79"/>
      <c r="S79"/>
      <c r="T79" t="s">
        <v>1258</v>
      </c>
      <c r="U79">
        <v>2796</v>
      </c>
      <c r="V79">
        <v>3</v>
      </c>
      <c r="W79">
        <v>1.58</v>
      </c>
      <c r="X79">
        <v>0</v>
      </c>
      <c r="Y79">
        <v>0</v>
      </c>
      <c r="Z79" s="31">
        <v>0</v>
      </c>
      <c r="AA79" s="31">
        <v>0</v>
      </c>
      <c r="AB79" s="1" t="str">
        <f>VLOOKUP(T:T,'3店'!$B:$B,1,0)</f>
        <v>Y3110-NB</v>
      </c>
      <c r="AC79" t="s">
        <v>1023</v>
      </c>
      <c r="AD79">
        <v>2044</v>
      </c>
      <c r="AE79">
        <v>11</v>
      </c>
      <c r="AF79">
        <v>4.06</v>
      </c>
      <c r="AG79">
        <v>12.99</v>
      </c>
      <c r="AH79">
        <v>1</v>
      </c>
      <c r="AI79" s="31">
        <v>0.312548113933795</v>
      </c>
      <c r="AJ79" s="31">
        <v>0.0909090909090909</v>
      </c>
      <c r="AK79" s="1" t="str">
        <f>VLOOKUP(AC:AC,'3店'!$B:$B,1,0)</f>
        <v>Y3056-BL+Y3057</v>
      </c>
      <c r="AL79" t="s">
        <v>798</v>
      </c>
      <c r="AM79" s="102">
        <v>25.98</v>
      </c>
      <c r="AN79" s="1">
        <f t="shared" si="4"/>
        <v>177.963</v>
      </c>
      <c r="AP79" s="29" t="s">
        <v>765</v>
      </c>
      <c r="AQ79" s="33">
        <v>77.94</v>
      </c>
      <c r="AR79" s="1">
        <f t="shared" si="5"/>
        <v>533.889</v>
      </c>
      <c r="AT79" s="45" t="s">
        <v>810</v>
      </c>
      <c r="AU79" s="44">
        <v>236.3</v>
      </c>
      <c r="AV79" s="35"/>
      <c r="AW79" s="45" t="s">
        <v>807</v>
      </c>
      <c r="AX79" s="44">
        <v>625.5</v>
      </c>
      <c r="AZ79" s="160" t="s">
        <v>747</v>
      </c>
      <c r="BA79" s="127">
        <v>4.47</v>
      </c>
      <c r="BB79" s="1" t="s">
        <v>430</v>
      </c>
    </row>
    <row r="80" spans="2:54">
      <c r="B80" t="s">
        <v>624</v>
      </c>
      <c r="C80">
        <v>1</v>
      </c>
      <c r="D80" s="1" t="str">
        <f>VLOOKUP(B:B,'3店'!$B:$B,1,0)</f>
        <v>E03388-NB+E03267</v>
      </c>
      <c r="E80" t="s">
        <v>946</v>
      </c>
      <c r="F80">
        <v>3</v>
      </c>
      <c r="G80" s="1" t="str">
        <f>VLOOKUP(E:E,'3店'!$B:$B,1,0)</f>
        <v>Y3039-GK</v>
      </c>
      <c r="H80" t="s">
        <v>876</v>
      </c>
      <c r="I80">
        <v>5</v>
      </c>
      <c r="J80" s="1" t="str">
        <f>VLOOKUP(H:H,'3店'!$B:$B,1,0)</f>
        <v>Y3029-NB+Y3030</v>
      </c>
      <c r="K80"/>
      <c r="L80"/>
      <c r="M80"/>
      <c r="N80"/>
      <c r="O80"/>
      <c r="P80"/>
      <c r="Q80"/>
      <c r="R80"/>
      <c r="S80"/>
      <c r="T80" t="s">
        <v>1270</v>
      </c>
      <c r="U80">
        <v>2212</v>
      </c>
      <c r="V80">
        <v>5</v>
      </c>
      <c r="W80">
        <v>2.3</v>
      </c>
      <c r="X80">
        <v>25.98</v>
      </c>
      <c r="Y80">
        <v>2</v>
      </c>
      <c r="Z80" s="31">
        <v>0.0885296381832179</v>
      </c>
      <c r="AA80" s="31">
        <v>0.4</v>
      </c>
      <c r="AB80" s="1" t="str">
        <f>VLOOKUP(T:T,'3店'!$B:$B,1,0)</f>
        <v>Y3111-NB</v>
      </c>
      <c r="AC80" t="s">
        <v>1255</v>
      </c>
      <c r="AD80">
        <v>5569</v>
      </c>
      <c r="AE80">
        <v>3</v>
      </c>
      <c r="AF80">
        <v>2.21</v>
      </c>
      <c r="AG80">
        <v>0</v>
      </c>
      <c r="AH80">
        <v>0</v>
      </c>
      <c r="AI80" s="31">
        <v>0</v>
      </c>
      <c r="AJ80" s="31">
        <v>0</v>
      </c>
      <c r="AK80" s="1" t="str">
        <f>VLOOKUP(AC:AC,'3店'!$B:$B,1,0)</f>
        <v>Y3110-GR</v>
      </c>
      <c r="AL80" t="s">
        <v>804</v>
      </c>
      <c r="AM80" s="102">
        <v>25.98</v>
      </c>
      <c r="AN80" s="1">
        <f t="shared" si="4"/>
        <v>177.963</v>
      </c>
      <c r="AP80" s="29" t="s">
        <v>795</v>
      </c>
      <c r="AQ80" s="33">
        <v>64.95</v>
      </c>
      <c r="AR80" s="1">
        <f t="shared" si="5"/>
        <v>444.9075</v>
      </c>
      <c r="AT80" s="45" t="s">
        <v>813</v>
      </c>
      <c r="AU80" s="44">
        <v>264.1</v>
      </c>
      <c r="AV80" s="35"/>
      <c r="AW80" s="45" t="s">
        <v>810</v>
      </c>
      <c r="AX80" s="44">
        <v>291.9</v>
      </c>
      <c r="AZ80" s="160" t="s">
        <v>750</v>
      </c>
      <c r="BA80" s="127">
        <v>4.284</v>
      </c>
      <c r="BB80" s="1" t="s">
        <v>430</v>
      </c>
    </row>
    <row r="81" spans="2:54">
      <c r="B81" t="s">
        <v>780</v>
      </c>
      <c r="C81">
        <v>2</v>
      </c>
      <c r="D81" s="1" t="str">
        <f>VLOOKUP(B:B,'3店'!$B:$B,1,0)</f>
        <v>Y3018-TG+Y3019</v>
      </c>
      <c r="E81" t="s">
        <v>1007</v>
      </c>
      <c r="F81">
        <v>14</v>
      </c>
      <c r="G81" s="1" t="str">
        <f>VLOOKUP(E:E,'3店'!$B:$B,1,0)</f>
        <v>Y3060-OR+Y3061+Y3062</v>
      </c>
      <c r="H81" t="s">
        <v>960</v>
      </c>
      <c r="I81">
        <v>6</v>
      </c>
      <c r="J81" s="1" t="str">
        <f>VLOOKUP(H:H,'3店'!$B:$B,1,0)</f>
        <v>Y3049-GK+Y3050+Y3051</v>
      </c>
      <c r="K81"/>
      <c r="L81"/>
      <c r="M81"/>
      <c r="N81"/>
      <c r="O81"/>
      <c r="P81"/>
      <c r="Q81"/>
      <c r="R81"/>
      <c r="S81"/>
      <c r="T81" t="s">
        <v>439</v>
      </c>
      <c r="U81">
        <v>786849</v>
      </c>
      <c r="V81">
        <v>4816</v>
      </c>
      <c r="W81">
        <v>1965.18</v>
      </c>
      <c r="X81">
        <v>8384.51999999999</v>
      </c>
      <c r="Y81">
        <v>612</v>
      </c>
      <c r="Z81" s="31">
        <v>0.234381932418314</v>
      </c>
      <c r="AA81" s="31">
        <v>0.127076411960133</v>
      </c>
      <c r="AC81" t="s">
        <v>1249</v>
      </c>
      <c r="AD81">
        <v>7838</v>
      </c>
      <c r="AE81">
        <v>15</v>
      </c>
      <c r="AF81">
        <v>10.93</v>
      </c>
      <c r="AG81">
        <v>25.98</v>
      </c>
      <c r="AH81">
        <v>2</v>
      </c>
      <c r="AI81" s="31">
        <v>0.420708237105466</v>
      </c>
      <c r="AJ81" s="31">
        <v>0.133333333333333</v>
      </c>
      <c r="AK81" s="1" t="str">
        <f>VLOOKUP(AC:AC,'3店'!$B:$B,1,0)</f>
        <v>Y3110-BL</v>
      </c>
      <c r="AL81" t="s">
        <v>834</v>
      </c>
      <c r="AM81" s="102">
        <v>25.98</v>
      </c>
      <c r="AN81" s="1">
        <f t="shared" si="4"/>
        <v>177.963</v>
      </c>
      <c r="AP81" s="29" t="s">
        <v>861</v>
      </c>
      <c r="AQ81" s="33">
        <v>61.84</v>
      </c>
      <c r="AR81" s="1">
        <f t="shared" si="5"/>
        <v>423.604</v>
      </c>
      <c r="AT81" s="45" t="s">
        <v>816</v>
      </c>
      <c r="AU81" s="44">
        <v>389.2</v>
      </c>
      <c r="AV81" s="35"/>
      <c r="AW81" s="45" t="s">
        <v>813</v>
      </c>
      <c r="AX81" s="44">
        <v>319.7</v>
      </c>
      <c r="AZ81" s="160" t="s">
        <v>753</v>
      </c>
      <c r="BA81" s="127">
        <v>4.836</v>
      </c>
      <c r="BB81" s="1" t="s">
        <v>430</v>
      </c>
    </row>
    <row r="82" spans="2:54">
      <c r="B82" t="s">
        <v>1153</v>
      </c>
      <c r="C82">
        <v>4</v>
      </c>
      <c r="D82" s="1" t="str">
        <f>VLOOKUP(B:B,'3店'!$B:$B,1,0)</f>
        <v>Y3092-BL+Y3093+Y3094</v>
      </c>
      <c r="E82" t="s">
        <v>1058</v>
      </c>
      <c r="F82">
        <v>7</v>
      </c>
      <c r="G82" s="1" t="str">
        <f>VLOOKUP(E:E,'3店'!$B:$B,1,0)</f>
        <v>Y3079-OR+Y3079</v>
      </c>
      <c r="H82" t="s">
        <v>969</v>
      </c>
      <c r="I82">
        <v>3</v>
      </c>
      <c r="J82" s="1" t="str">
        <f>VLOOKUP(H:H,'3店'!$B:$B,1,0)</f>
        <v>Y3046-BY+Y3047+Y3048</v>
      </c>
      <c r="AC82" t="s">
        <v>1267</v>
      </c>
      <c r="AD82">
        <v>24609</v>
      </c>
      <c r="AE82">
        <v>44</v>
      </c>
      <c r="AF82">
        <v>31.08</v>
      </c>
      <c r="AG82">
        <v>12.99</v>
      </c>
      <c r="AH82">
        <v>1</v>
      </c>
      <c r="AI82" s="31">
        <v>2.39260969976905</v>
      </c>
      <c r="AJ82" s="31">
        <v>0.0227272727272727</v>
      </c>
      <c r="AK82" s="1" t="str">
        <f>VLOOKUP(AC:AC,'3店'!$B:$B,1,0)</f>
        <v>Y3111-GR</v>
      </c>
      <c r="AL82" t="s">
        <v>828</v>
      </c>
      <c r="AM82" s="102">
        <v>25.98</v>
      </c>
      <c r="AN82" s="1">
        <f t="shared" si="4"/>
        <v>177.963</v>
      </c>
      <c r="AP82" s="29" t="s">
        <v>876</v>
      </c>
      <c r="AQ82" s="33">
        <v>64.95</v>
      </c>
      <c r="AR82" s="1">
        <f t="shared" si="5"/>
        <v>444.9075</v>
      </c>
      <c r="AT82" s="45" t="s">
        <v>819</v>
      </c>
      <c r="AU82" s="44">
        <v>333.6</v>
      </c>
      <c r="AV82" s="35"/>
      <c r="AW82" s="45" t="s">
        <v>816</v>
      </c>
      <c r="AX82" s="44">
        <v>514.3</v>
      </c>
      <c r="AZ82" s="160" t="s">
        <v>756</v>
      </c>
      <c r="BA82" s="127">
        <v>4.569</v>
      </c>
      <c r="BB82" s="1" t="s">
        <v>430</v>
      </c>
    </row>
    <row r="83" spans="2:54">
      <c r="B83" t="s">
        <v>1015</v>
      </c>
      <c r="C83">
        <v>2</v>
      </c>
      <c r="D83" s="1" t="str">
        <f>VLOOKUP(B:B,'3店'!$B:$B,1,0)</f>
        <v>Y3054-GY+Y3055</v>
      </c>
      <c r="E83" t="s">
        <v>684</v>
      </c>
      <c r="F83">
        <v>4</v>
      </c>
      <c r="G83" s="1" t="str">
        <f>VLOOKUP(E:E,'3店'!$B:$B,1,0)</f>
        <v>Y03466-DG+E03063</v>
      </c>
      <c r="H83" t="s">
        <v>1045</v>
      </c>
      <c r="I83">
        <v>7</v>
      </c>
      <c r="J83" s="1" t="str">
        <f>VLOOKUP(H:H,'3店'!$B:$B,1,0)</f>
        <v>Y3058-NB</v>
      </c>
      <c r="AC83" t="s">
        <v>1261</v>
      </c>
      <c r="AD83">
        <v>13437</v>
      </c>
      <c r="AE83">
        <v>51</v>
      </c>
      <c r="AF83">
        <v>31.99</v>
      </c>
      <c r="AG83">
        <v>38.97</v>
      </c>
      <c r="AH83">
        <v>3</v>
      </c>
      <c r="AI83" s="31">
        <v>0.820887862458301</v>
      </c>
      <c r="AJ83" s="31">
        <v>0.0588235294117647</v>
      </c>
      <c r="AK83" s="1" t="str">
        <f>VLOOKUP(AC:AC,'3店'!$B:$B,1,0)</f>
        <v>Y3111-BL</v>
      </c>
      <c r="AL83" t="s">
        <v>846</v>
      </c>
      <c r="AM83" s="102">
        <v>25.98</v>
      </c>
      <c r="AN83" s="1">
        <f>AM83*$AS$1</f>
        <v>177.963</v>
      </c>
      <c r="AP83" s="29" t="s">
        <v>1041</v>
      </c>
      <c r="AQ83" s="33">
        <v>77.94</v>
      </c>
      <c r="AR83" s="1">
        <f t="shared" si="5"/>
        <v>533.889</v>
      </c>
      <c r="AT83" s="45" t="s">
        <v>822</v>
      </c>
      <c r="AU83" s="44">
        <v>1390</v>
      </c>
      <c r="AV83" s="35"/>
      <c r="AW83" s="45" t="s">
        <v>819</v>
      </c>
      <c r="AX83" s="44">
        <v>305.8</v>
      </c>
      <c r="AZ83" s="160" t="s">
        <v>786</v>
      </c>
      <c r="BA83" s="127">
        <v>4.196</v>
      </c>
      <c r="BB83" s="1" t="s">
        <v>430</v>
      </c>
    </row>
    <row r="84" spans="2:54">
      <c r="B84" t="s">
        <v>972</v>
      </c>
      <c r="C84">
        <v>3</v>
      </c>
      <c r="D84" s="1" t="str">
        <f>VLOOKUP(B:B,'3店'!$B:$B,1,0)</f>
        <v>Y3046-DB+Y3047+Y3048</v>
      </c>
      <c r="E84" t="s">
        <v>672</v>
      </c>
      <c r="F84">
        <v>19</v>
      </c>
      <c r="G84" s="1" t="str">
        <f>VLOOKUP(E:E,'3店'!$B:$B,1,0)</f>
        <v>Y03451-NB+Y03478</v>
      </c>
      <c r="H84" t="s">
        <v>1061</v>
      </c>
      <c r="I84">
        <v>12</v>
      </c>
      <c r="J84" s="1" t="str">
        <f>VLOOKUP(H:H,'3店'!$B:$B,1,0)</f>
        <v>Y3079-TG+Y3079</v>
      </c>
      <c r="AC84" t="s">
        <v>1258</v>
      </c>
      <c r="AD84">
        <v>2796</v>
      </c>
      <c r="AE84">
        <v>3</v>
      </c>
      <c r="AF84">
        <v>1.58</v>
      </c>
      <c r="AG84">
        <v>0</v>
      </c>
      <c r="AH84">
        <v>0</v>
      </c>
      <c r="AI84" s="31">
        <v>0</v>
      </c>
      <c r="AJ84" s="31">
        <v>0</v>
      </c>
      <c r="AK84" s="1" t="str">
        <f>VLOOKUP(AC:AC,'3店'!$B:$B,1,0)</f>
        <v>Y3110-NB</v>
      </c>
      <c r="AL84" t="s">
        <v>930</v>
      </c>
      <c r="AM84" s="102">
        <v>25.98</v>
      </c>
      <c r="AN84" s="1">
        <f>AM84*$AS$1</f>
        <v>177.963</v>
      </c>
      <c r="AP84" s="29" t="s">
        <v>1220</v>
      </c>
      <c r="AQ84" s="33">
        <v>64.95</v>
      </c>
      <c r="AR84" s="1">
        <f t="shared" si="5"/>
        <v>444.9075</v>
      </c>
      <c r="AT84" s="45" t="s">
        <v>825</v>
      </c>
      <c r="AU84" s="44">
        <v>222.4</v>
      </c>
      <c r="AV84" s="35"/>
      <c r="AW84" s="45" t="s">
        <v>822</v>
      </c>
      <c r="AX84" s="44">
        <v>1751.4</v>
      </c>
      <c r="AZ84" s="160" t="s">
        <v>789</v>
      </c>
      <c r="BA84" s="127">
        <v>5.061</v>
      </c>
      <c r="BB84" s="1" t="s">
        <v>430</v>
      </c>
    </row>
    <row r="85" spans="2:54">
      <c r="B85" t="s">
        <v>684</v>
      </c>
      <c r="C85">
        <v>3</v>
      </c>
      <c r="D85" s="1" t="str">
        <f>VLOOKUP(B:B,'3店'!$B:$B,1,0)</f>
        <v>Y03466-DG+E03063</v>
      </c>
      <c r="E85" t="s">
        <v>935</v>
      </c>
      <c r="F85">
        <v>1</v>
      </c>
      <c r="G85" s="1" t="str">
        <f>VLOOKUP(E:E,'3店'!$B:$B,1,0)</f>
        <v>Y3036-DB</v>
      </c>
      <c r="H85" t="s">
        <v>1055</v>
      </c>
      <c r="I85">
        <v>13</v>
      </c>
      <c r="J85" s="1" t="str">
        <f>VLOOKUP(H:H,'3店'!$B:$B,1,0)</f>
        <v>Y3079-NB+Y3079</v>
      </c>
      <c r="AC85" t="s">
        <v>1270</v>
      </c>
      <c r="AD85">
        <v>2212</v>
      </c>
      <c r="AE85">
        <v>5</v>
      </c>
      <c r="AF85">
        <v>2.3</v>
      </c>
      <c r="AG85">
        <v>25.98</v>
      </c>
      <c r="AH85">
        <v>2</v>
      </c>
      <c r="AI85" s="31">
        <v>0.0885296381832179</v>
      </c>
      <c r="AJ85" s="31">
        <v>0.4</v>
      </c>
      <c r="AK85" s="1" t="str">
        <f>VLOOKUP(AC:AC,'3店'!$B:$B,1,0)</f>
        <v>Y3111-NB</v>
      </c>
      <c r="AL85" t="s">
        <v>954</v>
      </c>
      <c r="AM85" s="102">
        <v>25.98</v>
      </c>
      <c r="AN85" s="1">
        <f>AM85*$AS$1</f>
        <v>177.963</v>
      </c>
      <c r="AP85" s="29" t="s">
        <v>1261</v>
      </c>
      <c r="AQ85" s="33">
        <v>64.95</v>
      </c>
      <c r="AR85" s="1">
        <f t="shared" si="5"/>
        <v>444.9075</v>
      </c>
      <c r="AT85" s="45" t="s">
        <v>828</v>
      </c>
      <c r="AU85" s="44">
        <v>278</v>
      </c>
      <c r="AV85" s="35"/>
      <c r="AW85" s="45" t="s">
        <v>825</v>
      </c>
      <c r="AX85" s="44">
        <v>278</v>
      </c>
      <c r="AZ85" s="160" t="s">
        <v>792</v>
      </c>
      <c r="BA85" s="127">
        <v>4.543</v>
      </c>
      <c r="BB85" s="1" t="s">
        <v>430</v>
      </c>
    </row>
    <row r="86" spans="2:54">
      <c r="B86" t="s">
        <v>831</v>
      </c>
      <c r="C86">
        <v>3</v>
      </c>
      <c r="D86" s="1" t="str">
        <f>VLOOKUP(B:B,'3店'!$B:$B,1,0)</f>
        <v>Y3033-GK+Y3034+Y3035</v>
      </c>
      <c r="E86" t="s">
        <v>1028</v>
      </c>
      <c r="F86">
        <v>2</v>
      </c>
      <c r="G86" s="1" t="str">
        <f>VLOOKUP(E:E,'3店'!$B:$B,1,0)</f>
        <v>Y3056-GY+Y3057</v>
      </c>
      <c r="H86" t="s">
        <v>1073</v>
      </c>
      <c r="I86">
        <v>7</v>
      </c>
      <c r="J86" s="1" t="str">
        <f>VLOOKUP(H:H,'3店'!$B:$B,1,0)</f>
        <v>Y3074-NB</v>
      </c>
      <c r="AC86" t="s">
        <v>439</v>
      </c>
      <c r="AD86">
        <v>1562162</v>
      </c>
      <c r="AE86">
        <v>9665</v>
      </c>
      <c r="AF86">
        <v>4007.53</v>
      </c>
      <c r="AG86">
        <v>16458.38</v>
      </c>
      <c r="AH86">
        <v>1208</v>
      </c>
      <c r="AI86" s="31">
        <v>0.243494803255241</v>
      </c>
      <c r="AJ86" s="31">
        <v>0.124987066735644</v>
      </c>
      <c r="AL86" t="s">
        <v>960</v>
      </c>
      <c r="AM86" s="102">
        <v>38.97</v>
      </c>
      <c r="AN86" s="1">
        <f>AM86*$AS$1</f>
        <v>266.9445</v>
      </c>
      <c r="AP86" s="29" t="s">
        <v>1278</v>
      </c>
      <c r="AQ86" s="33">
        <v>49.96</v>
      </c>
      <c r="AR86" s="1">
        <f t="shared" si="5"/>
        <v>342.226</v>
      </c>
      <c r="AT86" s="45" t="s">
        <v>831</v>
      </c>
      <c r="AU86" s="44">
        <v>236.3</v>
      </c>
      <c r="AV86" s="35"/>
      <c r="AW86" s="45" t="s">
        <v>828</v>
      </c>
      <c r="AX86" s="44">
        <v>403.1</v>
      </c>
      <c r="AZ86" s="160" t="s">
        <v>795</v>
      </c>
      <c r="BA86" s="127">
        <v>5.725</v>
      </c>
      <c r="BB86" s="1" t="s">
        <v>430</v>
      </c>
    </row>
    <row r="87" spans="2:54">
      <c r="B87" t="s">
        <v>1182</v>
      </c>
      <c r="C87">
        <v>1</v>
      </c>
      <c r="D87" s="1" t="str">
        <f>VLOOKUP(B:B,'3店'!$B:$B,1,0)</f>
        <v>Y3096-OR+Y3097+Y3098</v>
      </c>
      <c r="E87" t="s">
        <v>1070</v>
      </c>
      <c r="F87">
        <v>3</v>
      </c>
      <c r="G87" s="1" t="str">
        <f>VLOOKUP(E:E,'3店'!$B:$B,1,0)</f>
        <v>Y3074-GY</v>
      </c>
      <c r="H87" t="s">
        <v>771</v>
      </c>
      <c r="I87">
        <v>6</v>
      </c>
      <c r="J87" s="1" t="str">
        <f>VLOOKUP(H:H,'3店'!$B:$B,1,0)</f>
        <v>Y3018-DG+Y3019</v>
      </c>
      <c r="AL87" t="s">
        <v>972</v>
      </c>
      <c r="AM87" s="102">
        <v>38.97</v>
      </c>
      <c r="AN87" s="1">
        <f>AM87*$AS$1</f>
        <v>266.9445</v>
      </c>
      <c r="AP87" s="29" t="s">
        <v>627</v>
      </c>
      <c r="AQ87" s="33">
        <v>62.95</v>
      </c>
      <c r="AR87" s="1">
        <f t="shared" si="5"/>
        <v>431.2075</v>
      </c>
      <c r="AT87" s="45" t="s">
        <v>834</v>
      </c>
      <c r="AU87" s="44">
        <v>111.2</v>
      </c>
      <c r="AV87" s="35"/>
      <c r="AW87" s="45" t="s">
        <v>831</v>
      </c>
      <c r="AX87" s="44">
        <v>69.5</v>
      </c>
      <c r="AZ87" s="160" t="s">
        <v>798</v>
      </c>
      <c r="BA87" s="127">
        <v>5.272</v>
      </c>
      <c r="BB87" s="1" t="s">
        <v>430</v>
      </c>
    </row>
    <row r="88" spans="2:54">
      <c r="B88" t="s">
        <v>939</v>
      </c>
      <c r="C88">
        <v>1</v>
      </c>
      <c r="D88" s="1" t="str">
        <f>VLOOKUP(B:B,'3店'!$B:$B,1,0)</f>
        <v>Y3036-OR</v>
      </c>
      <c r="E88" t="s">
        <v>975</v>
      </c>
      <c r="F88">
        <v>2</v>
      </c>
      <c r="G88" s="1" t="str">
        <f>VLOOKUP(E:E,'3店'!$B:$B,1,0)</f>
        <v>Y3046-GK+Y3047+Y3048</v>
      </c>
      <c r="H88" t="s">
        <v>807</v>
      </c>
      <c r="I88">
        <v>6</v>
      </c>
      <c r="J88" s="1" t="str">
        <f>VLOOKUP(H:H,'3店'!$B:$B,1,0)</f>
        <v>Y3015-BY+Y3016+Y3017</v>
      </c>
      <c r="AL88" t="s">
        <v>1032</v>
      </c>
      <c r="AM88" s="102">
        <v>25.98</v>
      </c>
      <c r="AN88" s="1">
        <f>AM88*$AS$1</f>
        <v>177.963</v>
      </c>
      <c r="AP88" s="29" t="s">
        <v>690</v>
      </c>
      <c r="AQ88" s="33">
        <v>47.96</v>
      </c>
      <c r="AR88" s="1">
        <f t="shared" si="5"/>
        <v>328.526</v>
      </c>
      <c r="AT88" s="45" t="s">
        <v>837</v>
      </c>
      <c r="AU88" s="44">
        <v>15</v>
      </c>
      <c r="AV88" s="35"/>
      <c r="AW88" s="45" t="s">
        <v>834</v>
      </c>
      <c r="AX88" s="44">
        <v>166.8</v>
      </c>
      <c r="AZ88" s="160" t="s">
        <v>995</v>
      </c>
      <c r="BA88" s="127">
        <v>4.521</v>
      </c>
      <c r="BB88" s="1" t="s">
        <v>430</v>
      </c>
    </row>
    <row r="89" spans="2:54">
      <c r="B89" t="s">
        <v>1235</v>
      </c>
      <c r="C89">
        <v>8</v>
      </c>
      <c r="D89" s="1" t="str">
        <f>VLOOKUP(B:B,'3店'!$B:$B,1,0)</f>
        <v>Y3108-BL+Y3109</v>
      </c>
      <c r="E89" t="s">
        <v>1077</v>
      </c>
      <c r="F89">
        <v>14</v>
      </c>
      <c r="G89" s="1" t="str">
        <f>VLOOKUP(E:E,'3店'!$B:$B,1,0)</f>
        <v>Y3075-BL</v>
      </c>
      <c r="H89" t="s">
        <v>810</v>
      </c>
      <c r="I89">
        <v>5</v>
      </c>
      <c r="J89" s="1" t="str">
        <f>VLOOKUP(H:H,'3店'!$B:$B,1,0)</f>
        <v>Y3015-GK+Y3016+Y3017</v>
      </c>
      <c r="AL89" t="s">
        <v>1015</v>
      </c>
      <c r="AM89" s="102">
        <v>21.98</v>
      </c>
      <c r="AN89" s="1">
        <f>AM89*$AS$1</f>
        <v>150.563</v>
      </c>
      <c r="AP89" s="29" t="s">
        <v>684</v>
      </c>
      <c r="AQ89" s="33">
        <v>51.96</v>
      </c>
      <c r="AR89" s="1">
        <f t="shared" si="5"/>
        <v>355.926</v>
      </c>
      <c r="AT89" s="45" t="s">
        <v>840</v>
      </c>
      <c r="AU89" s="44">
        <v>1356.3</v>
      </c>
      <c r="AV89" s="35"/>
      <c r="AW89" s="45" t="s">
        <v>837</v>
      </c>
      <c r="AX89" s="44">
        <v>300</v>
      </c>
      <c r="AZ89" s="160" t="s">
        <v>998</v>
      </c>
      <c r="BA89" s="127">
        <v>4.458</v>
      </c>
      <c r="BB89" s="1" t="s">
        <v>430</v>
      </c>
    </row>
    <row r="90" spans="2:54">
      <c r="B90" t="s">
        <v>1241</v>
      </c>
      <c r="C90">
        <v>1</v>
      </c>
      <c r="D90" s="1" t="str">
        <f>VLOOKUP(B:B,'3店'!$B:$B,1,0)</f>
        <v>Y3108-GY+Y3109</v>
      </c>
      <c r="E90" t="s">
        <v>1085</v>
      </c>
      <c r="F90">
        <v>6</v>
      </c>
      <c r="G90" s="1" t="str">
        <f>VLOOKUP(E:E,'3店'!$B:$B,1,0)</f>
        <v>Y3075-NB</v>
      </c>
      <c r="H90" t="s">
        <v>819</v>
      </c>
      <c r="I90">
        <v>9</v>
      </c>
      <c r="J90" s="1" t="str">
        <f>VLOOKUP(H:H,'3店'!$B:$B,1,0)</f>
        <v>Y03564-GK+Y03565+Y03566</v>
      </c>
      <c r="AL90" t="s">
        <v>1026</v>
      </c>
      <c r="AM90" s="102">
        <v>25.98</v>
      </c>
      <c r="AN90" s="1">
        <f>AM90*$AS$1</f>
        <v>177.963</v>
      </c>
      <c r="AP90" s="29" t="s">
        <v>693</v>
      </c>
      <c r="AQ90" s="33">
        <v>47.96</v>
      </c>
      <c r="AR90" s="1">
        <f t="shared" si="5"/>
        <v>328.526</v>
      </c>
      <c r="AT90" s="45" t="s">
        <v>843</v>
      </c>
      <c r="AU90" s="44">
        <v>178.1</v>
      </c>
      <c r="AV90" s="35"/>
      <c r="AW90" s="45" t="s">
        <v>1295</v>
      </c>
      <c r="AX90" s="44">
        <v>341</v>
      </c>
      <c r="AZ90" s="160" t="s">
        <v>1001</v>
      </c>
      <c r="BA90" s="127">
        <v>3.706</v>
      </c>
      <c r="BB90" s="1" t="s">
        <v>430</v>
      </c>
    </row>
    <row r="91" spans="2:54">
      <c r="B91" t="s">
        <v>693</v>
      </c>
      <c r="C91">
        <v>2</v>
      </c>
      <c r="D91" s="1" t="str">
        <f>VLOOKUP(B:B,'3店'!$B:$B,1,0)</f>
        <v>Y03466-TG+E03063</v>
      </c>
      <c r="E91" t="s">
        <v>1123</v>
      </c>
      <c r="F91">
        <v>2</v>
      </c>
      <c r="G91" s="1" t="str">
        <f>VLOOKUP(E:E,'3店'!$B:$B,1,0)</f>
        <v>Y3085-DB+Y3086+Y3087</v>
      </c>
      <c r="H91" t="s">
        <v>831</v>
      </c>
      <c r="I91">
        <v>7</v>
      </c>
      <c r="J91" s="1" t="str">
        <f>VLOOKUP(H:H,'3店'!$B:$B,1,0)</f>
        <v>Y3033-GK+Y3034+Y3035</v>
      </c>
      <c r="AL91" t="s">
        <v>1055</v>
      </c>
      <c r="AM91" s="102">
        <v>38.97</v>
      </c>
      <c r="AN91" s="1">
        <f>AM91*$AS$1</f>
        <v>266.9445</v>
      </c>
      <c r="AP91" s="29" t="s">
        <v>669</v>
      </c>
      <c r="AQ91" s="33">
        <v>51.96</v>
      </c>
      <c r="AR91" s="1">
        <f t="shared" si="5"/>
        <v>355.926</v>
      </c>
      <c r="AT91" s="45" t="s">
        <v>846</v>
      </c>
      <c r="AU91" s="44">
        <v>465.8</v>
      </c>
      <c r="AV91" s="35"/>
      <c r="AW91" s="45" t="s">
        <v>1296</v>
      </c>
      <c r="AX91" s="44">
        <v>407</v>
      </c>
      <c r="AZ91" s="160" t="s">
        <v>1004</v>
      </c>
      <c r="BA91" s="127">
        <v>3.889</v>
      </c>
      <c r="BB91" s="1" t="s">
        <v>430</v>
      </c>
    </row>
    <row r="92" spans="2:54">
      <c r="B92" t="s">
        <v>978</v>
      </c>
      <c r="C92">
        <v>1</v>
      </c>
      <c r="D92" s="1" t="str">
        <f>VLOOKUP(B:B,'3店'!$B:$B,1,0)</f>
        <v>Y3046-OR+Y3047+Y3048</v>
      </c>
      <c r="E92" t="s">
        <v>1118</v>
      </c>
      <c r="F92">
        <v>2</v>
      </c>
      <c r="G92" s="1" t="str">
        <f>VLOOKUP(E:E,'3店'!$B:$B,1,0)</f>
        <v>Y3085-BL+Y3086+Y3087</v>
      </c>
      <c r="H92" t="s">
        <v>954</v>
      </c>
      <c r="I92">
        <v>5</v>
      </c>
      <c r="J92" s="1" t="str">
        <f>VLOOKUP(H:H,'3店'!$B:$B,1,0)</f>
        <v>Y3049-BY+Y3050+Y3051</v>
      </c>
      <c r="AL92" t="s">
        <v>1184</v>
      </c>
      <c r="AM92" s="102">
        <v>25.98</v>
      </c>
      <c r="AN92" s="1">
        <f>AM92*$AS$1</f>
        <v>177.963</v>
      </c>
      <c r="AP92" s="29" t="s">
        <v>780</v>
      </c>
      <c r="AQ92" s="33">
        <v>51.96</v>
      </c>
      <c r="AR92" s="1">
        <f t="shared" si="5"/>
        <v>355.926</v>
      </c>
      <c r="AT92" s="45" t="s">
        <v>849</v>
      </c>
      <c r="AU92" s="44">
        <v>232.9</v>
      </c>
      <c r="AV92" s="35"/>
      <c r="AW92" s="45" t="s">
        <v>840</v>
      </c>
      <c r="AX92" s="44">
        <v>1671.4</v>
      </c>
      <c r="AZ92" s="160" t="s">
        <v>1007</v>
      </c>
      <c r="BA92" s="127">
        <v>4.266</v>
      </c>
      <c r="BB92" s="1" t="s">
        <v>430</v>
      </c>
    </row>
    <row r="93" spans="2:54">
      <c r="B93" t="s">
        <v>1043</v>
      </c>
      <c r="C93">
        <v>1</v>
      </c>
      <c r="D93" s="1" t="str">
        <f>VLOOKUP(B:B,'3店'!$B:$B,1,0)</f>
        <v>Y3058-LP</v>
      </c>
      <c r="E93" t="s">
        <v>819</v>
      </c>
      <c r="F93">
        <v>2</v>
      </c>
      <c r="G93" s="1" t="str">
        <f>VLOOKUP(E:E,'3店'!$B:$B,1,0)</f>
        <v>Y03564-GK+Y03565+Y03566</v>
      </c>
      <c r="H93" t="s">
        <v>998</v>
      </c>
      <c r="I93">
        <v>14</v>
      </c>
      <c r="J93" s="1" t="str">
        <f>VLOOKUP(H:H,'3店'!$B:$B,1,0)</f>
        <v>Y3060-BY+Y3061+Y3062</v>
      </c>
      <c r="AL93" t="s">
        <v>1080</v>
      </c>
      <c r="AM93" s="102">
        <v>25.98</v>
      </c>
      <c r="AN93" s="1">
        <f>AM93*$AS$1</f>
        <v>177.963</v>
      </c>
      <c r="AP93" s="29" t="s">
        <v>798</v>
      </c>
      <c r="AQ93" s="33">
        <v>51.96</v>
      </c>
      <c r="AR93" s="1">
        <f t="shared" si="5"/>
        <v>355.926</v>
      </c>
      <c r="AT93" s="45" t="s">
        <v>852</v>
      </c>
      <c r="AU93" s="44">
        <v>260.3</v>
      </c>
      <c r="AV93" s="35"/>
      <c r="AW93" s="45" t="s">
        <v>843</v>
      </c>
      <c r="AX93" s="44">
        <v>205.5</v>
      </c>
      <c r="AZ93" s="160" t="s">
        <v>768</v>
      </c>
      <c r="BA93" s="127">
        <v>4.032</v>
      </c>
      <c r="BB93" s="1" t="s">
        <v>430</v>
      </c>
    </row>
    <row r="94" spans="2:54">
      <c r="B94" t="s">
        <v>1021</v>
      </c>
      <c r="C94">
        <v>1</v>
      </c>
      <c r="D94" s="1" t="str">
        <f>VLOOKUP(B:B,'3店'!$B:$B,1,0)</f>
        <v>Y3054-TG+Y3055</v>
      </c>
      <c r="E94" t="s">
        <v>1061</v>
      </c>
      <c r="F94">
        <v>3</v>
      </c>
      <c r="G94" s="1" t="str">
        <f>VLOOKUP(E:E,'3店'!$B:$B,1,0)</f>
        <v>Y3079-TG+Y3079</v>
      </c>
      <c r="H94" t="s">
        <v>1041</v>
      </c>
      <c r="I94">
        <v>8</v>
      </c>
      <c r="J94" s="1" t="str">
        <f>VLOOKUP(H:H,'3店'!$B:$B,1,0)</f>
        <v>Y3058-GY</v>
      </c>
      <c r="AL94" t="s">
        <v>1176</v>
      </c>
      <c r="AM94" s="102">
        <v>25.98</v>
      </c>
      <c r="AN94" s="1">
        <f>AM94*$AS$1</f>
        <v>177.963</v>
      </c>
      <c r="AP94" s="29" t="s">
        <v>834</v>
      </c>
      <c r="AQ94" s="33">
        <v>51.96</v>
      </c>
      <c r="AR94" s="1">
        <f t="shared" si="5"/>
        <v>355.926</v>
      </c>
      <c r="AT94" s="45" t="s">
        <v>855</v>
      </c>
      <c r="AU94" s="44">
        <v>68.5</v>
      </c>
      <c r="AV94" s="35"/>
      <c r="AW94" s="45" t="s">
        <v>846</v>
      </c>
      <c r="AX94" s="44">
        <v>95.9</v>
      </c>
      <c r="AZ94" s="160" t="s">
        <v>774</v>
      </c>
      <c r="BA94" s="127">
        <v>4.642</v>
      </c>
      <c r="BB94" s="1" t="s">
        <v>430</v>
      </c>
    </row>
    <row r="95" spans="2:54">
      <c r="B95" t="s">
        <v>1087</v>
      </c>
      <c r="C95">
        <v>1</v>
      </c>
      <c r="D95" s="1" t="str">
        <f>VLOOKUP(B:B,'3店'!$B:$B,1,0)</f>
        <v>Y3075-TG</v>
      </c>
      <c r="E95" t="s">
        <v>1278</v>
      </c>
      <c r="F95">
        <v>4</v>
      </c>
      <c r="G95" s="1" t="e">
        <f>VLOOKUP(E:E,'3店'!$B:$B,1,0)</f>
        <v>#N/A</v>
      </c>
      <c r="H95" t="s">
        <v>1052</v>
      </c>
      <c r="I95">
        <v>16</v>
      </c>
      <c r="J95" s="1" t="str">
        <f>VLOOKUP(H:H,'3店'!$B:$B,1,0)</f>
        <v>Y3079-GB+Y3079</v>
      </c>
      <c r="K95" s="161" t="s">
        <v>995</v>
      </c>
      <c r="L95"/>
      <c r="M95"/>
      <c r="N95">
        <f>$N$100/5</f>
        <v>4.718</v>
      </c>
      <c r="O95">
        <f>$O$100/5</f>
        <v>10.392</v>
      </c>
      <c r="P95"/>
      <c r="Q95"/>
      <c r="R95"/>
      <c r="S95" s="1" t="str">
        <f>VLOOKUP(K:K,'3店'!$B:$B,1,0)</f>
        <v>Y3060-BL+Y3061+Y3062</v>
      </c>
      <c r="T95" s="161" t="s">
        <v>995</v>
      </c>
      <c r="U95"/>
      <c r="V95"/>
      <c r="W95">
        <f>W$100/5</f>
        <v>12.652</v>
      </c>
      <c r="X95">
        <f>X$100/5</f>
        <v>18.186</v>
      </c>
      <c r="Y95"/>
      <c r="Z95"/>
      <c r="AA95"/>
      <c r="AB95" s="1" t="str">
        <f>VLOOKUP(T:T,'3店'!$B:$B,1,0)</f>
        <v>Y3060-BL+Y3061+Y3062</v>
      </c>
      <c r="AC95" s="161" t="s">
        <v>995</v>
      </c>
      <c r="AD95"/>
      <c r="AE95"/>
      <c r="AF95">
        <f>AF$100/5</f>
        <v>20.574</v>
      </c>
      <c r="AG95">
        <f>AG$100/5</f>
        <v>41.346</v>
      </c>
      <c r="AH95"/>
      <c r="AI95"/>
      <c r="AJ95"/>
      <c r="AK95" s="1" t="str">
        <f>VLOOKUP(AC:AC,'3店'!$B:$B,1,0)</f>
        <v>Y3060-BL+Y3061+Y3062</v>
      </c>
      <c r="AL95" t="s">
        <v>1173</v>
      </c>
      <c r="AM95" s="102">
        <v>21.98</v>
      </c>
      <c r="AN95" s="1">
        <f>AM95*$AS$1</f>
        <v>150.563</v>
      </c>
      <c r="AP95" s="29" t="s">
        <v>954</v>
      </c>
      <c r="AQ95" s="33">
        <v>47.96</v>
      </c>
      <c r="AR95" s="1">
        <f t="shared" si="5"/>
        <v>328.526</v>
      </c>
      <c r="AT95" s="45" t="s">
        <v>858</v>
      </c>
      <c r="AU95" s="44">
        <v>260.3</v>
      </c>
      <c r="AV95" s="35"/>
      <c r="AW95" s="45" t="s">
        <v>849</v>
      </c>
      <c r="AX95" s="44">
        <v>82.2</v>
      </c>
      <c r="AZ95" s="160" t="s">
        <v>780</v>
      </c>
      <c r="BA95" s="127">
        <v>4.495</v>
      </c>
      <c r="BB95" s="1" t="s">
        <v>430</v>
      </c>
    </row>
    <row r="96" spans="2:54">
      <c r="B96" t="s">
        <v>1070</v>
      </c>
      <c r="C96">
        <v>1</v>
      </c>
      <c r="D96" s="1" t="str">
        <f>VLOOKUP(B:B,'3店'!$B:$B,1,0)</f>
        <v>Y3074-GY</v>
      </c>
      <c r="E96" t="s">
        <v>1043</v>
      </c>
      <c r="F96">
        <v>3</v>
      </c>
      <c r="G96" s="1" t="str">
        <f>VLOOKUP(E:E,'3店'!$B:$B,1,0)</f>
        <v>Y3058-LP</v>
      </c>
      <c r="H96" t="s">
        <v>846</v>
      </c>
      <c r="I96">
        <v>12</v>
      </c>
      <c r="J96" s="1" t="str">
        <f>VLOOKUP(H:H,'3店'!$B:$B,1,0)</f>
        <v>Y3025-NB+Y3026</v>
      </c>
      <c r="K96" s="161" t="s">
        <v>998</v>
      </c>
      <c r="L96"/>
      <c r="M96"/>
      <c r="N96">
        <f>$N$100/5</f>
        <v>4.718</v>
      </c>
      <c r="O96">
        <f>$O$100/5</f>
        <v>10.392</v>
      </c>
      <c r="P96"/>
      <c r="Q96"/>
      <c r="R96"/>
      <c r="S96" s="1" t="str">
        <f>VLOOKUP(K:K,'3店'!$B:$B,1,0)</f>
        <v>Y3060-BY+Y3061+Y3062</v>
      </c>
      <c r="T96" s="161" t="s">
        <v>998</v>
      </c>
      <c r="U96"/>
      <c r="V96"/>
      <c r="W96">
        <f>W$100/5</f>
        <v>12.652</v>
      </c>
      <c r="X96">
        <f>X$100/5</f>
        <v>18.186</v>
      </c>
      <c r="Y96"/>
      <c r="Z96"/>
      <c r="AA96"/>
      <c r="AB96" s="1" t="str">
        <f>VLOOKUP(T:T,'3店'!$B:$B,1,0)</f>
        <v>Y3060-BY+Y3061+Y3062</v>
      </c>
      <c r="AC96" s="161" t="s">
        <v>998</v>
      </c>
      <c r="AD96"/>
      <c r="AE96"/>
      <c r="AF96">
        <f>AF$100/5</f>
        <v>20.574</v>
      </c>
      <c r="AG96">
        <f>AG$100/5</f>
        <v>41.346</v>
      </c>
      <c r="AH96"/>
      <c r="AI96"/>
      <c r="AJ96"/>
      <c r="AK96" s="1" t="str">
        <f>VLOOKUP(AC:AC,'3店'!$B:$B,1,0)</f>
        <v>Y3060-BY+Y3061+Y3062</v>
      </c>
      <c r="AL96" t="s">
        <v>1205</v>
      </c>
      <c r="AM96" s="102">
        <v>38.97</v>
      </c>
      <c r="AN96" s="1">
        <f>AM96*$AS$1</f>
        <v>266.9445</v>
      </c>
      <c r="AP96" s="29" t="s">
        <v>960</v>
      </c>
      <c r="AQ96" s="33">
        <v>62.95</v>
      </c>
      <c r="AR96" s="1">
        <f t="shared" si="5"/>
        <v>431.2075</v>
      </c>
      <c r="AT96" s="45" t="s">
        <v>861</v>
      </c>
      <c r="AU96" s="44">
        <v>561.7</v>
      </c>
      <c r="AV96" s="35"/>
      <c r="AW96" s="45" t="s">
        <v>852</v>
      </c>
      <c r="AX96" s="44">
        <v>287.7</v>
      </c>
      <c r="AZ96" s="160" t="s">
        <v>771</v>
      </c>
      <c r="BA96" s="127">
        <v>4.381</v>
      </c>
      <c r="BB96" s="1" t="s">
        <v>430</v>
      </c>
    </row>
    <row r="97" spans="2:54">
      <c r="B97" t="s">
        <v>1232</v>
      </c>
      <c r="C97">
        <v>1</v>
      </c>
      <c r="D97" s="1" t="str">
        <f>VLOOKUP(B:B,'3店'!$B:$B,1,0)</f>
        <v>Y3108-BG+Y3109</v>
      </c>
      <c r="E97" t="s">
        <v>876</v>
      </c>
      <c r="F97">
        <v>5</v>
      </c>
      <c r="G97" s="1" t="str">
        <f>VLOOKUP(E:E,'3店'!$B:$B,1,0)</f>
        <v>Y3029-NB+Y3030</v>
      </c>
      <c r="H97" t="s">
        <v>946</v>
      </c>
      <c r="I97">
        <v>4</v>
      </c>
      <c r="J97" s="1" t="str">
        <f>VLOOKUP(H:H,'3店'!$B:$B,1,0)</f>
        <v>Y3039-GK</v>
      </c>
      <c r="K97" s="161" t="s">
        <v>1001</v>
      </c>
      <c r="L97"/>
      <c r="M97"/>
      <c r="N97">
        <f>$N$100/5</f>
        <v>4.718</v>
      </c>
      <c r="O97">
        <f>$O$100/5</f>
        <v>10.392</v>
      </c>
      <c r="P97"/>
      <c r="Q97"/>
      <c r="R97"/>
      <c r="S97" s="1" t="str">
        <f>VLOOKUP(K:K,'3店'!$B:$B,1,0)</f>
        <v>Y3060-DB+Y3061+Y3062</v>
      </c>
      <c r="T97" s="161" t="s">
        <v>1001</v>
      </c>
      <c r="U97"/>
      <c r="V97"/>
      <c r="W97">
        <f>W$100/5</f>
        <v>12.652</v>
      </c>
      <c r="X97">
        <f>X$100/5</f>
        <v>18.186</v>
      </c>
      <c r="Y97"/>
      <c r="Z97"/>
      <c r="AA97"/>
      <c r="AB97" s="1" t="str">
        <f>VLOOKUP(T:T,'3店'!$B:$B,1,0)</f>
        <v>Y3060-DB+Y3061+Y3062</v>
      </c>
      <c r="AC97" s="161" t="s">
        <v>1001</v>
      </c>
      <c r="AD97"/>
      <c r="AE97"/>
      <c r="AF97">
        <f>AF$100/5</f>
        <v>20.574</v>
      </c>
      <c r="AG97">
        <f>AG$100/5</f>
        <v>41.346</v>
      </c>
      <c r="AH97"/>
      <c r="AI97"/>
      <c r="AJ97"/>
      <c r="AK97" s="1" t="str">
        <f>VLOOKUP(AC:AC,'3店'!$B:$B,1,0)</f>
        <v>Y3060-DB+Y3061+Y3062</v>
      </c>
      <c r="AL97" t="s">
        <v>1190</v>
      </c>
      <c r="AM97" s="102">
        <v>25.98</v>
      </c>
      <c r="AN97" s="1">
        <f>AM97*$AS$1</f>
        <v>177.963</v>
      </c>
      <c r="AP97" s="29" t="s">
        <v>1015</v>
      </c>
      <c r="AQ97" s="33">
        <v>41.96</v>
      </c>
      <c r="AR97" s="1">
        <f t="shared" si="5"/>
        <v>287.426</v>
      </c>
      <c r="AT97" s="45" t="s">
        <v>864</v>
      </c>
      <c r="AU97" s="44">
        <v>27.4</v>
      </c>
      <c r="AV97" s="35"/>
      <c r="AW97" s="45" t="s">
        <v>855</v>
      </c>
      <c r="AX97" s="44">
        <v>739.8</v>
      </c>
      <c r="AZ97" s="160" t="s">
        <v>777</v>
      </c>
      <c r="BA97" s="127">
        <v>3.942</v>
      </c>
      <c r="BB97" s="1" t="s">
        <v>430</v>
      </c>
    </row>
    <row r="98" spans="2:54">
      <c r="B98" t="s">
        <v>861</v>
      </c>
      <c r="C98">
        <v>3</v>
      </c>
      <c r="D98" s="1" t="str">
        <f>VLOOKUP(B:B,'3店'!$B:$B,1,0)</f>
        <v>Y3027-BL+Y3028</v>
      </c>
      <c r="E98" t="s">
        <v>843</v>
      </c>
      <c r="F98">
        <v>1</v>
      </c>
      <c r="G98" s="1" t="str">
        <f>VLOOKUP(E:E,'3店'!$B:$B,1,0)</f>
        <v>Y3025-DG+Y3026</v>
      </c>
      <c r="H98" t="s">
        <v>1007</v>
      </c>
      <c r="I98">
        <v>29</v>
      </c>
      <c r="J98" s="1" t="str">
        <f>VLOOKUP(H:H,'3店'!$B:$B,1,0)</f>
        <v>Y3060-OR+Y3061+Y3062</v>
      </c>
      <c r="K98" s="161" t="s">
        <v>1004</v>
      </c>
      <c r="L98"/>
      <c r="M98"/>
      <c r="N98">
        <f>$N$100/5</f>
        <v>4.718</v>
      </c>
      <c r="O98">
        <f>$O$100/5</f>
        <v>10.392</v>
      </c>
      <c r="P98"/>
      <c r="Q98"/>
      <c r="R98"/>
      <c r="S98" s="1" t="str">
        <f>VLOOKUP(K:K,'3店'!$B:$B,1,0)</f>
        <v>Y3060-GK+Y3061+Y3062</v>
      </c>
      <c r="T98" s="161" t="s">
        <v>1004</v>
      </c>
      <c r="U98"/>
      <c r="V98"/>
      <c r="W98">
        <f>W$100/5</f>
        <v>12.652</v>
      </c>
      <c r="X98">
        <f>X$100/5</f>
        <v>18.186</v>
      </c>
      <c r="Y98"/>
      <c r="Z98"/>
      <c r="AA98"/>
      <c r="AB98" s="1" t="str">
        <f>VLOOKUP(T:T,'3店'!$B:$B,1,0)</f>
        <v>Y3060-GK+Y3061+Y3062</v>
      </c>
      <c r="AC98" s="161" t="s">
        <v>1004</v>
      </c>
      <c r="AD98"/>
      <c r="AE98"/>
      <c r="AF98">
        <f>AF$100/5</f>
        <v>20.574</v>
      </c>
      <c r="AG98">
        <f>AG$100/5</f>
        <v>41.346</v>
      </c>
      <c r="AH98"/>
      <c r="AI98"/>
      <c r="AJ98"/>
      <c r="AK98" s="1" t="str">
        <f>VLOOKUP(AC:AC,'3店'!$B:$B,1,0)</f>
        <v>Y3060-GK+Y3061+Y3062</v>
      </c>
      <c r="AL98" t="s">
        <v>1270</v>
      </c>
      <c r="AM98" s="102">
        <v>25.98</v>
      </c>
      <c r="AN98" s="1">
        <f>AM98*$AS$1</f>
        <v>177.963</v>
      </c>
      <c r="AP98" s="29" t="s">
        <v>1055</v>
      </c>
      <c r="AQ98" s="33">
        <v>62.95</v>
      </c>
      <c r="AR98" s="1">
        <f t="shared" si="5"/>
        <v>431.2075</v>
      </c>
      <c r="AT98" s="45" t="s">
        <v>867</v>
      </c>
      <c r="AU98" s="44">
        <v>95.9</v>
      </c>
      <c r="AV98" s="35"/>
      <c r="AW98" s="45" t="s">
        <v>858</v>
      </c>
      <c r="AX98" s="44">
        <v>260.3</v>
      </c>
      <c r="AZ98" s="160" t="s">
        <v>759</v>
      </c>
      <c r="BA98" s="127">
        <v>3.944</v>
      </c>
      <c r="BB98" s="1" t="s">
        <v>430</v>
      </c>
    </row>
    <row r="99" spans="2:54">
      <c r="B99" t="s">
        <v>941</v>
      </c>
      <c r="C99">
        <v>1</v>
      </c>
      <c r="D99" s="1" t="str">
        <f>VLOOKUP(B:B,'3店'!$B:$B,1,0)</f>
        <v>Y3039-BY</v>
      </c>
      <c r="E99" t="s">
        <v>1032</v>
      </c>
      <c r="F99">
        <v>6</v>
      </c>
      <c r="G99" s="1" t="str">
        <f>VLOOKUP(E:E,'3店'!$B:$B,1,0)</f>
        <v>Y3056-NB+Y3057</v>
      </c>
      <c r="H99" t="s">
        <v>1058</v>
      </c>
      <c r="I99">
        <v>14</v>
      </c>
      <c r="J99" s="1" t="str">
        <f>VLOOKUP(H:H,'3店'!$B:$B,1,0)</f>
        <v>Y3079-OR+Y3079</v>
      </c>
      <c r="K99" s="161" t="s">
        <v>1007</v>
      </c>
      <c r="L99"/>
      <c r="M99"/>
      <c r="N99">
        <f>$N$100/5</f>
        <v>4.718</v>
      </c>
      <c r="O99">
        <f>$O$100/5</f>
        <v>10.392</v>
      </c>
      <c r="P99"/>
      <c r="Q99"/>
      <c r="R99"/>
      <c r="S99" s="1" t="str">
        <f>VLOOKUP(K:K,'3店'!$B:$B,1,0)</f>
        <v>Y3060-OR+Y3061+Y3062</v>
      </c>
      <c r="T99" s="161" t="s">
        <v>1007</v>
      </c>
      <c r="U99"/>
      <c r="V99"/>
      <c r="W99">
        <f>W$100/5</f>
        <v>12.652</v>
      </c>
      <c r="X99">
        <f>X$100/5</f>
        <v>18.186</v>
      </c>
      <c r="Y99"/>
      <c r="Z99"/>
      <c r="AA99"/>
      <c r="AB99" s="1" t="str">
        <f>VLOOKUP(T:T,'3店'!$B:$B,1,0)</f>
        <v>Y3060-OR+Y3061+Y3062</v>
      </c>
      <c r="AC99" s="161" t="s">
        <v>1007</v>
      </c>
      <c r="AD99"/>
      <c r="AE99"/>
      <c r="AF99">
        <f>AF$100/5</f>
        <v>20.574</v>
      </c>
      <c r="AG99">
        <f>AG$100/5</f>
        <v>41.346</v>
      </c>
      <c r="AH99"/>
      <c r="AI99"/>
      <c r="AJ99"/>
      <c r="AK99" s="1" t="str">
        <f>VLOOKUP(AC:AC,'3店'!$B:$B,1,0)</f>
        <v>Y3060-OR+Y3061+Y3062</v>
      </c>
      <c r="AL99" t="s">
        <v>1249</v>
      </c>
      <c r="AM99" s="102">
        <v>25.98</v>
      </c>
      <c r="AN99" s="1">
        <f t="shared" ref="AN99:AN137" si="6">AM99*$AS$1</f>
        <v>177.963</v>
      </c>
      <c r="AP99" s="29" t="s">
        <v>1080</v>
      </c>
      <c r="AQ99" s="33">
        <v>49.96</v>
      </c>
      <c r="AR99" s="1">
        <f t="shared" ref="AR99:AR130" si="7">AQ99*$AS$1</f>
        <v>342.226</v>
      </c>
      <c r="AT99" s="45" t="s">
        <v>870</v>
      </c>
      <c r="AU99" s="44">
        <v>1191.9</v>
      </c>
      <c r="AV99" s="35"/>
      <c r="AW99" s="45" t="s">
        <v>861</v>
      </c>
      <c r="AX99" s="44">
        <v>685</v>
      </c>
      <c r="AZ99" s="160" t="s">
        <v>762</v>
      </c>
      <c r="BA99" s="127">
        <v>4.516</v>
      </c>
      <c r="BB99" s="1" t="s">
        <v>430</v>
      </c>
    </row>
    <row r="100" spans="2:54">
      <c r="B100" t="s">
        <v>946</v>
      </c>
      <c r="C100">
        <v>1</v>
      </c>
      <c r="D100" s="1" t="str">
        <f>VLOOKUP(B:B,'3店'!$B:$B,1,0)</f>
        <v>Y3039-GK</v>
      </c>
      <c r="E100" t="s">
        <v>1107</v>
      </c>
      <c r="F100">
        <v>2</v>
      </c>
      <c r="G100" s="1" t="str">
        <f>VLOOKUP(E:E,'3店'!$B:$B,1,0)</f>
        <v>Y3082-BL+Y3083+Y3084</v>
      </c>
      <c r="H100" t="s">
        <v>684</v>
      </c>
      <c r="I100">
        <v>10</v>
      </c>
      <c r="J100" s="1" t="str">
        <f>VLOOKUP(H:H,'3店'!$B:$B,1,0)</f>
        <v>Y03466-DG+E03063</v>
      </c>
      <c r="K100" s="120"/>
      <c r="L100"/>
      <c r="M100"/>
      <c r="N100" s="162">
        <v>23.59</v>
      </c>
      <c r="O100" s="162">
        <v>51.96</v>
      </c>
      <c r="P100"/>
      <c r="Q100"/>
      <c r="R100"/>
      <c r="T100"/>
      <c r="U100"/>
      <c r="V100"/>
      <c r="W100" s="162">
        <v>63.26</v>
      </c>
      <c r="X100" s="162">
        <v>90.93</v>
      </c>
      <c r="Y100"/>
      <c r="Z100"/>
      <c r="AA100"/>
      <c r="AC100"/>
      <c r="AD100"/>
      <c r="AE100"/>
      <c r="AF100" s="162">
        <v>102.87</v>
      </c>
      <c r="AG100" s="162">
        <v>206.73</v>
      </c>
      <c r="AH100"/>
      <c r="AI100"/>
      <c r="AJ100"/>
      <c r="AL100" t="s">
        <v>624</v>
      </c>
      <c r="AM100" s="102">
        <v>12.99</v>
      </c>
      <c r="AN100" s="1">
        <f t="shared" si="6"/>
        <v>88.9815</v>
      </c>
      <c r="AP100" s="29" t="s">
        <v>1190</v>
      </c>
      <c r="AQ100" s="33">
        <v>51.96</v>
      </c>
      <c r="AR100" s="1">
        <f t="shared" si="7"/>
        <v>355.926</v>
      </c>
      <c r="AT100" s="45" t="s">
        <v>873</v>
      </c>
      <c r="AU100" s="44">
        <v>260.3</v>
      </c>
      <c r="AV100" s="35"/>
      <c r="AW100" s="45" t="s">
        <v>864</v>
      </c>
      <c r="AX100" s="44">
        <v>315.1</v>
      </c>
      <c r="AZ100" s="160" t="s">
        <v>765</v>
      </c>
      <c r="BA100" s="127">
        <v>3.268</v>
      </c>
      <c r="BB100" s="1" t="s">
        <v>430</v>
      </c>
    </row>
    <row r="101" spans="2:54">
      <c r="B101" t="s">
        <v>1184</v>
      </c>
      <c r="C101">
        <v>2</v>
      </c>
      <c r="D101" s="1" t="str">
        <f>VLOOKUP(B:B,'3店'!$B:$B,1,0)</f>
        <v>E03375-BL+E03380+E03397-001</v>
      </c>
      <c r="E101" t="s">
        <v>1173</v>
      </c>
      <c r="F101">
        <v>7</v>
      </c>
      <c r="G101" s="1" t="str">
        <f>VLOOKUP(E:E,'3店'!$B:$B,1,0)</f>
        <v>Y3096-BL+Y3097+Y3098</v>
      </c>
      <c r="H101" t="s">
        <v>672</v>
      </c>
      <c r="I101">
        <v>21</v>
      </c>
      <c r="J101" s="1" t="str">
        <f>VLOOKUP(H:H,'3店'!$B:$B,1,0)</f>
        <v>Y03451-NB+Y03478</v>
      </c>
      <c r="AL101" t="s">
        <v>690</v>
      </c>
      <c r="AM101" s="102">
        <v>12.99</v>
      </c>
      <c r="AN101" s="1">
        <f t="shared" si="6"/>
        <v>88.9815</v>
      </c>
      <c r="AP101" s="29" t="s">
        <v>1241</v>
      </c>
      <c r="AQ101" s="33">
        <v>36.97</v>
      </c>
      <c r="AR101" s="1">
        <f t="shared" si="7"/>
        <v>253.2445</v>
      </c>
      <c r="AT101" s="45" t="s">
        <v>876</v>
      </c>
      <c r="AU101" s="44">
        <v>493.2</v>
      </c>
      <c r="AV101" s="35"/>
      <c r="AW101" s="45" t="s">
        <v>867</v>
      </c>
      <c r="AX101" s="44">
        <v>575.4</v>
      </c>
      <c r="AZ101" s="160" t="s">
        <v>807</v>
      </c>
      <c r="BA101" s="127">
        <v>4.238</v>
      </c>
      <c r="BB101" s="1" t="s">
        <v>430</v>
      </c>
    </row>
    <row r="102" spans="2:54">
      <c r="B102" t="s">
        <v>1080</v>
      </c>
      <c r="C102">
        <v>2</v>
      </c>
      <c r="D102" s="1" t="str">
        <f>VLOOKUP(B:B,'3店'!$B:$B,1,0)</f>
        <v>Y3075-GN</v>
      </c>
      <c r="E102" t="s">
        <v>1182</v>
      </c>
      <c r="F102">
        <v>6</v>
      </c>
      <c r="G102" s="1" t="str">
        <f>VLOOKUP(E:E,'3店'!$B:$B,1,0)</f>
        <v>Y3096-OR+Y3097+Y3098</v>
      </c>
      <c r="H102" t="s">
        <v>780</v>
      </c>
      <c r="I102">
        <v>4</v>
      </c>
      <c r="J102" s="1" t="str">
        <f>VLOOKUP(H:H,'3店'!$B:$B,1,0)</f>
        <v>Y3018-TG+Y3019</v>
      </c>
      <c r="AL102" t="s">
        <v>678</v>
      </c>
      <c r="AM102" s="102">
        <v>12.99</v>
      </c>
      <c r="AN102" s="1">
        <f t="shared" si="6"/>
        <v>88.9815</v>
      </c>
      <c r="AP102" s="29" t="s">
        <v>624</v>
      </c>
      <c r="AQ102" s="33">
        <v>40.97</v>
      </c>
      <c r="AR102" s="1">
        <f t="shared" si="7"/>
        <v>280.6445</v>
      </c>
      <c r="AT102" s="45" t="s">
        <v>879</v>
      </c>
      <c r="AU102" s="44">
        <v>438.4</v>
      </c>
      <c r="AV102" s="35"/>
      <c r="AW102" s="45" t="s">
        <v>870</v>
      </c>
      <c r="AX102" s="44">
        <v>876.8</v>
      </c>
      <c r="AZ102" s="160" t="s">
        <v>810</v>
      </c>
      <c r="BA102" s="127">
        <v>5.539</v>
      </c>
      <c r="BB102" s="1" t="s">
        <v>430</v>
      </c>
    </row>
    <row r="103" spans="2:54">
      <c r="B103" t="s">
        <v>1238</v>
      </c>
      <c r="C103">
        <v>1</v>
      </c>
      <c r="D103" s="1" t="str">
        <f>VLOOKUP(B:B,'3店'!$B:$B,1,0)</f>
        <v>Y3108-GN+Y3109</v>
      </c>
      <c r="E103" t="s">
        <v>1176</v>
      </c>
      <c r="F103">
        <v>7</v>
      </c>
      <c r="G103" s="1" t="str">
        <f>VLOOKUP(E:E,'3店'!$B:$B,1,0)</f>
        <v>Y3096-DB+Y3097+Y3098</v>
      </c>
      <c r="H103" t="s">
        <v>849</v>
      </c>
      <c r="I103">
        <v>6</v>
      </c>
      <c r="J103" s="1" t="str">
        <f>VLOOKUP(H:H,'3店'!$B:$B,1,0)</f>
        <v>Y3025-OR+Y3026</v>
      </c>
      <c r="AL103" t="s">
        <v>675</v>
      </c>
      <c r="AM103" s="102">
        <v>12.99</v>
      </c>
      <c r="AN103" s="1">
        <f t="shared" si="6"/>
        <v>88.9815</v>
      </c>
      <c r="AP103" s="29" t="s">
        <v>612</v>
      </c>
      <c r="AQ103" s="33">
        <v>48.96</v>
      </c>
      <c r="AR103" s="1">
        <f t="shared" si="7"/>
        <v>335.376</v>
      </c>
      <c r="AT103" s="45" t="s">
        <v>882</v>
      </c>
      <c r="AU103" s="44">
        <v>95.9</v>
      </c>
      <c r="AV103" s="35"/>
      <c r="AW103" s="45" t="s">
        <v>873</v>
      </c>
      <c r="AX103" s="44">
        <v>164.4</v>
      </c>
      <c r="AZ103" s="160" t="s">
        <v>813</v>
      </c>
      <c r="BA103" s="127">
        <v>3.349</v>
      </c>
      <c r="BB103" s="1" t="s">
        <v>430</v>
      </c>
    </row>
    <row r="104" spans="2:54">
      <c r="B104" t="s">
        <v>672</v>
      </c>
      <c r="C104">
        <v>6</v>
      </c>
      <c r="D104" s="1" t="str">
        <f>VLOOKUP(B:B,'3店'!$B:$B,1,0)</f>
        <v>Y03451-NB+Y03478</v>
      </c>
      <c r="E104" t="s">
        <v>1039</v>
      </c>
      <c r="F104">
        <v>2</v>
      </c>
      <c r="G104" s="1" t="str">
        <f>VLOOKUP(E:E,'3店'!$B:$B,1,0)</f>
        <v>Y3058-GN</v>
      </c>
      <c r="H104" t="s">
        <v>843</v>
      </c>
      <c r="I104">
        <v>6</v>
      </c>
      <c r="J104" s="1" t="str">
        <f>VLOOKUP(H:H,'3店'!$B:$B,1,0)</f>
        <v>Y3025-DG+Y3026</v>
      </c>
      <c r="AL104" t="s">
        <v>663</v>
      </c>
      <c r="AM104" s="102">
        <v>12.99</v>
      </c>
      <c r="AN104" s="1">
        <f t="shared" si="6"/>
        <v>88.9815</v>
      </c>
      <c r="AP104" s="29" t="s">
        <v>699</v>
      </c>
      <c r="AQ104" s="33">
        <v>36.97</v>
      </c>
      <c r="AR104" s="1">
        <f t="shared" si="7"/>
        <v>253.2445</v>
      </c>
      <c r="AT104" s="45" t="s">
        <v>885</v>
      </c>
      <c r="AU104" s="44">
        <v>575.4</v>
      </c>
      <c r="AV104" s="35"/>
      <c r="AW104" s="45" t="s">
        <v>876</v>
      </c>
      <c r="AX104" s="44">
        <v>506.9</v>
      </c>
      <c r="AZ104" s="160" t="s">
        <v>696</v>
      </c>
      <c r="BA104" s="127">
        <v>4.101</v>
      </c>
      <c r="BB104" s="1" t="s">
        <v>430</v>
      </c>
    </row>
    <row r="105" spans="2:54">
      <c r="B105" t="s">
        <v>765</v>
      </c>
      <c r="C105">
        <v>3</v>
      </c>
      <c r="D105" s="1" t="str">
        <f>VLOOKUP(B:B,'3店'!$B:$B,1,0)</f>
        <v>Y3015-OR+Y3016+Y3017</v>
      </c>
      <c r="E105" t="s">
        <v>780</v>
      </c>
      <c r="F105">
        <v>4</v>
      </c>
      <c r="G105" s="1" t="str">
        <f>VLOOKUP(E:E,'3店'!$B:$B,1,0)</f>
        <v>Y3018-TG+Y3019</v>
      </c>
      <c r="H105" t="s">
        <v>1039</v>
      </c>
      <c r="I105">
        <v>5</v>
      </c>
      <c r="J105" s="1" t="str">
        <f>VLOOKUP(H:H,'3店'!$B:$B,1,0)</f>
        <v>Y3058-GN</v>
      </c>
      <c r="AL105" t="s">
        <v>714</v>
      </c>
      <c r="AM105" s="102">
        <v>12.99</v>
      </c>
      <c r="AN105" s="1">
        <f t="shared" si="6"/>
        <v>88.9815</v>
      </c>
      <c r="AP105" s="29" t="s">
        <v>675</v>
      </c>
      <c r="AQ105" s="33">
        <v>36.97</v>
      </c>
      <c r="AR105" s="1">
        <f t="shared" si="7"/>
        <v>253.2445</v>
      </c>
      <c r="AT105" s="45" t="s">
        <v>888</v>
      </c>
      <c r="AU105" s="44">
        <v>54.8</v>
      </c>
      <c r="AV105" s="35"/>
      <c r="AW105" s="45" t="s">
        <v>879</v>
      </c>
      <c r="AX105" s="44">
        <v>465.8</v>
      </c>
      <c r="AZ105" s="160" t="s">
        <v>702</v>
      </c>
      <c r="BA105" s="127">
        <v>5.174</v>
      </c>
      <c r="BB105" s="1" t="s">
        <v>430</v>
      </c>
    </row>
    <row r="106" spans="2:54">
      <c r="B106" t="s">
        <v>594</v>
      </c>
      <c r="C106">
        <v>2</v>
      </c>
      <c r="D106" s="1" t="str">
        <f>VLOOKUP(B:B,'3店'!$B:$B,1,0)</f>
        <v>E03135-or</v>
      </c>
      <c r="E106" t="s">
        <v>852</v>
      </c>
      <c r="F106">
        <v>1</v>
      </c>
      <c r="G106" s="1" t="str">
        <f>VLOOKUP(E:E,'3店'!$B:$B,1,0)</f>
        <v>Y3025-TG+Y3026</v>
      </c>
      <c r="H106" t="s">
        <v>1047</v>
      </c>
      <c r="I106">
        <v>4</v>
      </c>
      <c r="J106" s="1" t="str">
        <f>VLOOKUP(H:H,'3店'!$B:$B,1,0)</f>
        <v>Y3058-TG</v>
      </c>
      <c r="AL106" t="s">
        <v>759</v>
      </c>
      <c r="AM106" s="102">
        <v>12.99</v>
      </c>
      <c r="AN106" s="1">
        <f t="shared" si="6"/>
        <v>88.9815</v>
      </c>
      <c r="AP106" s="29" t="s">
        <v>816</v>
      </c>
      <c r="AQ106" s="33">
        <v>38.97</v>
      </c>
      <c r="AR106" s="1">
        <f t="shared" si="7"/>
        <v>266.9445</v>
      </c>
      <c r="AT106" s="45" t="s">
        <v>891</v>
      </c>
      <c r="AU106" s="44">
        <v>54.8</v>
      </c>
      <c r="AV106" s="35"/>
      <c r="AW106" s="45" t="s">
        <v>882</v>
      </c>
      <c r="AX106" s="44">
        <v>109.6</v>
      </c>
      <c r="AZ106" s="160" t="s">
        <v>705</v>
      </c>
      <c r="BA106" s="127">
        <v>4.425</v>
      </c>
      <c r="BB106" s="1" t="s">
        <v>430</v>
      </c>
    </row>
    <row r="107" spans="2:54">
      <c r="B107" t="s">
        <v>615</v>
      </c>
      <c r="C107">
        <v>4</v>
      </c>
      <c r="D107" s="1" t="str">
        <f>VLOOKUP(B:B,'3店'!$B:$B,1,0)</f>
        <v>E03386-NB+E03268-02</v>
      </c>
      <c r="E107" t="s">
        <v>1047</v>
      </c>
      <c r="F107">
        <v>1</v>
      </c>
      <c r="G107" s="1" t="str">
        <f>VLOOKUP(E:E,'3店'!$B:$B,1,0)</f>
        <v>Y3058-TG</v>
      </c>
      <c r="H107" t="s">
        <v>1067</v>
      </c>
      <c r="I107">
        <v>4</v>
      </c>
      <c r="J107" s="1" t="str">
        <f>VLOOKUP(H:H,'3店'!$B:$B,1,0)</f>
        <v>Y3074-GN</v>
      </c>
      <c r="AL107" t="s">
        <v>774</v>
      </c>
      <c r="AM107" s="102">
        <v>12.99</v>
      </c>
      <c r="AN107" s="1">
        <f t="shared" si="6"/>
        <v>88.9815</v>
      </c>
      <c r="AP107" s="29" t="s">
        <v>813</v>
      </c>
      <c r="AQ107" s="33">
        <v>32.97</v>
      </c>
      <c r="AR107" s="1">
        <f t="shared" si="7"/>
        <v>225.8445</v>
      </c>
      <c r="AT107" s="45" t="s">
        <v>894</v>
      </c>
      <c r="AU107" s="44">
        <v>164.4</v>
      </c>
      <c r="AV107" s="35"/>
      <c r="AW107" s="45" t="s">
        <v>1282</v>
      </c>
      <c r="AX107" s="44">
        <v>137</v>
      </c>
      <c r="AZ107" s="160" t="s">
        <v>699</v>
      </c>
      <c r="BA107" s="127">
        <v>6.808</v>
      </c>
      <c r="BB107" s="1" t="s">
        <v>430</v>
      </c>
    </row>
    <row r="108" spans="2:54">
      <c r="B108" t="s">
        <v>675</v>
      </c>
      <c r="C108">
        <v>1</v>
      </c>
      <c r="D108" s="1" t="str">
        <f>VLOOKUP(B:B,'3店'!$B:$B,1,0)</f>
        <v>Y03451-OR+Y03478</v>
      </c>
      <c r="E108" t="s">
        <v>807</v>
      </c>
      <c r="F108">
        <v>1</v>
      </c>
      <c r="G108" s="1" t="str">
        <f>VLOOKUP(E:E,'3店'!$B:$B,1,0)</f>
        <v>Y3015-BY+Y3016+Y3017</v>
      </c>
      <c r="H108" t="s">
        <v>594</v>
      </c>
      <c r="I108">
        <v>7</v>
      </c>
      <c r="J108" s="1" t="str">
        <f>VLOOKUP(H:H,'3店'!$B:$B,1,0)</f>
        <v>E03135-or</v>
      </c>
      <c r="AL108" t="s">
        <v>777</v>
      </c>
      <c r="AM108" s="102">
        <v>12.99</v>
      </c>
      <c r="AN108" s="1">
        <f t="shared" si="6"/>
        <v>88.9815</v>
      </c>
      <c r="AP108" s="29" t="s">
        <v>849</v>
      </c>
      <c r="AQ108" s="33">
        <v>38.97</v>
      </c>
      <c r="AR108" s="1">
        <f t="shared" si="7"/>
        <v>266.9445</v>
      </c>
      <c r="AT108" s="45" t="s">
        <v>897</v>
      </c>
      <c r="AU108" s="44">
        <v>13.7</v>
      </c>
      <c r="AV108" s="35"/>
      <c r="AW108" s="45" t="s">
        <v>885</v>
      </c>
      <c r="AX108" s="44">
        <v>575.4</v>
      </c>
      <c r="AZ108" s="160" t="s">
        <v>783</v>
      </c>
      <c r="BA108" s="127">
        <v>6.808</v>
      </c>
      <c r="BB108" s="1" t="s">
        <v>430</v>
      </c>
    </row>
    <row r="109" spans="2:54">
      <c r="B109" t="s">
        <v>834</v>
      </c>
      <c r="C109">
        <v>2</v>
      </c>
      <c r="D109" s="1" t="str">
        <f>VLOOKUP(B:B,'3店'!$B:$B,1,0)</f>
        <v>Y3033-OR+Y3034+Y3035</v>
      </c>
      <c r="E109" t="s">
        <v>711</v>
      </c>
      <c r="F109">
        <v>11</v>
      </c>
      <c r="G109" s="1" t="str">
        <f>VLOOKUP(E:E,'3店'!$B:$B,1,0)</f>
        <v>Y03561-NB+Y03562+Y03565</v>
      </c>
      <c r="H109" t="s">
        <v>675</v>
      </c>
      <c r="I109">
        <v>6</v>
      </c>
      <c r="J109" s="1" t="str">
        <f>VLOOKUP(H:H,'3店'!$B:$B,1,0)</f>
        <v>Y03451-OR+Y03478</v>
      </c>
      <c r="AL109" t="s">
        <v>789</v>
      </c>
      <c r="AM109" s="102">
        <v>12.99</v>
      </c>
      <c r="AN109" s="1">
        <f t="shared" si="6"/>
        <v>88.9815</v>
      </c>
      <c r="AP109" s="29" t="s">
        <v>946</v>
      </c>
      <c r="AQ109" s="33">
        <v>24.98</v>
      </c>
      <c r="AR109" s="1">
        <f t="shared" si="7"/>
        <v>171.113</v>
      </c>
      <c r="AT109" s="45" t="s">
        <v>900</v>
      </c>
      <c r="AU109" s="44">
        <v>123.3</v>
      </c>
      <c r="AV109" s="35"/>
      <c r="AW109" s="45" t="s">
        <v>888</v>
      </c>
      <c r="AX109" s="44">
        <v>780.9</v>
      </c>
      <c r="AZ109" s="160" t="s">
        <v>822</v>
      </c>
      <c r="BA109" s="127">
        <v>4.346</v>
      </c>
      <c r="BB109" s="1" t="s">
        <v>430</v>
      </c>
    </row>
    <row r="110" spans="2:54">
      <c r="B110" t="s">
        <v>954</v>
      </c>
      <c r="C110">
        <v>2</v>
      </c>
      <c r="D110" s="1" t="str">
        <f>VLOOKUP(B:B,'3店'!$B:$B,1,0)</f>
        <v>Y3049-BY+Y3050+Y3051</v>
      </c>
      <c r="E110" t="s">
        <v>1184</v>
      </c>
      <c r="F110">
        <v>7</v>
      </c>
      <c r="G110" s="1" t="str">
        <f>VLOOKUP(E:E,'3店'!$B:$B,1,0)</f>
        <v>E03375-BL+E03380+E03397-001</v>
      </c>
      <c r="H110" t="s">
        <v>834</v>
      </c>
      <c r="I110">
        <v>6</v>
      </c>
      <c r="J110" s="1" t="str">
        <f>VLOOKUP(H:H,'3店'!$B:$B,1,0)</f>
        <v>Y3033-OR+Y3034+Y3035</v>
      </c>
      <c r="AL110" t="s">
        <v>810</v>
      </c>
      <c r="AM110" s="102">
        <v>12.99</v>
      </c>
      <c r="AN110" s="1">
        <f t="shared" si="6"/>
        <v>88.9815</v>
      </c>
      <c r="AP110" s="29" t="s">
        <v>1043</v>
      </c>
      <c r="AQ110" s="33">
        <v>31.43</v>
      </c>
      <c r="AR110" s="1">
        <f t="shared" si="7"/>
        <v>215.2955</v>
      </c>
      <c r="AT110" s="45" t="s">
        <v>903</v>
      </c>
      <c r="AU110" s="44">
        <v>68.5</v>
      </c>
      <c r="AV110" s="35"/>
      <c r="AW110" s="45" t="s">
        <v>891</v>
      </c>
      <c r="AX110" s="44">
        <v>589.1</v>
      </c>
      <c r="AZ110" s="160" t="s">
        <v>825</v>
      </c>
      <c r="BA110" s="127">
        <v>3.989</v>
      </c>
      <c r="BB110" s="1" t="s">
        <v>430</v>
      </c>
    </row>
    <row r="111" spans="2:54">
      <c r="B111" t="s">
        <v>699</v>
      </c>
      <c r="C111">
        <v>2</v>
      </c>
      <c r="D111" s="1" t="str">
        <f>VLOOKUP(B:B,'3店'!$B:$B,1,0)</f>
        <v>Y03507-GR+Y03508+Y03509</v>
      </c>
      <c r="E111" t="s">
        <v>708</v>
      </c>
      <c r="F111">
        <v>5</v>
      </c>
      <c r="G111" s="1" t="str">
        <f>VLOOKUP(E:E,'3店'!$B:$B,1,0)</f>
        <v>Y03561-BL+Y03562+Y03565</v>
      </c>
      <c r="H111" t="s">
        <v>852</v>
      </c>
      <c r="I111">
        <v>3</v>
      </c>
      <c r="J111" s="1" t="str">
        <f>VLOOKUP(H:H,'3店'!$B:$B,1,0)</f>
        <v>Y3025-TG+Y3026</v>
      </c>
      <c r="AL111" t="s">
        <v>816</v>
      </c>
      <c r="AM111" s="102">
        <v>12.99</v>
      </c>
      <c r="AN111" s="1">
        <f t="shared" si="6"/>
        <v>88.9815</v>
      </c>
      <c r="AP111" s="29" t="s">
        <v>1045</v>
      </c>
      <c r="AQ111" s="33">
        <v>28.43</v>
      </c>
      <c r="AR111" s="1">
        <f t="shared" si="7"/>
        <v>194.7455</v>
      </c>
      <c r="AT111" s="45" t="s">
        <v>906</v>
      </c>
      <c r="AU111" s="44">
        <v>109.6</v>
      </c>
      <c r="AV111" s="35"/>
      <c r="AW111" s="45" t="s">
        <v>894</v>
      </c>
      <c r="AX111" s="44">
        <v>465.8</v>
      </c>
      <c r="AZ111" s="160" t="s">
        <v>828</v>
      </c>
      <c r="BA111" s="127">
        <v>4.633</v>
      </c>
      <c r="BB111" s="1" t="s">
        <v>430</v>
      </c>
    </row>
    <row r="112" spans="2:54">
      <c r="B112" t="s">
        <v>678</v>
      </c>
      <c r="C112">
        <v>1</v>
      </c>
      <c r="D112" s="1" t="str">
        <f>VLOOKUP(B:B,'3店'!$B:$B,1,0)</f>
        <v>Y03451-TG+Y03478</v>
      </c>
      <c r="E112" t="s">
        <v>939</v>
      </c>
      <c r="F112">
        <v>2</v>
      </c>
      <c r="G112" s="1" t="str">
        <f>VLOOKUP(E:E,'3店'!$B:$B,1,0)</f>
        <v>Y3036-OR</v>
      </c>
      <c r="H112" t="s">
        <v>861</v>
      </c>
      <c r="I112">
        <v>12</v>
      </c>
      <c r="J112" s="1" t="str">
        <f>VLOOKUP(H:H,'3店'!$B:$B,1,0)</f>
        <v>Y3027-BL+Y3028</v>
      </c>
      <c r="AL112" t="s">
        <v>849</v>
      </c>
      <c r="AM112" s="102">
        <v>12.99</v>
      </c>
      <c r="AN112" s="1">
        <f t="shared" si="6"/>
        <v>88.9815</v>
      </c>
      <c r="AP112" s="29" t="s">
        <v>1061</v>
      </c>
      <c r="AQ112" s="33">
        <v>38.97</v>
      </c>
      <c r="AR112" s="1">
        <f t="shared" si="7"/>
        <v>266.9445</v>
      </c>
      <c r="AT112" s="45" t="s">
        <v>909</v>
      </c>
      <c r="AU112" s="44">
        <v>22</v>
      </c>
      <c r="AV112" s="35"/>
      <c r="AW112" s="45" t="s">
        <v>897</v>
      </c>
      <c r="AX112" s="44">
        <v>164.4</v>
      </c>
      <c r="AZ112" s="160" t="s">
        <v>831</v>
      </c>
      <c r="BA112" s="127">
        <v>4.718</v>
      </c>
      <c r="BB112" s="1" t="s">
        <v>430</v>
      </c>
    </row>
    <row r="113" spans="2:54">
      <c r="B113" t="s">
        <v>669</v>
      </c>
      <c r="C113">
        <v>3</v>
      </c>
      <c r="D113" s="1" t="str">
        <f>VLOOKUP(B:B,'3店'!$B:$B,1,0)</f>
        <v>Y03451-DG+Y03478</v>
      </c>
      <c r="E113" t="s">
        <v>714</v>
      </c>
      <c r="F113">
        <v>2</v>
      </c>
      <c r="G113" s="1" t="str">
        <f>VLOOKUP(E:E,'3店'!$B:$B,1,0)</f>
        <v>Y03561-OR+Y03562+Y03565</v>
      </c>
      <c r="H113" t="s">
        <v>873</v>
      </c>
      <c r="I113">
        <v>3</v>
      </c>
      <c r="J113" s="1" t="str">
        <f>VLOOKUP(H:H,'3店'!$B:$B,1,0)</f>
        <v>Y3029-DG+Y3030</v>
      </c>
      <c r="AL113" t="s">
        <v>879</v>
      </c>
      <c r="AM113" s="102">
        <v>12.99</v>
      </c>
      <c r="AN113" s="1">
        <f t="shared" si="6"/>
        <v>88.9815</v>
      </c>
      <c r="AP113" s="29" t="s">
        <v>1232</v>
      </c>
      <c r="AQ113" s="33">
        <v>38.97</v>
      </c>
      <c r="AR113" s="1">
        <f t="shared" si="7"/>
        <v>266.9445</v>
      </c>
      <c r="AT113" s="45" t="s">
        <v>912</v>
      </c>
      <c r="AU113" s="44">
        <v>110</v>
      </c>
      <c r="AV113" s="35"/>
      <c r="AW113" s="45" t="s">
        <v>900</v>
      </c>
      <c r="AX113" s="44">
        <v>383.6</v>
      </c>
      <c r="AZ113" s="160" t="s">
        <v>834</v>
      </c>
      <c r="BA113" s="127">
        <v>5.69</v>
      </c>
      <c r="BB113" s="1" t="s">
        <v>430</v>
      </c>
    </row>
    <row r="114" spans="2:54">
      <c r="B114" t="s">
        <v>810</v>
      </c>
      <c r="C114">
        <v>1</v>
      </c>
      <c r="D114" s="1" t="str">
        <f>VLOOKUP(B:B,'3店'!$B:$B,1,0)</f>
        <v>Y3015-GK+Y3016+Y3017</v>
      </c>
      <c r="E114" t="s">
        <v>1015</v>
      </c>
      <c r="F114">
        <v>4</v>
      </c>
      <c r="G114" s="1" t="str">
        <f>VLOOKUP(E:E,'3店'!$B:$B,1,0)</f>
        <v>Y3054-GY+Y3055</v>
      </c>
      <c r="H114" t="s">
        <v>941</v>
      </c>
      <c r="I114">
        <v>3</v>
      </c>
      <c r="J114" s="1" t="str">
        <f>VLOOKUP(H:H,'3店'!$B:$B,1,0)</f>
        <v>Y3039-BY</v>
      </c>
      <c r="AL114" t="s">
        <v>941</v>
      </c>
      <c r="AM114" s="102">
        <v>12.99</v>
      </c>
      <c r="AN114" s="1">
        <f t="shared" si="6"/>
        <v>88.9815</v>
      </c>
      <c r="AP114" s="29" t="s">
        <v>1238</v>
      </c>
      <c r="AQ114" s="33">
        <v>38.97</v>
      </c>
      <c r="AR114" s="1">
        <f t="shared" si="7"/>
        <v>266.9445</v>
      </c>
      <c r="AT114" s="45" t="s">
        <v>915</v>
      </c>
      <c r="AU114" s="44">
        <v>13.7</v>
      </c>
      <c r="AV114" s="35"/>
      <c r="AW114" s="45" t="s">
        <v>903</v>
      </c>
      <c r="AX114" s="44">
        <v>246.6</v>
      </c>
      <c r="AZ114" s="160" t="s">
        <v>924</v>
      </c>
      <c r="BA114" s="127">
        <v>2.316</v>
      </c>
      <c r="BB114" s="1" t="s">
        <v>430</v>
      </c>
    </row>
    <row r="115" spans="2:54">
      <c r="B115" t="s">
        <v>849</v>
      </c>
      <c r="C115">
        <v>1</v>
      </c>
      <c r="D115" s="1" t="str">
        <f>VLOOKUP(B:B,'3店'!$B:$B,1,0)</f>
        <v>Y3025-OR+Y3026</v>
      </c>
      <c r="E115" t="s">
        <v>1045</v>
      </c>
      <c r="F115">
        <v>3</v>
      </c>
      <c r="G115" s="1" t="str">
        <f>VLOOKUP(E:E,'3店'!$B:$B,1,0)</f>
        <v>Y3058-NB</v>
      </c>
      <c r="H115" t="s">
        <v>935</v>
      </c>
      <c r="I115">
        <v>1</v>
      </c>
      <c r="J115" s="1" t="str">
        <f>VLOOKUP(H:H,'3店'!$B:$B,1,0)</f>
        <v>Y3036-DB</v>
      </c>
      <c r="AL115" t="s">
        <v>939</v>
      </c>
      <c r="AM115" s="102">
        <v>12.99</v>
      </c>
      <c r="AN115" s="1">
        <f t="shared" si="6"/>
        <v>88.9815</v>
      </c>
      <c r="AP115" s="29" t="s">
        <v>678</v>
      </c>
      <c r="AQ115" s="33">
        <v>122.29</v>
      </c>
      <c r="AR115" s="1">
        <f t="shared" si="7"/>
        <v>837.6865</v>
      </c>
      <c r="AT115" s="45" t="s">
        <v>918</v>
      </c>
      <c r="AU115" s="44">
        <v>792</v>
      </c>
      <c r="AV115" s="35"/>
      <c r="AW115" s="45" t="s">
        <v>906</v>
      </c>
      <c r="AX115" s="44">
        <v>356.2</v>
      </c>
      <c r="AZ115" s="160" t="s">
        <v>927</v>
      </c>
      <c r="BA115" s="127">
        <v>2.316</v>
      </c>
      <c r="BB115" s="1" t="s">
        <v>430</v>
      </c>
    </row>
    <row r="116" spans="2:54">
      <c r="B116" t="s">
        <v>879</v>
      </c>
      <c r="C116">
        <v>1</v>
      </c>
      <c r="D116" s="1" t="str">
        <f>VLOOKUP(B:B,'3店'!$B:$B,1,0)</f>
        <v>Y3029-OR+Y3030</v>
      </c>
      <c r="E116" t="s">
        <v>849</v>
      </c>
      <c r="F116">
        <v>3</v>
      </c>
      <c r="G116" s="1" t="str">
        <f>VLOOKUP(E:E,'3店'!$B:$B,1,0)</f>
        <v>Y3025-OR+Y3026</v>
      </c>
      <c r="H116" t="s">
        <v>1032</v>
      </c>
      <c r="I116">
        <v>10</v>
      </c>
      <c r="J116" s="1" t="str">
        <f>VLOOKUP(H:H,'3店'!$B:$B,1,0)</f>
        <v>Y3056-NB+Y3057</v>
      </c>
      <c r="AL116" t="s">
        <v>946</v>
      </c>
      <c r="AM116" s="102">
        <v>12.99</v>
      </c>
      <c r="AN116" s="1">
        <f t="shared" si="6"/>
        <v>88.9815</v>
      </c>
      <c r="AP116" s="29" t="s">
        <v>1283</v>
      </c>
      <c r="AQ116" s="33">
        <v>50</v>
      </c>
      <c r="AR116" s="1">
        <f t="shared" si="7"/>
        <v>342.5</v>
      </c>
      <c r="AT116" s="45" t="s">
        <v>921</v>
      </c>
      <c r="AU116" s="44">
        <v>123.3</v>
      </c>
      <c r="AV116" s="35"/>
      <c r="AW116" s="45" t="s">
        <v>1297</v>
      </c>
      <c r="AX116" s="44">
        <v>352</v>
      </c>
      <c r="AZ116" s="160" t="s">
        <v>1292</v>
      </c>
      <c r="BA116" s="127">
        <v>2.316</v>
      </c>
      <c r="BB116" s="1" t="s">
        <v>430</v>
      </c>
    </row>
    <row r="117" spans="2:54">
      <c r="B117" t="s">
        <v>960</v>
      </c>
      <c r="C117">
        <v>3</v>
      </c>
      <c r="D117" s="1" t="str">
        <f>VLOOKUP(B:B,'3店'!$B:$B,1,0)</f>
        <v>Y3049-GK+Y3050+Y3051</v>
      </c>
      <c r="E117" t="s">
        <v>1080</v>
      </c>
      <c r="F117">
        <v>4</v>
      </c>
      <c r="G117" s="1" t="str">
        <f>VLOOKUP(E:E,'3店'!$B:$B,1,0)</f>
        <v>Y3075-GN</v>
      </c>
      <c r="H117" t="s">
        <v>1043</v>
      </c>
      <c r="I117">
        <v>6</v>
      </c>
      <c r="J117" s="1" t="str">
        <f>VLOOKUP(H:H,'3店'!$B:$B,1,0)</f>
        <v>Y3058-LP</v>
      </c>
      <c r="AL117" t="s">
        <v>978</v>
      </c>
      <c r="AM117" s="102">
        <v>12.99</v>
      </c>
      <c r="AN117" s="1">
        <f t="shared" si="6"/>
        <v>88.9815</v>
      </c>
      <c r="AP117" s="29" t="s">
        <v>714</v>
      </c>
      <c r="AQ117" s="33">
        <v>23.98</v>
      </c>
      <c r="AR117" s="1">
        <f t="shared" si="7"/>
        <v>164.263</v>
      </c>
      <c r="AT117" s="45" t="s">
        <v>924</v>
      </c>
      <c r="AU117" s="44">
        <v>95.9</v>
      </c>
      <c r="AV117" s="35"/>
      <c r="AW117" s="45" t="s">
        <v>909</v>
      </c>
      <c r="AX117" s="44">
        <v>572</v>
      </c>
      <c r="AZ117" s="160" t="s">
        <v>921</v>
      </c>
      <c r="BA117" s="127">
        <v>2.316</v>
      </c>
      <c r="BB117" s="1" t="s">
        <v>430</v>
      </c>
    </row>
    <row r="118" spans="2:54">
      <c r="B118" t="s">
        <v>1039</v>
      </c>
      <c r="C118">
        <v>1</v>
      </c>
      <c r="D118" s="1" t="str">
        <f>VLOOKUP(B:B,'3店'!$B:$B,1,0)</f>
        <v>Y3058-GN</v>
      </c>
      <c r="E118" t="s">
        <v>909</v>
      </c>
      <c r="F118">
        <v>1</v>
      </c>
      <c r="G118" s="1" t="str">
        <f>VLOOKUP(E:E,'3店'!$B:$B,1,0)</f>
        <v>Y3044-DK</v>
      </c>
      <c r="H118" t="s">
        <v>1028</v>
      </c>
      <c r="I118">
        <v>3</v>
      </c>
      <c r="J118" s="1" t="str">
        <f>VLOOKUP(H:H,'3店'!$B:$B,1,0)</f>
        <v>Y3056-GY+Y3057</v>
      </c>
      <c r="AL118" t="s">
        <v>1021</v>
      </c>
      <c r="AM118" s="102">
        <v>10.99</v>
      </c>
      <c r="AN118" s="1">
        <f t="shared" si="6"/>
        <v>75.2815</v>
      </c>
      <c r="AP118" s="29" t="s">
        <v>762</v>
      </c>
      <c r="AQ118" s="33">
        <v>23.98</v>
      </c>
      <c r="AR118" s="1">
        <f t="shared" si="7"/>
        <v>164.263</v>
      </c>
      <c r="AT118" s="45" t="s">
        <v>927</v>
      </c>
      <c r="AU118" s="44">
        <v>109.6</v>
      </c>
      <c r="AV118" s="35"/>
      <c r="AW118" s="45" t="s">
        <v>912</v>
      </c>
      <c r="AX118" s="44">
        <v>616</v>
      </c>
      <c r="AZ118" s="160" t="s">
        <v>897</v>
      </c>
      <c r="BA118" s="127">
        <v>3.891</v>
      </c>
      <c r="BB118" s="1" t="s">
        <v>430</v>
      </c>
    </row>
    <row r="119" spans="2:54">
      <c r="B119" t="s">
        <v>1123</v>
      </c>
      <c r="C119">
        <v>1</v>
      </c>
      <c r="D119" s="1" t="str">
        <f>VLOOKUP(B:B,'3店'!$B:$B,1,0)</f>
        <v>Y3085-DB+Y3086+Y3087</v>
      </c>
      <c r="E119" t="s">
        <v>981</v>
      </c>
      <c r="F119">
        <v>1</v>
      </c>
      <c r="G119" s="1" t="str">
        <f>VLOOKUP(E:E,'3店'!$B:$B,1,0)</f>
        <v>Y3031-LP+Y3032</v>
      </c>
      <c r="H119" t="s">
        <v>1013</v>
      </c>
      <c r="I119">
        <v>3</v>
      </c>
      <c r="J119" s="1" t="str">
        <f>VLOOKUP(H:H,'3店'!$B:$B,1,0)</f>
        <v>Y3054-GN+Y3055</v>
      </c>
      <c r="AL119" t="s">
        <v>1043</v>
      </c>
      <c r="AM119" s="102">
        <v>12.99</v>
      </c>
      <c r="AN119" s="1">
        <f t="shared" si="6"/>
        <v>88.9815</v>
      </c>
      <c r="AP119" s="29" t="s">
        <v>774</v>
      </c>
      <c r="AQ119" s="33">
        <v>23.98</v>
      </c>
      <c r="AR119" s="1">
        <f t="shared" si="7"/>
        <v>164.263</v>
      </c>
      <c r="AT119" s="45" t="s">
        <v>930</v>
      </c>
      <c r="AU119" s="44">
        <v>55.6</v>
      </c>
      <c r="AV119" s="35"/>
      <c r="AW119" s="45" t="s">
        <v>1298</v>
      </c>
      <c r="AX119" s="44">
        <v>396</v>
      </c>
      <c r="AZ119" s="160" t="s">
        <v>900</v>
      </c>
      <c r="BA119" s="127">
        <v>3.891</v>
      </c>
      <c r="BB119" s="1" t="s">
        <v>430</v>
      </c>
    </row>
    <row r="120" spans="2:54">
      <c r="B120" t="s">
        <v>1226</v>
      </c>
      <c r="C120">
        <v>1</v>
      </c>
      <c r="D120" s="1" t="str">
        <f>VLOOKUP(B:B,'3店'!$B:$B,1,0)</f>
        <v>Y3106-GY+Y3107</v>
      </c>
      <c r="E120" t="s">
        <v>1019</v>
      </c>
      <c r="F120">
        <v>1</v>
      </c>
      <c r="G120" s="1" t="str">
        <f>VLOOKUP(E:E,'3店'!$B:$B,1,0)</f>
        <v>Y3054-NB+Y3055</v>
      </c>
      <c r="H120" t="s">
        <v>1019</v>
      </c>
      <c r="I120">
        <v>5</v>
      </c>
      <c r="J120" s="1" t="str">
        <f>VLOOKUP(H:H,'3店'!$B:$B,1,0)</f>
        <v>Y3054-NB+Y3055</v>
      </c>
      <c r="AL120" t="s">
        <v>1039</v>
      </c>
      <c r="AM120" s="102">
        <v>12.99</v>
      </c>
      <c r="AN120" s="1">
        <f t="shared" si="6"/>
        <v>88.9815</v>
      </c>
      <c r="AP120" s="29" t="s">
        <v>783</v>
      </c>
      <c r="AQ120" s="33">
        <v>21.98</v>
      </c>
      <c r="AR120" s="1">
        <f t="shared" si="7"/>
        <v>150.563</v>
      </c>
      <c r="AT120" s="45" t="s">
        <v>933</v>
      </c>
      <c r="AU120" s="44">
        <v>264.1</v>
      </c>
      <c r="AV120" s="35"/>
      <c r="AW120" s="45" t="s">
        <v>915</v>
      </c>
      <c r="AX120" s="44">
        <v>82.2</v>
      </c>
      <c r="AZ120" s="160" t="s">
        <v>903</v>
      </c>
      <c r="BA120" s="127">
        <v>3.891</v>
      </c>
      <c r="BB120" s="1" t="s">
        <v>430</v>
      </c>
    </row>
    <row r="121" spans="2:54">
      <c r="B121" t="s">
        <v>1190</v>
      </c>
      <c r="C121">
        <v>2</v>
      </c>
      <c r="D121" s="1" t="str">
        <f>VLOOKUP(B:B,'3店'!$B:$B,1,0)</f>
        <v>Y3102-BL+Y3103</v>
      </c>
      <c r="E121" t="s">
        <v>738</v>
      </c>
      <c r="F121">
        <v>1</v>
      </c>
      <c r="G121" s="1" t="str">
        <f>VLOOKUP(E:E,'3店'!$B:$B,1,0)</f>
        <v>Y3007-OR+Y3009</v>
      </c>
      <c r="H121" t="s">
        <v>1070</v>
      </c>
      <c r="I121">
        <v>9</v>
      </c>
      <c r="J121" s="1" t="str">
        <f>VLOOKUP(H:H,'3店'!$B:$B,1,0)</f>
        <v>Y3074-GY</v>
      </c>
      <c r="AL121" t="s">
        <v>1047</v>
      </c>
      <c r="AM121" s="102">
        <v>12.99</v>
      </c>
      <c r="AN121" s="1">
        <f t="shared" si="6"/>
        <v>88.9815</v>
      </c>
      <c r="AP121" s="29" t="s">
        <v>810</v>
      </c>
      <c r="AQ121" s="33">
        <v>25.98</v>
      </c>
      <c r="AR121" s="1">
        <f t="shared" si="7"/>
        <v>177.963</v>
      </c>
      <c r="AT121" s="45" t="s">
        <v>935</v>
      </c>
      <c r="AU121" s="44">
        <v>69.5</v>
      </c>
      <c r="AV121" s="35"/>
      <c r="AW121" s="45" t="s">
        <v>1132</v>
      </c>
      <c r="AX121" s="44">
        <v>369.9</v>
      </c>
      <c r="AZ121" s="160" t="s">
        <v>906</v>
      </c>
      <c r="BA121" s="127">
        <v>3.891</v>
      </c>
      <c r="BB121" s="1" t="s">
        <v>430</v>
      </c>
    </row>
    <row r="122" spans="2:54">
      <c r="B122" t="s">
        <v>1220</v>
      </c>
      <c r="C122">
        <v>5</v>
      </c>
      <c r="D122" s="1" t="str">
        <f>VLOOKUP(B:B,'3店'!$B:$B,1,0)</f>
        <v>Y3106-BL+Y3107</v>
      </c>
      <c r="E122" t="s">
        <v>882</v>
      </c>
      <c r="F122">
        <v>1</v>
      </c>
      <c r="G122" s="1" t="str">
        <f>VLOOKUP(E:E,'3店'!$B:$B,1,0)</f>
        <v>Y3029-TG+Y3030</v>
      </c>
      <c r="H122" t="s">
        <v>1075</v>
      </c>
      <c r="I122">
        <v>2</v>
      </c>
      <c r="J122" s="1" t="str">
        <f>VLOOKUP(H:H,'3店'!$B:$B,1,0)</f>
        <v>Y3074-TG</v>
      </c>
      <c r="AL122" t="s">
        <v>1061</v>
      </c>
      <c r="AM122" s="102">
        <v>12.99</v>
      </c>
      <c r="AN122" s="1">
        <f t="shared" si="6"/>
        <v>88.9815</v>
      </c>
      <c r="AP122" s="29" t="s">
        <v>819</v>
      </c>
      <c r="AQ122" s="33">
        <v>23.98</v>
      </c>
      <c r="AR122" s="1">
        <f t="shared" si="7"/>
        <v>164.263</v>
      </c>
      <c r="AT122" s="45" t="s">
        <v>937</v>
      </c>
      <c r="AU122" s="44">
        <v>180.7</v>
      </c>
      <c r="AV122" s="35"/>
      <c r="AW122" s="45" t="s">
        <v>918</v>
      </c>
      <c r="AX122" s="44">
        <v>792</v>
      </c>
      <c r="AZ122" s="160" t="s">
        <v>918</v>
      </c>
      <c r="BA122" s="127">
        <v>2.021</v>
      </c>
      <c r="BB122" s="1" t="s">
        <v>430</v>
      </c>
    </row>
    <row r="123" spans="2:54">
      <c r="B123" t="s">
        <v>1273</v>
      </c>
      <c r="C123">
        <v>1</v>
      </c>
      <c r="D123" s="1" t="str">
        <f>VLOOKUP(B:B,'3店'!$B:$B,1,0)</f>
        <v>Y3095-BL</v>
      </c>
      <c r="E123" t="s">
        <v>612</v>
      </c>
      <c r="F123">
        <v>4</v>
      </c>
      <c r="G123" s="1" t="str">
        <f>VLOOKUP(E:E,'3店'!$B:$B,1,0)</f>
        <v>E03386-BL+E03268-02</v>
      </c>
      <c r="H123" t="s">
        <v>975</v>
      </c>
      <c r="I123">
        <v>3</v>
      </c>
      <c r="J123" s="1" t="str">
        <f>VLOOKUP(H:H,'3店'!$B:$B,1,0)</f>
        <v>Y3046-GK+Y3047+Y3048</v>
      </c>
      <c r="AL123" t="s">
        <v>1085</v>
      </c>
      <c r="AM123" s="102">
        <v>12.99</v>
      </c>
      <c r="AN123" s="1">
        <f t="shared" si="6"/>
        <v>88.9815</v>
      </c>
      <c r="AP123" s="29" t="s">
        <v>879</v>
      </c>
      <c r="AQ123" s="33">
        <v>25.98</v>
      </c>
      <c r="AR123" s="1">
        <f t="shared" si="7"/>
        <v>177.963</v>
      </c>
      <c r="AT123" s="45" t="s">
        <v>939</v>
      </c>
      <c r="AU123" s="44">
        <v>139</v>
      </c>
      <c r="AV123" s="35"/>
      <c r="AW123" s="45" t="s">
        <v>921</v>
      </c>
      <c r="AX123" s="44">
        <v>589.1</v>
      </c>
      <c r="AZ123" s="160" t="s">
        <v>915</v>
      </c>
      <c r="BA123" s="127">
        <v>2.699</v>
      </c>
      <c r="BB123" s="1" t="s">
        <v>430</v>
      </c>
    </row>
    <row r="124" spans="2:54">
      <c r="B124" t="s">
        <v>1135</v>
      </c>
      <c r="C124">
        <v>1</v>
      </c>
      <c r="D124" s="1" t="str">
        <f>VLOOKUP(B:B,'3店'!$B:$B,1,0)</f>
        <v>Y3088-BL</v>
      </c>
      <c r="E124" t="s">
        <v>771</v>
      </c>
      <c r="F124">
        <v>1</v>
      </c>
      <c r="G124" s="1" t="str">
        <f>VLOOKUP(E:E,'3店'!$B:$B,1,0)</f>
        <v>Y3018-DG+Y3019</v>
      </c>
      <c r="H124" t="s">
        <v>669</v>
      </c>
      <c r="I124">
        <v>6</v>
      </c>
      <c r="J124" s="1" t="str">
        <f>VLOOKUP(H:H,'3店'!$B:$B,1,0)</f>
        <v>Y03451-DG+Y03478</v>
      </c>
      <c r="AL124" t="s">
        <v>1087</v>
      </c>
      <c r="AM124" s="102">
        <v>12.99</v>
      </c>
      <c r="AN124" s="1">
        <f t="shared" si="6"/>
        <v>88.9815</v>
      </c>
      <c r="AP124" s="29" t="s">
        <v>941</v>
      </c>
      <c r="AQ124" s="33">
        <v>23.98</v>
      </c>
      <c r="AR124" s="1">
        <f t="shared" si="7"/>
        <v>164.263</v>
      </c>
      <c r="AT124" s="45" t="s">
        <v>941</v>
      </c>
      <c r="AU124" s="44">
        <v>13.9</v>
      </c>
      <c r="AV124" s="35"/>
      <c r="AW124" s="45" t="s">
        <v>924</v>
      </c>
      <c r="AX124" s="44">
        <v>493.2</v>
      </c>
      <c r="AZ124" s="160" t="s">
        <v>1132</v>
      </c>
      <c r="BA124" s="127">
        <v>2.699</v>
      </c>
      <c r="BB124" s="1" t="s">
        <v>430</v>
      </c>
    </row>
    <row r="125" spans="2:54">
      <c r="B125" t="s">
        <v>1041</v>
      </c>
      <c r="C125">
        <v>6</v>
      </c>
      <c r="D125" s="1" t="str">
        <f>VLOOKUP(B:B,'3店'!$B:$B,1,0)</f>
        <v>Y3058-GY</v>
      </c>
      <c r="E125" t="s">
        <v>615</v>
      </c>
      <c r="F125">
        <v>8</v>
      </c>
      <c r="G125" s="1" t="str">
        <f>VLOOKUP(E:E,'3店'!$B:$B,1,0)</f>
        <v>E03386-NB+E03268-02</v>
      </c>
      <c r="H125" t="s">
        <v>939</v>
      </c>
      <c r="I125">
        <v>4</v>
      </c>
      <c r="J125" s="1" t="str">
        <f>VLOOKUP(H:H,'3店'!$B:$B,1,0)</f>
        <v>Y3036-OR</v>
      </c>
      <c r="AL125" t="s">
        <v>1070</v>
      </c>
      <c r="AM125" s="102">
        <v>12.99</v>
      </c>
      <c r="AN125" s="1">
        <f t="shared" si="6"/>
        <v>88.9815</v>
      </c>
      <c r="AP125" s="29" t="s">
        <v>939</v>
      </c>
      <c r="AQ125" s="33">
        <v>23.98</v>
      </c>
      <c r="AR125" s="1">
        <f t="shared" si="7"/>
        <v>164.263</v>
      </c>
      <c r="AT125" s="45" t="s">
        <v>944</v>
      </c>
      <c r="AU125" s="44">
        <v>13.9</v>
      </c>
      <c r="AV125" s="35"/>
      <c r="AW125" s="45" t="s">
        <v>927</v>
      </c>
      <c r="AX125" s="44">
        <v>520.6</v>
      </c>
      <c r="AZ125" s="160" t="s">
        <v>1297</v>
      </c>
      <c r="BA125" s="127">
        <v>3.821</v>
      </c>
      <c r="BB125" s="1" t="s">
        <v>430</v>
      </c>
    </row>
    <row r="126" spans="2:54">
      <c r="B126" t="s">
        <v>1261</v>
      </c>
      <c r="C126">
        <v>5</v>
      </c>
      <c r="D126" s="1" t="str">
        <f>VLOOKUP(B:B,'3店'!$B:$B,1,0)</f>
        <v>Y3111-BL</v>
      </c>
      <c r="E126" t="s">
        <v>861</v>
      </c>
      <c r="F126">
        <v>5</v>
      </c>
      <c r="G126" s="1" t="str">
        <f>VLOOKUP(E:E,'3店'!$B:$B,1,0)</f>
        <v>Y3027-BL+Y3028</v>
      </c>
      <c r="H126" t="s">
        <v>1077</v>
      </c>
      <c r="I126">
        <v>28</v>
      </c>
      <c r="J126" s="1" t="str">
        <f>VLOOKUP(H:H,'3店'!$B:$B,1,0)</f>
        <v>Y3075-BL</v>
      </c>
      <c r="AL126" t="s">
        <v>1123</v>
      </c>
      <c r="AM126" s="102">
        <v>12.99</v>
      </c>
      <c r="AN126" s="1">
        <f t="shared" si="6"/>
        <v>88.9815</v>
      </c>
      <c r="AP126" s="29" t="s">
        <v>975</v>
      </c>
      <c r="AQ126" s="33">
        <v>21.98</v>
      </c>
      <c r="AR126" s="1">
        <f t="shared" si="7"/>
        <v>150.563</v>
      </c>
      <c r="AT126" s="45" t="s">
        <v>946</v>
      </c>
      <c r="AU126" s="44">
        <v>55.6</v>
      </c>
      <c r="AV126" s="35"/>
      <c r="AW126" s="45" t="s">
        <v>1292</v>
      </c>
      <c r="AX126" s="44">
        <v>219.2</v>
      </c>
      <c r="AZ126" s="160" t="s">
        <v>909</v>
      </c>
      <c r="BA126" s="127">
        <v>3.831</v>
      </c>
      <c r="BB126" s="1" t="s">
        <v>430</v>
      </c>
    </row>
    <row r="127" spans="2:54">
      <c r="B127" t="s">
        <v>708</v>
      </c>
      <c r="C127">
        <v>4</v>
      </c>
      <c r="D127" s="1" t="str">
        <f>VLOOKUP(B:B,'3店'!$B:$B,1,0)</f>
        <v>Y03561-BL+Y03562+Y03565</v>
      </c>
      <c r="E127" t="s">
        <v>618</v>
      </c>
      <c r="F127">
        <v>1</v>
      </c>
      <c r="G127" s="1" t="str">
        <f>VLOOKUP(E:E,'3店'!$B:$B,1,0)</f>
        <v>E03386-OR+E03268-02</v>
      </c>
      <c r="H127" t="s">
        <v>1283</v>
      </c>
      <c r="I127">
        <v>7</v>
      </c>
      <c r="J127" s="1" t="e">
        <f>VLOOKUP(H:H,'3店'!$B:$B,1,0)</f>
        <v>#N/A</v>
      </c>
      <c r="AL127" t="s">
        <v>1125</v>
      </c>
      <c r="AM127" s="102">
        <v>12.99</v>
      </c>
      <c r="AN127" s="1">
        <f t="shared" si="6"/>
        <v>88.9815</v>
      </c>
      <c r="AP127" s="29" t="s">
        <v>978</v>
      </c>
      <c r="AQ127" s="33">
        <v>25.98</v>
      </c>
      <c r="AR127" s="1">
        <f>AQ127*$AS$1</f>
        <v>177.963</v>
      </c>
      <c r="AT127" s="45" t="s">
        <v>951</v>
      </c>
      <c r="AU127" s="44">
        <v>2085</v>
      </c>
      <c r="AV127" s="35"/>
      <c r="AW127" s="45" t="s">
        <v>930</v>
      </c>
      <c r="AX127" s="44">
        <v>208.5</v>
      </c>
      <c r="AZ127" s="160" t="s">
        <v>1298</v>
      </c>
      <c r="BA127" s="127">
        <v>3.789</v>
      </c>
      <c r="BB127" s="1" t="s">
        <v>430</v>
      </c>
    </row>
    <row r="128" spans="2:54">
      <c r="B128" t="s">
        <v>1026</v>
      </c>
      <c r="C128">
        <v>2</v>
      </c>
      <c r="D128" s="1" t="str">
        <f>VLOOKUP(B:B,'3店'!$B:$B,1,0)</f>
        <v>Y3056-GN+Y3057</v>
      </c>
      <c r="E128" t="s">
        <v>1153</v>
      </c>
      <c r="F128">
        <v>6</v>
      </c>
      <c r="G128" s="1" t="str">
        <f>VLOOKUP(E:E,'3店'!$B:$B,1,0)</f>
        <v>Y3092-BL+Y3093+Y3094</v>
      </c>
      <c r="H128" t="s">
        <v>1080</v>
      </c>
      <c r="I128">
        <v>7</v>
      </c>
      <c r="J128" s="1" t="str">
        <f>VLOOKUP(H:H,'3店'!$B:$B,1,0)</f>
        <v>Y3075-GN</v>
      </c>
      <c r="AL128" t="s">
        <v>1118</v>
      </c>
      <c r="AM128" s="102">
        <v>12.99</v>
      </c>
      <c r="AN128" s="1">
        <f t="shared" si="6"/>
        <v>88.9815</v>
      </c>
      <c r="AP128" s="29" t="s">
        <v>1021</v>
      </c>
      <c r="AQ128" s="33">
        <v>21.98</v>
      </c>
      <c r="AR128" s="1">
        <f t="shared" ref="AR128:AR172" si="8">AQ128*$AS$1</f>
        <v>150.563</v>
      </c>
      <c r="AT128" s="45" t="s">
        <v>954</v>
      </c>
      <c r="AU128" s="44">
        <v>319.7</v>
      </c>
      <c r="AV128" s="35"/>
      <c r="AW128" s="45" t="s">
        <v>933</v>
      </c>
      <c r="AX128" s="44">
        <v>264.1</v>
      </c>
      <c r="AZ128" s="160" t="s">
        <v>912</v>
      </c>
      <c r="BA128" s="127">
        <v>3.827</v>
      </c>
      <c r="BB128" s="1" t="s">
        <v>430</v>
      </c>
    </row>
    <row r="129" spans="2:54">
      <c r="B129" t="s">
        <v>1205</v>
      </c>
      <c r="C129">
        <v>3</v>
      </c>
      <c r="D129" s="1" t="str">
        <f>VLOOKUP(B:B,'3店'!$B:$B,1,0)</f>
        <v>Y3104-BL+Y3105</v>
      </c>
      <c r="E129" t="s">
        <v>1273</v>
      </c>
      <c r="F129">
        <v>2</v>
      </c>
      <c r="G129" s="1" t="str">
        <f>VLOOKUP(E:E,'3店'!$B:$B,1,0)</f>
        <v>Y3095-BL</v>
      </c>
      <c r="H129" t="s">
        <v>1085</v>
      </c>
      <c r="I129">
        <v>14</v>
      </c>
      <c r="J129" s="1" t="str">
        <f>VLOOKUP(H:H,'3店'!$B:$B,1,0)</f>
        <v>Y3075-NB</v>
      </c>
      <c r="AL129" t="s">
        <v>1182</v>
      </c>
      <c r="AM129" s="102">
        <v>12.99</v>
      </c>
      <c r="AN129" s="1">
        <f t="shared" si="6"/>
        <v>88.9815</v>
      </c>
      <c r="AP129" s="29" t="s">
        <v>1028</v>
      </c>
      <c r="AQ129" s="33">
        <v>18.44</v>
      </c>
      <c r="AR129" s="1">
        <f t="shared" si="8"/>
        <v>126.314</v>
      </c>
      <c r="AT129" s="45" t="s">
        <v>957</v>
      </c>
      <c r="AU129" s="44">
        <v>528.2</v>
      </c>
      <c r="AV129" s="35"/>
      <c r="AW129" s="45" t="s">
        <v>935</v>
      </c>
      <c r="AX129" s="44">
        <v>55.6</v>
      </c>
      <c r="AZ129" s="160" t="s">
        <v>837</v>
      </c>
      <c r="BA129" s="127">
        <v>3.328</v>
      </c>
      <c r="BB129" s="1" t="s">
        <v>430</v>
      </c>
    </row>
    <row r="130" spans="2:54">
      <c r="B130" t="s">
        <v>1270</v>
      </c>
      <c r="C130">
        <v>2</v>
      </c>
      <c r="D130" s="1" t="str">
        <f>VLOOKUP(B:B,'3店'!$B:$B,1,0)</f>
        <v>Y3111-NB</v>
      </c>
      <c r="E130" t="s">
        <v>741</v>
      </c>
      <c r="F130">
        <v>1</v>
      </c>
      <c r="G130" s="1" t="str">
        <f>VLOOKUP(E:E,'3店'!$B:$B,1,0)</f>
        <v>Y3007-TG+Y3009</v>
      </c>
      <c r="H130" t="s">
        <v>1087</v>
      </c>
      <c r="I130">
        <v>2</v>
      </c>
      <c r="J130" s="1" t="str">
        <f>VLOOKUP(H:H,'3店'!$B:$B,1,0)</f>
        <v>Y3075-TG</v>
      </c>
      <c r="AL130" t="s">
        <v>1180</v>
      </c>
      <c r="AM130" s="102">
        <v>12.99</v>
      </c>
      <c r="AN130" s="1">
        <f t="shared" si="6"/>
        <v>88.9815</v>
      </c>
      <c r="AP130" s="29" t="s">
        <v>1039</v>
      </c>
      <c r="AQ130" s="33">
        <v>21.44</v>
      </c>
      <c r="AR130" s="1">
        <f t="shared" si="8"/>
        <v>146.864</v>
      </c>
      <c r="AT130" s="45" t="s">
        <v>960</v>
      </c>
      <c r="AU130" s="44">
        <v>125.1</v>
      </c>
      <c r="AV130" s="35"/>
      <c r="AW130" s="45" t="s">
        <v>937</v>
      </c>
      <c r="AX130" s="44">
        <v>208.5</v>
      </c>
      <c r="AZ130" s="160" t="s">
        <v>1295</v>
      </c>
      <c r="BA130" s="127">
        <v>3.808</v>
      </c>
      <c r="BB130" s="1" t="s">
        <v>430</v>
      </c>
    </row>
    <row r="131" spans="2:54">
      <c r="B131" t="s">
        <v>1249</v>
      </c>
      <c r="C131">
        <v>2</v>
      </c>
      <c r="D131" s="1" t="str">
        <f>VLOOKUP(B:B,'3店'!$B:$B,1,0)</f>
        <v>Y3110-BL</v>
      </c>
      <c r="E131" t="s">
        <v>1087</v>
      </c>
      <c r="F131">
        <v>2</v>
      </c>
      <c r="G131" s="1" t="str">
        <f>VLOOKUP(E:E,'3店'!$B:$B,1,0)</f>
        <v>Y3075-TG</v>
      </c>
      <c r="H131" t="s">
        <v>1082</v>
      </c>
      <c r="I131">
        <v>1</v>
      </c>
      <c r="J131" s="1" t="str">
        <f>VLOOKUP(H:H,'3店'!$B:$B,1,0)</f>
        <v>Y3075-GR</v>
      </c>
      <c r="AL131" t="s">
        <v>1178</v>
      </c>
      <c r="AM131" s="102">
        <v>12.99</v>
      </c>
      <c r="AN131" s="1">
        <f t="shared" si="6"/>
        <v>88.9815</v>
      </c>
      <c r="AP131" s="29" t="s">
        <v>1026</v>
      </c>
      <c r="AQ131" s="33">
        <v>25.98</v>
      </c>
      <c r="AR131" s="1">
        <f t="shared" si="8"/>
        <v>177.963</v>
      </c>
      <c r="AT131" s="45" t="s">
        <v>963</v>
      </c>
      <c r="AU131" s="44">
        <v>319.7</v>
      </c>
      <c r="AV131" s="35"/>
      <c r="AW131" s="45" t="s">
        <v>939</v>
      </c>
      <c r="AX131" s="44">
        <v>41.7</v>
      </c>
      <c r="AZ131" s="160" t="s">
        <v>1296</v>
      </c>
      <c r="BA131" s="127">
        <v>3.79</v>
      </c>
      <c r="BB131" s="1" t="s">
        <v>430</v>
      </c>
    </row>
    <row r="132" spans="2:54">
      <c r="B132" t="s">
        <v>663</v>
      </c>
      <c r="C132">
        <v>1</v>
      </c>
      <c r="D132" s="1" t="str">
        <f>VLOOKUP(B:B,'3店'!$B:$B,1,0)</f>
        <v>Y03450-NB+Y03477</v>
      </c>
      <c r="E132" t="s">
        <v>765</v>
      </c>
      <c r="F132">
        <v>6</v>
      </c>
      <c r="G132" s="1" t="str">
        <f>VLOOKUP(E:E,'3店'!$B:$B,1,0)</f>
        <v>Y3015-OR+Y3016+Y3017</v>
      </c>
      <c r="H132" t="s">
        <v>1123</v>
      </c>
      <c r="I132">
        <v>3</v>
      </c>
      <c r="J132" s="1" t="str">
        <f>VLOOKUP(H:H,'3店'!$B:$B,1,0)</f>
        <v>Y3085-DB+Y3086+Y3087</v>
      </c>
      <c r="AL132" t="s">
        <v>1226</v>
      </c>
      <c r="AM132" s="102">
        <v>12.99</v>
      </c>
      <c r="AN132" s="1">
        <f t="shared" si="6"/>
        <v>88.9815</v>
      </c>
      <c r="AP132" s="29" t="s">
        <v>1087</v>
      </c>
      <c r="AQ132" s="33">
        <v>23.98</v>
      </c>
      <c r="AR132" s="1">
        <f t="shared" si="8"/>
        <v>164.263</v>
      </c>
      <c r="AT132" s="45" t="s">
        <v>966</v>
      </c>
      <c r="AU132" s="44">
        <v>1848.7</v>
      </c>
      <c r="AV132" s="35"/>
      <c r="AW132" s="45" t="s">
        <v>1299</v>
      </c>
      <c r="AX132" s="44">
        <v>13.9</v>
      </c>
      <c r="AZ132" s="160" t="s">
        <v>1300</v>
      </c>
      <c r="BA132" s="127">
        <v>3.809</v>
      </c>
      <c r="BB132" s="1" t="s">
        <v>430</v>
      </c>
    </row>
    <row r="133" spans="2:54">
      <c r="B133" t="s">
        <v>777</v>
      </c>
      <c r="C133">
        <v>1</v>
      </c>
      <c r="D133" s="1" t="str">
        <f>VLOOKUP(B:B,'3店'!$B:$B,1,0)</f>
        <v>Y3018-OR+Y3019</v>
      </c>
      <c r="E133" t="s">
        <v>1075</v>
      </c>
      <c r="F133">
        <v>1</v>
      </c>
      <c r="G133" s="1" t="str">
        <f>VLOOKUP(E:E,'3店'!$B:$B,1,0)</f>
        <v>Y3074-TG</v>
      </c>
      <c r="H133" t="s">
        <v>1118</v>
      </c>
      <c r="I133">
        <v>8</v>
      </c>
      <c r="J133" s="1" t="str">
        <f>VLOOKUP(H:H,'3店'!$B:$B,1,0)</f>
        <v>Y3085-BL+Y3086+Y3087</v>
      </c>
      <c r="AL133" t="s">
        <v>1232</v>
      </c>
      <c r="AM133" s="102">
        <v>12.99</v>
      </c>
      <c r="AN133" s="1">
        <f t="shared" si="6"/>
        <v>88.9815</v>
      </c>
      <c r="AP133" s="29" t="s">
        <v>1070</v>
      </c>
      <c r="AQ133" s="33">
        <v>38.97</v>
      </c>
      <c r="AR133" s="1">
        <f t="shared" si="8"/>
        <v>266.9445</v>
      </c>
      <c r="AT133" s="45" t="s">
        <v>969</v>
      </c>
      <c r="AU133" s="44">
        <v>264.1</v>
      </c>
      <c r="AV133" s="35"/>
      <c r="AW133" s="45" t="s">
        <v>941</v>
      </c>
      <c r="AX133" s="44">
        <v>41.7</v>
      </c>
      <c r="AZ133" s="160" t="s">
        <v>840</v>
      </c>
      <c r="BA133" s="127">
        <v>3.333</v>
      </c>
      <c r="BB133" s="1" t="s">
        <v>430</v>
      </c>
    </row>
    <row r="134" spans="2:54">
      <c r="B134" t="s">
        <v>789</v>
      </c>
      <c r="C134">
        <v>1</v>
      </c>
      <c r="D134" s="1" t="str">
        <f>VLOOKUP(B:B,'3店'!$B:$B,1,0)</f>
        <v>Y03742-DG+Y03743</v>
      </c>
      <c r="E134" t="s">
        <v>783</v>
      </c>
      <c r="F134">
        <v>2</v>
      </c>
      <c r="G134" s="1" t="str">
        <f>VLOOKUP(E:E,'3店'!$B:$B,1,0)</f>
        <v>Y03507-DN+Y03508+Y03509</v>
      </c>
      <c r="H134" t="s">
        <v>1015</v>
      </c>
      <c r="I134">
        <v>5</v>
      </c>
      <c r="J134" s="1" t="str">
        <f>VLOOKUP(H:H,'3店'!$B:$B,1,0)</f>
        <v>Y3054-GY+Y3055</v>
      </c>
      <c r="AL134" t="s">
        <v>1241</v>
      </c>
      <c r="AM134" s="102">
        <v>0</v>
      </c>
      <c r="AN134" s="1">
        <f t="shared" si="6"/>
        <v>0</v>
      </c>
      <c r="AP134" s="29" t="s">
        <v>1123</v>
      </c>
      <c r="AQ134" s="33">
        <v>25.98</v>
      </c>
      <c r="AR134" s="1">
        <f t="shared" si="8"/>
        <v>177.963</v>
      </c>
      <c r="AT134" s="45" t="s">
        <v>972</v>
      </c>
      <c r="AU134" s="44">
        <v>973</v>
      </c>
      <c r="AV134" s="35"/>
      <c r="AW134" s="45" t="s">
        <v>944</v>
      </c>
      <c r="AX134" s="44">
        <v>27.8</v>
      </c>
      <c r="AZ134" s="160" t="s">
        <v>843</v>
      </c>
      <c r="BA134" s="127">
        <v>2.147</v>
      </c>
      <c r="BB134" s="1" t="s">
        <v>430</v>
      </c>
    </row>
    <row r="135" spans="2:54">
      <c r="B135" t="s">
        <v>1047</v>
      </c>
      <c r="C135">
        <v>1</v>
      </c>
      <c r="D135" s="1" t="str">
        <f>VLOOKUP(B:B,'3店'!$B:$B,1,0)</f>
        <v>Y3058-TG</v>
      </c>
      <c r="E135" t="s">
        <v>834</v>
      </c>
      <c r="F135">
        <v>4</v>
      </c>
      <c r="G135" s="1" t="str">
        <f>VLOOKUP(E:E,'3店'!$B:$B,1,0)</f>
        <v>Y3033-OR+Y3034+Y3035</v>
      </c>
      <c r="H135" t="s">
        <v>1295</v>
      </c>
      <c r="I135">
        <v>1</v>
      </c>
      <c r="J135" s="1" t="e">
        <f>VLOOKUP(H:H,'3店'!$B:$B,1,0)</f>
        <v>#N/A</v>
      </c>
      <c r="AL135" t="s">
        <v>1238</v>
      </c>
      <c r="AM135" s="102">
        <v>12.99</v>
      </c>
      <c r="AN135" s="1">
        <f t="shared" si="6"/>
        <v>88.9815</v>
      </c>
      <c r="AP135" s="29" t="s">
        <v>1107</v>
      </c>
      <c r="AQ135" s="33">
        <v>23.98</v>
      </c>
      <c r="AR135" s="1">
        <f t="shared" si="8"/>
        <v>164.263</v>
      </c>
      <c r="AT135" s="45" t="s">
        <v>975</v>
      </c>
      <c r="AU135" s="44">
        <v>319.7</v>
      </c>
      <c r="AV135" s="35"/>
      <c r="AW135" s="45" t="s">
        <v>946</v>
      </c>
      <c r="AX135" s="44">
        <v>111.2</v>
      </c>
      <c r="AZ135" s="160" t="s">
        <v>846</v>
      </c>
      <c r="BA135" s="127">
        <v>2.876</v>
      </c>
      <c r="BB135" s="1" t="s">
        <v>430</v>
      </c>
    </row>
    <row r="136" spans="2:54">
      <c r="B136" t="s">
        <v>1125</v>
      </c>
      <c r="C136">
        <v>1</v>
      </c>
      <c r="D136" s="1" t="str">
        <f>VLOOKUP(B:B,'3店'!$B:$B,1,0)</f>
        <v>Y3085-GK+Y3086+Y3087</v>
      </c>
      <c r="E136" t="s">
        <v>1067</v>
      </c>
      <c r="F136">
        <v>1</v>
      </c>
      <c r="G136" s="1" t="str">
        <f>VLOOKUP(E:E,'3店'!$B:$B,1,0)</f>
        <v>Y3074-GN</v>
      </c>
      <c r="H136" t="s">
        <v>981</v>
      </c>
      <c r="I136">
        <v>3</v>
      </c>
      <c r="J136" s="1" t="str">
        <f>VLOOKUP(H:H,'3店'!$B:$B,1,0)</f>
        <v>Y3031-LP+Y3032</v>
      </c>
      <c r="AL136" t="s">
        <v>1252</v>
      </c>
      <c r="AM136" s="102">
        <v>12.99</v>
      </c>
      <c r="AN136" s="1">
        <f t="shared" si="6"/>
        <v>88.9815</v>
      </c>
      <c r="AP136" s="29" t="s">
        <v>1118</v>
      </c>
      <c r="AQ136" s="33">
        <v>25.98</v>
      </c>
      <c r="AR136" s="1">
        <f t="shared" si="8"/>
        <v>177.963</v>
      </c>
      <c r="AT136" s="45" t="s">
        <v>978</v>
      </c>
      <c r="AU136" s="44">
        <v>569.9</v>
      </c>
      <c r="AV136" s="35"/>
      <c r="AW136" s="45" t="s">
        <v>951</v>
      </c>
      <c r="AX136" s="44">
        <v>1153.7</v>
      </c>
      <c r="AZ136" s="160" t="s">
        <v>849</v>
      </c>
      <c r="BA136" s="127">
        <v>2.071</v>
      </c>
      <c r="BB136" s="1" t="s">
        <v>430</v>
      </c>
    </row>
    <row r="137" spans="2:54">
      <c r="B137" t="s">
        <v>1118</v>
      </c>
      <c r="C137">
        <v>1</v>
      </c>
      <c r="D137" s="1" t="str">
        <f>VLOOKUP(B:B,'3店'!$B:$B,1,0)</f>
        <v>Y3085-BL+Y3086+Y3087</v>
      </c>
      <c r="E137" t="s">
        <v>1135</v>
      </c>
      <c r="F137">
        <v>2</v>
      </c>
      <c r="G137" s="1" t="str">
        <f>VLOOKUP(E:E,'3店'!$B:$B,1,0)</f>
        <v>Y3088-BL</v>
      </c>
      <c r="H137" t="s">
        <v>933</v>
      </c>
      <c r="I137">
        <v>1</v>
      </c>
      <c r="J137" s="1" t="str">
        <f>VLOOKUP(H:H,'3店'!$B:$B,1,0)</f>
        <v>Y3036-BY</v>
      </c>
      <c r="AL137" t="s">
        <v>1267</v>
      </c>
      <c r="AM137" s="102">
        <v>12.99</v>
      </c>
      <c r="AN137" s="1">
        <f t="shared" si="6"/>
        <v>88.9815</v>
      </c>
      <c r="AP137" s="29" t="s">
        <v>1205</v>
      </c>
      <c r="AQ137" s="33">
        <v>38.97</v>
      </c>
      <c r="AR137" s="1">
        <f t="shared" si="8"/>
        <v>266.9445</v>
      </c>
      <c r="AT137" s="45" t="s">
        <v>981</v>
      </c>
      <c r="AU137" s="44">
        <v>287.7</v>
      </c>
      <c r="AV137" s="35"/>
      <c r="AW137" s="45" t="s">
        <v>954</v>
      </c>
      <c r="AX137" s="44">
        <v>361.4</v>
      </c>
      <c r="AZ137" s="160" t="s">
        <v>852</v>
      </c>
      <c r="BA137" s="127">
        <v>2.822</v>
      </c>
      <c r="BB137" s="1" t="s">
        <v>430</v>
      </c>
    </row>
    <row r="138" spans="2:54">
      <c r="B138" t="s">
        <v>1180</v>
      </c>
      <c r="C138">
        <v>1</v>
      </c>
      <c r="D138" s="1" t="str">
        <f>VLOOKUP(B:B,'3店'!$B:$B,1,0)</f>
        <v>Y3096-BY+Y3097+Y3098</v>
      </c>
      <c r="E138" t="s">
        <v>1235</v>
      </c>
      <c r="F138">
        <v>27</v>
      </c>
      <c r="G138" s="1" t="str">
        <f>VLOOKUP(E:E,'3店'!$B:$B,1,0)</f>
        <v>Y3108-BL+Y3109</v>
      </c>
      <c r="H138" t="s">
        <v>738</v>
      </c>
      <c r="I138">
        <v>5</v>
      </c>
      <c r="J138" s="1" t="str">
        <f>VLOOKUP(H:H,'3店'!$B:$B,1,0)</f>
        <v>Y3007-OR+Y3009</v>
      </c>
      <c r="AL138" t="s">
        <v>1153</v>
      </c>
      <c r="AM138" s="163">
        <v>111.96</v>
      </c>
      <c r="AN138" s="1">
        <f>AM138*4.9</f>
        <v>548.604</v>
      </c>
      <c r="AP138" s="29" t="s">
        <v>1226</v>
      </c>
      <c r="AQ138" s="33">
        <v>23.98</v>
      </c>
      <c r="AR138" s="1">
        <f t="shared" si="8"/>
        <v>164.263</v>
      </c>
      <c r="AT138" s="45" t="s">
        <v>984</v>
      </c>
      <c r="AU138" s="44">
        <v>178.1</v>
      </c>
      <c r="AV138" s="35"/>
      <c r="AW138" s="45" t="s">
        <v>957</v>
      </c>
      <c r="AX138" s="44">
        <v>611.6</v>
      </c>
      <c r="AZ138" s="160" t="s">
        <v>861</v>
      </c>
      <c r="BA138" s="127">
        <v>3.654</v>
      </c>
      <c r="BB138" s="1" t="s">
        <v>430</v>
      </c>
    </row>
    <row r="139" spans="2:54">
      <c r="B139" t="s">
        <v>1178</v>
      </c>
      <c r="C139">
        <v>1</v>
      </c>
      <c r="D139" s="1" t="str">
        <f>VLOOKUP(B:B,'3店'!$B:$B,1,0)</f>
        <v>Y3096-GK+Y3097+Y3098</v>
      </c>
      <c r="E139" t="s">
        <v>1241</v>
      </c>
      <c r="F139">
        <v>4</v>
      </c>
      <c r="G139" s="1" t="str">
        <f>VLOOKUP(E:E,'3店'!$B:$B,1,0)</f>
        <v>Y3108-GY+Y3109</v>
      </c>
      <c r="H139" t="s">
        <v>909</v>
      </c>
      <c r="I139">
        <v>2</v>
      </c>
      <c r="J139" s="1" t="str">
        <f>VLOOKUP(H:H,'3店'!$B:$B,1,0)</f>
        <v>Y3044-DK</v>
      </c>
      <c r="AL139" t="s">
        <v>750</v>
      </c>
      <c r="AM139" s="163">
        <v>29.63</v>
      </c>
      <c r="AN139" s="1">
        <f t="shared" ref="AN139:AN146" si="9">AM139*4.9</f>
        <v>145.187</v>
      </c>
      <c r="AP139" s="29" t="s">
        <v>1270</v>
      </c>
      <c r="AQ139" s="33">
        <v>25.98</v>
      </c>
      <c r="AR139" s="1">
        <f t="shared" si="8"/>
        <v>177.963</v>
      </c>
      <c r="AT139" s="45" t="s">
        <v>986</v>
      </c>
      <c r="AU139" s="44">
        <v>150.7</v>
      </c>
      <c r="AV139" s="35"/>
      <c r="AW139" s="45" t="s">
        <v>960</v>
      </c>
      <c r="AX139" s="44">
        <v>152.9</v>
      </c>
      <c r="AZ139" s="160" t="s">
        <v>864</v>
      </c>
      <c r="BA139" s="127">
        <v>2.183</v>
      </c>
      <c r="BB139" s="1" t="s">
        <v>430</v>
      </c>
    </row>
    <row r="140" spans="2:54">
      <c r="B140" t="s">
        <v>1252</v>
      </c>
      <c r="C140">
        <v>1</v>
      </c>
      <c r="D140" s="1" t="str">
        <f>VLOOKUP(B:B,'3店'!$B:$B,1,0)</f>
        <v>Y3110-GN</v>
      </c>
      <c r="E140" t="s">
        <v>1021</v>
      </c>
      <c r="F140">
        <v>2</v>
      </c>
      <c r="G140" s="1" t="str">
        <f>VLOOKUP(E:E,'3店'!$B:$B,1,0)</f>
        <v>Y3054-TG+Y3055</v>
      </c>
      <c r="H140" t="s">
        <v>1132</v>
      </c>
      <c r="I140">
        <v>2</v>
      </c>
      <c r="J140" s="1" t="str">
        <f>VLOOKUP(H:H,'3店'!$B:$B,1,0)</f>
        <v>Y3043-BL</v>
      </c>
      <c r="AL140" t="s">
        <v>1129</v>
      </c>
      <c r="AM140" s="163">
        <v>29.63</v>
      </c>
      <c r="AN140" s="1">
        <f t="shared" si="9"/>
        <v>145.187</v>
      </c>
      <c r="AP140" s="29" t="s">
        <v>1249</v>
      </c>
      <c r="AQ140" s="33">
        <v>25.98</v>
      </c>
      <c r="AR140" s="1">
        <f t="shared" si="8"/>
        <v>177.963</v>
      </c>
      <c r="AT140" s="45" t="s">
        <v>989</v>
      </c>
      <c r="AU140" s="44">
        <v>328.8</v>
      </c>
      <c r="AV140" s="35"/>
      <c r="AW140" s="45" t="s">
        <v>963</v>
      </c>
      <c r="AX140" s="44">
        <v>444.8</v>
      </c>
      <c r="AZ140" s="160" t="s">
        <v>855</v>
      </c>
      <c r="BA140" s="127">
        <v>2.182</v>
      </c>
      <c r="BB140" s="1" t="s">
        <v>430</v>
      </c>
    </row>
    <row r="141" spans="2:54">
      <c r="B141" t="s">
        <v>1267</v>
      </c>
      <c r="C141">
        <v>1</v>
      </c>
      <c r="D141" s="1" t="str">
        <f>VLOOKUP(B:B,'3店'!$B:$B,1,0)</f>
        <v>Y3111-GR</v>
      </c>
      <c r="E141" t="s">
        <v>1244</v>
      </c>
      <c r="F141">
        <v>1</v>
      </c>
      <c r="G141" s="1" t="str">
        <f>VLOOKUP(E:E,'3店'!$B:$B,1,0)</f>
        <v>Y3108-NB+Y3109</v>
      </c>
      <c r="H141" t="s">
        <v>1026</v>
      </c>
      <c r="I141">
        <v>3</v>
      </c>
      <c r="J141" s="1" t="str">
        <f>VLOOKUP(H:H,'3店'!$B:$B,1,0)</f>
        <v>Y3056-GN+Y3057</v>
      </c>
      <c r="AL141" t="s">
        <v>969</v>
      </c>
      <c r="AM141" s="163">
        <v>29.92</v>
      </c>
      <c r="AN141" s="1">
        <f t="shared" si="9"/>
        <v>146.608</v>
      </c>
      <c r="AP141" s="29" t="s">
        <v>618</v>
      </c>
      <c r="AQ141" s="33">
        <v>11.99</v>
      </c>
      <c r="AR141" s="1">
        <f t="shared" si="8"/>
        <v>82.1315</v>
      </c>
      <c r="AT141" s="45" t="s">
        <v>991</v>
      </c>
      <c r="AU141" s="44">
        <v>315.1</v>
      </c>
      <c r="AV141" s="35"/>
      <c r="AW141" s="45" t="s">
        <v>966</v>
      </c>
      <c r="AX141" s="44">
        <v>2363</v>
      </c>
      <c r="AZ141" s="160" t="s">
        <v>867</v>
      </c>
      <c r="BA141" s="127">
        <v>2.183</v>
      </c>
      <c r="BB141" s="1" t="s">
        <v>430</v>
      </c>
    </row>
    <row r="142" spans="2:54">
      <c r="B142" t="s">
        <v>1129</v>
      </c>
      <c r="C142">
        <v>1</v>
      </c>
      <c r="D142" s="1" t="str">
        <f>VLOOKUP(B:B,'3店'!$B:$B,1,0)</f>
        <v>Y3022-BL+Y3023+Y3024</v>
      </c>
      <c r="E142" t="s">
        <v>1232</v>
      </c>
      <c r="F142">
        <v>3</v>
      </c>
      <c r="G142" s="1" t="str">
        <f>VLOOKUP(E:E,'3店'!$B:$B,1,0)</f>
        <v>Y3108-BG+Y3109</v>
      </c>
      <c r="H142" t="s">
        <v>1107</v>
      </c>
      <c r="I142">
        <v>2</v>
      </c>
      <c r="J142" s="1" t="str">
        <f>VLOOKUP(H:H,'3店'!$B:$B,1,0)</f>
        <v>Y3082-BL+Y3083+Y3084</v>
      </c>
      <c r="AL142" t="s">
        <v>1273</v>
      </c>
      <c r="AM142" s="163">
        <v>27.99</v>
      </c>
      <c r="AN142" s="1">
        <f t="shared" si="9"/>
        <v>137.151</v>
      </c>
      <c r="AP142" s="29" t="s">
        <v>663</v>
      </c>
      <c r="AQ142" s="33">
        <v>12.99</v>
      </c>
      <c r="AR142" s="1">
        <f t="shared" si="8"/>
        <v>88.9815</v>
      </c>
      <c r="AT142" s="45" t="s">
        <v>993</v>
      </c>
      <c r="AU142" s="44">
        <v>178.1</v>
      </c>
      <c r="AV142" s="35"/>
      <c r="AW142" s="45" t="s">
        <v>969</v>
      </c>
      <c r="AX142" s="44">
        <v>278</v>
      </c>
      <c r="AZ142" s="160" t="s">
        <v>858</v>
      </c>
      <c r="BA142" s="127">
        <v>2.183</v>
      </c>
      <c r="BB142" s="1" t="s">
        <v>430</v>
      </c>
    </row>
    <row r="143" spans="2:54">
      <c r="B143" t="s">
        <v>969</v>
      </c>
      <c r="C143">
        <v>1</v>
      </c>
      <c r="D143" s="1" t="str">
        <f>VLOOKUP(B:B,'3店'!$B:$B,1,0)</f>
        <v>Y3046-BY+Y3047+Y3048</v>
      </c>
      <c r="E143" t="s">
        <v>941</v>
      </c>
      <c r="F143">
        <v>2</v>
      </c>
      <c r="G143" s="1" t="str">
        <f>VLOOKUP(E:E,'3店'!$B:$B,1,0)</f>
        <v>Y3039-BY</v>
      </c>
      <c r="H143" t="s">
        <v>1173</v>
      </c>
      <c r="I143">
        <v>15</v>
      </c>
      <c r="J143" s="1" t="str">
        <f>VLOOKUP(H:H,'3店'!$B:$B,1,0)</f>
        <v>Y3096-BL+Y3097+Y3098</v>
      </c>
      <c r="AL143" t="s">
        <v>1135</v>
      </c>
      <c r="AM143" s="163">
        <v>15.99</v>
      </c>
      <c r="AN143" s="1">
        <f t="shared" si="9"/>
        <v>78.351</v>
      </c>
      <c r="AP143" s="29" t="s">
        <v>738</v>
      </c>
      <c r="AQ143" s="33">
        <v>0</v>
      </c>
      <c r="AR143" s="1">
        <f t="shared" si="8"/>
        <v>0</v>
      </c>
      <c r="AT143" s="45" t="s">
        <v>995</v>
      </c>
      <c r="AU143" s="44">
        <v>3697.4</v>
      </c>
      <c r="AV143" s="35"/>
      <c r="AW143" s="45" t="s">
        <v>972</v>
      </c>
      <c r="AX143" s="44">
        <v>1542.9</v>
      </c>
      <c r="AZ143" s="160" t="s">
        <v>1301</v>
      </c>
      <c r="BA143" s="127">
        <v>10.394</v>
      </c>
      <c r="BB143" s="1" t="s">
        <v>430</v>
      </c>
    </row>
    <row r="144" spans="2:54">
      <c r="B144" t="s">
        <v>1162</v>
      </c>
      <c r="C144">
        <v>1</v>
      </c>
      <c r="D144" s="1" t="str">
        <f>VLOOKUP(B:B,'3店'!$B:$B,1,0)</f>
        <v>Y3092-OR+Y3093+Y3094</v>
      </c>
      <c r="E144" t="s">
        <v>1238</v>
      </c>
      <c r="F144">
        <v>3</v>
      </c>
      <c r="G144" s="1" t="str">
        <f>VLOOKUP(E:E,'3店'!$B:$B,1,0)</f>
        <v>Y3108-GN+Y3109</v>
      </c>
      <c r="H144" t="s">
        <v>1182</v>
      </c>
      <c r="I144">
        <v>14</v>
      </c>
      <c r="J144" s="1" t="str">
        <f>VLOOKUP(H:H,'3店'!$B:$B,1,0)</f>
        <v>Y3096-OR+Y3097+Y3098</v>
      </c>
      <c r="AL144" t="s">
        <v>1162</v>
      </c>
      <c r="AM144" s="163">
        <v>27.99</v>
      </c>
      <c r="AN144" s="1">
        <f t="shared" si="9"/>
        <v>137.151</v>
      </c>
      <c r="AP144" s="29" t="s">
        <v>741</v>
      </c>
      <c r="AQ144" s="33">
        <v>9.33</v>
      </c>
      <c r="AR144" s="1">
        <f t="shared" si="8"/>
        <v>63.9105</v>
      </c>
      <c r="AT144" s="45" t="s">
        <v>998</v>
      </c>
      <c r="AU144" s="44">
        <v>931.3</v>
      </c>
      <c r="AV144" s="35"/>
      <c r="AW144" s="45" t="s">
        <v>975</v>
      </c>
      <c r="AX144" s="44">
        <v>611.6</v>
      </c>
      <c r="AZ144" s="160" t="s">
        <v>989</v>
      </c>
      <c r="BA144" s="127">
        <v>10.394</v>
      </c>
      <c r="BB144" s="1" t="s">
        <v>430</v>
      </c>
    </row>
    <row r="145" spans="2:54">
      <c r="B145" t="s">
        <v>1158</v>
      </c>
      <c r="C145">
        <v>1</v>
      </c>
      <c r="D145" s="1" t="str">
        <f>VLOOKUP(B:B,'3店'!$B:$B,1,0)</f>
        <v>Y3092-DB+Y3093+Y3094</v>
      </c>
      <c r="E145" t="s">
        <v>1132</v>
      </c>
      <c r="F145">
        <v>1</v>
      </c>
      <c r="G145" s="1" t="str">
        <f>VLOOKUP(E:E,'3店'!$B:$B,1,0)</f>
        <v>Y3043-BL</v>
      </c>
      <c r="H145" t="s">
        <v>1176</v>
      </c>
      <c r="I145">
        <v>12</v>
      </c>
      <c r="J145" s="1" t="str">
        <f>VLOOKUP(H:H,'3店'!$B:$B,1,0)</f>
        <v>Y3096-DB+Y3097+Y3098</v>
      </c>
      <c r="AL145" t="s">
        <v>1158</v>
      </c>
      <c r="AM145" s="163">
        <v>27.99</v>
      </c>
      <c r="AN145" s="1">
        <f t="shared" si="9"/>
        <v>137.151</v>
      </c>
      <c r="AP145" s="29" t="s">
        <v>771</v>
      </c>
      <c r="AQ145" s="33">
        <v>12.99</v>
      </c>
      <c r="AR145" s="1">
        <f t="shared" si="8"/>
        <v>88.9815</v>
      </c>
      <c r="AT145" s="45" t="s">
        <v>1001</v>
      </c>
      <c r="AU145" s="44">
        <v>834</v>
      </c>
      <c r="AV145" s="35"/>
      <c r="AW145" s="45" t="s">
        <v>978</v>
      </c>
      <c r="AX145" s="44">
        <v>1112</v>
      </c>
      <c r="AZ145" s="160" t="s">
        <v>991</v>
      </c>
      <c r="BA145" s="127">
        <v>10.394</v>
      </c>
      <c r="BB145" s="1" t="s">
        <v>430</v>
      </c>
    </row>
    <row r="146" spans="2:54">
      <c r="B146" t="s">
        <v>1167</v>
      </c>
      <c r="C146">
        <v>1</v>
      </c>
      <c r="D146" s="1" t="str">
        <f>VLOOKUP(B:B,'3店'!$B:$B,1,0)</f>
        <v>Y3095-GR</v>
      </c>
      <c r="E146" t="s">
        <v>1190</v>
      </c>
      <c r="F146">
        <v>4</v>
      </c>
      <c r="G146" s="1" t="str">
        <f>VLOOKUP(E:E,'3店'!$B:$B,1,0)</f>
        <v>Y3102-BL+Y3103</v>
      </c>
      <c r="H146" t="s">
        <v>1180</v>
      </c>
      <c r="I146">
        <v>3</v>
      </c>
      <c r="J146" s="1" t="str">
        <f>VLOOKUP(H:H,'3店'!$B:$B,1,0)</f>
        <v>Y3096-BY+Y3097+Y3098</v>
      </c>
      <c r="AL146" t="s">
        <v>1167</v>
      </c>
      <c r="AM146" s="163">
        <v>27.99</v>
      </c>
      <c r="AN146" s="1">
        <f t="shared" si="9"/>
        <v>137.151</v>
      </c>
      <c r="AP146" s="29" t="s">
        <v>777</v>
      </c>
      <c r="AQ146" s="33">
        <v>12.99</v>
      </c>
      <c r="AR146" s="1">
        <f t="shared" si="8"/>
        <v>88.9815</v>
      </c>
      <c r="AT146" s="45" t="s">
        <v>1004</v>
      </c>
      <c r="AU146" s="44">
        <v>736.7</v>
      </c>
      <c r="AV146" s="35"/>
      <c r="AW146" s="45" t="s">
        <v>981</v>
      </c>
      <c r="AX146" s="44">
        <v>191.8</v>
      </c>
      <c r="AZ146" s="160" t="s">
        <v>986</v>
      </c>
      <c r="BA146" s="127">
        <v>10.394</v>
      </c>
      <c r="BB146" s="1" t="s">
        <v>430</v>
      </c>
    </row>
    <row r="147" spans="2:54">
      <c r="B147" t="s">
        <v>439</v>
      </c>
      <c r="C147">
        <v>1011</v>
      </c>
      <c r="E147" t="s">
        <v>594</v>
      </c>
      <c r="F147">
        <v>5</v>
      </c>
      <c r="G147" s="1" t="str">
        <f>VLOOKUP(E:E,'3店'!$B:$B,1,0)</f>
        <v>E03135-or</v>
      </c>
      <c r="H147" t="s">
        <v>711</v>
      </c>
      <c r="I147">
        <v>15</v>
      </c>
      <c r="J147" s="1" t="str">
        <f>VLOOKUP(H:H,'3店'!$B:$B,1,0)</f>
        <v>Y03561-NB+Y03562+Y03565</v>
      </c>
      <c r="AN147" s="1">
        <f>AM147*$AS$1</f>
        <v>0</v>
      </c>
      <c r="AP147" s="29" t="s">
        <v>789</v>
      </c>
      <c r="AQ147" s="33">
        <v>12.99</v>
      </c>
      <c r="AR147" s="1">
        <f t="shared" si="8"/>
        <v>88.9815</v>
      </c>
      <c r="AT147" s="45" t="s">
        <v>1007</v>
      </c>
      <c r="AU147" s="44">
        <v>1139.8</v>
      </c>
      <c r="AV147" s="35"/>
      <c r="AW147" s="45" t="s">
        <v>984</v>
      </c>
      <c r="AX147" s="44">
        <v>178.1</v>
      </c>
      <c r="AZ147" s="160" t="s">
        <v>993</v>
      </c>
      <c r="BA147" s="127">
        <v>10.394</v>
      </c>
      <c r="BB147" s="1" t="s">
        <v>430</v>
      </c>
    </row>
    <row r="148" spans="2:54">
      <c r="B148"/>
      <c r="C148"/>
      <c r="E148" t="s">
        <v>675</v>
      </c>
      <c r="F148">
        <v>3</v>
      </c>
      <c r="G148" s="1" t="str">
        <f>VLOOKUP(E:E,'3店'!$B:$B,1,0)</f>
        <v>Y03451-OR+Y03478</v>
      </c>
      <c r="H148" t="s">
        <v>897</v>
      </c>
      <c r="I148">
        <v>1</v>
      </c>
      <c r="J148" s="1" t="str">
        <f>VLOOKUP(H:H,'3店'!$B:$B,1,0)</f>
        <v>Y3042-BL</v>
      </c>
      <c r="AN148" s="1">
        <f>AM148*$AS$1</f>
        <v>0</v>
      </c>
      <c r="AP148" s="29" t="s">
        <v>807</v>
      </c>
      <c r="AQ148" s="33">
        <v>10.99</v>
      </c>
      <c r="AR148" s="1">
        <f t="shared" si="8"/>
        <v>75.2815</v>
      </c>
      <c r="AT148" s="45" t="s">
        <v>1013</v>
      </c>
      <c r="AU148" s="44">
        <v>232.9</v>
      </c>
      <c r="AV148" s="35"/>
      <c r="AW148" s="45" t="s">
        <v>986</v>
      </c>
      <c r="AX148" s="44">
        <v>150.7</v>
      </c>
      <c r="AZ148" s="160" t="s">
        <v>984</v>
      </c>
      <c r="BA148" s="127">
        <v>10.394</v>
      </c>
      <c r="BB148" s="1" t="s">
        <v>430</v>
      </c>
    </row>
    <row r="149" spans="2:54">
      <c r="B149"/>
      <c r="C149"/>
      <c r="E149" t="s">
        <v>1199</v>
      </c>
      <c r="F149">
        <v>1</v>
      </c>
      <c r="G149" s="1" t="str">
        <f>VLOOKUP(E:E,'3店'!$B:$B,1,0)</f>
        <v>Y3102-NB+Y3103</v>
      </c>
      <c r="H149" t="s">
        <v>1184</v>
      </c>
      <c r="I149">
        <v>24</v>
      </c>
      <c r="J149" s="1" t="str">
        <f>VLOOKUP(H:H,'3店'!$B:$B,1,0)</f>
        <v>E03375-BL+E03380+E03397-001</v>
      </c>
      <c r="AN149" s="1">
        <f>AM149*$AS$1</f>
        <v>0</v>
      </c>
      <c r="AP149" s="29" t="s">
        <v>843</v>
      </c>
      <c r="AQ149" s="33">
        <v>12.99</v>
      </c>
      <c r="AR149" s="1">
        <f t="shared" si="8"/>
        <v>88.9815</v>
      </c>
      <c r="AT149" s="45" t="s">
        <v>1015</v>
      </c>
      <c r="AU149" s="44">
        <v>95.9</v>
      </c>
      <c r="AV149" s="35"/>
      <c r="AW149" s="45" t="s">
        <v>989</v>
      </c>
      <c r="AX149" s="44">
        <v>328.8</v>
      </c>
      <c r="AZ149" s="160" t="s">
        <v>870</v>
      </c>
      <c r="BA149" s="127">
        <v>2.696</v>
      </c>
      <c r="BB149" s="1" t="s">
        <v>430</v>
      </c>
    </row>
    <row r="150" spans="2:54">
      <c r="B150"/>
      <c r="C150"/>
      <c r="E150" t="s">
        <v>678</v>
      </c>
      <c r="F150">
        <v>11</v>
      </c>
      <c r="G150" s="1" t="str">
        <f>VLOOKUP(E:E,'3店'!$B:$B,1,0)</f>
        <v>Y03451-TG+Y03478</v>
      </c>
      <c r="H150" t="s">
        <v>708</v>
      </c>
      <c r="I150">
        <v>27</v>
      </c>
      <c r="J150" s="1" t="str">
        <f>VLOOKUP(H:H,'3店'!$B:$B,1,0)</f>
        <v>Y03561-BL+Y03562+Y03565</v>
      </c>
      <c r="AN150" s="1">
        <f>AM150*$AS$1</f>
        <v>0</v>
      </c>
      <c r="AP150" s="29" t="s">
        <v>852</v>
      </c>
      <c r="AQ150" s="33">
        <v>12.99</v>
      </c>
      <c r="AR150" s="1">
        <f t="shared" si="8"/>
        <v>88.9815</v>
      </c>
      <c r="AT150" s="45" t="s">
        <v>1017</v>
      </c>
      <c r="AU150" s="44">
        <v>287.7</v>
      </c>
      <c r="AV150" s="35"/>
      <c r="AW150" s="45" t="s">
        <v>991</v>
      </c>
      <c r="AX150" s="44">
        <v>315.1</v>
      </c>
      <c r="AZ150" s="160" t="s">
        <v>879</v>
      </c>
      <c r="BA150" s="127">
        <v>3.569</v>
      </c>
      <c r="BB150" s="1" t="s">
        <v>430</v>
      </c>
    </row>
    <row r="151" spans="2:54">
      <c r="B151"/>
      <c r="C151"/>
      <c r="E151" t="s">
        <v>1283</v>
      </c>
      <c r="F151">
        <v>5</v>
      </c>
      <c r="G151" s="1" t="e">
        <f>VLOOKUP(E:E,'3店'!$B:$B,1,0)</f>
        <v>#N/A</v>
      </c>
      <c r="H151" t="s">
        <v>714</v>
      </c>
      <c r="I151">
        <v>4</v>
      </c>
      <c r="J151" s="1" t="str">
        <f>VLOOKUP(H:H,'3店'!$B:$B,1,0)</f>
        <v>Y03561-OR+Y03562+Y03565</v>
      </c>
      <c r="AN151" s="1">
        <f>AM151*$AS$1</f>
        <v>0</v>
      </c>
      <c r="AP151" s="29" t="s">
        <v>873</v>
      </c>
      <c r="AQ151" s="33">
        <v>12.99</v>
      </c>
      <c r="AR151" s="1">
        <f t="shared" si="8"/>
        <v>88.9815</v>
      </c>
      <c r="AT151" s="45" t="s">
        <v>1019</v>
      </c>
      <c r="AU151" s="44">
        <v>356.2</v>
      </c>
      <c r="AV151" s="35"/>
      <c r="AW151" s="45" t="s">
        <v>993</v>
      </c>
      <c r="AX151" s="44">
        <v>178.1</v>
      </c>
      <c r="AZ151" s="160" t="s">
        <v>876</v>
      </c>
      <c r="BA151" s="127">
        <v>2.935</v>
      </c>
      <c r="BB151" s="1" t="s">
        <v>430</v>
      </c>
    </row>
    <row r="152" spans="2:54">
      <c r="B152"/>
      <c r="C152"/>
      <c r="E152" t="s">
        <v>810</v>
      </c>
      <c r="F152">
        <v>2</v>
      </c>
      <c r="G152" s="1" t="str">
        <f>VLOOKUP(E:E,'3店'!$B:$B,1,0)</f>
        <v>Y3015-GK+Y3016+Y3017</v>
      </c>
      <c r="H152" t="s">
        <v>879</v>
      </c>
      <c r="I152">
        <v>3</v>
      </c>
      <c r="J152" s="1" t="str">
        <f>VLOOKUP(H:H,'3店'!$B:$B,1,0)</f>
        <v>Y3029-OR+Y3030</v>
      </c>
      <c r="AN152" s="1">
        <f>AM152*$AS$1</f>
        <v>0</v>
      </c>
      <c r="AP152" s="29" t="s">
        <v>882</v>
      </c>
      <c r="AQ152" s="33">
        <v>11.88</v>
      </c>
      <c r="AR152" s="1">
        <f t="shared" si="8"/>
        <v>81.378</v>
      </c>
      <c r="AT152" s="45" t="s">
        <v>1021</v>
      </c>
      <c r="AU152" s="44">
        <v>328.8</v>
      </c>
      <c r="AV152" s="35"/>
      <c r="AW152" s="45" t="s">
        <v>995</v>
      </c>
      <c r="AX152" s="44">
        <v>2029.4</v>
      </c>
      <c r="AZ152" s="160" t="s">
        <v>873</v>
      </c>
      <c r="BA152" s="127">
        <v>2.861</v>
      </c>
      <c r="BB152" s="1" t="s">
        <v>430</v>
      </c>
    </row>
    <row r="153" spans="2:54">
      <c r="B153"/>
      <c r="C153"/>
      <c r="E153" t="s">
        <v>813</v>
      </c>
      <c r="F153">
        <v>3</v>
      </c>
      <c r="G153" s="1" t="str">
        <f>VLOOKUP(E:E,'3店'!$B:$B,1,0)</f>
        <v>Y3022-GK+Y3023+Y3024</v>
      </c>
      <c r="H153" t="s">
        <v>1098</v>
      </c>
      <c r="I153">
        <v>2</v>
      </c>
      <c r="J153" s="1" t="str">
        <f>VLOOKUP(H:H,'3店'!$B:$B,1,0)</f>
        <v>Y3080-NB+Y3081</v>
      </c>
      <c r="AN153" s="1">
        <f>AM153*$AS$1</f>
        <v>0</v>
      </c>
      <c r="AP153" s="29" t="s">
        <v>909</v>
      </c>
      <c r="AQ153" s="33">
        <v>8.99</v>
      </c>
      <c r="AR153" s="1">
        <f t="shared" si="8"/>
        <v>61.5815</v>
      </c>
      <c r="AT153" s="45" t="s">
        <v>1023</v>
      </c>
      <c r="AU153" s="44">
        <v>452.1</v>
      </c>
      <c r="AV153" s="35"/>
      <c r="AW153" s="45" t="s">
        <v>998</v>
      </c>
      <c r="AX153" s="44">
        <v>1070.3</v>
      </c>
      <c r="AZ153" s="160" t="s">
        <v>882</v>
      </c>
      <c r="BA153" s="127">
        <v>4.671</v>
      </c>
      <c r="BB153" s="1" t="s">
        <v>430</v>
      </c>
    </row>
    <row r="154" spans="2:54">
      <c r="B154"/>
      <c r="C154"/>
      <c r="E154" t="s">
        <v>954</v>
      </c>
      <c r="F154">
        <v>4</v>
      </c>
      <c r="G154" s="1" t="str">
        <f>VLOOKUP(E:E,'3店'!$B:$B,1,0)</f>
        <v>Y3049-BY+Y3050+Y3051</v>
      </c>
      <c r="H154" t="s">
        <v>1153</v>
      </c>
      <c r="I154">
        <v>16</v>
      </c>
      <c r="J154" s="1" t="str">
        <f>VLOOKUP(H:H,'3店'!$B:$B,1,0)</f>
        <v>Y3092-BL+Y3093+Y3094</v>
      </c>
      <c r="AN154" s="1">
        <f>AM154*4.9</f>
        <v>0</v>
      </c>
      <c r="AP154" s="29" t="s">
        <v>935</v>
      </c>
      <c r="AQ154" s="33">
        <v>12.99</v>
      </c>
      <c r="AR154" s="1">
        <f t="shared" si="8"/>
        <v>88.9815</v>
      </c>
      <c r="AT154" s="45" t="s">
        <v>1026</v>
      </c>
      <c r="AU154" s="44">
        <v>164.4</v>
      </c>
      <c r="AV154" s="35"/>
      <c r="AW154" s="45" t="s">
        <v>1001</v>
      </c>
      <c r="AX154" s="44">
        <v>778.4</v>
      </c>
      <c r="AZ154" s="160" t="s">
        <v>1282</v>
      </c>
      <c r="BA154" s="127">
        <v>4.206</v>
      </c>
      <c r="BB154" s="1" t="s">
        <v>430</v>
      </c>
    </row>
    <row r="155" spans="2:54">
      <c r="B155"/>
      <c r="C155"/>
      <c r="E155" t="s">
        <v>669</v>
      </c>
      <c r="F155">
        <v>4</v>
      </c>
      <c r="G155" s="1" t="str">
        <f>VLOOKUP(E:E,'3店'!$B:$B,1,0)</f>
        <v>Y03451-DG+Y03478</v>
      </c>
      <c r="H155" t="s">
        <v>1292</v>
      </c>
      <c r="I155">
        <v>1</v>
      </c>
      <c r="J155" s="1" t="e">
        <f>VLOOKUP(H:H,'3店'!$B:$B,1,0)</f>
        <v>#N/A</v>
      </c>
      <c r="AN155" s="1">
        <f t="shared" ref="AN155:AN160" si="10">AM155*4.9</f>
        <v>0</v>
      </c>
      <c r="AP155" s="29" t="s">
        <v>937</v>
      </c>
      <c r="AQ155" s="33">
        <v>12.99</v>
      </c>
      <c r="AR155" s="1">
        <f t="shared" si="8"/>
        <v>88.9815</v>
      </c>
      <c r="AT155" s="45" t="s">
        <v>1028</v>
      </c>
      <c r="AU155" s="44">
        <v>95.9</v>
      </c>
      <c r="AV155" s="35"/>
      <c r="AW155" s="45" t="s">
        <v>1004</v>
      </c>
      <c r="AX155" s="44">
        <v>847.9</v>
      </c>
      <c r="AZ155" s="160" t="s">
        <v>885</v>
      </c>
      <c r="BA155" s="127">
        <v>4.184</v>
      </c>
      <c r="BB155" s="1" t="s">
        <v>430</v>
      </c>
    </row>
    <row r="156" spans="2:54">
      <c r="B156"/>
      <c r="C156"/>
      <c r="E156" t="s">
        <v>873</v>
      </c>
      <c r="F156">
        <v>1</v>
      </c>
      <c r="G156" s="1" t="str">
        <f>VLOOKUP(E:E,'3店'!$B:$B,1,0)</f>
        <v>Y3029-DG+Y3030</v>
      </c>
      <c r="H156" t="s">
        <v>1162</v>
      </c>
      <c r="I156">
        <v>1</v>
      </c>
      <c r="J156" s="1" t="str">
        <f>VLOOKUP(H:H,'3店'!$B:$B,1,0)</f>
        <v>Y3092-OR+Y3093+Y3094</v>
      </c>
      <c r="AN156" s="1">
        <f t="shared" si="10"/>
        <v>0</v>
      </c>
      <c r="AP156" s="29" t="s">
        <v>981</v>
      </c>
      <c r="AQ156" s="33">
        <v>12.99</v>
      </c>
      <c r="AR156" s="1">
        <f t="shared" si="8"/>
        <v>88.9815</v>
      </c>
      <c r="AT156" s="45" t="s">
        <v>1030</v>
      </c>
      <c r="AU156" s="44">
        <v>287.7</v>
      </c>
      <c r="AV156" s="35"/>
      <c r="AW156" s="45" t="s">
        <v>1007</v>
      </c>
      <c r="AX156" s="44">
        <v>695</v>
      </c>
      <c r="AZ156" s="160" t="s">
        <v>888</v>
      </c>
      <c r="BA156" s="127">
        <v>2.057</v>
      </c>
      <c r="BB156" s="1" t="s">
        <v>430</v>
      </c>
    </row>
    <row r="157" spans="2:54">
      <c r="B157"/>
      <c r="C157"/>
      <c r="E157" t="s">
        <v>960</v>
      </c>
      <c r="F157">
        <v>5</v>
      </c>
      <c r="G157" s="1" t="str">
        <f>VLOOKUP(E:E,'3店'!$B:$B,1,0)</f>
        <v>Y3049-GK+Y3050+Y3051</v>
      </c>
      <c r="H157" t="s">
        <v>663</v>
      </c>
      <c r="I157">
        <v>4</v>
      </c>
      <c r="J157" s="1" t="str">
        <f>VLOOKUP(H:H,'3店'!$B:$B,1,0)</f>
        <v>Y03450-NB+Y03477</v>
      </c>
      <c r="AN157" s="1">
        <f t="shared" si="10"/>
        <v>0</v>
      </c>
      <c r="AP157" s="29" t="s">
        <v>1030</v>
      </c>
      <c r="AQ157" s="33">
        <v>9.99</v>
      </c>
      <c r="AR157" s="1">
        <f t="shared" si="8"/>
        <v>68.4315</v>
      </c>
      <c r="AT157" s="45" t="s">
        <v>1032</v>
      </c>
      <c r="AU157" s="44">
        <v>27.4</v>
      </c>
      <c r="AV157" s="35"/>
      <c r="AW157" s="45" t="s">
        <v>1010</v>
      </c>
      <c r="AX157" s="44">
        <v>82.2</v>
      </c>
      <c r="AZ157" s="160" t="s">
        <v>891</v>
      </c>
      <c r="BA157" s="127">
        <v>2.085</v>
      </c>
      <c r="BB157" s="1" t="s">
        <v>430</v>
      </c>
    </row>
    <row r="158" spans="2:54">
      <c r="B158"/>
      <c r="C158"/>
      <c r="E158" t="s">
        <v>1226</v>
      </c>
      <c r="F158">
        <v>2</v>
      </c>
      <c r="G158" s="1" t="str">
        <f>VLOOKUP(E:E,'3店'!$B:$B,1,0)</f>
        <v>Y3106-GY+Y3107</v>
      </c>
      <c r="H158" t="s">
        <v>882</v>
      </c>
      <c r="I158">
        <v>2</v>
      </c>
      <c r="J158" s="1" t="str">
        <f>VLOOKUP(H:H,'3店'!$B:$B,1,0)</f>
        <v>Y3029-TG+Y3030</v>
      </c>
      <c r="AN158" s="1">
        <f t="shared" si="10"/>
        <v>0</v>
      </c>
      <c r="AP158" s="29" t="s">
        <v>1019</v>
      </c>
      <c r="AQ158" s="33">
        <v>9.99</v>
      </c>
      <c r="AR158" s="1">
        <f t="shared" si="8"/>
        <v>68.4315</v>
      </c>
      <c r="AT158" s="45" t="s">
        <v>1034</v>
      </c>
      <c r="AU158" s="44">
        <v>274</v>
      </c>
      <c r="AV158" s="35"/>
      <c r="AW158" s="45" t="s">
        <v>1013</v>
      </c>
      <c r="AX158" s="44">
        <v>274</v>
      </c>
      <c r="AZ158" s="160" t="s">
        <v>894</v>
      </c>
      <c r="BA158" s="127">
        <v>2.146</v>
      </c>
      <c r="BB158" s="1" t="s">
        <v>430</v>
      </c>
    </row>
    <row r="159" spans="2:54">
      <c r="B159"/>
      <c r="C159"/>
      <c r="E159" t="s">
        <v>1220</v>
      </c>
      <c r="F159">
        <v>5</v>
      </c>
      <c r="G159" s="1" t="str">
        <f>VLOOKUP(E:E,'3店'!$B:$B,1,0)</f>
        <v>Y3106-BL+Y3107</v>
      </c>
      <c r="H159" t="s">
        <v>1178</v>
      </c>
      <c r="I159">
        <v>3</v>
      </c>
      <c r="J159" s="1" t="str">
        <f>VLOOKUP(H:H,'3店'!$B:$B,1,0)</f>
        <v>Y3096-GK+Y3097+Y3098</v>
      </c>
      <c r="AN159" s="1">
        <f t="shared" si="10"/>
        <v>0</v>
      </c>
      <c r="AP159" s="29" t="s">
        <v>1047</v>
      </c>
      <c r="AQ159" s="33">
        <v>12.99</v>
      </c>
      <c r="AR159" s="1">
        <f t="shared" si="8"/>
        <v>88.9815</v>
      </c>
      <c r="AT159" s="45" t="s">
        <v>1036</v>
      </c>
      <c r="AU159" s="44">
        <v>13.7</v>
      </c>
      <c r="AV159" s="35"/>
      <c r="AW159" s="45" t="s">
        <v>1015</v>
      </c>
      <c r="AX159" s="44">
        <v>137</v>
      </c>
      <c r="AZ159" s="160" t="s">
        <v>981</v>
      </c>
      <c r="BA159" s="127">
        <v>8.334</v>
      </c>
      <c r="BB159" s="1" t="s">
        <v>430</v>
      </c>
    </row>
    <row r="160" spans="2:54">
      <c r="B160"/>
      <c r="C160"/>
      <c r="E160" t="s">
        <v>879</v>
      </c>
      <c r="F160">
        <v>2</v>
      </c>
      <c r="G160" s="1" t="str">
        <f>VLOOKUP(E:E,'3店'!$B:$B,1,0)</f>
        <v>Y3029-OR+Y3030</v>
      </c>
      <c r="H160" t="s">
        <v>612</v>
      </c>
      <c r="I160">
        <v>8</v>
      </c>
      <c r="J160" s="1" t="str">
        <f>VLOOKUP(H:H,'3店'!$B:$B,1,0)</f>
        <v>E03386-BL+E03268-02</v>
      </c>
      <c r="AN160" s="1">
        <f t="shared" si="10"/>
        <v>0</v>
      </c>
      <c r="AP160" s="29" t="s">
        <v>1067</v>
      </c>
      <c r="AQ160" s="33">
        <v>12.99</v>
      </c>
      <c r="AR160" s="1">
        <f t="shared" si="8"/>
        <v>88.9815</v>
      </c>
      <c r="AT160" s="45" t="s">
        <v>1039</v>
      </c>
      <c r="AU160" s="44">
        <v>274</v>
      </c>
      <c r="AV160" s="35"/>
      <c r="AW160" s="45" t="s">
        <v>1017</v>
      </c>
      <c r="AX160" s="44">
        <v>287.7</v>
      </c>
      <c r="AZ160" s="160" t="s">
        <v>930</v>
      </c>
      <c r="BA160" s="127">
        <v>3.785</v>
      </c>
      <c r="BB160" s="1" t="s">
        <v>430</v>
      </c>
    </row>
    <row r="161" spans="2:54">
      <c r="B161"/>
      <c r="C161"/>
      <c r="E161" t="s">
        <v>937</v>
      </c>
      <c r="F161">
        <v>1</v>
      </c>
      <c r="G161" s="1" t="str">
        <f>VLOOKUP(E:E,'3店'!$B:$B,1,0)</f>
        <v>Y3036-GK</v>
      </c>
      <c r="H161" t="s">
        <v>615</v>
      </c>
      <c r="I161">
        <v>11</v>
      </c>
      <c r="J161" s="1" t="str">
        <f>VLOOKUP(H:H,'3店'!$B:$B,1,0)</f>
        <v>E03386-NB+E03268-02</v>
      </c>
      <c r="AN161" s="1">
        <f>AM161*$AS$1</f>
        <v>0</v>
      </c>
      <c r="AP161" s="29" t="s">
        <v>1073</v>
      </c>
      <c r="AQ161" s="33">
        <v>12.99</v>
      </c>
      <c r="AR161" s="1">
        <f t="shared" si="8"/>
        <v>88.9815</v>
      </c>
      <c r="AT161" s="45" t="s">
        <v>1041</v>
      </c>
      <c r="AU161" s="44">
        <v>260.3</v>
      </c>
      <c r="AV161" s="35"/>
      <c r="AW161" s="45" t="s">
        <v>1019</v>
      </c>
      <c r="AX161" s="44">
        <v>424.7</v>
      </c>
      <c r="AZ161" s="160" t="s">
        <v>933</v>
      </c>
      <c r="BA161" s="127">
        <v>3.223</v>
      </c>
      <c r="BB161" s="1" t="s">
        <v>430</v>
      </c>
    </row>
    <row r="162" spans="2:54">
      <c r="B162"/>
      <c r="C162"/>
      <c r="E162" t="s">
        <v>1030</v>
      </c>
      <c r="F162">
        <v>1</v>
      </c>
      <c r="G162" s="1" t="str">
        <f>VLOOKUP(E:E,'3店'!$B:$B,1,0)</f>
        <v>Y3056-LP+Y3057</v>
      </c>
      <c r="H162" t="s">
        <v>618</v>
      </c>
      <c r="I162">
        <v>6</v>
      </c>
      <c r="J162" s="1" t="str">
        <f>VLOOKUP(H:H,'3店'!$B:$B,1,0)</f>
        <v>E03386-OR+E03268-02</v>
      </c>
      <c r="AN162" s="1">
        <f>AM162*$AS$1</f>
        <v>0</v>
      </c>
      <c r="AP162" s="29" t="s">
        <v>1075</v>
      </c>
      <c r="AQ162" s="33">
        <v>12.99</v>
      </c>
      <c r="AR162" s="1">
        <f t="shared" si="8"/>
        <v>88.9815</v>
      </c>
      <c r="AT162" s="45" t="s">
        <v>1043</v>
      </c>
      <c r="AU162" s="44">
        <v>232.9</v>
      </c>
      <c r="AV162" s="35"/>
      <c r="AW162" s="45" t="s">
        <v>1021</v>
      </c>
      <c r="AX162" s="44">
        <v>342.5</v>
      </c>
      <c r="AZ162" s="160" t="s">
        <v>935</v>
      </c>
      <c r="BA162" s="127">
        <v>4.94</v>
      </c>
      <c r="BB162" s="1" t="s">
        <v>430</v>
      </c>
    </row>
    <row r="163" spans="2:54">
      <c r="B163"/>
      <c r="C163"/>
      <c r="E163" t="s">
        <v>1098</v>
      </c>
      <c r="F163">
        <v>2</v>
      </c>
      <c r="G163" s="1" t="str">
        <f>VLOOKUP(E:E,'3店'!$B:$B,1,0)</f>
        <v>Y3080-NB+Y3081</v>
      </c>
      <c r="H163" t="s">
        <v>1121</v>
      </c>
      <c r="I163">
        <v>1</v>
      </c>
      <c r="J163" s="1" t="str">
        <f>VLOOKUP(H:H,'3店'!$B:$B,1,0)</f>
        <v>Y3085-BY+Y3086+Y3087</v>
      </c>
      <c r="AN163" s="1">
        <f>AM163*$AS$1</f>
        <v>0</v>
      </c>
      <c r="AP163" s="29" t="s">
        <v>1098</v>
      </c>
      <c r="AQ163" s="33">
        <v>25.98</v>
      </c>
      <c r="AR163" s="1">
        <f t="shared" si="8"/>
        <v>177.963</v>
      </c>
      <c r="AT163" s="45" t="s">
        <v>1045</v>
      </c>
      <c r="AU163" s="44">
        <v>411</v>
      </c>
      <c r="AV163" s="35"/>
      <c r="AW163" s="45" t="s">
        <v>1023</v>
      </c>
      <c r="AX163" s="44">
        <v>575.4</v>
      </c>
      <c r="AZ163" s="160" t="s">
        <v>937</v>
      </c>
      <c r="BA163" s="127">
        <v>4.522</v>
      </c>
      <c r="BB163" s="1" t="s">
        <v>430</v>
      </c>
    </row>
    <row r="164" spans="2:54">
      <c r="B164"/>
      <c r="C164"/>
      <c r="E164" t="s">
        <v>1229</v>
      </c>
      <c r="F164">
        <v>1</v>
      </c>
      <c r="G164" s="1" t="str">
        <f>VLOOKUP(E:E,'3店'!$B:$B,1,0)</f>
        <v>Y3106-NB+Y3107</v>
      </c>
      <c r="H164" t="s">
        <v>1273</v>
      </c>
      <c r="I164">
        <v>4</v>
      </c>
      <c r="J164" s="1" t="str">
        <f>VLOOKUP(H:H,'3店'!$B:$B,1,0)</f>
        <v>Y3095-BL</v>
      </c>
      <c r="AN164" s="1">
        <f>AM164*$AS$1</f>
        <v>0</v>
      </c>
      <c r="AP164" s="29" t="s">
        <v>1125</v>
      </c>
      <c r="AQ164" s="33">
        <v>12.99</v>
      </c>
      <c r="AR164" s="1">
        <f t="shared" si="8"/>
        <v>88.9815</v>
      </c>
      <c r="AT164" s="45" t="s">
        <v>1047</v>
      </c>
      <c r="AU164" s="44">
        <v>356.2</v>
      </c>
      <c r="AV164" s="35"/>
      <c r="AW164" s="45" t="s">
        <v>1026</v>
      </c>
      <c r="AX164" s="44">
        <v>178.1</v>
      </c>
      <c r="AZ164" s="160" t="s">
        <v>939</v>
      </c>
      <c r="BA164" s="127">
        <v>7.819</v>
      </c>
      <c r="BB164" s="1" t="s">
        <v>430</v>
      </c>
    </row>
    <row r="165" spans="2:54">
      <c r="B165"/>
      <c r="C165"/>
      <c r="E165" t="s">
        <v>1196</v>
      </c>
      <c r="F165">
        <v>1</v>
      </c>
      <c r="G165" s="1" t="str">
        <f>VLOOKUP(E:E,'3店'!$B:$B,1,0)</f>
        <v>Y3102-GY+Y3103</v>
      </c>
      <c r="H165" t="s">
        <v>741</v>
      </c>
      <c r="I165">
        <v>1</v>
      </c>
      <c r="J165" s="1" t="str">
        <f>VLOOKUP(H:H,'3店'!$B:$B,1,0)</f>
        <v>Y3007-TG+Y3009</v>
      </c>
      <c r="AN165" s="1">
        <f>AM165*$AS$1</f>
        <v>0</v>
      </c>
      <c r="AP165" s="29" t="s">
        <v>1180</v>
      </c>
      <c r="AQ165" s="33">
        <v>12.99</v>
      </c>
      <c r="AR165" s="1">
        <f t="shared" si="8"/>
        <v>88.9815</v>
      </c>
      <c r="AT165" s="45" t="s">
        <v>1049</v>
      </c>
      <c r="AU165" s="44">
        <v>1473.2</v>
      </c>
      <c r="AV165" s="35"/>
      <c r="AW165" s="45" t="s">
        <v>1028</v>
      </c>
      <c r="AX165" s="44">
        <v>123.3</v>
      </c>
      <c r="AZ165" s="160" t="s">
        <v>1299</v>
      </c>
      <c r="BA165" s="127">
        <v>2.74</v>
      </c>
      <c r="BB165" s="1" t="s">
        <v>430</v>
      </c>
    </row>
    <row r="166" spans="2:54">
      <c r="B166"/>
      <c r="C166"/>
      <c r="E166" t="s">
        <v>1141</v>
      </c>
      <c r="F166">
        <v>1</v>
      </c>
      <c r="G166" s="1" t="str">
        <f>VLOOKUP(E:E,'3店'!$B:$B,1,0)</f>
        <v>Y3088-GY</v>
      </c>
      <c r="H166" t="s">
        <v>837</v>
      </c>
      <c r="I166">
        <v>20</v>
      </c>
      <c r="J166" s="1" t="str">
        <f>VLOOKUP(H:H,'3店'!$B:$B,1,0)</f>
        <v>Y3045-BL</v>
      </c>
      <c r="AN166" s="1">
        <f>AM166*$AS$1</f>
        <v>0</v>
      </c>
      <c r="AP166" s="29" t="s">
        <v>1178</v>
      </c>
      <c r="AQ166" s="33">
        <v>12.99</v>
      </c>
      <c r="AR166" s="1">
        <f t="shared" si="8"/>
        <v>88.9815</v>
      </c>
      <c r="AT166" s="45" t="s">
        <v>1052</v>
      </c>
      <c r="AU166" s="44">
        <v>190.5</v>
      </c>
      <c r="AV166" s="35"/>
      <c r="AW166" s="45" t="s">
        <v>1030</v>
      </c>
      <c r="AX166" s="44">
        <v>315.1</v>
      </c>
      <c r="AZ166" s="160" t="s">
        <v>941</v>
      </c>
      <c r="BA166" s="127">
        <v>2.717</v>
      </c>
      <c r="BB166" s="1" t="s">
        <v>430</v>
      </c>
    </row>
    <row r="167" spans="2:54">
      <c r="B167"/>
      <c r="C167"/>
      <c r="E167" t="s">
        <v>1158</v>
      </c>
      <c r="F167">
        <v>1</v>
      </c>
      <c r="G167" s="1" t="str">
        <f>VLOOKUP(E:E,'3店'!$B:$B,1,0)</f>
        <v>Y3092-DB+Y3093+Y3094</v>
      </c>
      <c r="H167" t="s">
        <v>1125</v>
      </c>
      <c r="I167">
        <v>2</v>
      </c>
      <c r="J167" s="1" t="str">
        <f>VLOOKUP(H:H,'3店'!$B:$B,1,0)</f>
        <v>Y3085-GK+Y3086+Y3087</v>
      </c>
      <c r="AN167" s="1">
        <f>AM167*$AS$1</f>
        <v>0</v>
      </c>
      <c r="AP167" s="29" t="s">
        <v>1229</v>
      </c>
      <c r="AQ167" s="33">
        <v>10.99</v>
      </c>
      <c r="AR167" s="1">
        <f t="shared" si="8"/>
        <v>75.2815</v>
      </c>
      <c r="AT167" s="45" t="s">
        <v>1055</v>
      </c>
      <c r="AU167" s="44">
        <v>914.4</v>
      </c>
      <c r="AV167" s="35"/>
      <c r="AW167" s="45" t="s">
        <v>1032</v>
      </c>
      <c r="AX167" s="44">
        <v>95.9</v>
      </c>
      <c r="AZ167" s="106" t="s">
        <v>944</v>
      </c>
      <c r="BA167" s="127">
        <v>2.507</v>
      </c>
      <c r="BB167" s="1" t="s">
        <v>430</v>
      </c>
    </row>
    <row r="168" spans="2:54">
      <c r="B168"/>
      <c r="C168"/>
      <c r="E168" t="s">
        <v>1156</v>
      </c>
      <c r="F168">
        <v>1</v>
      </c>
      <c r="G168" s="1" t="str">
        <f>VLOOKUP(E:E,'3店'!$B:$B,1,0)</f>
        <v>Y3092-BY+Y3093+Y3094</v>
      </c>
      <c r="H168" t="s">
        <v>783</v>
      </c>
      <c r="I168">
        <v>4</v>
      </c>
      <c r="J168" s="1" t="str">
        <f>VLOOKUP(H:H,'3店'!$B:$B,1,0)</f>
        <v>Y03507-DN+Y03508+Y03509</v>
      </c>
      <c r="AN168" s="1">
        <f>AM168*$AS$1</f>
        <v>0</v>
      </c>
      <c r="AP168" s="29" t="s">
        <v>1244</v>
      </c>
      <c r="AQ168" s="33">
        <v>12.99</v>
      </c>
      <c r="AR168" s="1">
        <f t="shared" si="8"/>
        <v>88.9815</v>
      </c>
      <c r="AT168" s="45" t="s">
        <v>1058</v>
      </c>
      <c r="AU168" s="44">
        <v>355.6</v>
      </c>
      <c r="AV168" s="35"/>
      <c r="AW168" s="45" t="s">
        <v>1034</v>
      </c>
      <c r="AX168" s="44">
        <v>260.3</v>
      </c>
      <c r="AZ168" s="160" t="s">
        <v>946</v>
      </c>
      <c r="BA168" s="127">
        <v>4.554</v>
      </c>
      <c r="BB168" s="1" t="s">
        <v>430</v>
      </c>
    </row>
    <row r="169" spans="2:54">
      <c r="B169"/>
      <c r="C169"/>
      <c r="E169" t="s">
        <v>1041</v>
      </c>
      <c r="F169">
        <v>6</v>
      </c>
      <c r="G169" s="1" t="str">
        <f>VLOOKUP(E:E,'3店'!$B:$B,1,0)</f>
        <v>Y3058-GY</v>
      </c>
      <c r="H169" t="s">
        <v>1135</v>
      </c>
      <c r="I169">
        <v>3</v>
      </c>
      <c r="J169" s="1" t="str">
        <f>VLOOKUP(H:H,'3店'!$B:$B,1,0)</f>
        <v>Y3088-BL</v>
      </c>
      <c r="AN169" s="1">
        <f>AM169*$AS$1</f>
        <v>0</v>
      </c>
      <c r="AP169" s="29" t="s">
        <v>1199</v>
      </c>
      <c r="AQ169" s="33">
        <v>10.99</v>
      </c>
      <c r="AR169" s="1">
        <f t="shared" si="8"/>
        <v>75.2815</v>
      </c>
      <c r="AT169" s="45" t="s">
        <v>1061</v>
      </c>
      <c r="AU169" s="44">
        <v>254</v>
      </c>
      <c r="AV169" s="35"/>
      <c r="AW169" s="45" t="s">
        <v>1036</v>
      </c>
      <c r="AX169" s="44">
        <v>232.9</v>
      </c>
      <c r="AZ169" s="160" t="s">
        <v>949</v>
      </c>
      <c r="BA169" s="127">
        <v>3.733</v>
      </c>
      <c r="BB169" s="1" t="s">
        <v>430</v>
      </c>
    </row>
    <row r="170" spans="2:54">
      <c r="B170"/>
      <c r="C170"/>
      <c r="E170" t="s">
        <v>1261</v>
      </c>
      <c r="F170">
        <v>5</v>
      </c>
      <c r="G170" s="1" t="str">
        <f>VLOOKUP(E:E,'3店'!$B:$B,1,0)</f>
        <v>Y3111-BL</v>
      </c>
      <c r="H170" t="s">
        <v>1235</v>
      </c>
      <c r="I170">
        <v>65</v>
      </c>
      <c r="J170" s="1" t="str">
        <f>VLOOKUP(H:H,'3店'!$B:$B,1,0)</f>
        <v>Y3108-BL+Y3109</v>
      </c>
      <c r="AN170" s="1">
        <f>AM170*$AS$1</f>
        <v>0</v>
      </c>
      <c r="AP170" s="29" t="s">
        <v>1196</v>
      </c>
      <c r="AQ170" s="33">
        <v>10.99</v>
      </c>
      <c r="AR170" s="1">
        <f t="shared" si="8"/>
        <v>75.2815</v>
      </c>
      <c r="AT170" s="45" t="s">
        <v>1064</v>
      </c>
      <c r="AU170" s="44">
        <v>1295.4</v>
      </c>
      <c r="AV170" s="35"/>
      <c r="AW170" s="45" t="s">
        <v>1039</v>
      </c>
      <c r="AX170" s="44">
        <v>301.4</v>
      </c>
      <c r="AZ170" s="160" t="s">
        <v>966</v>
      </c>
      <c r="BA170" s="127">
        <v>5.318</v>
      </c>
      <c r="BB170" s="1" t="s">
        <v>430</v>
      </c>
    </row>
    <row r="171" spans="2:54">
      <c r="B171"/>
      <c r="C171"/>
      <c r="E171" t="s">
        <v>1026</v>
      </c>
      <c r="F171">
        <v>2</v>
      </c>
      <c r="G171" s="1" t="str">
        <f>VLOOKUP(E:E,'3店'!$B:$B,1,0)</f>
        <v>Y3056-GN+Y3057</v>
      </c>
      <c r="H171" t="s">
        <v>1241</v>
      </c>
      <c r="I171">
        <v>16</v>
      </c>
      <c r="J171" s="1" t="str">
        <f>VLOOKUP(H:H,'3店'!$B:$B,1,0)</f>
        <v>Y3108-GY+Y3109</v>
      </c>
      <c r="AN171" s="1">
        <f>AM171*$AS$1</f>
        <v>0</v>
      </c>
      <c r="AP171" s="29" t="s">
        <v>1252</v>
      </c>
      <c r="AQ171" s="33">
        <v>12.99</v>
      </c>
      <c r="AR171" s="1">
        <f t="shared" si="8"/>
        <v>88.9815</v>
      </c>
      <c r="AT171" s="45" t="s">
        <v>1067</v>
      </c>
      <c r="AU171" s="44">
        <v>139.7</v>
      </c>
      <c r="AV171" s="35"/>
      <c r="AW171" s="45" t="s">
        <v>1041</v>
      </c>
      <c r="AX171" s="44">
        <v>274</v>
      </c>
      <c r="AZ171" s="160" t="s">
        <v>969</v>
      </c>
      <c r="BA171" s="127">
        <v>4.263</v>
      </c>
      <c r="BB171" s="1" t="s">
        <v>430</v>
      </c>
    </row>
    <row r="172" spans="2:54">
      <c r="B172"/>
      <c r="C172"/>
      <c r="E172" t="s">
        <v>1205</v>
      </c>
      <c r="F172">
        <v>3</v>
      </c>
      <c r="G172" s="1" t="str">
        <f>VLOOKUP(E:E,'3店'!$B:$B,1,0)</f>
        <v>Y3104-BL+Y3105</v>
      </c>
      <c r="H172" t="s">
        <v>1021</v>
      </c>
      <c r="I172">
        <v>3</v>
      </c>
      <c r="J172" s="1" t="str">
        <f>VLOOKUP(H:H,'3店'!$B:$B,1,0)</f>
        <v>Y3054-TG+Y3055</v>
      </c>
      <c r="AN172" s="1">
        <f>AM172*$AS$1</f>
        <v>0</v>
      </c>
      <c r="AP172" s="29" t="s">
        <v>1267</v>
      </c>
      <c r="AQ172" s="33">
        <v>12.99</v>
      </c>
      <c r="AR172" s="1">
        <f t="shared" si="8"/>
        <v>88.9815</v>
      </c>
      <c r="AT172" s="45" t="s">
        <v>1070</v>
      </c>
      <c r="AU172" s="44">
        <v>317.5</v>
      </c>
      <c r="AV172" s="35"/>
      <c r="AW172" s="45" t="s">
        <v>1043</v>
      </c>
      <c r="AX172" s="44">
        <v>301.4</v>
      </c>
      <c r="AZ172" s="160" t="s">
        <v>972</v>
      </c>
      <c r="BA172" s="127">
        <v>5.551</v>
      </c>
      <c r="BB172" s="1" t="s">
        <v>430</v>
      </c>
    </row>
    <row r="173" spans="2:54">
      <c r="B173"/>
      <c r="C173"/>
      <c r="E173" t="s">
        <v>1270</v>
      </c>
      <c r="F173">
        <v>2</v>
      </c>
      <c r="G173" s="1" t="str">
        <f>VLOOKUP(E:E,'3店'!$B:$B,1,0)</f>
        <v>Y3111-NB</v>
      </c>
      <c r="H173" t="s">
        <v>1244</v>
      </c>
      <c r="I173">
        <v>12</v>
      </c>
      <c r="J173" s="1" t="str">
        <f>VLOOKUP(H:H,'3店'!$B:$B,1,0)</f>
        <v>Y3108-NB+Y3109</v>
      </c>
      <c r="AN173" s="1">
        <f>AM173*$AS$1</f>
        <v>0</v>
      </c>
      <c r="AP173" s="29" t="s">
        <v>1153</v>
      </c>
      <c r="AQ173" s="107">
        <v>167.94</v>
      </c>
      <c r="AR173" s="1">
        <f>AQ173*4.9</f>
        <v>822.906</v>
      </c>
      <c r="AT173" s="45" t="s">
        <v>1073</v>
      </c>
      <c r="AU173" s="44">
        <v>241.3</v>
      </c>
      <c r="AV173" s="35"/>
      <c r="AW173" s="45" t="s">
        <v>1045</v>
      </c>
      <c r="AX173" s="44">
        <v>479.5</v>
      </c>
      <c r="AZ173" s="160" t="s">
        <v>975</v>
      </c>
      <c r="BA173" s="127">
        <v>5.655</v>
      </c>
      <c r="BB173" s="1" t="s">
        <v>430</v>
      </c>
    </row>
    <row r="174" spans="2:54">
      <c r="B174"/>
      <c r="C174"/>
      <c r="E174" t="s">
        <v>1249</v>
      </c>
      <c r="F174">
        <v>2</v>
      </c>
      <c r="G174" s="1" t="str">
        <f>VLOOKUP(E:E,'3店'!$B:$B,1,0)</f>
        <v>Y3110-BL</v>
      </c>
      <c r="H174" t="s">
        <v>1205</v>
      </c>
      <c r="I174">
        <v>5</v>
      </c>
      <c r="J174" s="1" t="str">
        <f>VLOOKUP(H:H,'3店'!$B:$B,1,0)</f>
        <v>Y3104-BL+Y3105</v>
      </c>
      <c r="AN174" s="1">
        <f>AM174*$AS$1</f>
        <v>0</v>
      </c>
      <c r="AP174" s="29" t="s">
        <v>1273</v>
      </c>
      <c r="AQ174" s="107">
        <v>55.98</v>
      </c>
      <c r="AR174" s="1">
        <f t="shared" ref="AR174:AR186" si="11">AQ174*4.9</f>
        <v>274.302</v>
      </c>
      <c r="AT174" s="45" t="s">
        <v>1075</v>
      </c>
      <c r="AU174" s="44">
        <v>292.1</v>
      </c>
      <c r="AV174" s="35"/>
      <c r="AW174" s="45" t="s">
        <v>1047</v>
      </c>
      <c r="AX174" s="44">
        <v>397.3</v>
      </c>
      <c r="AZ174" s="160" t="s">
        <v>978</v>
      </c>
      <c r="BA174" s="127">
        <v>5.011</v>
      </c>
      <c r="BB174" s="1" t="s">
        <v>430</v>
      </c>
    </row>
    <row r="175" spans="2:54">
      <c r="B175"/>
      <c r="C175"/>
      <c r="E175" t="s">
        <v>663</v>
      </c>
      <c r="F175">
        <v>1</v>
      </c>
      <c r="G175" s="1" t="str">
        <f>VLOOKUP(E:E,'3店'!$B:$B,1,0)</f>
        <v>Y03450-NB+Y03477</v>
      </c>
      <c r="H175" t="s">
        <v>1232</v>
      </c>
      <c r="I175">
        <v>8</v>
      </c>
      <c r="J175" s="1" t="str">
        <f>VLOOKUP(H:H,'3店'!$B:$B,1,0)</f>
        <v>Y3108-BG+Y3109</v>
      </c>
      <c r="AN175" s="1">
        <f t="shared" ref="AN175:AN192" si="12">AM175*$AS$1</f>
        <v>0</v>
      </c>
      <c r="AP175" s="29" t="s">
        <v>1135</v>
      </c>
      <c r="AQ175" s="107">
        <v>31.98</v>
      </c>
      <c r="AR175" s="1">
        <f t="shared" si="11"/>
        <v>156.702</v>
      </c>
      <c r="AT175" s="45" t="s">
        <v>1077</v>
      </c>
      <c r="AU175" s="44">
        <v>279.4</v>
      </c>
      <c r="AV175" s="35"/>
      <c r="AW175" s="45" t="s">
        <v>1049</v>
      </c>
      <c r="AX175" s="44">
        <v>469.9</v>
      </c>
      <c r="AZ175" s="160" t="s">
        <v>951</v>
      </c>
      <c r="BA175" s="127">
        <v>4.519</v>
      </c>
      <c r="BB175" s="1" t="s">
        <v>430</v>
      </c>
    </row>
    <row r="176" spans="2:54">
      <c r="B176"/>
      <c r="C176"/>
      <c r="E176" t="s">
        <v>1125</v>
      </c>
      <c r="F176">
        <v>1</v>
      </c>
      <c r="G176" s="1" t="str">
        <f>VLOOKUP(E:E,'3店'!$B:$B,1,0)</f>
        <v>Y3085-GK+Y3086+Y3087</v>
      </c>
      <c r="H176" t="s">
        <v>1127</v>
      </c>
      <c r="I176">
        <v>1</v>
      </c>
      <c r="J176" s="1" t="str">
        <f>VLOOKUP(H:H,'3店'!$B:$B,1,0)</f>
        <v>Y3085-OR+Y3086+Y3087</v>
      </c>
      <c r="AN176" s="1">
        <f t="shared" si="12"/>
        <v>0</v>
      </c>
      <c r="AP176" s="29" t="s">
        <v>750</v>
      </c>
      <c r="AQ176" s="107">
        <v>29.63</v>
      </c>
      <c r="AR176" s="1">
        <f t="shared" si="11"/>
        <v>145.187</v>
      </c>
      <c r="AT176" s="45" t="s">
        <v>1080</v>
      </c>
      <c r="AU176" s="44">
        <v>165.1</v>
      </c>
      <c r="AV176" s="35"/>
      <c r="AW176" s="45" t="s">
        <v>1052</v>
      </c>
      <c r="AX176" s="44">
        <v>63.5</v>
      </c>
      <c r="AZ176" s="160" t="s">
        <v>954</v>
      </c>
      <c r="BA176" s="127">
        <v>5.839</v>
      </c>
      <c r="BB176" s="1" t="s">
        <v>430</v>
      </c>
    </row>
    <row r="177" spans="5:54">
      <c r="E177" t="s">
        <v>1180</v>
      </c>
      <c r="F177">
        <v>1</v>
      </c>
      <c r="G177" s="1" t="str">
        <f>VLOOKUP(E:E,'3店'!$B:$B,1,0)</f>
        <v>Y3096-BY+Y3097+Y3098</v>
      </c>
      <c r="H177" t="s">
        <v>1208</v>
      </c>
      <c r="I177">
        <v>3</v>
      </c>
      <c r="J177" s="1" t="str">
        <f>VLOOKUP(H:H,'3店'!$B:$B,1,0)</f>
        <v>Y3104-GN+Y3105</v>
      </c>
      <c r="AN177" s="1">
        <f t="shared" si="12"/>
        <v>0</v>
      </c>
      <c r="AP177" s="29" t="s">
        <v>1129</v>
      </c>
      <c r="AQ177" s="107">
        <v>29.63</v>
      </c>
      <c r="AR177" s="1">
        <f t="shared" si="11"/>
        <v>145.187</v>
      </c>
      <c r="AT177" s="45" t="s">
        <v>1082</v>
      </c>
      <c r="AU177" s="44">
        <v>241.3</v>
      </c>
      <c r="AV177" s="35"/>
      <c r="AW177" s="45" t="s">
        <v>1055</v>
      </c>
      <c r="AX177" s="44">
        <v>63.5</v>
      </c>
      <c r="AZ177" s="160" t="s">
        <v>957</v>
      </c>
      <c r="BA177" s="127">
        <v>5.786</v>
      </c>
      <c r="BB177" s="1" t="s">
        <v>430</v>
      </c>
    </row>
    <row r="178" spans="5:54">
      <c r="E178" t="s">
        <v>1178</v>
      </c>
      <c r="F178">
        <v>1</v>
      </c>
      <c r="G178" s="1" t="str">
        <f>VLOOKUP(E:E,'3店'!$B:$B,1,0)</f>
        <v>Y3096-GK+Y3097+Y3098</v>
      </c>
      <c r="H178" t="s">
        <v>1211</v>
      </c>
      <c r="I178">
        <v>2</v>
      </c>
      <c r="J178" s="1" t="str">
        <f>VLOOKUP(H:H,'3店'!$B:$B,1,0)</f>
        <v>Y3104-GY+Y3105</v>
      </c>
      <c r="AN178" s="1">
        <f t="shared" si="12"/>
        <v>0</v>
      </c>
      <c r="AP178" s="29" t="s">
        <v>828</v>
      </c>
      <c r="AQ178" s="107">
        <v>28.73</v>
      </c>
      <c r="AR178" s="1">
        <f t="shared" si="11"/>
        <v>140.777</v>
      </c>
      <c r="AT178" s="45" t="s">
        <v>1085</v>
      </c>
      <c r="AU178" s="44">
        <v>228.6</v>
      </c>
      <c r="AV178" s="35"/>
      <c r="AW178" s="45" t="s">
        <v>1058</v>
      </c>
      <c r="AX178" s="44">
        <v>330.2</v>
      </c>
      <c r="AZ178" s="160" t="s">
        <v>960</v>
      </c>
      <c r="BA178" s="127">
        <v>6.481</v>
      </c>
      <c r="BB178" s="1" t="s">
        <v>430</v>
      </c>
    </row>
    <row r="179" spans="5:54">
      <c r="E179" t="s">
        <v>1252</v>
      </c>
      <c r="F179">
        <v>1</v>
      </c>
      <c r="G179" s="1" t="str">
        <f>VLOOKUP(E:E,'3店'!$B:$B,1,0)</f>
        <v>Y3110-GN</v>
      </c>
      <c r="H179" t="s">
        <v>1238</v>
      </c>
      <c r="I179">
        <v>4</v>
      </c>
      <c r="J179" s="1" t="str">
        <f>VLOOKUP(H:H,'3店'!$B:$B,1,0)</f>
        <v>Y3108-GN+Y3109</v>
      </c>
      <c r="AN179" s="1">
        <f t="shared" si="12"/>
        <v>0</v>
      </c>
      <c r="AP179" s="29" t="s">
        <v>1132</v>
      </c>
      <c r="AQ179" s="107">
        <v>26.78</v>
      </c>
      <c r="AR179" s="1">
        <f t="shared" si="11"/>
        <v>131.222</v>
      </c>
      <c r="AT179" s="45" t="s">
        <v>1087</v>
      </c>
      <c r="AU179" s="44">
        <v>215.9</v>
      </c>
      <c r="AV179" s="35"/>
      <c r="AW179" s="45" t="s">
        <v>1061</v>
      </c>
      <c r="AX179" s="44">
        <v>114.3</v>
      </c>
      <c r="AZ179" s="160" t="s">
        <v>963</v>
      </c>
      <c r="BA179" s="127">
        <v>6.604</v>
      </c>
      <c r="BB179" s="1" t="s">
        <v>430</v>
      </c>
    </row>
    <row r="180" spans="5:54">
      <c r="E180" t="s">
        <v>1267</v>
      </c>
      <c r="F180">
        <v>1</v>
      </c>
      <c r="G180" s="1" t="str">
        <f>VLOOKUP(E:E,'3店'!$B:$B,1,0)</f>
        <v>Y3111-GR</v>
      </c>
      <c r="H180" t="s">
        <v>1138</v>
      </c>
      <c r="I180">
        <v>1</v>
      </c>
      <c r="J180" s="1" t="str">
        <f>VLOOKUP(H:H,'3店'!$B:$B,1,0)</f>
        <v>Y3088-GN</v>
      </c>
      <c r="AN180" s="1">
        <f t="shared" si="12"/>
        <v>0</v>
      </c>
      <c r="AP180" s="29" t="s">
        <v>969</v>
      </c>
      <c r="AQ180" s="107">
        <v>29.92</v>
      </c>
      <c r="AR180" s="1">
        <f t="shared" si="11"/>
        <v>146.608</v>
      </c>
      <c r="AT180" s="45" t="s">
        <v>1089</v>
      </c>
      <c r="AU180" s="44">
        <v>547.2</v>
      </c>
      <c r="AV180" s="35"/>
      <c r="AW180" s="45" t="s">
        <v>1064</v>
      </c>
      <c r="AX180" s="44">
        <v>1714.5</v>
      </c>
      <c r="AZ180" s="160" t="s">
        <v>1036</v>
      </c>
      <c r="BA180" s="127">
        <v>4.47</v>
      </c>
      <c r="BB180" s="1" t="s">
        <v>430</v>
      </c>
    </row>
    <row r="181" spans="5:54">
      <c r="E181" t="s">
        <v>1129</v>
      </c>
      <c r="F181">
        <v>1</v>
      </c>
      <c r="G181" s="1" t="str">
        <f>VLOOKUP(E:E,'3店'!$B:$B,1,0)</f>
        <v>Y3022-BL+Y3023+Y3024</v>
      </c>
      <c r="H181" t="s">
        <v>1190</v>
      </c>
      <c r="I181">
        <v>19</v>
      </c>
      <c r="J181" s="1" t="str">
        <f>VLOOKUP(H:H,'3店'!$B:$B,1,0)</f>
        <v>Y3102-BL+Y3103</v>
      </c>
      <c r="AN181" s="1">
        <f t="shared" si="12"/>
        <v>0</v>
      </c>
      <c r="AP181" s="29" t="s">
        <v>995</v>
      </c>
      <c r="AQ181" s="107">
        <v>30.92</v>
      </c>
      <c r="AR181" s="1">
        <f t="shared" si="11"/>
        <v>151.508</v>
      </c>
      <c r="AT181" s="45" t="s">
        <v>1092</v>
      </c>
      <c r="AU181" s="44">
        <v>547.2</v>
      </c>
      <c r="AV181" s="35"/>
      <c r="AW181" s="45" t="s">
        <v>1067</v>
      </c>
      <c r="AX181" s="44">
        <v>190.5</v>
      </c>
      <c r="AZ181" s="160" t="s">
        <v>1039</v>
      </c>
      <c r="BA181" s="127">
        <v>4.187</v>
      </c>
      <c r="BB181" s="1" t="s">
        <v>430</v>
      </c>
    </row>
    <row r="182" spans="5:54">
      <c r="E182" t="s">
        <v>969</v>
      </c>
      <c r="F182">
        <v>1</v>
      </c>
      <c r="G182" s="1" t="str">
        <f>VLOOKUP(E:E,'3店'!$B:$B,1,0)</f>
        <v>Y3046-BY+Y3047+Y3048</v>
      </c>
      <c r="H182" t="s">
        <v>1199</v>
      </c>
      <c r="I182">
        <v>6</v>
      </c>
      <c r="J182" s="1" t="str">
        <f>VLOOKUP(H:H,'3店'!$B:$B,1,0)</f>
        <v>Y3102-NB+Y3103</v>
      </c>
      <c r="AN182" s="1">
        <f t="shared" si="12"/>
        <v>0</v>
      </c>
      <c r="AP182" s="29" t="s">
        <v>1141</v>
      </c>
      <c r="AQ182" s="107">
        <v>27.99</v>
      </c>
      <c r="AR182" s="1">
        <f t="shared" si="11"/>
        <v>137.151</v>
      </c>
      <c r="AT182" s="45" t="s">
        <v>1095</v>
      </c>
      <c r="AU182" s="44">
        <v>395.2</v>
      </c>
      <c r="AV182" s="35"/>
      <c r="AW182" s="45" t="s">
        <v>1070</v>
      </c>
      <c r="AX182" s="44">
        <v>381</v>
      </c>
      <c r="AZ182" s="160" t="s">
        <v>1041</v>
      </c>
      <c r="BA182" s="127">
        <v>4.305</v>
      </c>
      <c r="BB182" s="1" t="s">
        <v>430</v>
      </c>
    </row>
    <row r="183" spans="5:54">
      <c r="E183" t="s">
        <v>1162</v>
      </c>
      <c r="F183">
        <v>1</v>
      </c>
      <c r="G183" s="1" t="str">
        <f>VLOOKUP(E:E,'3店'!$B:$B,1,0)</f>
        <v>Y3092-OR+Y3093+Y3094</v>
      </c>
      <c r="H183" t="s">
        <v>1220</v>
      </c>
      <c r="I183">
        <v>9</v>
      </c>
      <c r="J183" s="1" t="str">
        <f>VLOOKUP(H:H,'3店'!$B:$B,1,0)</f>
        <v>Y3106-BL+Y3107</v>
      </c>
      <c r="AN183" s="1">
        <f t="shared" si="12"/>
        <v>0</v>
      </c>
      <c r="AP183" s="29" t="s">
        <v>1162</v>
      </c>
      <c r="AQ183" s="107">
        <v>27.99</v>
      </c>
      <c r="AR183" s="1">
        <f t="shared" si="11"/>
        <v>137.151</v>
      </c>
      <c r="AT183" s="45" t="s">
        <v>1098</v>
      </c>
      <c r="AU183" s="44">
        <v>668.8</v>
      </c>
      <c r="AV183" s="35"/>
      <c r="AW183" s="45" t="s">
        <v>1073</v>
      </c>
      <c r="AX183" s="44">
        <v>330.2</v>
      </c>
      <c r="AZ183" s="160" t="s">
        <v>1043</v>
      </c>
      <c r="BA183" s="127">
        <v>4.357</v>
      </c>
      <c r="BB183" s="1" t="s">
        <v>430</v>
      </c>
    </row>
    <row r="184" spans="5:54">
      <c r="E184" t="s">
        <v>1167</v>
      </c>
      <c r="F184">
        <v>1</v>
      </c>
      <c r="G184" s="1" t="str">
        <f>VLOOKUP(E:E,'3店'!$B:$B,1,0)</f>
        <v>Y3095-GR</v>
      </c>
      <c r="H184" t="s">
        <v>813</v>
      </c>
      <c r="I184">
        <v>4</v>
      </c>
      <c r="J184" s="1" t="str">
        <f>VLOOKUP(H:H,'3店'!$B:$B,1,0)</f>
        <v>Y3022-GK+Y3023+Y3024</v>
      </c>
      <c r="AN184" s="1">
        <f t="shared" si="12"/>
        <v>0</v>
      </c>
      <c r="AP184" s="29" t="s">
        <v>1158</v>
      </c>
      <c r="AQ184" s="107">
        <v>27.99</v>
      </c>
      <c r="AR184" s="1">
        <f t="shared" si="11"/>
        <v>137.151</v>
      </c>
      <c r="AT184" s="45" t="s">
        <v>1101</v>
      </c>
      <c r="AU184" s="44">
        <v>440.8</v>
      </c>
      <c r="AV184" s="35"/>
      <c r="AW184" s="45" t="s">
        <v>1075</v>
      </c>
      <c r="AX184" s="44">
        <v>114.3</v>
      </c>
      <c r="AZ184" s="160" t="s">
        <v>1045</v>
      </c>
      <c r="BA184" s="127">
        <v>4.142</v>
      </c>
      <c r="BB184" s="1" t="s">
        <v>430</v>
      </c>
    </row>
    <row r="185" spans="5:54">
      <c r="E185" t="s">
        <v>439</v>
      </c>
      <c r="F185">
        <v>2087</v>
      </c>
      <c r="H185" t="s">
        <v>678</v>
      </c>
      <c r="I185">
        <v>13</v>
      </c>
      <c r="J185" s="1" t="str">
        <f>VLOOKUP(H:H,'3店'!$B:$B,1,0)</f>
        <v>Y03451-TG+Y03478</v>
      </c>
      <c r="AN185" s="1">
        <f t="shared" si="12"/>
        <v>0</v>
      </c>
      <c r="AP185" s="29" t="s">
        <v>1156</v>
      </c>
      <c r="AQ185" s="107">
        <v>27.99</v>
      </c>
      <c r="AR185" s="1">
        <f t="shared" si="11"/>
        <v>137.151</v>
      </c>
      <c r="AT185" s="45" t="s">
        <v>1104</v>
      </c>
      <c r="AU185" s="44">
        <v>660.4</v>
      </c>
      <c r="AV185" s="35"/>
      <c r="AW185" s="45" t="s">
        <v>1077</v>
      </c>
      <c r="AX185" s="44">
        <v>533.4</v>
      </c>
      <c r="AZ185" s="160" t="s">
        <v>1047</v>
      </c>
      <c r="BA185" s="127">
        <v>4.229</v>
      </c>
      <c r="BB185" s="1" t="s">
        <v>430</v>
      </c>
    </row>
    <row r="186" spans="5:54">
      <c r="E186"/>
      <c r="F186"/>
      <c r="H186" t="s">
        <v>937</v>
      </c>
      <c r="I186">
        <v>3</v>
      </c>
      <c r="J186" s="1" t="str">
        <f>VLOOKUP(H:H,'3店'!$B:$B,1,0)</f>
        <v>Y3036-GK</v>
      </c>
      <c r="AN186" s="1">
        <f t="shared" si="12"/>
        <v>0</v>
      </c>
      <c r="AP186" s="29" t="s">
        <v>1167</v>
      </c>
      <c r="AQ186" s="107">
        <v>27.99</v>
      </c>
      <c r="AR186" s="1">
        <f t="shared" si="11"/>
        <v>137.151</v>
      </c>
      <c r="AT186" s="45" t="s">
        <v>1107</v>
      </c>
      <c r="AU186" s="44">
        <v>820.1</v>
      </c>
      <c r="AV186" s="35"/>
      <c r="AW186" s="45" t="s">
        <v>1080</v>
      </c>
      <c r="AX186" s="44">
        <v>203.2</v>
      </c>
      <c r="AZ186" s="160" t="s">
        <v>1010</v>
      </c>
      <c r="BA186" s="127">
        <v>1.651</v>
      </c>
      <c r="BB186" s="1" t="s">
        <v>430</v>
      </c>
    </row>
    <row r="187" spans="8:54">
      <c r="H187" t="s">
        <v>1030</v>
      </c>
      <c r="I187">
        <v>2</v>
      </c>
      <c r="J187" s="1" t="str">
        <f>VLOOKUP(H:H,'3店'!$B:$B,1,0)</f>
        <v>Y3056-LP+Y3057</v>
      </c>
      <c r="AN187" s="1">
        <f t="shared" si="12"/>
        <v>0</v>
      </c>
      <c r="AR187" s="1">
        <f t="shared" ref="AR177:AR196" si="13">AQ187*4.9</f>
        <v>0</v>
      </c>
      <c r="AT187" s="45" t="s">
        <v>1110</v>
      </c>
      <c r="AU187" s="44">
        <v>403.1</v>
      </c>
      <c r="AV187" s="35"/>
      <c r="AW187" s="45" t="s">
        <v>1082</v>
      </c>
      <c r="AX187" s="44">
        <v>254</v>
      </c>
      <c r="AZ187" s="160" t="s">
        <v>1013</v>
      </c>
      <c r="BA187" s="127">
        <v>1.647</v>
      </c>
      <c r="BB187" s="1" t="s">
        <v>430</v>
      </c>
    </row>
    <row r="188" spans="8:54">
      <c r="H188" t="s">
        <v>1226</v>
      </c>
      <c r="I188">
        <v>3</v>
      </c>
      <c r="J188" s="1" t="str">
        <f>VLOOKUP(H:H,'3店'!$B:$B,1,0)</f>
        <v>Y3106-GY+Y3107</v>
      </c>
      <c r="AN188" s="1">
        <f t="shared" si="12"/>
        <v>0</v>
      </c>
      <c r="AR188" s="1">
        <f t="shared" si="13"/>
        <v>0</v>
      </c>
      <c r="AT188" s="45" t="s">
        <v>1112</v>
      </c>
      <c r="AU188" s="44">
        <v>625.5</v>
      </c>
      <c r="AV188" s="35"/>
      <c r="AW188" s="45" t="s">
        <v>1085</v>
      </c>
      <c r="AX188" s="44">
        <v>342.9</v>
      </c>
      <c r="AZ188" s="160" t="s">
        <v>1015</v>
      </c>
      <c r="BA188" s="127">
        <v>1.646</v>
      </c>
      <c r="BB188" s="1" t="s">
        <v>430</v>
      </c>
    </row>
    <row r="189" spans="8:54">
      <c r="H189" t="s">
        <v>1196</v>
      </c>
      <c r="I189">
        <v>2</v>
      </c>
      <c r="J189" s="1" t="str">
        <f>VLOOKUP(H:H,'3店'!$B:$B,1,0)</f>
        <v>Y3102-GY+Y3103</v>
      </c>
      <c r="AN189" s="1">
        <f t="shared" si="12"/>
        <v>0</v>
      </c>
      <c r="AR189" s="1">
        <f t="shared" si="13"/>
        <v>0</v>
      </c>
      <c r="AT189" s="45" t="s">
        <v>1114</v>
      </c>
      <c r="AU189" s="44">
        <v>403.1</v>
      </c>
      <c r="AV189" s="35"/>
      <c r="AW189" s="45" t="s">
        <v>1087</v>
      </c>
      <c r="AX189" s="44">
        <v>203.2</v>
      </c>
      <c r="AZ189" s="160" t="s">
        <v>1017</v>
      </c>
      <c r="BA189" s="127">
        <v>1.647</v>
      </c>
      <c r="BB189" s="1" t="s">
        <v>430</v>
      </c>
    </row>
    <row r="190" spans="8:54">
      <c r="H190" t="s">
        <v>1214</v>
      </c>
      <c r="I190">
        <v>2</v>
      </c>
      <c r="J190" s="1" t="str">
        <f>VLOOKUP(H:H,'3店'!$B:$B,1,0)</f>
        <v>Y3104-NB+Y3105</v>
      </c>
      <c r="AN190" s="1">
        <f t="shared" si="12"/>
        <v>0</v>
      </c>
      <c r="AR190" s="1">
        <f t="shared" si="13"/>
        <v>0</v>
      </c>
      <c r="AT190" s="45" t="s">
        <v>1116</v>
      </c>
      <c r="AU190" s="44">
        <v>556</v>
      </c>
      <c r="AV190" s="35"/>
      <c r="AW190" s="45" t="s">
        <v>1089</v>
      </c>
      <c r="AX190" s="44">
        <v>547.2</v>
      </c>
      <c r="AZ190" s="160" t="s">
        <v>1019</v>
      </c>
      <c r="BA190" s="127">
        <v>1.651</v>
      </c>
      <c r="BB190" s="1" t="s">
        <v>430</v>
      </c>
    </row>
    <row r="191" spans="8:54">
      <c r="H191" t="s">
        <v>1302</v>
      </c>
      <c r="I191">
        <v>1</v>
      </c>
      <c r="J191" s="1" t="e">
        <f>VLOOKUP(H:H,'3店'!$B:$B,1,0)</f>
        <v>#N/A</v>
      </c>
      <c r="AN191" s="1">
        <f t="shared" si="12"/>
        <v>0</v>
      </c>
      <c r="AR191" s="1">
        <f t="shared" si="13"/>
        <v>0</v>
      </c>
      <c r="AT191" s="45" t="s">
        <v>1118</v>
      </c>
      <c r="AU191" s="44">
        <v>569.9</v>
      </c>
      <c r="AV191" s="35"/>
      <c r="AW191" s="45" t="s">
        <v>1092</v>
      </c>
      <c r="AX191" s="44">
        <v>547.2</v>
      </c>
      <c r="AZ191" s="160" t="s">
        <v>1021</v>
      </c>
      <c r="BA191" s="127">
        <v>1.647</v>
      </c>
      <c r="BB191" s="1" t="s">
        <v>430</v>
      </c>
    </row>
    <row r="192" spans="8:54">
      <c r="H192" t="s">
        <v>912</v>
      </c>
      <c r="I192">
        <v>1</v>
      </c>
      <c r="J192" s="1" t="str">
        <f>VLOOKUP(H:H,'3店'!$B:$B,1,0)</f>
        <v>Y3044-RE</v>
      </c>
      <c r="AN192" s="1">
        <f t="shared" si="12"/>
        <v>0</v>
      </c>
      <c r="AR192" s="1">
        <f t="shared" si="13"/>
        <v>0</v>
      </c>
      <c r="AT192" s="45" t="s">
        <v>1121</v>
      </c>
      <c r="AU192" s="44">
        <v>347.5</v>
      </c>
      <c r="AV192" s="35"/>
      <c r="AW192" s="45" t="s">
        <v>1095</v>
      </c>
      <c r="AX192" s="44">
        <v>395.2</v>
      </c>
      <c r="AZ192" s="160" t="s">
        <v>1023</v>
      </c>
      <c r="BA192" s="127">
        <v>4.353</v>
      </c>
      <c r="BB192" s="1" t="s">
        <v>430</v>
      </c>
    </row>
    <row r="193" spans="8:54">
      <c r="H193" t="s">
        <v>924</v>
      </c>
      <c r="I193">
        <v>1</v>
      </c>
      <c r="J193" s="1" t="str">
        <f>VLOOKUP(H:H,'3店'!$B:$B,1,0)</f>
        <v>Y3041-GR</v>
      </c>
      <c r="AR193" s="1">
        <f t="shared" si="13"/>
        <v>0</v>
      </c>
      <c r="AT193" s="45" t="s">
        <v>1123</v>
      </c>
      <c r="AU193" s="44">
        <v>375.3</v>
      </c>
      <c r="AV193" s="35"/>
      <c r="AW193" s="45" t="s">
        <v>1098</v>
      </c>
      <c r="AX193" s="44">
        <v>699.2</v>
      </c>
      <c r="AZ193" s="160" t="s">
        <v>1026</v>
      </c>
      <c r="BA193" s="127">
        <v>1.647</v>
      </c>
      <c r="BB193" s="1" t="s">
        <v>430</v>
      </c>
    </row>
    <row r="194" spans="8:54">
      <c r="H194" t="s">
        <v>944</v>
      </c>
      <c r="I194">
        <v>1</v>
      </c>
      <c r="J194" s="1" t="str">
        <f>VLOOKUP(H:H,'3店'!$B:$B,1,0)</f>
        <v>Y3039-DB</v>
      </c>
      <c r="AR194" s="1">
        <f t="shared" si="13"/>
        <v>0</v>
      </c>
      <c r="AT194" s="45" t="s">
        <v>1125</v>
      </c>
      <c r="AU194" s="44">
        <v>389.2</v>
      </c>
      <c r="AV194" s="35"/>
      <c r="AW194" s="45" t="s">
        <v>1101</v>
      </c>
      <c r="AX194" s="44">
        <v>440.8</v>
      </c>
      <c r="AZ194" s="160" t="s">
        <v>1028</v>
      </c>
      <c r="BA194" s="127">
        <v>1.646</v>
      </c>
      <c r="BB194" s="1" t="s">
        <v>430</v>
      </c>
    </row>
    <row r="195" spans="8:54">
      <c r="H195" t="s">
        <v>1110</v>
      </c>
      <c r="I195">
        <v>1</v>
      </c>
      <c r="J195" s="1" t="str">
        <f>VLOOKUP(H:H,'3店'!$B:$B,1,0)</f>
        <v>Y3082-BY+Y3083+Y3084</v>
      </c>
      <c r="AR195" s="1">
        <f t="shared" si="13"/>
        <v>0</v>
      </c>
      <c r="AT195" s="45" t="s">
        <v>1127</v>
      </c>
      <c r="AU195" s="44">
        <v>458.7</v>
      </c>
      <c r="AV195" s="35"/>
      <c r="AW195" s="45" t="s">
        <v>1104</v>
      </c>
      <c r="AX195" s="44">
        <v>647.7</v>
      </c>
      <c r="AZ195" s="160" t="s">
        <v>1030</v>
      </c>
      <c r="BA195" s="127">
        <v>1.647</v>
      </c>
      <c r="BB195" s="1" t="s">
        <v>430</v>
      </c>
    </row>
    <row r="196" spans="8:54">
      <c r="H196" t="s">
        <v>1229</v>
      </c>
      <c r="I196">
        <v>1</v>
      </c>
      <c r="J196" s="1" t="str">
        <f>VLOOKUP(H:H,'3店'!$B:$B,1,0)</f>
        <v>Y3106-NB+Y3107</v>
      </c>
      <c r="AR196" s="1">
        <f t="shared" si="13"/>
        <v>0</v>
      </c>
      <c r="AT196" s="45" t="s">
        <v>1129</v>
      </c>
      <c r="AU196" s="44">
        <v>13.9</v>
      </c>
      <c r="AV196" s="35"/>
      <c r="AW196" s="45" t="s">
        <v>1107</v>
      </c>
      <c r="AX196" s="44">
        <v>834</v>
      </c>
      <c r="AZ196" s="160" t="s">
        <v>1032</v>
      </c>
      <c r="BA196" s="127">
        <v>1.771</v>
      </c>
      <c r="BB196" s="1" t="s">
        <v>430</v>
      </c>
    </row>
    <row r="197" spans="8:54">
      <c r="H197" t="s">
        <v>1187</v>
      </c>
      <c r="I197">
        <v>1</v>
      </c>
      <c r="J197" s="1" t="str">
        <f>VLOOKUP(H:H,'3店'!$B:$B,1,0)</f>
        <v>Y3102-BG+Y3103</v>
      </c>
      <c r="AR197" s="1">
        <f>AQ197*$AS$1</f>
        <v>0</v>
      </c>
      <c r="AT197" s="45" t="s">
        <v>1132</v>
      </c>
      <c r="AU197" s="44">
        <v>68.5</v>
      </c>
      <c r="AV197" s="35"/>
      <c r="AW197" s="45" t="s">
        <v>1110</v>
      </c>
      <c r="AX197" s="44">
        <v>417</v>
      </c>
      <c r="AZ197" s="160" t="s">
        <v>1034</v>
      </c>
      <c r="BA197" s="127">
        <v>1.647</v>
      </c>
      <c r="BB197" s="1" t="s">
        <v>430</v>
      </c>
    </row>
    <row r="198" spans="8:54">
      <c r="H198" t="s">
        <v>1193</v>
      </c>
      <c r="I198">
        <v>1</v>
      </c>
      <c r="J198" s="1" t="str">
        <f>VLOOKUP(H:H,'3店'!$B:$B,1,0)</f>
        <v>Y3102-GN+Y3103</v>
      </c>
      <c r="AR198" s="1">
        <f>AQ198*$AS$1</f>
        <v>0</v>
      </c>
      <c r="AT198" s="45" t="s">
        <v>1135</v>
      </c>
      <c r="AU198" s="44">
        <v>200</v>
      </c>
      <c r="AV198" s="35"/>
      <c r="AW198" s="45" t="s">
        <v>1112</v>
      </c>
      <c r="AX198" s="44">
        <v>625.5</v>
      </c>
      <c r="AZ198" s="160" t="s">
        <v>1064</v>
      </c>
      <c r="BA198" s="127">
        <v>3.528</v>
      </c>
      <c r="BB198" s="1" t="s">
        <v>430</v>
      </c>
    </row>
    <row r="199" spans="8:54">
      <c r="H199" t="s">
        <v>1217</v>
      </c>
      <c r="I199">
        <v>1</v>
      </c>
      <c r="J199" s="1" t="str">
        <f>VLOOKUP(H:H,'3店'!$B:$B,1,0)</f>
        <v>Y3106-BG+Y3107</v>
      </c>
      <c r="AR199" s="1">
        <f>AQ199*$AS$1</f>
        <v>0</v>
      </c>
      <c r="AT199" s="45" t="s">
        <v>1138</v>
      </c>
      <c r="AU199" s="44">
        <v>225</v>
      </c>
      <c r="AV199" s="35"/>
      <c r="AW199" s="45" t="s">
        <v>1114</v>
      </c>
      <c r="AX199" s="44">
        <v>403.1</v>
      </c>
      <c r="AZ199" s="160" t="s">
        <v>1073</v>
      </c>
      <c r="BA199" s="127">
        <v>3.454</v>
      </c>
      <c r="BB199" s="1" t="s">
        <v>430</v>
      </c>
    </row>
    <row r="200" spans="8:54">
      <c r="H200" t="s">
        <v>1141</v>
      </c>
      <c r="I200">
        <v>1</v>
      </c>
      <c r="J200" s="1" t="str">
        <f>VLOOKUP(H:H,'3店'!$B:$B,1,0)</f>
        <v>Y3088-GY</v>
      </c>
      <c r="AR200" s="1">
        <f>AQ200*$AS$1</f>
        <v>0</v>
      </c>
      <c r="AT200" s="45" t="s">
        <v>1141</v>
      </c>
      <c r="AU200" s="44">
        <v>250</v>
      </c>
      <c r="AV200" s="35"/>
      <c r="AW200" s="45" t="s">
        <v>1116</v>
      </c>
      <c r="AX200" s="44">
        <v>556</v>
      </c>
      <c r="AZ200" s="160" t="s">
        <v>1067</v>
      </c>
      <c r="BA200" s="127">
        <v>4.109</v>
      </c>
      <c r="BB200" s="1" t="s">
        <v>430</v>
      </c>
    </row>
    <row r="201" spans="8:54">
      <c r="H201" t="s">
        <v>1158</v>
      </c>
      <c r="I201">
        <v>2</v>
      </c>
      <c r="J201" s="1" t="str">
        <f>VLOOKUP(H:H,'3店'!$B:$B,1,0)</f>
        <v>Y3092-DB+Y3093+Y3094</v>
      </c>
      <c r="AT201" s="45" t="s">
        <v>1144</v>
      </c>
      <c r="AU201" s="44">
        <v>362.5</v>
      </c>
      <c r="AV201" s="35"/>
      <c r="AW201" s="45" t="s">
        <v>1118</v>
      </c>
      <c r="AX201" s="44">
        <v>653.3</v>
      </c>
      <c r="AZ201" s="160" t="s">
        <v>1070</v>
      </c>
      <c r="BA201" s="127">
        <v>3.228</v>
      </c>
      <c r="BB201" s="1" t="s">
        <v>430</v>
      </c>
    </row>
    <row r="202" spans="8:54">
      <c r="H202" t="s">
        <v>1156</v>
      </c>
      <c r="I202">
        <v>1</v>
      </c>
      <c r="J202" s="1" t="str">
        <f>VLOOKUP(H:H,'3店'!$B:$B,1,0)</f>
        <v>Y3092-BY+Y3093+Y3094</v>
      </c>
      <c r="AT202" s="45" t="s">
        <v>1146</v>
      </c>
      <c r="AU202" s="44">
        <v>139</v>
      </c>
      <c r="AW202" s="45" t="s">
        <v>1121</v>
      </c>
      <c r="AX202" s="44">
        <v>361.4</v>
      </c>
      <c r="AZ202" s="160" t="s">
        <v>1075</v>
      </c>
      <c r="BA202" s="127">
        <v>3.204</v>
      </c>
      <c r="BB202" s="1" t="s">
        <v>430</v>
      </c>
    </row>
    <row r="203" spans="8:54">
      <c r="H203" t="s">
        <v>1261</v>
      </c>
      <c r="I203">
        <v>5</v>
      </c>
      <c r="J203" s="1" t="str">
        <f>VLOOKUP(H:H,'3店'!$B:$B,1,0)</f>
        <v>Y3111-BL</v>
      </c>
      <c r="AT203" s="45" t="s">
        <v>1149</v>
      </c>
      <c r="AU203" s="44">
        <v>264.1</v>
      </c>
      <c r="AW203" s="45" t="s">
        <v>1123</v>
      </c>
      <c r="AX203" s="44">
        <v>375.3</v>
      </c>
      <c r="AZ203" s="160" t="s">
        <v>1077</v>
      </c>
      <c r="BA203" s="127">
        <v>3.095</v>
      </c>
      <c r="BB203" s="1" t="s">
        <v>430</v>
      </c>
    </row>
    <row r="204" spans="8:54">
      <c r="H204" t="s">
        <v>1270</v>
      </c>
      <c r="I204">
        <v>2</v>
      </c>
      <c r="J204" s="1" t="str">
        <f>VLOOKUP(H:H,'3店'!$B:$B,1,0)</f>
        <v>Y3111-NB</v>
      </c>
      <c r="AT204" s="45" t="s">
        <v>1151</v>
      </c>
      <c r="AU204" s="44">
        <v>125.1</v>
      </c>
      <c r="AW204" s="45" t="s">
        <v>1125</v>
      </c>
      <c r="AX204" s="44">
        <v>375.3</v>
      </c>
      <c r="AZ204" s="160" t="s">
        <v>1082</v>
      </c>
      <c r="BA204" s="127">
        <v>1.455</v>
      </c>
      <c r="BB204" s="1" t="s">
        <v>430</v>
      </c>
    </row>
    <row r="205" spans="8:54">
      <c r="H205" t="s">
        <v>1249</v>
      </c>
      <c r="I205">
        <v>2</v>
      </c>
      <c r="J205" s="1" t="str">
        <f>VLOOKUP(H:H,'3店'!$B:$B,1,0)</f>
        <v>Y3110-BL</v>
      </c>
      <c r="AT205" s="45" t="s">
        <v>1153</v>
      </c>
      <c r="AU205" s="44">
        <v>83.4</v>
      </c>
      <c r="AW205" s="45" t="s">
        <v>1127</v>
      </c>
      <c r="AX205" s="44">
        <v>472.6</v>
      </c>
      <c r="AZ205" s="160" t="s">
        <v>1085</v>
      </c>
      <c r="BA205" s="127">
        <v>1.631</v>
      </c>
      <c r="BB205" s="1" t="s">
        <v>430</v>
      </c>
    </row>
    <row r="206" spans="8:54">
      <c r="H206" t="s">
        <v>1252</v>
      </c>
      <c r="I206">
        <v>1</v>
      </c>
      <c r="J206" s="1" t="str">
        <f>VLOOKUP(H:H,'3店'!$B:$B,1,0)</f>
        <v>Y3110-GN</v>
      </c>
      <c r="AT206" s="45" t="s">
        <v>1156</v>
      </c>
      <c r="AU206" s="44">
        <v>236.3</v>
      </c>
      <c r="AW206" s="45" t="s">
        <v>1129</v>
      </c>
      <c r="AX206" s="44">
        <v>13.9</v>
      </c>
      <c r="AZ206" s="160" t="s">
        <v>1080</v>
      </c>
      <c r="BA206" s="127">
        <v>1.504</v>
      </c>
      <c r="BB206" s="1" t="s">
        <v>430</v>
      </c>
    </row>
    <row r="207" spans="8:54">
      <c r="H207" t="s">
        <v>1267</v>
      </c>
      <c r="I207">
        <v>1</v>
      </c>
      <c r="J207" s="1" t="str">
        <f>VLOOKUP(H:H,'3店'!$B:$B,1,0)</f>
        <v>Y3111-GR</v>
      </c>
      <c r="AT207" s="45" t="s">
        <v>1158</v>
      </c>
      <c r="AU207" s="44">
        <v>180.7</v>
      </c>
      <c r="AW207" s="45" t="s">
        <v>1135</v>
      </c>
      <c r="AX207" s="44">
        <v>225</v>
      </c>
      <c r="AZ207" s="160" t="s">
        <v>1087</v>
      </c>
      <c r="BA207" s="127">
        <v>1.458</v>
      </c>
      <c r="BB207" s="1" t="s">
        <v>430</v>
      </c>
    </row>
    <row r="208" spans="8:54">
      <c r="H208" t="s">
        <v>1129</v>
      </c>
      <c r="I208">
        <v>1</v>
      </c>
      <c r="J208" s="1" t="str">
        <f>VLOOKUP(H:H,'3店'!$B:$B,1,0)</f>
        <v>Y3022-BL+Y3023+Y3024</v>
      </c>
      <c r="AT208" s="45" t="s">
        <v>1160</v>
      </c>
      <c r="AU208" s="44">
        <v>250.2</v>
      </c>
      <c r="AW208" s="45" t="s">
        <v>1138</v>
      </c>
      <c r="AX208" s="44">
        <v>237.5</v>
      </c>
      <c r="AZ208" s="160" t="s">
        <v>1107</v>
      </c>
      <c r="BA208" s="127">
        <v>1.779</v>
      </c>
      <c r="BB208" s="1" t="s">
        <v>430</v>
      </c>
    </row>
    <row r="209" spans="8:54">
      <c r="H209" t="s">
        <v>1167</v>
      </c>
      <c r="I209">
        <v>1</v>
      </c>
      <c r="J209" s="1" t="str">
        <f>VLOOKUP(H:H,'3店'!$B:$B,1,0)</f>
        <v>Y3095-GR</v>
      </c>
      <c r="AT209" s="45" t="s">
        <v>1162</v>
      </c>
      <c r="AU209" s="44">
        <v>361.4</v>
      </c>
      <c r="AW209" s="45" t="s">
        <v>1141</v>
      </c>
      <c r="AX209" s="44">
        <v>250</v>
      </c>
      <c r="AZ209" s="160" t="s">
        <v>1112</v>
      </c>
      <c r="BA209" s="127">
        <v>1.779</v>
      </c>
      <c r="BB209" s="1" t="s">
        <v>430</v>
      </c>
    </row>
    <row r="210" spans="8:54">
      <c r="H210" t="s">
        <v>439</v>
      </c>
      <c r="I210">
        <v>4274</v>
      </c>
      <c r="AT210" s="45" t="s">
        <v>1164</v>
      </c>
      <c r="AU210" s="44">
        <v>260.3</v>
      </c>
      <c r="AW210" s="45" t="s">
        <v>1144</v>
      </c>
      <c r="AX210" s="44">
        <v>362.5</v>
      </c>
      <c r="AZ210" s="160" t="s">
        <v>1116</v>
      </c>
      <c r="BA210" s="127">
        <v>1.779</v>
      </c>
      <c r="BB210" s="1" t="s">
        <v>430</v>
      </c>
    </row>
    <row r="211" spans="8:54">
      <c r="H211"/>
      <c r="I211"/>
      <c r="AT211" s="45" t="s">
        <v>1167</v>
      </c>
      <c r="AU211" s="44">
        <v>274</v>
      </c>
      <c r="AW211" s="45" t="s">
        <v>1146</v>
      </c>
      <c r="AX211" s="44">
        <v>139</v>
      </c>
      <c r="AZ211" s="160" t="s">
        <v>1114</v>
      </c>
      <c r="BA211" s="127">
        <v>1.779</v>
      </c>
      <c r="BB211" s="1" t="s">
        <v>430</v>
      </c>
    </row>
    <row r="212" spans="8:54">
      <c r="H212"/>
      <c r="I212"/>
      <c r="AT212" s="45" t="s">
        <v>1170</v>
      </c>
      <c r="AU212" s="44">
        <v>465.8</v>
      </c>
      <c r="AW212" s="45" t="s">
        <v>1149</v>
      </c>
      <c r="AX212" s="44">
        <v>264.1</v>
      </c>
      <c r="AZ212" s="160" t="s">
        <v>1110</v>
      </c>
      <c r="BA212" s="127">
        <v>1.779</v>
      </c>
      <c r="BB212" s="1" t="s">
        <v>430</v>
      </c>
    </row>
    <row r="213" spans="8:54">
      <c r="H213"/>
      <c r="I213"/>
      <c r="AT213" s="45" t="s">
        <v>1173</v>
      </c>
      <c r="AU213" s="44">
        <v>1556.8</v>
      </c>
      <c r="AW213" s="45" t="s">
        <v>1151</v>
      </c>
      <c r="AX213" s="44">
        <v>125.1</v>
      </c>
      <c r="AZ213" s="160" t="s">
        <v>1125</v>
      </c>
      <c r="BA213" s="127">
        <v>7.121</v>
      </c>
      <c r="BB213" s="1" t="s">
        <v>430</v>
      </c>
    </row>
    <row r="214" spans="8:54">
      <c r="H214"/>
      <c r="I214"/>
      <c r="AT214" s="45" t="s">
        <v>1176</v>
      </c>
      <c r="AU214" s="44">
        <v>834</v>
      </c>
      <c r="AW214" s="45" t="s">
        <v>1153</v>
      </c>
      <c r="AX214" s="44">
        <v>222.4</v>
      </c>
      <c r="AZ214" s="160" t="s">
        <v>1118</v>
      </c>
      <c r="BA214" s="127">
        <v>7.121</v>
      </c>
      <c r="BB214" s="1" t="s">
        <v>430</v>
      </c>
    </row>
    <row r="215" spans="46:54">
      <c r="AT215" s="45" t="s">
        <v>1178</v>
      </c>
      <c r="AU215" s="44">
        <v>764.5</v>
      </c>
      <c r="AW215" s="45" t="s">
        <v>1156</v>
      </c>
      <c r="AX215" s="44">
        <v>250.2</v>
      </c>
      <c r="AZ215" s="160" t="s">
        <v>1121</v>
      </c>
      <c r="BA215" s="127">
        <v>7.121</v>
      </c>
      <c r="BB215" s="1" t="s">
        <v>430</v>
      </c>
    </row>
    <row r="216" spans="46:54">
      <c r="AT216" s="45" t="s">
        <v>1180</v>
      </c>
      <c r="AU216" s="44">
        <v>722.8</v>
      </c>
      <c r="AW216" s="45" t="s">
        <v>1158</v>
      </c>
      <c r="AX216" s="44">
        <v>194.6</v>
      </c>
      <c r="AZ216" s="160" t="s">
        <v>1123</v>
      </c>
      <c r="BA216" s="127">
        <v>7.121</v>
      </c>
      <c r="BB216" s="1" t="s">
        <v>430</v>
      </c>
    </row>
    <row r="217" spans="46:54">
      <c r="AT217" s="45" t="s">
        <v>1182</v>
      </c>
      <c r="AU217" s="44">
        <v>1334.4</v>
      </c>
      <c r="AW217" s="45" t="s">
        <v>1160</v>
      </c>
      <c r="AX217" s="44">
        <v>250.2</v>
      </c>
      <c r="AZ217" s="160" t="s">
        <v>1127</v>
      </c>
      <c r="BA217" s="127">
        <v>7.121</v>
      </c>
      <c r="BB217" s="1" t="s">
        <v>430</v>
      </c>
    </row>
    <row r="218" spans="46:54">
      <c r="AT218" s="45" t="s">
        <v>1184</v>
      </c>
      <c r="AU218" s="44">
        <v>152.9</v>
      </c>
      <c r="AW218" s="45" t="s">
        <v>1162</v>
      </c>
      <c r="AX218" s="44">
        <v>361.4</v>
      </c>
      <c r="AZ218" s="160" t="s">
        <v>1180</v>
      </c>
      <c r="BA218" s="127">
        <v>4.983</v>
      </c>
      <c r="BB218" s="1" t="s">
        <v>430</v>
      </c>
    </row>
    <row r="219" spans="46:54">
      <c r="AT219" s="45" t="s">
        <v>1187</v>
      </c>
      <c r="AU219" s="44">
        <v>440.8</v>
      </c>
      <c r="AW219" s="45" t="s">
        <v>1164</v>
      </c>
      <c r="AX219" s="44">
        <v>260.3</v>
      </c>
      <c r="AZ219" s="160" t="s">
        <v>1176</v>
      </c>
      <c r="BA219" s="127">
        <v>5.912</v>
      </c>
      <c r="BB219" s="1" t="s">
        <v>430</v>
      </c>
    </row>
    <row r="220" spans="46:54">
      <c r="AT220" s="45" t="s">
        <v>1190</v>
      </c>
      <c r="AU220" s="44">
        <v>2188.8</v>
      </c>
      <c r="AW220" s="45" t="s">
        <v>1167</v>
      </c>
      <c r="AX220" s="44">
        <v>274</v>
      </c>
      <c r="AZ220" s="160" t="s">
        <v>1178</v>
      </c>
      <c r="BA220" s="127">
        <v>4.939</v>
      </c>
      <c r="BB220" s="1" t="s">
        <v>430</v>
      </c>
    </row>
    <row r="221" spans="46:54">
      <c r="AT221" s="45" t="s">
        <v>1193</v>
      </c>
      <c r="AU221" s="44">
        <v>440.8</v>
      </c>
      <c r="AW221" s="45" t="s">
        <v>1170</v>
      </c>
      <c r="AX221" s="44">
        <v>465.8</v>
      </c>
      <c r="AZ221" s="160" t="s">
        <v>1173</v>
      </c>
      <c r="BA221" s="127">
        <v>6.119</v>
      </c>
      <c r="BB221" s="1" t="s">
        <v>430</v>
      </c>
    </row>
    <row r="222" spans="46:54">
      <c r="AT222" s="45" t="s">
        <v>1196</v>
      </c>
      <c r="AU222" s="44">
        <v>456</v>
      </c>
      <c r="AW222" s="45" t="s">
        <v>1173</v>
      </c>
      <c r="AX222" s="44">
        <v>1654.1</v>
      </c>
      <c r="AZ222" s="120" t="s">
        <v>1182</v>
      </c>
      <c r="BA222" s="120">
        <v>5.036</v>
      </c>
      <c r="BB222" s="1" t="s">
        <v>430</v>
      </c>
    </row>
    <row r="223" spans="46:54">
      <c r="AT223" s="45" t="s">
        <v>1199</v>
      </c>
      <c r="AU223" s="44">
        <v>1094.4</v>
      </c>
      <c r="AW223" s="45" t="s">
        <v>1176</v>
      </c>
      <c r="AX223" s="44">
        <v>959.1</v>
      </c>
      <c r="AZ223" t="s">
        <v>1187</v>
      </c>
      <c r="BA223">
        <v>2.425</v>
      </c>
      <c r="BB223" s="1" t="s">
        <v>430</v>
      </c>
    </row>
    <row r="224" spans="46:54">
      <c r="AT224" s="45" t="s">
        <v>1202</v>
      </c>
      <c r="AU224" s="44">
        <v>456</v>
      </c>
      <c r="AW224" s="45" t="s">
        <v>1178</v>
      </c>
      <c r="AX224" s="44">
        <v>736.7</v>
      </c>
      <c r="AZ224" t="s">
        <v>1190</v>
      </c>
      <c r="BA224">
        <v>2.425</v>
      </c>
      <c r="BB224" s="1" t="s">
        <v>430</v>
      </c>
    </row>
    <row r="225" spans="46:54">
      <c r="AT225" s="45" t="s">
        <v>1205</v>
      </c>
      <c r="AU225" s="44">
        <v>1170.4</v>
      </c>
      <c r="AW225" s="45" t="s">
        <v>1180</v>
      </c>
      <c r="AX225" s="44">
        <v>736.7</v>
      </c>
      <c r="AZ225" t="s">
        <v>1193</v>
      </c>
      <c r="BA225">
        <v>2.425</v>
      </c>
      <c r="BB225" s="1" t="s">
        <v>430</v>
      </c>
    </row>
    <row r="226" spans="46:54">
      <c r="AT226" s="45" t="s">
        <v>1208</v>
      </c>
      <c r="AU226" s="44">
        <v>410.4</v>
      </c>
      <c r="AW226" s="45" t="s">
        <v>1182</v>
      </c>
      <c r="AX226" s="44">
        <v>931.3</v>
      </c>
      <c r="AZ226" t="s">
        <v>1196</v>
      </c>
      <c r="BA226">
        <v>2.425</v>
      </c>
      <c r="BB226" s="1" t="s">
        <v>430</v>
      </c>
    </row>
    <row r="227" spans="46:54">
      <c r="AT227" s="45" t="s">
        <v>1211</v>
      </c>
      <c r="AU227" s="44">
        <v>425.6</v>
      </c>
      <c r="AW227" s="45" t="s">
        <v>1184</v>
      </c>
      <c r="AX227" s="44">
        <v>389.2</v>
      </c>
      <c r="AZ227" t="s">
        <v>1199</v>
      </c>
      <c r="BA227">
        <v>2.425</v>
      </c>
      <c r="BB227" s="1" t="s">
        <v>430</v>
      </c>
    </row>
    <row r="228" spans="46:54">
      <c r="AT228" s="45" t="s">
        <v>1214</v>
      </c>
      <c r="AU228" s="44">
        <v>729.6</v>
      </c>
      <c r="AW228" s="45" t="s">
        <v>1187</v>
      </c>
      <c r="AX228" s="44">
        <v>456</v>
      </c>
      <c r="AZ228" t="s">
        <v>1205</v>
      </c>
      <c r="BA228">
        <v>2.425</v>
      </c>
      <c r="BB228" s="1" t="s">
        <v>430</v>
      </c>
    </row>
    <row r="229" spans="46:54">
      <c r="AT229" s="45" t="s">
        <v>1217</v>
      </c>
      <c r="AU229" s="44">
        <v>440.8</v>
      </c>
      <c r="AW229" s="45" t="s">
        <v>1190</v>
      </c>
      <c r="AX229" s="44">
        <v>2416.8</v>
      </c>
      <c r="AZ229" t="s">
        <v>1208</v>
      </c>
      <c r="BA229">
        <v>2.079</v>
      </c>
      <c r="BB229" s="1" t="s">
        <v>430</v>
      </c>
    </row>
    <row r="230" spans="46:54">
      <c r="AT230" s="45" t="s">
        <v>1220</v>
      </c>
      <c r="AU230" s="44">
        <v>1155.2</v>
      </c>
      <c r="AW230" s="45" t="s">
        <v>1193</v>
      </c>
      <c r="AX230" s="44">
        <v>456</v>
      </c>
      <c r="AZ230" t="s">
        <v>1211</v>
      </c>
      <c r="BA230">
        <v>2.425</v>
      </c>
      <c r="BB230" s="1" t="s">
        <v>430</v>
      </c>
    </row>
    <row r="231" spans="46:54">
      <c r="AT231" s="45" t="s">
        <v>1223</v>
      </c>
      <c r="AU231" s="44">
        <v>456</v>
      </c>
      <c r="AW231" s="45" t="s">
        <v>1196</v>
      </c>
      <c r="AX231" s="44">
        <v>440.8</v>
      </c>
      <c r="AZ231" t="s">
        <v>1214</v>
      </c>
      <c r="BA231">
        <v>2.425</v>
      </c>
      <c r="BB231" s="1" t="s">
        <v>430</v>
      </c>
    </row>
    <row r="232" spans="46:54">
      <c r="AT232" s="45" t="s">
        <v>1226</v>
      </c>
      <c r="AU232" s="44">
        <v>440.8</v>
      </c>
      <c r="AW232" s="45" t="s">
        <v>1199</v>
      </c>
      <c r="AX232" s="44">
        <v>1200.8</v>
      </c>
      <c r="AZ232" t="s">
        <v>1202</v>
      </c>
      <c r="BA232">
        <v>2.425</v>
      </c>
      <c r="BB232" s="1" t="s">
        <v>430</v>
      </c>
    </row>
    <row r="233" spans="46:54">
      <c r="AT233" s="45" t="s">
        <v>1229</v>
      </c>
      <c r="AU233" s="44">
        <v>1109.6</v>
      </c>
      <c r="AW233" s="45" t="s">
        <v>1202</v>
      </c>
      <c r="AX233" s="44">
        <v>456</v>
      </c>
      <c r="AZ233" t="s">
        <v>1229</v>
      </c>
      <c r="BA233">
        <v>2.425</v>
      </c>
      <c r="BB233" s="1" t="s">
        <v>430</v>
      </c>
    </row>
    <row r="234" spans="46:54">
      <c r="AT234" s="45" t="s">
        <v>1232</v>
      </c>
      <c r="AU234" s="44">
        <v>319.2</v>
      </c>
      <c r="AW234" s="45" t="s">
        <v>1205</v>
      </c>
      <c r="AX234" s="44">
        <v>1185.6</v>
      </c>
      <c r="AZ234" t="s">
        <v>1217</v>
      </c>
      <c r="BA234">
        <v>2.425</v>
      </c>
      <c r="BB234" s="1" t="s">
        <v>430</v>
      </c>
    </row>
    <row r="235" spans="46:54">
      <c r="AT235" s="45" t="s">
        <v>1235</v>
      </c>
      <c r="AU235" s="44">
        <v>3040</v>
      </c>
      <c r="AW235" s="45" t="s">
        <v>1208</v>
      </c>
      <c r="AX235" s="44">
        <v>440.8</v>
      </c>
      <c r="AZ235" t="s">
        <v>1220</v>
      </c>
      <c r="BA235">
        <v>2.425</v>
      </c>
      <c r="BB235" s="1" t="s">
        <v>430</v>
      </c>
    </row>
    <row r="236" spans="46:54">
      <c r="AT236" s="45" t="s">
        <v>1238</v>
      </c>
      <c r="AU236" s="44">
        <v>410.4</v>
      </c>
      <c r="AW236" s="45" t="s">
        <v>1214</v>
      </c>
      <c r="AX236" s="44">
        <v>760</v>
      </c>
      <c r="AZ236" t="s">
        <v>1232</v>
      </c>
      <c r="BA236">
        <v>2.425</v>
      </c>
      <c r="BB236" s="1" t="s">
        <v>430</v>
      </c>
    </row>
    <row r="237" spans="46:54">
      <c r="AT237" s="45" t="s">
        <v>1241</v>
      </c>
      <c r="AU237" s="44">
        <v>228</v>
      </c>
      <c r="AW237" s="45" t="s">
        <v>1217</v>
      </c>
      <c r="AX237" s="44">
        <v>456</v>
      </c>
      <c r="AZ237" t="s">
        <v>1235</v>
      </c>
      <c r="BA237">
        <v>5.024</v>
      </c>
      <c r="BB237" s="1" t="s">
        <v>430</v>
      </c>
    </row>
    <row r="238" spans="46:54">
      <c r="AT238" s="45" t="s">
        <v>1244</v>
      </c>
      <c r="AU238" s="44">
        <v>729.6</v>
      </c>
      <c r="AW238" s="45" t="s">
        <v>1220</v>
      </c>
      <c r="AX238" s="44">
        <v>1216</v>
      </c>
      <c r="AZ238" t="s">
        <v>1238</v>
      </c>
      <c r="BA238">
        <v>2.425</v>
      </c>
      <c r="BB238" s="1" t="s">
        <v>430</v>
      </c>
    </row>
    <row r="239" spans="46:54">
      <c r="AT239" s="45" t="s">
        <v>1247</v>
      </c>
      <c r="AU239" s="44">
        <v>389.2</v>
      </c>
      <c r="AW239" s="45" t="s">
        <v>1223</v>
      </c>
      <c r="AX239" s="44">
        <v>471.2</v>
      </c>
      <c r="AZ239" t="s">
        <v>1241</v>
      </c>
      <c r="BA239">
        <v>2.425</v>
      </c>
      <c r="BB239" s="1" t="s">
        <v>430</v>
      </c>
    </row>
    <row r="240" spans="46:54">
      <c r="AT240" s="45" t="s">
        <v>1248</v>
      </c>
      <c r="AU240" s="44">
        <v>208.5</v>
      </c>
      <c r="AW240" s="45" t="s">
        <v>1229</v>
      </c>
      <c r="AX240" s="44">
        <v>1048.8</v>
      </c>
      <c r="AZ240" t="s">
        <v>1244</v>
      </c>
      <c r="BA240">
        <v>2.425</v>
      </c>
      <c r="BB240" s="1" t="s">
        <v>430</v>
      </c>
    </row>
    <row r="241" spans="46:54">
      <c r="AT241" s="45" t="s">
        <v>1249</v>
      </c>
      <c r="AU241" s="44">
        <v>625</v>
      </c>
      <c r="AW241" s="45" t="s">
        <v>1232</v>
      </c>
      <c r="AX241" s="44">
        <v>440.8</v>
      </c>
      <c r="AZ241" t="s">
        <v>1129</v>
      </c>
      <c r="BA241">
        <v>4.317</v>
      </c>
      <c r="BB241" s="1" t="s">
        <v>430</v>
      </c>
    </row>
    <row r="242" spans="46:54">
      <c r="AT242" s="45" t="s">
        <v>1252</v>
      </c>
      <c r="AU242" s="44">
        <v>375</v>
      </c>
      <c r="AW242" s="45" t="s">
        <v>1235</v>
      </c>
      <c r="AX242" s="44">
        <v>1352.8</v>
      </c>
      <c r="AZ242" t="s">
        <v>651</v>
      </c>
      <c r="BA242">
        <v>4.141</v>
      </c>
      <c r="BB242" s="1" t="s">
        <v>430</v>
      </c>
    </row>
    <row r="243" spans="46:54">
      <c r="AT243" s="45" t="s">
        <v>1255</v>
      </c>
      <c r="AU243" s="44">
        <v>375</v>
      </c>
      <c r="AW243" s="45" t="s">
        <v>1238</v>
      </c>
      <c r="AX243" s="44">
        <v>440.8</v>
      </c>
      <c r="AZ243" t="s">
        <v>648</v>
      </c>
      <c r="BA243">
        <v>3.9</v>
      </c>
      <c r="BB243" s="1" t="s">
        <v>430</v>
      </c>
    </row>
    <row r="244" spans="46:54">
      <c r="AT244" s="45" t="s">
        <v>1258</v>
      </c>
      <c r="AU244" s="44">
        <v>375</v>
      </c>
      <c r="AW244" s="45" t="s">
        <v>1241</v>
      </c>
      <c r="AX244" s="44">
        <v>380</v>
      </c>
      <c r="AZ244" t="s">
        <v>1283</v>
      </c>
      <c r="BA244">
        <v>8.447</v>
      </c>
      <c r="BB244" s="1" t="s">
        <v>430</v>
      </c>
    </row>
    <row r="245" spans="46:54">
      <c r="AT245" s="45" t="s">
        <v>1261</v>
      </c>
      <c r="AU245" s="44">
        <v>625</v>
      </c>
      <c r="AW245" s="45" t="s">
        <v>1244</v>
      </c>
      <c r="AX245" s="44">
        <v>896.8</v>
      </c>
      <c r="AZ245" t="s">
        <v>666</v>
      </c>
      <c r="BA245">
        <v>4.095</v>
      </c>
      <c r="BB245" s="1" t="s">
        <v>430</v>
      </c>
    </row>
    <row r="246" spans="46:54">
      <c r="AT246" s="45" t="s">
        <v>1264</v>
      </c>
      <c r="AU246" s="44">
        <v>375</v>
      </c>
      <c r="AW246" s="45" t="s">
        <v>1211</v>
      </c>
      <c r="AX246" s="44">
        <v>440.8</v>
      </c>
      <c r="AZ246" t="s">
        <v>1282</v>
      </c>
      <c r="BA246">
        <v>4.206</v>
      </c>
      <c r="BB246" s="1" t="s">
        <v>430</v>
      </c>
    </row>
    <row r="247" spans="46:54">
      <c r="AT247" s="45" t="s">
        <v>1267</v>
      </c>
      <c r="AU247" s="44">
        <v>375</v>
      </c>
      <c r="AW247" s="45" t="s">
        <v>1226</v>
      </c>
      <c r="AX247" s="44">
        <v>456</v>
      </c>
      <c r="AZ247" t="s">
        <v>1301</v>
      </c>
      <c r="BA247">
        <v>10.394</v>
      </c>
      <c r="BB247" s="1" t="s">
        <v>430</v>
      </c>
    </row>
    <row r="248" spans="46:54">
      <c r="AT248" s="45" t="s">
        <v>1270</v>
      </c>
      <c r="AU248" s="44">
        <v>375</v>
      </c>
      <c r="AW248" s="45" t="s">
        <v>1247</v>
      </c>
      <c r="AX248" s="44">
        <v>389.2</v>
      </c>
      <c r="AZ248" t="s">
        <v>984</v>
      </c>
      <c r="BA248">
        <v>10.394</v>
      </c>
      <c r="BB248" s="1" t="s">
        <v>430</v>
      </c>
    </row>
    <row r="249" spans="46:54">
      <c r="AT249" s="45" t="s">
        <v>1273</v>
      </c>
      <c r="AU249" s="44">
        <v>534.3</v>
      </c>
      <c r="AW249" s="45" t="s">
        <v>1248</v>
      </c>
      <c r="AX249" s="44">
        <v>208.5</v>
      </c>
      <c r="AZ249" t="s">
        <v>986</v>
      </c>
      <c r="BA249">
        <v>10.394</v>
      </c>
      <c r="BB249" s="1" t="s">
        <v>430</v>
      </c>
    </row>
    <row r="250" spans="49:54">
      <c r="AW250" s="45" t="s">
        <v>1273</v>
      </c>
      <c r="AX250" s="44">
        <v>589.1</v>
      </c>
      <c r="AZ250" t="s">
        <v>989</v>
      </c>
      <c r="BA250">
        <v>10.394</v>
      </c>
      <c r="BB250" s="1" t="s">
        <v>430</v>
      </c>
    </row>
    <row r="251" spans="52:54">
      <c r="AZ251" t="s">
        <v>991</v>
      </c>
      <c r="BA251">
        <v>10.394</v>
      </c>
      <c r="BB251" s="1" t="s">
        <v>430</v>
      </c>
    </row>
    <row r="252" spans="52:54">
      <c r="AZ252" t="s">
        <v>993</v>
      </c>
      <c r="BA252">
        <v>10.394</v>
      </c>
      <c r="BB252" s="1" t="s">
        <v>430</v>
      </c>
    </row>
    <row r="253" spans="52:54">
      <c r="AZ253" t="s">
        <v>1023</v>
      </c>
      <c r="BA253">
        <v>4.353</v>
      </c>
      <c r="BB253" s="1" t="s">
        <v>430</v>
      </c>
    </row>
    <row r="254" spans="52:54">
      <c r="AZ254" t="s">
        <v>1032</v>
      </c>
      <c r="BA254">
        <v>1.771</v>
      </c>
      <c r="BB254" s="1" t="s">
        <v>430</v>
      </c>
    </row>
    <row r="255" spans="52:54">
      <c r="AZ255" t="s">
        <v>1036</v>
      </c>
      <c r="BA255">
        <v>4.47</v>
      </c>
      <c r="BB255" s="1" t="s">
        <v>430</v>
      </c>
    </row>
    <row r="256" spans="52:54">
      <c r="AZ256" t="s">
        <v>1041</v>
      </c>
      <c r="BA256">
        <v>4.305</v>
      </c>
      <c r="BB256" s="1" t="s">
        <v>430</v>
      </c>
    </row>
    <row r="257" spans="52:54">
      <c r="AZ257" t="s">
        <v>1043</v>
      </c>
      <c r="BA257">
        <v>4.357</v>
      </c>
      <c r="BB257" s="1" t="s">
        <v>430</v>
      </c>
    </row>
    <row r="258" spans="52:54">
      <c r="AZ258" t="s">
        <v>1047</v>
      </c>
      <c r="BA258">
        <v>4.229</v>
      </c>
      <c r="BB258" s="1" t="s">
        <v>430</v>
      </c>
    </row>
    <row r="259" spans="52:54">
      <c r="AZ259" t="s">
        <v>995</v>
      </c>
      <c r="BA259">
        <v>4.521</v>
      </c>
      <c r="BB259" s="1" t="s">
        <v>430</v>
      </c>
    </row>
    <row r="260" spans="52:54">
      <c r="AZ260" t="s">
        <v>1001</v>
      </c>
      <c r="BA260">
        <v>3.706</v>
      </c>
      <c r="BB260" s="1" t="s">
        <v>430</v>
      </c>
    </row>
    <row r="261" spans="52:54">
      <c r="AZ261" t="s">
        <v>1004</v>
      </c>
      <c r="BA261">
        <v>3.889</v>
      </c>
      <c r="BB261" s="1" t="s">
        <v>430</v>
      </c>
    </row>
    <row r="262" spans="52:54">
      <c r="AZ262" t="s">
        <v>1007</v>
      </c>
      <c r="BA262">
        <v>4.266</v>
      </c>
      <c r="BB262" s="1" t="s">
        <v>430</v>
      </c>
    </row>
    <row r="263" spans="52:54">
      <c r="AZ263" t="s">
        <v>1135</v>
      </c>
      <c r="BA263">
        <v>7.751</v>
      </c>
      <c r="BB263" s="1" t="s">
        <v>455</v>
      </c>
    </row>
    <row r="264" spans="52:54">
      <c r="AZ264" t="s">
        <v>1138</v>
      </c>
      <c r="BA264">
        <v>7.751</v>
      </c>
      <c r="BB264" s="1" t="s">
        <v>455</v>
      </c>
    </row>
    <row r="265" spans="52:54">
      <c r="AZ265" t="s">
        <v>1144</v>
      </c>
      <c r="BA265">
        <v>7.751</v>
      </c>
      <c r="BB265" s="1" t="s">
        <v>455</v>
      </c>
    </row>
    <row r="266" spans="52:54">
      <c r="AZ266" t="s">
        <v>1247</v>
      </c>
      <c r="BA266">
        <v>7.751</v>
      </c>
      <c r="BB266" s="1" t="s">
        <v>455</v>
      </c>
    </row>
    <row r="267" spans="52:54">
      <c r="AZ267" t="s">
        <v>1151</v>
      </c>
      <c r="BA267">
        <v>7.751</v>
      </c>
      <c r="BB267" s="1" t="s">
        <v>455</v>
      </c>
    </row>
    <row r="268" spans="52:54">
      <c r="AZ268" t="s">
        <v>1149</v>
      </c>
      <c r="BA268">
        <v>7.751</v>
      </c>
      <c r="BB268" s="1" t="s">
        <v>455</v>
      </c>
    </row>
    <row r="269" spans="52:54">
      <c r="AZ269" t="s">
        <v>1153</v>
      </c>
      <c r="BA269">
        <v>7.751</v>
      </c>
      <c r="BB269" s="1" t="s">
        <v>455</v>
      </c>
    </row>
    <row r="270" spans="52:54">
      <c r="AZ270" t="s">
        <v>1158</v>
      </c>
      <c r="BA270">
        <v>7.751</v>
      </c>
      <c r="BB270" s="1" t="s">
        <v>455</v>
      </c>
    </row>
    <row r="271" spans="52:54">
      <c r="AZ271" t="s">
        <v>1156</v>
      </c>
      <c r="BA271">
        <v>7.751</v>
      </c>
      <c r="BB271" s="1" t="s">
        <v>455</v>
      </c>
    </row>
    <row r="272" spans="52:54">
      <c r="AZ272" t="s">
        <v>1160</v>
      </c>
      <c r="BA272">
        <v>7.751</v>
      </c>
      <c r="BB272" s="1" t="s">
        <v>455</v>
      </c>
    </row>
    <row r="273" spans="52:54">
      <c r="AZ273" t="s">
        <v>1162</v>
      </c>
      <c r="BA273">
        <v>7.751</v>
      </c>
      <c r="BB273" s="1" t="s">
        <v>455</v>
      </c>
    </row>
    <row r="274" spans="52:54">
      <c r="AZ274" t="s">
        <v>1164</v>
      </c>
      <c r="BA274">
        <v>7.751</v>
      </c>
      <c r="BB274" s="1" t="s">
        <v>455</v>
      </c>
    </row>
    <row r="275" spans="52:54">
      <c r="AZ275" t="s">
        <v>1170</v>
      </c>
      <c r="BA275">
        <v>7.751</v>
      </c>
      <c r="BB275" s="1" t="s">
        <v>455</v>
      </c>
    </row>
    <row r="276" spans="52:54">
      <c r="AZ276" t="s">
        <v>1273</v>
      </c>
      <c r="BA276">
        <v>7.751</v>
      </c>
      <c r="BB276" s="1" t="s">
        <v>455</v>
      </c>
    </row>
    <row r="277" spans="52:54">
      <c r="AZ277" t="s">
        <v>612</v>
      </c>
      <c r="BA277">
        <v>6.556</v>
      </c>
      <c r="BB277" s="1" t="s">
        <v>430</v>
      </c>
    </row>
    <row r="278" spans="52:54">
      <c r="AZ278" s="157" t="s">
        <v>615</v>
      </c>
      <c r="BA278">
        <v>7.2</v>
      </c>
      <c r="BB278" s="1" t="s">
        <v>430</v>
      </c>
    </row>
    <row r="279" spans="52:54">
      <c r="AZ279" s="157" t="s">
        <v>618</v>
      </c>
      <c r="BA279">
        <v>6.522</v>
      </c>
      <c r="BB279" s="1" t="s">
        <v>430</v>
      </c>
    </row>
    <row r="280" spans="52:54">
      <c r="AZ280" s="157" t="s">
        <v>735</v>
      </c>
      <c r="BA280">
        <v>2.98</v>
      </c>
      <c r="BB280" s="1" t="s">
        <v>430</v>
      </c>
    </row>
    <row r="281" spans="52:54">
      <c r="AZ281" s="157" t="s">
        <v>1141</v>
      </c>
      <c r="BA281">
        <v>7.751</v>
      </c>
      <c r="BB281" s="1" t="s">
        <v>455</v>
      </c>
    </row>
    <row r="282" spans="52:54">
      <c r="AZ282" s="157" t="s">
        <v>1146</v>
      </c>
      <c r="BA282">
        <v>7.751</v>
      </c>
      <c r="BB282" s="1" t="s">
        <v>455</v>
      </c>
    </row>
    <row r="283" spans="52:54">
      <c r="AZ283" s="157" t="s">
        <v>1167</v>
      </c>
      <c r="BA283">
        <v>7.751</v>
      </c>
      <c r="BB283" s="1" t="s">
        <v>455</v>
      </c>
    </row>
    <row r="284" spans="52:54">
      <c r="AZ284" s="157" t="s">
        <v>1184</v>
      </c>
      <c r="BA284">
        <v>2.593</v>
      </c>
      <c r="BB284" s="1" t="s">
        <v>430</v>
      </c>
    </row>
    <row r="285" spans="52:54">
      <c r="AZ285" s="157" t="s">
        <v>1223</v>
      </c>
      <c r="BA285">
        <v>2.425</v>
      </c>
      <c r="BB285" s="1" t="s">
        <v>430</v>
      </c>
    </row>
    <row r="286" spans="52:54">
      <c r="AZ286" s="157" t="s">
        <v>1226</v>
      </c>
      <c r="BA286">
        <v>2.425</v>
      </c>
      <c r="BB286" s="1" t="s">
        <v>430</v>
      </c>
    </row>
    <row r="287" spans="52:54">
      <c r="AZ287" s="157" t="s">
        <v>1248</v>
      </c>
      <c r="BA287">
        <v>7.751</v>
      </c>
      <c r="BB287" s="1" t="s">
        <v>455</v>
      </c>
    </row>
    <row r="288" spans="52:54">
      <c r="AZ288" s="157" t="s">
        <v>1249</v>
      </c>
      <c r="BA288">
        <v>1.591</v>
      </c>
      <c r="BB288" s="1" t="s">
        <v>430</v>
      </c>
    </row>
    <row r="289" spans="52:54">
      <c r="AZ289" s="157" t="s">
        <v>1252</v>
      </c>
      <c r="BA289">
        <v>1.591</v>
      </c>
      <c r="BB289" s="1" t="s">
        <v>430</v>
      </c>
    </row>
    <row r="290" spans="52:54">
      <c r="AZ290" s="157" t="s">
        <v>1255</v>
      </c>
      <c r="BA290">
        <v>1.591</v>
      </c>
      <c r="BB290" s="1" t="s">
        <v>430</v>
      </c>
    </row>
    <row r="291" spans="52:54">
      <c r="AZ291" s="157" t="s">
        <v>1258</v>
      </c>
      <c r="BA291">
        <v>1.591</v>
      </c>
      <c r="BB291" s="1" t="s">
        <v>430</v>
      </c>
    </row>
    <row r="292" spans="52:54">
      <c r="AZ292" s="157" t="s">
        <v>1261</v>
      </c>
      <c r="BA292">
        <v>1.591</v>
      </c>
      <c r="BB292" s="1" t="s">
        <v>430</v>
      </c>
    </row>
    <row r="293" spans="52:54">
      <c r="AZ293" s="157" t="s">
        <v>1264</v>
      </c>
      <c r="BA293">
        <v>1.591</v>
      </c>
      <c r="BB293" s="1" t="s">
        <v>430</v>
      </c>
    </row>
    <row r="294" spans="52:54">
      <c r="AZ294" s="157" t="s">
        <v>1267</v>
      </c>
      <c r="BA294">
        <v>1.591</v>
      </c>
      <c r="BB294" s="1" t="s">
        <v>430</v>
      </c>
    </row>
    <row r="295" spans="52:54">
      <c r="AZ295" s="157" t="s">
        <v>1270</v>
      </c>
      <c r="BA295">
        <v>1.591</v>
      </c>
      <c r="BB295" s="1" t="s">
        <v>430</v>
      </c>
    </row>
    <row r="296" spans="52:54">
      <c r="AZ296" s="157" t="s">
        <v>1274</v>
      </c>
      <c r="BA296" s="158">
        <v>5.064</v>
      </c>
      <c r="BB296" s="1" t="s">
        <v>430</v>
      </c>
    </row>
  </sheetData>
  <autoFilter ref="A1:BB373">
    <extLst/>
  </autoFilter>
  <conditionalFormatting sqref="AT3">
    <cfRule type="duplicateValues" dxfId="984" priority="5"/>
    <cfRule type="duplicateValues" dxfId="984" priority="4"/>
  </conditionalFormatting>
  <conditionalFormatting sqref="AW3">
    <cfRule type="duplicateValues" dxfId="984" priority="8"/>
    <cfRule type="duplicateValues" dxfId="984" priority="7"/>
  </conditionalFormatting>
  <conditionalFormatting sqref="AZ3">
    <cfRule type="duplicateValues" dxfId="984" priority="35"/>
  </conditionalFormatting>
  <conditionalFormatting sqref="AZ296">
    <cfRule type="duplicateValues" dxfId="984" priority="1"/>
  </conditionalFormatting>
  <conditionalFormatting sqref="AT$1:AT$1048576">
    <cfRule type="duplicateValues" dxfId="984" priority="3"/>
  </conditionalFormatting>
  <conditionalFormatting sqref="AW$1:AW$1048576">
    <cfRule type="duplicateValues" dxfId="984" priority="6"/>
  </conditionalFormatting>
  <conditionalFormatting sqref="AZ1:AZ241 AZ263:AZ295 AZ297:AZ1048576">
    <cfRule type="duplicateValues" dxfId="984" priority="20"/>
  </conditionalFormatting>
  <conditionalFormatting sqref="BA1:BA2 BA296:BA1048576">
    <cfRule type="duplicateValues" dxfId="984" priority="74"/>
  </conditionalFormatting>
  <pageMargins left="0.75" right="0.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rgb="FFFFFF00"/>
  </sheetPr>
  <dimension ref="A1:AN149"/>
  <sheetViews>
    <sheetView workbookViewId="0">
      <pane ySplit="3" topLeftCell="A4" activePane="bottomLeft" state="frozen"/>
      <selection/>
      <selection pane="bottomLeft" activeCell="M8" sqref="M8"/>
    </sheetView>
  </sheetViews>
  <sheetFormatPr defaultColWidth="9" defaultRowHeight="23" customHeight="1"/>
  <cols>
    <col min="1" max="1" width="4.98165137614679" customWidth="1"/>
    <col min="2" max="2" width="15.0825688073394" customWidth="1"/>
    <col min="3" max="3" width="16.0733944954128" customWidth="1"/>
    <col min="4" max="4" width="11.2110091743119" style="104" customWidth="1"/>
    <col min="5" max="5" width="11.5045871559633" customWidth="1"/>
    <col min="6" max="10" width="9" hidden="1" customWidth="1"/>
    <col min="13" max="13" width="10.4495412844037"/>
    <col min="14" max="14" width="7.84403669724771" customWidth="1"/>
    <col min="15" max="15" width="8.10091743119266" customWidth="1"/>
    <col min="16" max="16" width="7.98165137614679" customWidth="1"/>
    <col min="22" max="22" width="9.77981651376147" customWidth="1"/>
    <col min="23" max="23" width="12.9633027522936" customWidth="1"/>
    <col min="24" max="24" width="13.9449541284404" customWidth="1"/>
    <col min="25" max="25" width="9.24770642201835"/>
    <col min="26" max="26" width="9.3302752293578"/>
    <col min="27" max="27" width="9.6697247706422"/>
    <col min="30" max="30" width="10.3761467889908" customWidth="1"/>
    <col min="35" max="35" width="12.2110091743119" customWidth="1"/>
    <col min="36" max="36" width="12.0825688073394" customWidth="1"/>
    <col min="37" max="37" width="11.6238532110092"/>
    <col min="38" max="38" width="11.7798165137615"/>
    <col min="39" max="39" width="10.4954128440367"/>
  </cols>
  <sheetData>
    <row r="1" s="1" customFormat="1" ht="150" customHeight="1" spans="2:37">
      <c r="B1" s="35">
        <f>COUNTA(B4:B1044778)</f>
        <v>146</v>
      </c>
      <c r="C1" s="51" t="s">
        <v>0</v>
      </c>
      <c r="D1" s="147"/>
      <c r="K1" s="35">
        <f>SUM(K4:K1045051)</f>
        <v>5509</v>
      </c>
      <c r="M1" s="36"/>
      <c r="T1" s="66" t="s">
        <v>1</v>
      </c>
      <c r="W1" s="67" t="s">
        <v>2</v>
      </c>
      <c r="X1" s="68" t="s">
        <v>3</v>
      </c>
      <c r="Y1" s="84" t="s">
        <v>4</v>
      </c>
      <c r="Z1" s="85"/>
      <c r="AA1" s="85"/>
      <c r="AB1" s="85"/>
      <c r="AC1" s="85"/>
      <c r="AD1" s="86"/>
      <c r="AE1" s="85"/>
      <c r="AF1" s="85"/>
      <c r="AG1" s="93" t="s">
        <v>587</v>
      </c>
      <c r="AH1" s="93"/>
      <c r="AI1" s="94" t="s">
        <v>6</v>
      </c>
      <c r="AJ1" s="94" t="s">
        <v>7</v>
      </c>
      <c r="AK1" s="95" t="s">
        <v>8</v>
      </c>
    </row>
    <row r="2" s="1" customFormat="1" ht="51.6" spans="1:40">
      <c r="A2" s="37" t="s">
        <v>9</v>
      </c>
      <c r="B2" s="37" t="s">
        <v>10</v>
      </c>
      <c r="C2" s="37" t="s">
        <v>11</v>
      </c>
      <c r="D2" s="122"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72" t="s">
        <v>30</v>
      </c>
      <c r="W2" s="73" t="s">
        <v>458</v>
      </c>
      <c r="X2" s="74" t="s">
        <v>32</v>
      </c>
      <c r="Y2" s="38" t="s">
        <v>33</v>
      </c>
      <c r="Z2" s="38" t="s">
        <v>34</v>
      </c>
      <c r="AA2" s="38" t="s">
        <v>35</v>
      </c>
      <c r="AB2" s="87" t="s">
        <v>36</v>
      </c>
      <c r="AC2" s="88" t="s">
        <v>37</v>
      </c>
      <c r="AD2" s="88" t="s">
        <v>38</v>
      </c>
      <c r="AE2" s="38" t="s">
        <v>39</v>
      </c>
      <c r="AF2" s="38" t="s">
        <v>40</v>
      </c>
      <c r="AG2" s="96" t="s">
        <v>41</v>
      </c>
      <c r="AH2" s="96" t="s">
        <v>42</v>
      </c>
      <c r="AI2" s="97" t="s">
        <v>43</v>
      </c>
      <c r="AJ2" s="97" t="s">
        <v>44</v>
      </c>
      <c r="AK2" s="38" t="s">
        <v>45</v>
      </c>
      <c r="AL2" s="38" t="s">
        <v>46</v>
      </c>
      <c r="AM2" s="24">
        <v>45200</v>
      </c>
      <c r="AN2" s="24" t="s">
        <v>47</v>
      </c>
    </row>
    <row r="3" s="49" customFormat="1" ht="20" customHeight="1" spans="2:38">
      <c r="B3" s="40" t="s">
        <v>48</v>
      </c>
      <c r="C3" s="54"/>
      <c r="D3" s="154"/>
      <c r="E3" s="56"/>
      <c r="F3" s="57"/>
      <c r="G3" s="57"/>
      <c r="H3" s="57"/>
      <c r="I3" s="57"/>
      <c r="J3" s="57"/>
      <c r="K3" s="57">
        <f>SUM(K4:K1045042)</f>
        <v>5509</v>
      </c>
      <c r="L3" s="41"/>
      <c r="M3" s="57">
        <f t="shared" ref="M3:R3" si="0">SUM(M4:M1045042)</f>
        <v>69148</v>
      </c>
      <c r="N3" s="57">
        <f t="shared" si="0"/>
        <v>345</v>
      </c>
      <c r="O3" s="57">
        <f t="shared" si="0"/>
        <v>806</v>
      </c>
      <c r="P3" s="57">
        <f t="shared" si="0"/>
        <v>1590</v>
      </c>
      <c r="Q3" s="57">
        <f t="shared" si="0"/>
        <v>412</v>
      </c>
      <c r="R3" s="57">
        <f t="shared" si="0"/>
        <v>-67</v>
      </c>
      <c r="S3" s="75"/>
      <c r="T3" s="76"/>
      <c r="U3" s="77"/>
      <c r="V3" s="78"/>
      <c r="W3" s="76"/>
      <c r="X3" s="76"/>
      <c r="Y3" s="57">
        <f>SUM(Y4:Y1045042)</f>
        <v>611.47</v>
      </c>
      <c r="Z3" s="57">
        <f>SUM(Z4:Z1045042)</f>
        <v>1256.17</v>
      </c>
      <c r="AA3" s="57">
        <f>SUM(AA4:AA1045042)</f>
        <v>2514</v>
      </c>
      <c r="AB3" s="89"/>
      <c r="AC3" s="89"/>
      <c r="AD3" s="90"/>
      <c r="AE3" s="89"/>
      <c r="AF3" s="89"/>
      <c r="AG3" s="89"/>
      <c r="AH3" s="98"/>
      <c r="AI3" s="98"/>
      <c r="AJ3" s="89"/>
      <c r="AK3" s="41">
        <f>SUM(AK4:AK1044496)</f>
        <v>4293.6</v>
      </c>
      <c r="AL3" s="41">
        <f>SUM(AL4:AL1045042)</f>
        <v>10033.1</v>
      </c>
    </row>
    <row r="4" customHeight="1" spans="1:40">
      <c r="A4" s="58" t="str">
        <f>INDEX('[1]4店'!$A:$A,MATCH(B:B,'[1]4店'!$B:$B,0))</f>
        <v>美珠</v>
      </c>
      <c r="B4" s="45" t="s">
        <v>1303</v>
      </c>
      <c r="C4" s="45" t="s">
        <v>1304</v>
      </c>
      <c r="D4" s="59"/>
      <c r="E4" s="45" t="s">
        <v>1305</v>
      </c>
      <c r="F4" s="45">
        <v>17</v>
      </c>
      <c r="G4" s="45">
        <v>0</v>
      </c>
      <c r="H4" s="45">
        <v>2</v>
      </c>
      <c r="I4" s="45">
        <v>0</v>
      </c>
      <c r="J4" s="45">
        <v>0</v>
      </c>
      <c r="K4" s="63">
        <f t="shared" ref="K4:K14" si="1">F4+G4+H4+I4+J4</f>
        <v>19</v>
      </c>
      <c r="L4" s="64">
        <f>IFERROR(VLOOKUP($B:$B,'[1]4店'!$B:$L,11,FALSE),0)</f>
        <v>13.7</v>
      </c>
      <c r="M4" s="44">
        <f>K4*L4</f>
        <v>260.3</v>
      </c>
      <c r="N4" s="65">
        <f>IFERROR(VLOOKUP(B:B,'4店辅助表'!B:C,2,FALSE),0)</f>
        <v>26</v>
      </c>
      <c r="O4" s="65">
        <f>IFERROR(VLOOKUP(B:B,'4店辅助表'!E:F,2,FALSE),0)</f>
        <v>36</v>
      </c>
      <c r="P4" s="65">
        <f>IFERROR(VLOOKUP(B:B,'4店辅助表'!H:I,2,FALSE),0)</f>
        <v>53</v>
      </c>
      <c r="Q4" s="65">
        <f>IFERROR(VLOOKUP(B:B,'[1]4店'!$B:$N,13,FALSE),0)</f>
        <v>11</v>
      </c>
      <c r="R4" s="79">
        <f>N4-Q4</f>
        <v>15</v>
      </c>
      <c r="S4" s="80">
        <f>IFERROR(K4/((N4/7+O4/15+P4/30)/3),"-")</f>
        <v>7.23262839879154</v>
      </c>
      <c r="T4" s="44">
        <f>IFERROR(S4/30,"-")</f>
        <v>0.241087613293051</v>
      </c>
      <c r="U4" s="44">
        <f>IFERROR(VLOOKUP($B:$B,'[1]4店'!$B:$T,19,0),"-")</f>
        <v>0.950116009280743</v>
      </c>
      <c r="V4" s="81">
        <f>IFERROR(T4-U4,"-")</f>
        <v>-0.709028395987692</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库存过低</v>
      </c>
      <c r="X4" s="83" t="str">
        <f>_xlfn.IFS(AND(D4&lt;&gt;0,D4-$AM$2&gt;=0,K4&gt;0,D4&lt;&gt;0),"本月刚到货",AND(T4="-",K4&gt;0),"有库存无销量",AND(T4="-",K4=0),"无库存无销量",AND(T4&lt;=0.5,K4=0),"无库存有销量",T4&lt;=0.5,"库存过低",T4&lt;=1.5,"正常",T4&gt;1.5,"库存过高")</f>
        <v>库存过低</v>
      </c>
      <c r="Y4" s="44">
        <f>IFERROR(SUMIF('4店辅助表'!K:K,B:B,'4店辅助表'!N:N),0)</f>
        <v>3.91</v>
      </c>
      <c r="Z4" s="44">
        <f>IFERROR(SUMIF('4店辅助表'!T:T,B:B,'4店辅助表'!W:W),0)</f>
        <v>8.53</v>
      </c>
      <c r="AA4" s="44">
        <f>IFERROR(SUMIF('4店辅助表'!AC:AC,B:B,'4店辅助表'!AF:AF),0)</f>
        <v>17.56</v>
      </c>
      <c r="AB4" s="91" t="str">
        <f>IFERROR(SUMIF('4店辅助表'!K:K,B:B,'4店辅助表'!N:N)/SUMIF('4店辅助表'!K:K,B:B,'4店辅助表'!O:O),"-")</f>
        <v>-</v>
      </c>
      <c r="AC4" s="91">
        <f>IFERROR(VLOOKUP(B:B,'[1]4店'!$B:$AB,27,0),"-")</f>
        <v>0.11855273287144</v>
      </c>
      <c r="AD4" s="92" t="str">
        <f>IFERROR(AB4-AC4,"-")</f>
        <v>-</v>
      </c>
      <c r="AE4" s="91">
        <f>IFERROR(SUMIF('4店辅助表'!T:T,B:B,'4店辅助表'!W:W)/SUMIF('4店辅助表'!T:T,B:B,'4店辅助表'!X:X),"-")</f>
        <v>0.21888632281242</v>
      </c>
      <c r="AF4" s="91">
        <f>IFERROR(SUMIF('4店辅助表'!AC:AC,B:B,'4店辅助表'!AF:AF)/SUMIF('4店辅助表'!AC:AC,B:B,'4店辅助表'!AG:AG),"-")</f>
        <v>0.27036181678214</v>
      </c>
      <c r="AG4" s="99">
        <f>IFERROR(AK4/((SUMIF('4店辅助表'!AT:AT,B:B,'4店辅助表'!AU:AU)+M4)/2),"-")</f>
        <v>0.896551724137931</v>
      </c>
      <c r="AH4" s="99">
        <f>IFERROR(AL4/((SUMIF('4店辅助表'!AW:AW,B:B,'4店辅助表'!AX:AX)+M4)/2),"-")</f>
        <v>0.847058823529412</v>
      </c>
      <c r="AI4" s="100">
        <f>IFERROR((SUMIF('4店辅助表'!AP:AP,B:B,'4店辅助表'!AR:AR)-SUMIF('4店辅助表'!AP:AP,B:B,'4店辅助表'!AR:AR)*0.15-(L4+IFERROR(VLOOKUP(B:B,'4店辅助表'!AZ:BA,2,0),0))*O4-IF(AN:AN="US",6.85,4.9)*(Z4+4.27*O4))/SUMIF('4店辅助表'!AP:AP,B:B,'4店辅助表'!AR:AR),"-")</f>
        <v>0.298242730260511</v>
      </c>
      <c r="AJ4" s="100">
        <f>IFERROR(AH4*AI4,"-")</f>
        <v>0.252629136220668</v>
      </c>
      <c r="AK4" s="101">
        <f>N4*$L4</f>
        <v>356.2</v>
      </c>
      <c r="AL4" s="101">
        <f t="shared" ref="AL4:AL14" si="2">O4*$L4</f>
        <v>493.2</v>
      </c>
      <c r="AM4" s="1" t="str">
        <f>VLOOKUP(B:B,'4店辅助表'!AZ:AZ,1,FALSE)</f>
        <v>Y4011-BL+Y4014+Y4017</v>
      </c>
      <c r="AN4" t="str">
        <f>VLOOKUP(B:B,'4店辅助表'!AZ:BB,3,FALSE)</f>
        <v>US</v>
      </c>
    </row>
    <row r="5" customHeight="1" spans="1:40">
      <c r="A5" s="58" t="str">
        <f>INDEX('[1]4店'!$A:$A,MATCH(B:B,'[1]4店'!$B:$B,0))</f>
        <v>美珠</v>
      </c>
      <c r="B5" s="45" t="s">
        <v>1306</v>
      </c>
      <c r="C5" s="45" t="s">
        <v>1304</v>
      </c>
      <c r="D5" s="59"/>
      <c r="E5" s="45" t="s">
        <v>1307</v>
      </c>
      <c r="F5" s="45">
        <v>30</v>
      </c>
      <c r="G5" s="45">
        <v>0</v>
      </c>
      <c r="H5" s="45">
        <v>0</v>
      </c>
      <c r="I5" s="45">
        <v>0</v>
      </c>
      <c r="J5" s="45">
        <v>0</v>
      </c>
      <c r="K5" s="63">
        <f t="shared" si="1"/>
        <v>30</v>
      </c>
      <c r="L5" s="64">
        <f>IFERROR(VLOOKUP($B:$B,'[1]4店'!$B:$L,11,FALSE),0)</f>
        <v>13.7</v>
      </c>
      <c r="M5" s="44">
        <f t="shared" ref="M5:M36" si="3">K5*L5</f>
        <v>411</v>
      </c>
      <c r="N5" s="65">
        <f>IFERROR(VLOOKUP(B:B,'4店辅助表'!B:C,2,FALSE),0)</f>
        <v>0</v>
      </c>
      <c r="O5" s="65">
        <f>IFERROR(VLOOKUP(B:B,'4店辅助表'!E:F,2,FALSE),0)</f>
        <v>0</v>
      </c>
      <c r="P5" s="65">
        <f>IFERROR(VLOOKUP(B:B,'4店辅助表'!H:I,2,FALSE),0)</f>
        <v>0</v>
      </c>
      <c r="Q5" s="65">
        <f>IFERROR(VLOOKUP(B:B,'[1]4店'!$B:$N,13,FALSE),0)</f>
        <v>0</v>
      </c>
      <c r="R5" s="79">
        <f t="shared" ref="R4:R14" si="4">N5-Q5</f>
        <v>0</v>
      </c>
      <c r="S5" s="80" t="str">
        <f t="shared" ref="S4:S14" si="5">IFERROR(K5/((N5/7+O5/15+P5/30)/3),"-")</f>
        <v>-</v>
      </c>
      <c r="T5" s="44" t="str">
        <f t="shared" ref="T4:T14" si="6">IFERROR(S5/30,"-")</f>
        <v>-</v>
      </c>
      <c r="U5" s="44">
        <f>IFERROR(VLOOKUP($B:$B,'[1]4店'!$B:$T,19,0),"-")</f>
        <v>90</v>
      </c>
      <c r="V5" s="81" t="str">
        <f t="shared" ref="V4:V14" si="7">IFERROR(T5-U5,"-")</f>
        <v>-</v>
      </c>
      <c r="W5" s="82" t="str">
        <f t="shared" ref="W4:W14" si="8">_xlfn.IFS(AND(D5&lt;&gt;0,D5-$AM$2&gt;=0,B5&gt;0,D5&lt;&gt;0),"本月刚到货",AND(IFERROR((K5/(N5/7))/30,"-")="-",K5&gt;0),"有库存无销量",AND(IFERROR((K5/(N5/7))/30,"-")="-",K5=0),"无库存无销量",AND(IFERROR((K5/(N5/7))/30,"-")&lt;=0.5,K5=0),"无库存有销量",IFERROR((K5/(N5/7))/30,"-")&lt;=0.5,"库存过低",IFERROR((K5/(N5/7))/30,"-")&lt;=1.5,"正常",IFERROR((K5/(N5/7))/30,"-")&gt;1.5,"库存过高")</f>
        <v>有库存无销量</v>
      </c>
      <c r="X5" s="83" t="str">
        <f t="shared" ref="X4:X14" si="9">_xlfn.IFS(AND(D5&lt;&gt;0,D5-$AM$2&gt;=0,K5&gt;0,D5&lt;&gt;0),"本月刚到货",AND(T5="-",K5&gt;0),"有库存无销量",AND(T5="-",K5=0),"无库存无销量",AND(T5&lt;=0.5,K5=0),"无库存有销量",T5&lt;=0.5,"库存过低",T5&lt;=1.5,"正常",T5&gt;1.5,"库存过高")</f>
        <v>有库存无销量</v>
      </c>
      <c r="Y5" s="44">
        <f>IFERROR(SUMIF('4店辅助表'!K:K,B:B,'4店辅助表'!N:N),0)</f>
        <v>0</v>
      </c>
      <c r="Z5" s="44">
        <f>IFERROR(SUMIF('4店辅助表'!T:T,B:B,'4店辅助表'!W:W),0)</f>
        <v>0</v>
      </c>
      <c r="AA5" s="44">
        <f>IFERROR(SUMIF('4店辅助表'!AC:AC,B:B,'4店辅助表'!AF:AF),0)</f>
        <v>0</v>
      </c>
      <c r="AB5" s="91" t="str">
        <f>IFERROR(SUMIF('4店辅助表'!K:K,B:B,'4店辅助表'!N:N)/SUMIF('4店辅助表'!K:K,B:B,'4店辅助表'!O:O),"-")</f>
        <v>-</v>
      </c>
      <c r="AC5" s="91" t="str">
        <f>IFERROR(VLOOKUP(B:B,'[1]4店'!$B:$AB,27,0),"-")</f>
        <v>-</v>
      </c>
      <c r="AD5" s="92" t="str">
        <f t="shared" ref="AD4:AD14" si="10">IFERROR(AB5-AC5,"-")</f>
        <v>-</v>
      </c>
      <c r="AE5" s="91" t="str">
        <f>IFERROR(SUMIF('4店辅助表'!T:T,B:B,'4店辅助表'!W:W)/SUMIF('4店辅助表'!T:T,B:B,'4店辅助表'!X:X),"-")</f>
        <v>-</v>
      </c>
      <c r="AF5" s="91" t="str">
        <f>IFERROR(SUMIF('4店辅助表'!AC:AC,B:B,'4店辅助表'!AF:AF)/SUMIF('4店辅助表'!AC:AC,B:B,'4店辅助表'!AG:AG),"-")</f>
        <v>-</v>
      </c>
      <c r="AG5" s="99">
        <f>IFERROR(AK5/((SUMIF('4店辅助表'!AT:AT,B:B,'4店辅助表'!AU:AU)+M5)/2),"-")</f>
        <v>0</v>
      </c>
      <c r="AH5" s="99">
        <f>IFERROR(AL5/((SUMIF('4店辅助表'!AW:AW,B:B,'4店辅助表'!AX:AX)+M5)/2),"-")</f>
        <v>0</v>
      </c>
      <c r="AI5" s="100" t="str">
        <f>IFERROR((SUMIF('4店辅助表'!AP:AP,B:B,'4店辅助表'!AR:AR)-SUMIF('4店辅助表'!AP:AP,B:B,'4店辅助表'!AR:AR)*0.15-(L5+IFERROR(VLOOKUP(B:B,'4店辅助表'!AZ:BA,2,0),0))*O5-IF(AN:AN="US",6.85,4.9)*(Z5+4.27*O5))/SUMIF('4店辅助表'!AP:AP,B:B,'4店辅助表'!AR:AR),"-")</f>
        <v>-</v>
      </c>
      <c r="AJ5" s="100" t="str">
        <f t="shared" ref="AJ4:AJ14" si="11">IFERROR(AH5*AI5,"-")</f>
        <v>-</v>
      </c>
      <c r="AK5" s="101">
        <f t="shared" ref="AK4:AK14" si="12">N5*$L5</f>
        <v>0</v>
      </c>
      <c r="AL5" s="101">
        <f t="shared" si="2"/>
        <v>0</v>
      </c>
      <c r="AM5" s="1" t="str">
        <f>VLOOKUP(B:B,'4店辅助表'!AZ:AZ,1,FALSE)</f>
        <v>Y4011-GW+Y4014+Y4017</v>
      </c>
      <c r="AN5" t="str">
        <f>VLOOKUP(B:B,'4店辅助表'!AZ:BB,3,FALSE)</f>
        <v>US</v>
      </c>
    </row>
    <row r="6" customHeight="1" spans="1:40">
      <c r="A6" s="58" t="str">
        <f>INDEX('[1]4店'!$A:$A,MATCH(B:B,'[1]4店'!$B:$B,0))</f>
        <v>美珠</v>
      </c>
      <c r="B6" s="45" t="s">
        <v>1308</v>
      </c>
      <c r="C6" s="45" t="s">
        <v>1304</v>
      </c>
      <c r="D6" s="59"/>
      <c r="E6" s="45" t="s">
        <v>1309</v>
      </c>
      <c r="F6" s="45">
        <v>0</v>
      </c>
      <c r="G6" s="45">
        <v>0</v>
      </c>
      <c r="H6" s="45">
        <v>32</v>
      </c>
      <c r="I6" s="45">
        <v>9</v>
      </c>
      <c r="J6" s="45">
        <v>0</v>
      </c>
      <c r="K6" s="63">
        <f t="shared" si="1"/>
        <v>41</v>
      </c>
      <c r="L6" s="64">
        <f>IFERROR(VLOOKUP($B:$B,'[1]4店'!$B:$L,11,FALSE),0)</f>
        <v>13.7</v>
      </c>
      <c r="M6" s="44">
        <f t="shared" si="3"/>
        <v>561.7</v>
      </c>
      <c r="N6" s="65">
        <f>IFERROR(VLOOKUP(B:B,'4店辅助表'!B:C,2,FALSE),0)</f>
        <v>6</v>
      </c>
      <c r="O6" s="65">
        <f>IFERROR(VLOOKUP(B:B,'4店辅助表'!E:F,2,FALSE),0)</f>
        <v>37</v>
      </c>
      <c r="P6" s="65">
        <f>IFERROR(VLOOKUP(B:B,'4店辅助表'!H:I,2,FALSE),0)</f>
        <v>50</v>
      </c>
      <c r="Q6" s="65">
        <f>IFERROR(VLOOKUP(B:B,'[1]4店'!$B:$N,13,FALSE),0)</f>
        <v>30</v>
      </c>
      <c r="R6" s="79">
        <f t="shared" si="4"/>
        <v>-24</v>
      </c>
      <c r="S6" s="80">
        <f t="shared" si="5"/>
        <v>24.6469465648855</v>
      </c>
      <c r="T6" s="44">
        <f t="shared" si="6"/>
        <v>0.821564885496183</v>
      </c>
      <c r="U6" s="44">
        <f>IFERROR(VLOOKUP($B:$B,'[1]4店'!$B:$T,19,0),"-")</f>
        <v>0.591549295774648</v>
      </c>
      <c r="V6" s="81">
        <f t="shared" si="7"/>
        <v>0.230015589721535</v>
      </c>
      <c r="W6" s="82" t="str">
        <f t="shared" si="8"/>
        <v>库存过高</v>
      </c>
      <c r="X6" s="83" t="str">
        <f t="shared" si="9"/>
        <v>正常</v>
      </c>
      <c r="Y6" s="44">
        <f>IFERROR(SUMIF('4店辅助表'!K:K,B:B,'4店辅助表'!N:N),0)</f>
        <v>28.85</v>
      </c>
      <c r="Z6" s="44">
        <f>IFERROR(SUMIF('4店辅助表'!T:T,B:B,'4店辅助表'!W:W),0)</f>
        <v>63.7</v>
      </c>
      <c r="AA6" s="44">
        <f>IFERROR(SUMIF('4店辅助表'!AC:AC,B:B,'4店辅助表'!AF:AF),0)</f>
        <v>115.14</v>
      </c>
      <c r="AB6" s="91">
        <f>IFERROR(SUMIF('4店辅助表'!K:K,B:B,'4店辅助表'!N:N)/SUMIF('4店辅助表'!K:K,B:B,'4店辅助表'!O:O),"-")</f>
        <v>0.0584587951611923</v>
      </c>
      <c r="AC6" s="91">
        <f>IFERROR(VLOOKUP(B:B,'[1]4店'!$B:$AB,27,0),"-")</f>
        <v>0.212325565867664</v>
      </c>
      <c r="AD6" s="92">
        <f t="shared" si="10"/>
        <v>-0.153866770706472</v>
      </c>
      <c r="AE6" s="91">
        <f>IFERROR(SUMIF('4店辅助表'!T:T,B:B,'4店辅助表'!W:W)/SUMIF('4店辅助表'!T:T,B:B,'4店辅助表'!X:X),"-")</f>
        <v>0.0933675338951997</v>
      </c>
      <c r="AF6" s="91">
        <f>IFERROR(SUMIF('4店辅助表'!AC:AC,B:B,'4店辅助表'!AF:AF)/SUMIF('4店辅助表'!AC:AC,B:B,'4店辅助表'!AG:AG),"-")</f>
        <v>0.125689084895259</v>
      </c>
      <c r="AG6" s="99">
        <f>IFERROR(AK6/((SUMIF('4店辅助表'!AT:AT,B:B,'4店辅助表'!AU:AU)+M6)/2),"-")</f>
        <v>0.131868131868132</v>
      </c>
      <c r="AH6" s="99">
        <f>IFERROR(AL6/((SUMIF('4店辅助表'!AW:AW,B:B,'4店辅助表'!AX:AX)+M6)/2),"-")</f>
        <v>0.961038961038961</v>
      </c>
      <c r="AI6" s="100">
        <f>IFERROR((SUMIF('4店辅助表'!AP:AP,B:B,'4店辅助表'!AR:AR)-SUMIF('4店辅助表'!AP:AP,B:B,'4店辅助表'!AR:AR)*0.15-(L6+IFERROR(VLOOKUP(B:B,'4店辅助表'!AZ:BA,2,0),0))*O6-IF(AN:AN="US",6.85,4.9)*(Z6+4.27*O6))/SUMIF('4店辅助表'!AP:AP,B:B,'4店辅助表'!AR:AR),"-")</f>
        <v>0.136117230228891</v>
      </c>
      <c r="AJ6" s="100">
        <f t="shared" si="11"/>
        <v>0.130813961518675</v>
      </c>
      <c r="AK6" s="101">
        <f t="shared" si="12"/>
        <v>82.2</v>
      </c>
      <c r="AL6" s="101">
        <f t="shared" si="2"/>
        <v>506.9</v>
      </c>
      <c r="AM6" s="1" t="str">
        <f>VLOOKUP(B:B,'4店辅助表'!AZ:AZ,1,FALSE)</f>
        <v>Y4011-OR+Y4014+Y4017</v>
      </c>
      <c r="AN6" t="str">
        <f>VLOOKUP(B:B,'4店辅助表'!AZ:BB,3,FALSE)</f>
        <v>US</v>
      </c>
    </row>
    <row r="7" customHeight="1" spans="1:40">
      <c r="A7" s="58" t="str">
        <f>INDEX('[1]4店'!$A:$A,MATCH(B:B,'[1]4店'!$B:$B,0))</f>
        <v>美珠</v>
      </c>
      <c r="B7" s="45" t="s">
        <v>1310</v>
      </c>
      <c r="C7" s="45" t="s">
        <v>1311</v>
      </c>
      <c r="D7" s="59"/>
      <c r="E7" s="45" t="s">
        <v>1312</v>
      </c>
      <c r="F7" s="45">
        <v>31</v>
      </c>
      <c r="G7" s="45">
        <v>2</v>
      </c>
      <c r="H7" s="45">
        <v>0</v>
      </c>
      <c r="I7" s="45">
        <v>20</v>
      </c>
      <c r="J7" s="45">
        <v>0</v>
      </c>
      <c r="K7" s="63">
        <f t="shared" si="1"/>
        <v>53</v>
      </c>
      <c r="L7" s="64">
        <f>IFERROR(VLOOKUP($B:$B,'[1]4店'!$B:$L,11,FALSE),0)</f>
        <v>13.7</v>
      </c>
      <c r="M7" s="44">
        <f t="shared" si="3"/>
        <v>726.1</v>
      </c>
      <c r="N7" s="65">
        <f>IFERROR(VLOOKUP(B:B,'4店辅助表'!B:C,2,FALSE),0)</f>
        <v>0</v>
      </c>
      <c r="O7" s="65">
        <f>IFERROR(VLOOKUP(B:B,'4店辅助表'!E:F,2,FALSE),0)</f>
        <v>7</v>
      </c>
      <c r="P7" s="65">
        <f>IFERROR(VLOOKUP(B:B,'4店辅助表'!H:I,2,FALSE),0)</f>
        <v>13</v>
      </c>
      <c r="Q7" s="65">
        <f>IFERROR(VLOOKUP(B:B,'[1]4店'!$B:$N,13,FALSE),0)</f>
        <v>7</v>
      </c>
      <c r="R7" s="79">
        <f t="shared" si="4"/>
        <v>-7</v>
      </c>
      <c r="S7" s="80">
        <f t="shared" si="5"/>
        <v>176.666666666667</v>
      </c>
      <c r="T7" s="44">
        <f t="shared" si="6"/>
        <v>5.88888888888889</v>
      </c>
      <c r="U7" s="44">
        <f>IFERROR(VLOOKUP($B:$B,'[1]4店'!$B:$T,19,0),"-")</f>
        <v>2.19718309859155</v>
      </c>
      <c r="V7" s="81">
        <f t="shared" si="7"/>
        <v>3.69170579029734</v>
      </c>
      <c r="W7" s="82" t="str">
        <f t="shared" si="8"/>
        <v>有库存无销量</v>
      </c>
      <c r="X7" s="83" t="str">
        <f t="shared" si="9"/>
        <v>库存过高</v>
      </c>
      <c r="Y7" s="44">
        <f>IFERROR(SUMIF('4店辅助表'!K:K,B:B,'4店辅助表'!N:N),0)</f>
        <v>0</v>
      </c>
      <c r="Z7" s="44">
        <f>IFERROR(SUMIF('4店辅助表'!T:T,B:B,'4店辅助表'!W:W),0)</f>
        <v>0</v>
      </c>
      <c r="AA7" s="44">
        <f>IFERROR(SUMIF('4店辅助表'!AC:AC,B:B,'4店辅助表'!AF:AF),0)</f>
        <v>0.63</v>
      </c>
      <c r="AB7" s="91" t="str">
        <f>IFERROR(SUMIF('4店辅助表'!K:K,B:B,'4店辅助表'!N:N)/SUMIF('4店辅助表'!K:K,B:B,'4店辅助表'!O:O),"-")</f>
        <v>-</v>
      </c>
      <c r="AC7" s="91" t="str">
        <f>IFERROR(VLOOKUP(B:B,'[1]4店'!$B:$AB,27,0),"-")</f>
        <v>-</v>
      </c>
      <c r="AD7" s="92" t="str">
        <f t="shared" si="10"/>
        <v>-</v>
      </c>
      <c r="AE7" s="91" t="str">
        <f>IFERROR(SUMIF('4店辅助表'!T:T,B:B,'4店辅助表'!W:W)/SUMIF('4店辅助表'!T:T,B:B,'4店辅助表'!X:X),"-")</f>
        <v>-</v>
      </c>
      <c r="AF7" s="91" t="str">
        <f>IFERROR(SUMIF('4店辅助表'!AC:AC,B:B,'4店辅助表'!AF:AF)/SUMIF('4店辅助表'!AC:AC,B:B,'4店辅助表'!AG:AG),"-")</f>
        <v>-</v>
      </c>
      <c r="AG7" s="99">
        <f>IFERROR(AK7/((SUMIF('4店辅助表'!AT:AT,B:B,'4店辅助表'!AU:AU)+M7)/2),"-")</f>
        <v>0</v>
      </c>
      <c r="AH7" s="99">
        <f>IFERROR(AL7/((SUMIF('4店辅助表'!AW:AW,B:B,'4店辅助表'!AX:AX)+M7)/2),"-")</f>
        <v>0.177215189873418</v>
      </c>
      <c r="AI7" s="100">
        <f>IFERROR((SUMIF('4店辅助表'!AP:AP,B:B,'4店辅助表'!AR:AR)-SUMIF('4店辅助表'!AP:AP,B:B,'4店辅助表'!AR:AR)*0.15-(L7+IFERROR(VLOOKUP(B:B,'4店辅助表'!AZ:BA,2,0),0))*O7-IF(AN:AN="US",6.85,4.9)*(Z7+4.27*O7))/SUMIF('4店辅助表'!AP:AP,B:B,'4店辅助表'!AR:AR),"-")</f>
        <v>0.256324567109188</v>
      </c>
      <c r="AJ7" s="100">
        <f t="shared" si="11"/>
        <v>0.0454246068294764</v>
      </c>
      <c r="AK7" s="101">
        <f t="shared" si="12"/>
        <v>0</v>
      </c>
      <c r="AL7" s="101">
        <f t="shared" si="2"/>
        <v>95.9</v>
      </c>
      <c r="AM7" s="1" t="str">
        <f>VLOOKUP(B:B,'4店辅助表'!AZ:AZ,1,FALSE)</f>
        <v>Y4012-BL+Y4015+Y4018</v>
      </c>
      <c r="AN7" t="str">
        <f>VLOOKUP(B:B,'4店辅助表'!AZ:BB,3,FALSE)</f>
        <v>US</v>
      </c>
    </row>
    <row r="8" customHeight="1" spans="1:40">
      <c r="A8" s="58" t="str">
        <f>INDEX('[1]4店'!$A:$A,MATCH(B:B,'[1]4店'!$B:$B,0))</f>
        <v>美珠</v>
      </c>
      <c r="B8" s="45" t="s">
        <v>1313</v>
      </c>
      <c r="C8" s="45" t="s">
        <v>1311</v>
      </c>
      <c r="D8" s="59"/>
      <c r="E8" s="45" t="s">
        <v>1314</v>
      </c>
      <c r="F8" s="45">
        <v>23</v>
      </c>
      <c r="G8" s="45">
        <v>0</v>
      </c>
      <c r="H8" s="45">
        <v>0</v>
      </c>
      <c r="I8" s="45">
        <v>0</v>
      </c>
      <c r="J8" s="45">
        <v>0</v>
      </c>
      <c r="K8" s="63">
        <f t="shared" si="1"/>
        <v>23</v>
      </c>
      <c r="L8" s="64">
        <f>IFERROR(VLOOKUP($B:$B,'[1]4店'!$B:$L,11,FALSE),0)</f>
        <v>13.7</v>
      </c>
      <c r="M8" s="44">
        <f t="shared" si="3"/>
        <v>315.1</v>
      </c>
      <c r="N8" s="65">
        <f>IFERROR(VLOOKUP(B:B,'4店辅助表'!B:C,2,FALSE),0)</f>
        <v>0</v>
      </c>
      <c r="O8" s="65">
        <f>IFERROR(VLOOKUP(B:B,'4店辅助表'!E:F,2,FALSE),0)</f>
        <v>1</v>
      </c>
      <c r="P8" s="65">
        <f>IFERROR(VLOOKUP(B:B,'4店辅助表'!H:I,2,FALSE),0)</f>
        <v>3</v>
      </c>
      <c r="Q8" s="65">
        <f>IFERROR(VLOOKUP(B:B,'[1]4店'!$B:$N,13,FALSE),0)</f>
        <v>1</v>
      </c>
      <c r="R8" s="79">
        <f t="shared" si="4"/>
        <v>-1</v>
      </c>
      <c r="S8" s="80">
        <f t="shared" si="5"/>
        <v>414</v>
      </c>
      <c r="T8" s="44">
        <f t="shared" si="6"/>
        <v>13.8</v>
      </c>
      <c r="U8" s="44">
        <f>IFERROR(VLOOKUP($B:$B,'[1]4店'!$B:$T,19,0),"-")</f>
        <v>5.86046511627907</v>
      </c>
      <c r="V8" s="81">
        <f t="shared" si="7"/>
        <v>7.93953488372093</v>
      </c>
      <c r="W8" s="82" t="str">
        <f t="shared" si="8"/>
        <v>有库存无销量</v>
      </c>
      <c r="X8" s="83" t="str">
        <f t="shared" si="9"/>
        <v>库存过高</v>
      </c>
      <c r="Y8" s="44">
        <f>IFERROR(SUMIF('4店辅助表'!K:K,B:B,'4店辅助表'!N:N),0)</f>
        <v>0</v>
      </c>
      <c r="Z8" s="44">
        <f>IFERROR(SUMIF('4店辅助表'!T:T,B:B,'4店辅助表'!W:W),0)</f>
        <v>0</v>
      </c>
      <c r="AA8" s="44">
        <f>IFERROR(SUMIF('4店辅助表'!AC:AC,B:B,'4店辅助表'!AF:AF),0)</f>
        <v>0</v>
      </c>
      <c r="AB8" s="91" t="str">
        <f>IFERROR(SUMIF('4店辅助表'!K:K,B:B,'4店辅助表'!N:N)/SUMIF('4店辅助表'!K:K,B:B,'4店辅助表'!O:O),"-")</f>
        <v>-</v>
      </c>
      <c r="AC8" s="91" t="str">
        <f>IFERROR(VLOOKUP(B:B,'[1]4店'!$B:$AB,27,0),"-")</f>
        <v>-</v>
      </c>
      <c r="AD8" s="92" t="str">
        <f t="shared" si="10"/>
        <v>-</v>
      </c>
      <c r="AE8" s="91" t="str">
        <f>IFERROR(SUMIF('4店辅助表'!T:T,B:B,'4店辅助表'!W:W)/SUMIF('4店辅助表'!T:T,B:B,'4店辅助表'!X:X),"-")</f>
        <v>-</v>
      </c>
      <c r="AF8" s="91" t="str">
        <f>IFERROR(SUMIF('4店辅助表'!AC:AC,B:B,'4店辅助表'!AF:AF)/SUMIF('4店辅助表'!AC:AC,B:B,'4店辅助表'!AG:AG),"-")</f>
        <v>-</v>
      </c>
      <c r="AG8" s="99">
        <f>IFERROR(AK8/((SUMIF('4店辅助表'!AT:AT,B:B,'4店辅助表'!AU:AU)+M8)/2),"-")</f>
        <v>0</v>
      </c>
      <c r="AH8" s="99">
        <f>IFERROR(AL8/((SUMIF('4店辅助表'!AW:AW,B:B,'4店辅助表'!AX:AX)+M8)/2),"-")</f>
        <v>0.0408163265306122</v>
      </c>
      <c r="AI8" s="100">
        <f>IFERROR((SUMIF('4店辅助表'!AP:AP,B:B,'4店辅助表'!AR:AR)-SUMIF('4店辅助表'!AP:AP,B:B,'4店辅助表'!AR:AR)*0.15-(L8+IFERROR(VLOOKUP(B:B,'4店辅助表'!AZ:BA,2,0),0))*O8-IF(AN:AN="US",6.85,4.9)*(Z8+4.27*O8))/SUMIF('4店辅助表'!AP:AP,B:B,'4店辅助表'!AR:AR),"-")</f>
        <v>0.305544129959598</v>
      </c>
      <c r="AJ8" s="100">
        <f t="shared" si="11"/>
        <v>0.0124711889779428</v>
      </c>
      <c r="AK8" s="101">
        <f t="shared" si="12"/>
        <v>0</v>
      </c>
      <c r="AL8" s="101">
        <f t="shared" si="2"/>
        <v>13.7</v>
      </c>
      <c r="AM8" s="1" t="str">
        <f>VLOOKUP(B:B,'4店辅助表'!AZ:AZ,1,FALSE)</f>
        <v>Y4012-GW+Y4015+Y4018</v>
      </c>
      <c r="AN8" t="str">
        <f>VLOOKUP(B:B,'4店辅助表'!AZ:BB,3,FALSE)</f>
        <v>US</v>
      </c>
    </row>
    <row r="9" customHeight="1" spans="1:40">
      <c r="A9" s="58" t="str">
        <f>INDEX('[1]4店'!$A:$A,MATCH(B:B,'[1]4店'!$B:$B,0))</f>
        <v>美珠</v>
      </c>
      <c r="B9" s="45" t="s">
        <v>1315</v>
      </c>
      <c r="C9" s="45" t="s">
        <v>1311</v>
      </c>
      <c r="D9" s="59"/>
      <c r="E9" s="45" t="s">
        <v>1316</v>
      </c>
      <c r="F9" s="45">
        <v>22</v>
      </c>
      <c r="G9" s="45">
        <v>0</v>
      </c>
      <c r="H9" s="45">
        <v>0</v>
      </c>
      <c r="I9" s="45">
        <v>10</v>
      </c>
      <c r="J9" s="45">
        <v>0</v>
      </c>
      <c r="K9" s="63">
        <f t="shared" si="1"/>
        <v>32</v>
      </c>
      <c r="L9" s="64">
        <f>IFERROR(VLOOKUP($B:$B,'[1]4店'!$B:$L,11,FALSE),0)</f>
        <v>13.7</v>
      </c>
      <c r="M9" s="44">
        <f t="shared" si="3"/>
        <v>438.4</v>
      </c>
      <c r="N9" s="65">
        <f>IFERROR(VLOOKUP(B:B,'4店辅助表'!B:C,2,FALSE),0)</f>
        <v>2</v>
      </c>
      <c r="O9" s="65">
        <f>IFERROR(VLOOKUP(B:B,'4店辅助表'!E:F,2,FALSE),0)</f>
        <v>14</v>
      </c>
      <c r="P9" s="65">
        <f>IFERROR(VLOOKUP(B:B,'4店辅助表'!H:I,2,FALSE),0)</f>
        <v>33</v>
      </c>
      <c r="Q9" s="65">
        <f>IFERROR(VLOOKUP(B:B,'[1]4店'!$B:$N,13,FALSE),0)</f>
        <v>12</v>
      </c>
      <c r="R9" s="79">
        <f t="shared" si="4"/>
        <v>-10</v>
      </c>
      <c r="S9" s="80">
        <f t="shared" si="5"/>
        <v>41.3963039014374</v>
      </c>
      <c r="T9" s="44">
        <f t="shared" si="6"/>
        <v>1.37987679671458</v>
      </c>
      <c r="U9" s="44">
        <f>IFERROR(VLOOKUP($B:$B,'[1]4店'!$B:$T,19,0),"-")</f>
        <v>0.989293361884368</v>
      </c>
      <c r="V9" s="81">
        <f t="shared" si="7"/>
        <v>0.390583434830212</v>
      </c>
      <c r="W9" s="82" t="str">
        <f t="shared" si="8"/>
        <v>库存过高</v>
      </c>
      <c r="X9" s="83" t="str">
        <f t="shared" si="9"/>
        <v>正常</v>
      </c>
      <c r="Y9" s="44">
        <f>IFERROR(SUMIF('4店辅助表'!K:K,B:B,'4店辅助表'!N:N),0)</f>
        <v>7.94</v>
      </c>
      <c r="Z9" s="44">
        <f>IFERROR(SUMIF('4店辅助表'!T:T,B:B,'4店辅助表'!W:W),0)</f>
        <v>21.91</v>
      </c>
      <c r="AA9" s="44">
        <f>IFERROR(SUMIF('4店辅助表'!AC:AC,B:B,'4店辅助表'!AF:AF),0)</f>
        <v>44.46</v>
      </c>
      <c r="AB9" s="91">
        <f>IFERROR(SUMIF('4店辅助表'!K:K,B:B,'4店辅助表'!N:N)/SUMIF('4店辅助表'!K:K,B:B,'4店辅助表'!O:O),"-")</f>
        <v>0.305619707467283</v>
      </c>
      <c r="AC9" s="91">
        <f>IFERROR(VLOOKUP(B:B,'[1]4店'!$B:$AB,27,0),"-")</f>
        <v>0.121630150572536</v>
      </c>
      <c r="AD9" s="92">
        <f t="shared" si="10"/>
        <v>0.183989556894747</v>
      </c>
      <c r="AE9" s="91">
        <f>IFERROR(SUMIF('4店辅助表'!T:T,B:B,'4店辅助表'!W:W)/SUMIF('4店辅助表'!T:T,B:B,'4店辅助表'!X:X),"-")</f>
        <v>0.160055519029878</v>
      </c>
      <c r="AF9" s="91">
        <f>IFERROR(SUMIF('4店辅助表'!AC:AC,B:B,'4店辅助表'!AF:AF)/SUMIF('4店辅助表'!AC:AC,B:B,'4店辅助表'!AG:AG),"-")</f>
        <v>0.195154069001844</v>
      </c>
      <c r="AG9" s="99">
        <f>IFERROR(AK9/((SUMIF('4店辅助表'!AT:AT,B:B,'4店辅助表'!AU:AU)+M9)/2),"-")</f>
        <v>0.0526315789473684</v>
      </c>
      <c r="AH9" s="99">
        <f>IFERROR(AL9/((SUMIF('4店辅助表'!AW:AW,B:B,'4店辅助表'!AX:AX)+M9)/2),"-")</f>
        <v>0.325581395348837</v>
      </c>
      <c r="AI9" s="100">
        <f>IFERROR((SUMIF('4店辅助表'!AP:AP,B:B,'4店辅助表'!AR:AR)-SUMIF('4店辅助表'!AP:AP,B:B,'4店辅助表'!AR:AR)*0.15-(L9+IFERROR(VLOOKUP(B:B,'4店辅助表'!AZ:BA,2,0),0))*O9-IF(AN:AN="US",6.85,4.9)*(Z9+4.27*O9))/SUMIF('4店辅助表'!AP:AP,B:B,'4店辅助表'!AR:AR),"-")</f>
        <v>0.13917954743308</v>
      </c>
      <c r="AJ9" s="100">
        <f t="shared" si="11"/>
        <v>0.0453142712572818</v>
      </c>
      <c r="AK9" s="101">
        <f t="shared" si="12"/>
        <v>27.4</v>
      </c>
      <c r="AL9" s="101">
        <f t="shared" si="2"/>
        <v>191.8</v>
      </c>
      <c r="AM9" s="1" t="str">
        <f>VLOOKUP(B:B,'4店辅助表'!AZ:AZ,1,FALSE)</f>
        <v>Y4012-OR+Y4015+Y4018</v>
      </c>
      <c r="AN9" t="str">
        <f>VLOOKUP(B:B,'4店辅助表'!AZ:BB,3,FALSE)</f>
        <v>US</v>
      </c>
    </row>
    <row r="10" customHeight="1" spans="1:40">
      <c r="A10" s="58" t="str">
        <f>INDEX('[1]4店'!$A:$A,MATCH(B:B,'[1]4店'!$B:$B,0))</f>
        <v>美珠</v>
      </c>
      <c r="B10" s="45" t="s">
        <v>1317</v>
      </c>
      <c r="C10" s="45" t="s">
        <v>1304</v>
      </c>
      <c r="D10" s="59"/>
      <c r="E10" s="45" t="s">
        <v>1318</v>
      </c>
      <c r="F10" s="45">
        <v>41</v>
      </c>
      <c r="G10" s="45">
        <v>1</v>
      </c>
      <c r="H10" s="45">
        <v>0</v>
      </c>
      <c r="I10" s="45">
        <v>1</v>
      </c>
      <c r="J10" s="45">
        <v>0</v>
      </c>
      <c r="K10" s="63">
        <f t="shared" si="1"/>
        <v>43</v>
      </c>
      <c r="L10" s="64">
        <f>IFERROR(VLOOKUP($B:$B,'[1]4店'!$B:$L,11,FALSE),0)</f>
        <v>13.7</v>
      </c>
      <c r="M10" s="44">
        <f t="shared" si="3"/>
        <v>589.1</v>
      </c>
      <c r="N10" s="65">
        <f>IFERROR(VLOOKUP(B:B,'4店辅助表'!B:C,2,FALSE),0)</f>
        <v>13</v>
      </c>
      <c r="O10" s="65">
        <f>IFERROR(VLOOKUP(B:B,'4店辅助表'!E:F,2,FALSE),0)</f>
        <v>19</v>
      </c>
      <c r="P10" s="65">
        <f>IFERROR(VLOOKUP(B:B,'4店辅助表'!H:I,2,FALSE),0)</f>
        <v>27</v>
      </c>
      <c r="Q10" s="65">
        <f>IFERROR(VLOOKUP(B:B,'[1]4店'!$B:$N,13,FALSE),0)</f>
        <v>6</v>
      </c>
      <c r="R10" s="79">
        <f t="shared" si="4"/>
        <v>7</v>
      </c>
      <c r="S10" s="80">
        <f t="shared" si="5"/>
        <v>32.0591715976331</v>
      </c>
      <c r="T10" s="44">
        <f t="shared" si="6"/>
        <v>1.06863905325444</v>
      </c>
      <c r="U10" s="44">
        <f>IFERROR(VLOOKUP($B:$B,'[1]4店'!$B:$T,19,0),"-")</f>
        <v>2.91089108910891</v>
      </c>
      <c r="V10" s="81">
        <f t="shared" si="7"/>
        <v>-1.84225203585447</v>
      </c>
      <c r="W10" s="82" t="str">
        <f t="shared" si="8"/>
        <v>正常</v>
      </c>
      <c r="X10" s="83" t="str">
        <f t="shared" si="9"/>
        <v>正常</v>
      </c>
      <c r="Y10" s="44">
        <f>IFERROR(SUMIF('4店辅助表'!K:K,B:B,'4店辅助表'!N:N),0)</f>
        <v>7.08</v>
      </c>
      <c r="Z10" s="44">
        <f>IFERROR(SUMIF('4店辅助表'!T:T,B:B,'4店辅助表'!W:W),0)</f>
        <v>11.76</v>
      </c>
      <c r="AA10" s="44">
        <f>IFERROR(SUMIF('4店辅助表'!AC:AC,B:B,'4店辅助表'!AF:AF),0)</f>
        <v>24.94</v>
      </c>
      <c r="AB10" s="91">
        <f>IFERROR(SUMIF('4店辅助表'!K:K,B:B,'4店辅助表'!N:N)/SUMIF('4店辅助表'!K:K,B:B,'4店辅助表'!O:O),"-")</f>
        <v>0.545034642032333</v>
      </c>
      <c r="AC10" s="91">
        <f>IFERROR(VLOOKUP(B:B,'[1]4店'!$B:$AB,27,0),"-")</f>
        <v>0.178899082568807</v>
      </c>
      <c r="AD10" s="92">
        <f t="shared" si="10"/>
        <v>0.366135559463526</v>
      </c>
      <c r="AE10" s="91">
        <f>IFERROR(SUMIF('4店辅助表'!T:T,B:B,'4店辅助表'!W:W)/SUMIF('4店辅助表'!T:T,B:B,'4店辅助表'!X:X),"-")</f>
        <v>0.318095753313497</v>
      </c>
      <c r="AF10" s="91">
        <f>IFERROR(SUMIF('4店辅助表'!AC:AC,B:B,'4店辅助表'!AF:AF)/SUMIF('4店辅助表'!AC:AC,B:B,'4店辅助表'!AG:AG),"-")</f>
        <v>0.396187450357427</v>
      </c>
      <c r="AG10" s="99">
        <f>IFERROR(AK10/((SUMIF('4店辅助表'!AT:AT,B:B,'4店辅助表'!AU:AU)+M10)/2),"-")</f>
        <v>0.262626262626263</v>
      </c>
      <c r="AH10" s="99">
        <f>IFERROR(AL10/((SUMIF('4店辅助表'!AW:AW,B:B,'4店辅助表'!AX:AX)+M10)/2),"-")</f>
        <v>0.463414634146341</v>
      </c>
      <c r="AI10" s="100">
        <f>IFERROR((SUMIF('4店辅助表'!AP:AP,B:B,'4店辅助表'!AR:AR)-SUMIF('4店辅助表'!AP:AP,B:B,'4店辅助表'!AR:AR)*0.15-(L10+IFERROR(VLOOKUP(B:B,'4店辅助表'!AZ:BA,2,0),0))*O10-IF(AN:AN="US",6.85,4.9)*(Z10+4.27*O10))/SUMIF('4店辅助表'!AP:AP,B:B,'4店辅助表'!AR:AR),"-")</f>
        <v>0.235103879753653</v>
      </c>
      <c r="AJ10" s="100">
        <f t="shared" si="11"/>
        <v>0.108950578422425</v>
      </c>
      <c r="AK10" s="101">
        <f t="shared" si="12"/>
        <v>178.1</v>
      </c>
      <c r="AL10" s="101">
        <f t="shared" si="2"/>
        <v>260.3</v>
      </c>
      <c r="AM10" s="1" t="str">
        <f>VLOOKUP(B:B,'4店辅助表'!AZ:AZ,1,FALSE)</f>
        <v>Y4011-DB+Y4014+Y4017</v>
      </c>
      <c r="AN10" t="str">
        <f>VLOOKUP(B:B,'4店辅助表'!AZ:BB,3,FALSE)</f>
        <v>US</v>
      </c>
    </row>
    <row r="11" customHeight="1" spans="1:40">
      <c r="A11" s="58" t="str">
        <f>INDEX('[1]4店'!$A:$A,MATCH(B:B,'[1]4店'!$B:$B,0))</f>
        <v>美珠</v>
      </c>
      <c r="B11" s="45" t="s">
        <v>1319</v>
      </c>
      <c r="C11" s="45" t="s">
        <v>1304</v>
      </c>
      <c r="D11" s="59"/>
      <c r="E11" s="45" t="s">
        <v>1320</v>
      </c>
      <c r="F11" s="45">
        <v>18</v>
      </c>
      <c r="G11" s="45">
        <v>0</v>
      </c>
      <c r="H11" s="45">
        <v>0</v>
      </c>
      <c r="I11" s="45">
        <v>0</v>
      </c>
      <c r="J11" s="45">
        <v>0</v>
      </c>
      <c r="K11" s="63">
        <f t="shared" si="1"/>
        <v>18</v>
      </c>
      <c r="L11" s="64">
        <f>IFERROR(VLOOKUP($B:$B,'[1]4店'!$B:$L,11,FALSE),0)</f>
        <v>13.7</v>
      </c>
      <c r="M11" s="44">
        <f t="shared" si="3"/>
        <v>246.6</v>
      </c>
      <c r="N11" s="65">
        <f>IFERROR(VLOOKUP(B:B,'4店辅助表'!B:C,2,FALSE),0)</f>
        <v>1</v>
      </c>
      <c r="O11" s="65">
        <f>IFERROR(VLOOKUP(B:B,'4店辅助表'!E:F,2,FALSE),0)</f>
        <v>4</v>
      </c>
      <c r="P11" s="65">
        <f>IFERROR(VLOOKUP(B:B,'4店辅助表'!H:I,2,FALSE),0)</f>
        <v>4</v>
      </c>
      <c r="Q11" s="65">
        <f>IFERROR(VLOOKUP(B:B,'[1]4店'!$B:$N,13,FALSE),0)</f>
        <v>3</v>
      </c>
      <c r="R11" s="79">
        <f t="shared" si="4"/>
        <v>-2</v>
      </c>
      <c r="S11" s="80">
        <f t="shared" si="5"/>
        <v>99.4736842105263</v>
      </c>
      <c r="T11" s="44">
        <f t="shared" si="6"/>
        <v>3.31578947368421</v>
      </c>
      <c r="U11" s="44">
        <f>IFERROR(VLOOKUP($B:$B,'[1]4店'!$B:$T,19,0),"-")</f>
        <v>2.38922155688623</v>
      </c>
      <c r="V11" s="81">
        <f t="shared" si="7"/>
        <v>0.92656791679798</v>
      </c>
      <c r="W11" s="82" t="str">
        <f t="shared" si="8"/>
        <v>库存过高</v>
      </c>
      <c r="X11" s="83" t="str">
        <f t="shared" si="9"/>
        <v>库存过高</v>
      </c>
      <c r="Y11" s="44">
        <f>IFERROR(SUMIF('4店辅助表'!K:K,B:B,'4店辅助表'!N:N),0)</f>
        <v>0</v>
      </c>
      <c r="Z11" s="44">
        <f>IFERROR(SUMIF('4店辅助表'!T:T,B:B,'4店辅助表'!W:W),0)</f>
        <v>0</v>
      </c>
      <c r="AA11" s="44">
        <f>IFERROR(SUMIF('4店辅助表'!AC:AC,B:B,'4店辅助表'!AF:AF),0)</f>
        <v>0</v>
      </c>
      <c r="AB11" s="91" t="str">
        <f>IFERROR(SUMIF('4店辅助表'!K:K,B:B,'4店辅助表'!N:N)/SUMIF('4店辅助表'!K:K,B:B,'4店辅助表'!O:O),"-")</f>
        <v>-</v>
      </c>
      <c r="AC11" s="91" t="str">
        <f>IFERROR(VLOOKUP(B:B,'[1]4店'!$B:$AB,27,0),"-")</f>
        <v>-</v>
      </c>
      <c r="AD11" s="92" t="str">
        <f t="shared" si="10"/>
        <v>-</v>
      </c>
      <c r="AE11" s="91" t="str">
        <f>IFERROR(SUMIF('4店辅助表'!T:T,B:B,'4店辅助表'!W:W)/SUMIF('4店辅助表'!T:T,B:B,'4店辅助表'!X:X),"-")</f>
        <v>-</v>
      </c>
      <c r="AF11" s="91" t="str">
        <f>IFERROR(SUMIF('4店辅助表'!AC:AC,B:B,'4店辅助表'!AF:AF)/SUMIF('4店辅助表'!AC:AC,B:B,'4店辅助表'!AG:AG),"-")</f>
        <v>-</v>
      </c>
      <c r="AG11" s="99">
        <f>IFERROR(AK11/((SUMIF('4店辅助表'!AT:AT,B:B,'4店辅助表'!AU:AU)+M11)/2),"-")</f>
        <v>0.0540540540540541</v>
      </c>
      <c r="AH11" s="99">
        <f>IFERROR(AL11/((SUMIF('4店辅助表'!AW:AW,B:B,'4店辅助表'!AX:AX)+M11)/2),"-")</f>
        <v>0.205128205128205</v>
      </c>
      <c r="AI11" s="100">
        <f>IFERROR((SUMIF('4店辅助表'!AP:AP,B:B,'4店辅助表'!AR:AR)-SUMIF('4店辅助表'!AP:AP,B:B,'4店辅助表'!AR:AR)*0.15-(L11+IFERROR(VLOOKUP(B:B,'4店辅助表'!AZ:BA,2,0),0))*O11-IF(AN:AN="US",6.85,4.9)*(Z11+4.27*O11))/SUMIF('4店辅助表'!AP:AP,B:B,'4店辅助表'!AR:AR),"-")</f>
        <v>0.324267122941286</v>
      </c>
      <c r="AJ11" s="100">
        <f t="shared" si="11"/>
        <v>0.066516332911033</v>
      </c>
      <c r="AK11" s="101">
        <f t="shared" si="12"/>
        <v>13.7</v>
      </c>
      <c r="AL11" s="101">
        <f t="shared" si="2"/>
        <v>54.8</v>
      </c>
      <c r="AM11" s="1" t="str">
        <f>VLOOKUP(B:B,'4店辅助表'!AZ:AZ,1,FALSE)</f>
        <v>Y4011-PB+Y4014+Y4017</v>
      </c>
      <c r="AN11" t="str">
        <f>VLOOKUP(B:B,'4店辅助表'!AZ:BB,3,FALSE)</f>
        <v>US</v>
      </c>
    </row>
    <row r="12" customHeight="1" spans="1:40">
      <c r="A12" s="58" t="str">
        <f>INDEX('[1]4店'!$A:$A,MATCH(B:B,'[1]4店'!$B:$B,0))</f>
        <v>美珠</v>
      </c>
      <c r="B12" s="45" t="s">
        <v>1321</v>
      </c>
      <c r="C12" s="45" t="s">
        <v>1311</v>
      </c>
      <c r="D12" s="59"/>
      <c r="E12" s="45" t="s">
        <v>1322</v>
      </c>
      <c r="F12" s="45">
        <v>15</v>
      </c>
      <c r="G12" s="45">
        <v>0</v>
      </c>
      <c r="H12" s="45">
        <v>0</v>
      </c>
      <c r="I12" s="45">
        <v>11</v>
      </c>
      <c r="J12" s="45">
        <v>0</v>
      </c>
      <c r="K12" s="63">
        <f t="shared" si="1"/>
        <v>26</v>
      </c>
      <c r="L12" s="64">
        <f>IFERROR(VLOOKUP($B:$B,'[1]4店'!$B:$L,11,FALSE),0)</f>
        <v>13.7</v>
      </c>
      <c r="M12" s="44">
        <f t="shared" si="3"/>
        <v>356.2</v>
      </c>
      <c r="N12" s="65">
        <f>IFERROR(VLOOKUP(B:B,'4店辅助表'!B:C,2,FALSE),0)</f>
        <v>4</v>
      </c>
      <c r="O12" s="65">
        <f>IFERROR(VLOOKUP(B:B,'4店辅助表'!E:F,2,FALSE),0)</f>
        <v>8</v>
      </c>
      <c r="P12" s="65">
        <f>IFERROR(VLOOKUP(B:B,'4店辅助表'!H:I,2,FALSE),0)</f>
        <v>14</v>
      </c>
      <c r="Q12" s="65">
        <f>IFERROR(VLOOKUP(B:B,'[1]4店'!$B:$N,13,FALSE),0)</f>
        <v>2</v>
      </c>
      <c r="R12" s="79">
        <f t="shared" si="4"/>
        <v>2</v>
      </c>
      <c r="S12" s="80">
        <f t="shared" si="5"/>
        <v>49.6363636363636</v>
      </c>
      <c r="T12" s="44">
        <f t="shared" si="6"/>
        <v>1.65454545454545</v>
      </c>
      <c r="U12" s="44">
        <f>IFERROR(VLOOKUP($B:$B,'[1]4店'!$B:$T,19,0),"-")</f>
        <v>3.92523364485981</v>
      </c>
      <c r="V12" s="81">
        <f t="shared" si="7"/>
        <v>-2.27068819031436</v>
      </c>
      <c r="W12" s="82" t="str">
        <f t="shared" si="8"/>
        <v>库存过高</v>
      </c>
      <c r="X12" s="83" t="str">
        <f t="shared" si="9"/>
        <v>库存过高</v>
      </c>
      <c r="Y12" s="44">
        <f>IFERROR(SUMIF('4店辅助表'!K:K,B:B,'4店辅助表'!N:N),0)</f>
        <v>0.13</v>
      </c>
      <c r="Z12" s="44">
        <f>IFERROR(SUMIF('4店辅助表'!T:T,B:B,'4店辅助表'!W:W),0)</f>
        <v>1.39</v>
      </c>
      <c r="AA12" s="44">
        <f>IFERROR(SUMIF('4店辅助表'!AC:AC,B:B,'4店辅助表'!AF:AF),0)</f>
        <v>2.51</v>
      </c>
      <c r="AB12" s="91" t="str">
        <f>IFERROR(SUMIF('4店辅助表'!K:K,B:B,'4店辅助表'!N:N)/SUMIF('4店辅助表'!K:K,B:B,'4店辅助表'!O:O),"-")</f>
        <v>-</v>
      </c>
      <c r="AC12" s="91">
        <f>IFERROR(VLOOKUP(B:B,'[1]4店'!$B:$AB,27,0),"-")</f>
        <v>0.0631254811393379</v>
      </c>
      <c r="AD12" s="92" t="str">
        <f t="shared" si="10"/>
        <v>-</v>
      </c>
      <c r="AE12" s="91">
        <f>IFERROR(SUMIF('4店辅助表'!T:T,B:B,'4店辅助表'!W:W)/SUMIF('4店辅助表'!T:T,B:B,'4店辅助表'!X:X),"-")</f>
        <v>0.107005388760585</v>
      </c>
      <c r="AF12" s="91">
        <f>IFERROR(SUMIF('4店辅助表'!AC:AC,B:B,'4店辅助表'!AF:AF)/SUMIF('4店辅助表'!AC:AC,B:B,'4店辅助表'!AG:AG),"-")</f>
        <v>0.096612779060816</v>
      </c>
      <c r="AG12" s="99">
        <f>IFERROR(AK12/((SUMIF('4店辅助表'!AT:AT,B:B,'4店辅助表'!AU:AU)+M12)/2),"-")</f>
        <v>0.121212121212121</v>
      </c>
      <c r="AH12" s="99">
        <f>IFERROR(AL12/((SUMIF('4店辅助表'!AW:AW,B:B,'4店辅助表'!AX:AX)+M12)/2),"-")</f>
        <v>0.290909090909091</v>
      </c>
      <c r="AI12" s="100">
        <f>IFERROR((SUMIF('4店辅助表'!AP:AP,B:B,'4店辅助表'!AR:AR)-SUMIF('4店辅助表'!AP:AP,B:B,'4店辅助表'!AR:AR)*0.15-(L12+IFERROR(VLOOKUP(B:B,'4店辅助表'!AZ:BA,2,0),0))*O12-IF(AN:AN="US",6.85,4.9)*(Z12+4.27*O12))/SUMIF('4店辅助表'!AP:AP,B:B,'4店辅助表'!AR:AR),"-")</f>
        <v>0.29648396014902</v>
      </c>
      <c r="AJ12" s="100">
        <f t="shared" si="11"/>
        <v>0.0862498793160785</v>
      </c>
      <c r="AK12" s="101">
        <f t="shared" si="12"/>
        <v>54.8</v>
      </c>
      <c r="AL12" s="101">
        <f t="shared" si="2"/>
        <v>109.6</v>
      </c>
      <c r="AM12" s="1" t="str">
        <f>VLOOKUP(B:B,'4店辅助表'!AZ:AZ,1,FALSE)</f>
        <v>Y4012-DB+Y4015+Y4018</v>
      </c>
      <c r="AN12" t="str">
        <f>VLOOKUP(B:B,'4店辅助表'!AZ:BB,3,FALSE)</f>
        <v>US</v>
      </c>
    </row>
    <row r="13" customHeight="1" spans="1:40">
      <c r="A13" s="58" t="str">
        <f>INDEX('[1]4店'!$A:$A,MATCH(B:B,'[1]4店'!$B:$B,0))</f>
        <v>美珠</v>
      </c>
      <c r="B13" s="45" t="s">
        <v>1323</v>
      </c>
      <c r="C13" s="45" t="s">
        <v>1311</v>
      </c>
      <c r="D13" s="59"/>
      <c r="E13" s="45" t="s">
        <v>1324</v>
      </c>
      <c r="F13" s="45">
        <v>30</v>
      </c>
      <c r="G13" s="45">
        <v>0</v>
      </c>
      <c r="H13" s="45">
        <v>0</v>
      </c>
      <c r="I13" s="45">
        <v>0</v>
      </c>
      <c r="J13" s="45">
        <v>0</v>
      </c>
      <c r="K13" s="63">
        <f t="shared" si="1"/>
        <v>30</v>
      </c>
      <c r="L13" s="64">
        <f>IFERROR(VLOOKUP($B:$B,'[1]4店'!$B:$L,11,FALSE),0)</f>
        <v>13.7</v>
      </c>
      <c r="M13" s="44">
        <f t="shared" si="3"/>
        <v>411</v>
      </c>
      <c r="N13" s="65">
        <f>IFERROR(VLOOKUP(B:B,'4店辅助表'!B:C,2,FALSE),0)</f>
        <v>0</v>
      </c>
      <c r="O13" s="65">
        <f>IFERROR(VLOOKUP(B:B,'4店辅助表'!E:F,2,FALSE),0)</f>
        <v>3</v>
      </c>
      <c r="P13" s="65">
        <f>IFERROR(VLOOKUP(B:B,'4店辅助表'!H:I,2,FALSE),0)</f>
        <v>4</v>
      </c>
      <c r="Q13" s="65">
        <f>IFERROR(VLOOKUP(B:B,'[1]4店'!$B:$N,13,FALSE),0)</f>
        <v>3</v>
      </c>
      <c r="R13" s="79">
        <f t="shared" si="4"/>
        <v>-3</v>
      </c>
      <c r="S13" s="80">
        <f t="shared" si="5"/>
        <v>270</v>
      </c>
      <c r="T13" s="44">
        <f t="shared" si="6"/>
        <v>9</v>
      </c>
      <c r="U13" s="44">
        <f>IFERROR(VLOOKUP($B:$B,'[1]4店'!$B:$T,19,0),"-")</f>
        <v>3.89820359281437</v>
      </c>
      <c r="V13" s="81">
        <f t="shared" si="7"/>
        <v>5.10179640718563</v>
      </c>
      <c r="W13" s="82" t="str">
        <f t="shared" si="8"/>
        <v>有库存无销量</v>
      </c>
      <c r="X13" s="83" t="str">
        <f t="shared" si="9"/>
        <v>库存过高</v>
      </c>
      <c r="Y13" s="44">
        <f>IFERROR(SUMIF('4店辅助表'!K:K,B:B,'4店辅助表'!N:N),0)</f>
        <v>0.24</v>
      </c>
      <c r="Z13" s="44">
        <f>IFERROR(SUMIF('4店辅助表'!T:T,B:B,'4店辅助表'!W:W),0)</f>
        <v>0.24</v>
      </c>
      <c r="AA13" s="44">
        <f>IFERROR(SUMIF('4店辅助表'!AC:AC,B:B,'4店辅助表'!AF:AF),0)</f>
        <v>0.66</v>
      </c>
      <c r="AB13" s="91" t="str">
        <f>IFERROR(SUMIF('4店辅助表'!K:K,B:B,'4店辅助表'!N:N)/SUMIF('4店辅助表'!K:K,B:B,'4店辅助表'!O:O),"-")</f>
        <v>-</v>
      </c>
      <c r="AC13" s="91" t="str">
        <f>IFERROR(VLOOKUP(B:B,'[1]4店'!$B:$AB,27,0),"-")</f>
        <v>-</v>
      </c>
      <c r="AD13" s="92" t="str">
        <f t="shared" si="10"/>
        <v>-</v>
      </c>
      <c r="AE13" s="91" t="str">
        <f>IFERROR(SUMIF('4店辅助表'!T:T,B:B,'4店辅助表'!W:W)/SUMIF('4店辅助表'!T:T,B:B,'4店辅助表'!X:X),"-")</f>
        <v>-</v>
      </c>
      <c r="AF13" s="91" t="str">
        <f>IFERROR(SUMIF('4店辅助表'!AC:AC,B:B,'4店辅助表'!AF:AF)/SUMIF('4店辅助表'!AC:AC,B:B,'4店辅助表'!AG:AG),"-")</f>
        <v>-</v>
      </c>
      <c r="AG13" s="99">
        <f>IFERROR(AK13/((SUMIF('4店辅助表'!AT:AT,B:B,'4店辅助表'!AU:AU)+M13)/2),"-")</f>
        <v>0</v>
      </c>
      <c r="AH13" s="99">
        <f>IFERROR(AL13/((SUMIF('4店辅助表'!AW:AW,B:B,'4店辅助表'!AX:AX)+M13)/2),"-")</f>
        <v>0.0909090909090909</v>
      </c>
      <c r="AI13" s="100">
        <f>IFERROR((SUMIF('4店辅助表'!AP:AP,B:B,'4店辅助表'!AR:AR)-SUMIF('4店辅助表'!AP:AP,B:B,'4店辅助表'!AR:AR)*0.15-(L13+IFERROR(VLOOKUP(B:B,'4店辅助表'!AZ:BA,2,0),0))*O13-IF(AN:AN="US",6.85,4.9)*(Z13+4.27*O13))/SUMIF('4店辅助表'!AP:AP,B:B,'4店辅助表'!AR:AR),"-")</f>
        <v>0.30188044705922</v>
      </c>
      <c r="AJ13" s="100">
        <f t="shared" si="11"/>
        <v>0.0274436770053837</v>
      </c>
      <c r="AK13" s="101">
        <f t="shared" si="12"/>
        <v>0</v>
      </c>
      <c r="AL13" s="101">
        <f t="shared" si="2"/>
        <v>41.1</v>
      </c>
      <c r="AM13" s="1" t="str">
        <f>VLOOKUP(B:B,'4店辅助表'!AZ:AZ,1,FALSE)</f>
        <v>Y4012-PB+Y4015+Y4018</v>
      </c>
      <c r="AN13" t="str">
        <f>VLOOKUP(B:B,'4店辅助表'!AZ:BB,3,FALSE)</f>
        <v>US</v>
      </c>
    </row>
    <row r="14" customHeight="1" spans="1:40">
      <c r="A14" s="58" t="str">
        <f>INDEX('[1]4店'!$A:$A,MATCH(B:B,'[1]4店'!$B:$B,0))</f>
        <v>美珠</v>
      </c>
      <c r="B14" s="45" t="s">
        <v>1325</v>
      </c>
      <c r="C14" s="45" t="s">
        <v>1326</v>
      </c>
      <c r="D14" s="59"/>
      <c r="E14" s="45" t="s">
        <v>1327</v>
      </c>
      <c r="F14" s="45">
        <v>50</v>
      </c>
      <c r="G14" s="45">
        <v>0</v>
      </c>
      <c r="H14" s="45">
        <v>0</v>
      </c>
      <c r="I14" s="45">
        <v>46</v>
      </c>
      <c r="J14" s="45">
        <v>0</v>
      </c>
      <c r="K14" s="63">
        <f t="shared" si="1"/>
        <v>96</v>
      </c>
      <c r="L14" s="64">
        <f>IFERROR(VLOOKUP($B:$B,'[1]4店'!$B:$L,11,FALSE),0)</f>
        <v>13.7</v>
      </c>
      <c r="M14" s="44">
        <f t="shared" si="3"/>
        <v>1315.2</v>
      </c>
      <c r="N14" s="65">
        <f>IFERROR(VLOOKUP(B:B,'4店辅助表'!B:C,2,FALSE),0)</f>
        <v>4</v>
      </c>
      <c r="O14" s="65">
        <f>IFERROR(VLOOKUP(B:B,'4店辅助表'!E:F,2,FALSE),0)</f>
        <v>25</v>
      </c>
      <c r="P14" s="65">
        <f>IFERROR(VLOOKUP(B:B,'4店辅助表'!H:I,2,FALSE),0)</f>
        <v>60</v>
      </c>
      <c r="Q14" s="65">
        <f>IFERROR(VLOOKUP(B:B,'[1]4店'!$B:$N,13,FALSE),0)</f>
        <v>20</v>
      </c>
      <c r="R14" s="79">
        <f t="shared" si="4"/>
        <v>-16</v>
      </c>
      <c r="S14" s="80">
        <f t="shared" si="5"/>
        <v>67.9550561797753</v>
      </c>
      <c r="T14" s="44">
        <f t="shared" si="6"/>
        <v>2.26516853932584</v>
      </c>
      <c r="U14" s="44">
        <f>IFERROR(VLOOKUP($B:$B,'[1]4店'!$B:$T,19,0),"-")</f>
        <v>1.39173228346457</v>
      </c>
      <c r="V14" s="81">
        <f t="shared" si="7"/>
        <v>0.87343625586127</v>
      </c>
      <c r="W14" s="82" t="str">
        <f t="shared" si="8"/>
        <v>库存过高</v>
      </c>
      <c r="X14" s="83" t="str">
        <f t="shared" si="9"/>
        <v>库存过高</v>
      </c>
      <c r="Y14" s="44">
        <f>IFERROR(SUMIF('4店辅助表'!K:K,B:B,'4店辅助表'!N:N),0)</f>
        <v>0.75</v>
      </c>
      <c r="Z14" s="44">
        <f>IFERROR(SUMIF('4店辅助表'!T:T,B:B,'4店辅助表'!W:W),0)</f>
        <v>1.35</v>
      </c>
      <c r="AA14" s="44">
        <f>IFERROR(SUMIF('4店辅助表'!AC:AC,B:B,'4店辅助表'!AF:AF),0)</f>
        <v>3.3</v>
      </c>
      <c r="AB14" s="91">
        <f>IFERROR(SUMIF('4店辅助表'!K:K,B:B,'4店辅助表'!N:N)/SUMIF('4店辅助表'!K:K,B:B,'4店辅助表'!O:O),"-")</f>
        <v>0.0577367205542725</v>
      </c>
      <c r="AC14" s="91" t="str">
        <f>IFERROR(VLOOKUP(B:B,'[1]4店'!$B:$AB,27,0),"-")</f>
        <v>-</v>
      </c>
      <c r="AD14" s="92" t="str">
        <f t="shared" si="10"/>
        <v>-</v>
      </c>
      <c r="AE14" s="91">
        <f>IFERROR(SUMIF('4店辅助表'!T:T,B:B,'4店辅助表'!W:W)/SUMIF('4店辅助表'!T:T,B:B,'4店辅助表'!X:X),"-")</f>
        <v>0.103926096997691</v>
      </c>
      <c r="AF14" s="91">
        <f>IFERROR(SUMIF('4店辅助表'!AC:AC,B:B,'4店辅助表'!AF:AF)/SUMIF('4店辅助表'!AC:AC,B:B,'4店辅助表'!AG:AG),"-")</f>
        <v>0.1270207852194</v>
      </c>
      <c r="AG14" s="99">
        <f>IFERROR(AK14/((SUMIF('4店辅助表'!AT:AT,B:B,'4店辅助表'!AU:AU)+M14)/2),"-")</f>
        <v>0.0406091370558376</v>
      </c>
      <c r="AH14" s="99">
        <f>IFERROR(AL14/((SUMIF('4店辅助表'!AW:AW,B:B,'4店辅助表'!AX:AX)+M14)/2),"-")</f>
        <v>0.264550264550265</v>
      </c>
      <c r="AI14" s="100">
        <f>IFERROR((SUMIF('4店辅助表'!AP:AP,B:B,'4店辅助表'!AR:AR)-SUMIF('4店辅助表'!AP:AP,B:B,'4店辅助表'!AR:AR)*0.15-(L14+IFERROR(VLOOKUP(B:B,'4店辅助表'!AZ:BA,2,0),0))*O14-IF(AN:AN="US",6.85,4.9)*(Z14+4.27*O14))/SUMIF('4店辅助表'!AP:AP,B:B,'4店辅助表'!AR:AR),"-")</f>
        <v>0.306841581527362</v>
      </c>
      <c r="AJ14" s="100">
        <f t="shared" si="11"/>
        <v>0.0811750215680853</v>
      </c>
      <c r="AK14" s="101">
        <f t="shared" si="12"/>
        <v>54.8</v>
      </c>
      <c r="AL14" s="101">
        <f t="shared" si="2"/>
        <v>342.5</v>
      </c>
      <c r="AM14" s="1" t="str">
        <f>VLOOKUP(B:B,'4店辅助表'!AZ:AZ,1,FALSE)</f>
        <v>Y4013-BL+Y4016+Y4019</v>
      </c>
      <c r="AN14" t="str">
        <f>VLOOKUP(B:B,'4店辅助表'!AZ:BB,3,FALSE)</f>
        <v>US</v>
      </c>
    </row>
    <row r="15" customHeight="1" spans="1:40">
      <c r="A15" s="58" t="str">
        <f>INDEX('[1]4店'!$A:$A,MATCH(B:B,'[1]4店'!$B:$B,0))</f>
        <v>美珠</v>
      </c>
      <c r="B15" s="45" t="s">
        <v>1328</v>
      </c>
      <c r="C15" s="45" t="s">
        <v>1326</v>
      </c>
      <c r="D15" s="59"/>
      <c r="E15" s="45" t="s">
        <v>1329</v>
      </c>
      <c r="F15" s="45">
        <v>71</v>
      </c>
      <c r="G15" s="45">
        <v>0</v>
      </c>
      <c r="H15" s="45">
        <v>6</v>
      </c>
      <c r="I15" s="45">
        <v>12</v>
      </c>
      <c r="J15" s="45">
        <v>0</v>
      </c>
      <c r="K15" s="63">
        <f t="shared" ref="K15:K46" si="13">F15+G15+H15+I15+J15</f>
        <v>89</v>
      </c>
      <c r="L15" s="64">
        <f>IFERROR(VLOOKUP($B:$B,'[1]4店'!$B:$L,11,FALSE),0)</f>
        <v>13.7</v>
      </c>
      <c r="M15" s="44">
        <f t="shared" si="3"/>
        <v>1219.3</v>
      </c>
      <c r="N15" s="65">
        <f>IFERROR(VLOOKUP(B:B,'4店辅助表'!B:C,2,FALSE),0)</f>
        <v>8</v>
      </c>
      <c r="O15" s="65">
        <f>IFERROR(VLOOKUP(B:B,'4店辅助表'!E:F,2,FALSE),0)</f>
        <v>15</v>
      </c>
      <c r="P15" s="65">
        <f>IFERROR(VLOOKUP(B:B,'4店辅助表'!H:I,2,FALSE),0)</f>
        <v>32</v>
      </c>
      <c r="Q15" s="65">
        <f>IFERROR(VLOOKUP(B:B,'[1]4店'!$B:$N,13,FALSE),0)</f>
        <v>7</v>
      </c>
      <c r="R15" s="79">
        <f t="shared" ref="R15:R46" si="14">N15-Q15</f>
        <v>1</v>
      </c>
      <c r="S15" s="80">
        <f t="shared" ref="S15:S46" si="15">IFERROR(K15/((N15/7+O15/15+P15/30)/3),"-")</f>
        <v>83.1899109792285</v>
      </c>
      <c r="T15" s="44">
        <f t="shared" ref="T15:T46" si="16">IFERROR(S15/30,"-")</f>
        <v>2.77299703264095</v>
      </c>
      <c r="U15" s="44">
        <f>IFERROR(VLOOKUP($B:$B,'[1]4店'!$B:$T,19,0),"-")</f>
        <v>3.03092783505155</v>
      </c>
      <c r="V15" s="81">
        <f t="shared" ref="V15:V46" si="17">IFERROR(T15-U15,"-")</f>
        <v>-0.2579308024106</v>
      </c>
      <c r="W15" s="82" t="str">
        <f t="shared" ref="W15:W46" si="18">_xlfn.IFS(AND(D15&lt;&gt;0,D15-$AM$2&gt;=0,B15&gt;0,D15&lt;&gt;0),"本月刚到货",AND(IFERROR((K15/(N15/7))/30,"-")="-",K15&gt;0),"有库存无销量",AND(IFERROR((K15/(N15/7))/30,"-")="-",K15=0),"无库存无销量",AND(IFERROR((K15/(N15/7))/30,"-")&lt;=0.5,K15=0),"无库存有销量",IFERROR((K15/(N15/7))/30,"-")&lt;=0.5,"库存过低",IFERROR((K15/(N15/7))/30,"-")&lt;=1.5,"正常",IFERROR((K15/(N15/7))/30,"-")&gt;1.5,"库存过高")</f>
        <v>库存过高</v>
      </c>
      <c r="X15" s="83" t="str">
        <f t="shared" ref="X15:X46" si="19">_xlfn.IFS(AND(D15&lt;&gt;0,D15-$AM$2&gt;=0,K15&gt;0,D15&lt;&gt;0),"本月刚到货",AND(T15="-",K15&gt;0),"有库存无销量",AND(T15="-",K15=0),"无库存无销量",AND(T15&lt;=0.5,K15=0),"无库存有销量",T15&lt;=0.5,"库存过低",T15&lt;=1.5,"正常",T15&gt;1.5,"库存过高")</f>
        <v>库存过高</v>
      </c>
      <c r="Y15" s="44">
        <f>IFERROR(SUMIF('4店辅助表'!K:K,B:B,'4店辅助表'!N:N),0)</f>
        <v>3.72</v>
      </c>
      <c r="Z15" s="44">
        <f>IFERROR(SUMIF('4店辅助表'!T:T,B:B,'4店辅助表'!W:W),0)</f>
        <v>6.05</v>
      </c>
      <c r="AA15" s="44">
        <f>IFERROR(SUMIF('4店辅助表'!AC:AC,B:B,'4店辅助表'!AF:AF),0)</f>
        <v>8.85</v>
      </c>
      <c r="AB15" s="91">
        <f>IFERROR(SUMIF('4店辅助表'!K:K,B:B,'4店辅助表'!N:N)/SUMIF('4店辅助表'!K:K,B:B,'4店辅助表'!O:O),"-")</f>
        <v>0.286374133949192</v>
      </c>
      <c r="AC15" s="91">
        <f>IFERROR(VLOOKUP(B:B,'[1]4店'!$B:$AB,27,0),"-")</f>
        <v>0.143187066974596</v>
      </c>
      <c r="AD15" s="92">
        <f t="shared" ref="AD15:AD46" si="20">IFERROR(AB15-AC15,"-")</f>
        <v>0.143187066974596</v>
      </c>
      <c r="AE15" s="91">
        <f>IFERROR(SUMIF('4店辅助表'!T:T,B:B,'4店辅助表'!W:W)/SUMIF('4店辅助表'!T:T,B:B,'4店辅助表'!X:X),"-")</f>
        <v>0.232871439568899</v>
      </c>
      <c r="AF15" s="91">
        <f>IFERROR(SUMIF('4店辅助表'!AC:AC,B:B,'4店辅助表'!AF:AF)/SUMIF('4店辅助表'!AC:AC,B:B,'4店辅助表'!AG:AG),"-")</f>
        <v>0.227097767513472</v>
      </c>
      <c r="AG15" s="99">
        <f>IFERROR(AK15/((SUMIF('4店辅助表'!AT:AT,B:B,'4店辅助表'!AU:AU)+M15)/2),"-")</f>
        <v>0.0855614973262032</v>
      </c>
      <c r="AH15" s="99">
        <f>IFERROR(AL15/((SUMIF('4店辅助表'!AW:AW,B:B,'4店辅助表'!AX:AX)+M15)/2),"-")</f>
        <v>0.205479452054795</v>
      </c>
      <c r="AI15" s="100">
        <f>IFERROR((SUMIF('4店辅助表'!AP:AP,B:B,'4店辅助表'!AR:AR)-SUMIF('4店辅助表'!AP:AP,B:B,'4店辅助表'!AR:AR)*0.15-(L15+IFERROR(VLOOKUP(B:B,'4店辅助表'!AZ:BA,2,0),0))*O15-IF(AN:AN="US",6.85,4.9)*(Z15+4.27*O15))/SUMIF('4店辅助表'!AP:AP,B:B,'4店辅助表'!AR:AR),"-")</f>
        <v>0.267396503435383</v>
      </c>
      <c r="AJ15" s="100">
        <f t="shared" ref="AJ15:AJ46" si="21">IFERROR(AH15*AI15,"-")</f>
        <v>0.0549444870072705</v>
      </c>
      <c r="AK15" s="101">
        <f t="shared" ref="AK15:AK46" si="22">N15*$L15</f>
        <v>109.6</v>
      </c>
      <c r="AL15" s="101">
        <f t="shared" ref="AL15:AL46" si="23">O15*$L15</f>
        <v>205.5</v>
      </c>
      <c r="AM15" s="1" t="str">
        <f>VLOOKUP(B:B,'4店辅助表'!AZ:AZ,1,FALSE)</f>
        <v>Y4013-DB+Y4016+Y4019</v>
      </c>
      <c r="AN15" t="str">
        <f>VLOOKUP(B:B,'4店辅助表'!AZ:BB,3,FALSE)</f>
        <v>US</v>
      </c>
    </row>
    <row r="16" customHeight="1" spans="1:40">
      <c r="A16" s="58" t="str">
        <f>INDEX('[1]4店'!$A:$A,MATCH(B:B,'[1]4店'!$B:$B,0))</f>
        <v>美珠</v>
      </c>
      <c r="B16" s="45" t="s">
        <v>1330</v>
      </c>
      <c r="C16" s="45" t="s">
        <v>1326</v>
      </c>
      <c r="D16" s="59"/>
      <c r="E16" s="45" t="s">
        <v>1331</v>
      </c>
      <c r="F16" s="45">
        <v>48</v>
      </c>
      <c r="G16" s="45">
        <v>0</v>
      </c>
      <c r="H16" s="45">
        <v>0</v>
      </c>
      <c r="I16" s="45">
        <v>2</v>
      </c>
      <c r="J16" s="45">
        <v>0</v>
      </c>
      <c r="K16" s="63">
        <f t="shared" si="13"/>
        <v>50</v>
      </c>
      <c r="L16" s="64">
        <f>IFERROR(VLOOKUP($B:$B,'[1]4店'!$B:$L,11,FALSE),0)</f>
        <v>13.7</v>
      </c>
      <c r="M16" s="44">
        <f t="shared" si="3"/>
        <v>685</v>
      </c>
      <c r="N16" s="65">
        <f>IFERROR(VLOOKUP(B:B,'4店辅助表'!B:C,2,FALSE),0)</f>
        <v>5</v>
      </c>
      <c r="O16" s="65">
        <f>IFERROR(VLOOKUP(B:B,'4店辅助表'!E:F,2,FALSE),0)</f>
        <v>11</v>
      </c>
      <c r="P16" s="65">
        <f>IFERROR(VLOOKUP(B:B,'4店辅助表'!H:I,2,FALSE),0)</f>
        <v>18</v>
      </c>
      <c r="Q16" s="65">
        <f>IFERROR(VLOOKUP(B:B,'[1]4店'!$B:$N,13,FALSE),0)</f>
        <v>4</v>
      </c>
      <c r="R16" s="79">
        <f t="shared" si="14"/>
        <v>1</v>
      </c>
      <c r="S16" s="80">
        <f t="shared" si="15"/>
        <v>73.2558139534884</v>
      </c>
      <c r="T16" s="44">
        <f t="shared" si="16"/>
        <v>2.44186046511628</v>
      </c>
      <c r="U16" s="44">
        <f>IFERROR(VLOOKUP($B:$B,'[1]4店'!$B:$T,19,0),"-")</f>
        <v>3.11111111111111</v>
      </c>
      <c r="V16" s="81">
        <f t="shared" si="17"/>
        <v>-0.66925064599483</v>
      </c>
      <c r="W16" s="82" t="str">
        <f t="shared" si="18"/>
        <v>库存过高</v>
      </c>
      <c r="X16" s="83" t="str">
        <f t="shared" si="19"/>
        <v>库存过高</v>
      </c>
      <c r="Y16" s="44">
        <f>IFERROR(SUMIF('4店辅助表'!K:K,B:B,'4店辅助表'!N:N),0)</f>
        <v>0</v>
      </c>
      <c r="Z16" s="44">
        <f>IFERROR(SUMIF('4店辅助表'!T:T,B:B,'4店辅助表'!W:W),0)</f>
        <v>0</v>
      </c>
      <c r="AA16" s="44">
        <f>IFERROR(SUMIF('4店辅助表'!AC:AC,B:B,'4店辅助表'!AF:AF),0)</f>
        <v>0</v>
      </c>
      <c r="AB16" s="91" t="str">
        <f>IFERROR(SUMIF('4店辅助表'!K:K,B:B,'4店辅助表'!N:N)/SUMIF('4店辅助表'!K:K,B:B,'4店辅助表'!O:O),"-")</f>
        <v>-</v>
      </c>
      <c r="AC16" s="91" t="str">
        <f>IFERROR(VLOOKUP(B:B,'[1]4店'!$B:$AB,27,0),"-")</f>
        <v>-</v>
      </c>
      <c r="AD16" s="92" t="str">
        <f t="shared" si="20"/>
        <v>-</v>
      </c>
      <c r="AE16" s="91" t="str">
        <f>IFERROR(SUMIF('4店辅助表'!T:T,B:B,'4店辅助表'!W:W)/SUMIF('4店辅助表'!T:T,B:B,'4店辅助表'!X:X),"-")</f>
        <v>-</v>
      </c>
      <c r="AF16" s="91" t="str">
        <f>IFERROR(SUMIF('4店辅助表'!AC:AC,B:B,'4店辅助表'!AF:AF)/SUMIF('4店辅助表'!AC:AC,B:B,'4店辅助表'!AG:AG),"-")</f>
        <v>-</v>
      </c>
      <c r="AG16" s="99">
        <f>IFERROR(AK16/((SUMIF('4店辅助表'!AT:AT,B:B,'4店辅助表'!AU:AU)+M16)/2),"-")</f>
        <v>0.0980392156862745</v>
      </c>
      <c r="AH16" s="99">
        <f>IFERROR(AL16/((SUMIF('4店辅助表'!AW:AW,B:B,'4店辅助表'!AX:AX)+M16)/2),"-")</f>
        <v>0.191304347826087</v>
      </c>
      <c r="AI16" s="100">
        <f>IFERROR((SUMIF('4店辅助表'!AP:AP,B:B,'4店辅助表'!AR:AR)-SUMIF('4店辅助表'!AP:AP,B:B,'4店辅助表'!AR:AR)*0.15-(L16+IFERROR(VLOOKUP(B:B,'4店辅助表'!AZ:BA,2,0),0))*O16-IF(AN:AN="US",6.85,4.9)*(Z16+4.27*O16))/SUMIF('4店辅助表'!AP:AP,B:B,'4店辅助表'!AR:AR),"-")</f>
        <v>0.306062220115378</v>
      </c>
      <c r="AJ16" s="100">
        <f t="shared" si="21"/>
        <v>0.0585510334133766</v>
      </c>
      <c r="AK16" s="101">
        <f t="shared" si="22"/>
        <v>68.5</v>
      </c>
      <c r="AL16" s="101">
        <f t="shared" si="23"/>
        <v>150.7</v>
      </c>
      <c r="AM16" s="1" t="str">
        <f>VLOOKUP(B:B,'4店辅助表'!AZ:AZ,1,FALSE)</f>
        <v>Y4013-GW+Y4016+Y4019</v>
      </c>
      <c r="AN16" t="str">
        <f>VLOOKUP(B:B,'4店辅助表'!AZ:BB,3,FALSE)</f>
        <v>US</v>
      </c>
    </row>
    <row r="17" customHeight="1" spans="1:40">
      <c r="A17" s="58" t="str">
        <f>INDEX('[1]4店'!$A:$A,MATCH(B:B,'[1]4店'!$B:$B,0))</f>
        <v>美珠</v>
      </c>
      <c r="B17" s="45" t="s">
        <v>1332</v>
      </c>
      <c r="C17" s="45" t="s">
        <v>1326</v>
      </c>
      <c r="D17" s="59"/>
      <c r="E17" s="45" t="s">
        <v>1333</v>
      </c>
      <c r="F17" s="45">
        <v>17</v>
      </c>
      <c r="G17" s="45">
        <v>1</v>
      </c>
      <c r="H17" s="45">
        <v>0</v>
      </c>
      <c r="I17" s="45">
        <v>60</v>
      </c>
      <c r="J17" s="45">
        <v>0</v>
      </c>
      <c r="K17" s="63">
        <f t="shared" si="13"/>
        <v>78</v>
      </c>
      <c r="L17" s="64">
        <f>IFERROR(VLOOKUP($B:$B,'[1]4店'!$B:$L,11,FALSE),0)</f>
        <v>13.7</v>
      </c>
      <c r="M17" s="44">
        <f t="shared" si="3"/>
        <v>1068.6</v>
      </c>
      <c r="N17" s="65">
        <f>IFERROR(VLOOKUP(B:B,'4店辅助表'!B:C,2,FALSE),0)</f>
        <v>16</v>
      </c>
      <c r="O17" s="65">
        <f>IFERROR(VLOOKUP(B:B,'4店辅助表'!E:F,2,FALSE),0)</f>
        <v>32</v>
      </c>
      <c r="P17" s="65">
        <f>IFERROR(VLOOKUP(B:B,'4店辅助表'!H:I,2,FALSE),0)</f>
        <v>68</v>
      </c>
      <c r="Q17" s="65">
        <f>IFERROR(VLOOKUP(B:B,'[1]4店'!$B:$N,13,FALSE),0)</f>
        <v>15</v>
      </c>
      <c r="R17" s="79">
        <f t="shared" si="14"/>
        <v>1</v>
      </c>
      <c r="S17" s="80">
        <f t="shared" si="15"/>
        <v>35</v>
      </c>
      <c r="T17" s="44">
        <f t="shared" si="16"/>
        <v>1.16666666666667</v>
      </c>
      <c r="U17" s="44">
        <f>IFERROR(VLOOKUP($B:$B,'[1]4店'!$B:$T,19,0),"-")</f>
        <v>1.966349670812</v>
      </c>
      <c r="V17" s="81">
        <f t="shared" si="17"/>
        <v>-0.79968300414533</v>
      </c>
      <c r="W17" s="82" t="str">
        <f t="shared" si="18"/>
        <v>正常</v>
      </c>
      <c r="X17" s="83" t="str">
        <f t="shared" si="19"/>
        <v>正常</v>
      </c>
      <c r="Y17" s="44">
        <f>IFERROR(SUMIF('4店辅助表'!K:K,B:B,'4店辅助表'!N:N),0)</f>
        <v>51.07</v>
      </c>
      <c r="Z17" s="44">
        <f>IFERROR(SUMIF('4店辅助表'!T:T,B:B,'4店辅助表'!W:W),0)</f>
        <v>90.11</v>
      </c>
      <c r="AA17" s="44">
        <f>IFERROR(SUMIF('4店辅助表'!AC:AC,B:B,'4店辅助表'!AF:AF),0)</f>
        <v>181.17</v>
      </c>
      <c r="AB17" s="91">
        <f>IFERROR(SUMIF('4店辅助表'!K:K,B:B,'4店辅助表'!N:N)/SUMIF('4店辅助表'!K:K,B:B,'4店辅助表'!O:O),"-")</f>
        <v>0.327855171085575</v>
      </c>
      <c r="AC17" s="91">
        <f>IFERROR(VLOOKUP(B:B,'[1]4店'!$B:$AB,27,0),"-")</f>
        <v>0.174499607535322</v>
      </c>
      <c r="AD17" s="92">
        <f t="shared" si="20"/>
        <v>0.153355563550253</v>
      </c>
      <c r="AE17" s="91">
        <f>IFERROR(SUMIF('4店辅助表'!T:T,B:B,'4店辅助表'!W:W)/SUMIF('4店辅助表'!T:T,B:B,'4店辅助表'!X:X),"-")</f>
        <v>0.241841116478798</v>
      </c>
      <c r="AF17" s="91">
        <f>IFERROR(SUMIF('4店辅助表'!AC:AC,B:B,'4店辅助表'!AF:AF)/SUMIF('4店辅助表'!AC:AC,B:B,'4店辅助表'!AG:AG),"-")</f>
        <v>0.189720712512959</v>
      </c>
      <c r="AG17" s="99">
        <f>IFERROR(AK17/((SUMIF('4店辅助表'!AT:AT,B:B,'4店辅助表'!AU:AU)+M17)/2),"-")</f>
        <v>0.155339805825243</v>
      </c>
      <c r="AH17" s="99">
        <f>IFERROR(AL17/((SUMIF('4店辅助表'!AW:AW,B:B,'4店辅助表'!AX:AX)+M17)/2),"-")</f>
        <v>0.5</v>
      </c>
      <c r="AI17" s="100">
        <f>IFERROR((SUMIF('4店辅助表'!AP:AP,B:B,'4店辅助表'!AR:AR)-SUMIF('4店辅助表'!AP:AP,B:B,'4店辅助表'!AR:AR)*0.15-(L17+IFERROR(VLOOKUP(B:B,'4店辅助表'!AZ:BA,2,0),0))*O17-IF(AN:AN="US",6.85,4.9)*(Z17+4.27*O17))/SUMIF('4店辅助表'!AP:AP,B:B,'4店辅助表'!AR:AR),"-")</f>
        <v>0.0921845966394421</v>
      </c>
      <c r="AJ17" s="100">
        <f t="shared" si="21"/>
        <v>0.046092298319721</v>
      </c>
      <c r="AK17" s="101">
        <f t="shared" si="22"/>
        <v>219.2</v>
      </c>
      <c r="AL17" s="101">
        <f t="shared" si="23"/>
        <v>438.4</v>
      </c>
      <c r="AM17" s="1" t="str">
        <f>VLOOKUP(B:B,'4店辅助表'!AZ:AZ,1,FALSE)</f>
        <v>Y4013-OR+Y4016+Y4019</v>
      </c>
      <c r="AN17" t="str">
        <f>VLOOKUP(B:B,'4店辅助表'!AZ:BB,3,FALSE)</f>
        <v>US</v>
      </c>
    </row>
    <row r="18" customHeight="1" spans="1:40">
      <c r="A18" s="58" t="str">
        <f>INDEX('[1]4店'!$A:$A,MATCH(B:B,'[1]4店'!$B:$B,0))</f>
        <v>美珠</v>
      </c>
      <c r="B18" s="45" t="s">
        <v>1334</v>
      </c>
      <c r="C18" s="45" t="s">
        <v>1326</v>
      </c>
      <c r="D18" s="59"/>
      <c r="E18" s="45" t="s">
        <v>1335</v>
      </c>
      <c r="F18" s="45">
        <v>16</v>
      </c>
      <c r="G18" s="45">
        <v>0</v>
      </c>
      <c r="H18" s="45">
        <v>0</v>
      </c>
      <c r="I18" s="45">
        <v>0</v>
      </c>
      <c r="J18" s="45">
        <v>0</v>
      </c>
      <c r="K18" s="63">
        <f t="shared" si="13"/>
        <v>16</v>
      </c>
      <c r="L18" s="64">
        <f>IFERROR(VLOOKUP($B:$B,'[1]4店'!$B:$L,11,FALSE),0)</f>
        <v>13.7</v>
      </c>
      <c r="M18" s="44">
        <f t="shared" si="3"/>
        <v>219.2</v>
      </c>
      <c r="N18" s="65">
        <f>IFERROR(VLOOKUP(B:B,'4店辅助表'!B:C,2,FALSE),0)</f>
        <v>1</v>
      </c>
      <c r="O18" s="65">
        <f>IFERROR(VLOOKUP(B:B,'4店辅助表'!E:F,2,FALSE),0)</f>
        <v>5</v>
      </c>
      <c r="P18" s="65">
        <f>IFERROR(VLOOKUP(B:B,'4店辅助表'!H:I,2,FALSE),0)</f>
        <v>9</v>
      </c>
      <c r="Q18" s="65">
        <f>IFERROR(VLOOKUP(B:B,'[1]4店'!$B:$N,13,FALSE),0)</f>
        <v>2</v>
      </c>
      <c r="R18" s="79">
        <f t="shared" si="14"/>
        <v>-1</v>
      </c>
      <c r="S18" s="80">
        <f t="shared" si="15"/>
        <v>61.840490797546</v>
      </c>
      <c r="T18" s="44">
        <f t="shared" si="16"/>
        <v>2.06134969325153</v>
      </c>
      <c r="U18" s="44">
        <f>IFERROR(VLOOKUP($B:$B,'[1]4店'!$B:$T,19,0),"-")</f>
        <v>1.710407239819</v>
      </c>
      <c r="V18" s="81">
        <f t="shared" si="17"/>
        <v>0.35094245343253</v>
      </c>
      <c r="W18" s="82" t="str">
        <f t="shared" si="18"/>
        <v>库存过高</v>
      </c>
      <c r="X18" s="83" t="str">
        <f t="shared" si="19"/>
        <v>库存过高</v>
      </c>
      <c r="Y18" s="44">
        <f>IFERROR(SUMIF('4店辅助表'!K:K,B:B,'4店辅助表'!N:N),0)</f>
        <v>0</v>
      </c>
      <c r="Z18" s="44">
        <f>IFERROR(SUMIF('4店辅助表'!T:T,B:B,'4店辅助表'!W:W),0)</f>
        <v>0</v>
      </c>
      <c r="AA18" s="44">
        <f>IFERROR(SUMIF('4店辅助表'!AC:AC,B:B,'4店辅助表'!AF:AF),0)</f>
        <v>0</v>
      </c>
      <c r="AB18" s="91" t="str">
        <f>IFERROR(SUMIF('4店辅助表'!K:K,B:B,'4店辅助表'!N:N)/SUMIF('4店辅助表'!K:K,B:B,'4店辅助表'!O:O),"-")</f>
        <v>-</v>
      </c>
      <c r="AC18" s="91" t="str">
        <f>IFERROR(VLOOKUP(B:B,'[1]4店'!$B:$AB,27,0),"-")</f>
        <v>-</v>
      </c>
      <c r="AD18" s="92" t="str">
        <f t="shared" si="20"/>
        <v>-</v>
      </c>
      <c r="AE18" s="91" t="str">
        <f>IFERROR(SUMIF('4店辅助表'!T:T,B:B,'4店辅助表'!W:W)/SUMIF('4店辅助表'!T:T,B:B,'4店辅助表'!X:X),"-")</f>
        <v>-</v>
      </c>
      <c r="AF18" s="91" t="str">
        <f>IFERROR(SUMIF('4店辅助表'!AC:AC,B:B,'4店辅助表'!AF:AF)/SUMIF('4店辅助表'!AC:AC,B:B,'4店辅助表'!AG:AG),"-")</f>
        <v>-</v>
      </c>
      <c r="AG18" s="99">
        <f>IFERROR(AK18/((SUMIF('4店辅助表'!AT:AT,B:B,'4店辅助表'!AU:AU)+M18)/2),"-")</f>
        <v>0.0588235294117647</v>
      </c>
      <c r="AH18" s="99">
        <f>IFERROR(AL18/((SUMIF('4店辅助表'!AW:AW,B:B,'4店辅助表'!AX:AX)+M18)/2),"-")</f>
        <v>0.232558139534884</v>
      </c>
      <c r="AI18" s="100">
        <f>IFERROR((SUMIF('4店辅助表'!AP:AP,B:B,'4店辅助表'!AR:AR)-SUMIF('4店辅助表'!AP:AP,B:B,'4店辅助表'!AR:AR)*0.15-(L18+IFERROR(VLOOKUP(B:B,'4店辅助表'!AZ:BA,2,0),0))*O18-IF(AN:AN="US",6.85,4.9)*(Z18+4.27*O18))/SUMIF('4店辅助表'!AP:AP,B:B,'4店辅助表'!AR:AR),"-")</f>
        <v>0.278231828170752</v>
      </c>
      <c r="AJ18" s="100">
        <f t="shared" si="21"/>
        <v>0.0647050763187794</v>
      </c>
      <c r="AK18" s="101">
        <f t="shared" si="22"/>
        <v>13.7</v>
      </c>
      <c r="AL18" s="101">
        <f t="shared" si="23"/>
        <v>68.5</v>
      </c>
      <c r="AM18" s="1" t="str">
        <f>VLOOKUP(B:B,'4店辅助表'!AZ:AZ,1,FALSE)</f>
        <v>Y4013-PB+Y4016+Y4019</v>
      </c>
      <c r="AN18" t="str">
        <f>VLOOKUP(B:B,'4店辅助表'!AZ:BB,3,FALSE)</f>
        <v>US</v>
      </c>
    </row>
    <row r="19" customHeight="1" spans="1:40">
      <c r="A19" s="58" t="str">
        <f>INDEX('[1]4店'!$A:$A,MATCH(B:B,'[1]4店'!$B:$B,0))</f>
        <v>美珠</v>
      </c>
      <c r="B19" s="45" t="s">
        <v>1336</v>
      </c>
      <c r="C19" s="45" t="s">
        <v>1337</v>
      </c>
      <c r="D19" s="59"/>
      <c r="E19" s="45" t="s">
        <v>1338</v>
      </c>
      <c r="F19" s="45">
        <v>6</v>
      </c>
      <c r="G19" s="45">
        <v>0</v>
      </c>
      <c r="H19" s="45">
        <v>0</v>
      </c>
      <c r="I19" s="45">
        <v>0</v>
      </c>
      <c r="J19" s="45">
        <v>0</v>
      </c>
      <c r="K19" s="63">
        <f t="shared" si="13"/>
        <v>6</v>
      </c>
      <c r="L19" s="64">
        <f>IFERROR(VLOOKUP($B:$B,'[1]4店'!$B:$L,11,FALSE),0)</f>
        <v>13.7</v>
      </c>
      <c r="M19" s="44">
        <f t="shared" si="3"/>
        <v>82.2</v>
      </c>
      <c r="N19" s="65">
        <f>IFERROR(VLOOKUP(B:B,'4店辅助表'!B:C,2,FALSE),0)</f>
        <v>4</v>
      </c>
      <c r="O19" s="65">
        <f>IFERROR(VLOOKUP(B:B,'4店辅助表'!E:F,2,FALSE),0)</f>
        <v>11</v>
      </c>
      <c r="P19" s="65">
        <f>IFERROR(VLOOKUP(B:B,'4店辅助表'!H:I,2,FALSE),0)</f>
        <v>21</v>
      </c>
      <c r="Q19" s="65">
        <f>IFERROR(VLOOKUP(B:B,'[1]4店'!$B:$N,13,FALSE),0)</f>
        <v>7</v>
      </c>
      <c r="R19" s="79">
        <f t="shared" si="14"/>
        <v>-3</v>
      </c>
      <c r="S19" s="80">
        <f t="shared" si="15"/>
        <v>8.97862232779097</v>
      </c>
      <c r="T19" s="44">
        <f t="shared" si="16"/>
        <v>0.299287410926366</v>
      </c>
      <c r="U19" s="44">
        <f>IFERROR(VLOOKUP($B:$B,'[1]4店'!$B:$T,19,0),"-")</f>
        <v>0.527027027027027</v>
      </c>
      <c r="V19" s="81">
        <f t="shared" si="17"/>
        <v>-0.227739616100661</v>
      </c>
      <c r="W19" s="82" t="str">
        <f t="shared" si="18"/>
        <v>库存过低</v>
      </c>
      <c r="X19" s="83" t="str">
        <f t="shared" si="19"/>
        <v>库存过低</v>
      </c>
      <c r="Y19" s="44">
        <f>IFERROR(SUMIF('4店辅助表'!K:K,B:B,'4店辅助表'!N:N),0)</f>
        <v>4.01</v>
      </c>
      <c r="Z19" s="44">
        <f>IFERROR(SUMIF('4店辅助表'!T:T,B:B,'4店辅助表'!W:W),0)</f>
        <v>9.76</v>
      </c>
      <c r="AA19" s="44">
        <f>IFERROR(SUMIF('4店辅助表'!AC:AC,B:B,'4店辅助表'!AF:AF),0)</f>
        <v>23.13</v>
      </c>
      <c r="AB19" s="91">
        <f>IFERROR(SUMIF('4店辅助表'!K:K,B:B,'4店辅助表'!N:N)/SUMIF('4店辅助表'!K:K,B:B,'4店辅助表'!O:O),"-")</f>
        <v>0.102899666410059</v>
      </c>
      <c r="AC19" s="91">
        <f>IFERROR(VLOOKUP(B:B,'[1]4店'!$B:$AB,27,0),"-")</f>
        <v>0.129539605376037</v>
      </c>
      <c r="AD19" s="92">
        <f t="shared" si="20"/>
        <v>-0.026639938965978</v>
      </c>
      <c r="AE19" s="91">
        <f>IFERROR(SUMIF('4店辅助表'!T:T,B:B,'4店辅助表'!W:W)/SUMIF('4店辅助表'!T:T,B:B,'4店辅助表'!X:X),"-")</f>
        <v>0.131998918041655</v>
      </c>
      <c r="AF19" s="91">
        <f>IFERROR(SUMIF('4店辅助表'!AC:AC,B:B,'4店辅助表'!AF:AF)/SUMIF('4店辅助表'!AC:AC,B:B,'4店辅助表'!AG:AG),"-")</f>
        <v>0.183717235901509</v>
      </c>
      <c r="AG19" s="99">
        <f>IFERROR(AK19/((SUMIF('4店辅助表'!AT:AT,B:B,'4店辅助表'!AU:AU)+M19)/2),"-")</f>
        <v>0.421052631578947</v>
      </c>
      <c r="AH19" s="99">
        <f>IFERROR(AL19/((SUMIF('4店辅助表'!AW:AW,B:B,'4店辅助表'!AX:AX)+M19)/2),"-")</f>
        <v>0.666666666666667</v>
      </c>
      <c r="AI19" s="100">
        <f>IFERROR((SUMIF('4店辅助表'!AP:AP,B:B,'4店辅助表'!AR:AR)-SUMIF('4店辅助表'!AP:AP,B:B,'4店辅助表'!AR:AR)*0.15-(L19+IFERROR(VLOOKUP(B:B,'4店辅助表'!AZ:BA,2,0),0))*O19-IF(AN:AN="US",6.85,4.9)*(Z19+4.27*O19))/SUMIF('4店辅助表'!AP:AP,B:B,'4店辅助表'!AR:AR),"-")</f>
        <v>0.217760784006339</v>
      </c>
      <c r="AJ19" s="100">
        <f t="shared" si="21"/>
        <v>0.145173856004226</v>
      </c>
      <c r="AK19" s="101">
        <f t="shared" si="22"/>
        <v>54.8</v>
      </c>
      <c r="AL19" s="101">
        <f t="shared" si="23"/>
        <v>150.7</v>
      </c>
      <c r="AM19" s="1" t="str">
        <f>VLOOKUP(B:B,'4店辅助表'!AZ:AZ,1,FALSE)</f>
        <v>Y4020-BL+Y4024+Y4028</v>
      </c>
      <c r="AN19" t="str">
        <f>VLOOKUP(B:B,'4店辅助表'!AZ:BB,3,FALSE)</f>
        <v>US</v>
      </c>
    </row>
    <row r="20" customHeight="1" spans="1:40">
      <c r="A20" s="58" t="str">
        <f>INDEX('[1]4店'!$A:$A,MATCH(B:B,'[1]4店'!$B:$B,0))</f>
        <v>美珠</v>
      </c>
      <c r="B20" s="45" t="s">
        <v>1339</v>
      </c>
      <c r="C20" s="45" t="s">
        <v>1337</v>
      </c>
      <c r="D20" s="59"/>
      <c r="E20" s="45" t="s">
        <v>1340</v>
      </c>
      <c r="F20" s="45">
        <v>51</v>
      </c>
      <c r="G20" s="45">
        <v>1</v>
      </c>
      <c r="H20" s="45">
        <v>3</v>
      </c>
      <c r="I20" s="45">
        <v>36</v>
      </c>
      <c r="J20" s="45">
        <v>0</v>
      </c>
      <c r="K20" s="63">
        <f t="shared" si="13"/>
        <v>91</v>
      </c>
      <c r="L20" s="64">
        <f>IFERROR(VLOOKUP($B:$B,'[1]4店'!$B:$L,11,FALSE),0)</f>
        <v>13.7</v>
      </c>
      <c r="M20" s="44">
        <f t="shared" si="3"/>
        <v>1246.7</v>
      </c>
      <c r="N20" s="65">
        <f>IFERROR(VLOOKUP(B:B,'4店辅助表'!B:C,2,FALSE),0)</f>
        <v>2</v>
      </c>
      <c r="O20" s="65">
        <f>IFERROR(VLOOKUP(B:B,'4店辅助表'!E:F,2,FALSE),0)</f>
        <v>8</v>
      </c>
      <c r="P20" s="65">
        <f>IFERROR(VLOOKUP(B:B,'4店辅助表'!H:I,2,FALSE),0)</f>
        <v>21</v>
      </c>
      <c r="Q20" s="65">
        <f>IFERROR(VLOOKUP(B:B,'[1]4店'!$B:$N,13,FALSE),0)</f>
        <v>6</v>
      </c>
      <c r="R20" s="79">
        <f t="shared" si="14"/>
        <v>-4</v>
      </c>
      <c r="S20" s="80">
        <f t="shared" si="15"/>
        <v>179.717868338558</v>
      </c>
      <c r="T20" s="44">
        <f t="shared" si="16"/>
        <v>5.99059561128527</v>
      </c>
      <c r="U20" s="44">
        <f>IFERROR(VLOOKUP($B:$B,'[1]4店'!$B:$T,19,0),"-")</f>
        <v>3.41433566433566</v>
      </c>
      <c r="V20" s="81">
        <f t="shared" si="17"/>
        <v>2.57625994694961</v>
      </c>
      <c r="W20" s="82" t="str">
        <f t="shared" si="18"/>
        <v>库存过高</v>
      </c>
      <c r="X20" s="83" t="str">
        <f t="shared" si="19"/>
        <v>库存过高</v>
      </c>
      <c r="Y20" s="44">
        <f>IFERROR(SUMIF('4店辅助表'!K:K,B:B,'4店辅助表'!N:N),0)</f>
        <v>0.54</v>
      </c>
      <c r="Z20" s="44">
        <f>IFERROR(SUMIF('4店辅助表'!T:T,B:B,'4店辅助表'!W:W),0)</f>
        <v>1.61</v>
      </c>
      <c r="AA20" s="44">
        <f>IFERROR(SUMIF('4店辅助表'!AC:AC,B:B,'4店辅助表'!AF:AF),0)</f>
        <v>4.94</v>
      </c>
      <c r="AB20" s="91" t="str">
        <f>IFERROR(SUMIF('4店辅助表'!K:K,B:B,'4店辅助表'!N:N)/SUMIF('4店辅助表'!K:K,B:B,'4店辅助表'!O:O),"-")</f>
        <v>-</v>
      </c>
      <c r="AC20" s="91" t="str">
        <f>IFERROR(VLOOKUP(B:B,'[1]4店'!$B:$AB,27,0),"-")</f>
        <v>-</v>
      </c>
      <c r="AD20" s="92" t="str">
        <f t="shared" si="20"/>
        <v>-</v>
      </c>
      <c r="AE20" s="91" t="str">
        <f>IFERROR(SUMIF('4店辅助表'!T:T,B:B,'4店辅助表'!W:W)/SUMIF('4店辅助表'!T:T,B:B,'4店辅助表'!X:X),"-")</f>
        <v>-</v>
      </c>
      <c r="AF20" s="91" t="str">
        <f>IFERROR(SUMIF('4店辅助表'!AC:AC,B:B,'4店辅助表'!AF:AF)/SUMIF('4店辅助表'!AC:AC,B:B,'4店辅助表'!AG:AG),"-")</f>
        <v>-</v>
      </c>
      <c r="AG20" s="99">
        <f>IFERROR(AK20/((SUMIF('4店辅助表'!AT:AT,B:B,'4店辅助表'!AU:AU)+M20)/2),"-")</f>
        <v>0.0217391304347826</v>
      </c>
      <c r="AH20" s="99">
        <f>IFERROR(AL20/((SUMIF('4店辅助表'!AW:AW,B:B,'4店辅助表'!AX:AX)+M20)/2),"-")</f>
        <v>0.150943396226415</v>
      </c>
      <c r="AI20" s="100">
        <f>IFERROR((SUMIF('4店辅助表'!AP:AP,B:B,'4店辅助表'!AR:AR)-SUMIF('4店辅助表'!AP:AP,B:B,'4店辅助表'!AR:AR)*0.15-(L20+IFERROR(VLOOKUP(B:B,'4店辅助表'!AZ:BA,2,0),0))*O20-IF(AN:AN="US",6.85,4.9)*(Z20+4.27*O20))/SUMIF('4店辅助表'!AP:AP,B:B,'4店辅助表'!AR:AR),"-")</f>
        <v>0.297419947132092</v>
      </c>
      <c r="AJ20" s="100">
        <f t="shared" si="21"/>
        <v>0.0448935769255987</v>
      </c>
      <c r="AK20" s="101">
        <f t="shared" si="22"/>
        <v>27.4</v>
      </c>
      <c r="AL20" s="101">
        <f t="shared" si="23"/>
        <v>109.6</v>
      </c>
      <c r="AM20" s="1" t="str">
        <f>VLOOKUP(B:B,'4店辅助表'!AZ:AZ,1,FALSE)</f>
        <v>Y4020-DB+Y4024+Y4028</v>
      </c>
      <c r="AN20" t="str">
        <f>VLOOKUP(B:B,'4店辅助表'!AZ:BB,3,FALSE)</f>
        <v>US</v>
      </c>
    </row>
    <row r="21" customHeight="1" spans="1:40">
      <c r="A21" s="58" t="str">
        <f>INDEX('[1]4店'!$A:$A,MATCH(B:B,'[1]4店'!$B:$B,0))</f>
        <v>美珠</v>
      </c>
      <c r="B21" s="45" t="s">
        <v>1341</v>
      </c>
      <c r="C21" s="45" t="s">
        <v>1337</v>
      </c>
      <c r="D21" s="59"/>
      <c r="E21" s="45" t="s">
        <v>1342</v>
      </c>
      <c r="F21" s="45">
        <v>37</v>
      </c>
      <c r="G21" s="45">
        <v>0</v>
      </c>
      <c r="H21" s="45">
        <v>0</v>
      </c>
      <c r="I21" s="45">
        <v>0</v>
      </c>
      <c r="J21" s="45">
        <v>0</v>
      </c>
      <c r="K21" s="63">
        <f t="shared" si="13"/>
        <v>37</v>
      </c>
      <c r="L21" s="64">
        <f>IFERROR(VLOOKUP($B:$B,'[1]4店'!$B:$L,11,FALSE),0)</f>
        <v>13.7</v>
      </c>
      <c r="M21" s="44">
        <f t="shared" si="3"/>
        <v>506.9</v>
      </c>
      <c r="N21" s="65">
        <f>IFERROR(VLOOKUP(B:B,'4店辅助表'!B:C,2,FALSE),0)</f>
        <v>0</v>
      </c>
      <c r="O21" s="65">
        <f>IFERROR(VLOOKUP(B:B,'4店辅助表'!E:F,2,FALSE),0)</f>
        <v>3</v>
      </c>
      <c r="P21" s="65">
        <f>IFERROR(VLOOKUP(B:B,'4店辅助表'!H:I,2,FALSE),0)</f>
        <v>4</v>
      </c>
      <c r="Q21" s="65">
        <f>IFERROR(VLOOKUP(B:B,'[1]4店'!$B:$N,13,FALSE),0)</f>
        <v>3</v>
      </c>
      <c r="R21" s="79">
        <f t="shared" si="14"/>
        <v>-3</v>
      </c>
      <c r="S21" s="80">
        <f t="shared" si="15"/>
        <v>333</v>
      </c>
      <c r="T21" s="44">
        <f t="shared" si="16"/>
        <v>11.1</v>
      </c>
      <c r="U21" s="44">
        <f>IFERROR(VLOOKUP($B:$B,'[1]4店'!$B:$T,19,0),"-")</f>
        <v>4.29281767955801</v>
      </c>
      <c r="V21" s="81">
        <f t="shared" si="17"/>
        <v>6.80718232044199</v>
      </c>
      <c r="W21" s="82" t="str">
        <f t="shared" si="18"/>
        <v>有库存无销量</v>
      </c>
      <c r="X21" s="83" t="str">
        <f t="shared" si="19"/>
        <v>库存过高</v>
      </c>
      <c r="Y21" s="44">
        <f>IFERROR(SUMIF('4店辅助表'!K:K,B:B,'4店辅助表'!N:N),0)</f>
        <v>2.49</v>
      </c>
      <c r="Z21" s="44">
        <f>IFERROR(SUMIF('4店辅助表'!T:T,B:B,'4店辅助表'!W:W),0)</f>
        <v>7.14</v>
      </c>
      <c r="AA21" s="44">
        <f>IFERROR(SUMIF('4店辅助表'!AC:AC,B:B,'4店辅助表'!AF:AF),0)</f>
        <v>15.2</v>
      </c>
      <c r="AB21" s="91" t="str">
        <f>IFERROR(SUMIF('4店辅助表'!K:K,B:B,'4店辅助表'!N:N)/SUMIF('4店辅助表'!K:K,B:B,'4店辅助表'!O:O),"-")</f>
        <v>-</v>
      </c>
      <c r="AC21" s="91">
        <f>IFERROR(VLOOKUP(B:B,'[1]4店'!$B:$AB,27,0),"-")</f>
        <v>0.0792917628945343</v>
      </c>
      <c r="AD21" s="92" t="str">
        <f t="shared" si="20"/>
        <v>-</v>
      </c>
      <c r="AE21" s="91">
        <f>IFERROR(SUMIF('4店辅助表'!T:T,B:B,'4店辅助表'!W:W)/SUMIF('4店辅助表'!T:T,B:B,'4店辅助表'!X:X),"-")</f>
        <v>0.183217859892225</v>
      </c>
      <c r="AF21" s="91">
        <f>IFERROR(SUMIF('4店辅助表'!AC:AC,B:B,'4店辅助表'!AF:AF)/SUMIF('4店辅助表'!AC:AC,B:B,'4店辅助表'!AG:AG),"-")</f>
        <v>0.234026173979985</v>
      </c>
      <c r="AG21" s="99">
        <f>IFERROR(AK21/((SUMIF('4店辅助表'!AT:AT,B:B,'4店辅助表'!AU:AU)+M21)/2),"-")</f>
        <v>0</v>
      </c>
      <c r="AH21" s="99">
        <f>IFERROR(AL21/((SUMIF('4店辅助表'!AW:AW,B:B,'4店辅助表'!AX:AX)+M21)/2),"-")</f>
        <v>0.0769230769230769</v>
      </c>
      <c r="AI21" s="100">
        <f>IFERROR((SUMIF('4店辅助表'!AP:AP,B:B,'4店辅助表'!AR:AR)-SUMIF('4店辅助表'!AP:AP,B:B,'4店辅助表'!AR:AR)*0.15-(L21+IFERROR(VLOOKUP(B:B,'4店辅助表'!AZ:BA,2,0),0))*O21-IF(AN:AN="US",6.85,4.9)*(Z21+4.27*O21))/SUMIF('4店辅助表'!AP:AP,B:B,'4店辅助表'!AR:AR),"-")</f>
        <v>0.142588908930508</v>
      </c>
      <c r="AJ21" s="100">
        <f t="shared" si="21"/>
        <v>0.0109683776100391</v>
      </c>
      <c r="AK21" s="101">
        <f t="shared" si="22"/>
        <v>0</v>
      </c>
      <c r="AL21" s="101">
        <f t="shared" si="23"/>
        <v>41.1</v>
      </c>
      <c r="AM21" s="1" t="str">
        <f>VLOOKUP(B:B,'4店辅助表'!AZ:AZ,1,FALSE)</f>
        <v>Y4020-GW+Y4024+Y4028</v>
      </c>
      <c r="AN21" t="str">
        <f>VLOOKUP(B:B,'4店辅助表'!AZ:BB,3,FALSE)</f>
        <v>US</v>
      </c>
    </row>
    <row r="22" customHeight="1" spans="1:40">
      <c r="A22" s="58" t="str">
        <f>INDEX('[1]4店'!$A:$A,MATCH(B:B,'[1]4店'!$B:$B,0))</f>
        <v>美珠</v>
      </c>
      <c r="B22" s="45" t="s">
        <v>1343</v>
      </c>
      <c r="C22" s="45" t="s">
        <v>1337</v>
      </c>
      <c r="D22" s="59"/>
      <c r="E22" s="45" t="s">
        <v>1344</v>
      </c>
      <c r="F22" s="45">
        <v>56</v>
      </c>
      <c r="G22" s="45">
        <v>0</v>
      </c>
      <c r="H22" s="45">
        <v>0</v>
      </c>
      <c r="I22" s="45">
        <v>0</v>
      </c>
      <c r="J22" s="45">
        <v>0</v>
      </c>
      <c r="K22" s="63">
        <f t="shared" si="13"/>
        <v>56</v>
      </c>
      <c r="L22" s="64">
        <f>IFERROR(VLOOKUP($B:$B,'[1]4店'!$B:$L,11,FALSE),0)</f>
        <v>13.7</v>
      </c>
      <c r="M22" s="44">
        <f t="shared" si="3"/>
        <v>767.2</v>
      </c>
      <c r="N22" s="65">
        <f>IFERROR(VLOOKUP(B:B,'4店辅助表'!B:C,2,FALSE),0)</f>
        <v>4</v>
      </c>
      <c r="O22" s="65">
        <f>IFERROR(VLOOKUP(B:B,'4店辅助表'!E:F,2,FALSE),0)</f>
        <v>13</v>
      </c>
      <c r="P22" s="65">
        <f>IFERROR(VLOOKUP(B:B,'4店辅助表'!H:I,2,FALSE),0)</f>
        <v>24</v>
      </c>
      <c r="Q22" s="65">
        <f>IFERROR(VLOOKUP(B:B,'[1]4店'!$B:$N,13,FALSE),0)</f>
        <v>10</v>
      </c>
      <c r="R22" s="79">
        <f t="shared" si="14"/>
        <v>-6</v>
      </c>
      <c r="S22" s="80">
        <f t="shared" si="15"/>
        <v>75.063829787234</v>
      </c>
      <c r="T22" s="44">
        <f t="shared" si="16"/>
        <v>2.50212765957447</v>
      </c>
      <c r="U22" s="44">
        <f>IFERROR(VLOOKUP($B:$B,'[1]4店'!$B:$T,19,0),"-")</f>
        <v>1.94038748137109</v>
      </c>
      <c r="V22" s="81">
        <f t="shared" si="17"/>
        <v>0.56174017820338</v>
      </c>
      <c r="W22" s="82" t="str">
        <f t="shared" si="18"/>
        <v>库存过高</v>
      </c>
      <c r="X22" s="83" t="str">
        <f t="shared" si="19"/>
        <v>库存过高</v>
      </c>
      <c r="Y22" s="44">
        <f>IFERROR(SUMIF('4店辅助表'!K:K,B:B,'4店辅助表'!N:N),0)</f>
        <v>14.89</v>
      </c>
      <c r="Z22" s="44">
        <f>IFERROR(SUMIF('4店辅助表'!T:T,B:B,'4店辅助表'!W:W),0)</f>
        <v>31.87</v>
      </c>
      <c r="AA22" s="44">
        <f>IFERROR(SUMIF('4店辅助表'!AC:AC,B:B,'4店辅助表'!AF:AF),0)</f>
        <v>78.36</v>
      </c>
      <c r="AB22" s="91">
        <f>IFERROR(SUMIF('4店辅助表'!K:K,B:B,'4店辅助表'!N:N)/SUMIF('4店辅助表'!K:K,B:B,'4店辅助表'!O:O),"-")</f>
        <v>0.38208878624583</v>
      </c>
      <c r="AC22" s="91">
        <f>IFERROR(VLOOKUP(B:B,'[1]4店'!$B:$AB,27,0),"-")</f>
        <v>0.195146359769827</v>
      </c>
      <c r="AD22" s="92">
        <f t="shared" si="20"/>
        <v>0.186942426476003</v>
      </c>
      <c r="AE22" s="91">
        <f>IFERROR(SUMIF('4店辅助表'!T:T,B:B,'4店辅助表'!W:W)/SUMIF('4店辅助表'!T:T,B:B,'4店辅助表'!X:X),"-")</f>
        <v>0.268017828609873</v>
      </c>
      <c r="AF22" s="91">
        <f>IFERROR(SUMIF('4店辅助表'!AC:AC,B:B,'4店辅助表'!AF:AF)/SUMIF('4店辅助表'!AC:AC,B:B,'4店辅助表'!AG:AG),"-")</f>
        <v>0.299312452253629</v>
      </c>
      <c r="AG22" s="99">
        <f>IFERROR(AK22/((SUMIF('4店辅助表'!AT:AT,B:B,'4店辅助表'!AU:AU)+M22)/2),"-")</f>
        <v>0.0677966101694915</v>
      </c>
      <c r="AH22" s="99">
        <f>IFERROR(AL22/((SUMIF('4店辅助表'!AW:AW,B:B,'4店辅助表'!AX:AX)+M22)/2),"-")</f>
        <v>0.279569892473118</v>
      </c>
      <c r="AI22" s="100">
        <f>IFERROR((SUMIF('4店辅助表'!AP:AP,B:B,'4店辅助表'!AR:AR)-SUMIF('4店辅助表'!AP:AP,B:B,'4店辅助表'!AR:AR)*0.15-(L22+IFERROR(VLOOKUP(B:B,'4店辅助表'!AZ:BA,2,0),0))*O22-IF(AN:AN="US",6.85,4.9)*(Z22+4.27*O22))/SUMIF('4店辅助表'!AP:AP,B:B,'4店辅助表'!AR:AR),"-")</f>
        <v>0.133808623878058</v>
      </c>
      <c r="AJ22" s="100">
        <f t="shared" si="21"/>
        <v>0.0374088625895646</v>
      </c>
      <c r="AK22" s="101">
        <f t="shared" si="22"/>
        <v>54.8</v>
      </c>
      <c r="AL22" s="101">
        <f t="shared" si="23"/>
        <v>178.1</v>
      </c>
      <c r="AM22" s="1" t="str">
        <f>VLOOKUP(B:B,'4店辅助表'!AZ:AZ,1,FALSE)</f>
        <v>Y4020-OR+Y4024+Y4028</v>
      </c>
      <c r="AN22" t="str">
        <f>VLOOKUP(B:B,'4店辅助表'!AZ:BB,3,FALSE)</f>
        <v>US</v>
      </c>
    </row>
    <row r="23" customHeight="1" spans="1:40">
      <c r="A23" s="58" t="str">
        <f>INDEX('[1]4店'!$A:$A,MATCH(B:B,'[1]4店'!$B:$B,0))</f>
        <v>美珠</v>
      </c>
      <c r="B23" s="45" t="s">
        <v>1345</v>
      </c>
      <c r="C23" s="45" t="s">
        <v>1337</v>
      </c>
      <c r="D23" s="59"/>
      <c r="E23" s="45" t="s">
        <v>1346</v>
      </c>
      <c r="F23" s="45">
        <v>22</v>
      </c>
      <c r="G23" s="45">
        <v>0</v>
      </c>
      <c r="H23" s="45">
        <v>0</v>
      </c>
      <c r="I23" s="45">
        <v>0</v>
      </c>
      <c r="J23" s="45">
        <v>0</v>
      </c>
      <c r="K23" s="63">
        <f t="shared" si="13"/>
        <v>22</v>
      </c>
      <c r="L23" s="64">
        <f>IFERROR(VLOOKUP($B:$B,'[1]4店'!$B:$L,11,FALSE),0)</f>
        <v>13.7</v>
      </c>
      <c r="M23" s="44">
        <f t="shared" si="3"/>
        <v>301.4</v>
      </c>
      <c r="N23" s="65">
        <f>IFERROR(VLOOKUP(B:B,'4店辅助表'!B:C,2,FALSE),0)</f>
        <v>2</v>
      </c>
      <c r="O23" s="65">
        <f>IFERROR(VLOOKUP(B:B,'4店辅助表'!E:F,2,FALSE),0)</f>
        <v>2</v>
      </c>
      <c r="P23" s="65">
        <f>IFERROR(VLOOKUP(B:B,'4店辅助表'!H:I,2,FALSE),0)</f>
        <v>5</v>
      </c>
      <c r="Q23" s="65">
        <f>IFERROR(VLOOKUP(B:B,'[1]4店'!$B:$N,13,FALSE),0)</f>
        <v>0</v>
      </c>
      <c r="R23" s="79">
        <f t="shared" si="14"/>
        <v>2</v>
      </c>
      <c r="S23" s="80">
        <f t="shared" si="15"/>
        <v>112.682926829268</v>
      </c>
      <c r="T23" s="44">
        <f t="shared" si="16"/>
        <v>3.75609756097561</v>
      </c>
      <c r="U23" s="44">
        <f>IFERROR(VLOOKUP($B:$B,'[1]4店'!$B:$T,19,0),"-")</f>
        <v>7.66666666666667</v>
      </c>
      <c r="V23" s="81">
        <f t="shared" si="17"/>
        <v>-3.91056910569106</v>
      </c>
      <c r="W23" s="82" t="str">
        <f t="shared" si="18"/>
        <v>库存过高</v>
      </c>
      <c r="X23" s="83" t="str">
        <f t="shared" si="19"/>
        <v>库存过高</v>
      </c>
      <c r="Y23" s="44">
        <f>IFERROR(SUMIF('4店辅助表'!K:K,B:B,'4店辅助表'!N:N),0)</f>
        <v>0.11</v>
      </c>
      <c r="Z23" s="44">
        <f>IFERROR(SUMIF('4店辅助表'!T:T,B:B,'4店辅助表'!W:W),0)</f>
        <v>0.31</v>
      </c>
      <c r="AA23" s="44">
        <f>IFERROR(SUMIF('4店辅助表'!AC:AC,B:B,'4店辅助表'!AF:AF),0)</f>
        <v>0.51</v>
      </c>
      <c r="AB23" s="91" t="str">
        <f>IFERROR(SUMIF('4店辅助表'!K:K,B:B,'4店辅助表'!N:N)/SUMIF('4店辅助表'!K:K,B:B,'4店辅助表'!O:O),"-")</f>
        <v>-</v>
      </c>
      <c r="AC23" s="91" t="str">
        <f>IFERROR(VLOOKUP(B:B,'[1]4店'!$B:$AB,27,0),"-")</f>
        <v>-</v>
      </c>
      <c r="AD23" s="92" t="str">
        <f t="shared" si="20"/>
        <v>-</v>
      </c>
      <c r="AE23" s="91" t="str">
        <f>IFERROR(SUMIF('4店辅助表'!T:T,B:B,'4店辅助表'!W:W)/SUMIF('4店辅助表'!T:T,B:B,'4店辅助表'!X:X),"-")</f>
        <v>-</v>
      </c>
      <c r="AF23" s="91" t="str">
        <f>IFERROR(SUMIF('4店辅助表'!AC:AC,B:B,'4店辅助表'!AF:AF)/SUMIF('4店辅助表'!AC:AC,B:B,'4店辅助表'!AG:AG),"-")</f>
        <v>-</v>
      </c>
      <c r="AG23" s="99">
        <f>IFERROR(AK23/((SUMIF('4店辅助表'!AT:AT,B:B,'4店辅助表'!AU:AU)+M23)/2),"-")</f>
        <v>0.0888888888888889</v>
      </c>
      <c r="AH23" s="99">
        <f>IFERROR(AL23/((SUMIF('4店辅助表'!AW:AW,B:B,'4店辅助表'!AX:AX)+M23)/2),"-")</f>
        <v>0.0851063829787234</v>
      </c>
      <c r="AI23" s="100">
        <f>IFERROR((SUMIF('4店辅助表'!AP:AP,B:B,'4店辅助表'!AR:AR)-SUMIF('4店辅助表'!AP:AP,B:B,'4店辅助表'!AR:AR)*0.15-(L23+IFERROR(VLOOKUP(B:B,'4店辅助表'!AZ:BA,2,0),0))*O23-IF(AN:AN="US",6.85,4.9)*(Z23+4.27*O23))/SUMIF('4店辅助表'!AP:AP,B:B,'4店辅助表'!AR:AR),"-")</f>
        <v>0.300568376572658</v>
      </c>
      <c r="AJ23" s="100">
        <f t="shared" si="21"/>
        <v>0.0255802873678858</v>
      </c>
      <c r="AK23" s="101">
        <f t="shared" si="22"/>
        <v>27.4</v>
      </c>
      <c r="AL23" s="101">
        <f t="shared" si="23"/>
        <v>27.4</v>
      </c>
      <c r="AM23" s="1" t="str">
        <f>VLOOKUP(B:B,'4店辅助表'!AZ:AZ,1,FALSE)</f>
        <v>Y4020-WB+Y4024+Y4028</v>
      </c>
      <c r="AN23" t="str">
        <f>VLOOKUP(B:B,'4店辅助表'!AZ:BB,3,FALSE)</f>
        <v>US</v>
      </c>
    </row>
    <row r="24" customHeight="1" spans="1:40">
      <c r="A24" s="58" t="str">
        <f>INDEX('[1]4店'!$A:$A,MATCH(B:B,'[1]4店'!$B:$B,0))</f>
        <v>美珠</v>
      </c>
      <c r="B24" s="45" t="s">
        <v>1347</v>
      </c>
      <c r="C24" s="45" t="s">
        <v>1348</v>
      </c>
      <c r="D24" s="59"/>
      <c r="E24" s="45" t="s">
        <v>1349</v>
      </c>
      <c r="F24" s="45">
        <v>41</v>
      </c>
      <c r="G24" s="45">
        <v>0</v>
      </c>
      <c r="H24" s="45">
        <v>0</v>
      </c>
      <c r="I24" s="45">
        <v>0</v>
      </c>
      <c r="J24" s="45">
        <v>0</v>
      </c>
      <c r="K24" s="63">
        <f t="shared" si="13"/>
        <v>41</v>
      </c>
      <c r="L24" s="64">
        <f>IFERROR(VLOOKUP($B:$B,'[1]4店'!$B:$L,11,FALSE),0)</f>
        <v>13.7</v>
      </c>
      <c r="M24" s="44">
        <f t="shared" si="3"/>
        <v>561.7</v>
      </c>
      <c r="N24" s="65">
        <f>IFERROR(VLOOKUP(B:B,'4店辅助表'!B:C,2,FALSE),0)</f>
        <v>4</v>
      </c>
      <c r="O24" s="65">
        <f>IFERROR(VLOOKUP(B:B,'4店辅助表'!E:F,2,FALSE),0)</f>
        <v>7</v>
      </c>
      <c r="P24" s="65">
        <f>IFERROR(VLOOKUP(B:B,'4店辅助表'!H:I,2,FALSE),0)</f>
        <v>16</v>
      </c>
      <c r="Q24" s="65">
        <f>IFERROR(VLOOKUP(B:B,'[1]4店'!$B:$N,13,FALSE),0)</f>
        <v>3</v>
      </c>
      <c r="R24" s="79">
        <f t="shared" si="14"/>
        <v>1</v>
      </c>
      <c r="S24" s="80">
        <f t="shared" si="15"/>
        <v>78.2727272727273</v>
      </c>
      <c r="T24" s="44">
        <f t="shared" si="16"/>
        <v>2.60909090909091</v>
      </c>
      <c r="U24" s="44">
        <f>IFERROR(VLOOKUP($B:$B,'[1]4店'!$B:$T,19,0),"-")</f>
        <v>2.81707317073171</v>
      </c>
      <c r="V24" s="81">
        <f t="shared" si="17"/>
        <v>-0.2079822616408</v>
      </c>
      <c r="W24" s="82" t="str">
        <f t="shared" si="18"/>
        <v>库存过高</v>
      </c>
      <c r="X24" s="83" t="str">
        <f t="shared" si="19"/>
        <v>库存过高</v>
      </c>
      <c r="Y24" s="44">
        <f>IFERROR(SUMIF('4店辅助表'!K:K,B:B,'4店辅助表'!N:N),0)</f>
        <v>12.46</v>
      </c>
      <c r="Z24" s="44">
        <f>IFERROR(SUMIF('4店辅助表'!T:T,B:B,'4店辅助表'!W:W),0)</f>
        <v>21.02</v>
      </c>
      <c r="AA24" s="44">
        <f>IFERROR(SUMIF('4店辅助表'!AC:AC,B:B,'4店辅助表'!AF:AF),0)</f>
        <v>29.78</v>
      </c>
      <c r="AB24" s="91">
        <f>IFERROR(SUMIF('4店辅助表'!K:K,B:B,'4店辅助表'!N:N)/SUMIF('4店辅助表'!K:K,B:B,'4店辅助表'!O:O),"-")</f>
        <v>0.959199384141648</v>
      </c>
      <c r="AC24" s="91">
        <f>IFERROR(VLOOKUP(B:B,'[1]4店'!$B:$AB,27,0),"-")</f>
        <v>0.179368745188607</v>
      </c>
      <c r="AD24" s="92">
        <f t="shared" si="20"/>
        <v>0.779830638953041</v>
      </c>
      <c r="AE24" s="91">
        <f>IFERROR(SUMIF('4店辅助表'!T:T,B:B,'4店辅助表'!W:W)/SUMIF('4店辅助表'!T:T,B:B,'4店辅助表'!X:X),"-")</f>
        <v>0.404541955350269</v>
      </c>
      <c r="AF24" s="91">
        <f>IFERROR(SUMIF('4店辅助表'!AC:AC,B:B,'4店辅助表'!AF:AF)/SUMIF('4店辅助表'!AC:AC,B:B,'4店辅助表'!AG:AG),"-")</f>
        <v>0.38208878624583</v>
      </c>
      <c r="AG24" s="99">
        <f>IFERROR(AK24/((SUMIF('4店辅助表'!AT:AT,B:B,'4店辅助表'!AU:AU)+M24)/2),"-")</f>
        <v>0.0941176470588235</v>
      </c>
      <c r="AH24" s="99">
        <f>IFERROR(AL24/((SUMIF('4店辅助表'!AW:AW,B:B,'4店辅助表'!AX:AX)+M24)/2),"-")</f>
        <v>0.147368421052632</v>
      </c>
      <c r="AI24" s="100">
        <f>IFERROR((SUMIF('4店辅助表'!AP:AP,B:B,'4店辅助表'!AR:AR)-SUMIF('4店辅助表'!AP:AP,B:B,'4店辅助表'!AR:AR)*0.15-(L24+IFERROR(VLOOKUP(B:B,'4店辅助表'!AZ:BA,2,0),0))*O24-IF(AN:AN="US",6.85,4.9)*(Z24+4.27*O24))/SUMIF('4店辅助表'!AP:AP,B:B,'4店辅助表'!AR:AR),"-")</f>
        <v>0.0727340293070659</v>
      </c>
      <c r="AJ24" s="100">
        <f t="shared" si="21"/>
        <v>0.0107186990557781</v>
      </c>
      <c r="AK24" s="101">
        <f t="shared" si="22"/>
        <v>54.8</v>
      </c>
      <c r="AL24" s="101">
        <f t="shared" si="23"/>
        <v>95.9</v>
      </c>
      <c r="AM24" s="1" t="str">
        <f>VLOOKUP(B:B,'4店辅助表'!AZ:AZ,1,FALSE)</f>
        <v>Y4021-BL+Y4025+Y4029</v>
      </c>
      <c r="AN24" t="str">
        <f>VLOOKUP(B:B,'4店辅助表'!AZ:BB,3,FALSE)</f>
        <v>US</v>
      </c>
    </row>
    <row r="25" customHeight="1" spans="1:40">
      <c r="A25" s="58" t="str">
        <f>INDEX('[1]4店'!$A:$A,MATCH(B:B,'[1]4店'!$B:$B,0))</f>
        <v>美珠</v>
      </c>
      <c r="B25" s="45" t="s">
        <v>1350</v>
      </c>
      <c r="C25" s="45" t="s">
        <v>1348</v>
      </c>
      <c r="D25" s="59"/>
      <c r="E25" s="45" t="s">
        <v>1351</v>
      </c>
      <c r="F25" s="45">
        <v>21</v>
      </c>
      <c r="G25" s="45">
        <v>0</v>
      </c>
      <c r="H25" s="45">
        <v>0</v>
      </c>
      <c r="I25" s="45">
        <v>0</v>
      </c>
      <c r="J25" s="45">
        <v>0</v>
      </c>
      <c r="K25" s="63">
        <f t="shared" si="13"/>
        <v>21</v>
      </c>
      <c r="L25" s="64">
        <f>IFERROR(VLOOKUP($B:$B,'[1]4店'!$B:$L,11,FALSE),0)</f>
        <v>13.7</v>
      </c>
      <c r="M25" s="44">
        <f t="shared" si="3"/>
        <v>287.7</v>
      </c>
      <c r="N25" s="65">
        <f>IFERROR(VLOOKUP(B:B,'4店辅助表'!B:C,2,FALSE),0)</f>
        <v>1</v>
      </c>
      <c r="O25" s="65">
        <f>IFERROR(VLOOKUP(B:B,'4店辅助表'!E:F,2,FALSE),0)</f>
        <v>1</v>
      </c>
      <c r="P25" s="65">
        <f>IFERROR(VLOOKUP(B:B,'4店辅助表'!H:I,2,FALSE),0)</f>
        <v>7</v>
      </c>
      <c r="Q25" s="65">
        <f>IFERROR(VLOOKUP(B:B,'[1]4店'!$B:$N,13,FALSE),0)</f>
        <v>0</v>
      </c>
      <c r="R25" s="79">
        <f t="shared" si="14"/>
        <v>1</v>
      </c>
      <c r="S25" s="80">
        <f t="shared" si="15"/>
        <v>142.258064516129</v>
      </c>
      <c r="T25" s="44">
        <f t="shared" si="16"/>
        <v>4.74193548387097</v>
      </c>
      <c r="U25" s="44">
        <f>IFERROR(VLOOKUP($B:$B,'[1]4店'!$B:$T,19,0),"-")</f>
        <v>6.6</v>
      </c>
      <c r="V25" s="81">
        <f t="shared" si="17"/>
        <v>-1.85806451612903</v>
      </c>
      <c r="W25" s="82" t="str">
        <f t="shared" si="18"/>
        <v>库存过高</v>
      </c>
      <c r="X25" s="83" t="str">
        <f t="shared" si="19"/>
        <v>库存过高</v>
      </c>
      <c r="Y25" s="44">
        <f>IFERROR(SUMIF('4店辅助表'!K:K,B:B,'4店辅助表'!N:N),0)</f>
        <v>1.31</v>
      </c>
      <c r="Z25" s="44">
        <f>IFERROR(SUMIF('4店辅助表'!T:T,B:B,'4店辅助表'!W:W),0)</f>
        <v>1.93</v>
      </c>
      <c r="AA25" s="44">
        <f>IFERROR(SUMIF('4店辅助表'!AC:AC,B:B,'4店辅助表'!AF:AF),0)</f>
        <v>3.45</v>
      </c>
      <c r="AB25" s="91">
        <f>IFERROR(SUMIF('4店辅助表'!K:K,B:B,'4店辅助表'!N:N)/SUMIF('4店辅助表'!K:K,B:B,'4店辅助表'!O:O),"-")</f>
        <v>0.100846805234796</v>
      </c>
      <c r="AC25" s="91" t="str">
        <f>IFERROR(VLOOKUP(B:B,'[1]4店'!$B:$AB,27,0),"-")</f>
        <v>-</v>
      </c>
      <c r="AD25" s="92" t="str">
        <f t="shared" si="20"/>
        <v>-</v>
      </c>
      <c r="AE25" s="91">
        <f>IFERROR(SUMIF('4店辅助表'!T:T,B:B,'4店辅助表'!W:W)/SUMIF('4店辅助表'!T:T,B:B,'4店辅助表'!X:X),"-")</f>
        <v>0.148575827559661</v>
      </c>
      <c r="AF25" s="91">
        <f>IFERROR(SUMIF('4店辅助表'!AC:AC,B:B,'4店辅助表'!AF:AF)/SUMIF('4店辅助表'!AC:AC,B:B,'4店辅助表'!AG:AG),"-")</f>
        <v>0.132794457274827</v>
      </c>
      <c r="AG25" s="99">
        <f>IFERROR(AK25/((SUMIF('4店辅助表'!AT:AT,B:B,'4店辅助表'!AU:AU)+M25)/2),"-")</f>
        <v>0.0465116279069768</v>
      </c>
      <c r="AH25" s="99">
        <f>IFERROR(AL25/((SUMIF('4店辅助表'!AW:AW,B:B,'4店辅助表'!AX:AX)+M25)/2),"-")</f>
        <v>0.0408163265306122</v>
      </c>
      <c r="AI25" s="100">
        <f>IFERROR((SUMIF('4店辅助表'!AP:AP,B:B,'4店辅助表'!AR:AR)-SUMIF('4店辅助表'!AP:AP,B:B,'4店辅助表'!AR:AR)*0.15-(L25+IFERROR(VLOOKUP(B:B,'4店辅助表'!AZ:BA,2,0),0))*O25-IF(AN:AN="US",6.85,4.9)*(Z25+4.27*O25))/SUMIF('4店辅助表'!AP:AP,B:B,'4店辅助表'!AR:AR),"-")</f>
        <v>0.168195355214286</v>
      </c>
      <c r="AJ25" s="100">
        <f t="shared" si="21"/>
        <v>0.00686511653935862</v>
      </c>
      <c r="AK25" s="101">
        <f t="shared" si="22"/>
        <v>13.7</v>
      </c>
      <c r="AL25" s="101">
        <f t="shared" si="23"/>
        <v>13.7</v>
      </c>
      <c r="AM25" s="1" t="str">
        <f>VLOOKUP(B:B,'4店辅助表'!AZ:AZ,1,FALSE)</f>
        <v>Y4021-DB+Y4025+Y4029</v>
      </c>
      <c r="AN25" t="str">
        <f>VLOOKUP(B:B,'4店辅助表'!AZ:BB,3,FALSE)</f>
        <v>US</v>
      </c>
    </row>
    <row r="26" customHeight="1" spans="1:40">
      <c r="A26" s="58" t="str">
        <f>INDEX('[1]4店'!$A:$A,MATCH(B:B,'[1]4店'!$B:$B,0))</f>
        <v>美珠</v>
      </c>
      <c r="B26" s="45" t="s">
        <v>1352</v>
      </c>
      <c r="C26" s="45" t="s">
        <v>1348</v>
      </c>
      <c r="D26" s="59"/>
      <c r="E26" s="45" t="s">
        <v>1353</v>
      </c>
      <c r="F26" s="45">
        <v>47</v>
      </c>
      <c r="G26" s="45">
        <v>0</v>
      </c>
      <c r="H26" s="45">
        <v>0</v>
      </c>
      <c r="I26" s="45">
        <v>0</v>
      </c>
      <c r="J26" s="45">
        <v>0</v>
      </c>
      <c r="K26" s="63">
        <f t="shared" si="13"/>
        <v>47</v>
      </c>
      <c r="L26" s="64">
        <f>IFERROR(VLOOKUP($B:$B,'[1]4店'!$B:$L,11,FALSE),0)</f>
        <v>13.7</v>
      </c>
      <c r="M26" s="44">
        <f t="shared" si="3"/>
        <v>643.9</v>
      </c>
      <c r="N26" s="65">
        <f>IFERROR(VLOOKUP(B:B,'4店辅助表'!B:C,2,FALSE),0)</f>
        <v>0</v>
      </c>
      <c r="O26" s="65">
        <f>IFERROR(VLOOKUP(B:B,'4店辅助表'!E:F,2,FALSE),0)</f>
        <v>0</v>
      </c>
      <c r="P26" s="65">
        <f>IFERROR(VLOOKUP(B:B,'4店辅助表'!H:I,2,FALSE),0)</f>
        <v>1</v>
      </c>
      <c r="Q26" s="65">
        <f>IFERROR(VLOOKUP(B:B,'[1]4店'!$B:$N,13,FALSE),0)</f>
        <v>0</v>
      </c>
      <c r="R26" s="79">
        <f t="shared" si="14"/>
        <v>0</v>
      </c>
      <c r="S26" s="80">
        <f t="shared" si="15"/>
        <v>4230</v>
      </c>
      <c r="T26" s="44">
        <f t="shared" si="16"/>
        <v>141</v>
      </c>
      <c r="U26" s="44">
        <f>IFERROR(VLOOKUP($B:$B,'[1]4店'!$B:$T,19,0),"-")</f>
        <v>47</v>
      </c>
      <c r="V26" s="81">
        <f t="shared" si="17"/>
        <v>94</v>
      </c>
      <c r="W26" s="82" t="str">
        <f t="shared" si="18"/>
        <v>有库存无销量</v>
      </c>
      <c r="X26" s="83" t="str">
        <f t="shared" si="19"/>
        <v>库存过高</v>
      </c>
      <c r="Y26" s="44">
        <f>IFERROR(SUMIF('4店辅助表'!K:K,B:B,'4店辅助表'!N:N),0)</f>
        <v>0</v>
      </c>
      <c r="Z26" s="44">
        <f>IFERROR(SUMIF('4店辅助表'!T:T,B:B,'4店辅助表'!W:W),0)</f>
        <v>0</v>
      </c>
      <c r="AA26" s="44">
        <f>IFERROR(SUMIF('4店辅助表'!AC:AC,B:B,'4店辅助表'!AF:AF),0)</f>
        <v>0</v>
      </c>
      <c r="AB26" s="91" t="str">
        <f>IFERROR(SUMIF('4店辅助表'!K:K,B:B,'4店辅助表'!N:N)/SUMIF('4店辅助表'!K:K,B:B,'4店辅助表'!O:O),"-")</f>
        <v>-</v>
      </c>
      <c r="AC26" s="91" t="str">
        <f>IFERROR(VLOOKUP(B:B,'[1]4店'!$B:$AB,27,0),"-")</f>
        <v>-</v>
      </c>
      <c r="AD26" s="92" t="str">
        <f t="shared" si="20"/>
        <v>-</v>
      </c>
      <c r="AE26" s="91" t="str">
        <f>IFERROR(SUMIF('4店辅助表'!T:T,B:B,'4店辅助表'!W:W)/SUMIF('4店辅助表'!T:T,B:B,'4店辅助表'!X:X),"-")</f>
        <v>-</v>
      </c>
      <c r="AF26" s="91" t="str">
        <f>IFERROR(SUMIF('4店辅助表'!AC:AC,B:B,'4店辅助表'!AF:AF)/SUMIF('4店辅助表'!AC:AC,B:B,'4店辅助表'!AG:AG),"-")</f>
        <v>-</v>
      </c>
      <c r="AG26" s="99">
        <f>IFERROR(AK26/((SUMIF('4店辅助表'!AT:AT,B:B,'4店辅助表'!AU:AU)+M26)/2),"-")</f>
        <v>0</v>
      </c>
      <c r="AH26" s="99">
        <f>IFERROR(AL26/((SUMIF('4店辅助表'!AW:AW,B:B,'4店辅助表'!AX:AX)+M26)/2),"-")</f>
        <v>0</v>
      </c>
      <c r="AI26" s="100" t="str">
        <f>IFERROR((SUMIF('4店辅助表'!AP:AP,B:B,'4店辅助表'!AR:AR)-SUMIF('4店辅助表'!AP:AP,B:B,'4店辅助表'!AR:AR)*0.15-(L26+IFERROR(VLOOKUP(B:B,'4店辅助表'!AZ:BA,2,0),0))*O26-IF(AN:AN="US",6.85,4.9)*(Z26+4.27*O26))/SUMIF('4店辅助表'!AP:AP,B:B,'4店辅助表'!AR:AR),"-")</f>
        <v>-</v>
      </c>
      <c r="AJ26" s="100" t="str">
        <f t="shared" si="21"/>
        <v>-</v>
      </c>
      <c r="AK26" s="101">
        <f t="shared" si="22"/>
        <v>0</v>
      </c>
      <c r="AL26" s="101">
        <f t="shared" si="23"/>
        <v>0</v>
      </c>
      <c r="AM26" s="1" t="str">
        <f>VLOOKUP(B:B,'4店辅助表'!AZ:AZ,1,FALSE)</f>
        <v>Y4021-GW+Y4025+Y4029</v>
      </c>
      <c r="AN26" t="str">
        <f>VLOOKUP(B:B,'4店辅助表'!AZ:BB,3,FALSE)</f>
        <v>US</v>
      </c>
    </row>
    <row r="27" customHeight="1" spans="1:40">
      <c r="A27" s="58" t="str">
        <f>INDEX('[1]4店'!$A:$A,MATCH(B:B,'[1]4店'!$B:$B,0))</f>
        <v>美珠</v>
      </c>
      <c r="B27" s="45" t="s">
        <v>1354</v>
      </c>
      <c r="C27" s="45" t="s">
        <v>1348</v>
      </c>
      <c r="D27" s="59"/>
      <c r="E27" s="45" t="s">
        <v>1355</v>
      </c>
      <c r="F27" s="45">
        <v>26</v>
      </c>
      <c r="G27" s="45">
        <v>0</v>
      </c>
      <c r="H27" s="45">
        <v>1</v>
      </c>
      <c r="I27" s="45">
        <v>1</v>
      </c>
      <c r="J27" s="45">
        <v>0</v>
      </c>
      <c r="K27" s="63">
        <f t="shared" si="13"/>
        <v>28</v>
      </c>
      <c r="L27" s="64">
        <f>IFERROR(VLOOKUP($B:$B,'[1]4店'!$B:$L,11,FALSE),0)</f>
        <v>13.7</v>
      </c>
      <c r="M27" s="44">
        <f t="shared" si="3"/>
        <v>383.6</v>
      </c>
      <c r="N27" s="65">
        <f>IFERROR(VLOOKUP(B:B,'4店辅助表'!B:C,2,FALSE),0)</f>
        <v>2</v>
      </c>
      <c r="O27" s="65">
        <f>IFERROR(VLOOKUP(B:B,'4店辅助表'!E:F,2,FALSE),0)</f>
        <v>4</v>
      </c>
      <c r="P27" s="65">
        <f>IFERROR(VLOOKUP(B:B,'4店辅助表'!H:I,2,FALSE),0)</f>
        <v>10</v>
      </c>
      <c r="Q27" s="65">
        <f>IFERROR(VLOOKUP(B:B,'[1]4店'!$B:$N,13,FALSE),0)</f>
        <v>0</v>
      </c>
      <c r="R27" s="79">
        <f t="shared" si="14"/>
        <v>2</v>
      </c>
      <c r="S27" s="80">
        <f t="shared" si="15"/>
        <v>94.8387096774194</v>
      </c>
      <c r="T27" s="44">
        <f t="shared" si="16"/>
        <v>3.16129032258065</v>
      </c>
      <c r="U27" s="44">
        <f>IFERROR(VLOOKUP($B:$B,'[1]4店'!$B:$T,19,0),"-")</f>
        <v>4.94117647058824</v>
      </c>
      <c r="V27" s="81">
        <f t="shared" si="17"/>
        <v>-1.77988614800759</v>
      </c>
      <c r="W27" s="82" t="str">
        <f t="shared" si="18"/>
        <v>库存过高</v>
      </c>
      <c r="X27" s="83" t="str">
        <f t="shared" si="19"/>
        <v>库存过高</v>
      </c>
      <c r="Y27" s="44">
        <f>IFERROR(SUMIF('4店辅助表'!K:K,B:B,'4店辅助表'!N:N),0)</f>
        <v>13.2</v>
      </c>
      <c r="Z27" s="44">
        <f>IFERROR(SUMIF('4店辅助表'!T:T,B:B,'4店辅助表'!W:W),0)</f>
        <v>23.46</v>
      </c>
      <c r="AA27" s="44">
        <f>IFERROR(SUMIF('4店辅助表'!AC:AC,B:B,'4店辅助表'!AF:AF),0)</f>
        <v>46.58</v>
      </c>
      <c r="AB27" s="91">
        <f>IFERROR(SUMIF('4店辅助表'!K:K,B:B,'4店辅助表'!N:N)/SUMIF('4店辅助表'!K:K,B:B,'4店辅助表'!O:O),"-")</f>
        <v>0.508083140877598</v>
      </c>
      <c r="AC27" s="91">
        <f>IFERROR(VLOOKUP(B:B,'[1]4店'!$B:$AB,27,0),"-")</f>
        <v>0.840764331210191</v>
      </c>
      <c r="AD27" s="92">
        <f t="shared" si="20"/>
        <v>-0.332681190332593</v>
      </c>
      <c r="AE27" s="91">
        <f>IFERROR(SUMIF('4店辅助表'!T:T,B:B,'4店辅助表'!W:W)/SUMIF('4店辅助表'!T:T,B:B,'4店辅助表'!X:X),"-")</f>
        <v>0.308928101132473</v>
      </c>
      <c r="AF27" s="91">
        <f>IFERROR(SUMIF('4店辅助表'!AC:AC,B:B,'4店辅助表'!AF:AF)/SUMIF('4店辅助表'!AC:AC,B:B,'4店辅助表'!AG:AG),"-")</f>
        <v>0.200931757397981</v>
      </c>
      <c r="AG27" s="99">
        <f>IFERROR(AK27/((SUMIF('4店辅助表'!AT:AT,B:B,'4店辅助表'!AU:AU)+M27)/2),"-")</f>
        <v>0.0714285714285714</v>
      </c>
      <c r="AH27" s="99">
        <f>IFERROR(AL27/((SUMIF('4店辅助表'!AW:AW,B:B,'4店辅助表'!AX:AX)+M27)/2),"-")</f>
        <v>0.177777777777778</v>
      </c>
      <c r="AI27" s="100">
        <f>IFERROR((SUMIF('4店辅助表'!AP:AP,B:B,'4店辅助表'!AR:AR)-SUMIF('4店辅助表'!AP:AP,B:B,'4店辅助表'!AR:AR)*0.15-(L27+IFERROR(VLOOKUP(B:B,'4店辅助表'!AZ:BA,2,0),0))*O27-IF(AN:AN="US",6.85,4.9)*(Z27+4.27*O27))/SUMIF('4店辅助表'!AP:AP,B:B,'4店辅助表'!AR:AR),"-")</f>
        <v>-0.129537881469744</v>
      </c>
      <c r="AJ27" s="100">
        <f t="shared" si="21"/>
        <v>-0.0230289567057322</v>
      </c>
      <c r="AK27" s="101">
        <f t="shared" si="22"/>
        <v>27.4</v>
      </c>
      <c r="AL27" s="101">
        <f t="shared" si="23"/>
        <v>54.8</v>
      </c>
      <c r="AM27" s="1" t="str">
        <f>VLOOKUP(B:B,'4店辅助表'!AZ:AZ,1,FALSE)</f>
        <v>Y4021-OR+Y4025+Y4029</v>
      </c>
      <c r="AN27" t="str">
        <f>VLOOKUP(B:B,'4店辅助表'!AZ:BB,3,FALSE)</f>
        <v>US</v>
      </c>
    </row>
    <row r="28" customHeight="1" spans="1:40">
      <c r="A28" s="58" t="str">
        <f>INDEX('[1]4店'!$A:$A,MATCH(B:B,'[1]4店'!$B:$B,0))</f>
        <v>美珠</v>
      </c>
      <c r="B28" s="45" t="s">
        <v>1356</v>
      </c>
      <c r="C28" s="45" t="s">
        <v>1348</v>
      </c>
      <c r="D28" s="59"/>
      <c r="E28" s="45" t="s">
        <v>1357</v>
      </c>
      <c r="F28" s="45">
        <v>16</v>
      </c>
      <c r="G28" s="45">
        <v>0</v>
      </c>
      <c r="H28" s="45">
        <v>0</v>
      </c>
      <c r="I28" s="45">
        <v>0</v>
      </c>
      <c r="J28" s="45">
        <v>0</v>
      </c>
      <c r="K28" s="63">
        <f t="shared" si="13"/>
        <v>16</v>
      </c>
      <c r="L28" s="64">
        <f>IFERROR(VLOOKUP($B:$B,'[1]4店'!$B:$L,11,FALSE),0)</f>
        <v>13.7</v>
      </c>
      <c r="M28" s="44">
        <f t="shared" si="3"/>
        <v>219.2</v>
      </c>
      <c r="N28" s="65">
        <f>IFERROR(VLOOKUP(B:B,'4店辅助表'!B:C,2,FALSE),0)</f>
        <v>0</v>
      </c>
      <c r="O28" s="65">
        <f>IFERROR(VLOOKUP(B:B,'4店辅助表'!E:F,2,FALSE),0)</f>
        <v>1</v>
      </c>
      <c r="P28" s="65">
        <f>IFERROR(VLOOKUP(B:B,'4店辅助表'!H:I,2,FALSE),0)</f>
        <v>2</v>
      </c>
      <c r="Q28" s="65">
        <f>IFERROR(VLOOKUP(B:B,'[1]4店'!$B:$N,13,FALSE),0)</f>
        <v>1</v>
      </c>
      <c r="R28" s="79">
        <f t="shared" si="14"/>
        <v>-1</v>
      </c>
      <c r="S28" s="80">
        <f t="shared" si="15"/>
        <v>360</v>
      </c>
      <c r="T28" s="44">
        <f t="shared" si="16"/>
        <v>12</v>
      </c>
      <c r="U28" s="44">
        <f>IFERROR(VLOOKUP($B:$B,'[1]4店'!$B:$T,19,0),"-")</f>
        <v>5.79310344827586</v>
      </c>
      <c r="V28" s="81">
        <f t="shared" si="17"/>
        <v>6.20689655172414</v>
      </c>
      <c r="W28" s="82" t="str">
        <f t="shared" si="18"/>
        <v>有库存无销量</v>
      </c>
      <c r="X28" s="83" t="str">
        <f t="shared" si="19"/>
        <v>库存过高</v>
      </c>
      <c r="Y28" s="44">
        <f>IFERROR(SUMIF('4店辅助表'!K:K,B:B,'4店辅助表'!N:N),0)</f>
        <v>0</v>
      </c>
      <c r="Z28" s="44">
        <f>IFERROR(SUMIF('4店辅助表'!T:T,B:B,'4店辅助表'!W:W),0)</f>
        <v>0</v>
      </c>
      <c r="AA28" s="44">
        <f>IFERROR(SUMIF('4店辅助表'!AC:AC,B:B,'4店辅助表'!AF:AF),0)</f>
        <v>0</v>
      </c>
      <c r="AB28" s="91" t="str">
        <f>IFERROR(SUMIF('4店辅助表'!K:K,B:B,'4店辅助表'!N:N)/SUMIF('4店辅助表'!K:K,B:B,'4店辅助表'!O:O),"-")</f>
        <v>-</v>
      </c>
      <c r="AC28" s="91" t="str">
        <f>IFERROR(VLOOKUP(B:B,'[1]4店'!$B:$AB,27,0),"-")</f>
        <v>-</v>
      </c>
      <c r="AD28" s="92" t="str">
        <f t="shared" si="20"/>
        <v>-</v>
      </c>
      <c r="AE28" s="91" t="str">
        <f>IFERROR(SUMIF('4店辅助表'!T:T,B:B,'4店辅助表'!W:W)/SUMIF('4店辅助表'!T:T,B:B,'4店辅助表'!X:X),"-")</f>
        <v>-</v>
      </c>
      <c r="AF28" s="91" t="str">
        <f>IFERROR(SUMIF('4店辅助表'!AC:AC,B:B,'4店辅助表'!AF:AF)/SUMIF('4店辅助表'!AC:AC,B:B,'4店辅助表'!AG:AG),"-")</f>
        <v>-</v>
      </c>
      <c r="AG28" s="99">
        <f>IFERROR(AK28/((SUMIF('4店辅助表'!AT:AT,B:B,'4店辅助表'!AU:AU)+M28)/2),"-")</f>
        <v>0</v>
      </c>
      <c r="AH28" s="99">
        <f>IFERROR(AL28/((SUMIF('4店辅助表'!AW:AW,B:B,'4店辅助表'!AX:AX)+M28)/2),"-")</f>
        <v>0.0588235294117647</v>
      </c>
      <c r="AI28" s="100">
        <f>IFERROR((SUMIF('4店辅助表'!AP:AP,B:B,'4店辅助表'!AR:AR)-SUMIF('4店辅助表'!AP:AP,B:B,'4店辅助表'!AR:AR)*0.15-(L28+IFERROR(VLOOKUP(B:B,'4店辅助表'!AZ:BA,2,0),0))*O28-IF(AN:AN="US",6.85,4.9)*(Z28+4.27*O28))/SUMIF('4店辅助表'!AP:AP,B:B,'4店辅助表'!AR:AR),"-")</f>
        <v>0.298655057511955</v>
      </c>
      <c r="AJ28" s="100">
        <f t="shared" si="21"/>
        <v>0.0175679445595268</v>
      </c>
      <c r="AK28" s="101">
        <f t="shared" si="22"/>
        <v>0</v>
      </c>
      <c r="AL28" s="101">
        <f t="shared" si="23"/>
        <v>13.7</v>
      </c>
      <c r="AM28" s="1" t="str">
        <f>VLOOKUP(B:B,'4店辅助表'!AZ:AZ,1,FALSE)</f>
        <v>Y4021-WB+Y4025+Y4029</v>
      </c>
      <c r="AN28" t="str">
        <f>VLOOKUP(B:B,'4店辅助表'!AZ:BB,3,FALSE)</f>
        <v>US</v>
      </c>
    </row>
    <row r="29" customHeight="1" spans="1:40">
      <c r="A29" s="58" t="str">
        <f>INDEX('[1]4店'!$A:$A,MATCH(B:B,'[1]4店'!$B:$B,0))</f>
        <v>美珠</v>
      </c>
      <c r="B29" s="45" t="s">
        <v>1358</v>
      </c>
      <c r="C29" s="45" t="s">
        <v>1359</v>
      </c>
      <c r="D29" s="59"/>
      <c r="E29" s="45" t="s">
        <v>1360</v>
      </c>
      <c r="F29" s="45">
        <v>112</v>
      </c>
      <c r="G29" s="45">
        <v>2</v>
      </c>
      <c r="H29" s="45">
        <v>27</v>
      </c>
      <c r="I29" s="45">
        <v>67</v>
      </c>
      <c r="J29" s="45">
        <v>0</v>
      </c>
      <c r="K29" s="63">
        <f t="shared" si="13"/>
        <v>208</v>
      </c>
      <c r="L29" s="64">
        <f>IFERROR(VLOOKUP($B:$B,'[1]4店'!$B:$L,11,FALSE),0)</f>
        <v>13.7</v>
      </c>
      <c r="M29" s="44">
        <f t="shared" si="3"/>
        <v>2849.6</v>
      </c>
      <c r="N29" s="65">
        <f>IFERROR(VLOOKUP(B:B,'4店辅助表'!B:C,2,FALSE),0)</f>
        <v>20</v>
      </c>
      <c r="O29" s="65">
        <f>IFERROR(VLOOKUP(B:B,'4店辅助表'!E:F,2,FALSE),0)</f>
        <v>39</v>
      </c>
      <c r="P29" s="65">
        <f>IFERROR(VLOOKUP(B:B,'4店辅助表'!H:I,2,FALSE),0)</f>
        <v>95</v>
      </c>
      <c r="Q29" s="65">
        <f>IFERROR(VLOOKUP(B:B,'[1]4店'!$B:$N,13,FALSE),0)</f>
        <v>12</v>
      </c>
      <c r="R29" s="79">
        <f t="shared" si="14"/>
        <v>8</v>
      </c>
      <c r="S29" s="80">
        <f t="shared" si="15"/>
        <v>72.357813362783</v>
      </c>
      <c r="T29" s="44">
        <f t="shared" si="16"/>
        <v>2.41192711209277</v>
      </c>
      <c r="U29" s="44">
        <f>IFERROR(VLOOKUP($B:$B,'[1]4店'!$B:$T,19,0),"-")</f>
        <v>2.28213166144201</v>
      </c>
      <c r="V29" s="81">
        <f t="shared" si="17"/>
        <v>0.12979545065076</v>
      </c>
      <c r="W29" s="82" t="str">
        <f t="shared" si="18"/>
        <v>库存过高</v>
      </c>
      <c r="X29" s="83" t="str">
        <f t="shared" si="19"/>
        <v>库存过高</v>
      </c>
      <c r="Y29" s="44">
        <f>IFERROR(SUMIF('4店辅助表'!K:K,B:B,'4店辅助表'!N:N),0)</f>
        <v>9.24</v>
      </c>
      <c r="Z29" s="44">
        <f>IFERROR(SUMIF('4店辅助表'!T:T,B:B,'4店辅助表'!W:W),0)</f>
        <v>22.57</v>
      </c>
      <c r="AA29" s="44">
        <f>IFERROR(SUMIF('4店辅助表'!AC:AC,B:B,'4店辅助表'!AF:AF),0)</f>
        <v>36.72</v>
      </c>
      <c r="AB29" s="91">
        <f>IFERROR(SUMIF('4店辅助表'!K:K,B:B,'4店辅助表'!N:N)/SUMIF('4店辅助表'!K:K,B:B,'4店辅助表'!O:O),"-")</f>
        <v>0.237105465742879</v>
      </c>
      <c r="AC29" s="91">
        <f>IFERROR(VLOOKUP(B:B,'[1]4店'!$B:$AB,27,0),"-")</f>
        <v>0.236789431545236</v>
      </c>
      <c r="AD29" s="92">
        <f t="shared" si="20"/>
        <v>0.000316034197643006</v>
      </c>
      <c r="AE29" s="91">
        <f>IFERROR(SUMIF('4店辅助表'!T:T,B:B,'4店辅助表'!W:W)/SUMIF('4店辅助表'!T:T,B:B,'4店辅助表'!X:X),"-")</f>
        <v>0.22144819466248</v>
      </c>
      <c r="AF29" s="91">
        <f>IFERROR(SUMIF('4店辅助表'!AC:AC,B:B,'4店辅助表'!AF:AF)/SUMIF('4店辅助表'!AC:AC,B:B,'4店辅助表'!AG:AG),"-")</f>
        <v>0.220051537124708</v>
      </c>
      <c r="AG29" s="99">
        <f>IFERROR(AK29/((SUMIF('4店辅助表'!AT:AT,B:B,'4店辅助表'!AU:AU)+M29)/2),"-")</f>
        <v>0.0961538461538462</v>
      </c>
      <c r="AH29" s="99">
        <f>IFERROR(AL29/((SUMIF('4店辅助表'!AW:AW,B:B,'4店辅助表'!AX:AX)+M29)/2),"-")</f>
        <v>0.267123287671233</v>
      </c>
      <c r="AI29" s="100">
        <f>IFERROR((SUMIF('4店辅助表'!AP:AP,B:B,'4店辅助表'!AR:AR)-SUMIF('4店辅助表'!AP:AP,B:B,'4店辅助表'!AR:AR)*0.15-(L29+IFERROR(VLOOKUP(B:B,'4店辅助表'!AZ:BA,2,0),0))*O29-IF(AN:AN="US",6.85,4.9)*(Z29+4.27*O29))/SUMIF('4店辅助表'!AP:AP,B:B,'4店辅助表'!AR:AR),"-")</f>
        <v>0.261838808482649</v>
      </c>
      <c r="AJ29" s="100">
        <f t="shared" si="21"/>
        <v>0.0699432433618035</v>
      </c>
      <c r="AK29" s="101">
        <f t="shared" si="22"/>
        <v>274</v>
      </c>
      <c r="AL29" s="101">
        <f t="shared" si="23"/>
        <v>534.3</v>
      </c>
      <c r="AM29" s="1" t="str">
        <f>VLOOKUP(B:B,'4店辅助表'!AZ:AZ,1,FALSE)</f>
        <v>Y4022-BL+Y4026+Y4030</v>
      </c>
      <c r="AN29" t="str">
        <f>VLOOKUP(B:B,'4店辅助表'!AZ:BB,3,FALSE)</f>
        <v>US</v>
      </c>
    </row>
    <row r="30" customHeight="1" spans="1:40">
      <c r="A30" s="58" t="str">
        <f>INDEX('[1]4店'!$A:$A,MATCH(B:B,'[1]4店'!$B:$B,0))</f>
        <v>美珠</v>
      </c>
      <c r="B30" s="45" t="s">
        <v>1361</v>
      </c>
      <c r="C30" s="45" t="s">
        <v>1359</v>
      </c>
      <c r="D30" s="59"/>
      <c r="E30" s="45" t="s">
        <v>1362</v>
      </c>
      <c r="F30" s="45">
        <v>78</v>
      </c>
      <c r="G30" s="45">
        <v>0</v>
      </c>
      <c r="H30" s="45">
        <v>30</v>
      </c>
      <c r="I30" s="45">
        <v>21</v>
      </c>
      <c r="J30" s="45">
        <v>0</v>
      </c>
      <c r="K30" s="63">
        <f t="shared" si="13"/>
        <v>129</v>
      </c>
      <c r="L30" s="64">
        <f>IFERROR(VLOOKUP($B:$B,'[1]4店'!$B:$L,11,FALSE),0)</f>
        <v>13.7</v>
      </c>
      <c r="M30" s="44">
        <f t="shared" si="3"/>
        <v>1767.3</v>
      </c>
      <c r="N30" s="65">
        <f>IFERROR(VLOOKUP(B:B,'4店辅助表'!B:C,2,FALSE),0)</f>
        <v>6</v>
      </c>
      <c r="O30" s="65">
        <f>IFERROR(VLOOKUP(B:B,'4店辅助表'!E:F,2,FALSE),0)</f>
        <v>16</v>
      </c>
      <c r="P30" s="65">
        <f>IFERROR(VLOOKUP(B:B,'4店辅助表'!H:I,2,FALSE),0)</f>
        <v>43</v>
      </c>
      <c r="Q30" s="65">
        <f>IFERROR(VLOOKUP(B:B,'[1]4店'!$B:$N,13,FALSE),0)</f>
        <v>10</v>
      </c>
      <c r="R30" s="79">
        <f t="shared" si="14"/>
        <v>-4</v>
      </c>
      <c r="S30" s="80">
        <f t="shared" si="15"/>
        <v>115.276595744681</v>
      </c>
      <c r="T30" s="44">
        <f t="shared" si="16"/>
        <v>3.84255319148936</v>
      </c>
      <c r="U30" s="44">
        <f>IFERROR(VLOOKUP($B:$B,'[1]4店'!$B:$T,19,0),"-")</f>
        <v>4.20910075839653</v>
      </c>
      <c r="V30" s="81">
        <f t="shared" si="17"/>
        <v>-0.36654756690717</v>
      </c>
      <c r="W30" s="82" t="str">
        <f t="shared" si="18"/>
        <v>库存过高</v>
      </c>
      <c r="X30" s="83" t="str">
        <f t="shared" si="19"/>
        <v>库存过高</v>
      </c>
      <c r="Y30" s="44">
        <f>IFERROR(SUMIF('4店辅助表'!K:K,B:B,'4店辅助表'!N:N),0)</f>
        <v>6.47</v>
      </c>
      <c r="Z30" s="44">
        <f>IFERROR(SUMIF('4店辅助表'!T:T,B:B,'4店辅助表'!W:W),0)</f>
        <v>13.9</v>
      </c>
      <c r="AA30" s="44">
        <f>IFERROR(SUMIF('4店辅助表'!AC:AC,B:B,'4店辅助表'!AF:AF),0)</f>
        <v>28.03</v>
      </c>
      <c r="AB30" s="91">
        <f>IFERROR(SUMIF('4店辅助表'!K:K,B:B,'4店辅助表'!N:N)/SUMIF('4店辅助表'!K:K,B:B,'4店辅助表'!O:O),"-")</f>
        <v>0.249037721324095</v>
      </c>
      <c r="AC30" s="91">
        <f>IFERROR(VLOOKUP(B:B,'[1]4店'!$B:$AB,27,0),"-")</f>
        <v>0.309841534612177</v>
      </c>
      <c r="AD30" s="92">
        <f t="shared" si="20"/>
        <v>-0.060803813288082</v>
      </c>
      <c r="AE30" s="91">
        <f>IFERROR(SUMIF('4店辅助表'!T:T,B:B,'4店辅助表'!W:W)/SUMIF('4店辅助表'!T:T,B:B,'4店辅助表'!X:X),"-")</f>
        <v>0.27822257806245</v>
      </c>
      <c r="AF30" s="91">
        <f>IFERROR(SUMIF('4店辅助表'!AC:AC,B:B,'4店辅助表'!AF:AF)/SUMIF('4店辅助表'!AC:AC,B:B,'4店辅助表'!AG:AG),"-")</f>
        <v>0.31519172382773</v>
      </c>
      <c r="AG30" s="99">
        <f>IFERROR(AK30/((SUMIF('4店辅助表'!AT:AT,B:B,'4店辅助表'!AU:AU)+M30)/2),"-")</f>
        <v>0.0382165605095541</v>
      </c>
      <c r="AH30" s="99">
        <f>IFERROR(AL30/((SUMIF('4店辅助表'!AW:AW,B:B,'4店辅助表'!AX:AX)+M30)/2),"-")</f>
        <v>0.115523465703971</v>
      </c>
      <c r="AI30" s="100">
        <f>IFERROR((SUMIF('4店辅助表'!AP:AP,B:B,'4店辅助表'!AR:AR)-SUMIF('4店辅助表'!AP:AP,B:B,'4店辅助表'!AR:AR)*0.15-(L30+IFERROR(VLOOKUP(B:B,'4店辅助表'!AZ:BA,2,0),0))*O30-IF(AN:AN="US",6.85,4.9)*(Z30+4.27*O30))/SUMIF('4店辅助表'!AP:AP,B:B,'4店辅助表'!AR:AR),"-")</f>
        <v>0.233132183249493</v>
      </c>
      <c r="AJ30" s="100">
        <f t="shared" si="21"/>
        <v>0.0269322377761147</v>
      </c>
      <c r="AK30" s="101">
        <f t="shared" si="22"/>
        <v>82.2</v>
      </c>
      <c r="AL30" s="101">
        <f t="shared" si="23"/>
        <v>219.2</v>
      </c>
      <c r="AM30" s="1" t="str">
        <f>VLOOKUP(B:B,'4店辅助表'!AZ:AZ,1,FALSE)</f>
        <v>Y4022-DB+Y4026+Y4030</v>
      </c>
      <c r="AN30" t="str">
        <f>VLOOKUP(B:B,'4店辅助表'!AZ:BB,3,FALSE)</f>
        <v>US</v>
      </c>
    </row>
    <row r="31" customHeight="1" spans="1:40">
      <c r="A31" s="58" t="str">
        <f>INDEX('[1]4店'!$A:$A,MATCH(B:B,'[1]4店'!$B:$B,0))</f>
        <v>美珠</v>
      </c>
      <c r="B31" s="45" t="s">
        <v>1363</v>
      </c>
      <c r="C31" s="45" t="s">
        <v>1359</v>
      </c>
      <c r="D31" s="59"/>
      <c r="E31" s="45" t="s">
        <v>1364</v>
      </c>
      <c r="F31" s="45">
        <v>62</v>
      </c>
      <c r="G31" s="45">
        <v>1</v>
      </c>
      <c r="H31" s="45">
        <v>8</v>
      </c>
      <c r="I31" s="45">
        <v>26</v>
      </c>
      <c r="J31" s="45">
        <v>0</v>
      </c>
      <c r="K31" s="63">
        <f t="shared" si="13"/>
        <v>97</v>
      </c>
      <c r="L31" s="64">
        <f>IFERROR(VLOOKUP($B:$B,'[1]4店'!$B:$L,11,FALSE),0)</f>
        <v>13.7</v>
      </c>
      <c r="M31" s="44">
        <f t="shared" si="3"/>
        <v>1328.9</v>
      </c>
      <c r="N31" s="65">
        <f>IFERROR(VLOOKUP(B:B,'4店辅助表'!B:C,2,FALSE),0)</f>
        <v>8</v>
      </c>
      <c r="O31" s="65">
        <f>IFERROR(VLOOKUP(B:B,'4店辅助表'!E:F,2,FALSE),0)</f>
        <v>11</v>
      </c>
      <c r="P31" s="65">
        <f>IFERROR(VLOOKUP(B:B,'4店辅助表'!H:I,2,FALSE),0)</f>
        <v>23</v>
      </c>
      <c r="Q31" s="65">
        <f>IFERROR(VLOOKUP(B:B,'[1]4店'!$B:$N,13,FALSE),0)</f>
        <v>4</v>
      </c>
      <c r="R31" s="79">
        <f t="shared" si="14"/>
        <v>4</v>
      </c>
      <c r="S31" s="80">
        <f t="shared" si="15"/>
        <v>110.108108108108</v>
      </c>
      <c r="T31" s="44">
        <f t="shared" si="16"/>
        <v>3.67027027027027</v>
      </c>
      <c r="U31" s="44">
        <f>IFERROR(VLOOKUP($B:$B,'[1]4店'!$B:$T,19,0),"-")</f>
        <v>4.6468085106383</v>
      </c>
      <c r="V31" s="81">
        <f t="shared" si="17"/>
        <v>-0.97653824036803</v>
      </c>
      <c r="W31" s="82" t="str">
        <f t="shared" si="18"/>
        <v>库存过高</v>
      </c>
      <c r="X31" s="83" t="str">
        <f t="shared" si="19"/>
        <v>库存过高</v>
      </c>
      <c r="Y31" s="44">
        <f>IFERROR(SUMIF('4店辅助表'!K:K,B:B,'4店辅助表'!N:N),0)</f>
        <v>0</v>
      </c>
      <c r="Z31" s="44">
        <f>IFERROR(SUMIF('4店辅助表'!T:T,B:B,'4店辅助表'!W:W),0)</f>
        <v>0</v>
      </c>
      <c r="AA31" s="44">
        <f>IFERROR(SUMIF('4店辅助表'!AC:AC,B:B,'4店辅助表'!AF:AF),0)</f>
        <v>0</v>
      </c>
      <c r="AB31" s="91" t="str">
        <f>IFERROR(SUMIF('4店辅助表'!K:K,B:B,'4店辅助表'!N:N)/SUMIF('4店辅助表'!K:K,B:B,'4店辅助表'!O:O),"-")</f>
        <v>-</v>
      </c>
      <c r="AC31" s="91" t="str">
        <f>IFERROR(VLOOKUP(B:B,'[1]4店'!$B:$AB,27,0),"-")</f>
        <v>-</v>
      </c>
      <c r="AD31" s="92" t="str">
        <f t="shared" si="20"/>
        <v>-</v>
      </c>
      <c r="AE31" s="91" t="str">
        <f>IFERROR(SUMIF('4店辅助表'!T:T,B:B,'4店辅助表'!W:W)/SUMIF('4店辅助表'!T:T,B:B,'4店辅助表'!X:X),"-")</f>
        <v>-</v>
      </c>
      <c r="AF31" s="91" t="str">
        <f>IFERROR(SUMIF('4店辅助表'!AC:AC,B:B,'4店辅助表'!AF:AF)/SUMIF('4店辅助表'!AC:AC,B:B,'4店辅助表'!AG:AG),"-")</f>
        <v>-</v>
      </c>
      <c r="AG31" s="99">
        <f>IFERROR(AK31/((SUMIF('4店辅助表'!AT:AT,B:B,'4店辅助表'!AU:AU)+M31)/2),"-")</f>
        <v>0.0796019900497512</v>
      </c>
      <c r="AH31" s="99">
        <f>IFERROR(AL31/((SUMIF('4店辅助表'!AW:AW,B:B,'4店辅助表'!AX:AX)+M31)/2),"-")</f>
        <v>0.154929577464789</v>
      </c>
      <c r="AI31" s="100">
        <f>IFERROR((SUMIF('4店辅助表'!AP:AP,B:B,'4店辅助表'!AR:AR)-SUMIF('4店辅助表'!AP:AP,B:B,'4店辅助表'!AR:AR)*0.15-(L31+IFERROR(VLOOKUP(B:B,'4店辅助表'!AZ:BA,2,0),0))*O31-IF(AN:AN="US",6.85,4.9)*(Z31+4.27*O31))/SUMIF('4店辅助表'!AP:AP,B:B,'4店辅助表'!AR:AR),"-")</f>
        <v>0.312495719339983</v>
      </c>
      <c r="AJ31" s="100">
        <f t="shared" si="21"/>
        <v>0.0484148297568988</v>
      </c>
      <c r="AK31" s="101">
        <f t="shared" si="22"/>
        <v>109.6</v>
      </c>
      <c r="AL31" s="101">
        <f t="shared" si="23"/>
        <v>150.7</v>
      </c>
      <c r="AM31" s="1" t="str">
        <f>VLOOKUP(B:B,'4店辅助表'!AZ:AZ,1,FALSE)</f>
        <v>Y4022-GW+Y4026+Y4030</v>
      </c>
      <c r="AN31" t="str">
        <f>VLOOKUP(B:B,'4店辅助表'!AZ:BB,3,FALSE)</f>
        <v>US</v>
      </c>
    </row>
    <row r="32" customHeight="1" spans="1:40">
      <c r="A32" s="58" t="str">
        <f>INDEX('[1]4店'!$A:$A,MATCH(B:B,'[1]4店'!$B:$B,0))</f>
        <v>美珠</v>
      </c>
      <c r="B32" s="45" t="s">
        <v>1365</v>
      </c>
      <c r="C32" s="45" t="s">
        <v>1359</v>
      </c>
      <c r="D32" s="59"/>
      <c r="E32" s="45" t="s">
        <v>1366</v>
      </c>
      <c r="F32" s="45">
        <v>50</v>
      </c>
      <c r="G32" s="45">
        <v>1</v>
      </c>
      <c r="H32" s="45">
        <v>1</v>
      </c>
      <c r="I32" s="45">
        <v>96</v>
      </c>
      <c r="J32" s="45">
        <v>0</v>
      </c>
      <c r="K32" s="63">
        <f t="shared" si="13"/>
        <v>148</v>
      </c>
      <c r="L32" s="64">
        <f>IFERROR(VLOOKUP($B:$B,'[1]4店'!$B:$L,11,FALSE),0)</f>
        <v>13.7</v>
      </c>
      <c r="M32" s="44">
        <f t="shared" si="3"/>
        <v>2027.6</v>
      </c>
      <c r="N32" s="65">
        <f>IFERROR(VLOOKUP(B:B,'4店辅助表'!B:C,2,FALSE),0)</f>
        <v>5</v>
      </c>
      <c r="O32" s="65">
        <f>IFERROR(VLOOKUP(B:B,'4店辅助表'!E:F,2,FALSE),0)</f>
        <v>12</v>
      </c>
      <c r="P32" s="65">
        <f>IFERROR(VLOOKUP(B:B,'4店辅助表'!H:I,2,FALSE),0)</f>
        <v>37</v>
      </c>
      <c r="Q32" s="65">
        <f>IFERROR(VLOOKUP(B:B,'[1]4店'!$B:$N,13,FALSE),0)</f>
        <v>6</v>
      </c>
      <c r="R32" s="79">
        <f t="shared" si="14"/>
        <v>-1</v>
      </c>
      <c r="S32" s="80">
        <f t="shared" si="15"/>
        <v>161.59445407279</v>
      </c>
      <c r="T32" s="44">
        <f t="shared" si="16"/>
        <v>5.38648180242634</v>
      </c>
      <c r="U32" s="44">
        <f>IFERROR(VLOOKUP($B:$B,'[1]4店'!$B:$T,19,0),"-")</f>
        <v>4.46808510638298</v>
      </c>
      <c r="V32" s="81">
        <f t="shared" si="17"/>
        <v>0.91839669604336</v>
      </c>
      <c r="W32" s="82" t="str">
        <f t="shared" si="18"/>
        <v>库存过高</v>
      </c>
      <c r="X32" s="83" t="str">
        <f t="shared" si="19"/>
        <v>库存过高</v>
      </c>
      <c r="Y32" s="44">
        <f>IFERROR(SUMIF('4店辅助表'!K:K,B:B,'4店辅助表'!N:N),0)</f>
        <v>24.32</v>
      </c>
      <c r="Z32" s="44">
        <f>IFERROR(SUMIF('4店辅助表'!T:T,B:B,'4店辅助表'!W:W),0)</f>
        <v>49.06</v>
      </c>
      <c r="AA32" s="44">
        <f>IFERROR(SUMIF('4店辅助表'!AC:AC,B:B,'4店辅助表'!AF:AF),0)</f>
        <v>103.53</v>
      </c>
      <c r="AB32" s="91">
        <f>IFERROR(SUMIF('4店辅助表'!K:K,B:B,'4店辅助表'!N:N)/SUMIF('4店辅助表'!K:K,B:B,'4店辅助表'!O:O),"-")</f>
        <v>0.312034898639979</v>
      </c>
      <c r="AC32" s="91">
        <f>IFERROR(VLOOKUP(B:B,'[1]4店'!$B:$AB,27,0),"-")</f>
        <v>2.05004549590537</v>
      </c>
      <c r="AD32" s="92">
        <f t="shared" si="20"/>
        <v>-1.73801059726539</v>
      </c>
      <c r="AE32" s="91">
        <f>IFERROR(SUMIF('4店辅助表'!T:T,B:B,'4店辅助表'!W:W)/SUMIF('4店辅助表'!T:T,B:B,'4店辅助表'!X:X),"-")</f>
        <v>0.426942824819424</v>
      </c>
      <c r="AF32" s="91">
        <f>IFERROR(SUMIF('4店辅助表'!AC:AC,B:B,'4店辅助表'!AF:AF)/SUMIF('4店辅助表'!AC:AC,B:B,'4店辅助表'!AG:AG),"-")</f>
        <v>0.320993395963166</v>
      </c>
      <c r="AG32" s="99">
        <f>IFERROR(AK32/((SUMIF('4店辅助表'!AT:AT,B:B,'4店辅助表'!AU:AU)+M32)/2),"-")</f>
        <v>0.0335570469798658</v>
      </c>
      <c r="AH32" s="99">
        <f>IFERROR(AL32/((SUMIF('4店辅助表'!AW:AW,B:B,'4店辅助表'!AX:AX)+M32)/2),"-")</f>
        <v>0.102564102564103</v>
      </c>
      <c r="AI32" s="100">
        <f>IFERROR((SUMIF('4店辅助表'!AP:AP,B:B,'4店辅助表'!AR:AR)-SUMIF('4店辅助表'!AP:AP,B:B,'4店辅助表'!AR:AR)*0.15-(L32+IFERROR(VLOOKUP(B:B,'4店辅助表'!AZ:BA,2,0),0))*O32-IF(AN:AN="US",6.85,4.9)*(Z32+4.27*O32))/SUMIF('4店辅助表'!AP:AP,B:B,'4店辅助表'!AR:AR),"-")</f>
        <v>-0.0816900908411502</v>
      </c>
      <c r="AJ32" s="100">
        <f t="shared" si="21"/>
        <v>-0.00837847085550259</v>
      </c>
      <c r="AK32" s="101">
        <f t="shared" si="22"/>
        <v>68.5</v>
      </c>
      <c r="AL32" s="101">
        <f t="shared" si="23"/>
        <v>164.4</v>
      </c>
      <c r="AM32" s="1" t="str">
        <f>VLOOKUP(B:B,'4店辅助表'!AZ:AZ,1,FALSE)</f>
        <v>Y4022-OR+Y4026+Y4030</v>
      </c>
      <c r="AN32" t="str">
        <f>VLOOKUP(B:B,'4店辅助表'!AZ:BB,3,FALSE)</f>
        <v>US</v>
      </c>
    </row>
    <row r="33" customHeight="1" spans="1:40">
      <c r="A33" s="58" t="str">
        <f>INDEX('[1]4店'!$A:$A,MATCH(B:B,'[1]4店'!$B:$B,0))</f>
        <v>美珠</v>
      </c>
      <c r="B33" s="45" t="s">
        <v>1367</v>
      </c>
      <c r="C33" s="45" t="s">
        <v>1359</v>
      </c>
      <c r="D33" s="59"/>
      <c r="E33" s="45" t="s">
        <v>1368</v>
      </c>
      <c r="F33" s="45">
        <v>46</v>
      </c>
      <c r="G33" s="45">
        <v>0</v>
      </c>
      <c r="H33" s="45">
        <v>0</v>
      </c>
      <c r="I33" s="45">
        <v>2</v>
      </c>
      <c r="J33" s="45">
        <v>0</v>
      </c>
      <c r="K33" s="63">
        <f t="shared" si="13"/>
        <v>48</v>
      </c>
      <c r="L33" s="64">
        <f>IFERROR(VLOOKUP($B:$B,'[1]4店'!$B:$L,11,FALSE),0)</f>
        <v>13.7</v>
      </c>
      <c r="M33" s="44">
        <f t="shared" si="3"/>
        <v>657.6</v>
      </c>
      <c r="N33" s="65">
        <f>IFERROR(VLOOKUP(B:B,'4店辅助表'!B:C,2,FALSE),0)</f>
        <v>6</v>
      </c>
      <c r="O33" s="65">
        <f>IFERROR(VLOOKUP(B:B,'4店辅助表'!E:F,2,FALSE),0)</f>
        <v>8</v>
      </c>
      <c r="P33" s="65">
        <f>IFERROR(VLOOKUP(B:B,'4店辅助表'!H:I,2,FALSE),0)</f>
        <v>17</v>
      </c>
      <c r="Q33" s="65">
        <f>IFERROR(VLOOKUP(B:B,'[1]4店'!$B:$N,13,FALSE),0)</f>
        <v>1</v>
      </c>
      <c r="R33" s="79">
        <f t="shared" si="14"/>
        <v>5</v>
      </c>
      <c r="S33" s="80">
        <f t="shared" si="15"/>
        <v>73.5766423357664</v>
      </c>
      <c r="T33" s="44">
        <f t="shared" si="16"/>
        <v>2.45255474452555</v>
      </c>
      <c r="U33" s="44">
        <f>IFERROR(VLOOKUP($B:$B,'[1]4店'!$B:$T,19,0),"-")</f>
        <v>4.6375</v>
      </c>
      <c r="V33" s="81">
        <f t="shared" si="17"/>
        <v>-2.18494525547445</v>
      </c>
      <c r="W33" s="82" t="str">
        <f t="shared" si="18"/>
        <v>库存过高</v>
      </c>
      <c r="X33" s="83" t="str">
        <f t="shared" si="19"/>
        <v>库存过高</v>
      </c>
      <c r="Y33" s="44">
        <f>IFERROR(SUMIF('4店辅助表'!K:K,B:B,'4店辅助表'!N:N),0)</f>
        <v>16.4</v>
      </c>
      <c r="Z33" s="44">
        <f>IFERROR(SUMIF('4店辅助表'!T:T,B:B,'4店辅助表'!W:W),0)</f>
        <v>32.93</v>
      </c>
      <c r="AA33" s="44">
        <f>IFERROR(SUMIF('4店辅助表'!AC:AC,B:B,'4店辅助表'!AF:AF),0)</f>
        <v>62.18</v>
      </c>
      <c r="AB33" s="91">
        <f>IFERROR(SUMIF('4店辅助表'!K:K,B:B,'4店辅助表'!N:N)/SUMIF('4店辅助表'!K:K,B:B,'4店辅助表'!O:O),"-")</f>
        <v>0.31562740569669</v>
      </c>
      <c r="AC33" s="91">
        <f>IFERROR(VLOOKUP(B:B,'[1]4店'!$B:$AB,27,0),"-")</f>
        <v>0.280650542118432</v>
      </c>
      <c r="AD33" s="92">
        <f t="shared" si="20"/>
        <v>0.034976863578258</v>
      </c>
      <c r="AE33" s="91">
        <f>IFERROR(SUMIF('4店辅助表'!T:T,B:B,'4店辅助表'!W:W)/SUMIF('4店辅助表'!T:T,B:B,'4店辅助表'!X:X),"-")</f>
        <v>0.291648215392791</v>
      </c>
      <c r="AF33" s="91">
        <f>IFERROR(SUMIF('4店辅助表'!AC:AC,B:B,'4店辅助表'!AF:AF)/SUMIF('4店辅助表'!AC:AC,B:B,'4店辅助表'!AG:AG),"-")</f>
        <v>0.193991202071569</v>
      </c>
      <c r="AG33" s="99">
        <f>IFERROR(AK33/((SUMIF('4店辅助表'!AT:AT,B:B,'4店辅助表'!AU:AU)+M33)/2),"-")</f>
        <v>0.118811881188119</v>
      </c>
      <c r="AH33" s="99">
        <f>IFERROR(AL33/((SUMIF('4店辅助表'!AW:AW,B:B,'4店辅助表'!AX:AX)+M33)/2),"-")</f>
        <v>0.142857142857143</v>
      </c>
      <c r="AI33" s="100">
        <f>IFERROR((SUMIF('4店辅助表'!AP:AP,B:B,'4店辅助表'!AR:AR)-SUMIF('4店辅助表'!AP:AP,B:B,'4店辅助表'!AR:AR)*0.15-(L33+IFERROR(VLOOKUP(B:B,'4店辅助表'!AZ:BA,2,0),0))*O33-IF(AN:AN="US",6.85,4.9)*(Z33+4.27*O33))/SUMIF('4店辅助表'!AP:AP,B:B,'4店辅助表'!AR:AR),"-")</f>
        <v>0.00235400055067627</v>
      </c>
      <c r="AJ33" s="100">
        <f t="shared" si="21"/>
        <v>0.000336285792953753</v>
      </c>
      <c r="AK33" s="101">
        <f t="shared" si="22"/>
        <v>82.2</v>
      </c>
      <c r="AL33" s="101">
        <f t="shared" si="23"/>
        <v>109.6</v>
      </c>
      <c r="AM33" s="1" t="str">
        <f>VLOOKUP(B:B,'4店辅助表'!AZ:AZ,1,FALSE)</f>
        <v>Y4022-WB+Y4026+Y4030</v>
      </c>
      <c r="AN33" t="str">
        <f>VLOOKUP(B:B,'4店辅助表'!AZ:BB,3,FALSE)</f>
        <v>US</v>
      </c>
    </row>
    <row r="34" customHeight="1" spans="1:40">
      <c r="A34" s="58" t="str">
        <f>INDEX('[1]4店'!$A:$A,MATCH(B:B,'[1]4店'!$B:$B,0))</f>
        <v>美珠</v>
      </c>
      <c r="B34" s="45" t="s">
        <v>1369</v>
      </c>
      <c r="C34" s="45" t="s">
        <v>1370</v>
      </c>
      <c r="D34" s="59"/>
      <c r="E34" s="45" t="s">
        <v>1371</v>
      </c>
      <c r="F34" s="45">
        <v>30</v>
      </c>
      <c r="G34" s="45">
        <v>0</v>
      </c>
      <c r="H34" s="45">
        <v>11</v>
      </c>
      <c r="I34" s="45">
        <v>1</v>
      </c>
      <c r="J34" s="45">
        <v>0</v>
      </c>
      <c r="K34" s="63">
        <f t="shared" si="13"/>
        <v>42</v>
      </c>
      <c r="L34" s="64">
        <f>IFERROR(VLOOKUP($B:$B,'[1]4店'!$B:$L,11,FALSE),0)</f>
        <v>13.7</v>
      </c>
      <c r="M34" s="44">
        <f t="shared" si="3"/>
        <v>575.4</v>
      </c>
      <c r="N34" s="65">
        <f>IFERROR(VLOOKUP(B:B,'4店辅助表'!B:C,2,FALSE),0)</f>
        <v>6</v>
      </c>
      <c r="O34" s="65">
        <f>IFERROR(VLOOKUP(B:B,'4店辅助表'!E:F,2,FALSE),0)</f>
        <v>11</v>
      </c>
      <c r="P34" s="65">
        <f>IFERROR(VLOOKUP(B:B,'4店辅助表'!H:I,2,FALSE),0)</f>
        <v>39</v>
      </c>
      <c r="Q34" s="65">
        <f>IFERROR(VLOOKUP(B:B,'[1]4店'!$B:$N,13,FALSE),0)</f>
        <v>5</v>
      </c>
      <c r="R34" s="79">
        <f t="shared" si="14"/>
        <v>1</v>
      </c>
      <c r="S34" s="80">
        <f t="shared" si="15"/>
        <v>43.5914332784184</v>
      </c>
      <c r="T34" s="44">
        <f t="shared" si="16"/>
        <v>1.45304777594728</v>
      </c>
      <c r="U34" s="44">
        <f>IFERROR(VLOOKUP($B:$B,'[1]4店'!$B:$T,19,0),"-")</f>
        <v>0.895734597156398</v>
      </c>
      <c r="V34" s="81">
        <f t="shared" si="17"/>
        <v>0.557313178790882</v>
      </c>
      <c r="W34" s="82" t="str">
        <f t="shared" si="18"/>
        <v>库存过高</v>
      </c>
      <c r="X34" s="83" t="str">
        <f t="shared" si="19"/>
        <v>正常</v>
      </c>
      <c r="Y34" s="44">
        <f>IFERROR(SUMIF('4店辅助表'!K:K,B:B,'4店辅助表'!N:N),0)</f>
        <v>19.59</v>
      </c>
      <c r="Z34" s="44">
        <f>IFERROR(SUMIF('4店辅助表'!T:T,B:B,'4店辅助表'!W:W),0)</f>
        <v>33.28</v>
      </c>
      <c r="AA34" s="44">
        <f>IFERROR(SUMIF('4店辅助表'!AC:AC,B:B,'4店辅助表'!AF:AF),0)</f>
        <v>100.64</v>
      </c>
      <c r="AB34" s="91">
        <f>IFERROR(SUMIF('4店辅助表'!K:K,B:B,'4店辅助表'!N:N)/SUMIF('4店辅助表'!K:K,B:B,'4店辅助表'!O:O),"-")</f>
        <v>0.754041570438799</v>
      </c>
      <c r="AC34" s="91">
        <f>IFERROR(VLOOKUP(B:B,'[1]4店'!$B:$AB,27,0),"-")</f>
        <v>0.542535446205171</v>
      </c>
      <c r="AD34" s="92">
        <f t="shared" si="20"/>
        <v>0.211506124233628</v>
      </c>
      <c r="AE34" s="91">
        <f>IFERROR(SUMIF('4店辅助表'!T:T,B:B,'4店辅助表'!W:W)/SUMIF('4店辅助表'!T:T,B:B,'4店辅助表'!X:X),"-")</f>
        <v>0.66613290632506</v>
      </c>
      <c r="AF34" s="91">
        <f>IFERROR(SUMIF('4店辅助表'!AC:AC,B:B,'4店辅助表'!AF:AF)/SUMIF('4店辅助表'!AC:AC,B:B,'4店辅助表'!AG:AG),"-")</f>
        <v>0.222335137523473</v>
      </c>
      <c r="AG34" s="99">
        <f>IFERROR(AK34/((SUMIF('4店辅助表'!AT:AT,B:B,'4店辅助表'!AU:AU)+M34)/2),"-")</f>
        <v>0.173913043478261</v>
      </c>
      <c r="AH34" s="99">
        <f>IFERROR(AL34/((SUMIF('4店辅助表'!AW:AW,B:B,'4店辅助表'!AX:AX)+M34)/2),"-")</f>
        <v>0.239130434782609</v>
      </c>
      <c r="AI34" s="100">
        <f>IFERROR((SUMIF('4店辅助表'!AP:AP,B:B,'4店辅助表'!AR:AR)-SUMIF('4店辅助表'!AP:AP,B:B,'4店辅助表'!AR:AR)*0.15-(L34+IFERROR(VLOOKUP(B:B,'4店辅助表'!AZ:BA,2,0),0))*O34-IF(AN:AN="US",6.85,4.9)*(Z34+4.27*O34))/SUMIF('4店辅助表'!AP:AP,B:B,'4店辅助表'!AR:AR),"-")</f>
        <v>0.0706335633986461</v>
      </c>
      <c r="AJ34" s="100">
        <f t="shared" si="21"/>
        <v>0.0168906347257632</v>
      </c>
      <c r="AK34" s="101">
        <f t="shared" si="22"/>
        <v>82.2</v>
      </c>
      <c r="AL34" s="101">
        <f t="shared" si="23"/>
        <v>150.7</v>
      </c>
      <c r="AM34" s="1" t="str">
        <f>VLOOKUP(B:B,'4店辅助表'!AZ:AZ,1,FALSE)</f>
        <v>Y4023-DB+Y4027+Y4031</v>
      </c>
      <c r="AN34" t="str">
        <f>VLOOKUP(B:B,'4店辅助表'!AZ:BB,3,FALSE)</f>
        <v>US</v>
      </c>
    </row>
    <row r="35" customHeight="1" spans="1:40">
      <c r="A35" s="58" t="str">
        <f>INDEX('[1]4店'!$A:$A,MATCH(B:B,'[1]4店'!$B:$B,0))</f>
        <v>美珠</v>
      </c>
      <c r="B35" s="45" t="s">
        <v>1372</v>
      </c>
      <c r="C35" s="45" t="s">
        <v>1370</v>
      </c>
      <c r="D35" s="59"/>
      <c r="E35" s="45" t="s">
        <v>1373</v>
      </c>
      <c r="F35" s="45">
        <v>12</v>
      </c>
      <c r="G35" s="45">
        <v>0</v>
      </c>
      <c r="H35" s="45">
        <v>11</v>
      </c>
      <c r="I35" s="45">
        <v>0</v>
      </c>
      <c r="J35" s="45">
        <v>0</v>
      </c>
      <c r="K35" s="63">
        <f t="shared" si="13"/>
        <v>23</v>
      </c>
      <c r="L35" s="64">
        <f>IFERROR(VLOOKUP($B:$B,'[1]4店'!$B:$L,11,FALSE),0)</f>
        <v>13.7</v>
      </c>
      <c r="M35" s="44">
        <f t="shared" si="3"/>
        <v>315.1</v>
      </c>
      <c r="N35" s="65">
        <f>IFERROR(VLOOKUP(B:B,'4店辅助表'!B:C,2,FALSE),0)</f>
        <v>3</v>
      </c>
      <c r="O35" s="65">
        <f>IFERROR(VLOOKUP(B:B,'4店辅助表'!E:F,2,FALSE),0)</f>
        <v>4</v>
      </c>
      <c r="P35" s="65">
        <f>IFERROR(VLOOKUP(B:B,'4店辅助表'!H:I,2,FALSE),0)</f>
        <v>13</v>
      </c>
      <c r="Q35" s="65">
        <f>IFERROR(VLOOKUP(B:B,'[1]4店'!$B:$N,13,FALSE),0)</f>
        <v>1</v>
      </c>
      <c r="R35" s="79">
        <f t="shared" si="14"/>
        <v>2</v>
      </c>
      <c r="S35" s="80">
        <f t="shared" si="15"/>
        <v>61.1392405063291</v>
      </c>
      <c r="T35" s="44">
        <f t="shared" si="16"/>
        <v>2.0379746835443</v>
      </c>
      <c r="U35" s="44">
        <f>IFERROR(VLOOKUP($B:$B,'[1]4店'!$B:$T,19,0),"-")</f>
        <v>1.40939597315436</v>
      </c>
      <c r="V35" s="81">
        <f t="shared" si="17"/>
        <v>0.62857871038994</v>
      </c>
      <c r="W35" s="82" t="str">
        <f t="shared" si="18"/>
        <v>库存过高</v>
      </c>
      <c r="X35" s="83" t="str">
        <f t="shared" si="19"/>
        <v>库存过高</v>
      </c>
      <c r="Y35" s="44">
        <f>IFERROR(SUMIF('4店辅助表'!K:K,B:B,'4店辅助表'!N:N),0)</f>
        <v>0</v>
      </c>
      <c r="Z35" s="44">
        <f>IFERROR(SUMIF('4店辅助表'!T:T,B:B,'4店辅助表'!W:W),0)</f>
        <v>0</v>
      </c>
      <c r="AA35" s="44">
        <f>IFERROR(SUMIF('4店辅助表'!AC:AC,B:B,'4店辅助表'!AF:AF),0)</f>
        <v>0</v>
      </c>
      <c r="AB35" s="91" t="str">
        <f>IFERROR(SUMIF('4店辅助表'!K:K,B:B,'4店辅助表'!N:N)/SUMIF('4店辅助表'!K:K,B:B,'4店辅助表'!O:O),"-")</f>
        <v>-</v>
      </c>
      <c r="AC35" s="91" t="str">
        <f>IFERROR(VLOOKUP(B:B,'[1]4店'!$B:$AB,27,0),"-")</f>
        <v>-</v>
      </c>
      <c r="AD35" s="92" t="str">
        <f t="shared" si="20"/>
        <v>-</v>
      </c>
      <c r="AE35" s="91" t="str">
        <f>IFERROR(SUMIF('4店辅助表'!T:T,B:B,'4店辅助表'!W:W)/SUMIF('4店辅助表'!T:T,B:B,'4店辅助表'!X:X),"-")</f>
        <v>-</v>
      </c>
      <c r="AF35" s="91" t="str">
        <f>IFERROR(SUMIF('4店辅助表'!AC:AC,B:B,'4店辅助表'!AF:AF)/SUMIF('4店辅助表'!AC:AC,B:B,'4店辅助表'!AG:AG),"-")</f>
        <v>-</v>
      </c>
      <c r="AG35" s="99">
        <f>IFERROR(AK35/((SUMIF('4店辅助表'!AT:AT,B:B,'4店辅助表'!AU:AU)+M35)/2),"-")</f>
        <v>0.181818181818182</v>
      </c>
      <c r="AH35" s="99">
        <f>IFERROR(AL35/((SUMIF('4店辅助表'!AW:AW,B:B,'4店辅助表'!AX:AX)+M35)/2),"-")</f>
        <v>0.186046511627907</v>
      </c>
      <c r="AI35" s="100">
        <f>IFERROR((SUMIF('4店辅助表'!AP:AP,B:B,'4店辅助表'!AR:AR)-SUMIF('4店辅助表'!AP:AP,B:B,'4店辅助表'!AR:AR)*0.15-(L35+IFERROR(VLOOKUP(B:B,'4店辅助表'!AZ:BA,2,0),0))*O35-IF(AN:AN="US",6.85,4.9)*(Z35+4.27*O35))/SUMIF('4店辅助表'!AP:AP,B:B,'4店辅助表'!AR:AR),"-")</f>
        <v>0.32722279350202</v>
      </c>
      <c r="AJ35" s="100">
        <f t="shared" si="21"/>
        <v>0.0608786592561898</v>
      </c>
      <c r="AK35" s="101">
        <f t="shared" si="22"/>
        <v>41.1</v>
      </c>
      <c r="AL35" s="101">
        <f t="shared" si="23"/>
        <v>54.8</v>
      </c>
      <c r="AM35" s="1" t="str">
        <f>VLOOKUP(B:B,'4店辅助表'!AZ:AZ,1,FALSE)</f>
        <v>Y4023-GW+Y4027+Y4031</v>
      </c>
      <c r="AN35" t="str">
        <f>VLOOKUP(B:B,'4店辅助表'!AZ:BB,3,FALSE)</f>
        <v>US</v>
      </c>
    </row>
    <row r="36" customHeight="1" spans="1:40">
      <c r="A36" s="58" t="str">
        <f>INDEX('[1]4店'!$A:$A,MATCH(B:B,'[1]4店'!$B:$B,0))</f>
        <v>美珠</v>
      </c>
      <c r="B36" s="45" t="s">
        <v>1374</v>
      </c>
      <c r="C36" s="45" t="s">
        <v>1370</v>
      </c>
      <c r="D36" s="59"/>
      <c r="E36" s="45" t="s">
        <v>1375</v>
      </c>
      <c r="F36" s="45">
        <v>29</v>
      </c>
      <c r="G36" s="45">
        <v>0</v>
      </c>
      <c r="H36" s="45">
        <v>10</v>
      </c>
      <c r="I36" s="45">
        <v>0</v>
      </c>
      <c r="J36" s="45">
        <v>0</v>
      </c>
      <c r="K36" s="63">
        <f t="shared" si="13"/>
        <v>39</v>
      </c>
      <c r="L36" s="64">
        <f>IFERROR(VLOOKUP($B:$B,'[1]4店'!$B:$L,11,FALSE),0)</f>
        <v>13.7</v>
      </c>
      <c r="M36" s="44">
        <f t="shared" ref="M36:M67" si="24">K36*L36</f>
        <v>534.3</v>
      </c>
      <c r="N36" s="65">
        <f>IFERROR(VLOOKUP(B:B,'4店辅助表'!B:C,2,FALSE),0)</f>
        <v>3</v>
      </c>
      <c r="O36" s="65">
        <f>IFERROR(VLOOKUP(B:B,'4店辅助表'!E:F,2,FALSE),0)</f>
        <v>5</v>
      </c>
      <c r="P36" s="65">
        <f>IFERROR(VLOOKUP(B:B,'4店辅助表'!H:I,2,FALSE),0)</f>
        <v>24</v>
      </c>
      <c r="Q36" s="65">
        <f>IFERROR(VLOOKUP(B:B,'[1]4店'!$B:$N,13,FALSE),0)</f>
        <v>1</v>
      </c>
      <c r="R36" s="79">
        <f t="shared" si="14"/>
        <v>2</v>
      </c>
      <c r="S36" s="80">
        <f t="shared" si="15"/>
        <v>74.9085365853659</v>
      </c>
      <c r="T36" s="44">
        <f t="shared" si="16"/>
        <v>2.4969512195122</v>
      </c>
      <c r="U36" s="44">
        <f>IFERROR(VLOOKUP($B:$B,'[1]4店'!$B:$T,19,0),"-")</f>
        <v>1.5894495412844</v>
      </c>
      <c r="V36" s="81">
        <f t="shared" si="17"/>
        <v>0.9075016782278</v>
      </c>
      <c r="W36" s="82" t="str">
        <f t="shared" si="18"/>
        <v>库存过高</v>
      </c>
      <c r="X36" s="83" t="str">
        <f t="shared" si="19"/>
        <v>库存过高</v>
      </c>
      <c r="Y36" s="44">
        <f>IFERROR(SUMIF('4店辅助表'!K:K,B:B,'4店辅助表'!N:N),0)</f>
        <v>22.02</v>
      </c>
      <c r="Z36" s="44">
        <f>IFERROR(SUMIF('4店辅助表'!T:T,B:B,'4店辅助表'!W:W),0)</f>
        <v>40.35</v>
      </c>
      <c r="AA36" s="44">
        <f>IFERROR(SUMIF('4店辅助表'!AC:AC,B:B,'4店辅助表'!AF:AF),0)</f>
        <v>73.98</v>
      </c>
      <c r="AB36" s="91">
        <f>IFERROR(SUMIF('4店辅助表'!K:K,B:B,'4店辅助表'!N:N)/SUMIF('4店辅助表'!K:K,B:B,'4店辅助表'!O:O),"-")</f>
        <v>0.42378752886836</v>
      </c>
      <c r="AC36" s="91">
        <f>IFERROR(VLOOKUP(B:B,'[1]4店'!$B:$AB,27,0),"-")</f>
        <v>0.2364896073903</v>
      </c>
      <c r="AD36" s="92">
        <f t="shared" si="20"/>
        <v>0.18729792147806</v>
      </c>
      <c r="AE36" s="91">
        <f>IFERROR(SUMIF('4店辅助表'!T:T,B:B,'4店辅助表'!W:W)/SUMIF('4店辅助表'!T:T,B:B,'4店辅助表'!X:X),"-")</f>
        <v>0.345137285091096</v>
      </c>
      <c r="AF36" s="91">
        <f>IFERROR(SUMIF('4店辅助表'!AC:AC,B:B,'4店辅助表'!AF:AF)/SUMIF('4店辅助表'!AC:AC,B:B,'4店辅助表'!AG:AG),"-")</f>
        <v>0.258870459794247</v>
      </c>
      <c r="AG36" s="99">
        <f>IFERROR(AK36/((SUMIF('4店辅助表'!AT:AT,B:B,'4店辅助表'!AU:AU)+M36)/2),"-")</f>
        <v>0.0833333333333333</v>
      </c>
      <c r="AH36" s="99">
        <f>IFERROR(AL36/((SUMIF('4店辅助表'!AW:AW,B:B,'4店辅助表'!AX:AX)+M36)/2),"-")</f>
        <v>0.108695652173913</v>
      </c>
      <c r="AI36" s="100">
        <f>IFERROR((SUMIF('4店辅助表'!AP:AP,B:B,'4店辅助表'!AR:AR)-SUMIF('4店辅助表'!AP:AP,B:B,'4店辅助表'!AR:AR)*0.15-(L36+IFERROR(VLOOKUP(B:B,'4店辅助表'!AZ:BA,2,0),0))*O36-IF(AN:AN="US",6.85,4.9)*(Z36+4.27*O36))/SUMIF('4店辅助表'!AP:AP,B:B,'4店辅助表'!AR:AR),"-")</f>
        <v>-0.29830610857313</v>
      </c>
      <c r="AJ36" s="100">
        <f t="shared" si="21"/>
        <v>-0.0324245770188185</v>
      </c>
      <c r="AK36" s="101">
        <f t="shared" si="22"/>
        <v>41.1</v>
      </c>
      <c r="AL36" s="101">
        <f t="shared" si="23"/>
        <v>68.5</v>
      </c>
      <c r="AM36" s="1" t="str">
        <f>VLOOKUP(B:B,'4店辅助表'!AZ:AZ,1,FALSE)</f>
        <v>Y4023-OR+Y4027+Y4031</v>
      </c>
      <c r="AN36" t="str">
        <f>VLOOKUP(B:B,'4店辅助表'!AZ:BB,3,FALSE)</f>
        <v>US</v>
      </c>
    </row>
    <row r="37" customHeight="1" spans="1:40">
      <c r="A37" s="58" t="str">
        <f>INDEX('[1]4店'!$A:$A,MATCH(B:B,'[1]4店'!$B:$B,0))</f>
        <v>美珠</v>
      </c>
      <c r="B37" s="45" t="s">
        <v>1376</v>
      </c>
      <c r="C37" s="45" t="s">
        <v>1370</v>
      </c>
      <c r="D37" s="59"/>
      <c r="E37" s="45" t="s">
        <v>1377</v>
      </c>
      <c r="F37" s="45">
        <v>9</v>
      </c>
      <c r="G37" s="45">
        <v>1</v>
      </c>
      <c r="H37" s="45">
        <v>0</v>
      </c>
      <c r="I37" s="45">
        <v>8</v>
      </c>
      <c r="J37" s="45">
        <v>0</v>
      </c>
      <c r="K37" s="63">
        <f t="shared" si="13"/>
        <v>18</v>
      </c>
      <c r="L37" s="64">
        <f>IFERROR(VLOOKUP($B:$B,'[1]4店'!$B:$L,11,FALSE),0)</f>
        <v>13.7</v>
      </c>
      <c r="M37" s="44">
        <f t="shared" si="24"/>
        <v>246.6</v>
      </c>
      <c r="N37" s="65">
        <f>IFERROR(VLOOKUP(B:B,'4店辅助表'!B:C,2,FALSE),0)</f>
        <v>5</v>
      </c>
      <c r="O37" s="65">
        <f>IFERROR(VLOOKUP(B:B,'4店辅助表'!E:F,2,FALSE),0)</f>
        <v>14</v>
      </c>
      <c r="P37" s="65">
        <f>IFERROR(VLOOKUP(B:B,'4店辅助表'!H:I,2,FALSE),0)</f>
        <v>22</v>
      </c>
      <c r="Q37" s="65">
        <f>IFERROR(VLOOKUP(B:B,'[1]4店'!$B:$N,13,FALSE),0)</f>
        <v>8</v>
      </c>
      <c r="R37" s="79">
        <f t="shared" si="14"/>
        <v>-3</v>
      </c>
      <c r="S37" s="80">
        <f t="shared" si="15"/>
        <v>22.68</v>
      </c>
      <c r="T37" s="44">
        <f t="shared" si="16"/>
        <v>0.756</v>
      </c>
      <c r="U37" s="44">
        <f>IFERROR(VLOOKUP($B:$B,'[1]4店'!$B:$T,19,0),"-")</f>
        <v>0.79746835443038</v>
      </c>
      <c r="V37" s="81">
        <f t="shared" si="17"/>
        <v>-0.04146835443038</v>
      </c>
      <c r="W37" s="82" t="str">
        <f t="shared" si="18"/>
        <v>正常</v>
      </c>
      <c r="X37" s="83" t="str">
        <f t="shared" si="19"/>
        <v>正常</v>
      </c>
      <c r="Y37" s="44">
        <f>IFERROR(SUMIF('4店辅助表'!K:K,B:B,'4店辅助表'!N:N),0)</f>
        <v>19.81</v>
      </c>
      <c r="Z37" s="44">
        <f>IFERROR(SUMIF('4店辅助表'!T:T,B:B,'4店辅助表'!W:W),0)</f>
        <v>38.27</v>
      </c>
      <c r="AA37" s="44">
        <f>IFERROR(SUMIF('4店辅助表'!AC:AC,B:B,'4店辅助表'!AF:AF),0)</f>
        <v>90.4</v>
      </c>
      <c r="AB37" s="91">
        <f>IFERROR(SUMIF('4店辅助表'!K:K,B:B,'4店辅助表'!N:N)/SUMIF('4店辅助表'!K:K,B:B,'4店辅助表'!O:O),"-")</f>
        <v>0.381254811393379</v>
      </c>
      <c r="AC37" s="91">
        <f>IFERROR(VLOOKUP(B:B,'[1]4店'!$B:$AB,27,0),"-")</f>
        <v>0.291279485346676</v>
      </c>
      <c r="AD37" s="92">
        <f t="shared" si="20"/>
        <v>0.089975326046703</v>
      </c>
      <c r="AE37" s="91">
        <f>IFERROR(SUMIF('4店辅助表'!T:T,B:B,'4店辅助表'!W:W)/SUMIF('4店辅助表'!T:T,B:B,'4店辅助表'!X:X),"-")</f>
        <v>0.316516417169796</v>
      </c>
      <c r="AF37" s="91">
        <f>IFERROR(SUMIF('4店辅助表'!AC:AC,B:B,'4店辅助表'!AF:AF)/SUMIF('4店辅助表'!AC:AC,B:B,'4店辅助表'!AG:AG),"-")</f>
        <v>0.342683851402578</v>
      </c>
      <c r="AG37" s="99">
        <f>IFERROR(AK37/((SUMIF('4店辅助表'!AT:AT,B:B,'4店辅助表'!AU:AU)+M37)/2),"-")</f>
        <v>0.238095238095238</v>
      </c>
      <c r="AH37" s="99">
        <f>IFERROR(AL37/((SUMIF('4店辅助表'!AW:AW,B:B,'4店辅助表'!AX:AX)+M37)/2),"-")</f>
        <v>0.571428571428571</v>
      </c>
      <c r="AI37" s="100">
        <f>IFERROR((SUMIF('4店辅助表'!AP:AP,B:B,'4店辅助表'!AR:AR)-SUMIF('4店辅助表'!AP:AP,B:B,'4店辅助表'!AR:AR)*0.15-(L37+IFERROR(VLOOKUP(B:B,'4店辅助表'!AZ:BA,2,0),0))*O37-IF(AN:AN="US",6.85,4.9)*(Z37+4.27*O37))/SUMIF('4店辅助表'!AP:AP,B:B,'4店辅助表'!AR:AR),"-")</f>
        <v>0.132647280118039</v>
      </c>
      <c r="AJ37" s="100">
        <f t="shared" si="21"/>
        <v>0.0757984457817367</v>
      </c>
      <c r="AK37" s="101">
        <f t="shared" si="22"/>
        <v>68.5</v>
      </c>
      <c r="AL37" s="101">
        <f t="shared" si="23"/>
        <v>191.8</v>
      </c>
      <c r="AM37" s="1" t="str">
        <f>VLOOKUP(B:B,'4店辅助表'!AZ:AZ,1,FALSE)</f>
        <v>Y4023-WB+Y4027+Y4031</v>
      </c>
      <c r="AN37" t="str">
        <f>VLOOKUP(B:B,'4店辅助表'!AZ:BB,3,FALSE)</f>
        <v>US</v>
      </c>
    </row>
    <row r="38" customHeight="1" spans="1:40">
      <c r="A38" s="58" t="str">
        <f>INDEX('[1]4店'!$A:$A,MATCH(B:B,'[1]4店'!$B:$B,0))</f>
        <v>美珠</v>
      </c>
      <c r="B38" s="45" t="s">
        <v>1378</v>
      </c>
      <c r="C38" s="45" t="s">
        <v>1379</v>
      </c>
      <c r="D38" s="59">
        <f>VLOOKUP(B:B,'[1]4店'!$B:$L,3,0)</f>
        <v>44790</v>
      </c>
      <c r="E38" s="45" t="s">
        <v>1380</v>
      </c>
      <c r="F38" s="45">
        <v>14</v>
      </c>
      <c r="G38" s="45">
        <v>0</v>
      </c>
      <c r="H38" s="45">
        <v>6</v>
      </c>
      <c r="I38" s="45">
        <v>0</v>
      </c>
      <c r="J38" s="45">
        <v>0</v>
      </c>
      <c r="K38" s="63">
        <f t="shared" si="13"/>
        <v>20</v>
      </c>
      <c r="L38" s="64">
        <f>IFERROR(VLOOKUP($B:$B,'[1]4店'!$B:$L,11,FALSE),0)</f>
        <v>13.7</v>
      </c>
      <c r="M38" s="44">
        <f t="shared" si="24"/>
        <v>274</v>
      </c>
      <c r="N38" s="65">
        <f>IFERROR(VLOOKUP(B:B,'4店辅助表'!B:C,2,FALSE),0)</f>
        <v>4</v>
      </c>
      <c r="O38" s="65">
        <f>IFERROR(VLOOKUP(B:B,'4店辅助表'!E:F,2,FALSE),0)</f>
        <v>15</v>
      </c>
      <c r="P38" s="65">
        <f>IFERROR(VLOOKUP(B:B,'4店辅助表'!H:I,2,FALSE),0)</f>
        <v>22</v>
      </c>
      <c r="Q38" s="65">
        <f>IFERROR(VLOOKUP(B:B,'[1]4店'!$B:$N,13,FALSE),0)</f>
        <v>10</v>
      </c>
      <c r="R38" s="79">
        <f t="shared" si="14"/>
        <v>-6</v>
      </c>
      <c r="S38" s="80">
        <f t="shared" si="15"/>
        <v>26.0330578512397</v>
      </c>
      <c r="T38" s="44">
        <f t="shared" si="16"/>
        <v>0.867768595041322</v>
      </c>
      <c r="U38" s="44">
        <f>IFERROR(VLOOKUP($B:$B,'[1]4店'!$B:$T,19,0),"-")</f>
        <v>0.822289156626506</v>
      </c>
      <c r="V38" s="81">
        <f t="shared" si="17"/>
        <v>0.0454794384148159</v>
      </c>
      <c r="W38" s="82" t="str">
        <f t="shared" si="18"/>
        <v>正常</v>
      </c>
      <c r="X38" s="83" t="str">
        <f t="shared" si="19"/>
        <v>正常</v>
      </c>
      <c r="Y38" s="44">
        <f>IFERROR(SUMIF('4店辅助表'!K:K,B:B,'4店辅助表'!N:N),0)</f>
        <v>3.64</v>
      </c>
      <c r="Z38" s="44">
        <f>IFERROR(SUMIF('4店辅助表'!T:T,B:B,'4店辅助表'!W:W),0)</f>
        <v>8.95</v>
      </c>
      <c r="AA38" s="44">
        <f>IFERROR(SUMIF('4店辅助表'!AC:AC,B:B,'4店辅助表'!AF:AF),0)</f>
        <v>14.83</v>
      </c>
      <c r="AB38" s="91">
        <f>IFERROR(SUMIF('4店辅助表'!K:K,B:B,'4店辅助表'!N:N)/SUMIF('4店辅助表'!K:K,B:B,'4店辅助表'!O:O),"-")</f>
        <v>0.140107775211701</v>
      </c>
      <c r="AC38" s="91">
        <f>IFERROR(VLOOKUP(B:B,'[1]4店'!$B:$AB,27,0),"-")</f>
        <v>0.172825250192456</v>
      </c>
      <c r="AD38" s="92">
        <f t="shared" si="20"/>
        <v>-0.032717474980755</v>
      </c>
      <c r="AE38" s="91">
        <f>IFERROR(SUMIF('4店辅助表'!T:T,B:B,'4店辅助表'!W:W)/SUMIF('4店辅助表'!T:T,B:B,'4店辅助表'!X:X),"-")</f>
        <v>0.172247882986913</v>
      </c>
      <c r="AF38" s="91">
        <f>IFERROR(SUMIF('4店辅助表'!AC:AC,B:B,'4店辅助表'!AF:AF)/SUMIF('4店辅助表'!AC:AC,B:B,'4店辅助表'!AG:AG),"-")</f>
        <v>0.285411855273287</v>
      </c>
      <c r="AG38" s="99">
        <f>IFERROR(AK38/((SUMIF('4店辅助表'!AT:AT,B:B,'4店辅助表'!AU:AU)+M38)/2),"-")</f>
        <v>0.173913043478261</v>
      </c>
      <c r="AH38" s="99">
        <f>IFERROR(AL38/((SUMIF('4店辅助表'!AW:AW,B:B,'4店辅助表'!AX:AX)+M38)/2),"-")</f>
        <v>0.588235294117647</v>
      </c>
      <c r="AI38" s="100">
        <f>IFERROR((SUMIF('4店辅助表'!AP:AP,B:B,'4店辅助表'!AR:AR)-SUMIF('4店辅助表'!AP:AP,B:B,'4店辅助表'!AR:AR)*0.15-(L38+IFERROR(VLOOKUP(B:B,'4店辅助表'!AZ:BA,2,0),0))*O38-IF(AN:AN="US",6.85,4.9)*(Z38+4.27*O38))/SUMIF('4店辅助表'!AP:AP,B:B,'4店辅助表'!AR:AR),"-")</f>
        <v>0.21283091809095</v>
      </c>
      <c r="AJ38" s="100">
        <f t="shared" si="21"/>
        <v>0.125194657700559</v>
      </c>
      <c r="AK38" s="101">
        <f t="shared" si="22"/>
        <v>54.8</v>
      </c>
      <c r="AL38" s="101">
        <f t="shared" si="23"/>
        <v>205.5</v>
      </c>
      <c r="AM38" s="1" t="str">
        <f>VLOOKUP(B:B,'4店辅助表'!AZ:AZ,1,FALSE)</f>
        <v>Y4039-BL+Y4042+Y4045</v>
      </c>
      <c r="AN38" t="str">
        <f>VLOOKUP(B:B,'4店辅助表'!AZ:BB,3,FALSE)</f>
        <v>US</v>
      </c>
    </row>
    <row r="39" customHeight="1" spans="1:40">
      <c r="A39" s="58" t="str">
        <f>INDEX('[1]4店'!$A:$A,MATCH(B:B,'[1]4店'!$B:$B,0))</f>
        <v>美珠</v>
      </c>
      <c r="B39" s="45" t="s">
        <v>1381</v>
      </c>
      <c r="C39" s="45" t="s">
        <v>1379</v>
      </c>
      <c r="D39" s="59">
        <f>VLOOKUP(B:B,'[1]4店'!$B:$L,3,0)</f>
        <v>44790</v>
      </c>
      <c r="E39" s="45" t="s">
        <v>1382</v>
      </c>
      <c r="F39" s="45">
        <v>26</v>
      </c>
      <c r="G39" s="45">
        <v>0</v>
      </c>
      <c r="H39" s="45">
        <v>1</v>
      </c>
      <c r="I39" s="45">
        <v>0</v>
      </c>
      <c r="J39" s="45">
        <v>0</v>
      </c>
      <c r="K39" s="63">
        <f t="shared" si="13"/>
        <v>27</v>
      </c>
      <c r="L39" s="64">
        <f>IFERROR(VLOOKUP($B:$B,'[1]4店'!$B:$L,11,FALSE),0)</f>
        <v>13.7</v>
      </c>
      <c r="M39" s="44">
        <f t="shared" si="24"/>
        <v>369.9</v>
      </c>
      <c r="N39" s="65">
        <f>IFERROR(VLOOKUP(B:B,'4店辅助表'!B:C,2,FALSE),0)</f>
        <v>0</v>
      </c>
      <c r="O39" s="65">
        <f>IFERROR(VLOOKUP(B:B,'4店辅助表'!E:F,2,FALSE),0)</f>
        <v>2</v>
      </c>
      <c r="P39" s="65">
        <f>IFERROR(VLOOKUP(B:B,'4店辅助表'!H:I,2,FALSE),0)</f>
        <v>6</v>
      </c>
      <c r="Q39" s="65">
        <f>IFERROR(VLOOKUP(B:B,'[1]4店'!$B:$N,13,FALSE),0)</f>
        <v>2</v>
      </c>
      <c r="R39" s="79">
        <f t="shared" si="14"/>
        <v>-2</v>
      </c>
      <c r="S39" s="80">
        <f t="shared" si="15"/>
        <v>243</v>
      </c>
      <c r="T39" s="44">
        <f t="shared" si="16"/>
        <v>8.1</v>
      </c>
      <c r="U39" s="44">
        <f>IFERROR(VLOOKUP($B:$B,'[1]4店'!$B:$T,19,0),"-")</f>
        <v>3.58860759493671</v>
      </c>
      <c r="V39" s="81">
        <f t="shared" si="17"/>
        <v>4.51139240506329</v>
      </c>
      <c r="W39" s="82" t="str">
        <f t="shared" si="18"/>
        <v>有库存无销量</v>
      </c>
      <c r="X39" s="83" t="str">
        <f t="shared" si="19"/>
        <v>库存过高</v>
      </c>
      <c r="Y39" s="44">
        <f>IFERROR(SUMIF('4店辅助表'!K:K,B:B,'4店辅助表'!N:N),0)</f>
        <v>5.63</v>
      </c>
      <c r="Z39" s="44">
        <f>IFERROR(SUMIF('4店辅助表'!T:T,B:B,'4店辅助表'!W:W),0)</f>
        <v>10.3</v>
      </c>
      <c r="AA39" s="44">
        <f>IFERROR(SUMIF('4店辅助表'!AC:AC,B:B,'4店辅助表'!AF:AF),0)</f>
        <v>21.08</v>
      </c>
      <c r="AB39" s="91" t="str">
        <f>IFERROR(SUMIF('4店辅助表'!K:K,B:B,'4店辅助表'!N:N)/SUMIF('4店辅助表'!K:K,B:B,'4店辅助表'!O:O),"-")</f>
        <v>-</v>
      </c>
      <c r="AC39" s="91" t="str">
        <f>IFERROR(VLOOKUP(B:B,'[1]4店'!$B:$AB,27,0),"-")</f>
        <v>-</v>
      </c>
      <c r="AD39" s="92" t="str">
        <f t="shared" si="20"/>
        <v>-</v>
      </c>
      <c r="AE39" s="91" t="str">
        <f>IFERROR(SUMIF('4店辅助表'!T:T,B:B,'4店辅助表'!W:W)/SUMIF('4店辅助表'!T:T,B:B,'4店辅助表'!X:X),"-")</f>
        <v>-</v>
      </c>
      <c r="AF39" s="91">
        <f>IFERROR(SUMIF('4店辅助表'!AC:AC,B:B,'4店辅助表'!AF:AF)/SUMIF('4店辅助表'!AC:AC,B:B,'4店辅助表'!AG:AG),"-")</f>
        <v>0.540928919681806</v>
      </c>
      <c r="AG39" s="99">
        <f>IFERROR(AK39/((SUMIF('4店辅助表'!AT:AT,B:B,'4店辅助表'!AU:AU)+M39)/2),"-")</f>
        <v>0</v>
      </c>
      <c r="AH39" s="99">
        <f>IFERROR(AL39/((SUMIF('4店辅助表'!AW:AW,B:B,'4店辅助表'!AX:AX)+M39)/2),"-")</f>
        <v>0.0816326530612245</v>
      </c>
      <c r="AI39" s="100">
        <f>IFERROR((SUMIF('4店辅助表'!AP:AP,B:B,'4店辅助表'!AR:AR)-SUMIF('4店辅助表'!AP:AP,B:B,'4店辅助表'!AR:AR)*0.15-(L39+IFERROR(VLOOKUP(B:B,'4店辅助表'!AZ:BA,2,0),0))*O39-IF(AN:AN="US",6.85,4.9)*(Z39+4.27*O39))/SUMIF('4店辅助表'!AP:AP,B:B,'4店辅助表'!AR:AR),"-")</f>
        <v>-0.0824522513106657</v>
      </c>
      <c r="AJ39" s="100">
        <f t="shared" si="21"/>
        <v>-0.00673079602536047</v>
      </c>
      <c r="AK39" s="101">
        <f t="shared" si="22"/>
        <v>0</v>
      </c>
      <c r="AL39" s="101">
        <f t="shared" si="23"/>
        <v>27.4</v>
      </c>
      <c r="AM39" s="1" t="str">
        <f>VLOOKUP(B:B,'4店辅助表'!AZ:AZ,1,FALSE)</f>
        <v>Y4039-DB+Y4042+Y4045</v>
      </c>
      <c r="AN39" t="str">
        <f>VLOOKUP(B:B,'4店辅助表'!AZ:BB,3,FALSE)</f>
        <v>US</v>
      </c>
    </row>
    <row r="40" customHeight="1" spans="1:40">
      <c r="A40" s="58" t="str">
        <f>INDEX('[1]4店'!$A:$A,MATCH(B:B,'[1]4店'!$B:$B,0))</f>
        <v>美珠</v>
      </c>
      <c r="B40" s="45" t="s">
        <v>1383</v>
      </c>
      <c r="C40" s="45" t="s">
        <v>1379</v>
      </c>
      <c r="D40" s="59">
        <f>VLOOKUP(B:B,'[1]4店'!$B:$L,3,0)</f>
        <v>44790</v>
      </c>
      <c r="E40" s="45" t="s">
        <v>1384</v>
      </c>
      <c r="F40" s="45">
        <v>46</v>
      </c>
      <c r="G40" s="45">
        <v>0</v>
      </c>
      <c r="H40" s="45">
        <v>0</v>
      </c>
      <c r="I40" s="45">
        <v>0</v>
      </c>
      <c r="J40" s="45">
        <v>0</v>
      </c>
      <c r="K40" s="63">
        <f t="shared" si="13"/>
        <v>46</v>
      </c>
      <c r="L40" s="64">
        <f>IFERROR(VLOOKUP($B:$B,'[1]4店'!$B:$L,11,FALSE),0)</f>
        <v>13.7</v>
      </c>
      <c r="M40" s="44">
        <f t="shared" si="24"/>
        <v>630.2</v>
      </c>
      <c r="N40" s="65">
        <f>IFERROR(VLOOKUP(B:B,'4店辅助表'!B:C,2,FALSE),0)</f>
        <v>0</v>
      </c>
      <c r="O40" s="65">
        <f>IFERROR(VLOOKUP(B:B,'4店辅助表'!E:F,2,FALSE),0)</f>
        <v>4</v>
      </c>
      <c r="P40" s="65">
        <f>IFERROR(VLOOKUP(B:B,'4店辅助表'!H:I,2,FALSE),0)</f>
        <v>10</v>
      </c>
      <c r="Q40" s="65">
        <f>IFERROR(VLOOKUP(B:B,'[1]4店'!$B:$N,13,FALSE),0)</f>
        <v>4</v>
      </c>
      <c r="R40" s="79">
        <f t="shared" si="14"/>
        <v>-4</v>
      </c>
      <c r="S40" s="80">
        <f t="shared" si="15"/>
        <v>230</v>
      </c>
      <c r="T40" s="44">
        <f t="shared" si="16"/>
        <v>7.66666666666667</v>
      </c>
      <c r="U40" s="44">
        <f>IFERROR(VLOOKUP($B:$B,'[1]4店'!$B:$T,19,0),"-")</f>
        <v>2.80813953488372</v>
      </c>
      <c r="V40" s="81">
        <f t="shared" si="17"/>
        <v>4.85852713178295</v>
      </c>
      <c r="W40" s="82" t="str">
        <f t="shared" si="18"/>
        <v>有库存无销量</v>
      </c>
      <c r="X40" s="83" t="str">
        <f t="shared" si="19"/>
        <v>库存过高</v>
      </c>
      <c r="Y40" s="44">
        <f>IFERROR(SUMIF('4店辅助表'!K:K,B:B,'4店辅助表'!N:N),0)</f>
        <v>3.05</v>
      </c>
      <c r="Z40" s="44">
        <f>IFERROR(SUMIF('4店辅助表'!T:T,B:B,'4店辅助表'!W:W),0)</f>
        <v>6.34</v>
      </c>
      <c r="AA40" s="44">
        <f>IFERROR(SUMIF('4店辅助表'!AC:AC,B:B,'4店辅助表'!AF:AF),0)</f>
        <v>14.87</v>
      </c>
      <c r="AB40" s="91" t="str">
        <f>IFERROR(SUMIF('4店辅助表'!K:K,B:B,'4店辅助表'!N:N)/SUMIF('4店辅助表'!K:K,B:B,'4店辅助表'!O:O),"-")</f>
        <v>-</v>
      </c>
      <c r="AC40" s="91">
        <f>IFERROR(VLOOKUP(B:B,'[1]4店'!$B:$AB,27,0),"-")</f>
        <v>0.20554272517321</v>
      </c>
      <c r="AD40" s="92" t="str">
        <f t="shared" si="20"/>
        <v>-</v>
      </c>
      <c r="AE40" s="91">
        <f>IFERROR(SUMIF('4店辅助表'!T:T,B:B,'4店辅助表'!W:W)/SUMIF('4店辅助表'!T:T,B:B,'4店辅助表'!X:X),"-")</f>
        <v>0.244033872209392</v>
      </c>
      <c r="AF40" s="91">
        <f>IFERROR(SUMIF('4店辅助表'!AC:AC,B:B,'4店辅助表'!AF:AF)/SUMIF('4店辅助表'!AC:AC,B:B,'4店辅助表'!AG:AG),"-")</f>
        <v>0.286181678214011</v>
      </c>
      <c r="AG40" s="99">
        <f>IFERROR(AK40/((SUMIF('4店辅助表'!AT:AT,B:B,'4店辅助表'!AU:AU)+M40)/2),"-")</f>
        <v>0</v>
      </c>
      <c r="AH40" s="99">
        <f>IFERROR(AL40/((SUMIF('4店辅助表'!AW:AW,B:B,'4店辅助表'!AX:AX)+M40)/2),"-")</f>
        <v>0.0792079207920792</v>
      </c>
      <c r="AI40" s="100">
        <f>IFERROR((SUMIF('4店辅助表'!AP:AP,B:B,'4店辅助表'!AR:AR)-SUMIF('4店辅助表'!AP:AP,B:B,'4店辅助表'!AR:AR)*0.15-(L40+IFERROR(VLOOKUP(B:B,'4店辅助表'!AZ:BA,2,0),0))*O40-IF(AN:AN="US",6.85,4.9)*(Z40+4.27*O40))/SUMIF('4店辅助表'!AP:AP,B:B,'4店辅助表'!AR:AR),"-")</f>
        <v>0.198451644442946</v>
      </c>
      <c r="AJ40" s="100">
        <f t="shared" si="21"/>
        <v>0.0157189421340947</v>
      </c>
      <c r="AK40" s="101">
        <f t="shared" si="22"/>
        <v>0</v>
      </c>
      <c r="AL40" s="101">
        <f t="shared" si="23"/>
        <v>54.8</v>
      </c>
      <c r="AM40" s="1" t="str">
        <f>VLOOKUP(B:B,'4店辅助表'!AZ:AZ,1,FALSE)</f>
        <v>Y4039-OR+Y4042+Y4045</v>
      </c>
      <c r="AN40" t="str">
        <f>VLOOKUP(B:B,'4店辅助表'!AZ:BB,3,FALSE)</f>
        <v>US</v>
      </c>
    </row>
    <row r="41" customHeight="1" spans="1:40">
      <c r="A41" s="58" t="str">
        <f>INDEX('[1]4店'!$A:$A,MATCH(B:B,'[1]4店'!$B:$B,0))</f>
        <v>美珠</v>
      </c>
      <c r="B41" s="45" t="s">
        <v>1385</v>
      </c>
      <c r="C41" s="45" t="s">
        <v>1379</v>
      </c>
      <c r="D41" s="59">
        <f>VLOOKUP(B:B,'[1]4店'!$B:$L,3,0)</f>
        <v>44790</v>
      </c>
      <c r="E41" s="45" t="s">
        <v>1386</v>
      </c>
      <c r="F41" s="45">
        <v>25</v>
      </c>
      <c r="G41" s="45">
        <v>0</v>
      </c>
      <c r="H41" s="45">
        <v>0</v>
      </c>
      <c r="I41" s="45">
        <v>0</v>
      </c>
      <c r="J41" s="45">
        <v>0</v>
      </c>
      <c r="K41" s="63">
        <f t="shared" si="13"/>
        <v>25</v>
      </c>
      <c r="L41" s="64">
        <f>IFERROR(VLOOKUP($B:$B,'[1]4店'!$B:$L,11,FALSE),0)</f>
        <v>13.7</v>
      </c>
      <c r="M41" s="44">
        <f t="shared" si="24"/>
        <v>342.5</v>
      </c>
      <c r="N41" s="65">
        <f>IFERROR(VLOOKUP(B:B,'4店辅助表'!B:C,2,FALSE),0)</f>
        <v>0</v>
      </c>
      <c r="O41" s="65">
        <f>IFERROR(VLOOKUP(B:B,'4店辅助表'!E:F,2,FALSE),0)</f>
        <v>0</v>
      </c>
      <c r="P41" s="65">
        <f>IFERROR(VLOOKUP(B:B,'4店辅助表'!H:I,2,FALSE),0)</f>
        <v>1</v>
      </c>
      <c r="Q41" s="65">
        <f>IFERROR(VLOOKUP(B:B,'[1]4店'!$B:$N,13,FALSE),0)</f>
        <v>0</v>
      </c>
      <c r="R41" s="79">
        <f t="shared" si="14"/>
        <v>0</v>
      </c>
      <c r="S41" s="80">
        <f t="shared" si="15"/>
        <v>2250</v>
      </c>
      <c r="T41" s="44">
        <f t="shared" si="16"/>
        <v>75</v>
      </c>
      <c r="U41" s="44">
        <f>IFERROR(VLOOKUP($B:$B,'[1]4店'!$B:$T,19,0),"-")</f>
        <v>18.75</v>
      </c>
      <c r="V41" s="81">
        <f t="shared" si="17"/>
        <v>56.25</v>
      </c>
      <c r="W41" s="82" t="str">
        <f t="shared" si="18"/>
        <v>有库存无销量</v>
      </c>
      <c r="X41" s="83" t="str">
        <f t="shared" si="19"/>
        <v>库存过高</v>
      </c>
      <c r="Y41" s="44">
        <f>IFERROR(SUMIF('4店辅助表'!K:K,B:B,'4店辅助表'!N:N),0)</f>
        <v>0</v>
      </c>
      <c r="Z41" s="44">
        <f>IFERROR(SUMIF('4店辅助表'!T:T,B:B,'4店辅助表'!W:W),0)</f>
        <v>0</v>
      </c>
      <c r="AA41" s="44">
        <f>IFERROR(SUMIF('4店辅助表'!AC:AC,B:B,'4店辅助表'!AF:AF),0)</f>
        <v>0</v>
      </c>
      <c r="AB41" s="91" t="str">
        <f>IFERROR(SUMIF('4店辅助表'!K:K,B:B,'4店辅助表'!N:N)/SUMIF('4店辅助表'!K:K,B:B,'4店辅助表'!O:O),"-")</f>
        <v>-</v>
      </c>
      <c r="AC41" s="91" t="str">
        <f>IFERROR(VLOOKUP(B:B,'[1]4店'!$B:$AB,27,0),"-")</f>
        <v>-</v>
      </c>
      <c r="AD41" s="92" t="str">
        <f t="shared" si="20"/>
        <v>-</v>
      </c>
      <c r="AE41" s="91" t="str">
        <f>IFERROR(SUMIF('4店辅助表'!T:T,B:B,'4店辅助表'!W:W)/SUMIF('4店辅助表'!T:T,B:B,'4店辅助表'!X:X),"-")</f>
        <v>-</v>
      </c>
      <c r="AF41" s="91" t="str">
        <f>IFERROR(SUMIF('4店辅助表'!AC:AC,B:B,'4店辅助表'!AF:AF)/SUMIF('4店辅助表'!AC:AC,B:B,'4店辅助表'!AG:AG),"-")</f>
        <v>-</v>
      </c>
      <c r="AG41" s="99">
        <f>IFERROR(AK41/((SUMIF('4店辅助表'!AT:AT,B:B,'4店辅助表'!AU:AU)+M41)/2),"-")</f>
        <v>0</v>
      </c>
      <c r="AH41" s="99">
        <f>IFERROR(AL41/((SUMIF('4店辅助表'!AW:AW,B:B,'4店辅助表'!AX:AX)+M41)/2),"-")</f>
        <v>0</v>
      </c>
      <c r="AI41" s="100" t="str">
        <f>IFERROR((SUMIF('4店辅助表'!AP:AP,B:B,'4店辅助表'!AR:AR)-SUMIF('4店辅助表'!AP:AP,B:B,'4店辅助表'!AR:AR)*0.15-(L41+IFERROR(VLOOKUP(B:B,'4店辅助表'!AZ:BA,2,0),0))*O41-IF(AN:AN="US",6.85,4.9)*(Z41+4.27*O41))/SUMIF('4店辅助表'!AP:AP,B:B,'4店辅助表'!AR:AR),"-")</f>
        <v>-</v>
      </c>
      <c r="AJ41" s="100" t="str">
        <f t="shared" si="21"/>
        <v>-</v>
      </c>
      <c r="AK41" s="101">
        <f t="shared" si="22"/>
        <v>0</v>
      </c>
      <c r="AL41" s="101">
        <f t="shared" si="23"/>
        <v>0</v>
      </c>
      <c r="AM41" s="1" t="str">
        <f>VLOOKUP(B:B,'4店辅助表'!AZ:AZ,1,FALSE)</f>
        <v>Y4039-WB+Y4042+Y4045</v>
      </c>
      <c r="AN41" t="str">
        <f>VLOOKUP(B:B,'4店辅助表'!AZ:BB,3,FALSE)</f>
        <v>US</v>
      </c>
    </row>
    <row r="42" customHeight="1" spans="1:40">
      <c r="A42" s="58" t="str">
        <f>INDEX('[1]4店'!$A:$A,MATCH(B:B,'[1]4店'!$B:$B,0))</f>
        <v>美珠</v>
      </c>
      <c r="B42" s="45" t="s">
        <v>1387</v>
      </c>
      <c r="C42" s="45" t="s">
        <v>1388</v>
      </c>
      <c r="D42" s="59">
        <f>VLOOKUP(B:B,'[1]4店'!$B:$L,3,0)</f>
        <v>44795</v>
      </c>
      <c r="E42" s="45" t="s">
        <v>1389</v>
      </c>
      <c r="F42" s="45">
        <v>1</v>
      </c>
      <c r="G42" s="45">
        <v>0</v>
      </c>
      <c r="H42" s="45">
        <v>0</v>
      </c>
      <c r="I42" s="45">
        <v>0</v>
      </c>
      <c r="J42" s="45">
        <v>0</v>
      </c>
      <c r="K42" s="63">
        <f t="shared" si="13"/>
        <v>1</v>
      </c>
      <c r="L42" s="64">
        <f>IFERROR(VLOOKUP($B:$B,'[1]4店'!$B:$L,11,FALSE),0)</f>
        <v>9</v>
      </c>
      <c r="M42" s="44">
        <f t="shared" si="24"/>
        <v>9</v>
      </c>
      <c r="N42" s="65">
        <f>IFERROR(VLOOKUP(B:B,'4店辅助表'!B:C,2,FALSE),0)</f>
        <v>0</v>
      </c>
      <c r="O42" s="65">
        <f>IFERROR(VLOOKUP(B:B,'4店辅助表'!E:F,2,FALSE),0)</f>
        <v>2</v>
      </c>
      <c r="P42" s="65">
        <f>IFERROR(VLOOKUP(B:B,'4店辅助表'!H:I,2,FALSE),0)</f>
        <v>5</v>
      </c>
      <c r="Q42" s="65">
        <f>IFERROR(VLOOKUP(B:B,'[1]4店'!$B:$N,13,FALSE),0)</f>
        <v>2</v>
      </c>
      <c r="R42" s="79">
        <f t="shared" si="14"/>
        <v>-2</v>
      </c>
      <c r="S42" s="80">
        <f t="shared" si="15"/>
        <v>10</v>
      </c>
      <c r="T42" s="44">
        <f t="shared" si="16"/>
        <v>0.333333333333333</v>
      </c>
      <c r="U42" s="44">
        <f>IFERROR(VLOOKUP($B:$B,'[1]4店'!$B:$T,19,0),"-")</f>
        <v>0.132911392405063</v>
      </c>
      <c r="V42" s="81">
        <f t="shared" si="17"/>
        <v>0.20042194092827</v>
      </c>
      <c r="W42" s="82" t="str">
        <f t="shared" si="18"/>
        <v>有库存无销量</v>
      </c>
      <c r="X42" s="83" t="str">
        <f t="shared" si="19"/>
        <v>库存过低</v>
      </c>
      <c r="Y42" s="44">
        <f>IFERROR(SUMIF('4店辅助表'!K:K,B:B,'4店辅助表'!N:N),0)</f>
        <v>2.68</v>
      </c>
      <c r="Z42" s="44">
        <f>IFERROR(SUMIF('4店辅助表'!T:T,B:B,'4店辅助表'!W:W),0)</f>
        <v>6.18</v>
      </c>
      <c r="AA42" s="44">
        <f>IFERROR(SUMIF('4店辅助表'!AC:AC,B:B,'4店辅助表'!AF:AF),0)</f>
        <v>15.04</v>
      </c>
      <c r="AB42" s="91" t="str">
        <f>IFERROR(SUMIF('4店辅助表'!K:K,B:B,'4店辅助表'!N:N)/SUMIF('4店辅助表'!K:K,B:B,'4店辅助表'!O:O),"-")</f>
        <v>-</v>
      </c>
      <c r="AC42" s="91">
        <f>IFERROR(VLOOKUP(B:B,'[1]4店'!$B:$AB,27,0),"-")</f>
        <v>0.128560431100847</v>
      </c>
      <c r="AD42" s="92" t="str">
        <f t="shared" si="20"/>
        <v>-</v>
      </c>
      <c r="AE42" s="91">
        <f>IFERROR(SUMIF('4店辅助表'!T:T,B:B,'4店辅助表'!W:W)/SUMIF('4店辅助表'!T:T,B:B,'4店辅助表'!X:X),"-")</f>
        <v>0.237875288683603</v>
      </c>
      <c r="AF42" s="91">
        <f>IFERROR(SUMIF('4店辅助表'!AC:AC,B:B,'4店辅助表'!AF:AF)/SUMIF('4店辅助表'!AC:AC,B:B,'4店辅助表'!AG:AG),"-")</f>
        <v>0.289453425712086</v>
      </c>
      <c r="AG42" s="99">
        <f>IFERROR(AK42/((SUMIF('4店辅助表'!AT:AT,B:B,'4店辅助表'!AU:AU)+M42)/2),"-")</f>
        <v>0</v>
      </c>
      <c r="AH42" s="99">
        <f>IFERROR(AL42/((SUMIF('4店辅助表'!AW:AW,B:B,'4店辅助表'!AX:AX)+M42)/2),"-")</f>
        <v>0.571428571428571</v>
      </c>
      <c r="AI42" s="100">
        <f>IFERROR((SUMIF('4店辅助表'!AP:AP,B:B,'4店辅助表'!AR:AR)-SUMIF('4店辅助表'!AP:AP,B:B,'4店辅助表'!AR:AR)*0.15-(L42+IFERROR(VLOOKUP(B:B,'4店辅助表'!AZ:BA,2,0),0))*O42-IF(AN:AN="US",6.85,4.9)*(Z42+4.27*O42))/SUMIF('4店辅助表'!AP:AP,B:B,'4店辅助表'!AR:AR),"-")</f>
        <v>0.146213257812017</v>
      </c>
      <c r="AJ42" s="100">
        <f t="shared" si="21"/>
        <v>0.0835504330354384</v>
      </c>
      <c r="AK42" s="101">
        <f t="shared" si="22"/>
        <v>0</v>
      </c>
      <c r="AL42" s="101">
        <f t="shared" si="23"/>
        <v>18</v>
      </c>
      <c r="AM42" s="1" t="str">
        <f>VLOOKUP(B:B,'4店辅助表'!AZ:AZ,1,FALSE)</f>
        <v>Y4032-DB</v>
      </c>
      <c r="AN42" t="str">
        <f>VLOOKUP(B:B,'4店辅助表'!AZ:BB,3,FALSE)</f>
        <v>US</v>
      </c>
    </row>
    <row r="43" customHeight="1" spans="1:40">
      <c r="A43" s="58" t="str">
        <f>INDEX('[1]4店'!$A:$A,MATCH(B:B,'[1]4店'!$B:$B,0))</f>
        <v>美珠</v>
      </c>
      <c r="B43" s="45" t="s">
        <v>1390</v>
      </c>
      <c r="C43" s="45" t="s">
        <v>1391</v>
      </c>
      <c r="D43" s="59">
        <f>VLOOKUP(B:B,'[1]4店'!$B:$L,3,0)</f>
        <v>44795</v>
      </c>
      <c r="E43" s="45" t="s">
        <v>1392</v>
      </c>
      <c r="F43" s="45">
        <v>26</v>
      </c>
      <c r="G43" s="45">
        <v>1</v>
      </c>
      <c r="H43" s="45">
        <v>0</v>
      </c>
      <c r="I43" s="45">
        <v>0</v>
      </c>
      <c r="J43" s="45">
        <v>0</v>
      </c>
      <c r="K43" s="63">
        <f t="shared" si="13"/>
        <v>27</v>
      </c>
      <c r="L43" s="64">
        <f>IFERROR(VLOOKUP($B:$B,'[1]4店'!$B:$L,11,FALSE),0)</f>
        <v>9.8</v>
      </c>
      <c r="M43" s="44">
        <f t="shared" si="24"/>
        <v>264.6</v>
      </c>
      <c r="N43" s="65">
        <f>IFERROR(VLOOKUP(B:B,'4店辅助表'!B:C,2,FALSE),0)</f>
        <v>0</v>
      </c>
      <c r="O43" s="65">
        <f>IFERROR(VLOOKUP(B:B,'4店辅助表'!E:F,2,FALSE),0)</f>
        <v>0</v>
      </c>
      <c r="P43" s="65">
        <f>IFERROR(VLOOKUP(B:B,'4店辅助表'!H:I,2,FALSE),0)</f>
        <v>0</v>
      </c>
      <c r="Q43" s="65">
        <f>IFERROR(VLOOKUP(B:B,'[1]4店'!$B:$N,13,FALSE),0)</f>
        <v>0</v>
      </c>
      <c r="R43" s="79">
        <f t="shared" si="14"/>
        <v>0</v>
      </c>
      <c r="S43" s="80" t="str">
        <f t="shared" si="15"/>
        <v>-</v>
      </c>
      <c r="T43" s="44" t="str">
        <f t="shared" si="16"/>
        <v>-</v>
      </c>
      <c r="U43" s="44">
        <f>IFERROR(VLOOKUP($B:$B,'[1]4店'!$B:$T,19,0),"-")</f>
        <v>84</v>
      </c>
      <c r="V43" s="81" t="str">
        <f t="shared" si="17"/>
        <v>-</v>
      </c>
      <c r="W43" s="82" t="str">
        <f t="shared" si="18"/>
        <v>有库存无销量</v>
      </c>
      <c r="X43" s="83" t="str">
        <f t="shared" si="19"/>
        <v>有库存无销量</v>
      </c>
      <c r="Y43" s="44">
        <f>IFERROR(SUMIF('4店辅助表'!K:K,B:B,'4店辅助表'!N:N),0)</f>
        <v>0.48</v>
      </c>
      <c r="Z43" s="44">
        <f>IFERROR(SUMIF('4店辅助表'!T:T,B:B,'4店辅助表'!W:W),0)</f>
        <v>0.73</v>
      </c>
      <c r="AA43" s="44">
        <f>IFERROR(SUMIF('4店辅助表'!AC:AC,B:B,'4店辅助表'!AF:AF),0)</f>
        <v>1.81</v>
      </c>
      <c r="AB43" s="91" t="str">
        <f>IFERROR(SUMIF('4店辅助表'!K:K,B:B,'4店辅助表'!N:N)/SUMIF('4店辅助表'!K:K,B:B,'4店辅助表'!O:O),"-")</f>
        <v>-</v>
      </c>
      <c r="AC43" s="91" t="str">
        <f>IFERROR(VLOOKUP(B:B,'[1]4店'!$B:$AB,27,0),"-")</f>
        <v>-</v>
      </c>
      <c r="AD43" s="92" t="str">
        <f t="shared" si="20"/>
        <v>-</v>
      </c>
      <c r="AE43" s="91" t="str">
        <f>IFERROR(SUMIF('4店辅助表'!T:T,B:B,'4店辅助表'!W:W)/SUMIF('4店辅助表'!T:T,B:B,'4店辅助表'!X:X),"-")</f>
        <v>-</v>
      </c>
      <c r="AF43" s="91" t="str">
        <f>IFERROR(SUMIF('4店辅助表'!AC:AC,B:B,'4店辅助表'!AF:AF)/SUMIF('4店辅助表'!AC:AC,B:B,'4店辅助表'!AG:AG),"-")</f>
        <v>-</v>
      </c>
      <c r="AG43" s="99">
        <f>IFERROR(AK43/((SUMIF('4店辅助表'!AT:AT,B:B,'4店辅助表'!AU:AU)+M43)/2),"-")</f>
        <v>0</v>
      </c>
      <c r="AH43" s="99">
        <f>IFERROR(AL43/((SUMIF('4店辅助表'!AW:AW,B:B,'4店辅助表'!AX:AX)+M43)/2),"-")</f>
        <v>0</v>
      </c>
      <c r="AI43" s="100" t="str">
        <f>IFERROR((SUMIF('4店辅助表'!AP:AP,B:B,'4店辅助表'!AR:AR)-SUMIF('4店辅助表'!AP:AP,B:B,'4店辅助表'!AR:AR)*0.15-(L43+IFERROR(VLOOKUP(B:B,'4店辅助表'!AZ:BA,2,0),0))*O43-IF(AN:AN="US",6.85,4.9)*(Z43+4.27*O43))/SUMIF('4店辅助表'!AP:AP,B:B,'4店辅助表'!AR:AR),"-")</f>
        <v>-</v>
      </c>
      <c r="AJ43" s="100" t="str">
        <f t="shared" si="21"/>
        <v>-</v>
      </c>
      <c r="AK43" s="101">
        <f t="shared" si="22"/>
        <v>0</v>
      </c>
      <c r="AL43" s="101">
        <f t="shared" si="23"/>
        <v>0</v>
      </c>
      <c r="AM43" s="1" t="str">
        <f>VLOOKUP(B:B,'4店辅助表'!AZ:AZ,1,FALSE)</f>
        <v>Y4033-DG</v>
      </c>
      <c r="AN43" t="str">
        <f>VLOOKUP(B:B,'4店辅助表'!AZ:BB,3,FALSE)</f>
        <v>US</v>
      </c>
    </row>
    <row r="44" customHeight="1" spans="1:40">
      <c r="A44" s="58" t="str">
        <f>INDEX('[1]4店'!$A:$A,MATCH(B:B,'[1]4店'!$B:$B,0))</f>
        <v>美珠</v>
      </c>
      <c r="B44" s="45" t="s">
        <v>1393</v>
      </c>
      <c r="C44" s="45" t="s">
        <v>1391</v>
      </c>
      <c r="D44" s="59">
        <f>VLOOKUP(B:B,'[1]4店'!$B:$L,3,0)</f>
        <v>44795</v>
      </c>
      <c r="E44" s="45" t="s">
        <v>1394</v>
      </c>
      <c r="F44" s="45">
        <v>19</v>
      </c>
      <c r="G44" s="45">
        <v>0</v>
      </c>
      <c r="H44" s="45">
        <v>0</v>
      </c>
      <c r="I44" s="45">
        <v>0</v>
      </c>
      <c r="J44" s="45">
        <v>0</v>
      </c>
      <c r="K44" s="63">
        <f t="shared" si="13"/>
        <v>19</v>
      </c>
      <c r="L44" s="64">
        <f>IFERROR(VLOOKUP($B:$B,'[1]4店'!$B:$L,11,FALSE),0)</f>
        <v>9.8</v>
      </c>
      <c r="M44" s="44">
        <f t="shared" si="24"/>
        <v>186.2</v>
      </c>
      <c r="N44" s="65">
        <f>IFERROR(VLOOKUP(B:B,'4店辅助表'!B:C,2,FALSE),0)</f>
        <v>0</v>
      </c>
      <c r="O44" s="65">
        <f>IFERROR(VLOOKUP(B:B,'4店辅助表'!E:F,2,FALSE),0)</f>
        <v>0</v>
      </c>
      <c r="P44" s="65">
        <f>IFERROR(VLOOKUP(B:B,'4店辅助表'!H:I,2,FALSE),0)</f>
        <v>0</v>
      </c>
      <c r="Q44" s="65">
        <f>IFERROR(VLOOKUP(B:B,'[1]4店'!$B:$N,13,FALSE),0)</f>
        <v>0</v>
      </c>
      <c r="R44" s="79">
        <f t="shared" si="14"/>
        <v>0</v>
      </c>
      <c r="S44" s="80" t="str">
        <f t="shared" si="15"/>
        <v>-</v>
      </c>
      <c r="T44" s="44" t="str">
        <f t="shared" si="16"/>
        <v>-</v>
      </c>
      <c r="U44" s="44" t="str">
        <f>IFERROR(VLOOKUP($B:$B,'[1]4店'!$B:$T,19,0),"-")</f>
        <v>-</v>
      </c>
      <c r="V44" s="81" t="str">
        <f t="shared" si="17"/>
        <v>-</v>
      </c>
      <c r="W44" s="82" t="str">
        <f t="shared" si="18"/>
        <v>有库存无销量</v>
      </c>
      <c r="X44" s="83" t="str">
        <f t="shared" si="19"/>
        <v>有库存无销量</v>
      </c>
      <c r="Y44" s="44">
        <f>IFERROR(SUMIF('4店辅助表'!K:K,B:B,'4店辅助表'!N:N),0)</f>
        <v>0.91</v>
      </c>
      <c r="Z44" s="44">
        <f>IFERROR(SUMIF('4店辅助表'!T:T,B:B,'4店辅助表'!W:W),0)</f>
        <v>1.39</v>
      </c>
      <c r="AA44" s="44">
        <f>IFERROR(SUMIF('4店辅助表'!AC:AC,B:B,'4店辅助表'!AF:AF),0)</f>
        <v>3.27</v>
      </c>
      <c r="AB44" s="91" t="str">
        <f>IFERROR(SUMIF('4店辅助表'!K:K,B:B,'4店辅助表'!N:N)/SUMIF('4店辅助表'!K:K,B:B,'4店辅助表'!O:O),"-")</f>
        <v>-</v>
      </c>
      <c r="AC44" s="91" t="str">
        <f>IFERROR(VLOOKUP(B:B,'[1]4店'!$B:$AB,27,0),"-")</f>
        <v>-</v>
      </c>
      <c r="AD44" s="92" t="str">
        <f t="shared" si="20"/>
        <v>-</v>
      </c>
      <c r="AE44" s="91" t="str">
        <f>IFERROR(SUMIF('4店辅助表'!T:T,B:B,'4店辅助表'!W:W)/SUMIF('4店辅助表'!T:T,B:B,'4店辅助表'!X:X),"-")</f>
        <v>-</v>
      </c>
      <c r="AF44" s="91" t="str">
        <f>IFERROR(SUMIF('4店辅助表'!AC:AC,B:B,'4店辅助表'!AF:AF)/SUMIF('4店辅助表'!AC:AC,B:B,'4店辅助表'!AG:AG),"-")</f>
        <v>-</v>
      </c>
      <c r="AG44" s="99">
        <f>IFERROR(AK44/((SUMIF('4店辅助表'!AT:AT,B:B,'4店辅助表'!AU:AU)+M44)/2),"-")</f>
        <v>0</v>
      </c>
      <c r="AH44" s="99">
        <f>IFERROR(AL44/((SUMIF('4店辅助表'!AW:AW,B:B,'4店辅助表'!AX:AX)+M44)/2),"-")</f>
        <v>0</v>
      </c>
      <c r="AI44" s="100" t="str">
        <f>IFERROR((SUMIF('4店辅助表'!AP:AP,B:B,'4店辅助表'!AR:AR)-SUMIF('4店辅助表'!AP:AP,B:B,'4店辅助表'!AR:AR)*0.15-(L44+IFERROR(VLOOKUP(B:B,'4店辅助表'!AZ:BA,2,0),0))*O44-IF(AN:AN="US",6.85,4.9)*(Z44+4.27*O44))/SUMIF('4店辅助表'!AP:AP,B:B,'4店辅助表'!AR:AR),"-")</f>
        <v>-</v>
      </c>
      <c r="AJ44" s="100" t="str">
        <f t="shared" si="21"/>
        <v>-</v>
      </c>
      <c r="AK44" s="101">
        <f t="shared" si="22"/>
        <v>0</v>
      </c>
      <c r="AL44" s="101">
        <f t="shared" si="23"/>
        <v>0</v>
      </c>
      <c r="AM44" s="1" t="str">
        <f>VLOOKUP(B:B,'4店辅助表'!AZ:AZ,1,FALSE)</f>
        <v>Y4033-LP</v>
      </c>
      <c r="AN44" t="str">
        <f>VLOOKUP(B:B,'4店辅助表'!AZ:BB,3,FALSE)</f>
        <v>US</v>
      </c>
    </row>
    <row r="45" customHeight="1" spans="1:40">
      <c r="A45" s="58" t="str">
        <f>INDEX('[1]4店'!$A:$A,MATCH(B:B,'[1]4店'!$B:$B,0))</f>
        <v>美珠</v>
      </c>
      <c r="B45" s="45" t="s">
        <v>1395</v>
      </c>
      <c r="C45" s="45" t="s">
        <v>1391</v>
      </c>
      <c r="D45" s="59">
        <f>VLOOKUP(B:B,'[1]4店'!$B:$L,3,0)</f>
        <v>44795</v>
      </c>
      <c r="E45" s="45" t="s">
        <v>1396</v>
      </c>
      <c r="F45" s="45">
        <v>10</v>
      </c>
      <c r="G45" s="45">
        <v>0</v>
      </c>
      <c r="H45" s="45">
        <v>0</v>
      </c>
      <c r="I45" s="45">
        <v>0</v>
      </c>
      <c r="J45" s="45">
        <v>0</v>
      </c>
      <c r="K45" s="63">
        <f t="shared" si="13"/>
        <v>10</v>
      </c>
      <c r="L45" s="64">
        <f>IFERROR(VLOOKUP($B:$B,'[1]4店'!$B:$L,11,FALSE),0)</f>
        <v>9.8</v>
      </c>
      <c r="M45" s="44">
        <f t="shared" si="24"/>
        <v>98</v>
      </c>
      <c r="N45" s="65">
        <f>IFERROR(VLOOKUP(B:B,'4店辅助表'!B:C,2,FALSE),0)</f>
        <v>0</v>
      </c>
      <c r="O45" s="65">
        <f>IFERROR(VLOOKUP(B:B,'4店辅助表'!E:F,2,FALSE),0)</f>
        <v>0</v>
      </c>
      <c r="P45" s="65">
        <f>IFERROR(VLOOKUP(B:B,'4店辅助表'!H:I,2,FALSE),0)</f>
        <v>3</v>
      </c>
      <c r="Q45" s="65">
        <f>IFERROR(VLOOKUP(B:B,'[1]4店'!$B:$N,13,FALSE),0)</f>
        <v>0</v>
      </c>
      <c r="R45" s="79">
        <f t="shared" si="14"/>
        <v>0</v>
      </c>
      <c r="S45" s="80">
        <f t="shared" si="15"/>
        <v>300</v>
      </c>
      <c r="T45" s="44">
        <f t="shared" si="16"/>
        <v>10</v>
      </c>
      <c r="U45" s="44">
        <f>IFERROR(VLOOKUP($B:$B,'[1]4店'!$B:$T,19,0),"-")</f>
        <v>3.33333333333333</v>
      </c>
      <c r="V45" s="81">
        <f t="shared" si="17"/>
        <v>6.66666666666667</v>
      </c>
      <c r="W45" s="82" t="str">
        <f t="shared" si="18"/>
        <v>有库存无销量</v>
      </c>
      <c r="X45" s="83" t="str">
        <f t="shared" si="19"/>
        <v>库存过高</v>
      </c>
      <c r="Y45" s="44">
        <f>IFERROR(SUMIF('4店辅助表'!K:K,B:B,'4店辅助表'!N:N),0)</f>
        <v>0.54</v>
      </c>
      <c r="Z45" s="44">
        <f>IFERROR(SUMIF('4店辅助表'!T:T,B:B,'4店辅助表'!W:W),0)</f>
        <v>1.09</v>
      </c>
      <c r="AA45" s="44">
        <f>IFERROR(SUMIF('4店辅助表'!AC:AC,B:B,'4店辅助表'!AF:AF),0)</f>
        <v>2.22</v>
      </c>
      <c r="AB45" s="91" t="str">
        <f>IFERROR(SUMIF('4店辅助表'!K:K,B:B,'4店辅助表'!N:N)/SUMIF('4店辅助表'!K:K,B:B,'4店辅助表'!O:O),"-")</f>
        <v>-</v>
      </c>
      <c r="AC45" s="91" t="str">
        <f>IFERROR(VLOOKUP(B:B,'[1]4店'!$B:$AB,27,0),"-")</f>
        <v>-</v>
      </c>
      <c r="AD45" s="92" t="str">
        <f t="shared" si="20"/>
        <v>-</v>
      </c>
      <c r="AE45" s="91" t="str">
        <f>IFERROR(SUMIF('4店辅助表'!T:T,B:B,'4店辅助表'!W:W)/SUMIF('4店辅助表'!T:T,B:B,'4店辅助表'!X:X),"-")</f>
        <v>-</v>
      </c>
      <c r="AF45" s="91">
        <f>IFERROR(SUMIF('4店辅助表'!AC:AC,B:B,'4店辅助表'!AF:AF)/SUMIF('4店辅助表'!AC:AC,B:B,'4店辅助表'!AG:AG),"-")</f>
        <v>0.170900692840647</v>
      </c>
      <c r="AG45" s="99">
        <f>IFERROR(AK45/((SUMIF('4店辅助表'!AT:AT,B:B,'4店辅助表'!AU:AU)+M45)/2),"-")</f>
        <v>0</v>
      </c>
      <c r="AH45" s="99">
        <f>IFERROR(AL45/((SUMIF('4店辅助表'!AW:AW,B:B,'4店辅助表'!AX:AX)+M45)/2),"-")</f>
        <v>0</v>
      </c>
      <c r="AI45" s="100" t="str">
        <f>IFERROR((SUMIF('4店辅助表'!AP:AP,B:B,'4店辅助表'!AR:AR)-SUMIF('4店辅助表'!AP:AP,B:B,'4店辅助表'!AR:AR)*0.15-(L45+IFERROR(VLOOKUP(B:B,'4店辅助表'!AZ:BA,2,0),0))*O45-IF(AN:AN="US",6.85,4.9)*(Z45+4.27*O45))/SUMIF('4店辅助表'!AP:AP,B:B,'4店辅助表'!AR:AR),"-")</f>
        <v>-</v>
      </c>
      <c r="AJ45" s="100" t="str">
        <f t="shared" si="21"/>
        <v>-</v>
      </c>
      <c r="AK45" s="101">
        <f t="shared" si="22"/>
        <v>0</v>
      </c>
      <c r="AL45" s="101">
        <f t="shared" si="23"/>
        <v>0</v>
      </c>
      <c r="AM45" s="1" t="str">
        <f>VLOOKUP(B:B,'4店辅助表'!AZ:AZ,1,FALSE)</f>
        <v>Y4033-OR</v>
      </c>
      <c r="AN45" t="str">
        <f>VLOOKUP(B:B,'4店辅助表'!AZ:BB,3,FALSE)</f>
        <v>US</v>
      </c>
    </row>
    <row r="46" customHeight="1" spans="1:40">
      <c r="A46" s="58" t="str">
        <f>INDEX('[1]4店'!$A:$A,MATCH(B:B,'[1]4店'!$B:$B,0))</f>
        <v>美珠</v>
      </c>
      <c r="B46" s="45" t="s">
        <v>1397</v>
      </c>
      <c r="C46" s="45" t="s">
        <v>1398</v>
      </c>
      <c r="D46" s="59">
        <f>VLOOKUP(B:B,'[1]4店'!$B:$L,3,0)</f>
        <v>44795</v>
      </c>
      <c r="E46" s="45" t="s">
        <v>1399</v>
      </c>
      <c r="F46" s="45">
        <v>43</v>
      </c>
      <c r="G46" s="45">
        <v>0</v>
      </c>
      <c r="H46" s="45">
        <v>0</v>
      </c>
      <c r="I46" s="45">
        <v>0</v>
      </c>
      <c r="J46" s="45">
        <v>0</v>
      </c>
      <c r="K46" s="63">
        <f t="shared" ref="K46:K68" si="25">F46+G46+H46+I46+J46</f>
        <v>43</v>
      </c>
      <c r="L46" s="64">
        <f>IFERROR(VLOOKUP($B:$B,'[1]4店'!$B:$L,11,FALSE),0)</f>
        <v>30</v>
      </c>
      <c r="M46" s="44">
        <f t="shared" si="24"/>
        <v>1290</v>
      </c>
      <c r="N46" s="65">
        <f>IFERROR(VLOOKUP(B:B,'4店辅助表'!B:C,2,FALSE),0)</f>
        <v>1</v>
      </c>
      <c r="O46" s="65">
        <f>IFERROR(VLOOKUP(B:B,'4店辅助表'!E:F,2,FALSE),0)</f>
        <v>1</v>
      </c>
      <c r="P46" s="65">
        <f>IFERROR(VLOOKUP(B:B,'4店辅助表'!H:I,2,FALSE),0)</f>
        <v>1</v>
      </c>
      <c r="Q46" s="65">
        <f>IFERROR(VLOOKUP(B:B,'[1]4店'!$B:$N,13,FALSE),0)</f>
        <v>0</v>
      </c>
      <c r="R46" s="79">
        <f t="shared" ref="R46:R68" si="26">N46-Q46</f>
        <v>1</v>
      </c>
      <c r="S46" s="80">
        <f t="shared" ref="S46:S68" si="27">IFERROR(K46/((N46/7+O46/15+P46/30)/3),"-")</f>
        <v>531.176470588235</v>
      </c>
      <c r="T46" s="44">
        <f t="shared" ref="T46:T68" si="28">IFERROR(S46/30,"-")</f>
        <v>17.7058823529412</v>
      </c>
      <c r="U46" s="44" t="str">
        <f>IFERROR(VLOOKUP($B:$B,'[1]4店'!$B:$T,19,0),"-")</f>
        <v>-</v>
      </c>
      <c r="V46" s="81" t="str">
        <f t="shared" ref="V46:V68" si="29">IFERROR(T46-U46,"-")</f>
        <v>-</v>
      </c>
      <c r="W46" s="82" t="str">
        <f t="shared" ref="W46:W68" si="30">_xlfn.IFS(AND(D46&lt;&gt;0,D46-$AM$2&gt;=0,B46&gt;0,D46&lt;&gt;0),"本月刚到货",AND(IFERROR((K46/(N46/7))/30,"-")="-",K46&gt;0),"有库存无销量",AND(IFERROR((K46/(N46/7))/30,"-")="-",K46=0),"无库存无销量",AND(IFERROR((K46/(N46/7))/30,"-")&lt;=0.5,K46=0),"无库存有销量",IFERROR((K46/(N46/7))/30,"-")&lt;=0.5,"库存过低",IFERROR((K46/(N46/7))/30,"-")&lt;=1.5,"正常",IFERROR((K46/(N46/7))/30,"-")&gt;1.5,"库存过高")</f>
        <v>库存过高</v>
      </c>
      <c r="X46" s="83" t="str">
        <f t="shared" ref="X46:X68" si="31">_xlfn.IFS(AND(D46&lt;&gt;0,D46-$AM$2&gt;=0,K46&gt;0,D46&lt;&gt;0),"本月刚到货",AND(T46="-",K46&gt;0),"有库存无销量",AND(T46="-",K46=0),"无库存无销量",AND(T46&lt;=0.5,K46=0),"无库存有销量",T46&lt;=0.5,"库存过低",T46&lt;=1.5,"正常",T46&gt;1.5,"库存过高")</f>
        <v>库存过高</v>
      </c>
      <c r="Y46" s="44">
        <f>IFERROR(SUMIF('4店辅助表'!K:K,B:B,'4店辅助表'!N:N),0)</f>
        <v>3.34</v>
      </c>
      <c r="Z46" s="44">
        <f>IFERROR(SUMIF('4店辅助表'!T:T,B:B,'4店辅助表'!W:W),0)</f>
        <v>6.48</v>
      </c>
      <c r="AA46" s="44">
        <f>IFERROR(SUMIF('4店辅助表'!AC:AC,B:B,'4店辅助表'!AF:AF),0)</f>
        <v>8.93</v>
      </c>
      <c r="AB46" s="91">
        <f>IFERROR(SUMIF('4店辅助表'!K:K,B:B,'4店辅助表'!N:N)/SUMIF('4店辅助表'!K:K,B:B,'4店辅助表'!O:O),"-")</f>
        <v>0.257120862201694</v>
      </c>
      <c r="AC46" s="91" t="str">
        <f>IFERROR(VLOOKUP(B:B,'[1]4店'!$B:$AB,27,0),"-")</f>
        <v>-</v>
      </c>
      <c r="AD46" s="92" t="str">
        <f t="shared" ref="AD46:AD68" si="32">IFERROR(AB46-AC46,"-")</f>
        <v>-</v>
      </c>
      <c r="AE46" s="91">
        <f>IFERROR(SUMIF('4店辅助表'!T:T,B:B,'4店辅助表'!W:W)/SUMIF('4店辅助表'!T:T,B:B,'4店辅助表'!X:X),"-")</f>
        <v>0.498845265588915</v>
      </c>
      <c r="AF46" s="91">
        <f>IFERROR(SUMIF('4店辅助表'!AC:AC,B:B,'4店辅助表'!AF:AF)/SUMIF('4店辅助表'!AC:AC,B:B,'4店辅助表'!AG:AG),"-")</f>
        <v>0.687451886066205</v>
      </c>
      <c r="AG46" s="99">
        <f>IFERROR(AK46/((SUMIF('4店辅助表'!AT:AT,B:B,'4店辅助表'!AU:AU)+M46)/2),"-")</f>
        <v>0.0229885057471264</v>
      </c>
      <c r="AH46" s="99">
        <f>IFERROR(AL46/((SUMIF('4店辅助表'!AW:AW,B:B,'4店辅助表'!AX:AX)+M46)/2),"-")</f>
        <v>0.0229885057471264</v>
      </c>
      <c r="AI46" s="100">
        <f>IFERROR((SUMIF('4店辅助表'!AP:AP,B:B,'4店辅助表'!AR:AR)-SUMIF('4店辅助表'!AP:AP,B:B,'4店辅助表'!AR:AR)*0.15-(L46+IFERROR(VLOOKUP(B:B,'4店辅助表'!AZ:BA,2,0),0))*O46-IF(AN:AN="US",6.85,4.9)*(Z46+4.27*O46))/SUMIF('4店辅助表'!AP:AP,B:B,'4店辅助表'!AR:AR),"-")</f>
        <v>-0.35671712659373</v>
      </c>
      <c r="AJ46" s="100">
        <f t="shared" ref="AJ46:AJ68" si="33">IFERROR(AH46*AI46,"-")</f>
        <v>-0.00820039371479839</v>
      </c>
      <c r="AK46" s="101">
        <f t="shared" ref="AK46:AK68" si="34">N46*$L46</f>
        <v>30</v>
      </c>
      <c r="AL46" s="101">
        <f t="shared" ref="AL46:AL68" si="35">O46*$L46</f>
        <v>30</v>
      </c>
      <c r="AM46" s="1" t="str">
        <f>VLOOKUP(B:B,'4店辅助表'!AZ:AZ,1,FALSE)</f>
        <v>Y4035-GR</v>
      </c>
      <c r="AN46" t="str">
        <f>VLOOKUP(B:B,'4店辅助表'!AZ:BB,3,FALSE)</f>
        <v>US</v>
      </c>
    </row>
    <row r="47" customHeight="1" spans="1:40">
      <c r="A47" s="58" t="str">
        <f>INDEX('[1]4店'!$A:$A,MATCH(B:B,'[1]4店'!$B:$B,0))</f>
        <v>美珠</v>
      </c>
      <c r="B47" s="45" t="s">
        <v>1400</v>
      </c>
      <c r="C47" s="45" t="s">
        <v>1398</v>
      </c>
      <c r="D47" s="59">
        <f>VLOOKUP(B:B,'[1]4店'!$B:$L,3,0)</f>
        <v>44795</v>
      </c>
      <c r="E47" s="45" t="s">
        <v>1401</v>
      </c>
      <c r="F47" s="45">
        <v>38</v>
      </c>
      <c r="G47" s="45">
        <v>0</v>
      </c>
      <c r="H47" s="45">
        <v>0</v>
      </c>
      <c r="I47" s="45">
        <v>0</v>
      </c>
      <c r="J47" s="45">
        <v>0</v>
      </c>
      <c r="K47" s="63">
        <f t="shared" si="25"/>
        <v>38</v>
      </c>
      <c r="L47" s="64">
        <f>IFERROR(VLOOKUP($B:$B,'[1]4店'!$B:$L,11,FALSE),0)</f>
        <v>30</v>
      </c>
      <c r="M47" s="44">
        <f t="shared" si="24"/>
        <v>1140</v>
      </c>
      <c r="N47" s="65">
        <f>IFERROR(VLOOKUP(B:B,'4店辅助表'!B:C,2,FALSE),0)</f>
        <v>0</v>
      </c>
      <c r="O47" s="65">
        <f>IFERROR(VLOOKUP(B:B,'4店辅助表'!E:F,2,FALSE),0)</f>
        <v>0</v>
      </c>
      <c r="P47" s="65">
        <f>IFERROR(VLOOKUP(B:B,'4店辅助表'!H:I,2,FALSE),0)</f>
        <v>1</v>
      </c>
      <c r="Q47" s="65">
        <f>IFERROR(VLOOKUP(B:B,'[1]4店'!$B:$N,13,FALSE),0)</f>
        <v>0</v>
      </c>
      <c r="R47" s="79">
        <f t="shared" si="26"/>
        <v>0</v>
      </c>
      <c r="S47" s="80">
        <f t="shared" si="27"/>
        <v>3420</v>
      </c>
      <c r="T47" s="44">
        <f t="shared" si="28"/>
        <v>114</v>
      </c>
      <c r="U47" s="44">
        <f>IFERROR(VLOOKUP($B:$B,'[1]4店'!$B:$T,19,0),"-")</f>
        <v>114</v>
      </c>
      <c r="V47" s="81">
        <f t="shared" si="29"/>
        <v>0</v>
      </c>
      <c r="W47" s="82" t="str">
        <f t="shared" si="30"/>
        <v>有库存无销量</v>
      </c>
      <c r="X47" s="83" t="str">
        <f t="shared" si="31"/>
        <v>库存过高</v>
      </c>
      <c r="Y47" s="44">
        <f>IFERROR(SUMIF('4店辅助表'!K:K,B:B,'4店辅助表'!N:N),0)</f>
        <v>0.68</v>
      </c>
      <c r="Z47" s="44">
        <f>IFERROR(SUMIF('4店辅助表'!T:T,B:B,'4店辅助表'!W:W),0)</f>
        <v>0.68</v>
      </c>
      <c r="AA47" s="44">
        <f>IFERROR(SUMIF('4店辅助表'!AC:AC,B:B,'4店辅助表'!AF:AF),0)</f>
        <v>1.36</v>
      </c>
      <c r="AB47" s="91" t="str">
        <f>IFERROR(SUMIF('4店辅助表'!K:K,B:B,'4店辅助表'!N:N)/SUMIF('4店辅助表'!K:K,B:B,'4店辅助表'!O:O),"-")</f>
        <v>-</v>
      </c>
      <c r="AC47" s="91" t="str">
        <f>IFERROR(VLOOKUP(B:B,'[1]4店'!$B:$AB,27,0),"-")</f>
        <v>-</v>
      </c>
      <c r="AD47" s="92" t="str">
        <f t="shared" si="32"/>
        <v>-</v>
      </c>
      <c r="AE47" s="91" t="str">
        <f>IFERROR(SUMIF('4店辅助表'!T:T,B:B,'4店辅助表'!W:W)/SUMIF('4店辅助表'!T:T,B:B,'4店辅助表'!X:X),"-")</f>
        <v>-</v>
      </c>
      <c r="AF47" s="91">
        <f>IFERROR(SUMIF('4店辅助表'!AC:AC,B:B,'4店辅助表'!AF:AF)/SUMIF('4店辅助表'!AC:AC,B:B,'4店辅助表'!AG:AG),"-")</f>
        <v>0.104695919938414</v>
      </c>
      <c r="AG47" s="99">
        <f>IFERROR(AK47/((SUMIF('4店辅助表'!AT:AT,B:B,'4店辅助表'!AU:AU)+M47)/2),"-")</f>
        <v>0</v>
      </c>
      <c r="AH47" s="99">
        <f>IFERROR(AL47/((SUMIF('4店辅助表'!AW:AW,B:B,'4店辅助表'!AX:AX)+M47)/2),"-")</f>
        <v>0</v>
      </c>
      <c r="AI47" s="100" t="str">
        <f>IFERROR((SUMIF('4店辅助表'!AP:AP,B:B,'4店辅助表'!AR:AR)-SUMIF('4店辅助表'!AP:AP,B:B,'4店辅助表'!AR:AR)*0.15-(L47+IFERROR(VLOOKUP(B:B,'4店辅助表'!AZ:BA,2,0),0))*O47-IF(AN:AN="US",6.85,4.9)*(Z47+4.27*O47))/SUMIF('4店辅助表'!AP:AP,B:B,'4店辅助表'!AR:AR),"-")</f>
        <v>-</v>
      </c>
      <c r="AJ47" s="100" t="str">
        <f t="shared" si="33"/>
        <v>-</v>
      </c>
      <c r="AK47" s="101">
        <f t="shared" si="34"/>
        <v>0</v>
      </c>
      <c r="AL47" s="101">
        <f t="shared" si="35"/>
        <v>0</v>
      </c>
      <c r="AM47" s="1" t="str">
        <f>VLOOKUP(B:B,'4店辅助表'!AZ:AZ,1,FALSE)</f>
        <v>Y4035-PU</v>
      </c>
      <c r="AN47" t="str">
        <f>VLOOKUP(B:B,'4店辅助表'!AZ:BB,3,FALSE)</f>
        <v>US</v>
      </c>
    </row>
    <row r="48" customHeight="1" spans="1:40">
      <c r="A48" s="58" t="str">
        <f>INDEX('[1]4店'!$A:$A,MATCH(B:B,'[1]4店'!$B:$B,0))</f>
        <v>美珠</v>
      </c>
      <c r="B48" s="45" t="s">
        <v>1402</v>
      </c>
      <c r="C48" s="45" t="s">
        <v>1398</v>
      </c>
      <c r="D48" s="59">
        <f>VLOOKUP(B:B,'[1]4店'!$B:$L,3,0)</f>
        <v>44795</v>
      </c>
      <c r="E48" s="45" t="s">
        <v>1403</v>
      </c>
      <c r="F48" s="45">
        <v>41</v>
      </c>
      <c r="G48" s="45">
        <v>0</v>
      </c>
      <c r="H48" s="45">
        <v>0</v>
      </c>
      <c r="I48" s="45">
        <v>0</v>
      </c>
      <c r="J48" s="45">
        <v>0</v>
      </c>
      <c r="K48" s="63">
        <f t="shared" si="25"/>
        <v>41</v>
      </c>
      <c r="L48" s="64">
        <f>IFERROR(VLOOKUP($B:$B,'[1]4店'!$B:$L,11,FALSE),0)</f>
        <v>30</v>
      </c>
      <c r="M48" s="44">
        <f t="shared" si="24"/>
        <v>1230</v>
      </c>
      <c r="N48" s="65">
        <f>IFERROR(VLOOKUP(B:B,'4店辅助表'!B:C,2,FALSE),0)</f>
        <v>0</v>
      </c>
      <c r="O48" s="65">
        <f>IFERROR(VLOOKUP(B:B,'4店辅助表'!E:F,2,FALSE),0)</f>
        <v>0</v>
      </c>
      <c r="P48" s="65">
        <f>IFERROR(VLOOKUP(B:B,'4店辅助表'!H:I,2,FALSE),0)</f>
        <v>0</v>
      </c>
      <c r="Q48" s="65">
        <f>IFERROR(VLOOKUP(B:B,'[1]4店'!$B:$N,13,FALSE),0)</f>
        <v>0</v>
      </c>
      <c r="R48" s="79">
        <f t="shared" si="26"/>
        <v>0</v>
      </c>
      <c r="S48" s="80" t="str">
        <f t="shared" si="27"/>
        <v>-</v>
      </c>
      <c r="T48" s="44" t="str">
        <f t="shared" si="28"/>
        <v>-</v>
      </c>
      <c r="U48" s="44" t="str">
        <f>IFERROR(VLOOKUP($B:$B,'[1]4店'!$B:$T,19,0),"-")</f>
        <v>-</v>
      </c>
      <c r="V48" s="81" t="str">
        <f t="shared" si="29"/>
        <v>-</v>
      </c>
      <c r="W48" s="82" t="str">
        <f t="shared" si="30"/>
        <v>有库存无销量</v>
      </c>
      <c r="X48" s="83" t="str">
        <f t="shared" si="31"/>
        <v>有库存无销量</v>
      </c>
      <c r="Y48" s="44">
        <f>IFERROR(SUMIF('4店辅助表'!K:K,B:B,'4店辅助表'!N:N),0)</f>
        <v>1.23</v>
      </c>
      <c r="Z48" s="44">
        <f>IFERROR(SUMIF('4店辅助表'!T:T,B:B,'4店辅助表'!W:W),0)</f>
        <v>1.23</v>
      </c>
      <c r="AA48" s="44">
        <f>IFERROR(SUMIF('4店辅助表'!AC:AC,B:B,'4店辅助表'!AF:AF),0)</f>
        <v>1.6</v>
      </c>
      <c r="AB48" s="91" t="str">
        <f>IFERROR(SUMIF('4店辅助表'!K:K,B:B,'4店辅助表'!N:N)/SUMIF('4店辅助表'!K:K,B:B,'4店辅助表'!O:O),"-")</f>
        <v>-</v>
      </c>
      <c r="AC48" s="91" t="str">
        <f>IFERROR(VLOOKUP(B:B,'[1]4店'!$B:$AB,27,0),"-")</f>
        <v>-</v>
      </c>
      <c r="AD48" s="92" t="str">
        <f t="shared" si="32"/>
        <v>-</v>
      </c>
      <c r="AE48" s="91" t="str">
        <f>IFERROR(SUMIF('4店辅助表'!T:T,B:B,'4店辅助表'!W:W)/SUMIF('4店辅助表'!T:T,B:B,'4店辅助表'!X:X),"-")</f>
        <v>-</v>
      </c>
      <c r="AF48" s="91" t="str">
        <f>IFERROR(SUMIF('4店辅助表'!AC:AC,B:B,'4店辅助表'!AF:AF)/SUMIF('4店辅助表'!AC:AC,B:B,'4店辅助表'!AG:AG),"-")</f>
        <v>-</v>
      </c>
      <c r="AG48" s="99">
        <f>IFERROR(AK48/((SUMIF('4店辅助表'!AT:AT,B:B,'4店辅助表'!AU:AU)+M48)/2),"-")</f>
        <v>0</v>
      </c>
      <c r="AH48" s="99">
        <f>IFERROR(AL48/((SUMIF('4店辅助表'!AW:AW,B:B,'4店辅助表'!AX:AX)+M48)/2),"-")</f>
        <v>0</v>
      </c>
      <c r="AI48" s="100" t="str">
        <f>IFERROR((SUMIF('4店辅助表'!AP:AP,B:B,'4店辅助表'!AR:AR)-SUMIF('4店辅助表'!AP:AP,B:B,'4店辅助表'!AR:AR)*0.15-(L48+IFERROR(VLOOKUP(B:B,'4店辅助表'!AZ:BA,2,0),0))*O48-IF(AN:AN="US",6.85,4.9)*(Z48+4.27*O48))/SUMIF('4店辅助表'!AP:AP,B:B,'4店辅助表'!AR:AR),"-")</f>
        <v>-</v>
      </c>
      <c r="AJ48" s="100" t="str">
        <f t="shared" si="33"/>
        <v>-</v>
      </c>
      <c r="AK48" s="101">
        <f t="shared" si="34"/>
        <v>0</v>
      </c>
      <c r="AL48" s="101">
        <f t="shared" si="35"/>
        <v>0</v>
      </c>
      <c r="AM48" s="1" t="str">
        <f>VLOOKUP(B:B,'4店辅助表'!AZ:AZ,1,FALSE)</f>
        <v>Y4035-WHB</v>
      </c>
      <c r="AN48" t="str">
        <f>VLOOKUP(B:B,'4店辅助表'!AZ:BB,3,FALSE)</f>
        <v>US</v>
      </c>
    </row>
    <row r="49" customHeight="1" spans="1:40">
      <c r="A49" s="58" t="str">
        <f>INDEX('[1]4店'!$A:$A,MATCH(B:B,'[1]4店'!$B:$B,0))</f>
        <v>美珠</v>
      </c>
      <c r="B49" s="45" t="s">
        <v>1404</v>
      </c>
      <c r="C49" s="45" t="s">
        <v>1405</v>
      </c>
      <c r="D49" s="59">
        <f>VLOOKUP(B:B,'[1]4店'!$B:$L,3,0)</f>
        <v>44796</v>
      </c>
      <c r="E49" s="45" t="s">
        <v>1406</v>
      </c>
      <c r="F49" s="45">
        <v>22</v>
      </c>
      <c r="G49" s="45">
        <v>0</v>
      </c>
      <c r="H49" s="45">
        <v>0</v>
      </c>
      <c r="I49" s="45">
        <v>0</v>
      </c>
      <c r="J49" s="45">
        <v>0</v>
      </c>
      <c r="K49" s="63">
        <f t="shared" si="25"/>
        <v>22</v>
      </c>
      <c r="L49" s="64">
        <f>IFERROR(VLOOKUP($B:$B,'[1]4店'!$B:$L,11,FALSE),0)</f>
        <v>23</v>
      </c>
      <c r="M49" s="44">
        <f t="shared" si="24"/>
        <v>506</v>
      </c>
      <c r="N49" s="65">
        <f>IFERROR(VLOOKUP(B:B,'4店辅助表'!B:C,2,FALSE),0)</f>
        <v>0</v>
      </c>
      <c r="O49" s="65">
        <f>IFERROR(VLOOKUP(B:B,'4店辅助表'!E:F,2,FALSE),0)</f>
        <v>0</v>
      </c>
      <c r="P49" s="65">
        <f>IFERROR(VLOOKUP(B:B,'4店辅助表'!H:I,2,FALSE),0)</f>
        <v>1</v>
      </c>
      <c r="Q49" s="65">
        <f>IFERROR(VLOOKUP(B:B,'[1]4店'!$B:$N,13,FALSE),0)</f>
        <v>0</v>
      </c>
      <c r="R49" s="79">
        <f t="shared" si="26"/>
        <v>0</v>
      </c>
      <c r="S49" s="80">
        <f t="shared" si="27"/>
        <v>1980</v>
      </c>
      <c r="T49" s="44">
        <f t="shared" si="28"/>
        <v>66</v>
      </c>
      <c r="U49" s="44">
        <f>IFERROR(VLOOKUP($B:$B,'[1]4店'!$B:$T,19,0),"-")</f>
        <v>33</v>
      </c>
      <c r="V49" s="81">
        <f t="shared" si="29"/>
        <v>33</v>
      </c>
      <c r="W49" s="82" t="str">
        <f t="shared" si="30"/>
        <v>有库存无销量</v>
      </c>
      <c r="X49" s="83" t="str">
        <f t="shared" si="31"/>
        <v>库存过高</v>
      </c>
      <c r="Y49" s="44">
        <f>IFERROR(SUMIF('4店辅助表'!K:K,B:B,'4店辅助表'!N:N),0)</f>
        <v>1.76</v>
      </c>
      <c r="Z49" s="44">
        <f>IFERROR(SUMIF('4店辅助表'!T:T,B:B,'4店辅助表'!W:W),0)</f>
        <v>2.17</v>
      </c>
      <c r="AA49" s="44">
        <f>IFERROR(SUMIF('4店辅助表'!AC:AC,B:B,'4店辅助表'!AF:AF),0)</f>
        <v>3.82</v>
      </c>
      <c r="AB49" s="91" t="str">
        <f>IFERROR(SUMIF('4店辅助表'!K:K,B:B,'4店辅助表'!N:N)/SUMIF('4店辅助表'!K:K,B:B,'4店辅助表'!O:O),"-")</f>
        <v>-</v>
      </c>
      <c r="AC49" s="91" t="str">
        <f>IFERROR(VLOOKUP(B:B,'[1]4店'!$B:$AB,27,0),"-")</f>
        <v>-</v>
      </c>
      <c r="AD49" s="92" t="str">
        <f t="shared" si="32"/>
        <v>-</v>
      </c>
      <c r="AE49" s="91" t="str">
        <f>IFERROR(SUMIF('4店辅助表'!T:T,B:B,'4店辅助表'!W:W)/SUMIF('4店辅助表'!T:T,B:B,'4店辅助表'!X:X),"-")</f>
        <v>-</v>
      </c>
      <c r="AF49" s="91">
        <f>IFERROR(SUMIF('4店辅助表'!AC:AC,B:B,'4店辅助表'!AF:AF)/SUMIF('4店辅助表'!AC:AC,B:B,'4店辅助表'!AG:AG),"-")</f>
        <v>0.238899312070044</v>
      </c>
      <c r="AG49" s="99">
        <f>IFERROR(AK49/((SUMIF('4店辅助表'!AT:AT,B:B,'4店辅助表'!AU:AU)+M49)/2),"-")</f>
        <v>0</v>
      </c>
      <c r="AH49" s="99">
        <f>IFERROR(AL49/((SUMIF('4店辅助表'!AW:AW,B:B,'4店辅助表'!AX:AX)+M49)/2),"-")</f>
        <v>0</v>
      </c>
      <c r="AI49" s="100" t="str">
        <f>IFERROR((SUMIF('4店辅助表'!AP:AP,B:B,'4店辅助表'!AR:AR)-SUMIF('4店辅助表'!AP:AP,B:B,'4店辅助表'!AR:AR)*0.15-(L49+IFERROR(VLOOKUP(B:B,'4店辅助表'!AZ:BA,2,0),0))*O49-IF(AN:AN="US",6.85,4.9)*(Z49+4.27*O49))/SUMIF('4店辅助表'!AP:AP,B:B,'4店辅助表'!AR:AR),"-")</f>
        <v>-</v>
      </c>
      <c r="AJ49" s="100" t="str">
        <f t="shared" si="33"/>
        <v>-</v>
      </c>
      <c r="AK49" s="101">
        <f t="shared" si="34"/>
        <v>0</v>
      </c>
      <c r="AL49" s="101">
        <f t="shared" si="35"/>
        <v>0</v>
      </c>
      <c r="AM49" s="1" t="str">
        <f>VLOOKUP(B:B,'4店辅助表'!AZ:AZ,1,FALSE)</f>
        <v>Y4037-BL</v>
      </c>
      <c r="AN49" t="str">
        <f>VLOOKUP(B:B,'4店辅助表'!AZ:BB,3,FALSE)</f>
        <v>US</v>
      </c>
    </row>
    <row r="50" customHeight="1" spans="1:40">
      <c r="A50" s="58" t="str">
        <f>INDEX('[1]4店'!$A:$A,MATCH(B:B,'[1]4店'!$B:$B,0))</f>
        <v>美珠</v>
      </c>
      <c r="B50" s="45" t="s">
        <v>1407</v>
      </c>
      <c r="C50" s="45" t="s">
        <v>1405</v>
      </c>
      <c r="D50" s="59">
        <f>VLOOKUP(B:B,'[1]4店'!$B:$L,3,0)</f>
        <v>44796</v>
      </c>
      <c r="E50" s="45" t="s">
        <v>1408</v>
      </c>
      <c r="F50" s="45">
        <v>21</v>
      </c>
      <c r="G50" s="45">
        <v>0</v>
      </c>
      <c r="H50" s="45">
        <v>0</v>
      </c>
      <c r="I50" s="45">
        <v>0</v>
      </c>
      <c r="J50" s="45">
        <v>0</v>
      </c>
      <c r="K50" s="63">
        <f t="shared" si="25"/>
        <v>21</v>
      </c>
      <c r="L50" s="64">
        <f>IFERROR(VLOOKUP($B:$B,'[1]4店'!$B:$L,11,FALSE),0)</f>
        <v>23</v>
      </c>
      <c r="M50" s="44">
        <f t="shared" si="24"/>
        <v>483</v>
      </c>
      <c r="N50" s="65">
        <f>IFERROR(VLOOKUP(B:B,'4店辅助表'!B:C,2,FALSE),0)</f>
        <v>0</v>
      </c>
      <c r="O50" s="65">
        <f>IFERROR(VLOOKUP(B:B,'4店辅助表'!E:F,2,FALSE),0)</f>
        <v>1</v>
      </c>
      <c r="P50" s="65">
        <f>IFERROR(VLOOKUP(B:B,'4店辅助表'!H:I,2,FALSE),0)</f>
        <v>1</v>
      </c>
      <c r="Q50" s="65">
        <f>IFERROR(VLOOKUP(B:B,'[1]4店'!$B:$N,13,FALSE),0)</f>
        <v>1</v>
      </c>
      <c r="R50" s="79">
        <f t="shared" si="26"/>
        <v>-1</v>
      </c>
      <c r="S50" s="80">
        <f t="shared" si="27"/>
        <v>630</v>
      </c>
      <c r="T50" s="44">
        <f t="shared" si="28"/>
        <v>21</v>
      </c>
      <c r="U50" s="44">
        <f>IFERROR(VLOOKUP($B:$B,'[1]4店'!$B:$T,19,0),"-")</f>
        <v>8.64705882352941</v>
      </c>
      <c r="V50" s="81">
        <f t="shared" si="29"/>
        <v>12.3529411764706</v>
      </c>
      <c r="W50" s="82" t="str">
        <f t="shared" si="30"/>
        <v>有库存无销量</v>
      </c>
      <c r="X50" s="83" t="str">
        <f t="shared" si="31"/>
        <v>库存过高</v>
      </c>
      <c r="Y50" s="44">
        <f>IFERROR(SUMIF('4店辅助表'!K:K,B:B,'4店辅助表'!N:N),0)</f>
        <v>0</v>
      </c>
      <c r="Z50" s="44">
        <f>IFERROR(SUMIF('4店辅助表'!T:T,B:B,'4店辅助表'!W:W),0)</f>
        <v>0</v>
      </c>
      <c r="AA50" s="44">
        <f>IFERROR(SUMIF('4店辅助表'!AC:AC,B:B,'4店辅助表'!AF:AF),0)</f>
        <v>0</v>
      </c>
      <c r="AB50" s="91" t="str">
        <f>IFERROR(SUMIF('4店辅助表'!K:K,B:B,'4店辅助表'!N:N)/SUMIF('4店辅助表'!K:K,B:B,'4店辅助表'!O:O),"-")</f>
        <v>-</v>
      </c>
      <c r="AC50" s="91" t="str">
        <f>IFERROR(VLOOKUP(B:B,'[1]4店'!$B:$AB,27,0),"-")</f>
        <v>-</v>
      </c>
      <c r="AD50" s="92" t="str">
        <f t="shared" si="32"/>
        <v>-</v>
      </c>
      <c r="AE50" s="91" t="str">
        <f>IFERROR(SUMIF('4店辅助表'!T:T,B:B,'4店辅助表'!W:W)/SUMIF('4店辅助表'!T:T,B:B,'4店辅助表'!X:X),"-")</f>
        <v>-</v>
      </c>
      <c r="AF50" s="91" t="str">
        <f>IFERROR(SUMIF('4店辅助表'!AC:AC,B:B,'4店辅助表'!AF:AF)/SUMIF('4店辅助表'!AC:AC,B:B,'4店辅助表'!AG:AG),"-")</f>
        <v>-</v>
      </c>
      <c r="AG50" s="99">
        <f>IFERROR(AK50/((SUMIF('4店辅助表'!AT:AT,B:B,'4店辅助表'!AU:AU)+M50)/2),"-")</f>
        <v>0</v>
      </c>
      <c r="AH50" s="99">
        <f>IFERROR(AL50/((SUMIF('4店辅助表'!AW:AW,B:B,'4店辅助表'!AX:AX)+M50)/2),"-")</f>
        <v>0.0465116279069767</v>
      </c>
      <c r="AI50" s="100">
        <f>IFERROR((SUMIF('4店辅助表'!AP:AP,B:B,'4店辅助表'!AR:AR)-SUMIF('4店辅助表'!AP:AP,B:B,'4店辅助表'!AR:AR)*0.15-(L50+IFERROR(VLOOKUP(B:B,'4店辅助表'!AZ:BA,2,0),0))*O50-IF(AN:AN="US",6.85,4.9)*(Z50+4.27*O50))/SUMIF('4店辅助表'!AP:AP,B:B,'4店辅助表'!AR:AR),"-")</f>
        <v>0.339466500504421</v>
      </c>
      <c r="AJ50" s="100">
        <f t="shared" si="33"/>
        <v>0.0157891395583452</v>
      </c>
      <c r="AK50" s="101">
        <f t="shared" si="34"/>
        <v>0</v>
      </c>
      <c r="AL50" s="101">
        <f t="shared" si="35"/>
        <v>23</v>
      </c>
      <c r="AM50" s="1" t="str">
        <f>VLOOKUP(B:B,'4店辅助表'!AZ:AZ,1,FALSE)</f>
        <v>Y4037-GO</v>
      </c>
      <c r="AN50" t="str">
        <f>VLOOKUP(B:B,'4店辅助表'!AZ:BB,3,FALSE)</f>
        <v>US</v>
      </c>
    </row>
    <row r="51" customHeight="1" spans="1:40">
      <c r="A51" s="58" t="str">
        <f>INDEX('[1]4店'!$A:$A,MATCH(B:B,'[1]4店'!$B:$B,0))</f>
        <v>美珠</v>
      </c>
      <c r="B51" s="45" t="s">
        <v>1409</v>
      </c>
      <c r="C51" s="45" t="s">
        <v>1405</v>
      </c>
      <c r="D51" s="59">
        <f>VLOOKUP(B:B,'[1]4店'!$B:$L,3,0)</f>
        <v>44796</v>
      </c>
      <c r="E51" s="45" t="s">
        <v>1410</v>
      </c>
      <c r="F51" s="45">
        <v>30</v>
      </c>
      <c r="G51" s="45">
        <v>0</v>
      </c>
      <c r="H51" s="45">
        <v>0</v>
      </c>
      <c r="I51" s="45">
        <v>0</v>
      </c>
      <c r="J51" s="45">
        <v>0</v>
      </c>
      <c r="K51" s="63">
        <f t="shared" si="25"/>
        <v>30</v>
      </c>
      <c r="L51" s="64">
        <f>IFERROR(VLOOKUP($B:$B,'[1]4店'!$B:$L,11,FALSE),0)</f>
        <v>23</v>
      </c>
      <c r="M51" s="44">
        <f t="shared" si="24"/>
        <v>690</v>
      </c>
      <c r="N51" s="65">
        <f>IFERROR(VLOOKUP(B:B,'4店辅助表'!B:C,2,FALSE),0)</f>
        <v>0</v>
      </c>
      <c r="O51" s="65">
        <f>IFERROR(VLOOKUP(B:B,'4店辅助表'!E:F,2,FALSE),0)</f>
        <v>0</v>
      </c>
      <c r="P51" s="65">
        <f>IFERROR(VLOOKUP(B:B,'4店辅助表'!H:I,2,FALSE),0)</f>
        <v>1</v>
      </c>
      <c r="Q51" s="65">
        <f>IFERROR(VLOOKUP(B:B,'[1]4店'!$B:$N,13,FALSE),0)</f>
        <v>0</v>
      </c>
      <c r="R51" s="79">
        <f t="shared" si="26"/>
        <v>0</v>
      </c>
      <c r="S51" s="80">
        <f t="shared" si="27"/>
        <v>2700</v>
      </c>
      <c r="T51" s="44">
        <f t="shared" si="28"/>
        <v>90</v>
      </c>
      <c r="U51" s="44">
        <f>IFERROR(VLOOKUP($B:$B,'[1]4店'!$B:$T,19,0),"-")</f>
        <v>30</v>
      </c>
      <c r="V51" s="81">
        <f t="shared" si="29"/>
        <v>60</v>
      </c>
      <c r="W51" s="82" t="str">
        <f t="shared" si="30"/>
        <v>有库存无销量</v>
      </c>
      <c r="X51" s="83" t="str">
        <f t="shared" si="31"/>
        <v>库存过高</v>
      </c>
      <c r="Y51" s="44">
        <f>IFERROR(SUMIF('4店辅助表'!K:K,B:B,'4店辅助表'!N:N),0)</f>
        <v>0</v>
      </c>
      <c r="Z51" s="44">
        <f>IFERROR(SUMIF('4店辅助表'!T:T,B:B,'4店辅助表'!W:W),0)</f>
        <v>0</v>
      </c>
      <c r="AA51" s="44">
        <f>IFERROR(SUMIF('4店辅助表'!AC:AC,B:B,'4店辅助表'!AF:AF),0)</f>
        <v>0.41</v>
      </c>
      <c r="AB51" s="91" t="str">
        <f>IFERROR(SUMIF('4店辅助表'!K:K,B:B,'4店辅助表'!N:N)/SUMIF('4店辅助表'!K:K,B:B,'4店辅助表'!O:O),"-")</f>
        <v>-</v>
      </c>
      <c r="AC51" s="91" t="str">
        <f>IFERROR(VLOOKUP(B:B,'[1]4店'!$B:$AB,27,0),"-")</f>
        <v>-</v>
      </c>
      <c r="AD51" s="92" t="str">
        <f t="shared" si="32"/>
        <v>-</v>
      </c>
      <c r="AE51" s="91" t="str">
        <f>IFERROR(SUMIF('4店辅助表'!T:T,B:B,'4店辅助表'!W:W)/SUMIF('4店辅助表'!T:T,B:B,'4店辅助表'!X:X),"-")</f>
        <v>-</v>
      </c>
      <c r="AF51" s="91" t="str">
        <f>IFERROR(SUMIF('4店辅助表'!AC:AC,B:B,'4店辅助表'!AF:AF)/SUMIF('4店辅助表'!AC:AC,B:B,'4店辅助表'!AG:AG),"-")</f>
        <v>-</v>
      </c>
      <c r="AG51" s="99">
        <f>IFERROR(AK51/((SUMIF('4店辅助表'!AT:AT,B:B,'4店辅助表'!AU:AU)+M51)/2),"-")</f>
        <v>0</v>
      </c>
      <c r="AH51" s="99">
        <f>IFERROR(AL51/((SUMIF('4店辅助表'!AW:AW,B:B,'4店辅助表'!AX:AX)+M51)/2),"-")</f>
        <v>0</v>
      </c>
      <c r="AI51" s="100" t="str">
        <f>IFERROR((SUMIF('4店辅助表'!AP:AP,B:B,'4店辅助表'!AR:AR)-SUMIF('4店辅助表'!AP:AP,B:B,'4店辅助表'!AR:AR)*0.15-(L51+IFERROR(VLOOKUP(B:B,'4店辅助表'!AZ:BA,2,0),0))*O51-IF(AN:AN="US",6.85,4.9)*(Z51+4.27*O51))/SUMIF('4店辅助表'!AP:AP,B:B,'4店辅助表'!AR:AR),"-")</f>
        <v>-</v>
      </c>
      <c r="AJ51" s="100" t="str">
        <f t="shared" si="33"/>
        <v>-</v>
      </c>
      <c r="AK51" s="101">
        <f t="shared" si="34"/>
        <v>0</v>
      </c>
      <c r="AL51" s="101">
        <f t="shared" si="35"/>
        <v>0</v>
      </c>
      <c r="AM51" s="1" t="str">
        <f>VLOOKUP(B:B,'4店辅助表'!AZ:AZ,1,FALSE)</f>
        <v>Y4037-GR</v>
      </c>
      <c r="AN51" t="str">
        <f>VLOOKUP(B:B,'4店辅助表'!AZ:BB,3,FALSE)</f>
        <v>US</v>
      </c>
    </row>
    <row r="52" customHeight="1" spans="1:40">
      <c r="A52" s="58" t="str">
        <f>INDEX('[1]4店'!$A:$A,MATCH(B:B,'[1]4店'!$B:$B,0))</f>
        <v>美珠</v>
      </c>
      <c r="B52" s="45" t="s">
        <v>1411</v>
      </c>
      <c r="C52" s="45" t="s">
        <v>1412</v>
      </c>
      <c r="D52" s="59">
        <f>VLOOKUP(B:B,'[1]4店'!$B:$L,3,0)</f>
        <v>44796</v>
      </c>
      <c r="E52" s="45" t="s">
        <v>1413</v>
      </c>
      <c r="F52" s="45">
        <v>27</v>
      </c>
      <c r="G52" s="45">
        <v>0</v>
      </c>
      <c r="H52" s="45">
        <v>0</v>
      </c>
      <c r="I52" s="45">
        <v>0</v>
      </c>
      <c r="J52" s="45">
        <v>0</v>
      </c>
      <c r="K52" s="63">
        <f t="shared" si="25"/>
        <v>27</v>
      </c>
      <c r="L52" s="64">
        <f>IFERROR(VLOOKUP($B:$B,'[1]4店'!$B:$L,11,FALSE),0)</f>
        <v>10</v>
      </c>
      <c r="M52" s="44">
        <f t="shared" si="24"/>
        <v>270</v>
      </c>
      <c r="N52" s="65">
        <f>IFERROR(VLOOKUP(B:B,'4店辅助表'!B:C,2,FALSE),0)</f>
        <v>0</v>
      </c>
      <c r="O52" s="65">
        <f>IFERROR(VLOOKUP(B:B,'4店辅助表'!E:F,2,FALSE),0)</f>
        <v>1</v>
      </c>
      <c r="P52" s="65">
        <f>IFERROR(VLOOKUP(B:B,'4店辅助表'!H:I,2,FALSE),0)</f>
        <v>2</v>
      </c>
      <c r="Q52" s="65">
        <f>IFERROR(VLOOKUP(B:B,'[1]4店'!$B:$N,13,FALSE),0)</f>
        <v>1</v>
      </c>
      <c r="R52" s="79">
        <f t="shared" si="26"/>
        <v>-1</v>
      </c>
      <c r="S52" s="80">
        <f t="shared" si="27"/>
        <v>607.5</v>
      </c>
      <c r="T52" s="44">
        <f t="shared" si="28"/>
        <v>20.25</v>
      </c>
      <c r="U52" s="44">
        <f>IFERROR(VLOOKUP($B:$B,'[1]4店'!$B:$T,19,0),"-")</f>
        <v>7.17721518987342</v>
      </c>
      <c r="V52" s="81">
        <f t="shared" si="29"/>
        <v>13.0727848101266</v>
      </c>
      <c r="W52" s="82" t="str">
        <f t="shared" si="30"/>
        <v>有库存无销量</v>
      </c>
      <c r="X52" s="83" t="str">
        <f t="shared" si="31"/>
        <v>库存过高</v>
      </c>
      <c r="Y52" s="44">
        <f>IFERROR(SUMIF('4店辅助表'!K:K,B:B,'4店辅助表'!N:N),0)</f>
        <v>0.36</v>
      </c>
      <c r="Z52" s="44">
        <f>IFERROR(SUMIF('4店辅助表'!T:T,B:B,'4店辅助表'!W:W),0)</f>
        <v>1.77</v>
      </c>
      <c r="AA52" s="44">
        <f>IFERROR(SUMIF('4店辅助表'!AC:AC,B:B,'4店辅助表'!AF:AF),0)</f>
        <v>3.21</v>
      </c>
      <c r="AB52" s="91" t="str">
        <f>IFERROR(SUMIF('4店辅助表'!K:K,B:B,'4店辅助表'!N:N)/SUMIF('4店辅助表'!K:K,B:B,'4店辅助表'!O:O),"-")</f>
        <v>-</v>
      </c>
      <c r="AC52" s="91" t="str">
        <f>IFERROR(VLOOKUP(B:B,'[1]4店'!$B:$AB,27,0),"-")</f>
        <v>-</v>
      </c>
      <c r="AD52" s="92" t="str">
        <f t="shared" si="32"/>
        <v>-</v>
      </c>
      <c r="AE52" s="91" t="str">
        <f>IFERROR(SUMIF('4店辅助表'!T:T,B:B,'4店辅助表'!W:W)/SUMIF('4店辅助表'!T:T,B:B,'4店辅助表'!X:X),"-")</f>
        <v>-</v>
      </c>
      <c r="AF52" s="91" t="str">
        <f>IFERROR(SUMIF('4店辅助表'!AC:AC,B:B,'4店辅助表'!AF:AF)/SUMIF('4店辅助表'!AC:AC,B:B,'4店辅助表'!AG:AG),"-")</f>
        <v>-</v>
      </c>
      <c r="AG52" s="99">
        <f>IFERROR(AK52/((SUMIF('4店辅助表'!AT:AT,B:B,'4店辅助表'!AU:AU)+M52)/2),"-")</f>
        <v>0</v>
      </c>
      <c r="AH52" s="99">
        <f>IFERROR(AL52/((SUMIF('4店辅助表'!AW:AW,B:B,'4店辅助表'!AX:AX)+M52)/2),"-")</f>
        <v>0.0357142857142857</v>
      </c>
      <c r="AI52" s="100">
        <f>IFERROR((SUMIF('4店辅助表'!AP:AP,B:B,'4店辅助表'!AR:AR)-SUMIF('4店辅助表'!AP:AP,B:B,'4店辅助表'!AR:AR)*0.15-(L52+IFERROR(VLOOKUP(B:B,'4店辅助表'!AZ:BA,2,0),0))*O52-IF(AN:AN="US",6.85,4.9)*(Z52+4.27*O52))/SUMIF('4店辅助表'!AP:AP,B:B,'4店辅助表'!AR:AR),"-")</f>
        <v>0.237816568612577</v>
      </c>
      <c r="AJ52" s="100">
        <f t="shared" si="33"/>
        <v>0.0084934488790206</v>
      </c>
      <c r="AK52" s="101">
        <f t="shared" si="34"/>
        <v>0</v>
      </c>
      <c r="AL52" s="101">
        <f t="shared" si="35"/>
        <v>10</v>
      </c>
      <c r="AM52" s="1" t="str">
        <f>VLOOKUP(B:B,'4店辅助表'!AZ:AZ,1,FALSE)</f>
        <v>Y4036-BL</v>
      </c>
      <c r="AN52" t="str">
        <f>VLOOKUP(B:B,'4店辅助表'!AZ:BB,3,FALSE)</f>
        <v>US</v>
      </c>
    </row>
    <row r="53" customHeight="1" spans="1:40">
      <c r="A53" s="58" t="str">
        <f>INDEX('[1]4店'!$A:$A,MATCH(B:B,'[1]4店'!$B:$B,0))</f>
        <v>美珠</v>
      </c>
      <c r="B53" s="45" t="s">
        <v>1414</v>
      </c>
      <c r="C53" s="45" t="s">
        <v>1412</v>
      </c>
      <c r="D53" s="59">
        <f>VLOOKUP(B:B,'[1]4店'!$B:$L,3,0)</f>
        <v>44796</v>
      </c>
      <c r="E53" s="45" t="s">
        <v>1415</v>
      </c>
      <c r="F53" s="45">
        <v>34</v>
      </c>
      <c r="G53" s="45">
        <v>0</v>
      </c>
      <c r="H53" s="45">
        <v>0</v>
      </c>
      <c r="I53" s="45">
        <v>0</v>
      </c>
      <c r="J53" s="45">
        <v>0</v>
      </c>
      <c r="K53" s="63">
        <f t="shared" si="25"/>
        <v>34</v>
      </c>
      <c r="L53" s="64">
        <f>IFERROR(VLOOKUP($B:$B,'[1]4店'!$B:$L,11,FALSE),0)</f>
        <v>10</v>
      </c>
      <c r="M53" s="44">
        <f t="shared" si="24"/>
        <v>340</v>
      </c>
      <c r="N53" s="65">
        <f>IFERROR(VLOOKUP(B:B,'4店辅助表'!B:C,2,FALSE),0)</f>
        <v>0</v>
      </c>
      <c r="O53" s="65">
        <f>IFERROR(VLOOKUP(B:B,'4店辅助表'!E:F,2,FALSE),0)</f>
        <v>0</v>
      </c>
      <c r="P53" s="65">
        <f>IFERROR(VLOOKUP(B:B,'4店辅助表'!H:I,2,FALSE),0)</f>
        <v>1</v>
      </c>
      <c r="Q53" s="65">
        <f>IFERROR(VLOOKUP(B:B,'[1]4店'!$B:$N,13,FALSE),0)</f>
        <v>0</v>
      </c>
      <c r="R53" s="79">
        <f t="shared" si="26"/>
        <v>0</v>
      </c>
      <c r="S53" s="80">
        <f t="shared" si="27"/>
        <v>3060</v>
      </c>
      <c r="T53" s="44">
        <f t="shared" si="28"/>
        <v>102</v>
      </c>
      <c r="U53" s="44">
        <f>IFERROR(VLOOKUP($B:$B,'[1]4店'!$B:$T,19,0),"-")</f>
        <v>34</v>
      </c>
      <c r="V53" s="81">
        <f t="shared" si="29"/>
        <v>68</v>
      </c>
      <c r="W53" s="82" t="str">
        <f t="shared" si="30"/>
        <v>有库存无销量</v>
      </c>
      <c r="X53" s="83" t="str">
        <f t="shared" si="31"/>
        <v>库存过高</v>
      </c>
      <c r="Y53" s="44">
        <f>IFERROR(SUMIF('4店辅助表'!K:K,B:B,'4店辅助表'!N:N),0)</f>
        <v>3.86</v>
      </c>
      <c r="Z53" s="44">
        <f>IFERROR(SUMIF('4店辅助表'!T:T,B:B,'4店辅助表'!W:W),0)</f>
        <v>8.54</v>
      </c>
      <c r="AA53" s="44">
        <f>IFERROR(SUMIF('4店辅助表'!AC:AC,B:B,'4店辅助表'!AF:AF),0)</f>
        <v>14.34</v>
      </c>
      <c r="AB53" s="91" t="str">
        <f>IFERROR(SUMIF('4店辅助表'!K:K,B:B,'4店辅助表'!N:N)/SUMIF('4店辅助表'!K:K,B:B,'4店辅助表'!O:O),"-")</f>
        <v>-</v>
      </c>
      <c r="AC53" s="91">
        <f>IFERROR(VLOOKUP(B:B,'[1]4店'!$B:$AB,27,0),"-")</f>
        <v>0.304849884526559</v>
      </c>
      <c r="AD53" s="92" t="str">
        <f t="shared" si="32"/>
        <v>-</v>
      </c>
      <c r="AE53" s="91">
        <f>IFERROR(SUMIF('4店辅助表'!T:T,B:B,'4店辅助表'!W:W)/SUMIF('4店辅助表'!T:T,B:B,'4店辅助表'!X:X),"-")</f>
        <v>0.657428791377983</v>
      </c>
      <c r="AF53" s="91">
        <f>IFERROR(SUMIF('4店辅助表'!AC:AC,B:B,'4店辅助表'!AF:AF)/SUMIF('4店辅助表'!AC:AC,B:B,'4店辅助表'!AG:AG),"-")</f>
        <v>1.10392609699769</v>
      </c>
      <c r="AG53" s="99">
        <f>IFERROR(AK53/((SUMIF('4店辅助表'!AT:AT,B:B,'4店辅助表'!AU:AU)+M53)/2),"-")</f>
        <v>0</v>
      </c>
      <c r="AH53" s="99">
        <f>IFERROR(AL53/((SUMIF('4店辅助表'!AW:AW,B:B,'4店辅助表'!AX:AX)+M53)/2),"-")</f>
        <v>0</v>
      </c>
      <c r="AI53" s="100" t="str">
        <f>IFERROR((SUMIF('4店辅助表'!AP:AP,B:B,'4店辅助表'!AR:AR)-SUMIF('4店辅助表'!AP:AP,B:B,'4店辅助表'!AR:AR)*0.15-(L53+IFERROR(VLOOKUP(B:B,'4店辅助表'!AZ:BA,2,0),0))*O53-IF(AN:AN="US",6.85,4.9)*(Z53+4.27*O53))/SUMIF('4店辅助表'!AP:AP,B:B,'4店辅助表'!AR:AR),"-")</f>
        <v>-</v>
      </c>
      <c r="AJ53" s="100" t="str">
        <f t="shared" si="33"/>
        <v>-</v>
      </c>
      <c r="AK53" s="101">
        <f t="shared" si="34"/>
        <v>0</v>
      </c>
      <c r="AL53" s="101">
        <f t="shared" si="35"/>
        <v>0</v>
      </c>
      <c r="AM53" s="1" t="str">
        <f>VLOOKUP(B:B,'4店辅助表'!AZ:AZ,1,FALSE)</f>
        <v>Y4036-DB</v>
      </c>
      <c r="AN53" t="str">
        <f>VLOOKUP(B:B,'4店辅助表'!AZ:BB,3,FALSE)</f>
        <v>US</v>
      </c>
    </row>
    <row r="54" customHeight="1" spans="1:40">
      <c r="A54" s="58" t="str">
        <f>INDEX('[1]4店'!$A:$A,MATCH(B:B,'[1]4店'!$B:$B,0))</f>
        <v>美珠</v>
      </c>
      <c r="B54" s="45" t="s">
        <v>1416</v>
      </c>
      <c r="C54" s="45" t="s">
        <v>1412</v>
      </c>
      <c r="D54" s="59">
        <f>VLOOKUP(B:B,'[1]4店'!$B:$L,3,0)</f>
        <v>44796</v>
      </c>
      <c r="E54" s="45" t="s">
        <v>1417</v>
      </c>
      <c r="F54" s="45">
        <v>11</v>
      </c>
      <c r="G54" s="45">
        <v>0</v>
      </c>
      <c r="H54" s="45">
        <v>1</v>
      </c>
      <c r="I54" s="45">
        <v>0</v>
      </c>
      <c r="J54" s="45">
        <v>0</v>
      </c>
      <c r="K54" s="63">
        <f t="shared" si="25"/>
        <v>12</v>
      </c>
      <c r="L54" s="64">
        <f>IFERROR(VLOOKUP($B:$B,'[1]4店'!$B:$L,11,FALSE),0)</f>
        <v>10</v>
      </c>
      <c r="M54" s="44">
        <f t="shared" si="24"/>
        <v>120</v>
      </c>
      <c r="N54" s="65">
        <f>IFERROR(VLOOKUP(B:B,'4店辅助表'!B:C,2,FALSE),0)</f>
        <v>1</v>
      </c>
      <c r="O54" s="65">
        <f>IFERROR(VLOOKUP(B:B,'4店辅助表'!E:F,2,FALSE),0)</f>
        <v>1</v>
      </c>
      <c r="P54" s="65">
        <f>IFERROR(VLOOKUP(B:B,'4店辅助表'!H:I,2,FALSE),0)</f>
        <v>1</v>
      </c>
      <c r="Q54" s="65">
        <f>IFERROR(VLOOKUP(B:B,'[1]4店'!$B:$N,13,FALSE),0)</f>
        <v>0</v>
      </c>
      <c r="R54" s="79">
        <f t="shared" si="26"/>
        <v>1</v>
      </c>
      <c r="S54" s="80">
        <f t="shared" si="27"/>
        <v>148.235294117647</v>
      </c>
      <c r="T54" s="44">
        <f t="shared" si="28"/>
        <v>4.94117647058824</v>
      </c>
      <c r="U54" s="44" t="str">
        <f>IFERROR(VLOOKUP($B:$B,'[1]4店'!$B:$T,19,0),"-")</f>
        <v>-</v>
      </c>
      <c r="V54" s="81" t="str">
        <f t="shared" si="29"/>
        <v>-</v>
      </c>
      <c r="W54" s="82" t="str">
        <f t="shared" si="30"/>
        <v>库存过高</v>
      </c>
      <c r="X54" s="83" t="str">
        <f t="shared" si="31"/>
        <v>库存过高</v>
      </c>
      <c r="Y54" s="44">
        <f>IFERROR(SUMIF('4店辅助表'!K:K,B:B,'4店辅助表'!N:N),0)</f>
        <v>4.06</v>
      </c>
      <c r="Z54" s="44">
        <f>IFERROR(SUMIF('4店辅助表'!T:T,B:B,'4店辅助表'!W:W),0)</f>
        <v>10.48</v>
      </c>
      <c r="AA54" s="44">
        <f>IFERROR(SUMIF('4店辅助表'!AC:AC,B:B,'4店辅助表'!AF:AF),0)</f>
        <v>19.48</v>
      </c>
      <c r="AB54" s="91">
        <f>IFERROR(SUMIF('4店辅助表'!K:K,B:B,'4店辅助表'!N:N)/SUMIF('4店辅助表'!K:K,B:B,'4店辅助表'!O:O),"-")</f>
        <v>0.312548113933795</v>
      </c>
      <c r="AC54" s="91" t="str">
        <f>IFERROR(VLOOKUP(B:B,'[1]4店'!$B:$AB,27,0),"-")</f>
        <v>-</v>
      </c>
      <c r="AD54" s="92" t="str">
        <f t="shared" si="32"/>
        <v>-</v>
      </c>
      <c r="AE54" s="91">
        <f>IFERROR(SUMIF('4店辅助表'!T:T,B:B,'4店辅助表'!W:W)/SUMIF('4店辅助表'!T:T,B:B,'4店辅助表'!X:X),"-")</f>
        <v>0.806774441878368</v>
      </c>
      <c r="AF54" s="91">
        <f>IFERROR(SUMIF('4店辅助表'!AC:AC,B:B,'4店辅助表'!AF:AF)/SUMIF('4店辅助表'!AC:AC,B:B,'4店辅助表'!AG:AG),"-")</f>
        <v>0.499871696176546</v>
      </c>
      <c r="AG54" s="99">
        <f>IFERROR(AK54/((SUMIF('4店辅助表'!AT:AT,B:B,'4店辅助表'!AU:AU)+M54)/2),"-")</f>
        <v>0.0833333333333333</v>
      </c>
      <c r="AH54" s="99">
        <f>IFERROR(AL54/((SUMIF('4店辅助表'!AW:AW,B:B,'4店辅助表'!AX:AX)+M54)/2),"-")</f>
        <v>0.0833333333333333</v>
      </c>
      <c r="AI54" s="100">
        <f>IFERROR((SUMIF('4店辅助表'!AP:AP,B:B,'4店辅助表'!AR:AR)-SUMIF('4店辅助表'!AP:AP,B:B,'4店辅助表'!AR:AR)*0.15-(L54+IFERROR(VLOOKUP(B:B,'4店辅助表'!AZ:BA,2,0),0))*O54-IF(AN:AN="US",6.85,4.9)*(Z54+4.27*O54))/SUMIF('4店辅助表'!AP:AP,B:B,'4店辅助表'!AR:AR),"-")</f>
        <v>-0.431328141242843</v>
      </c>
      <c r="AJ54" s="100">
        <f t="shared" si="33"/>
        <v>-0.0359440117702369</v>
      </c>
      <c r="AK54" s="101">
        <f t="shared" si="34"/>
        <v>10</v>
      </c>
      <c r="AL54" s="101">
        <f t="shared" si="35"/>
        <v>10</v>
      </c>
      <c r="AM54" s="1" t="str">
        <f>VLOOKUP(B:B,'4店辅助表'!AZ:AZ,1,FALSE)</f>
        <v>Y4036-OR</v>
      </c>
      <c r="AN54" t="str">
        <f>VLOOKUP(B:B,'4店辅助表'!AZ:BB,3,FALSE)</f>
        <v>US</v>
      </c>
    </row>
    <row r="55" customHeight="1" spans="1:40">
      <c r="A55" s="58" t="str">
        <f>INDEX('[1]4店'!$A:$A,MATCH(B:B,'[1]4店'!$B:$B,0))</f>
        <v>美珠</v>
      </c>
      <c r="B55" s="45" t="s">
        <v>1418</v>
      </c>
      <c r="C55" s="45" t="s">
        <v>1337</v>
      </c>
      <c r="D55" s="59">
        <f>VLOOKUP(B:B,'[1]4店'!$B:$L,3,0)</f>
        <v>44797</v>
      </c>
      <c r="E55" s="45" t="s">
        <v>1419</v>
      </c>
      <c r="F55" s="45">
        <v>26</v>
      </c>
      <c r="G55" s="45">
        <v>0</v>
      </c>
      <c r="H55" s="45">
        <v>0</v>
      </c>
      <c r="I55" s="45">
        <v>0</v>
      </c>
      <c r="J55" s="45">
        <v>0</v>
      </c>
      <c r="K55" s="63">
        <f t="shared" si="25"/>
        <v>26</v>
      </c>
      <c r="L55" s="64">
        <f>IFERROR(VLOOKUP($B:$B,'[1]4店'!$B:$L,11,FALSE),0)</f>
        <v>13.7</v>
      </c>
      <c r="M55" s="44">
        <f t="shared" si="24"/>
        <v>356.2</v>
      </c>
      <c r="N55" s="65">
        <f>IFERROR(VLOOKUP(B:B,'4店辅助表'!B:C,2,FALSE),0)</f>
        <v>0</v>
      </c>
      <c r="O55" s="65">
        <f>IFERROR(VLOOKUP(B:B,'4店辅助表'!E:F,2,FALSE),0)</f>
        <v>0</v>
      </c>
      <c r="P55" s="65">
        <f>IFERROR(VLOOKUP(B:B,'4店辅助表'!H:I,2,FALSE),0)</f>
        <v>1</v>
      </c>
      <c r="Q55" s="65">
        <f>IFERROR(VLOOKUP(B:B,'[1]4店'!$B:$N,13,FALSE),0)</f>
        <v>0</v>
      </c>
      <c r="R55" s="79">
        <f t="shared" si="26"/>
        <v>0</v>
      </c>
      <c r="S55" s="80">
        <f t="shared" si="27"/>
        <v>2340</v>
      </c>
      <c r="T55" s="44">
        <f t="shared" si="28"/>
        <v>78</v>
      </c>
      <c r="U55" s="44">
        <f>IFERROR(VLOOKUP($B:$B,'[1]4店'!$B:$T,19,0),"-")</f>
        <v>78</v>
      </c>
      <c r="V55" s="81">
        <f t="shared" si="29"/>
        <v>0</v>
      </c>
      <c r="W55" s="82" t="str">
        <f t="shared" si="30"/>
        <v>有库存无销量</v>
      </c>
      <c r="X55" s="83" t="str">
        <f t="shared" si="31"/>
        <v>库存过高</v>
      </c>
      <c r="Y55" s="44">
        <f>IFERROR(SUMIF('4店辅助表'!K:K,B:B,'4店辅助表'!N:N),0)</f>
        <v>0</v>
      </c>
      <c r="Z55" s="44">
        <f>IFERROR(SUMIF('4店辅助表'!T:T,B:B,'4店辅助表'!W:W),0)</f>
        <v>0</v>
      </c>
      <c r="AA55" s="44">
        <f>IFERROR(SUMIF('4店辅助表'!AC:AC,B:B,'4店辅助表'!AF:AF),0)</f>
        <v>0.69</v>
      </c>
      <c r="AB55" s="91" t="str">
        <f>IFERROR(SUMIF('4店辅助表'!K:K,B:B,'4店辅助表'!N:N)/SUMIF('4店辅助表'!K:K,B:B,'4店辅助表'!O:O),"-")</f>
        <v>-</v>
      </c>
      <c r="AC55" s="91" t="str">
        <f>IFERROR(VLOOKUP(B:B,'[1]4店'!$B:$AB,27,0),"-")</f>
        <v>-</v>
      </c>
      <c r="AD55" s="92" t="str">
        <f t="shared" si="32"/>
        <v>-</v>
      </c>
      <c r="AE55" s="91" t="str">
        <f>IFERROR(SUMIF('4店辅助表'!T:T,B:B,'4店辅助表'!W:W)/SUMIF('4店辅助表'!T:T,B:B,'4店辅助表'!X:X),"-")</f>
        <v>-</v>
      </c>
      <c r="AF55" s="91" t="str">
        <f>IFERROR(SUMIF('4店辅助表'!AC:AC,B:B,'4店辅助表'!AF:AF)/SUMIF('4店辅助表'!AC:AC,B:B,'4店辅助表'!AG:AG),"-")</f>
        <v>-</v>
      </c>
      <c r="AG55" s="99">
        <f>IFERROR(AK55/((SUMIF('4店辅助表'!AT:AT,B:B,'4店辅助表'!AU:AU)+M55)/2),"-")</f>
        <v>0</v>
      </c>
      <c r="AH55" s="99">
        <f>IFERROR(AL55/((SUMIF('4店辅助表'!AW:AW,B:B,'4店辅助表'!AX:AX)+M55)/2),"-")</f>
        <v>0</v>
      </c>
      <c r="AI55" s="100" t="str">
        <f>IFERROR((SUMIF('4店辅助表'!AP:AP,B:B,'4店辅助表'!AR:AR)-SUMIF('4店辅助表'!AP:AP,B:B,'4店辅助表'!AR:AR)*0.15-(L55+IFERROR(VLOOKUP(B:B,'4店辅助表'!AZ:BA,2,0),0))*O55-IF(AN:AN="US",6.85,4.9)*(Z55+4.27*O55))/SUMIF('4店辅助表'!AP:AP,B:B,'4店辅助表'!AR:AR),"-")</f>
        <v>-</v>
      </c>
      <c r="AJ55" s="100" t="str">
        <f t="shared" si="33"/>
        <v>-</v>
      </c>
      <c r="AK55" s="101">
        <f t="shared" si="34"/>
        <v>0</v>
      </c>
      <c r="AL55" s="101">
        <f t="shared" si="35"/>
        <v>0</v>
      </c>
      <c r="AM55" s="1" t="str">
        <f>VLOOKUP(B:B,'4店辅助表'!AZ:AZ,1,FALSE)</f>
        <v>Y4020-WI+Y4024+Y4028</v>
      </c>
      <c r="AN55" t="str">
        <f>VLOOKUP(B:B,'4店辅助表'!AZ:BB,3,FALSE)</f>
        <v>US</v>
      </c>
    </row>
    <row r="56" customHeight="1" spans="1:40">
      <c r="A56" s="58" t="str">
        <f>INDEX('[1]4店'!$A:$A,MATCH(B:B,'[1]4店'!$B:$B,0))</f>
        <v>美珠</v>
      </c>
      <c r="B56" s="45" t="s">
        <v>1420</v>
      </c>
      <c r="C56" s="45" t="s">
        <v>1421</v>
      </c>
      <c r="D56" s="59">
        <f>VLOOKUP(B:B,'[1]4店'!$B:$L,3,0)</f>
        <v>44797</v>
      </c>
      <c r="E56" s="45" t="s">
        <v>1422</v>
      </c>
      <c r="F56" s="45">
        <v>32</v>
      </c>
      <c r="G56" s="45">
        <v>0</v>
      </c>
      <c r="H56" s="45">
        <v>0</v>
      </c>
      <c r="I56" s="45">
        <v>0</v>
      </c>
      <c r="J56" s="45">
        <v>0</v>
      </c>
      <c r="K56" s="63">
        <f t="shared" si="25"/>
        <v>32</v>
      </c>
      <c r="L56" s="64">
        <f>IFERROR(VLOOKUP($B:$B,'[1]4店'!$B:$L,11,FALSE),0)</f>
        <v>13.7</v>
      </c>
      <c r="M56" s="44">
        <f t="shared" si="24"/>
        <v>438.4</v>
      </c>
      <c r="N56" s="65">
        <f>IFERROR(VLOOKUP(B:B,'4店辅助表'!B:C,2,FALSE),0)</f>
        <v>0</v>
      </c>
      <c r="O56" s="65">
        <f>IFERROR(VLOOKUP(B:B,'4店辅助表'!E:F,2,FALSE),0)</f>
        <v>1</v>
      </c>
      <c r="P56" s="65">
        <f>IFERROR(VLOOKUP(B:B,'4店辅助表'!H:I,2,FALSE),0)</f>
        <v>1</v>
      </c>
      <c r="Q56" s="65">
        <f>IFERROR(VLOOKUP(B:B,'[1]4店'!$B:$N,13,FALSE),0)</f>
        <v>1</v>
      </c>
      <c r="R56" s="79">
        <f t="shared" si="26"/>
        <v>-1</v>
      </c>
      <c r="S56" s="80">
        <f t="shared" si="27"/>
        <v>960</v>
      </c>
      <c r="T56" s="44">
        <f t="shared" si="28"/>
        <v>32</v>
      </c>
      <c r="U56" s="44">
        <f>IFERROR(VLOOKUP($B:$B,'[1]4店'!$B:$T,19,0),"-")</f>
        <v>13.1764705882353</v>
      </c>
      <c r="V56" s="81">
        <f t="shared" si="29"/>
        <v>18.8235294117647</v>
      </c>
      <c r="W56" s="82" t="str">
        <f t="shared" si="30"/>
        <v>有库存无销量</v>
      </c>
      <c r="X56" s="83" t="str">
        <f t="shared" si="31"/>
        <v>库存过高</v>
      </c>
      <c r="Y56" s="44">
        <f>IFERROR(SUMIF('4店辅助表'!K:K,B:B,'4店辅助表'!N:N),0)</f>
        <v>0</v>
      </c>
      <c r="Z56" s="44">
        <f>IFERROR(SUMIF('4店辅助表'!T:T,B:B,'4店辅助表'!W:W),0)</f>
        <v>0</v>
      </c>
      <c r="AA56" s="44">
        <f>IFERROR(SUMIF('4店辅助表'!AC:AC,B:B,'4店辅助表'!AF:AF),0)</f>
        <v>0</v>
      </c>
      <c r="AB56" s="91" t="str">
        <f>IFERROR(SUMIF('4店辅助表'!K:K,B:B,'4店辅助表'!N:N)/SUMIF('4店辅助表'!K:K,B:B,'4店辅助表'!O:O),"-")</f>
        <v>-</v>
      </c>
      <c r="AC56" s="91" t="str">
        <f>IFERROR(VLOOKUP(B:B,'[1]4店'!$B:$AB,27,0),"-")</f>
        <v>-</v>
      </c>
      <c r="AD56" s="92" t="str">
        <f t="shared" si="32"/>
        <v>-</v>
      </c>
      <c r="AE56" s="91" t="str">
        <f>IFERROR(SUMIF('4店辅助表'!T:T,B:B,'4店辅助表'!W:W)/SUMIF('4店辅助表'!T:T,B:B,'4店辅助表'!X:X),"-")</f>
        <v>-</v>
      </c>
      <c r="AF56" s="91" t="str">
        <f>IFERROR(SUMIF('4店辅助表'!AC:AC,B:B,'4店辅助表'!AF:AF)/SUMIF('4店辅助表'!AC:AC,B:B,'4店辅助表'!AG:AG),"-")</f>
        <v>-</v>
      </c>
      <c r="AG56" s="99">
        <f>IFERROR(AK56/((SUMIF('4店辅助表'!AT:AT,B:B,'4店辅助表'!AU:AU)+M56)/2),"-")</f>
        <v>0</v>
      </c>
      <c r="AH56" s="99">
        <f>IFERROR(AL56/((SUMIF('4店辅助表'!AW:AW,B:B,'4店辅助表'!AX:AX)+M56)/2),"-")</f>
        <v>0.0307692307692308</v>
      </c>
      <c r="AI56" s="100">
        <f>IFERROR((SUMIF('4店辅助表'!AP:AP,B:B,'4店辅助表'!AR:AR)-SUMIF('4店辅助表'!AP:AP,B:B,'4店辅助表'!AR:AR)*0.15-(L56+IFERROR(VLOOKUP(B:B,'4店辅助表'!AZ:BA,2,0),0))*O56-IF(AN:AN="US",6.85,4.9)*(Z56+4.27*O56))/SUMIF('4店辅助表'!AP:AP,B:B,'4店辅助表'!AR:AR),"-")</f>
        <v>0.308780757797969</v>
      </c>
      <c r="AJ56" s="100">
        <f t="shared" si="33"/>
        <v>0.00950094639378367</v>
      </c>
      <c r="AK56" s="101">
        <f t="shared" si="34"/>
        <v>0</v>
      </c>
      <c r="AL56" s="101">
        <f t="shared" si="35"/>
        <v>13.7</v>
      </c>
      <c r="AM56" s="1" t="str">
        <f>VLOOKUP(B:B,'4店辅助表'!AZ:AZ,1,FALSE)</f>
        <v>Y4021-WI+Y4025+Y4029</v>
      </c>
      <c r="AN56" t="str">
        <f>VLOOKUP(B:B,'4店辅助表'!AZ:BB,3,FALSE)</f>
        <v>US</v>
      </c>
    </row>
    <row r="57" customHeight="1" spans="1:40">
      <c r="A57" s="58" t="str">
        <f>INDEX('[1]4店'!$A:$A,MATCH(B:B,'[1]4店'!$B:$B,0))</f>
        <v>美珠</v>
      </c>
      <c r="B57" s="45" t="s">
        <v>1423</v>
      </c>
      <c r="C57" s="45" t="s">
        <v>1359</v>
      </c>
      <c r="D57" s="59">
        <f>VLOOKUP(B:B,'[1]4店'!$B:$L,3,0)</f>
        <v>44797</v>
      </c>
      <c r="E57" s="45" t="s">
        <v>1424</v>
      </c>
      <c r="F57" s="45">
        <v>39</v>
      </c>
      <c r="G57" s="45">
        <v>0</v>
      </c>
      <c r="H57" s="45">
        <v>0</v>
      </c>
      <c r="I57" s="45">
        <v>40</v>
      </c>
      <c r="J57" s="45">
        <v>0</v>
      </c>
      <c r="K57" s="63">
        <f t="shared" si="25"/>
        <v>79</v>
      </c>
      <c r="L57" s="64">
        <f>IFERROR(VLOOKUP($B:$B,'[1]4店'!$B:$L,11,FALSE),0)</f>
        <v>13.7</v>
      </c>
      <c r="M57" s="44">
        <f t="shared" si="24"/>
        <v>1082.3</v>
      </c>
      <c r="N57" s="65">
        <f>IFERROR(VLOOKUP(B:B,'4店辅助表'!B:C,2,FALSE),0)</f>
        <v>3</v>
      </c>
      <c r="O57" s="65">
        <f>IFERROR(VLOOKUP(B:B,'4店辅助表'!E:F,2,FALSE),0)</f>
        <v>6</v>
      </c>
      <c r="P57" s="65">
        <f>IFERROR(VLOOKUP(B:B,'4店辅助表'!H:I,2,FALSE),0)</f>
        <v>21</v>
      </c>
      <c r="Q57" s="65">
        <f>IFERROR(VLOOKUP(B:B,'[1]4店'!$B:$N,13,FALSE),0)</f>
        <v>4</v>
      </c>
      <c r="R57" s="79">
        <f t="shared" si="26"/>
        <v>-1</v>
      </c>
      <c r="S57" s="80">
        <f t="shared" si="27"/>
        <v>155.046728971963</v>
      </c>
      <c r="T57" s="44">
        <f t="shared" si="28"/>
        <v>5.16822429906542</v>
      </c>
      <c r="U57" s="44">
        <f>IFERROR(VLOOKUP($B:$B,'[1]4店'!$B:$T,19,0),"-")</f>
        <v>4.65435356200528</v>
      </c>
      <c r="V57" s="81">
        <f t="shared" si="29"/>
        <v>0.51387073706014</v>
      </c>
      <c r="W57" s="82" t="str">
        <f t="shared" si="30"/>
        <v>库存过高</v>
      </c>
      <c r="X57" s="83" t="str">
        <f t="shared" si="31"/>
        <v>库存过高</v>
      </c>
      <c r="Y57" s="44">
        <f>IFERROR(SUMIF('4店辅助表'!K:K,B:B,'4店辅助表'!N:N),0)</f>
        <v>0</v>
      </c>
      <c r="Z57" s="44">
        <f>IFERROR(SUMIF('4店辅助表'!T:T,B:B,'4店辅助表'!W:W),0)</f>
        <v>0</v>
      </c>
      <c r="AA57" s="44">
        <f>IFERROR(SUMIF('4店辅助表'!AC:AC,B:B,'4店辅助表'!AF:AF),0)</f>
        <v>0</v>
      </c>
      <c r="AB57" s="91" t="str">
        <f>IFERROR(SUMIF('4店辅助表'!K:K,B:B,'4店辅助表'!N:N)/SUMIF('4店辅助表'!K:K,B:B,'4店辅助表'!O:O),"-")</f>
        <v>-</v>
      </c>
      <c r="AC57" s="91" t="str">
        <f>IFERROR(VLOOKUP(B:B,'[1]4店'!$B:$AB,27,0),"-")</f>
        <v>-</v>
      </c>
      <c r="AD57" s="92" t="str">
        <f t="shared" si="32"/>
        <v>-</v>
      </c>
      <c r="AE57" s="91" t="str">
        <f>IFERROR(SUMIF('4店辅助表'!T:T,B:B,'4店辅助表'!W:W)/SUMIF('4店辅助表'!T:T,B:B,'4店辅助表'!X:X),"-")</f>
        <v>-</v>
      </c>
      <c r="AF57" s="91" t="str">
        <f>IFERROR(SUMIF('4店辅助表'!AC:AC,B:B,'4店辅助表'!AF:AF)/SUMIF('4店辅助表'!AC:AC,B:B,'4店辅助表'!AG:AG),"-")</f>
        <v>-</v>
      </c>
      <c r="AG57" s="99">
        <f>IFERROR(AK57/((SUMIF('4店辅助表'!AT:AT,B:B,'4店辅助表'!AU:AU)+M57)/2),"-")</f>
        <v>0.0368098159509202</v>
      </c>
      <c r="AH57" s="99">
        <f>IFERROR(AL57/((SUMIF('4店辅助表'!AW:AW,B:B,'4店辅助表'!AX:AX)+M57)/2),"-")</f>
        <v>0.0882352941176471</v>
      </c>
      <c r="AI57" s="100">
        <f>IFERROR((SUMIF('4店辅助表'!AP:AP,B:B,'4店辅助表'!AR:AR)-SUMIF('4店辅助表'!AP:AP,B:B,'4店辅助表'!AR:AR)*0.15-(L57+IFERROR(VLOOKUP(B:B,'4店辅助表'!AZ:BA,2,0),0))*O57-IF(AN:AN="US",6.85,4.9)*(Z57+4.27*O57))/SUMIF('4店辅助表'!AP:AP,B:B,'4店辅助表'!AR:AR),"-")</f>
        <v>0.295714922845351</v>
      </c>
      <c r="AJ57" s="100">
        <f t="shared" si="33"/>
        <v>0.0260924931922368</v>
      </c>
      <c r="AK57" s="101">
        <f t="shared" si="34"/>
        <v>41.1</v>
      </c>
      <c r="AL57" s="101">
        <f t="shared" si="35"/>
        <v>82.2</v>
      </c>
      <c r="AM57" s="1" t="str">
        <f>VLOOKUP(B:B,'4店辅助表'!AZ:AZ,1,FALSE)</f>
        <v>Y4022-WI+Y4026+Y4030</v>
      </c>
      <c r="AN57" t="str">
        <f>VLOOKUP(B:B,'4店辅助表'!AZ:BB,3,FALSE)</f>
        <v>US</v>
      </c>
    </row>
    <row r="58" customHeight="1" spans="1:40">
      <c r="A58" s="58" t="str">
        <f>INDEX('[1]4店'!$A:$A,MATCH(B:B,'[1]4店'!$B:$B,0))</f>
        <v>美珠</v>
      </c>
      <c r="B58" s="45" t="s">
        <v>1425</v>
      </c>
      <c r="C58" s="45" t="s">
        <v>1426</v>
      </c>
      <c r="D58" s="59">
        <f>VLOOKUP(B:B,'[1]4店'!$B:$L,3,0)</f>
        <v>44797</v>
      </c>
      <c r="E58" s="45" t="s">
        <v>1427</v>
      </c>
      <c r="F58" s="45">
        <v>18</v>
      </c>
      <c r="G58" s="45">
        <v>2</v>
      </c>
      <c r="H58" s="45">
        <v>0</v>
      </c>
      <c r="I58" s="45">
        <v>0</v>
      </c>
      <c r="J58" s="45">
        <v>0</v>
      </c>
      <c r="K58" s="63">
        <f t="shared" si="25"/>
        <v>20</v>
      </c>
      <c r="L58" s="64">
        <f>IFERROR(VLOOKUP($B:$B,'[1]4店'!$B:$L,11,FALSE),0)</f>
        <v>13.7</v>
      </c>
      <c r="M58" s="44">
        <f t="shared" si="24"/>
        <v>274</v>
      </c>
      <c r="N58" s="65">
        <f>IFERROR(VLOOKUP(B:B,'4店辅助表'!B:C,2,FALSE),0)</f>
        <v>4</v>
      </c>
      <c r="O58" s="65">
        <f>IFERROR(VLOOKUP(B:B,'4店辅助表'!E:F,2,FALSE),0)</f>
        <v>8</v>
      </c>
      <c r="P58" s="65">
        <f>IFERROR(VLOOKUP(B:B,'4店辅助表'!H:I,2,FALSE),0)</f>
        <v>17</v>
      </c>
      <c r="Q58" s="65">
        <f>IFERROR(VLOOKUP(B:B,'[1]4店'!$B:$N,13,FALSE),0)</f>
        <v>3</v>
      </c>
      <c r="R58" s="79">
        <f t="shared" si="26"/>
        <v>1</v>
      </c>
      <c r="S58" s="80">
        <f t="shared" si="27"/>
        <v>35.8974358974359</v>
      </c>
      <c r="T58" s="44">
        <f t="shared" si="28"/>
        <v>1.1965811965812</v>
      </c>
      <c r="U58" s="44">
        <f>IFERROR(VLOOKUP($B:$B,'[1]4店'!$B:$T,19,0),"-")</f>
        <v>1.47256097560976</v>
      </c>
      <c r="V58" s="81">
        <f t="shared" si="29"/>
        <v>-0.27597977902856</v>
      </c>
      <c r="W58" s="82" t="str">
        <f t="shared" si="30"/>
        <v>正常</v>
      </c>
      <c r="X58" s="83" t="str">
        <f t="shared" si="31"/>
        <v>正常</v>
      </c>
      <c r="Y58" s="44">
        <f>IFERROR(SUMIF('4店辅助表'!K:K,B:B,'4店辅助表'!N:N),0)</f>
        <v>7.11</v>
      </c>
      <c r="Z58" s="44">
        <f>IFERROR(SUMIF('4店辅助表'!T:T,B:B,'4店辅助表'!W:W),0)</f>
        <v>12.27</v>
      </c>
      <c r="AA58" s="44">
        <f>IFERROR(SUMIF('4店辅助表'!AC:AC,B:B,'4店辅助表'!AF:AF),0)</f>
        <v>27.46</v>
      </c>
      <c r="AB58" s="91" t="str">
        <f>IFERROR(SUMIF('4店辅助表'!K:K,B:B,'4店辅助表'!N:N)/SUMIF('4店辅助表'!K:K,B:B,'4店辅助表'!O:O),"-")</f>
        <v>-</v>
      </c>
      <c r="AC58" s="91">
        <f>IFERROR(VLOOKUP(B:B,'[1]4店'!$B:$AB,27,0),"-")</f>
        <v>0.361816782140108</v>
      </c>
      <c r="AD58" s="92" t="str">
        <f t="shared" si="32"/>
        <v>-</v>
      </c>
      <c r="AE58" s="91">
        <f>IFERROR(SUMIF('4店辅助表'!T:T,B:B,'4店辅助表'!W:W)/SUMIF('4店辅助表'!T:T,B:B,'4店辅助表'!X:X),"-")</f>
        <v>0.944572748267898</v>
      </c>
      <c r="AF58" s="91">
        <f>IFERROR(SUMIF('4店辅助表'!AC:AC,B:B,'4店辅助表'!AF:AF)/SUMIF('4店辅助表'!AC:AC,B:B,'4店辅助表'!AG:AG),"-")</f>
        <v>0.528483448806774</v>
      </c>
      <c r="AG58" s="99">
        <f>IFERROR(AK58/((SUMIF('4店辅助表'!AT:AT,B:B,'4店辅助表'!AU:AU)+M58)/2),"-")</f>
        <v>0.186046511627907</v>
      </c>
      <c r="AH58" s="99">
        <f>IFERROR(AL58/((SUMIF('4店辅助表'!AW:AW,B:B,'4店辅助表'!AX:AX)+M58)/2),"-")</f>
        <v>0.296296296296296</v>
      </c>
      <c r="AI58" s="100">
        <f>IFERROR((SUMIF('4店辅助表'!AP:AP,B:B,'4店辅助表'!AR:AR)-SUMIF('4店辅助表'!AP:AP,B:B,'4店辅助表'!AR:AR)*0.15-(L58+IFERROR(VLOOKUP(B:B,'4店辅助表'!AZ:BA,2,0),0))*O58-IF(AN:AN="US",6.85,4.9)*(Z58+4.27*O58))/SUMIF('4店辅助表'!AP:AP,B:B,'4店辅助表'!AR:AR),"-")</f>
        <v>0.205959525294584</v>
      </c>
      <c r="AJ58" s="100">
        <f t="shared" si="33"/>
        <v>0.0610250445317285</v>
      </c>
      <c r="AK58" s="101">
        <f t="shared" si="34"/>
        <v>54.8</v>
      </c>
      <c r="AL58" s="101">
        <f t="shared" si="35"/>
        <v>109.6</v>
      </c>
      <c r="AM58" s="1" t="str">
        <f>VLOOKUP(B:B,'4店辅助表'!AZ:AZ,1,FALSE)</f>
        <v>Y4023-WI+Y4027+Y4031</v>
      </c>
      <c r="AN58" t="str">
        <f>VLOOKUP(B:B,'4店辅助表'!AZ:BB,3,FALSE)</f>
        <v>US</v>
      </c>
    </row>
    <row r="59" customHeight="1" spans="1:40">
      <c r="A59" s="58" t="str">
        <f>INDEX('[1]4店'!$A:$A,MATCH(B:B,'[1]4店'!$B:$B,0))</f>
        <v>美珠</v>
      </c>
      <c r="B59" s="45" t="s">
        <v>1428</v>
      </c>
      <c r="C59" s="45" t="s">
        <v>1429</v>
      </c>
      <c r="D59" s="59"/>
      <c r="E59" s="45" t="s">
        <v>1430</v>
      </c>
      <c r="F59" s="45">
        <v>1</v>
      </c>
      <c r="G59" s="45">
        <v>0</v>
      </c>
      <c r="H59" s="45">
        <v>0</v>
      </c>
      <c r="I59" s="45">
        <v>0</v>
      </c>
      <c r="J59" s="45">
        <v>0</v>
      </c>
      <c r="K59" s="63">
        <f t="shared" si="25"/>
        <v>1</v>
      </c>
      <c r="L59" s="64">
        <v>11</v>
      </c>
      <c r="M59" s="44">
        <f t="shared" si="24"/>
        <v>11</v>
      </c>
      <c r="N59" s="65">
        <f>IFERROR(VLOOKUP(B:B,'4店辅助表'!B:C,2,FALSE),0)</f>
        <v>0</v>
      </c>
      <c r="O59" s="65">
        <f>IFERROR(VLOOKUP(B:B,'4店辅助表'!E:F,2,FALSE),0)</f>
        <v>0</v>
      </c>
      <c r="P59" s="65">
        <f>IFERROR(VLOOKUP(B:B,'4店辅助表'!H:I,2,FALSE),0)</f>
        <v>0</v>
      </c>
      <c r="Q59" s="65">
        <f>IFERROR(VLOOKUP(B:B,'[1]4店'!$B:$N,13,FALSE),0)</f>
        <v>0</v>
      </c>
      <c r="R59" s="79">
        <f t="shared" si="26"/>
        <v>0</v>
      </c>
      <c r="S59" s="80" t="str">
        <f t="shared" si="27"/>
        <v>-</v>
      </c>
      <c r="T59" s="44" t="str">
        <f t="shared" si="28"/>
        <v>-</v>
      </c>
      <c r="U59" s="44" t="str">
        <f>IFERROR(VLOOKUP($B:$B,'[1]4店'!$B:$T,19,0),"-")</f>
        <v>-</v>
      </c>
      <c r="V59" s="81" t="str">
        <f t="shared" si="29"/>
        <v>-</v>
      </c>
      <c r="W59" s="82" t="str">
        <f t="shared" si="30"/>
        <v>有库存无销量</v>
      </c>
      <c r="X59" s="83" t="str">
        <f t="shared" si="31"/>
        <v>有库存无销量</v>
      </c>
      <c r="Y59" s="44">
        <f>IFERROR(SUMIF('4店辅助表'!K:K,B:B,'4店辅助表'!N:N),0)</f>
        <v>0</v>
      </c>
      <c r="Z59" s="44">
        <f>IFERROR(SUMIF('4店辅助表'!T:T,B:B,'4店辅助表'!W:W),0)</f>
        <v>0</v>
      </c>
      <c r="AA59" s="44">
        <f>IFERROR(SUMIF('4店辅助表'!AC:AC,B:B,'4店辅助表'!AF:AF),0)</f>
        <v>0</v>
      </c>
      <c r="AB59" s="91" t="str">
        <f>IFERROR(SUMIF('4店辅助表'!K:K,B:B,'4店辅助表'!N:N)/SUMIF('4店辅助表'!K:K,B:B,'4店辅助表'!O:O),"-")</f>
        <v>-</v>
      </c>
      <c r="AC59" s="91" t="str">
        <f>IFERROR(VLOOKUP(B:B,'[1]4店'!$B:$AB,27,0),"-")</f>
        <v>-</v>
      </c>
      <c r="AD59" s="92" t="str">
        <f t="shared" si="32"/>
        <v>-</v>
      </c>
      <c r="AE59" s="91" t="str">
        <f>IFERROR(SUMIF('4店辅助表'!T:T,B:B,'4店辅助表'!W:W)/SUMIF('4店辅助表'!T:T,B:B,'4店辅助表'!X:X),"-")</f>
        <v>-</v>
      </c>
      <c r="AF59" s="91" t="str">
        <f>IFERROR(SUMIF('4店辅助表'!AC:AC,B:B,'4店辅助表'!AF:AF)/SUMIF('4店辅助表'!AC:AC,B:B,'4店辅助表'!AG:AG),"-")</f>
        <v>-</v>
      </c>
      <c r="AG59" s="99">
        <f>IFERROR(AK59/((SUMIF('4店辅助表'!AT:AT,B:B,'4店辅助表'!AU:AU)+M59)/2),"-")</f>
        <v>0</v>
      </c>
      <c r="AH59" s="99">
        <f>IFERROR(AL59/((SUMIF('4店辅助表'!AW:AW,B:B,'4店辅助表'!AX:AX)+M59)/2),"-")</f>
        <v>0</v>
      </c>
      <c r="AI59" s="100" t="str">
        <f>IFERROR((SUMIF('4店辅助表'!AP:AP,B:B,'4店辅助表'!AR:AR)-SUMIF('4店辅助表'!AP:AP,B:B,'4店辅助表'!AR:AR)*0.15-(L59+IFERROR(VLOOKUP(B:B,'4店辅助表'!AZ:BA,2,0),0))*O59-IF(AN:AN="US",6.85,4.9)*(Z59+4.27*O59))/SUMIF('4店辅助表'!AP:AP,B:B,'4店辅助表'!AR:AR),"-")</f>
        <v>-</v>
      </c>
      <c r="AJ59" s="100" t="str">
        <f t="shared" si="33"/>
        <v>-</v>
      </c>
      <c r="AK59" s="101">
        <f t="shared" si="34"/>
        <v>0</v>
      </c>
      <c r="AL59" s="101">
        <f t="shared" si="35"/>
        <v>0</v>
      </c>
      <c r="AM59" s="1" t="str">
        <f>VLOOKUP(B:B,'4店辅助表'!AZ:AZ,1,FALSE)</f>
        <v>Y4038-DB</v>
      </c>
      <c r="AN59" t="str">
        <f>VLOOKUP(B:B,'4店辅助表'!AZ:BB,3,FALSE)</f>
        <v>US</v>
      </c>
    </row>
    <row r="60" customHeight="1" spans="1:40">
      <c r="A60" s="58" t="s">
        <v>1431</v>
      </c>
      <c r="B60" s="45" t="s">
        <v>1432</v>
      </c>
      <c r="C60" s="45" t="s">
        <v>1429</v>
      </c>
      <c r="D60" s="59">
        <v>44796</v>
      </c>
      <c r="E60" s="45" t="s">
        <v>1433</v>
      </c>
      <c r="F60" s="45">
        <v>1</v>
      </c>
      <c r="G60" s="45">
        <v>0</v>
      </c>
      <c r="H60" s="45">
        <v>0</v>
      </c>
      <c r="I60" s="45">
        <v>0</v>
      </c>
      <c r="J60" s="45">
        <v>0</v>
      </c>
      <c r="K60" s="63">
        <f t="shared" si="25"/>
        <v>1</v>
      </c>
      <c r="L60" s="64">
        <v>11</v>
      </c>
      <c r="M60" s="44">
        <f t="shared" si="24"/>
        <v>11</v>
      </c>
      <c r="N60" s="65">
        <f>IFERROR(VLOOKUP(B:B,'4店辅助表'!B:C,2,FALSE),0)</f>
        <v>0</v>
      </c>
      <c r="O60" s="65">
        <f>IFERROR(VLOOKUP(B:B,'4店辅助表'!E:F,2,FALSE),0)</f>
        <v>0</v>
      </c>
      <c r="P60" s="65">
        <f>IFERROR(VLOOKUP(B:B,'4店辅助表'!H:I,2,FALSE),0)</f>
        <v>0</v>
      </c>
      <c r="Q60" s="65">
        <f>IFERROR(VLOOKUP(B:B,'[1]4店'!$B:$N,13,FALSE),0)</f>
        <v>0</v>
      </c>
      <c r="R60" s="79">
        <f t="shared" si="26"/>
        <v>0</v>
      </c>
      <c r="S60" s="80" t="str">
        <f t="shared" si="27"/>
        <v>-</v>
      </c>
      <c r="T60" s="44" t="str">
        <f t="shared" si="28"/>
        <v>-</v>
      </c>
      <c r="U60" s="44" t="str">
        <f>IFERROR(VLOOKUP($B:$B,'[1]4店'!$B:$T,19,0),"-")</f>
        <v>-</v>
      </c>
      <c r="V60" s="81" t="str">
        <f t="shared" si="29"/>
        <v>-</v>
      </c>
      <c r="W60" s="82" t="str">
        <f t="shared" si="30"/>
        <v>有库存无销量</v>
      </c>
      <c r="X60" s="83" t="str">
        <f t="shared" si="31"/>
        <v>有库存无销量</v>
      </c>
      <c r="Y60" s="44">
        <f>IFERROR(SUMIF('4店辅助表'!K:K,B:B,'4店辅助表'!N:N),0)</f>
        <v>0</v>
      </c>
      <c r="Z60" s="44">
        <f>IFERROR(SUMIF('4店辅助表'!T:T,B:B,'4店辅助表'!W:W),0)</f>
        <v>0</v>
      </c>
      <c r="AA60" s="44">
        <f>IFERROR(SUMIF('4店辅助表'!AC:AC,B:B,'4店辅助表'!AF:AF),0)</f>
        <v>0</v>
      </c>
      <c r="AB60" s="91" t="str">
        <f>IFERROR(SUMIF('4店辅助表'!K:K,B:B,'4店辅助表'!N:N)/SUMIF('4店辅助表'!K:K,B:B,'4店辅助表'!O:O),"-")</f>
        <v>-</v>
      </c>
      <c r="AC60" s="91" t="str">
        <f>IFERROR(VLOOKUP(B:B,'[1]4店'!$B:$AB,27,0),"-")</f>
        <v>-</v>
      </c>
      <c r="AD60" s="92" t="str">
        <f t="shared" si="32"/>
        <v>-</v>
      </c>
      <c r="AE60" s="91" t="str">
        <f>IFERROR(SUMIF('4店辅助表'!T:T,B:B,'4店辅助表'!W:W)/SUMIF('4店辅助表'!T:T,B:B,'4店辅助表'!X:X),"-")</f>
        <v>-</v>
      </c>
      <c r="AF60" s="91" t="str">
        <f>IFERROR(SUMIF('4店辅助表'!AC:AC,B:B,'4店辅助表'!AF:AF)/SUMIF('4店辅助表'!AC:AC,B:B,'4店辅助表'!AG:AG),"-")</f>
        <v>-</v>
      </c>
      <c r="AG60" s="99">
        <f>IFERROR(AK60/((SUMIF('4店辅助表'!AT:AT,B:B,'4店辅助表'!AU:AU)+M60)/2),"-")</f>
        <v>0</v>
      </c>
      <c r="AH60" s="99">
        <f>IFERROR(AL60/((SUMIF('4店辅助表'!AW:AW,B:B,'4店辅助表'!AX:AX)+M60)/2),"-")</f>
        <v>0</v>
      </c>
      <c r="AI60" s="100" t="str">
        <f>IFERROR((SUMIF('4店辅助表'!AP:AP,B:B,'4店辅助表'!AR:AR)-SUMIF('4店辅助表'!AP:AP,B:B,'4店辅助表'!AR:AR)*0.15-(L60+IFERROR(VLOOKUP(B:B,'4店辅助表'!AZ:BA,2,0),0))*O60-IF(AN:AN="US",6.85,4.9)*(Z60+4.27*O60))/SUMIF('4店辅助表'!AP:AP,B:B,'4店辅助表'!AR:AR),"-")</f>
        <v>-</v>
      </c>
      <c r="AJ60" s="100" t="str">
        <f t="shared" si="33"/>
        <v>-</v>
      </c>
      <c r="AK60" s="101">
        <f t="shared" si="34"/>
        <v>0</v>
      </c>
      <c r="AL60" s="101">
        <f t="shared" si="35"/>
        <v>0</v>
      </c>
      <c r="AM60" s="1" t="str">
        <f>VLOOKUP(B:B,'4店辅助表'!AZ:AZ,1,FALSE)</f>
        <v>Y4038-OR</v>
      </c>
      <c r="AN60" t="str">
        <f>VLOOKUP(B:B,'4店辅助表'!AZ:BB,3,FALSE)</f>
        <v>US</v>
      </c>
    </row>
    <row r="61" customHeight="1" spans="1:40">
      <c r="A61" s="58" t="str">
        <f>INDEX('[1]4店'!$A:$A,MATCH(B:B,'[1]4店'!$B:$B,0))</f>
        <v>美珠</v>
      </c>
      <c r="B61" s="45" t="s">
        <v>1434</v>
      </c>
      <c r="C61" s="45" t="s">
        <v>1435</v>
      </c>
      <c r="D61" s="59">
        <f>VLOOKUP(B:B,'[1]4店'!$B:$L,3,0)</f>
        <v>44834</v>
      </c>
      <c r="E61" s="45" t="s">
        <v>1436</v>
      </c>
      <c r="F61" s="45">
        <v>29</v>
      </c>
      <c r="G61" s="45">
        <v>0</v>
      </c>
      <c r="H61" s="45">
        <v>0</v>
      </c>
      <c r="I61" s="45">
        <v>0</v>
      </c>
      <c r="J61" s="45">
        <v>0</v>
      </c>
      <c r="K61" s="63">
        <f t="shared" si="25"/>
        <v>29</v>
      </c>
      <c r="L61" s="64">
        <v>11</v>
      </c>
      <c r="M61" s="44">
        <f t="shared" si="24"/>
        <v>319</v>
      </c>
      <c r="N61" s="65">
        <f>IFERROR(VLOOKUP(B:B,'4店辅助表'!B:C,2,FALSE),0)</f>
        <v>4</v>
      </c>
      <c r="O61" s="65">
        <f>IFERROR(VLOOKUP(B:B,'4店辅助表'!E:F,2,FALSE),0)</f>
        <v>11</v>
      </c>
      <c r="P61" s="65">
        <f>IFERROR(VLOOKUP(B:B,'4店辅助表'!H:I,2,FALSE),0)</f>
        <v>36</v>
      </c>
      <c r="Q61" s="65">
        <f>IFERROR(VLOOKUP(B:B,'[1]4店'!$B:$N,13,FALSE),0)</f>
        <v>6</v>
      </c>
      <c r="R61" s="79">
        <f t="shared" si="26"/>
        <v>-2</v>
      </c>
      <c r="S61" s="80">
        <f t="shared" si="27"/>
        <v>34.7338403041825</v>
      </c>
      <c r="T61" s="44">
        <f t="shared" si="28"/>
        <v>1.15779467680608</v>
      </c>
      <c r="U61" s="44">
        <f>IFERROR(VLOOKUP($B:$B,'[1]4店'!$B:$T,19,0),"-")</f>
        <v>0.965834428383706</v>
      </c>
      <c r="V61" s="81">
        <f t="shared" si="29"/>
        <v>0.191960248422374</v>
      </c>
      <c r="W61" s="82" t="str">
        <f t="shared" si="30"/>
        <v>库存过高</v>
      </c>
      <c r="X61" s="83" t="str">
        <f t="shared" si="31"/>
        <v>正常</v>
      </c>
      <c r="Y61" s="44">
        <f>IFERROR(SUMIF('4店辅助表'!K:K,B:B,'4店辅助表'!N:N),0)</f>
        <v>0</v>
      </c>
      <c r="Z61" s="44">
        <f>IFERROR(SUMIF('4店辅助表'!T:T,B:B,'4店辅助表'!W:W),0)</f>
        <v>0.78</v>
      </c>
      <c r="AA61" s="44">
        <f>IFERROR(SUMIF('4店辅助表'!AC:AC,B:B,'4店辅助表'!AF:AF),0)</f>
        <v>1.15</v>
      </c>
      <c r="AB61" s="91" t="str">
        <f>IFERROR(SUMIF('4店辅助表'!K:K,B:B,'4店辅助表'!N:N)/SUMIF('4店辅助表'!K:K,B:B,'4店辅助表'!O:O),"-")</f>
        <v>-</v>
      </c>
      <c r="AC61" s="91" t="str">
        <f>IFERROR(VLOOKUP(B:B,'[1]4店'!$B:$AB,27,0),"-")</f>
        <v>-</v>
      </c>
      <c r="AD61" s="92" t="str">
        <f t="shared" si="32"/>
        <v>-</v>
      </c>
      <c r="AE61" s="91">
        <f>IFERROR(SUMIF('4店辅助表'!T:T,B:B,'4店辅助表'!W:W)/SUMIF('4店辅助表'!T:T,B:B,'4店辅助表'!X:X),"-")</f>
        <v>0.0600461893764434</v>
      </c>
      <c r="AF61" s="91">
        <f>IFERROR(SUMIF('4店辅助表'!AC:AC,B:B,'4店辅助表'!AF:AF)/SUMIF('4店辅助表'!AC:AC,B:B,'4店辅助表'!AG:AG),"-")</f>
        <v>0.0885296381832179</v>
      </c>
      <c r="AG61" s="99">
        <f>IFERROR(AK61/((SUMIF('4店辅助表'!AT:AT,B:B,'4店辅助表'!AU:AU)+M61)/2),"-")</f>
        <v>0.125</v>
      </c>
      <c r="AH61" s="99">
        <f>IFERROR(AL61/((SUMIF('4店辅助表'!AW:AW,B:B,'4店辅助表'!AX:AX)+M61)/2),"-")</f>
        <v>0.234042553191489</v>
      </c>
      <c r="AI61" s="100">
        <f>IFERROR((SUMIF('4店辅助表'!AP:AP,B:B,'4店辅助表'!AR:AR)-SUMIF('4店辅助表'!AP:AP,B:B,'4店辅助表'!AR:AR)*0.15-(L61+IFERROR(VLOOKUP(B:B,'4店辅助表'!AZ:BA,2,0),0))*O61-IF(AN:AN="US",6.85,4.9)*(Z61+4.27*O61))/SUMIF('4店辅助表'!AP:AP,B:B,'4店辅助表'!AR:AR),"-")</f>
        <v>0.344330537553005</v>
      </c>
      <c r="AJ61" s="100">
        <f t="shared" si="33"/>
        <v>0.0805879981507033</v>
      </c>
      <c r="AK61" s="101">
        <f t="shared" si="34"/>
        <v>44</v>
      </c>
      <c r="AL61" s="101">
        <f t="shared" si="35"/>
        <v>121</v>
      </c>
      <c r="AM61" s="1" t="str">
        <f>VLOOKUP(B:B,'4店辅助表'!AZ:AZ,1,FALSE)</f>
        <v>Y4040-BL+Y4043</v>
      </c>
      <c r="AN61" t="str">
        <f>VLOOKUP(B:B,'4店辅助表'!AZ:BB,3,FALSE)</f>
        <v>US</v>
      </c>
    </row>
    <row r="62" customHeight="1" spans="1:40">
      <c r="A62" s="58" t="str">
        <f>INDEX('[1]4店'!$A:$A,MATCH(B:B,'[1]4店'!$B:$B,0))</f>
        <v>美珠</v>
      </c>
      <c r="B62" s="45" t="s">
        <v>1437</v>
      </c>
      <c r="C62" s="45" t="s">
        <v>1435</v>
      </c>
      <c r="D62" s="59">
        <f>VLOOKUP(B:B,'[1]4店'!$B:$L,3,0)</f>
        <v>44834</v>
      </c>
      <c r="E62" s="45" t="s">
        <v>1438</v>
      </c>
      <c r="F62" s="45">
        <v>28</v>
      </c>
      <c r="G62" s="45">
        <v>0</v>
      </c>
      <c r="H62" s="45">
        <v>8</v>
      </c>
      <c r="I62" s="45">
        <v>0</v>
      </c>
      <c r="J62" s="45">
        <v>0</v>
      </c>
      <c r="K62" s="63">
        <f t="shared" si="25"/>
        <v>36</v>
      </c>
      <c r="L62" s="64">
        <v>11</v>
      </c>
      <c r="M62" s="44">
        <f t="shared" si="24"/>
        <v>396</v>
      </c>
      <c r="N62" s="65">
        <f>IFERROR(VLOOKUP(B:B,'4店辅助表'!B:C,2,FALSE),0)</f>
        <v>3</v>
      </c>
      <c r="O62" s="65">
        <f>IFERROR(VLOOKUP(B:B,'4店辅助表'!E:F,2,FALSE),0)</f>
        <v>10</v>
      </c>
      <c r="P62" s="65">
        <f>IFERROR(VLOOKUP(B:B,'4店辅助表'!H:I,2,FALSE),0)</f>
        <v>19</v>
      </c>
      <c r="Q62" s="65">
        <f>IFERROR(VLOOKUP(B:B,'[1]4店'!$B:$N,13,FALSE),0)</f>
        <v>5</v>
      </c>
      <c r="R62" s="79">
        <f t="shared" si="26"/>
        <v>-2</v>
      </c>
      <c r="S62" s="80">
        <f t="shared" si="27"/>
        <v>62.4793388429752</v>
      </c>
      <c r="T62" s="44">
        <f t="shared" si="28"/>
        <v>2.08264462809917</v>
      </c>
      <c r="U62" s="44">
        <f>IFERROR(VLOOKUP($B:$B,'[1]4店'!$B:$T,19,0),"-")</f>
        <v>1.70126582278481</v>
      </c>
      <c r="V62" s="81">
        <f t="shared" si="29"/>
        <v>0.38137880531436</v>
      </c>
      <c r="W62" s="82" t="str">
        <f t="shared" si="30"/>
        <v>库存过高</v>
      </c>
      <c r="X62" s="83" t="str">
        <f t="shared" si="31"/>
        <v>库存过高</v>
      </c>
      <c r="Y62" s="44">
        <f>IFERROR(SUMIF('4店辅助表'!K:K,B:B,'4店辅助表'!N:N),0)</f>
        <v>11.46</v>
      </c>
      <c r="Z62" s="44">
        <f>IFERROR(SUMIF('4店辅助表'!T:T,B:B,'4店辅助表'!W:W),0)</f>
        <v>25.08</v>
      </c>
      <c r="AA62" s="44">
        <f>IFERROR(SUMIF('4店辅助表'!AC:AC,B:B,'4店辅助表'!AF:AF),0)</f>
        <v>48.22</v>
      </c>
      <c r="AB62" s="91">
        <f>IFERROR(SUMIF('4店辅助表'!K:K,B:B,'4店辅助表'!N:N)/SUMIF('4店辅助表'!K:K,B:B,'4店辅助表'!O:O),"-")</f>
        <v>0.882217090069284</v>
      </c>
      <c r="AC62" s="91">
        <f>IFERROR(VLOOKUP(B:B,'[1]4店'!$B:$AB,27,0),"-")</f>
        <v>0.246196957566053</v>
      </c>
      <c r="AD62" s="92">
        <f t="shared" si="32"/>
        <v>0.636020132503231</v>
      </c>
      <c r="AE62" s="91">
        <f>IFERROR(SUMIF('4店辅助表'!T:T,B:B,'4店辅助表'!W:W)/SUMIF('4店辅助表'!T:T,B:B,'4店辅助表'!X:X),"-")</f>
        <v>0.330260732156966</v>
      </c>
      <c r="AF62" s="91">
        <f>IFERROR(SUMIF('4店辅助表'!AC:AC,B:B,'4店辅助表'!AF:AF)/SUMIF('4店辅助表'!AC:AC,B:B,'4店辅助表'!AG:AG),"-")</f>
        <v>0.313361060566675</v>
      </c>
      <c r="AG62" s="99">
        <f>IFERROR(AK62/((SUMIF('4店辅助表'!AT:AT,B:B,'4店辅助表'!AU:AU)+M62)/2),"-")</f>
        <v>0.0882352941176471</v>
      </c>
      <c r="AH62" s="99">
        <f>IFERROR(AL62/((SUMIF('4店辅助表'!AW:AW,B:B,'4店辅助表'!AX:AX)+M62)/2),"-")</f>
        <v>0.253164556962025</v>
      </c>
      <c r="AI62" s="100">
        <f>IFERROR((SUMIF('4店辅助表'!AP:AP,B:B,'4店辅助表'!AR:AR)-SUMIF('4店辅助表'!AP:AP,B:B,'4店辅助表'!AR:AR)*0.15-(L62+IFERROR(VLOOKUP(B:B,'4店辅助表'!AZ:BA,2,0),0))*O62-IF(AN:AN="US",6.85,4.9)*(Z62+4.27*O62))/SUMIF('4店辅助表'!AP:AP,B:B,'4店辅助表'!AR:AR),"-")</f>
        <v>0.147520302699988</v>
      </c>
      <c r="AJ62" s="100">
        <f t="shared" si="33"/>
        <v>0.0373469120759464</v>
      </c>
      <c r="AK62" s="101">
        <f t="shared" si="34"/>
        <v>33</v>
      </c>
      <c r="AL62" s="101">
        <f t="shared" si="35"/>
        <v>110</v>
      </c>
      <c r="AM62" s="1" t="str">
        <f>VLOOKUP(B:B,'4店辅助表'!AZ:AZ,1,FALSE)</f>
        <v>Y4040-DB+Y4043</v>
      </c>
      <c r="AN62" t="str">
        <f>VLOOKUP(B:B,'4店辅助表'!AZ:BB,3,FALSE)</f>
        <v>US</v>
      </c>
    </row>
    <row r="63" customHeight="1" spans="1:40">
      <c r="A63" s="58" t="str">
        <f>INDEX('[1]4店'!$A:$A,MATCH(B:B,'[1]4店'!$B:$B,0))</f>
        <v>美珠</v>
      </c>
      <c r="B63" s="45" t="s">
        <v>1439</v>
      </c>
      <c r="C63" s="45" t="s">
        <v>1440</v>
      </c>
      <c r="D63" s="59">
        <f>VLOOKUP(B:B,'[1]4店'!$B:$L,3,0)</f>
        <v>44834</v>
      </c>
      <c r="E63" s="45" t="s">
        <v>1441</v>
      </c>
      <c r="F63" s="45">
        <v>30</v>
      </c>
      <c r="G63" s="45">
        <v>0</v>
      </c>
      <c r="H63" s="45">
        <v>0</v>
      </c>
      <c r="I63" s="45">
        <v>25</v>
      </c>
      <c r="J63" s="45">
        <v>0</v>
      </c>
      <c r="K63" s="63">
        <f t="shared" si="25"/>
        <v>55</v>
      </c>
      <c r="L63" s="64">
        <v>11</v>
      </c>
      <c r="M63" s="44">
        <f t="shared" si="24"/>
        <v>605</v>
      </c>
      <c r="N63" s="65">
        <f>IFERROR(VLOOKUP(B:B,'4店辅助表'!B:C,2,FALSE),0)</f>
        <v>4</v>
      </c>
      <c r="O63" s="65">
        <f>IFERROR(VLOOKUP(B:B,'4店辅助表'!E:F,2,FALSE),0)</f>
        <v>5</v>
      </c>
      <c r="P63" s="65">
        <f>IFERROR(VLOOKUP(B:B,'4店辅助表'!H:I,2,FALSE),0)</f>
        <v>8</v>
      </c>
      <c r="Q63" s="65">
        <f>IFERROR(VLOOKUP(B:B,'[1]4店'!$B:$N,13,FALSE),0)</f>
        <v>1</v>
      </c>
      <c r="R63" s="79">
        <f t="shared" si="26"/>
        <v>3</v>
      </c>
      <c r="S63" s="80">
        <f t="shared" si="27"/>
        <v>140.853658536585</v>
      </c>
      <c r="T63" s="44">
        <f t="shared" si="28"/>
        <v>4.69512195121951</v>
      </c>
      <c r="U63" s="44">
        <f>IFERROR(VLOOKUP($B:$B,'[1]4店'!$B:$T,19,0),"-")</f>
        <v>10.0661157024793</v>
      </c>
      <c r="V63" s="81">
        <f t="shared" si="29"/>
        <v>-5.37099375125979</v>
      </c>
      <c r="W63" s="82" t="str">
        <f t="shared" si="30"/>
        <v>库存过高</v>
      </c>
      <c r="X63" s="83" t="str">
        <f t="shared" si="31"/>
        <v>库存过高</v>
      </c>
      <c r="Y63" s="44">
        <f>IFERROR(SUMIF('4店辅助表'!K:K,B:B,'4店辅助表'!N:N),0)</f>
        <v>0</v>
      </c>
      <c r="Z63" s="44">
        <f>IFERROR(SUMIF('4店辅助表'!T:T,B:B,'4店辅助表'!W:W),0)</f>
        <v>0</v>
      </c>
      <c r="AA63" s="44">
        <f>IFERROR(SUMIF('4店辅助表'!AC:AC,B:B,'4店辅助表'!AF:AF),0)</f>
        <v>0</v>
      </c>
      <c r="AB63" s="91" t="str">
        <f>IFERROR(SUMIF('4店辅助表'!K:K,B:B,'4店辅助表'!N:N)/SUMIF('4店辅助表'!K:K,B:B,'4店辅助表'!O:O),"-")</f>
        <v>-</v>
      </c>
      <c r="AC63" s="91" t="str">
        <f>IFERROR(VLOOKUP(B:B,'[1]4店'!$B:$AB,27,0),"-")</f>
        <v>-</v>
      </c>
      <c r="AD63" s="92" t="str">
        <f t="shared" si="32"/>
        <v>-</v>
      </c>
      <c r="AE63" s="91" t="str">
        <f>IFERROR(SUMIF('4店辅助表'!T:T,B:B,'4店辅助表'!W:W)/SUMIF('4店辅助表'!T:T,B:B,'4店辅助表'!X:X),"-")</f>
        <v>-</v>
      </c>
      <c r="AF63" s="91" t="str">
        <f>IFERROR(SUMIF('4店辅助表'!AC:AC,B:B,'4店辅助表'!AF:AF)/SUMIF('4店辅助表'!AC:AC,B:B,'4店辅助表'!AG:AG),"-")</f>
        <v>-</v>
      </c>
      <c r="AG63" s="99">
        <f>IFERROR(AK63/((SUMIF('4店辅助表'!AT:AT,B:B,'4店辅助表'!AU:AU)+M63)/2),"-")</f>
        <v>0.0707964601769911</v>
      </c>
      <c r="AH63" s="99">
        <f>IFERROR(AL63/((SUMIF('4店辅助表'!AW:AW,B:B,'4店辅助表'!AX:AX)+M63)/2),"-")</f>
        <v>0.178571428571429</v>
      </c>
      <c r="AI63" s="100">
        <f>IFERROR((SUMIF('4店辅助表'!AP:AP,B:B,'4店辅助表'!AR:AR)-SUMIF('4店辅助表'!AP:AP,B:B,'4店辅助表'!AR:AR)*0.15-(L63+IFERROR(VLOOKUP(B:B,'4店辅助表'!AZ:BA,2,0),0))*O63-IF(AN:AN="US",6.85,4.9)*(Z63+4.27*O63))/SUMIF('4店辅助表'!AP:AP,B:B,'4店辅助表'!AR:AR),"-")</f>
        <v>0.349710614004035</v>
      </c>
      <c r="AJ63" s="100">
        <f t="shared" si="33"/>
        <v>0.0624483239292919</v>
      </c>
      <c r="AK63" s="101">
        <f t="shared" si="34"/>
        <v>44</v>
      </c>
      <c r="AL63" s="101">
        <f t="shared" si="35"/>
        <v>55</v>
      </c>
      <c r="AM63" s="1" t="str">
        <f>VLOOKUP(B:B,'4店辅助表'!AZ:AZ,1,FALSE)</f>
        <v>Y4040-GW+Y4043</v>
      </c>
      <c r="AN63" t="str">
        <f>VLOOKUP(B:B,'4店辅助表'!AZ:BB,3,FALSE)</f>
        <v>US</v>
      </c>
    </row>
    <row r="64" customHeight="1" spans="1:40">
      <c r="A64" s="58" t="str">
        <f>INDEX('[1]4店'!$A:$A,MATCH(B:B,'[1]4店'!$B:$B,0))</f>
        <v>美珠</v>
      </c>
      <c r="B64" s="45" t="s">
        <v>1442</v>
      </c>
      <c r="C64" s="45" t="s">
        <v>1435</v>
      </c>
      <c r="D64" s="59">
        <f>VLOOKUP(B:B,'[1]4店'!$B:$L,3,0)</f>
        <v>44834</v>
      </c>
      <c r="E64" s="45" t="s">
        <v>1443</v>
      </c>
      <c r="F64" s="45">
        <v>26</v>
      </c>
      <c r="G64" s="45">
        <v>0</v>
      </c>
      <c r="H64" s="45">
        <v>0</v>
      </c>
      <c r="I64" s="45">
        <v>31</v>
      </c>
      <c r="J64" s="45">
        <v>0</v>
      </c>
      <c r="K64" s="63">
        <f t="shared" si="25"/>
        <v>57</v>
      </c>
      <c r="L64" s="64">
        <v>11</v>
      </c>
      <c r="M64" s="44">
        <f t="shared" si="24"/>
        <v>627</v>
      </c>
      <c r="N64" s="65">
        <f>IFERROR(VLOOKUP(B:B,'4店辅助表'!B:C,2,FALSE),0)</f>
        <v>10</v>
      </c>
      <c r="O64" s="65">
        <f>IFERROR(VLOOKUP(B:B,'4店辅助表'!E:F,2,FALSE),0)</f>
        <v>21</v>
      </c>
      <c r="P64" s="65">
        <f>IFERROR(VLOOKUP(B:B,'4店辅助表'!H:I,2,FALSE),0)</f>
        <v>49</v>
      </c>
      <c r="Q64" s="65">
        <f>IFERROR(VLOOKUP(B:B,'[1]4店'!$B:$N,13,FALSE),0)</f>
        <v>11</v>
      </c>
      <c r="R64" s="79">
        <f t="shared" si="26"/>
        <v>-1</v>
      </c>
      <c r="S64" s="80">
        <f t="shared" si="27"/>
        <v>38.324439701174</v>
      </c>
      <c r="T64" s="44">
        <f t="shared" si="28"/>
        <v>1.27748132337247</v>
      </c>
      <c r="U64" s="44">
        <f>IFERROR(VLOOKUP($B:$B,'[1]4店'!$B:$T,19,0),"-")</f>
        <v>1.78488982161595</v>
      </c>
      <c r="V64" s="81">
        <f t="shared" si="29"/>
        <v>-0.50740849824348</v>
      </c>
      <c r="W64" s="82" t="str">
        <f t="shared" si="30"/>
        <v>正常</v>
      </c>
      <c r="X64" s="83" t="str">
        <f t="shared" si="31"/>
        <v>正常</v>
      </c>
      <c r="Y64" s="44">
        <f>IFERROR(SUMIF('4店辅助表'!K:K,B:B,'4店辅助表'!N:N),0)</f>
        <v>48.17</v>
      </c>
      <c r="Z64" s="44">
        <f>IFERROR(SUMIF('4店辅助表'!T:T,B:B,'4店辅助表'!W:W),0)</f>
        <v>96.98</v>
      </c>
      <c r="AA64" s="44">
        <f>IFERROR(SUMIF('4店辅助表'!AC:AC,B:B,'4店辅助表'!AF:AF),0)</f>
        <v>224.75</v>
      </c>
      <c r="AB64" s="91">
        <f>IFERROR(SUMIF('4店辅助表'!K:K,B:B,'4店辅助表'!N:N)/SUMIF('4店辅助表'!K:K,B:B,'4店辅助表'!O:O),"-")</f>
        <v>0.285249008112749</v>
      </c>
      <c r="AC64" s="91">
        <f>IFERROR(VLOOKUP(B:B,'[1]4店'!$B:$AB,27,0),"-")</f>
        <v>0.454289890925447</v>
      </c>
      <c r="AD64" s="92">
        <f t="shared" si="32"/>
        <v>-0.169040882812698</v>
      </c>
      <c r="AE64" s="91">
        <f>IFERROR(SUMIF('4店辅助表'!T:T,B:B,'4店辅助表'!W:W)/SUMIF('4店辅助表'!T:T,B:B,'4店辅助表'!X:X),"-")</f>
        <v>0.341743604200437</v>
      </c>
      <c r="AF64" s="91">
        <f>IFERROR(SUMIF('4店辅助表'!AC:AC,B:B,'4店辅助表'!AF:AF)/SUMIF('4店辅助表'!AC:AC,B:B,'4店辅助表'!AG:AG),"-")</f>
        <v>0.304361957125252</v>
      </c>
      <c r="AG64" s="99">
        <f>IFERROR(AK64/((SUMIF('4店辅助表'!AT:AT,B:B,'4店辅助表'!AU:AU)+M64)/2),"-")</f>
        <v>0.144927536231884</v>
      </c>
      <c r="AH64" s="99">
        <f>IFERROR(AL64/((SUMIF('4店辅助表'!AW:AW,B:B,'4店辅助表'!AX:AX)+M64)/2),"-")</f>
        <v>0.407766990291262</v>
      </c>
      <c r="AI64" s="100">
        <f>IFERROR((SUMIF('4店辅助表'!AP:AP,B:B,'4店辅助表'!AR:AR)-SUMIF('4店辅助表'!AP:AP,B:B,'4店辅助表'!AR:AR)*0.15-(L64+IFERROR(VLOOKUP(B:B,'4店辅助表'!AZ:BA,2,0),0))*O64-IF(AN:AN="US",6.85,4.9)*(Z64+4.27*O64))/SUMIF('4店辅助表'!AP:AP,B:B,'4店辅助表'!AR:AR),"-")</f>
        <v>-0.0224620884738618</v>
      </c>
      <c r="AJ64" s="100">
        <f t="shared" si="33"/>
        <v>-0.00915929821264267</v>
      </c>
      <c r="AK64" s="101">
        <f t="shared" si="34"/>
        <v>110</v>
      </c>
      <c r="AL64" s="101">
        <f t="shared" si="35"/>
        <v>231</v>
      </c>
      <c r="AM64" s="1" t="str">
        <f>VLOOKUP(B:B,'4店辅助表'!AZ:AZ,1,FALSE)</f>
        <v>Y4040-OR+Y4043</v>
      </c>
      <c r="AN64" t="str">
        <f>VLOOKUP(B:B,'4店辅助表'!AZ:BB,3,FALSE)</f>
        <v>US</v>
      </c>
    </row>
    <row r="65" customHeight="1" spans="1:40">
      <c r="A65" s="58" t="str">
        <f>INDEX('[1]4店'!$A:$A,MATCH(B:B,'[1]4店'!$B:$B,0))</f>
        <v>美珠</v>
      </c>
      <c r="B65" s="45" t="s">
        <v>1444</v>
      </c>
      <c r="C65" s="45" t="s">
        <v>1435</v>
      </c>
      <c r="D65" s="59">
        <f>VLOOKUP(B:B,'[1]4店'!$B:$L,3,0)</f>
        <v>44834</v>
      </c>
      <c r="E65" s="45" t="s">
        <v>1445</v>
      </c>
      <c r="F65" s="45">
        <v>15</v>
      </c>
      <c r="G65" s="45">
        <v>0</v>
      </c>
      <c r="H65" s="45">
        <v>0</v>
      </c>
      <c r="I65" s="45">
        <v>0</v>
      </c>
      <c r="J65" s="45">
        <v>0</v>
      </c>
      <c r="K65" s="63">
        <f t="shared" si="25"/>
        <v>15</v>
      </c>
      <c r="L65" s="64">
        <v>11</v>
      </c>
      <c r="M65" s="44">
        <f t="shared" si="24"/>
        <v>165</v>
      </c>
      <c r="N65" s="65">
        <f>IFERROR(VLOOKUP(B:B,'4店辅助表'!B:C,2,FALSE),0)</f>
        <v>4</v>
      </c>
      <c r="O65" s="65">
        <f>IFERROR(VLOOKUP(B:B,'4店辅助表'!E:F,2,FALSE),0)</f>
        <v>6</v>
      </c>
      <c r="P65" s="65">
        <f>IFERROR(VLOOKUP(B:B,'4店辅助表'!H:I,2,FALSE),0)</f>
        <v>12</v>
      </c>
      <c r="Q65" s="65">
        <f>IFERROR(VLOOKUP(B:B,'[1]4店'!$B:$N,13,FALSE),0)</f>
        <v>2</v>
      </c>
      <c r="R65" s="79">
        <f t="shared" si="26"/>
        <v>2</v>
      </c>
      <c r="S65" s="80">
        <f t="shared" si="27"/>
        <v>32.8125</v>
      </c>
      <c r="T65" s="44">
        <f t="shared" si="28"/>
        <v>1.09375</v>
      </c>
      <c r="U65" s="44">
        <f>IFERROR(VLOOKUP($B:$B,'[1]4店'!$B:$T,19,0),"-")</f>
        <v>1.710407239819</v>
      </c>
      <c r="V65" s="81">
        <f t="shared" si="29"/>
        <v>-0.616657239819</v>
      </c>
      <c r="W65" s="82" t="str">
        <f t="shared" si="30"/>
        <v>正常</v>
      </c>
      <c r="X65" s="83" t="str">
        <f t="shared" si="31"/>
        <v>正常</v>
      </c>
      <c r="Y65" s="44">
        <f>IFERROR(SUMIF('4店辅助表'!K:K,B:B,'4店辅助表'!N:N),0)</f>
        <v>0</v>
      </c>
      <c r="Z65" s="44">
        <f>IFERROR(SUMIF('4店辅助表'!T:T,B:B,'4店辅助表'!W:W),0)</f>
        <v>0</v>
      </c>
      <c r="AA65" s="44">
        <f>IFERROR(SUMIF('4店辅助表'!AC:AC,B:B,'4店辅助表'!AF:AF),0)</f>
        <v>0</v>
      </c>
      <c r="AB65" s="91" t="str">
        <f>IFERROR(SUMIF('4店辅助表'!K:K,B:B,'4店辅助表'!N:N)/SUMIF('4店辅助表'!K:K,B:B,'4店辅助表'!O:O),"-")</f>
        <v>-</v>
      </c>
      <c r="AC65" s="91" t="str">
        <f>IFERROR(VLOOKUP(B:B,'[1]4店'!$B:$AB,27,0),"-")</f>
        <v>-</v>
      </c>
      <c r="AD65" s="92" t="str">
        <f t="shared" si="32"/>
        <v>-</v>
      </c>
      <c r="AE65" s="91" t="str">
        <f>IFERROR(SUMIF('4店辅助表'!T:T,B:B,'4店辅助表'!W:W)/SUMIF('4店辅助表'!T:T,B:B,'4店辅助表'!X:X),"-")</f>
        <v>-</v>
      </c>
      <c r="AF65" s="91" t="str">
        <f>IFERROR(SUMIF('4店辅助表'!AC:AC,B:B,'4店辅助表'!AF:AF)/SUMIF('4店辅助表'!AC:AC,B:B,'4店辅助表'!AG:AG),"-")</f>
        <v>-</v>
      </c>
      <c r="AG65" s="99">
        <f>IFERROR(AK65/((SUMIF('4店辅助表'!AT:AT,B:B,'4店辅助表'!AU:AU)+M65)/2),"-")</f>
        <v>0.242424242424242</v>
      </c>
      <c r="AH65" s="99">
        <f>IFERROR(AL65/((SUMIF('4店辅助表'!AW:AW,B:B,'4店辅助表'!AX:AX)+M65)/2),"-")</f>
        <v>0.3</v>
      </c>
      <c r="AI65" s="100">
        <f>IFERROR((SUMIF('4店辅助表'!AP:AP,B:B,'4店辅助表'!AR:AR)-SUMIF('4店辅助表'!AP:AP,B:B,'4店辅助表'!AR:AR)*0.15-(L65+IFERROR(VLOOKUP(B:B,'4店辅助表'!AZ:BA,2,0),0))*O65-IF(AN:AN="US",6.85,4.9)*(Z65+4.27*O65))/SUMIF('4店辅助表'!AP:AP,B:B,'4店辅助表'!AR:AR),"-")</f>
        <v>0.346856088063249</v>
      </c>
      <c r="AJ65" s="100">
        <f t="shared" si="33"/>
        <v>0.104056826418975</v>
      </c>
      <c r="AK65" s="101">
        <f t="shared" si="34"/>
        <v>44</v>
      </c>
      <c r="AL65" s="101">
        <f t="shared" si="35"/>
        <v>66</v>
      </c>
      <c r="AM65" s="1" t="str">
        <f>VLOOKUP(B:B,'4店辅助表'!AZ:AZ,1,FALSE)</f>
        <v>Y4040-WB+Y4043</v>
      </c>
      <c r="AN65" t="str">
        <f>VLOOKUP(B:B,'4店辅助表'!AZ:BB,3,FALSE)</f>
        <v>US</v>
      </c>
    </row>
    <row r="66" customHeight="1" spans="1:40">
      <c r="A66" s="58" t="str">
        <f>INDEX('[1]4店'!$A:$A,MATCH(B:B,'[1]4店'!$B:$B,0))</f>
        <v>美珠</v>
      </c>
      <c r="B66" s="45" t="s">
        <v>1446</v>
      </c>
      <c r="C66" s="45" t="s">
        <v>1440</v>
      </c>
      <c r="D66" s="59">
        <f>VLOOKUP(B:B,'[1]4店'!$B:$L,3,0)</f>
        <v>44834</v>
      </c>
      <c r="E66" s="45" t="s">
        <v>1447</v>
      </c>
      <c r="F66" s="45">
        <v>28</v>
      </c>
      <c r="G66" s="45">
        <v>0</v>
      </c>
      <c r="H66" s="45">
        <v>0</v>
      </c>
      <c r="I66" s="45">
        <v>0</v>
      </c>
      <c r="J66" s="45">
        <v>0</v>
      </c>
      <c r="K66" s="63">
        <f t="shared" si="25"/>
        <v>28</v>
      </c>
      <c r="L66" s="64">
        <v>11</v>
      </c>
      <c r="M66" s="44">
        <f t="shared" si="24"/>
        <v>308</v>
      </c>
      <c r="N66" s="65">
        <f>IFERROR(VLOOKUP(B:B,'4店辅助表'!B:C,2,FALSE),0)</f>
        <v>1</v>
      </c>
      <c r="O66" s="65">
        <f>IFERROR(VLOOKUP(B:B,'4店辅助表'!E:F,2,FALSE),0)</f>
        <v>3</v>
      </c>
      <c r="P66" s="65">
        <f>IFERROR(VLOOKUP(B:B,'4店辅助表'!H:I,2,FALSE),0)</f>
        <v>7</v>
      </c>
      <c r="Q66" s="65">
        <f>IFERROR(VLOOKUP(B:B,'[1]4店'!$B:$N,13,FALSE),0)</f>
        <v>0</v>
      </c>
      <c r="R66" s="79">
        <f t="shared" si="26"/>
        <v>1</v>
      </c>
      <c r="S66" s="80">
        <f t="shared" si="27"/>
        <v>145.785123966942</v>
      </c>
      <c r="T66" s="44">
        <f t="shared" si="28"/>
        <v>4.85950413223141</v>
      </c>
      <c r="U66" s="44">
        <f>IFERROR(VLOOKUP($B:$B,'[1]4店'!$B:$T,19,0),"-")</f>
        <v>5.11764705882353</v>
      </c>
      <c r="V66" s="81">
        <f t="shared" si="29"/>
        <v>-0.25814292659212</v>
      </c>
      <c r="W66" s="82" t="str">
        <f t="shared" si="30"/>
        <v>库存过高</v>
      </c>
      <c r="X66" s="83" t="str">
        <f t="shared" si="31"/>
        <v>库存过高</v>
      </c>
      <c r="Y66" s="44">
        <f>IFERROR(SUMIF('4店辅助表'!K:K,B:B,'4店辅助表'!N:N),0)</f>
        <v>3.11</v>
      </c>
      <c r="Z66" s="44">
        <f>IFERROR(SUMIF('4店辅助表'!T:T,B:B,'4店辅助表'!W:W),0)</f>
        <v>6.68</v>
      </c>
      <c r="AA66" s="44">
        <f>IFERROR(SUMIF('4店辅助表'!AC:AC,B:B,'4店辅助表'!AF:AF),0)</f>
        <v>13.77</v>
      </c>
      <c r="AB66" s="91" t="str">
        <f>IFERROR(SUMIF('4店辅助表'!K:K,B:B,'4店辅助表'!N:N)/SUMIF('4店辅助表'!K:K,B:B,'4店辅助表'!O:O),"-")</f>
        <v>-</v>
      </c>
      <c r="AC66" s="91" t="str">
        <f>IFERROR(VLOOKUP(B:B,'[1]4店'!$B:$AB,27,0),"-")</f>
        <v>-</v>
      </c>
      <c r="AD66" s="92" t="str">
        <f t="shared" si="32"/>
        <v>-</v>
      </c>
      <c r="AE66" s="91" t="str">
        <f>IFERROR(SUMIF('4店辅助表'!T:T,B:B,'4店辅助表'!W:W)/SUMIF('4店辅助表'!T:T,B:B,'4店辅助表'!X:X),"-")</f>
        <v>-</v>
      </c>
      <c r="AF66" s="91" t="str">
        <f>IFERROR(SUMIF('4店辅助表'!AC:AC,B:B,'4店辅助表'!AF:AF)/SUMIF('4店辅助表'!AC:AC,B:B,'4店辅助表'!AG:AG),"-")</f>
        <v>-</v>
      </c>
      <c r="AG66" s="99">
        <f>IFERROR(AK66/((SUMIF('4店辅助表'!AT:AT,B:B,'4店辅助表'!AU:AU)+M66)/2),"-")</f>
        <v>0.0350877192982456</v>
      </c>
      <c r="AH66" s="99">
        <f>IFERROR(AL66/((SUMIF('4店辅助表'!AW:AW,B:B,'4店辅助表'!AX:AX)+M66)/2),"-")</f>
        <v>0.0952380952380952</v>
      </c>
      <c r="AI66" s="100">
        <f>IFERROR((SUMIF('4店辅助表'!AP:AP,B:B,'4店辅助表'!AR:AR)-SUMIF('4店辅助表'!AP:AP,B:B,'4店辅助表'!AR:AR)*0.15-(L66+IFERROR(VLOOKUP(B:B,'4店辅助表'!AZ:BA,2,0),0))*O66-IF(AN:AN="US",6.85,4.9)*(Z66+4.27*O66))/SUMIF('4店辅助表'!AP:AP,B:B,'4店辅助表'!AR:AR),"-")</f>
        <v>0.163945408127907</v>
      </c>
      <c r="AJ66" s="100">
        <f t="shared" si="33"/>
        <v>0.015613848393134</v>
      </c>
      <c r="AK66" s="101">
        <f t="shared" si="34"/>
        <v>11</v>
      </c>
      <c r="AL66" s="101">
        <f t="shared" si="35"/>
        <v>33</v>
      </c>
      <c r="AM66" s="1" t="str">
        <f>VLOOKUP(B:B,'4店辅助表'!AZ:AZ,1,FALSE)</f>
        <v>Y4040-WI+Y4043</v>
      </c>
      <c r="AN66" t="str">
        <f>VLOOKUP(B:B,'4店辅助表'!AZ:BB,3,FALSE)</f>
        <v>US</v>
      </c>
    </row>
    <row r="67" customHeight="1" spans="1:40">
      <c r="A67" s="58" t="str">
        <f>INDEX('[1]4店'!$A:$A,MATCH(B:B,'[1]4店'!$B:$B,0))</f>
        <v>美珠</v>
      </c>
      <c r="B67" s="45" t="s">
        <v>1448</v>
      </c>
      <c r="C67" s="45" t="s">
        <v>1449</v>
      </c>
      <c r="D67" s="59">
        <f>VLOOKUP(B:B,'[1]4店'!$B:$L,3,0)</f>
        <v>44835</v>
      </c>
      <c r="E67" s="45" t="s">
        <v>1450</v>
      </c>
      <c r="F67" s="45">
        <v>54</v>
      </c>
      <c r="G67" s="45">
        <v>1</v>
      </c>
      <c r="H67" s="45">
        <v>1</v>
      </c>
      <c r="I67" s="45">
        <v>0</v>
      </c>
      <c r="J67" s="45">
        <v>0</v>
      </c>
      <c r="K67" s="63">
        <f t="shared" si="25"/>
        <v>56</v>
      </c>
      <c r="L67" s="64">
        <v>11</v>
      </c>
      <c r="M67" s="44">
        <f t="shared" si="24"/>
        <v>616</v>
      </c>
      <c r="N67" s="65">
        <f>IFERROR(VLOOKUP(B:B,'4店辅助表'!B:C,2,FALSE),0)</f>
        <v>4</v>
      </c>
      <c r="O67" s="65">
        <f>IFERROR(VLOOKUP(B:B,'4店辅助表'!E:F,2,FALSE),0)</f>
        <v>9</v>
      </c>
      <c r="P67" s="65">
        <f>IFERROR(VLOOKUP(B:B,'4店辅助表'!H:I,2,FALSE),0)</f>
        <v>20</v>
      </c>
      <c r="Q67" s="65">
        <f>IFERROR(VLOOKUP(B:B,'[1]4店'!$B:$N,13,FALSE),0)</f>
        <v>3</v>
      </c>
      <c r="R67" s="79">
        <f t="shared" si="26"/>
        <v>1</v>
      </c>
      <c r="S67" s="80">
        <f t="shared" si="27"/>
        <v>91.39896373057</v>
      </c>
      <c r="T67" s="44">
        <f t="shared" si="28"/>
        <v>3.04663212435233</v>
      </c>
      <c r="U67" s="44">
        <f>IFERROR(VLOOKUP($B:$B,'[1]4店'!$B:$T,19,0),"-")</f>
        <v>3.40540540540541</v>
      </c>
      <c r="V67" s="81">
        <f t="shared" si="29"/>
        <v>-0.35877328105308</v>
      </c>
      <c r="W67" s="82" t="str">
        <f t="shared" si="30"/>
        <v>库存过高</v>
      </c>
      <c r="X67" s="83" t="str">
        <f t="shared" si="31"/>
        <v>库存过高</v>
      </c>
      <c r="Y67" s="44">
        <f>IFERROR(SUMIF('4店辅助表'!K:K,B:B,'4店辅助表'!N:N),0)</f>
        <v>4.41</v>
      </c>
      <c r="Z67" s="44">
        <f>IFERROR(SUMIF('4店辅助表'!T:T,B:B,'4店辅助表'!W:W),0)</f>
        <v>8.91</v>
      </c>
      <c r="AA67" s="44">
        <f>IFERROR(SUMIF('4店辅助表'!AC:AC,B:B,'4店辅助表'!AF:AF),0)</f>
        <v>13.93</v>
      </c>
      <c r="AB67" s="91">
        <f>IFERROR(SUMIF('4店辅助表'!K:K,B:B,'4店辅助表'!N:N)/SUMIF('4店辅助表'!K:K,B:B,'4店辅助表'!O:O),"-")</f>
        <v>0.113163972286374</v>
      </c>
      <c r="AC67" s="91" t="str">
        <f>IFERROR(VLOOKUP(B:B,'[1]4店'!$B:$AB,27,0),"-")</f>
        <v>-</v>
      </c>
      <c r="AD67" s="92" t="str">
        <f t="shared" si="32"/>
        <v>-</v>
      </c>
      <c r="AE67" s="91">
        <f>IFERROR(SUMIF('4店辅助表'!T:T,B:B,'4店辅助表'!W:W)/SUMIF('4店辅助表'!T:T,B:B,'4店辅助表'!X:X),"-")</f>
        <v>0.228637413394919</v>
      </c>
      <c r="AF67" s="91">
        <f>IFERROR(SUMIF('4店辅助表'!AC:AC,B:B,'4店辅助表'!AF:AF)/SUMIF('4店辅助表'!AC:AC,B:B,'4店辅助表'!AG:AG),"-")</f>
        <v>0.214472671285604</v>
      </c>
      <c r="AG67" s="99">
        <f>IFERROR(AK67/((SUMIF('4店辅助表'!AT:AT,B:B,'4店辅助表'!AU:AU)+M67)/2),"-")</f>
        <v>0.0689655172413793</v>
      </c>
      <c r="AH67" s="99">
        <f>IFERROR(AL67/((SUMIF('4店辅助表'!AW:AW,B:B,'4店辅助表'!AX:AX)+M67)/2),"-")</f>
        <v>0.153846153846154</v>
      </c>
      <c r="AI67" s="100">
        <f>IFERROR((SUMIF('4店辅助表'!AP:AP,B:B,'4店辅助表'!AR:AR)-SUMIF('4店辅助表'!AP:AP,B:B,'4店辅助表'!AR:AR)*0.15-(L67+IFERROR(VLOOKUP(B:B,'4店辅助表'!AZ:BA,2,0),0))*O67-IF(AN:AN="US",6.85,4.9)*(Z67+4.27*O67))/SUMIF('4店辅助表'!AP:AP,B:B,'4店辅助表'!AR:AR),"-")</f>
        <v>0.281649408047368</v>
      </c>
      <c r="AJ67" s="100">
        <f t="shared" si="33"/>
        <v>0.0433306781611336</v>
      </c>
      <c r="AK67" s="101">
        <f t="shared" si="34"/>
        <v>44</v>
      </c>
      <c r="AL67" s="101">
        <f t="shared" si="35"/>
        <v>99</v>
      </c>
      <c r="AM67" s="1" t="str">
        <f>VLOOKUP(B:B,'4店辅助表'!AZ:AZ,1,FALSE)</f>
        <v>Y4041-BL+Y4044</v>
      </c>
      <c r="AN67" t="str">
        <f>VLOOKUP(B:B,'4店辅助表'!AZ:BB,3,FALSE)</f>
        <v>US</v>
      </c>
    </row>
    <row r="68" customHeight="1" spans="1:40">
      <c r="A68" s="58" t="str">
        <f>INDEX('[1]4店'!$A:$A,MATCH(B:B,'[1]4店'!$B:$B,0))</f>
        <v>美珠</v>
      </c>
      <c r="B68" s="45" t="s">
        <v>1451</v>
      </c>
      <c r="C68" s="45" t="s">
        <v>1449</v>
      </c>
      <c r="D68" s="59">
        <f>VLOOKUP(B:B,'[1]4店'!$B:$L,3,0)</f>
        <v>44835</v>
      </c>
      <c r="E68" s="45" t="s">
        <v>1452</v>
      </c>
      <c r="F68" s="45">
        <v>7</v>
      </c>
      <c r="G68" s="45">
        <v>1</v>
      </c>
      <c r="H68" s="45">
        <v>0</v>
      </c>
      <c r="I68" s="45">
        <v>10</v>
      </c>
      <c r="J68" s="45">
        <v>0</v>
      </c>
      <c r="K68" s="63">
        <f t="shared" si="25"/>
        <v>18</v>
      </c>
      <c r="L68" s="64">
        <v>11</v>
      </c>
      <c r="M68" s="44">
        <f t="shared" ref="M68:M99" si="36">K68*L68</f>
        <v>198</v>
      </c>
      <c r="N68" s="65">
        <f>IFERROR(VLOOKUP(B:B,'4店辅助表'!B:C,2,FALSE),0)</f>
        <v>1</v>
      </c>
      <c r="O68" s="65">
        <f>IFERROR(VLOOKUP(B:B,'4店辅助表'!E:F,2,FALSE),0)</f>
        <v>1</v>
      </c>
      <c r="P68" s="65">
        <f>IFERROR(VLOOKUP(B:B,'4店辅助表'!H:I,2,FALSE),0)</f>
        <v>3</v>
      </c>
      <c r="Q68" s="65">
        <f>IFERROR(VLOOKUP(B:B,'[1]4店'!$B:$N,13,FALSE),0)</f>
        <v>0</v>
      </c>
      <c r="R68" s="79">
        <f t="shared" si="26"/>
        <v>1</v>
      </c>
      <c r="S68" s="80">
        <f t="shared" si="27"/>
        <v>174.461538461538</v>
      </c>
      <c r="T68" s="44">
        <f t="shared" si="28"/>
        <v>5.81538461538462</v>
      </c>
      <c r="U68" s="44">
        <f>IFERROR(VLOOKUP($B:$B,'[1]4店'!$B:$T,19,0),"-")</f>
        <v>9.5</v>
      </c>
      <c r="V68" s="81">
        <f t="shared" si="29"/>
        <v>-3.68461538461538</v>
      </c>
      <c r="W68" s="82" t="str">
        <f t="shared" si="30"/>
        <v>库存过高</v>
      </c>
      <c r="X68" s="83" t="str">
        <f t="shared" si="31"/>
        <v>库存过高</v>
      </c>
      <c r="Y68" s="44">
        <f>IFERROR(SUMIF('4店辅助表'!K:K,B:B,'4店辅助表'!N:N),0)</f>
        <v>0</v>
      </c>
      <c r="Z68" s="44">
        <f>IFERROR(SUMIF('4店辅助表'!T:T,B:B,'4店辅助表'!W:W),0)</f>
        <v>0</v>
      </c>
      <c r="AA68" s="44">
        <f>IFERROR(SUMIF('4店辅助表'!AC:AC,B:B,'4店辅助表'!AF:AF),0)</f>
        <v>0</v>
      </c>
      <c r="AB68" s="91" t="str">
        <f>IFERROR(SUMIF('4店辅助表'!K:K,B:B,'4店辅助表'!N:N)/SUMIF('4店辅助表'!K:K,B:B,'4店辅助表'!O:O),"-")</f>
        <v>-</v>
      </c>
      <c r="AC68" s="91" t="str">
        <f>IFERROR(VLOOKUP(B:B,'[1]4店'!$B:$AB,27,0),"-")</f>
        <v>-</v>
      </c>
      <c r="AD68" s="92" t="str">
        <f t="shared" si="32"/>
        <v>-</v>
      </c>
      <c r="AE68" s="91" t="str">
        <f>IFERROR(SUMIF('4店辅助表'!T:T,B:B,'4店辅助表'!W:W)/SUMIF('4店辅助表'!T:T,B:B,'4店辅助表'!X:X),"-")</f>
        <v>-</v>
      </c>
      <c r="AF68" s="91" t="str">
        <f>IFERROR(SUMIF('4店辅助表'!AC:AC,B:B,'4店辅助表'!AF:AF)/SUMIF('4店辅助表'!AC:AC,B:B,'4店辅助表'!AG:AG),"-")</f>
        <v>-</v>
      </c>
      <c r="AG68" s="99">
        <f>IFERROR(AK68/((SUMIF('4店辅助表'!AT:AT,B:B,'4店辅助表'!AU:AU)+M68)/2),"-")</f>
        <v>0.0540540540540541</v>
      </c>
      <c r="AH68" s="99">
        <f>IFERROR(AL68/((SUMIF('4店辅助表'!AW:AW,B:B,'4店辅助表'!AX:AX)+M68)/2),"-")</f>
        <v>0.0666666666666667</v>
      </c>
      <c r="AI68" s="100">
        <f>IFERROR((SUMIF('4店辅助表'!AP:AP,B:B,'4店辅助表'!AR:AR)-SUMIF('4店辅助表'!AP:AP,B:B,'4店辅助表'!AR:AR)*0.15-(L68+IFERROR(VLOOKUP(B:B,'4店辅助表'!AZ:BA,2,0),0))*O68-IF(AN:AN="US",6.85,4.9)*(Z68+4.27*O68))/SUMIF('4店辅助表'!AP:AP,B:B,'4店辅助表'!AR:AR),"-")</f>
        <v>0.340562645044195</v>
      </c>
      <c r="AJ68" s="100">
        <f t="shared" si="33"/>
        <v>0.0227041763362796</v>
      </c>
      <c r="AK68" s="101">
        <f t="shared" si="34"/>
        <v>11</v>
      </c>
      <c r="AL68" s="101">
        <f t="shared" si="35"/>
        <v>11</v>
      </c>
      <c r="AM68" s="1" t="str">
        <f>VLOOKUP(B:B,'4店辅助表'!AZ:AZ,1,FALSE)</f>
        <v>Y4041-DB+Y4044</v>
      </c>
      <c r="AN68" t="str">
        <f>VLOOKUP(B:B,'4店辅助表'!AZ:BB,3,FALSE)</f>
        <v>US</v>
      </c>
    </row>
    <row r="69" customHeight="1" spans="1:40">
      <c r="A69" s="58" t="str">
        <f>INDEX('[1]4店'!$A:$A,MATCH(B:B,'[1]4店'!$B:$B,0))</f>
        <v>美珠</v>
      </c>
      <c r="B69" s="45" t="s">
        <v>1453</v>
      </c>
      <c r="C69" s="45" t="s">
        <v>1454</v>
      </c>
      <c r="D69" s="59">
        <f>VLOOKUP(B:B,'[1]4店'!$B:$L,3,0)</f>
        <v>44835</v>
      </c>
      <c r="E69" s="45" t="s">
        <v>1455</v>
      </c>
      <c r="F69" s="45">
        <v>20</v>
      </c>
      <c r="G69" s="45">
        <v>0</v>
      </c>
      <c r="H69" s="45">
        <v>0</v>
      </c>
      <c r="I69" s="45">
        <v>10</v>
      </c>
      <c r="J69" s="45">
        <v>0</v>
      </c>
      <c r="K69" s="63">
        <f t="shared" ref="K69:K100" si="37">F69+G69+H69+I69+J69</f>
        <v>30</v>
      </c>
      <c r="L69" s="64">
        <v>11</v>
      </c>
      <c r="M69" s="44">
        <f t="shared" si="36"/>
        <v>330</v>
      </c>
      <c r="N69" s="65">
        <f>IFERROR(VLOOKUP(B:B,'4店辅助表'!B:C,2,FALSE),0)</f>
        <v>1</v>
      </c>
      <c r="O69" s="65">
        <f>IFERROR(VLOOKUP(B:B,'4店辅助表'!E:F,2,FALSE),0)</f>
        <v>1</v>
      </c>
      <c r="P69" s="65">
        <f>IFERROR(VLOOKUP(B:B,'4店辅助表'!H:I,2,FALSE),0)</f>
        <v>2</v>
      </c>
      <c r="Q69" s="65">
        <f>IFERROR(VLOOKUP(B:B,'[1]4店'!$B:$N,13,FALSE),0)</f>
        <v>1</v>
      </c>
      <c r="R69" s="79">
        <f t="shared" ref="R69:R100" si="38">N69-Q69</f>
        <v>0</v>
      </c>
      <c r="S69" s="80">
        <f t="shared" ref="S69:S100" si="39">IFERROR(K69/((N69/7+O69/15+P69/30)/3),"-")</f>
        <v>325.862068965517</v>
      </c>
      <c r="T69" s="44">
        <f t="shared" ref="T69:T100" si="40">IFERROR(S69/30,"-")</f>
        <v>10.8620689655172</v>
      </c>
      <c r="U69" s="44">
        <f>IFERROR(VLOOKUP($B:$B,'[1]4店'!$B:$T,19,0),"-")</f>
        <v>10.8620689655172</v>
      </c>
      <c r="V69" s="81">
        <f t="shared" ref="V69:V100" si="41">IFERROR(T69-U69,"-")</f>
        <v>0</v>
      </c>
      <c r="W69" s="82" t="str">
        <f t="shared" ref="W69:W100" si="42">_xlfn.IFS(AND(D69&lt;&gt;0,D69-$AM$2&gt;=0,B69&gt;0,D69&lt;&gt;0),"本月刚到货",AND(IFERROR((K69/(N69/7))/30,"-")="-",K69&gt;0),"有库存无销量",AND(IFERROR((K69/(N69/7))/30,"-")="-",K69=0),"无库存无销量",AND(IFERROR((K69/(N69/7))/30,"-")&lt;=0.5,K69=0),"无库存有销量",IFERROR((K69/(N69/7))/30,"-")&lt;=0.5,"库存过低",IFERROR((K69/(N69/7))/30,"-")&lt;=1.5,"正常",IFERROR((K69/(N69/7))/30,"-")&gt;1.5,"库存过高")</f>
        <v>库存过高</v>
      </c>
      <c r="X69" s="83" t="str">
        <f t="shared" ref="X69:X100" si="43">_xlfn.IFS(AND(D69&lt;&gt;0,D69-$AM$2&gt;=0,K69&gt;0,D69&lt;&gt;0),"本月刚到货",AND(T69="-",K69&gt;0),"有库存无销量",AND(T69="-",K69=0),"无库存无销量",AND(T69&lt;=0.5,K69=0),"无库存有销量",T69&lt;=0.5,"库存过低",T69&lt;=1.5,"正常",T69&gt;1.5,"库存过高")</f>
        <v>库存过高</v>
      </c>
      <c r="Y69" s="44">
        <f>IFERROR(SUMIF('4店辅助表'!K:K,B:B,'4店辅助表'!N:N),0)</f>
        <v>0</v>
      </c>
      <c r="Z69" s="44">
        <f>IFERROR(SUMIF('4店辅助表'!T:T,B:B,'4店辅助表'!W:W),0)</f>
        <v>0</v>
      </c>
      <c r="AA69" s="44">
        <f>IFERROR(SUMIF('4店辅助表'!AC:AC,B:B,'4店辅助表'!AF:AF),0)</f>
        <v>0</v>
      </c>
      <c r="AB69" s="91" t="str">
        <f>IFERROR(SUMIF('4店辅助表'!K:K,B:B,'4店辅助表'!N:N)/SUMIF('4店辅助表'!K:K,B:B,'4店辅助表'!O:O),"-")</f>
        <v>-</v>
      </c>
      <c r="AC69" s="91" t="str">
        <f>IFERROR(VLOOKUP(B:B,'[1]4店'!$B:$AB,27,0),"-")</f>
        <v>-</v>
      </c>
      <c r="AD69" s="92" t="str">
        <f t="shared" ref="AD69:AD100" si="44">IFERROR(AB69-AC69,"-")</f>
        <v>-</v>
      </c>
      <c r="AE69" s="91" t="str">
        <f>IFERROR(SUMIF('4店辅助表'!T:T,B:B,'4店辅助表'!W:W)/SUMIF('4店辅助表'!T:T,B:B,'4店辅助表'!X:X),"-")</f>
        <v>-</v>
      </c>
      <c r="AF69" s="91" t="str">
        <f>IFERROR(SUMIF('4店辅助表'!AC:AC,B:B,'4店辅助表'!AF:AF)/SUMIF('4店辅助表'!AC:AC,B:B,'4店辅助表'!AG:AG),"-")</f>
        <v>-</v>
      </c>
      <c r="AG69" s="99">
        <f>IFERROR(AK69/((SUMIF('4店辅助表'!AT:AT,B:B,'4店辅助表'!AU:AU)+M69)/2),"-")</f>
        <v>0.0333333333333333</v>
      </c>
      <c r="AH69" s="99">
        <f>IFERROR(AL69/((SUMIF('4店辅助表'!AW:AW,B:B,'4店辅助表'!AX:AX)+M69)/2),"-")</f>
        <v>0.0392156862745098</v>
      </c>
      <c r="AI69" s="100">
        <f>IFERROR((SUMIF('4店辅助表'!AP:AP,B:B,'4店辅助表'!AR:AR)-SUMIF('4店辅助表'!AP:AP,B:B,'4店辅助表'!AR:AR)*0.15-(L69+IFERROR(VLOOKUP(B:B,'4店辅助表'!AZ:BA,2,0),0))*O69-IF(AN:AN="US",6.85,4.9)*(Z69+4.27*O69))/SUMIF('4店辅助表'!AP:AP,B:B,'4店辅助表'!AR:AR),"-")</f>
        <v>0.346777420025511</v>
      </c>
      <c r="AJ69" s="100">
        <f t="shared" ref="AJ69:AJ100" si="45">IFERROR(AH69*AI69,"-")</f>
        <v>0.0135991145108044</v>
      </c>
      <c r="AK69" s="101">
        <f t="shared" ref="AK69:AK100" si="46">N69*$L69</f>
        <v>11</v>
      </c>
      <c r="AL69" s="101">
        <f t="shared" ref="AL69:AL100" si="47">O69*$L69</f>
        <v>11</v>
      </c>
      <c r="AM69" s="1" t="str">
        <f>VLOOKUP(B:B,'4店辅助表'!AZ:AZ,1,FALSE)</f>
        <v>Y4041-GW+Y4044</v>
      </c>
      <c r="AN69" t="str">
        <f>VLOOKUP(B:B,'4店辅助表'!AZ:BB,3,FALSE)</f>
        <v>US</v>
      </c>
    </row>
    <row r="70" customHeight="1" spans="1:40">
      <c r="A70" s="58" t="str">
        <f>INDEX('[1]4店'!$A:$A,MATCH(B:B,'[1]4店'!$B:$B,0))</f>
        <v>美珠</v>
      </c>
      <c r="B70" s="45" t="s">
        <v>1456</v>
      </c>
      <c r="C70" s="45" t="s">
        <v>1449</v>
      </c>
      <c r="D70" s="59">
        <f>VLOOKUP(B:B,'[1]4店'!$B:$L,3,0)</f>
        <v>44835</v>
      </c>
      <c r="E70" s="45" t="s">
        <v>1457</v>
      </c>
      <c r="F70" s="45">
        <v>16</v>
      </c>
      <c r="G70" s="45">
        <v>0</v>
      </c>
      <c r="H70" s="45">
        <v>0</v>
      </c>
      <c r="I70" s="45">
        <v>10</v>
      </c>
      <c r="J70" s="45">
        <v>0</v>
      </c>
      <c r="K70" s="63">
        <f t="shared" si="37"/>
        <v>26</v>
      </c>
      <c r="L70" s="64">
        <v>11</v>
      </c>
      <c r="M70" s="44">
        <f t="shared" si="36"/>
        <v>286</v>
      </c>
      <c r="N70" s="65">
        <f>IFERROR(VLOOKUP(B:B,'4店辅助表'!B:C,2,FALSE),0)</f>
        <v>1</v>
      </c>
      <c r="O70" s="65">
        <f>IFERROR(VLOOKUP(B:B,'4店辅助表'!E:F,2,FALSE),0)</f>
        <v>1</v>
      </c>
      <c r="P70" s="65">
        <f>IFERROR(VLOOKUP(B:B,'4店辅助表'!H:I,2,FALSE),0)</f>
        <v>6</v>
      </c>
      <c r="Q70" s="65">
        <f>IFERROR(VLOOKUP(B:B,'[1]4店'!$B:$N,13,FALSE),0)</f>
        <v>0</v>
      </c>
      <c r="R70" s="79">
        <f t="shared" si="38"/>
        <v>1</v>
      </c>
      <c r="S70" s="80">
        <f t="shared" si="39"/>
        <v>190.46511627907</v>
      </c>
      <c r="T70" s="44">
        <f t="shared" si="40"/>
        <v>6.34883720930233</v>
      </c>
      <c r="U70" s="44">
        <f>IFERROR(VLOOKUP($B:$B,'[1]4店'!$B:$T,19,0),"-")</f>
        <v>7.8</v>
      </c>
      <c r="V70" s="81">
        <f t="shared" si="41"/>
        <v>-1.45116279069767</v>
      </c>
      <c r="W70" s="82" t="str">
        <f t="shared" si="42"/>
        <v>库存过高</v>
      </c>
      <c r="X70" s="83" t="str">
        <f t="shared" si="43"/>
        <v>库存过高</v>
      </c>
      <c r="Y70" s="44">
        <f>IFERROR(SUMIF('4店辅助表'!K:K,B:B,'4店辅助表'!N:N),0)</f>
        <v>4.32</v>
      </c>
      <c r="Z70" s="44">
        <f>IFERROR(SUMIF('4店辅助表'!T:T,B:B,'4店辅助表'!W:W),0)</f>
        <v>8.26</v>
      </c>
      <c r="AA70" s="44">
        <f>IFERROR(SUMIF('4店辅助表'!AC:AC,B:B,'4店辅助表'!AF:AF),0)</f>
        <v>14.35</v>
      </c>
      <c r="AB70" s="91">
        <f>IFERROR(SUMIF('4店辅助表'!K:K,B:B,'4店辅助表'!N:N)/SUMIF('4店辅助表'!K:K,B:B,'4店辅助表'!O:O),"-")</f>
        <v>0.166281755196305</v>
      </c>
      <c r="AC70" s="91">
        <f>IFERROR(VLOOKUP(B:B,'[1]4店'!$B:$AB,27,0),"-")</f>
        <v>0.272065514103731</v>
      </c>
      <c r="AD70" s="92">
        <f t="shared" si="44"/>
        <v>-0.105783758907426</v>
      </c>
      <c r="AE70" s="91">
        <f>IFERROR(SUMIF('4店辅助表'!T:T,B:B,'4店辅助表'!W:W)/SUMIF('4店辅助表'!T:T,B:B,'4店辅助表'!X:X),"-")</f>
        <v>0.317936874518861</v>
      </c>
      <c r="AF70" s="91">
        <f>IFERROR(SUMIF('4店辅助表'!AC:AC,B:B,'4店辅助表'!AF:AF)/SUMIF('4店辅助表'!AC:AC,B:B,'4店辅助表'!AG:AG),"-")</f>
        <v>0.276173979984604</v>
      </c>
      <c r="AG70" s="99">
        <f>IFERROR(AK70/((SUMIF('4店辅助表'!AT:AT,B:B,'4店辅助表'!AU:AU)+M70)/2),"-")</f>
        <v>0.0384615384615385</v>
      </c>
      <c r="AH70" s="99">
        <f>IFERROR(AL70/((SUMIF('4店辅助表'!AW:AW,B:B,'4店辅助表'!AX:AX)+M70)/2),"-")</f>
        <v>0.0425531914893617</v>
      </c>
      <c r="AI70" s="100">
        <f>IFERROR((SUMIF('4店辅助表'!AP:AP,B:B,'4店辅助表'!AR:AR)-SUMIF('4店辅助表'!AP:AP,B:B,'4店辅助表'!AR:AR)*0.15-(L70+IFERROR(VLOOKUP(B:B,'4店辅助表'!AZ:BA,2,0),0))*O70-IF(AN:AN="US",6.85,4.9)*(Z70+4.27*O70))/SUMIF('4店辅助表'!AP:AP,B:B,'4店辅助表'!AR:AR),"-")</f>
        <v>-0.289849294516276</v>
      </c>
      <c r="AJ70" s="100">
        <f t="shared" si="45"/>
        <v>-0.0123340125326075</v>
      </c>
      <c r="AK70" s="101">
        <f t="shared" si="46"/>
        <v>11</v>
      </c>
      <c r="AL70" s="101">
        <f t="shared" si="47"/>
        <v>11</v>
      </c>
      <c r="AM70" s="1" t="str">
        <f>VLOOKUP(B:B,'4店辅助表'!AZ:AZ,1,FALSE)</f>
        <v>Y4041-OR+Y4044</v>
      </c>
      <c r="AN70" t="str">
        <f>VLOOKUP(B:B,'4店辅助表'!AZ:BB,3,FALSE)</f>
        <v>US</v>
      </c>
    </row>
    <row r="71" customHeight="1" spans="1:40">
      <c r="A71" s="58" t="str">
        <f>INDEX('[1]4店'!$A:$A,MATCH(B:B,'[1]4店'!$B:$B,0))</f>
        <v>美珠</v>
      </c>
      <c r="B71" s="45" t="s">
        <v>1458</v>
      </c>
      <c r="C71" s="45" t="s">
        <v>1454</v>
      </c>
      <c r="D71" s="59">
        <f>VLOOKUP(B:B,'[1]4店'!$B:$L,3,0)</f>
        <v>44835</v>
      </c>
      <c r="E71" s="45" t="s">
        <v>1459</v>
      </c>
      <c r="F71" s="45">
        <v>8</v>
      </c>
      <c r="G71" s="45">
        <v>0</v>
      </c>
      <c r="H71" s="45">
        <v>0</v>
      </c>
      <c r="I71" s="45">
        <v>0</v>
      </c>
      <c r="J71" s="45">
        <v>0</v>
      </c>
      <c r="K71" s="63">
        <f t="shared" si="37"/>
        <v>8</v>
      </c>
      <c r="L71" s="64">
        <v>11</v>
      </c>
      <c r="M71" s="44">
        <f t="shared" si="36"/>
        <v>88</v>
      </c>
      <c r="N71" s="65">
        <f>IFERROR(VLOOKUP(B:B,'4店辅助表'!B:C,2,FALSE),0)</f>
        <v>0</v>
      </c>
      <c r="O71" s="65">
        <f>IFERROR(VLOOKUP(B:B,'4店辅助表'!E:F,2,FALSE),0)</f>
        <v>0</v>
      </c>
      <c r="P71" s="65">
        <f>IFERROR(VLOOKUP(B:B,'4店辅助表'!H:I,2,FALSE),0)</f>
        <v>1</v>
      </c>
      <c r="Q71" s="65">
        <f>IFERROR(VLOOKUP(B:B,'[1]4店'!$B:$N,13,FALSE),0)</f>
        <v>0</v>
      </c>
      <c r="R71" s="79">
        <f t="shared" si="38"/>
        <v>0</v>
      </c>
      <c r="S71" s="80">
        <f t="shared" si="39"/>
        <v>720</v>
      </c>
      <c r="T71" s="44">
        <f t="shared" si="40"/>
        <v>24</v>
      </c>
      <c r="U71" s="44">
        <f>IFERROR(VLOOKUP($B:$B,'[1]4店'!$B:$T,19,0),"-")</f>
        <v>6</v>
      </c>
      <c r="V71" s="81">
        <f t="shared" si="41"/>
        <v>18</v>
      </c>
      <c r="W71" s="82" t="str">
        <f t="shared" si="42"/>
        <v>有库存无销量</v>
      </c>
      <c r="X71" s="83" t="str">
        <f t="shared" si="43"/>
        <v>库存过高</v>
      </c>
      <c r="Y71" s="44">
        <f>IFERROR(SUMIF('4店辅助表'!K:K,B:B,'4店辅助表'!N:N),0)</f>
        <v>0.35</v>
      </c>
      <c r="Z71" s="44">
        <f>IFERROR(SUMIF('4店辅助表'!T:T,B:B,'4店辅助表'!W:W),0)</f>
        <v>1.15</v>
      </c>
      <c r="AA71" s="44">
        <f>IFERROR(SUMIF('4店辅助表'!AC:AC,B:B,'4店辅助表'!AF:AF),0)</f>
        <v>2.51</v>
      </c>
      <c r="AB71" s="91">
        <f>IFERROR(SUMIF('4店辅助表'!K:K,B:B,'4店辅助表'!N:N)/SUMIF('4店辅助表'!K:K,B:B,'4店辅助表'!O:O),"-")</f>
        <v>0.0134719014626636</v>
      </c>
      <c r="AC71" s="91" t="str">
        <f>IFERROR(VLOOKUP(B:B,'[1]4店'!$B:$AB,27,0),"-")</f>
        <v>-</v>
      </c>
      <c r="AD71" s="92" t="str">
        <f t="shared" si="44"/>
        <v>-</v>
      </c>
      <c r="AE71" s="91">
        <f>IFERROR(SUMIF('4店辅助表'!T:T,B:B,'4店辅助表'!W:W)/SUMIF('4店辅助表'!T:T,B:B,'4店辅助表'!X:X),"-")</f>
        <v>0.0442648190916089</v>
      </c>
      <c r="AF71" s="91">
        <f>IFERROR(SUMIF('4店辅助表'!AC:AC,B:B,'4店辅助表'!AF:AF)/SUMIF('4店辅助表'!AC:AC,B:B,'4店辅助表'!AG:AG),"-")</f>
        <v>0.096612779060816</v>
      </c>
      <c r="AG71" s="99">
        <f>IFERROR(AK71/((SUMIF('4店辅助表'!AT:AT,B:B,'4店辅助表'!AU:AU)+M71)/2),"-")</f>
        <v>0</v>
      </c>
      <c r="AH71" s="99">
        <f>IFERROR(AL71/((SUMIF('4店辅助表'!AW:AW,B:B,'4店辅助表'!AX:AX)+M71)/2),"-")</f>
        <v>0</v>
      </c>
      <c r="AI71" s="100" t="str">
        <f>IFERROR((SUMIF('4店辅助表'!AP:AP,B:B,'4店辅助表'!AR:AR)-SUMIF('4店辅助表'!AP:AP,B:B,'4店辅助表'!AR:AR)*0.15-(L71+IFERROR(VLOOKUP(B:B,'4店辅助表'!AZ:BA,2,0),0))*O71-IF(AN:AN="US",6.85,4.9)*(Z71+4.27*O71))/SUMIF('4店辅助表'!AP:AP,B:B,'4店辅助表'!AR:AR),"-")</f>
        <v>-</v>
      </c>
      <c r="AJ71" s="100" t="str">
        <f t="shared" si="45"/>
        <v>-</v>
      </c>
      <c r="AK71" s="101">
        <f t="shared" si="46"/>
        <v>0</v>
      </c>
      <c r="AL71" s="101">
        <f t="shared" si="47"/>
        <v>0</v>
      </c>
      <c r="AM71" s="1" t="str">
        <f>VLOOKUP(B:B,'4店辅助表'!AZ:AZ,1,FALSE)</f>
        <v>Y4041-WI+Y4044</v>
      </c>
      <c r="AN71" t="str">
        <f>VLOOKUP(B:B,'4店辅助表'!AZ:BB,3,FALSE)</f>
        <v>US</v>
      </c>
    </row>
    <row r="72" customHeight="1" spans="1:40">
      <c r="A72" s="58" t="str">
        <f>INDEX('[1]4店'!$A:$A,MATCH(B:B,'[1]4店'!$B:$B,0))</f>
        <v>美珠</v>
      </c>
      <c r="B72" s="45" t="s">
        <v>1460</v>
      </c>
      <c r="C72" s="45" t="s">
        <v>1449</v>
      </c>
      <c r="D72" s="59">
        <f>VLOOKUP(B:B,'[1]4店'!$B:$L,3,0)</f>
        <v>44835</v>
      </c>
      <c r="E72" s="45" t="s">
        <v>1461</v>
      </c>
      <c r="F72" s="45">
        <v>23</v>
      </c>
      <c r="G72" s="45">
        <v>1</v>
      </c>
      <c r="H72" s="45">
        <v>0</v>
      </c>
      <c r="I72" s="45">
        <v>0</v>
      </c>
      <c r="J72" s="45">
        <v>0</v>
      </c>
      <c r="K72" s="63">
        <f t="shared" si="37"/>
        <v>24</v>
      </c>
      <c r="L72" s="64">
        <v>11</v>
      </c>
      <c r="M72" s="44">
        <f t="shared" si="36"/>
        <v>264</v>
      </c>
      <c r="N72" s="65">
        <f>IFERROR(VLOOKUP(B:B,'4店辅助表'!B:C,2,FALSE),0)</f>
        <v>2</v>
      </c>
      <c r="O72" s="65">
        <f>IFERROR(VLOOKUP(B:B,'4店辅助表'!E:F,2,FALSE),0)</f>
        <v>2</v>
      </c>
      <c r="P72" s="65">
        <f>IFERROR(VLOOKUP(B:B,'4店辅助表'!H:I,2,FALSE),0)</f>
        <v>3</v>
      </c>
      <c r="Q72" s="65">
        <f>IFERROR(VLOOKUP(B:B,'[1]4店'!$B:$N,13,FALSE),0)</f>
        <v>0</v>
      </c>
      <c r="R72" s="79">
        <f t="shared" si="38"/>
        <v>2</v>
      </c>
      <c r="S72" s="80">
        <f t="shared" si="39"/>
        <v>138.715596330275</v>
      </c>
      <c r="T72" s="44">
        <f t="shared" si="40"/>
        <v>4.62385321100918</v>
      </c>
      <c r="U72" s="44">
        <f>IFERROR(VLOOKUP($B:$B,'[1]4店'!$B:$T,19,0),"-")</f>
        <v>18.75</v>
      </c>
      <c r="V72" s="81">
        <f t="shared" si="41"/>
        <v>-14.1261467889908</v>
      </c>
      <c r="W72" s="82" t="str">
        <f t="shared" si="42"/>
        <v>库存过高</v>
      </c>
      <c r="X72" s="83" t="str">
        <f t="shared" si="43"/>
        <v>库存过高</v>
      </c>
      <c r="Y72" s="44">
        <f>IFERROR(SUMIF('4店辅助表'!K:K,B:B,'4店辅助表'!N:N),0)</f>
        <v>0.81</v>
      </c>
      <c r="Z72" s="44">
        <f>IFERROR(SUMIF('4店辅助表'!T:T,B:B,'4店辅助表'!W:W),0)</f>
        <v>2.62</v>
      </c>
      <c r="AA72" s="44">
        <f>IFERROR(SUMIF('4店辅助表'!AC:AC,B:B,'4店辅助表'!AF:AF),0)</f>
        <v>5.3</v>
      </c>
      <c r="AB72" s="91" t="str">
        <f>IFERROR(SUMIF('4店辅助表'!K:K,B:B,'4店辅助表'!N:N)/SUMIF('4店辅助表'!K:K,B:B,'4店辅助表'!O:O),"-")</f>
        <v>-</v>
      </c>
      <c r="AC72" s="91" t="str">
        <f>IFERROR(VLOOKUP(B:B,'[1]4店'!$B:$AB,27,0),"-")</f>
        <v>-</v>
      </c>
      <c r="AD72" s="92" t="str">
        <f t="shared" si="44"/>
        <v>-</v>
      </c>
      <c r="AE72" s="91" t="str">
        <f>IFERROR(SUMIF('4店辅助表'!T:T,B:B,'4店辅助表'!W:W)/SUMIF('4店辅助表'!T:T,B:B,'4店辅助表'!X:X),"-")</f>
        <v>-</v>
      </c>
      <c r="AF72" s="91" t="str">
        <f>IFERROR(SUMIF('4店辅助表'!AC:AC,B:B,'4店辅助表'!AF:AF)/SUMIF('4店辅助表'!AC:AC,B:B,'4店辅助表'!AG:AG),"-")</f>
        <v>-</v>
      </c>
      <c r="AG72" s="99">
        <f>IFERROR(AK72/((SUMIF('4店辅助表'!AT:AT,B:B,'4店辅助表'!AU:AU)+M72)/2),"-")</f>
        <v>0.0816326530612245</v>
      </c>
      <c r="AH72" s="99">
        <f>IFERROR(AL72/((SUMIF('4店辅助表'!AW:AW,B:B,'4店辅助表'!AX:AX)+M72)/2),"-")</f>
        <v>0.0816326530612245</v>
      </c>
      <c r="AI72" s="100">
        <f>IFERROR((SUMIF('4店辅助表'!AP:AP,B:B,'4店辅助表'!AR:AR)-SUMIF('4店辅助表'!AP:AP,B:B,'4店辅助表'!AR:AR)*0.15-(L72+IFERROR(VLOOKUP(B:B,'4店辅助表'!AZ:BA,2,0),0))*O72-IF(AN:AN="US",6.85,4.9)*(Z72+4.27*O72))/SUMIF('4店辅助表'!AP:AP,B:B,'4店辅助表'!AR:AR),"-")</f>
        <v>0.233737068941297</v>
      </c>
      <c r="AJ72" s="100">
        <f t="shared" si="45"/>
        <v>0.0190805770564324</v>
      </c>
      <c r="AK72" s="101">
        <f t="shared" si="46"/>
        <v>22</v>
      </c>
      <c r="AL72" s="101">
        <f t="shared" si="47"/>
        <v>22</v>
      </c>
      <c r="AM72" s="1" t="str">
        <f>VLOOKUP(B:B,'4店辅助表'!AZ:AZ,1,FALSE)</f>
        <v>Y4041-WB+Y4044</v>
      </c>
      <c r="AN72" t="str">
        <f>VLOOKUP(B:B,'4店辅助表'!AZ:BB,3,FALSE)</f>
        <v>US</v>
      </c>
    </row>
    <row r="73" customHeight="1" spans="1:40">
      <c r="A73" s="58" t="str">
        <f>INDEX('[1]4店'!$A:$A,MATCH(B:B,'[1]4店'!$B:$B,0))</f>
        <v>美珠</v>
      </c>
      <c r="B73" s="45" t="s">
        <v>1462</v>
      </c>
      <c r="C73" s="45" t="s">
        <v>1463</v>
      </c>
      <c r="D73" s="59">
        <f>VLOOKUP(B:B,'[1]4店'!$B:$L,3,0)</f>
        <v>44841</v>
      </c>
      <c r="E73" s="45" t="s">
        <v>1464</v>
      </c>
      <c r="F73" s="45">
        <v>51</v>
      </c>
      <c r="G73" s="45">
        <v>0</v>
      </c>
      <c r="H73" s="45">
        <v>2</v>
      </c>
      <c r="I73" s="45">
        <v>0</v>
      </c>
      <c r="J73" s="45">
        <v>0</v>
      </c>
      <c r="K73" s="63">
        <f t="shared" si="37"/>
        <v>53</v>
      </c>
      <c r="L73" s="64">
        <v>11</v>
      </c>
      <c r="M73" s="44">
        <f t="shared" si="36"/>
        <v>583</v>
      </c>
      <c r="N73" s="65">
        <f>IFERROR(VLOOKUP(B:B,'4店辅助表'!B:C,2,FALSE),0)</f>
        <v>3</v>
      </c>
      <c r="O73" s="65">
        <f>IFERROR(VLOOKUP(B:B,'4店辅助表'!E:F,2,FALSE),0)</f>
        <v>14</v>
      </c>
      <c r="P73" s="65">
        <f>IFERROR(VLOOKUP(B:B,'4店辅助表'!H:I,2,FALSE),0)</f>
        <v>23</v>
      </c>
      <c r="Q73" s="65">
        <f>IFERROR(VLOOKUP(B:B,'[1]4店'!$B:$N,13,FALSE),0)</f>
        <v>9</v>
      </c>
      <c r="R73" s="79">
        <f t="shared" si="38"/>
        <v>-6</v>
      </c>
      <c r="S73" s="80">
        <f t="shared" si="39"/>
        <v>74.6979865771812</v>
      </c>
      <c r="T73" s="44">
        <f t="shared" si="40"/>
        <v>2.48993288590604</v>
      </c>
      <c r="U73" s="44">
        <f>IFERROR(VLOOKUP($B:$B,'[1]4店'!$B:$T,19,0),"-")</f>
        <v>1.90909090909091</v>
      </c>
      <c r="V73" s="81">
        <f t="shared" si="41"/>
        <v>0.58084197681513</v>
      </c>
      <c r="W73" s="82" t="str">
        <f t="shared" si="42"/>
        <v>库存过高</v>
      </c>
      <c r="X73" s="83" t="str">
        <f t="shared" si="43"/>
        <v>库存过高</v>
      </c>
      <c r="Y73" s="44">
        <f>IFERROR(SUMIF('4店辅助表'!K:K,B:B,'4店辅助表'!N:N),0)</f>
        <v>2.36</v>
      </c>
      <c r="Z73" s="44">
        <f>IFERROR(SUMIF('4店辅助表'!T:T,B:B,'4店辅助表'!W:W),0)</f>
        <v>4.84</v>
      </c>
      <c r="AA73" s="44">
        <f>IFERROR(SUMIF('4店辅助表'!AC:AC,B:B,'4店辅助表'!AF:AF),0)</f>
        <v>8.55</v>
      </c>
      <c r="AB73" s="91">
        <f>IFERROR(SUMIF('4店辅助表'!K:K,B:B,'4店辅助表'!N:N)/SUMIF('4店辅助表'!K:K,B:B,'4店辅助表'!O:O),"-")</f>
        <v>0.181678214010778</v>
      </c>
      <c r="AC73" s="91">
        <f>IFERROR(VLOOKUP(B:B,'[1]4店'!$B:$AB,27,0),"-")</f>
        <v>0.0317712470214456</v>
      </c>
      <c r="AD73" s="92">
        <f t="shared" si="44"/>
        <v>0.149906966989332</v>
      </c>
      <c r="AE73" s="91">
        <f>IFERROR(SUMIF('4店辅助表'!T:T,B:B,'4店辅助表'!W:W)/SUMIF('4店辅助表'!T:T,B:B,'4店辅助表'!X:X),"-")</f>
        <v>0.0637345272583619</v>
      </c>
      <c r="AF73" s="91">
        <f>IFERROR(SUMIF('4店辅助表'!AC:AC,B:B,'4店辅助表'!AF:AF)/SUMIF('4店辅助表'!AC:AC,B:B,'4店辅助表'!AG:AG),"-")</f>
        <v>0.0961430338468458</v>
      </c>
      <c r="AG73" s="99">
        <f>IFERROR(AK73/((SUMIF('4店辅助表'!AT:AT,B:B,'4店辅助表'!AU:AU)+M73)/2),"-")</f>
        <v>0.0483906444754014</v>
      </c>
      <c r="AH73" s="99">
        <f>IFERROR(AL73/((SUMIF('4店辅助表'!AW:AW,B:B,'4店辅助表'!AX:AX)+M73)/2),"-")</f>
        <v>0.186485831920562</v>
      </c>
      <c r="AI73" s="100">
        <f>IFERROR((SUMIF('4店辅助表'!AP:AP,B:B,'4店辅助表'!AR:AR)-SUMIF('4店辅助表'!AP:AP,B:B,'4店辅助表'!AR:AR)*0.15-(L73+IFERROR(VLOOKUP(B:B,'4店辅助表'!AZ:BA,2,0),0))*O73-IF(AN:AN="US",6.85,4.9)*(Z73+4.27*O73))/SUMIF('4店辅助表'!AP:AP,B:B,'4店辅助表'!AR:AR),"-")</f>
        <v>0.308751835083721</v>
      </c>
      <c r="AJ73" s="100">
        <f t="shared" si="45"/>
        <v>0.0575778428225878</v>
      </c>
      <c r="AK73" s="101">
        <f t="shared" si="46"/>
        <v>33</v>
      </c>
      <c r="AL73" s="101">
        <f t="shared" si="47"/>
        <v>154</v>
      </c>
      <c r="AM73" s="1" t="str">
        <f>VLOOKUP(B:B,'4店辅助表'!AZ:AZ,1,FALSE)</f>
        <v>Y4050-BL+Y4051+Y4052</v>
      </c>
      <c r="AN73" t="str">
        <f>VLOOKUP(B:B,'4店辅助表'!AZ:BB,3,FALSE)</f>
        <v>US</v>
      </c>
    </row>
    <row r="74" customHeight="1" spans="1:40">
      <c r="A74" s="58" t="str">
        <f>INDEX('[1]4店'!$A:$A,MATCH(B:B,'[1]4店'!$B:$B,0))</f>
        <v>美珠</v>
      </c>
      <c r="B74" s="45" t="s">
        <v>1465</v>
      </c>
      <c r="C74" s="45" t="s">
        <v>1466</v>
      </c>
      <c r="D74" s="59">
        <f>VLOOKUP(B:B,'[1]4店'!$B:$L,3,0)</f>
        <v>44841</v>
      </c>
      <c r="E74" s="45" t="s">
        <v>1467</v>
      </c>
      <c r="F74" s="45">
        <v>50</v>
      </c>
      <c r="G74" s="45">
        <v>0</v>
      </c>
      <c r="H74" s="45">
        <v>0</v>
      </c>
      <c r="I74" s="45">
        <v>0</v>
      </c>
      <c r="J74" s="45">
        <v>0</v>
      </c>
      <c r="K74" s="63">
        <f t="shared" si="37"/>
        <v>50</v>
      </c>
      <c r="L74" s="64">
        <v>11</v>
      </c>
      <c r="M74" s="44">
        <f t="shared" si="36"/>
        <v>550</v>
      </c>
      <c r="N74" s="65">
        <f>IFERROR(VLOOKUP(B:B,'4店辅助表'!B:C,2,FALSE),0)</f>
        <v>3</v>
      </c>
      <c r="O74" s="65">
        <f>IFERROR(VLOOKUP(B:B,'4店辅助表'!E:F,2,FALSE),0)</f>
        <v>6</v>
      </c>
      <c r="P74" s="65">
        <f>IFERROR(VLOOKUP(B:B,'4店辅助表'!H:I,2,FALSE),0)</f>
        <v>8</v>
      </c>
      <c r="Q74" s="65">
        <f>IFERROR(VLOOKUP(B:B,'[1]4店'!$B:$N,13,FALSE),0)</f>
        <v>2</v>
      </c>
      <c r="R74" s="79">
        <f t="shared" si="38"/>
        <v>1</v>
      </c>
      <c r="S74" s="80">
        <f t="shared" si="39"/>
        <v>136.95652173913</v>
      </c>
      <c r="T74" s="44">
        <f t="shared" si="40"/>
        <v>4.56521739130435</v>
      </c>
      <c r="U74" s="44">
        <f>IFERROR(VLOOKUP($B:$B,'[1]4店'!$B:$T,19,0),"-")</f>
        <v>6.22674418604651</v>
      </c>
      <c r="V74" s="81">
        <f t="shared" si="41"/>
        <v>-1.66152679474216</v>
      </c>
      <c r="W74" s="82" t="str">
        <f t="shared" si="42"/>
        <v>库存过高</v>
      </c>
      <c r="X74" s="83" t="str">
        <f t="shared" si="43"/>
        <v>库存过高</v>
      </c>
      <c r="Y74" s="44">
        <f>IFERROR(SUMIF('4店辅助表'!K:K,B:B,'4店辅助表'!N:N),0)</f>
        <v>1.74</v>
      </c>
      <c r="Z74" s="44">
        <f>IFERROR(SUMIF('4店辅助表'!T:T,B:B,'4店辅助表'!W:W),0)</f>
        <v>3.26</v>
      </c>
      <c r="AA74" s="44">
        <f>IFERROR(SUMIF('4店辅助表'!AC:AC,B:B,'4店辅助表'!AF:AF),0)</f>
        <v>4.98</v>
      </c>
      <c r="AB74" s="91" t="str">
        <f>IFERROR(SUMIF('4店辅助表'!K:K,B:B,'4店辅助表'!N:N)/SUMIF('4店辅助表'!K:K,B:B,'4店辅助表'!O:O),"-")</f>
        <v>-</v>
      </c>
      <c r="AC74" s="91" t="str">
        <f>IFERROR(VLOOKUP(B:B,'[1]4店'!$B:$AB,27,0),"-")</f>
        <v>-</v>
      </c>
      <c r="AD74" s="92" t="str">
        <f t="shared" si="44"/>
        <v>-</v>
      </c>
      <c r="AE74" s="91" t="str">
        <f>IFERROR(SUMIF('4店辅助表'!T:T,B:B,'4店辅助表'!W:W)/SUMIF('4店辅助表'!T:T,B:B,'4店辅助表'!X:X),"-")</f>
        <v>-</v>
      </c>
      <c r="AF74" s="91" t="str">
        <f>IFERROR(SUMIF('4店辅助表'!AC:AC,B:B,'4店辅助表'!AF:AF)/SUMIF('4店辅助表'!AC:AC,B:B,'4店辅助表'!AG:AG),"-")</f>
        <v>-</v>
      </c>
      <c r="AG74" s="99">
        <f>IFERROR(AK74/((SUMIF('4店辅助表'!AT:AT,B:B,'4店辅助表'!AU:AU)+M74)/2),"-")</f>
        <v>0.0528549691679346</v>
      </c>
      <c r="AH74" s="99">
        <f>IFERROR(AL74/((SUMIF('4店辅助表'!AW:AW,B:B,'4店辅助表'!AX:AX)+M74)/2),"-")</f>
        <v>0.102341448286556</v>
      </c>
      <c r="AI74" s="100">
        <f>IFERROR((SUMIF('4店辅助表'!AP:AP,B:B,'4店辅助表'!AR:AR)-SUMIF('4店辅助表'!AP:AP,B:B,'4店辅助表'!AR:AR)*0.15-(L74+IFERROR(VLOOKUP(B:B,'4店辅助表'!AZ:BA,2,0),0))*O74-IF(AN:AN="US",6.85,4.9)*(Z74+4.27*O74))/SUMIF('4店辅助表'!AP:AP,B:B,'4店辅助表'!AR:AR),"-")</f>
        <v>0.302140800803163</v>
      </c>
      <c r="AJ74" s="100">
        <f t="shared" si="45"/>
        <v>0.0309215271406556</v>
      </c>
      <c r="AK74" s="101">
        <f t="shared" si="46"/>
        <v>33</v>
      </c>
      <c r="AL74" s="101">
        <f t="shared" si="47"/>
        <v>66</v>
      </c>
      <c r="AM74" s="1" t="str">
        <f>VLOOKUP(B:B,'4店辅助表'!AZ:AZ,1,FALSE)</f>
        <v>Y4050-DB+Y4051+Y4052</v>
      </c>
      <c r="AN74" t="str">
        <f>VLOOKUP(B:B,'4店辅助表'!AZ:BB,3,FALSE)</f>
        <v>US</v>
      </c>
    </row>
    <row r="75" customHeight="1" spans="1:40">
      <c r="A75" s="58" t="str">
        <f>INDEX('[1]4店'!$A:$A,MATCH(B:B,'[1]4店'!$B:$B,0))</f>
        <v>美珠</v>
      </c>
      <c r="B75" s="45" t="s">
        <v>1468</v>
      </c>
      <c r="C75" s="45" t="s">
        <v>1466</v>
      </c>
      <c r="D75" s="59">
        <f>VLOOKUP(B:B,'[1]4店'!$B:$L,3,0)</f>
        <v>44841</v>
      </c>
      <c r="E75" s="45" t="s">
        <v>1469</v>
      </c>
      <c r="F75" s="45">
        <v>33</v>
      </c>
      <c r="G75" s="45">
        <v>0</v>
      </c>
      <c r="H75" s="45">
        <v>0</v>
      </c>
      <c r="I75" s="45">
        <v>0</v>
      </c>
      <c r="J75" s="45">
        <v>0</v>
      </c>
      <c r="K75" s="63">
        <f t="shared" si="37"/>
        <v>33</v>
      </c>
      <c r="L75" s="64">
        <v>11</v>
      </c>
      <c r="M75" s="44">
        <f t="shared" si="36"/>
        <v>363</v>
      </c>
      <c r="N75" s="65">
        <f>IFERROR(VLOOKUP(B:B,'4店辅助表'!B:C,2,FALSE),0)</f>
        <v>0</v>
      </c>
      <c r="O75" s="65">
        <f>IFERROR(VLOOKUP(B:B,'4店辅助表'!E:F,2,FALSE),0)</f>
        <v>3</v>
      </c>
      <c r="P75" s="65">
        <f>IFERROR(VLOOKUP(B:B,'4店辅助表'!H:I,2,FALSE),0)</f>
        <v>3</v>
      </c>
      <c r="Q75" s="65">
        <f>IFERROR(VLOOKUP(B:B,'[1]4店'!$B:$N,13,FALSE),0)</f>
        <v>3</v>
      </c>
      <c r="R75" s="79">
        <f t="shared" si="38"/>
        <v>-3</v>
      </c>
      <c r="S75" s="80">
        <f t="shared" si="39"/>
        <v>330</v>
      </c>
      <c r="T75" s="44">
        <f t="shared" si="40"/>
        <v>11</v>
      </c>
      <c r="U75" s="44">
        <f>IFERROR(VLOOKUP($B:$B,'[1]4店'!$B:$T,19,0),"-")</f>
        <v>4.02395209580838</v>
      </c>
      <c r="V75" s="81">
        <f t="shared" si="41"/>
        <v>6.97604790419162</v>
      </c>
      <c r="W75" s="82" t="str">
        <f t="shared" si="42"/>
        <v>有库存无销量</v>
      </c>
      <c r="X75" s="83" t="str">
        <f t="shared" si="43"/>
        <v>库存过高</v>
      </c>
      <c r="Y75" s="44">
        <f>IFERROR(SUMIF('4店辅助表'!K:K,B:B,'4店辅助表'!N:N),0)</f>
        <v>0</v>
      </c>
      <c r="Z75" s="44">
        <f>IFERROR(SUMIF('4店辅助表'!T:T,B:B,'4店辅助表'!W:W),0)</f>
        <v>0</v>
      </c>
      <c r="AA75" s="44">
        <f>IFERROR(SUMIF('4店辅助表'!AC:AC,B:B,'4店辅助表'!AF:AF),0)</f>
        <v>0</v>
      </c>
      <c r="AB75" s="91" t="str">
        <f>IFERROR(SUMIF('4店辅助表'!K:K,B:B,'4店辅助表'!N:N)/SUMIF('4店辅助表'!K:K,B:B,'4店辅助表'!O:O),"-")</f>
        <v>-</v>
      </c>
      <c r="AC75" s="91" t="str">
        <f>IFERROR(VLOOKUP(B:B,'[1]4店'!$B:$AB,27,0),"-")</f>
        <v>-</v>
      </c>
      <c r="AD75" s="92" t="str">
        <f t="shared" si="44"/>
        <v>-</v>
      </c>
      <c r="AE75" s="91" t="str">
        <f>IFERROR(SUMIF('4店辅助表'!T:T,B:B,'4店辅助表'!W:W)/SUMIF('4店辅助表'!T:T,B:B,'4店辅助表'!X:X),"-")</f>
        <v>-</v>
      </c>
      <c r="AF75" s="91" t="str">
        <f>IFERROR(SUMIF('4店辅助表'!AC:AC,B:B,'4店辅助表'!AF:AF)/SUMIF('4店辅助表'!AC:AC,B:B,'4店辅助表'!AG:AG),"-")</f>
        <v>-</v>
      </c>
      <c r="AG75" s="99">
        <f>IFERROR(AK75/((SUMIF('4店辅助表'!AT:AT,B:B,'4店辅助表'!AU:AU)+M75)/2),"-")</f>
        <v>0</v>
      </c>
      <c r="AH75" s="99">
        <f>IFERROR(AL75/((SUMIF('4店辅助表'!AW:AW,B:B,'4店辅助表'!AX:AX)+M75)/2),"-")</f>
        <v>0.0796332046332046</v>
      </c>
      <c r="AI75" s="100">
        <f>IFERROR((SUMIF('4店辅助表'!AP:AP,B:B,'4店辅助表'!AR:AR)-SUMIF('4店辅助表'!AP:AP,B:B,'4店辅助表'!AR:AR)*0.15-(L75+IFERROR(VLOOKUP(B:B,'4店辅助表'!AZ:BA,2,0),0))*O75-IF(AN:AN="US",6.85,4.9)*(Z75+4.27*O75))/SUMIF('4店辅助表'!AP:AP,B:B,'4店辅助表'!AR:AR),"-")</f>
        <v>0.350620915583576</v>
      </c>
      <c r="AJ75" s="100">
        <f t="shared" si="45"/>
        <v>0.0279210671193485</v>
      </c>
      <c r="AK75" s="101">
        <f t="shared" si="46"/>
        <v>0</v>
      </c>
      <c r="AL75" s="101">
        <f t="shared" si="47"/>
        <v>33</v>
      </c>
      <c r="AM75" s="1" t="str">
        <f>VLOOKUP(B:B,'4店辅助表'!AZ:AZ,1,FALSE)</f>
        <v>Y4050-GW+Y4051+Y4052</v>
      </c>
      <c r="AN75" t="str">
        <f>VLOOKUP(B:B,'4店辅助表'!AZ:BB,3,FALSE)</f>
        <v>US</v>
      </c>
    </row>
    <row r="76" customHeight="1" spans="1:40">
      <c r="A76" s="58" t="str">
        <f>INDEX('[1]4店'!$A:$A,MATCH(B:B,'[1]4店'!$B:$B,0))</f>
        <v>美珠</v>
      </c>
      <c r="B76" s="45" t="s">
        <v>1470</v>
      </c>
      <c r="C76" s="45" t="s">
        <v>1466</v>
      </c>
      <c r="D76" s="59">
        <f>VLOOKUP(B:B,'[1]4店'!$B:$L,3,0)</f>
        <v>44841</v>
      </c>
      <c r="E76" s="45" t="s">
        <v>1471</v>
      </c>
      <c r="F76" s="45">
        <v>39</v>
      </c>
      <c r="G76" s="45">
        <v>0</v>
      </c>
      <c r="H76" s="45">
        <v>0</v>
      </c>
      <c r="I76" s="45">
        <v>1</v>
      </c>
      <c r="J76" s="45">
        <v>0</v>
      </c>
      <c r="K76" s="63">
        <f t="shared" si="37"/>
        <v>40</v>
      </c>
      <c r="L76" s="64">
        <v>11</v>
      </c>
      <c r="M76" s="44">
        <f t="shared" si="36"/>
        <v>440</v>
      </c>
      <c r="N76" s="65">
        <f>IFERROR(VLOOKUP(B:B,'4店辅助表'!B:C,2,FALSE),0)</f>
        <v>4</v>
      </c>
      <c r="O76" s="65">
        <f>IFERROR(VLOOKUP(B:B,'4店辅助表'!E:F,2,FALSE),0)</f>
        <v>10</v>
      </c>
      <c r="P76" s="65">
        <f>IFERROR(VLOOKUP(B:B,'4店辅助表'!H:I,2,FALSE),0)</f>
        <v>19</v>
      </c>
      <c r="Q76" s="65">
        <f>IFERROR(VLOOKUP(B:B,'[1]4店'!$B:$N,13,FALSE),0)</f>
        <v>4</v>
      </c>
      <c r="R76" s="79">
        <f t="shared" si="38"/>
        <v>0</v>
      </c>
      <c r="S76" s="80">
        <f t="shared" si="39"/>
        <v>64.1221374045802</v>
      </c>
      <c r="T76" s="44">
        <f t="shared" si="40"/>
        <v>2.13740458015267</v>
      </c>
      <c r="U76" s="44">
        <f>IFERROR(VLOOKUP($B:$B,'[1]4店'!$B:$T,19,0),"-")</f>
        <v>2.0607476635514</v>
      </c>
      <c r="V76" s="81">
        <f t="shared" si="41"/>
        <v>0.0766569166012698</v>
      </c>
      <c r="W76" s="82" t="str">
        <f t="shared" si="42"/>
        <v>库存过高</v>
      </c>
      <c r="X76" s="83" t="str">
        <f t="shared" si="43"/>
        <v>库存过高</v>
      </c>
      <c r="Y76" s="44">
        <f>IFERROR(SUMIF('4店辅助表'!K:K,B:B,'4店辅助表'!N:N),0)</f>
        <v>26.56</v>
      </c>
      <c r="Z76" s="44">
        <f>IFERROR(SUMIF('4店辅助表'!T:T,B:B,'4店辅助表'!W:W),0)</f>
        <v>50.07</v>
      </c>
      <c r="AA76" s="44">
        <f>IFERROR(SUMIF('4店辅助表'!AC:AC,B:B,'4店辅助表'!AF:AF),0)</f>
        <v>82.66</v>
      </c>
      <c r="AB76" s="91">
        <f>IFERROR(SUMIF('4店辅助表'!K:K,B:B,'4店辅助表'!N:N)/SUMIF('4店辅助表'!K:K,B:B,'4店辅助表'!O:O),"-")</f>
        <v>0.511162432640493</v>
      </c>
      <c r="AC76" s="91">
        <f>IFERROR(VLOOKUP(B:B,'[1]4店'!$B:$AB,27,0),"-")</f>
        <v>0.234795996920708</v>
      </c>
      <c r="AD76" s="92">
        <f t="shared" si="44"/>
        <v>0.276366435719785</v>
      </c>
      <c r="AE76" s="91">
        <f>IFERROR(SUMIF('4店辅助表'!T:T,B:B,'4店辅助表'!W:W)/SUMIF('4店辅助表'!T:T,B:B,'4店辅助表'!X:X),"-")</f>
        <v>0.296500266477172</v>
      </c>
      <c r="AF76" s="91">
        <f>IFERROR(SUMIF('4店辅助表'!AC:AC,B:B,'4店辅助表'!AF:AF)/SUMIF('4店辅助表'!AC:AC,B:B,'4店辅助表'!AG:AG),"-")</f>
        <v>0.303139210796538</v>
      </c>
      <c r="AG76" s="99">
        <f>IFERROR(AK76/((SUMIF('4店辅助表'!AT:AT,B:B,'4店辅助表'!AU:AU)+M76)/2),"-")</f>
        <v>0.0866653535552492</v>
      </c>
      <c r="AH76" s="99">
        <f>IFERROR(AL76/((SUMIF('4店辅助表'!AW:AW,B:B,'4店辅助表'!AX:AX)+M76)/2),"-")</f>
        <v>0.17819536692046</v>
      </c>
      <c r="AI76" s="100">
        <f>IFERROR((SUMIF('4店辅助表'!AP:AP,B:B,'4店辅助表'!AR:AR)-SUMIF('4店辅助表'!AP:AP,B:B,'4店辅助表'!AR:AR)*0.15-(L76+IFERROR(VLOOKUP(B:B,'4店辅助表'!AZ:BA,2,0),0))*O76-IF(AN:AN="US",6.85,4.9)*(Z76+4.27*O76))/SUMIF('4店辅助表'!AP:AP,B:B,'4店辅助表'!AR:AR),"-")</f>
        <v>-0.0499674089557941</v>
      </c>
      <c r="AJ76" s="100">
        <f t="shared" si="45"/>
        <v>-0.00890396077294242</v>
      </c>
      <c r="AK76" s="101">
        <f t="shared" si="46"/>
        <v>44</v>
      </c>
      <c r="AL76" s="101">
        <f t="shared" si="47"/>
        <v>110</v>
      </c>
      <c r="AM76" s="1" t="str">
        <f>VLOOKUP(B:B,'4店辅助表'!AZ:AZ,1,FALSE)</f>
        <v>Y4050-OR+Y4051+Y4052</v>
      </c>
      <c r="AN76" t="str">
        <f>VLOOKUP(B:B,'4店辅助表'!AZ:BB,3,FALSE)</f>
        <v>US</v>
      </c>
    </row>
    <row r="77" customHeight="1" spans="1:40">
      <c r="A77" s="58" t="str">
        <f>INDEX('[1]4店'!$A:$A,MATCH(B:B,'[1]4店'!$B:$B,0))</f>
        <v>美珠</v>
      </c>
      <c r="B77" s="45" t="s">
        <v>1472</v>
      </c>
      <c r="C77" s="45" t="s">
        <v>1466</v>
      </c>
      <c r="D77" s="59">
        <f>VLOOKUP(B:B,'[1]4店'!$B:$L,3,0)</f>
        <v>44841</v>
      </c>
      <c r="E77" s="45" t="s">
        <v>1473</v>
      </c>
      <c r="F77" s="45">
        <v>56</v>
      </c>
      <c r="G77" s="45">
        <v>0</v>
      </c>
      <c r="H77" s="45">
        <v>0</v>
      </c>
      <c r="I77" s="45">
        <v>0</v>
      </c>
      <c r="J77" s="45">
        <v>0</v>
      </c>
      <c r="K77" s="63">
        <f t="shared" si="37"/>
        <v>56</v>
      </c>
      <c r="L77" s="64">
        <v>11</v>
      </c>
      <c r="M77" s="44">
        <f t="shared" si="36"/>
        <v>616</v>
      </c>
      <c r="N77" s="65">
        <f>IFERROR(VLOOKUP(B:B,'4店辅助表'!B:C,2,FALSE),0)</f>
        <v>2</v>
      </c>
      <c r="O77" s="65">
        <f>IFERROR(VLOOKUP(B:B,'4店辅助表'!E:F,2,FALSE),0)</f>
        <v>2</v>
      </c>
      <c r="P77" s="65">
        <f>IFERROR(VLOOKUP(B:B,'4店辅助表'!H:I,2,FALSE),0)</f>
        <v>3</v>
      </c>
      <c r="Q77" s="65">
        <f>IFERROR(VLOOKUP(B:B,'[1]4店'!$B:$N,13,FALSE),0)</f>
        <v>0</v>
      </c>
      <c r="R77" s="79">
        <f t="shared" si="38"/>
        <v>2</v>
      </c>
      <c r="S77" s="80">
        <f t="shared" si="39"/>
        <v>323.669724770642</v>
      </c>
      <c r="T77" s="44">
        <f t="shared" si="40"/>
        <v>10.7889908256881</v>
      </c>
      <c r="U77" s="44">
        <f>IFERROR(VLOOKUP($B:$B,'[1]4店'!$B:$T,19,0),"-")</f>
        <v>42.75</v>
      </c>
      <c r="V77" s="81">
        <f t="shared" si="41"/>
        <v>-31.9610091743119</v>
      </c>
      <c r="W77" s="82" t="str">
        <f t="shared" si="42"/>
        <v>库存过高</v>
      </c>
      <c r="X77" s="83" t="str">
        <f t="shared" si="43"/>
        <v>库存过高</v>
      </c>
      <c r="Y77" s="44">
        <f>IFERROR(SUMIF('4店辅助表'!K:K,B:B,'4店辅助表'!N:N),0)</f>
        <v>1.44</v>
      </c>
      <c r="Z77" s="44">
        <f>IFERROR(SUMIF('4店辅助表'!T:T,B:B,'4店辅助表'!W:W),0)</f>
        <v>2.44</v>
      </c>
      <c r="AA77" s="44">
        <f>IFERROR(SUMIF('4店辅助表'!AC:AC,B:B,'4店辅助表'!AF:AF),0)</f>
        <v>3.3</v>
      </c>
      <c r="AB77" s="91" t="str">
        <f>IFERROR(SUMIF('4店辅助表'!K:K,B:B,'4店辅助表'!N:N)/SUMIF('4店辅助表'!K:K,B:B,'4店辅助表'!O:O),"-")</f>
        <v>-</v>
      </c>
      <c r="AC77" s="91" t="str">
        <f>IFERROR(VLOOKUP(B:B,'[1]4店'!$B:$AB,27,0),"-")</f>
        <v>-</v>
      </c>
      <c r="AD77" s="92" t="str">
        <f t="shared" si="44"/>
        <v>-</v>
      </c>
      <c r="AE77" s="91" t="str">
        <f>IFERROR(SUMIF('4店辅助表'!T:T,B:B,'4店辅助表'!W:W)/SUMIF('4店辅助表'!T:T,B:B,'4店辅助表'!X:X),"-")</f>
        <v>-</v>
      </c>
      <c r="AF77" s="91" t="str">
        <f>IFERROR(SUMIF('4店辅助表'!AC:AC,B:B,'4店辅助表'!AF:AF)/SUMIF('4店辅助表'!AC:AC,B:B,'4店辅助表'!AG:AG),"-")</f>
        <v>-</v>
      </c>
      <c r="AG77" s="99">
        <f>IFERROR(AK77/((SUMIF('4店辅助表'!AT:AT,B:B,'4店辅助表'!AU:AU)+M77)/2),"-")</f>
        <v>0.0314983177034863</v>
      </c>
      <c r="AH77" s="99">
        <f>IFERROR(AL77/((SUMIF('4店辅助表'!AW:AW,B:B,'4店辅助表'!AX:AX)+M77)/2),"-")</f>
        <v>0.0311924003969942</v>
      </c>
      <c r="AI77" s="100">
        <f>IFERROR((SUMIF('4店辅助表'!AP:AP,B:B,'4店辅助表'!AR:AR)-SUMIF('4店辅助表'!AP:AP,B:B,'4店辅助表'!AR:AR)*0.15-(L77+IFERROR(VLOOKUP(B:B,'4店辅助表'!AZ:BA,2,0),0))*O77-IF(AN:AN="US",6.85,4.9)*(Z77+4.27*O77))/SUMIF('4店辅助表'!AP:AP,B:B,'4店辅助表'!AR:AR),"-")</f>
        <v>0.249723538038806</v>
      </c>
      <c r="AJ77" s="100">
        <f t="shared" si="45"/>
        <v>0.00778947658706044</v>
      </c>
      <c r="AK77" s="101">
        <f t="shared" si="46"/>
        <v>22</v>
      </c>
      <c r="AL77" s="101">
        <f t="shared" si="47"/>
        <v>22</v>
      </c>
      <c r="AM77" s="1" t="str">
        <f>VLOOKUP(B:B,'4店辅助表'!AZ:AZ,1,FALSE)</f>
        <v>Y4050-WI+Y4051+Y4052</v>
      </c>
      <c r="AN77" t="str">
        <f>VLOOKUP(B:B,'4店辅助表'!AZ:BB,3,FALSE)</f>
        <v>US</v>
      </c>
    </row>
    <row r="78" customHeight="1" spans="1:40">
      <c r="A78" s="58" t="str">
        <f>INDEX('[1]4店'!$A:$A,MATCH(B:B,'[1]4店'!$B:$B,0))</f>
        <v>美珠</v>
      </c>
      <c r="B78" s="45" t="s">
        <v>1474</v>
      </c>
      <c r="C78" s="45" t="s">
        <v>1475</v>
      </c>
      <c r="D78" s="59">
        <f>VLOOKUP(B:B,'[1]4店'!$B:$L,3,0)</f>
        <v>44841</v>
      </c>
      <c r="E78" s="45" t="s">
        <v>1476</v>
      </c>
      <c r="F78" s="45">
        <v>63</v>
      </c>
      <c r="G78" s="45">
        <v>1</v>
      </c>
      <c r="H78" s="45">
        <v>1</v>
      </c>
      <c r="I78" s="45">
        <v>0</v>
      </c>
      <c r="J78" s="45">
        <v>0</v>
      </c>
      <c r="K78" s="63">
        <f t="shared" si="37"/>
        <v>65</v>
      </c>
      <c r="L78" s="64">
        <v>11</v>
      </c>
      <c r="M78" s="44">
        <f t="shared" si="36"/>
        <v>715</v>
      </c>
      <c r="N78" s="65">
        <f>IFERROR(VLOOKUP(B:B,'4店辅助表'!B:C,2,FALSE),0)</f>
        <v>1</v>
      </c>
      <c r="O78" s="65">
        <f>IFERROR(VLOOKUP(B:B,'4店辅助表'!E:F,2,FALSE),0)</f>
        <v>3</v>
      </c>
      <c r="P78" s="65">
        <f>IFERROR(VLOOKUP(B:B,'4店辅助表'!H:I,2,FALSE),0)</f>
        <v>14</v>
      </c>
      <c r="Q78" s="65">
        <f>IFERROR(VLOOKUP(B:B,'[1]4店'!$B:$N,13,FALSE),0)</f>
        <v>2</v>
      </c>
      <c r="R78" s="79">
        <f t="shared" si="38"/>
        <v>-1</v>
      </c>
      <c r="S78" s="80">
        <f t="shared" si="39"/>
        <v>240.882352941176</v>
      </c>
      <c r="T78" s="44">
        <f t="shared" si="40"/>
        <v>8.02941176470588</v>
      </c>
      <c r="U78" s="44">
        <f>IFERROR(VLOOKUP($B:$B,'[1]4店'!$B:$T,19,0),"-")</f>
        <v>4.03603603603604</v>
      </c>
      <c r="V78" s="81">
        <f t="shared" si="41"/>
        <v>3.99337572866984</v>
      </c>
      <c r="W78" s="82" t="str">
        <f t="shared" si="42"/>
        <v>库存过高</v>
      </c>
      <c r="X78" s="83" t="str">
        <f t="shared" si="43"/>
        <v>库存过高</v>
      </c>
      <c r="Y78" s="44">
        <f>IFERROR(SUMIF('4店辅助表'!K:K,B:B,'4店辅助表'!N:N),0)</f>
        <v>1.42</v>
      </c>
      <c r="Z78" s="44">
        <f>IFERROR(SUMIF('4店辅助表'!T:T,B:B,'4店辅助表'!W:W),0)</f>
        <v>2.32</v>
      </c>
      <c r="AA78" s="44">
        <f>IFERROR(SUMIF('4店辅助表'!AC:AC,B:B,'4店辅助表'!AF:AF),0)</f>
        <v>5.99</v>
      </c>
      <c r="AB78" s="91" t="str">
        <f>IFERROR(SUMIF('4店辅助表'!K:K,B:B,'4店辅助表'!N:N)/SUMIF('4店辅助表'!K:K,B:B,'4店辅助表'!O:O),"-")</f>
        <v>-</v>
      </c>
      <c r="AC78" s="91" t="str">
        <f>IFERROR(VLOOKUP(B:B,'[1]4店'!$B:$AB,27,0),"-")</f>
        <v>-</v>
      </c>
      <c r="AD78" s="92" t="str">
        <f t="shared" si="44"/>
        <v>-</v>
      </c>
      <c r="AE78" s="91" t="str">
        <f>IFERROR(SUMIF('4店辅助表'!T:T,B:B,'4店辅助表'!W:W)/SUMIF('4店辅助表'!T:T,B:B,'4店辅助表'!X:X),"-")</f>
        <v>-</v>
      </c>
      <c r="AF78" s="91" t="str">
        <f>IFERROR(SUMIF('4店辅助表'!AC:AC,B:B,'4店辅助表'!AF:AF)/SUMIF('4店辅助表'!AC:AC,B:B,'4店辅助表'!AG:AG),"-")</f>
        <v>-</v>
      </c>
      <c r="AG78" s="99">
        <f>IFERROR(AK78/((SUMIF('4店辅助表'!AT:AT,B:B,'4店辅助表'!AU:AU)+M78)/2),"-")</f>
        <v>0.0138208317627843</v>
      </c>
      <c r="AH78" s="99">
        <f>IFERROR(AL78/((SUMIF('4店辅助表'!AW:AW,B:B,'4店辅助表'!AX:AX)+M78)/2),"-")</f>
        <v>0.039426523297491</v>
      </c>
      <c r="AI78" s="100">
        <f>IFERROR((SUMIF('4店辅助表'!AP:AP,B:B,'4店辅助表'!AR:AR)-SUMIF('4店辅助表'!AP:AP,B:B,'4店辅助表'!AR:AR)*0.15-(L78+IFERROR(VLOOKUP(B:B,'4店辅助表'!AZ:BA,2,0),0))*O78-IF(AN:AN="US",6.85,4.9)*(Z78+4.27*O78))/SUMIF('4店辅助表'!AP:AP,B:B,'4店辅助表'!AR:AR),"-")</f>
        <v>0.209674298512385</v>
      </c>
      <c r="AJ78" s="100">
        <f t="shared" si="45"/>
        <v>0.00826672861518364</v>
      </c>
      <c r="AK78" s="101">
        <f t="shared" si="46"/>
        <v>11</v>
      </c>
      <c r="AL78" s="101">
        <f t="shared" si="47"/>
        <v>33</v>
      </c>
      <c r="AM78" s="1" t="str">
        <f>VLOOKUP(B:B,'4店辅助表'!AZ:AZ,1,FALSE)</f>
        <v>Y4053-BL+Y4054+Y4049</v>
      </c>
      <c r="AN78" t="str">
        <f>VLOOKUP(B:B,'4店辅助表'!AZ:BB,3,FALSE)</f>
        <v>US</v>
      </c>
    </row>
    <row r="79" customHeight="1" spans="1:40">
      <c r="A79" s="58" t="str">
        <f>INDEX('[1]4店'!$A:$A,MATCH(B:B,'[1]4店'!$B:$B,0))</f>
        <v>美珠</v>
      </c>
      <c r="B79" s="45" t="s">
        <v>1477</v>
      </c>
      <c r="C79" s="45" t="s">
        <v>1475</v>
      </c>
      <c r="D79" s="59"/>
      <c r="E79" s="45" t="s">
        <v>1478</v>
      </c>
      <c r="F79" s="45">
        <v>70</v>
      </c>
      <c r="G79" s="45">
        <v>2</v>
      </c>
      <c r="H79" s="45">
        <v>1</v>
      </c>
      <c r="I79" s="45">
        <v>4</v>
      </c>
      <c r="J79" s="45">
        <v>0</v>
      </c>
      <c r="K79" s="63">
        <f t="shared" si="37"/>
        <v>77</v>
      </c>
      <c r="L79" s="64">
        <v>11</v>
      </c>
      <c r="M79" s="44">
        <f t="shared" si="36"/>
        <v>847</v>
      </c>
      <c r="N79" s="65">
        <f>IFERROR(VLOOKUP(B:B,'4店辅助表'!B:C,2,FALSE),0)</f>
        <v>1</v>
      </c>
      <c r="O79" s="65">
        <f>IFERROR(VLOOKUP(B:B,'4店辅助表'!E:F,2,FALSE),0)</f>
        <v>5</v>
      </c>
      <c r="P79" s="65">
        <f>IFERROR(VLOOKUP(B:B,'4店辅助表'!H:I,2,FALSE),0)</f>
        <v>15</v>
      </c>
      <c r="Q79" s="65">
        <f>IFERROR(VLOOKUP(B:B,'[1]4店'!$B:$N,13,FALSE),0)</f>
        <v>3</v>
      </c>
      <c r="R79" s="79">
        <f t="shared" si="38"/>
        <v>-2</v>
      </c>
      <c r="S79" s="80">
        <f t="shared" si="39"/>
        <v>236.634146341463</v>
      </c>
      <c r="T79" s="44">
        <f t="shared" si="40"/>
        <v>7.88780487804878</v>
      </c>
      <c r="U79" s="44">
        <f>IFERROR(VLOOKUP($B:$B,'[1]4店'!$B:$T,19,0),"-")</f>
        <v>5.40390879478827</v>
      </c>
      <c r="V79" s="81">
        <f t="shared" si="41"/>
        <v>2.48389608326051</v>
      </c>
      <c r="W79" s="82" t="str">
        <f t="shared" si="42"/>
        <v>库存过高</v>
      </c>
      <c r="X79" s="83" t="str">
        <f t="shared" si="43"/>
        <v>库存过高</v>
      </c>
      <c r="Y79" s="44">
        <f>IFERROR(SUMIF('4店辅助表'!K:K,B:B,'4店辅助表'!N:N),0)</f>
        <v>1.33</v>
      </c>
      <c r="Z79" s="44">
        <f>IFERROR(SUMIF('4店辅助表'!T:T,B:B,'4店辅助表'!W:W),0)</f>
        <v>2.15</v>
      </c>
      <c r="AA79" s="44">
        <f>IFERROR(SUMIF('4店辅助表'!AC:AC,B:B,'4店辅助表'!AF:AF),0)</f>
        <v>7.11</v>
      </c>
      <c r="AB79" s="91">
        <f>IFERROR(SUMIF('4店辅助表'!K:K,B:B,'4店辅助表'!N:N)/SUMIF('4店辅助表'!K:K,B:B,'4店辅助表'!O:O),"-")</f>
        <v>0.102386451116243</v>
      </c>
      <c r="AC79" s="91" t="str">
        <f>IFERROR(VLOOKUP(B:B,'[1]4店'!$B:$AB,27,0),"-")</f>
        <v>-</v>
      </c>
      <c r="AD79" s="92" t="str">
        <f t="shared" si="44"/>
        <v>-</v>
      </c>
      <c r="AE79" s="91">
        <f>IFERROR(SUMIF('4店辅助表'!T:T,B:B,'4店辅助表'!W:W)/SUMIF('4店辅助表'!T:T,B:B,'4店辅助表'!X:X),"-")</f>
        <v>0.165511932255581</v>
      </c>
      <c r="AF79" s="91">
        <f>IFERROR(SUMIF('4店辅助表'!AC:AC,B:B,'4店辅助表'!AF:AF)/SUMIF('4店辅助表'!AC:AC,B:B,'4店辅助表'!AG:AG),"-")</f>
        <v>0.136836027713626</v>
      </c>
      <c r="AG79" s="99">
        <f>IFERROR(AK79/((SUMIF('4店辅助表'!AT:AT,B:B,'4店辅助表'!AU:AU)+M79)/2),"-")</f>
        <v>0.0114030995697922</v>
      </c>
      <c r="AH79" s="99">
        <f>IFERROR(AL79/((SUMIF('4店辅助表'!AW:AW,B:B,'4店辅助表'!AX:AX)+M79)/2),"-")</f>
        <v>0.058256540620697</v>
      </c>
      <c r="AI79" s="100">
        <f>IFERROR((SUMIF('4店辅助表'!AP:AP,B:B,'4店辅助表'!AR:AR)-SUMIF('4店辅助表'!AP:AP,B:B,'4店辅助表'!AR:AR)*0.15-(L79+IFERROR(VLOOKUP(B:B,'4店辅助表'!AZ:BA,2,0),0))*O79-IF(AN:AN="US",6.85,4.9)*(Z79+4.27*O79))/SUMIF('4店辅助表'!AP:AP,B:B,'4店辅助表'!AR:AR),"-")</f>
        <v>0.309056095930053</v>
      </c>
      <c r="AJ79" s="100">
        <f t="shared" si="45"/>
        <v>0.0180045390066231</v>
      </c>
      <c r="AK79" s="101">
        <f t="shared" si="46"/>
        <v>11</v>
      </c>
      <c r="AL79" s="101">
        <f t="shared" si="47"/>
        <v>55</v>
      </c>
      <c r="AM79" s="1" t="str">
        <f>VLOOKUP(B:B,'4店辅助表'!AZ:AZ,1,FALSE)</f>
        <v>Y4053-DB+Y4054+Y4049</v>
      </c>
      <c r="AN79" t="str">
        <f>VLOOKUP(B:B,'4店辅助表'!AZ:BB,3,FALSE)</f>
        <v>US</v>
      </c>
    </row>
    <row r="80" customHeight="1" spans="1:40">
      <c r="A80" s="58" t="str">
        <f>INDEX('[1]4店'!$A:$A,MATCH(B:B,'[1]4店'!$B:$B,0))</f>
        <v>美珠</v>
      </c>
      <c r="B80" s="45" t="s">
        <v>1479</v>
      </c>
      <c r="C80" s="45" t="s">
        <v>1475</v>
      </c>
      <c r="D80" s="59">
        <f>VLOOKUP(B:B,'[1]4店'!$B:$L,3,0)</f>
        <v>44841</v>
      </c>
      <c r="E80" s="45" t="s">
        <v>1480</v>
      </c>
      <c r="F80" s="45">
        <v>44</v>
      </c>
      <c r="G80" s="45">
        <v>0</v>
      </c>
      <c r="H80" s="45">
        <v>0</v>
      </c>
      <c r="I80" s="45">
        <v>11</v>
      </c>
      <c r="J80" s="45">
        <v>0</v>
      </c>
      <c r="K80" s="63">
        <f t="shared" si="37"/>
        <v>55</v>
      </c>
      <c r="L80" s="64">
        <v>11</v>
      </c>
      <c r="M80" s="44">
        <f t="shared" si="36"/>
        <v>605</v>
      </c>
      <c r="N80" s="65">
        <f>IFERROR(VLOOKUP(B:B,'4店辅助表'!B:C,2,FALSE),0)</f>
        <v>0</v>
      </c>
      <c r="O80" s="65">
        <f>IFERROR(VLOOKUP(B:B,'4店辅助表'!E:F,2,FALSE),0)</f>
        <v>2</v>
      </c>
      <c r="P80" s="65">
        <f>IFERROR(VLOOKUP(B:B,'4店辅助表'!H:I,2,FALSE),0)</f>
        <v>3</v>
      </c>
      <c r="Q80" s="65">
        <f>IFERROR(VLOOKUP(B:B,'[1]4店'!$B:$N,13,FALSE),0)</f>
        <v>2</v>
      </c>
      <c r="R80" s="79">
        <f t="shared" si="38"/>
        <v>-2</v>
      </c>
      <c r="S80" s="80">
        <f t="shared" si="39"/>
        <v>707.142857142857</v>
      </c>
      <c r="T80" s="44">
        <f t="shared" si="40"/>
        <v>23.5714285714286</v>
      </c>
      <c r="U80" s="44">
        <f>IFERROR(VLOOKUP($B:$B,'[1]4店'!$B:$T,19,0),"-")</f>
        <v>8.02083333333333</v>
      </c>
      <c r="V80" s="81">
        <f t="shared" si="41"/>
        <v>15.5505952380953</v>
      </c>
      <c r="W80" s="82" t="str">
        <f t="shared" si="42"/>
        <v>有库存无销量</v>
      </c>
      <c r="X80" s="83" t="str">
        <f t="shared" si="43"/>
        <v>库存过高</v>
      </c>
      <c r="Y80" s="44">
        <f>IFERROR(SUMIF('4店辅助表'!K:K,B:B,'4店辅助表'!N:N),0)</f>
        <v>0</v>
      </c>
      <c r="Z80" s="44">
        <f>IFERROR(SUMIF('4店辅助表'!T:T,B:B,'4店辅助表'!W:W),0)</f>
        <v>0</v>
      </c>
      <c r="AA80" s="44">
        <f>IFERROR(SUMIF('4店辅助表'!AC:AC,B:B,'4店辅助表'!AF:AF),0)</f>
        <v>0</v>
      </c>
      <c r="AB80" s="91" t="str">
        <f>IFERROR(SUMIF('4店辅助表'!K:K,B:B,'4店辅助表'!N:N)/SUMIF('4店辅助表'!K:K,B:B,'4店辅助表'!O:O),"-")</f>
        <v>-</v>
      </c>
      <c r="AC80" s="91" t="str">
        <f>IFERROR(VLOOKUP(B:B,'[1]4店'!$B:$AB,27,0),"-")</f>
        <v>-</v>
      </c>
      <c r="AD80" s="92" t="str">
        <f t="shared" si="44"/>
        <v>-</v>
      </c>
      <c r="AE80" s="91" t="str">
        <f>IFERROR(SUMIF('4店辅助表'!T:T,B:B,'4店辅助表'!W:W)/SUMIF('4店辅助表'!T:T,B:B,'4店辅助表'!X:X),"-")</f>
        <v>-</v>
      </c>
      <c r="AF80" s="91" t="str">
        <f>IFERROR(SUMIF('4店辅助表'!AC:AC,B:B,'4店辅助表'!AF:AF)/SUMIF('4店辅助表'!AC:AC,B:B,'4店辅助表'!AG:AG),"-")</f>
        <v>-</v>
      </c>
      <c r="AG80" s="99">
        <f>IFERROR(AK80/((SUMIF('4店辅助表'!AT:AT,B:B,'4店辅助表'!AU:AU)+M80)/2),"-")</f>
        <v>0</v>
      </c>
      <c r="AH80" s="99">
        <f>IFERROR(AL80/((SUMIF('4店辅助表'!AW:AW,B:B,'4店辅助表'!AX:AX)+M80)/2),"-")</f>
        <v>0.0395719039481968</v>
      </c>
      <c r="AI80" s="100">
        <f>IFERROR((SUMIF('4店辅助表'!AP:AP,B:B,'4店辅助表'!AR:AR)-SUMIF('4店辅助表'!AP:AP,B:B,'4店辅助表'!AR:AR)*0.15-(L80+IFERROR(VLOOKUP(B:B,'4店辅助表'!AZ:BA,2,0),0))*O80-IF(AN:AN="US",6.85,4.9)*(Z80+4.27*O80))/SUMIF('4店辅助表'!AP:AP,B:B,'4店辅助表'!AR:AR),"-")</f>
        <v>0.344990531739744</v>
      </c>
      <c r="AJ80" s="100">
        <f t="shared" si="45"/>
        <v>0.0136519321850425</v>
      </c>
      <c r="AK80" s="101">
        <f t="shared" si="46"/>
        <v>0</v>
      </c>
      <c r="AL80" s="101">
        <f t="shared" si="47"/>
        <v>22</v>
      </c>
      <c r="AM80" s="1" t="str">
        <f>VLOOKUP(B:B,'4店辅助表'!AZ:AZ,1,FALSE)</f>
        <v>Y4053-GW+Y4054+Y4049</v>
      </c>
      <c r="AN80" t="str">
        <f>VLOOKUP(B:B,'4店辅助表'!AZ:BB,3,FALSE)</f>
        <v>US</v>
      </c>
    </row>
    <row r="81" customHeight="1" spans="1:40">
      <c r="A81" s="58" t="str">
        <f>INDEX('[1]4店'!$A:$A,MATCH(B:B,'[1]4店'!$B:$B,0))</f>
        <v>美珠</v>
      </c>
      <c r="B81" s="45" t="s">
        <v>1481</v>
      </c>
      <c r="C81" s="45" t="s">
        <v>1475</v>
      </c>
      <c r="D81" s="59">
        <f>VLOOKUP(B:B,'[1]4店'!$B:$L,3,0)</f>
        <v>44841</v>
      </c>
      <c r="E81" s="45" t="s">
        <v>1482</v>
      </c>
      <c r="F81" s="45">
        <v>58</v>
      </c>
      <c r="G81" s="45">
        <v>0</v>
      </c>
      <c r="H81" s="45">
        <v>4</v>
      </c>
      <c r="I81" s="45">
        <v>11</v>
      </c>
      <c r="J81" s="45">
        <v>0</v>
      </c>
      <c r="K81" s="63">
        <f t="shared" si="37"/>
        <v>73</v>
      </c>
      <c r="L81" s="64">
        <v>11</v>
      </c>
      <c r="M81" s="44">
        <f t="shared" si="36"/>
        <v>803</v>
      </c>
      <c r="N81" s="65">
        <f>IFERROR(VLOOKUP(B:B,'4店辅助表'!B:C,2,FALSE),0)</f>
        <v>5</v>
      </c>
      <c r="O81" s="65">
        <f>IFERROR(VLOOKUP(B:B,'4店辅助表'!E:F,2,FALSE),0)</f>
        <v>8</v>
      </c>
      <c r="P81" s="65">
        <f>IFERROR(VLOOKUP(B:B,'4店辅助表'!H:I,2,FALSE),0)</f>
        <v>15</v>
      </c>
      <c r="Q81" s="65">
        <f>IFERROR(VLOOKUP(B:B,'[1]4店'!$B:$N,13,FALSE),0)</f>
        <v>3</v>
      </c>
      <c r="R81" s="79">
        <f t="shared" si="38"/>
        <v>2</v>
      </c>
      <c r="S81" s="80">
        <f t="shared" si="39"/>
        <v>125.313351498638</v>
      </c>
      <c r="T81" s="44">
        <f t="shared" si="40"/>
        <v>4.17711171662125</v>
      </c>
      <c r="U81" s="44">
        <f>IFERROR(VLOOKUP($B:$B,'[1]4店'!$B:$T,19,0),"-")</f>
        <v>5.87412587412587</v>
      </c>
      <c r="V81" s="81">
        <f t="shared" si="41"/>
        <v>-1.69701415750462</v>
      </c>
      <c r="W81" s="82" t="str">
        <f t="shared" si="42"/>
        <v>库存过高</v>
      </c>
      <c r="X81" s="83" t="str">
        <f t="shared" si="43"/>
        <v>库存过高</v>
      </c>
      <c r="Y81" s="44">
        <f>IFERROR(SUMIF('4店辅助表'!K:K,B:B,'4店辅助表'!N:N),0)</f>
        <v>12.15</v>
      </c>
      <c r="Z81" s="44">
        <f>IFERROR(SUMIF('4店辅助表'!T:T,B:B,'4店辅助表'!W:W),0)</f>
        <v>24.71</v>
      </c>
      <c r="AA81" s="44">
        <f>IFERROR(SUMIF('4店辅助表'!AC:AC,B:B,'4店辅助表'!AF:AF),0)</f>
        <v>53.55</v>
      </c>
      <c r="AB81" s="91">
        <f>IFERROR(SUMIF('4店辅助表'!K:K,B:B,'4店辅助表'!N:N)/SUMIF('4店辅助表'!K:K,B:B,'4店辅助表'!O:O),"-")</f>
        <v>0.467667436489607</v>
      </c>
      <c r="AC81" s="91">
        <f>IFERROR(VLOOKUP(B:B,'[1]4店'!$B:$AB,27,0),"-")</f>
        <v>0.492720655141037</v>
      </c>
      <c r="AD81" s="92">
        <f t="shared" si="44"/>
        <v>-0.02505321865143</v>
      </c>
      <c r="AE81" s="91">
        <f>IFERROR(SUMIF('4店辅助表'!T:T,B:B,'4店辅助表'!W:W)/SUMIF('4店辅助表'!T:T,B:B,'4店辅助表'!X:X),"-")</f>
        <v>0.515221017514595</v>
      </c>
      <c r="AF81" s="91">
        <f>IFERROR(SUMIF('4店辅助表'!AC:AC,B:B,'4店辅助表'!AF:AF)/SUMIF('4店辅助表'!AC:AC,B:B,'4店辅助表'!AG:AG),"-")</f>
        <v>0.301079500730912</v>
      </c>
      <c r="AG81" s="99">
        <f>IFERROR(AK81/((SUMIF('4店辅助表'!AT:AT,B:B,'4店辅助表'!AU:AU)+M81)/2),"-")</f>
        <v>0.0579252238020011</v>
      </c>
      <c r="AH81" s="99">
        <f>IFERROR(AL81/((SUMIF('4店辅助表'!AW:AW,B:B,'4店辅助表'!AX:AX)+M81)/2),"-")</f>
        <v>0.132970686007857</v>
      </c>
      <c r="AI81" s="100">
        <f>IFERROR((SUMIF('4店辅助表'!AP:AP,B:B,'4店辅助表'!AR:AR)-SUMIF('4店辅助表'!AP:AP,B:B,'4店辅助表'!AR:AR)*0.15-(L81+IFERROR(VLOOKUP(B:B,'4店辅助表'!AZ:BA,2,0),0))*O81-IF(AN:AN="US",6.85,4.9)*(Z81+4.27*O81))/SUMIF('4店辅助表'!AP:AP,B:B,'4店辅助表'!AR:AR),"-")</f>
        <v>0.0796384552897795</v>
      </c>
      <c r="AJ81" s="100">
        <f t="shared" si="45"/>
        <v>0.0105895800324881</v>
      </c>
      <c r="AK81" s="101">
        <f t="shared" si="46"/>
        <v>55</v>
      </c>
      <c r="AL81" s="101">
        <f t="shared" si="47"/>
        <v>88</v>
      </c>
      <c r="AM81" s="1" t="str">
        <f>VLOOKUP(B:B,'4店辅助表'!AZ:AZ,1,FALSE)</f>
        <v>Y4053-OR+Y4054+Y4049</v>
      </c>
      <c r="AN81" t="str">
        <f>VLOOKUP(B:B,'4店辅助表'!AZ:BB,3,FALSE)</f>
        <v>US</v>
      </c>
    </row>
    <row r="82" customHeight="1" spans="1:40">
      <c r="A82" s="58" t="str">
        <f>INDEX('[1]4店'!$A:$A,MATCH(B:B,'[1]4店'!$B:$B,0))</f>
        <v>美珠</v>
      </c>
      <c r="B82" s="45" t="s">
        <v>1483</v>
      </c>
      <c r="C82" s="45" t="s">
        <v>1475</v>
      </c>
      <c r="D82" s="59">
        <f>VLOOKUP(B:B,'[1]4店'!$B:$L,3,0)</f>
        <v>44841</v>
      </c>
      <c r="E82" s="45" t="s">
        <v>1484</v>
      </c>
      <c r="F82" s="45">
        <v>48</v>
      </c>
      <c r="G82" s="45">
        <v>0</v>
      </c>
      <c r="H82" s="45">
        <v>4</v>
      </c>
      <c r="I82" s="45">
        <v>1</v>
      </c>
      <c r="J82" s="45">
        <v>0</v>
      </c>
      <c r="K82" s="63">
        <f t="shared" si="37"/>
        <v>53</v>
      </c>
      <c r="L82" s="64">
        <v>11</v>
      </c>
      <c r="M82" s="44">
        <f t="shared" si="36"/>
        <v>583</v>
      </c>
      <c r="N82" s="65">
        <f>IFERROR(VLOOKUP(B:B,'4店辅助表'!B:C,2,FALSE),0)</f>
        <v>2</v>
      </c>
      <c r="O82" s="65">
        <f>IFERROR(VLOOKUP(B:B,'4店辅助表'!E:F,2,FALSE),0)</f>
        <v>4</v>
      </c>
      <c r="P82" s="65">
        <f>IFERROR(VLOOKUP(B:B,'4店辅助表'!H:I,2,FALSE),0)</f>
        <v>9</v>
      </c>
      <c r="Q82" s="65">
        <f>IFERROR(VLOOKUP(B:B,'[1]4店'!$B:$N,13,FALSE),0)</f>
        <v>2</v>
      </c>
      <c r="R82" s="79">
        <f t="shared" si="38"/>
        <v>0</v>
      </c>
      <c r="S82" s="80">
        <f t="shared" si="39"/>
        <v>186.536312849162</v>
      </c>
      <c r="T82" s="44">
        <f t="shared" si="40"/>
        <v>6.21787709497207</v>
      </c>
      <c r="U82" s="44">
        <f>IFERROR(VLOOKUP($B:$B,'[1]4店'!$B:$T,19,0),"-")</f>
        <v>5.985</v>
      </c>
      <c r="V82" s="81">
        <f t="shared" si="41"/>
        <v>0.23287709497207</v>
      </c>
      <c r="W82" s="82" t="str">
        <f t="shared" si="42"/>
        <v>库存过高</v>
      </c>
      <c r="X82" s="83" t="str">
        <f t="shared" si="43"/>
        <v>库存过高</v>
      </c>
      <c r="Y82" s="44">
        <f>IFERROR(SUMIF('4店辅助表'!K:K,B:B,'4店辅助表'!N:N),0)</f>
        <v>3.1</v>
      </c>
      <c r="Z82" s="44">
        <f>IFERROR(SUMIF('4店辅助表'!T:T,B:B,'4店辅助表'!W:W),0)</f>
        <v>7.83</v>
      </c>
      <c r="AA82" s="44">
        <f>IFERROR(SUMIF('4店辅助表'!AC:AC,B:B,'4店辅助表'!AF:AF),0)</f>
        <v>19.84</v>
      </c>
      <c r="AB82" s="91" t="str">
        <f>IFERROR(SUMIF('4店辅助表'!K:K,B:B,'4店辅助表'!N:N)/SUMIF('4店辅助表'!K:K,B:B,'4店辅助表'!O:O),"-")</f>
        <v>-</v>
      </c>
      <c r="AC82" s="91">
        <f>IFERROR(VLOOKUP(B:B,'[1]4店'!$B:$AB,27,0),"-")</f>
        <v>0.364126250962279</v>
      </c>
      <c r="AD82" s="92" t="str">
        <f t="shared" si="44"/>
        <v>-</v>
      </c>
      <c r="AE82" s="91">
        <f>IFERROR(SUMIF('4店辅助表'!T:T,B:B,'4店辅助表'!W:W)/SUMIF('4店辅助表'!T:T,B:B,'4店辅助表'!X:X),"-")</f>
        <v>0.602771362586605</v>
      </c>
      <c r="AF82" s="91">
        <f>IFERROR(SUMIF('4店辅助表'!AC:AC,B:B,'4店辅助表'!AF:AF)/SUMIF('4店辅助表'!AC:AC,B:B,'4店辅助表'!AG:AG),"-")</f>
        <v>0.254554785732615</v>
      </c>
      <c r="AG82" s="99">
        <f>IFERROR(AK82/((SUMIF('4店辅助表'!AT:AT,B:B,'4店辅助表'!AU:AU)+M82)/2),"-")</f>
        <v>0.0322604296502676</v>
      </c>
      <c r="AH82" s="99">
        <f>IFERROR(AL82/((SUMIF('4店辅助表'!AW:AW,B:B,'4店辅助表'!AX:AX)+M82)/2),"-")</f>
        <v>0.127057464626047</v>
      </c>
      <c r="AI82" s="100">
        <f>IFERROR((SUMIF('4店辅助表'!AP:AP,B:B,'4店辅助表'!AR:AR)-SUMIF('4店辅助表'!AP:AP,B:B,'4店辅助表'!AR:AR)*0.15-(L82+IFERROR(VLOOKUP(B:B,'4店辅助表'!AZ:BA,2,0),0))*O82-IF(AN:AN="US",6.85,4.9)*(Z82+4.27*O82))/SUMIF('4店辅助表'!AP:AP,B:B,'4店辅助表'!AR:AR),"-")</f>
        <v>0.202917460370976</v>
      </c>
      <c r="AJ82" s="100">
        <f t="shared" si="45"/>
        <v>0.0257821780430925</v>
      </c>
      <c r="AK82" s="101">
        <f t="shared" si="46"/>
        <v>22</v>
      </c>
      <c r="AL82" s="101">
        <f t="shared" si="47"/>
        <v>44</v>
      </c>
      <c r="AM82" s="1" t="str">
        <f>VLOOKUP(B:B,'4店辅助表'!AZ:AZ,1,FALSE)</f>
        <v>Y4053-WI+Y4054+Y4049</v>
      </c>
      <c r="AN82" t="str">
        <f>VLOOKUP(B:B,'4店辅助表'!AZ:BB,3,FALSE)</f>
        <v>US</v>
      </c>
    </row>
    <row r="83" customHeight="1" spans="1:40">
      <c r="A83" s="58" t="str">
        <f>INDEX('[1]4店'!$A:$A,MATCH(B:B,'[1]4店'!$B:$B,0))</f>
        <v>美珠</v>
      </c>
      <c r="B83" s="45" t="s">
        <v>1485</v>
      </c>
      <c r="C83" s="45" t="s">
        <v>1486</v>
      </c>
      <c r="D83" s="59">
        <f>VLOOKUP(B:B,'[1]4店'!$B:$L,3,0)</f>
        <v>44925</v>
      </c>
      <c r="E83" s="45" t="s">
        <v>1487</v>
      </c>
      <c r="F83" s="45">
        <v>95</v>
      </c>
      <c r="G83" s="45">
        <v>0</v>
      </c>
      <c r="H83" s="45">
        <v>0</v>
      </c>
      <c r="I83" s="45">
        <v>0</v>
      </c>
      <c r="J83" s="45">
        <v>0</v>
      </c>
      <c r="K83" s="63">
        <f t="shared" si="37"/>
        <v>95</v>
      </c>
      <c r="L83" s="64">
        <v>11</v>
      </c>
      <c r="M83" s="44">
        <f t="shared" si="36"/>
        <v>1045</v>
      </c>
      <c r="N83" s="65">
        <f>IFERROR(VLOOKUP(B:B,'4店辅助表'!B:C,2,FALSE),0)</f>
        <v>0</v>
      </c>
      <c r="O83" s="65">
        <f>IFERROR(VLOOKUP(B:B,'4店辅助表'!E:F,2,FALSE),0)</f>
        <v>0</v>
      </c>
      <c r="P83" s="65">
        <f>IFERROR(VLOOKUP(B:B,'4店辅助表'!H:I,2,FALSE),0)</f>
        <v>5</v>
      </c>
      <c r="Q83" s="65">
        <f>IFERROR(VLOOKUP(B:B,'[1]4店'!$B:$N,13,FALSE),0)</f>
        <v>0</v>
      </c>
      <c r="R83" s="79">
        <f t="shared" si="38"/>
        <v>0</v>
      </c>
      <c r="S83" s="80">
        <f t="shared" si="39"/>
        <v>1710</v>
      </c>
      <c r="T83" s="44">
        <f t="shared" si="40"/>
        <v>57</v>
      </c>
      <c r="U83" s="44">
        <f>IFERROR(VLOOKUP($B:$B,'[1]4店'!$B:$T,19,0),"-")</f>
        <v>25.9090909090909</v>
      </c>
      <c r="V83" s="81">
        <f t="shared" si="41"/>
        <v>31.0909090909091</v>
      </c>
      <c r="W83" s="82" t="str">
        <f t="shared" si="42"/>
        <v>有库存无销量</v>
      </c>
      <c r="X83" s="83" t="str">
        <f t="shared" si="43"/>
        <v>库存过高</v>
      </c>
      <c r="Y83" s="44">
        <f>IFERROR(SUMIF('4店辅助表'!K:K,B:B,'4店辅助表'!N:N),0)</f>
        <v>0.96</v>
      </c>
      <c r="Z83" s="44">
        <f>IFERROR(SUMIF('4店辅助表'!T:T,B:B,'4店辅助表'!W:W),0)</f>
        <v>2.65</v>
      </c>
      <c r="AA83" s="44">
        <f>IFERROR(SUMIF('4店辅助表'!AC:AC,B:B,'4店辅助表'!AF:AF),0)</f>
        <v>4.59</v>
      </c>
      <c r="AB83" s="91" t="str">
        <f>IFERROR(SUMIF('4店辅助表'!K:K,B:B,'4店辅助表'!N:N)/SUMIF('4店辅助表'!K:K,B:B,'4店辅助表'!O:O),"-")</f>
        <v>-</v>
      </c>
      <c r="AC83" s="91" t="str">
        <f>IFERROR(VLOOKUP(B:B,'[1]4店'!$B:$AB,27,0),"-")</f>
        <v>-</v>
      </c>
      <c r="AD83" s="92" t="str">
        <f t="shared" si="44"/>
        <v>-</v>
      </c>
      <c r="AE83" s="91" t="str">
        <f>IFERROR(SUMIF('4店辅助表'!T:T,B:B,'4店辅助表'!W:W)/SUMIF('4店辅助表'!T:T,B:B,'4店辅助表'!X:X),"-")</f>
        <v>-</v>
      </c>
      <c r="AF83" s="91">
        <f>IFERROR(SUMIF('4店辅助表'!AC:AC,B:B,'4店辅助表'!AF:AF)/SUMIF('4店辅助表'!AC:AC,B:B,'4店辅助表'!AG:AG),"-")</f>
        <v>0.353348729792148</v>
      </c>
      <c r="AG83" s="99">
        <f>IFERROR(AK83/((SUMIF('4店辅助表'!AT:AT,B:B,'4店辅助表'!AU:AU)+M83)/2),"-")</f>
        <v>0</v>
      </c>
      <c r="AH83" s="99">
        <f>IFERROR(AL83/((SUMIF('4店辅助表'!AW:AW,B:B,'4店辅助表'!AX:AX)+M83)/2),"-")</f>
        <v>0</v>
      </c>
      <c r="AI83" s="100" t="str">
        <f>IFERROR((SUMIF('4店辅助表'!AP:AP,B:B,'4店辅助表'!AR:AR)-SUMIF('4店辅助表'!AP:AP,B:B,'4店辅助表'!AR:AR)*0.15-(L83+IFERROR(VLOOKUP(B:B,'4店辅助表'!AZ:BA,2,0),0))*O83-IF(AN:AN="US",6.85,4.9)*(Z83+4.27*O83))/SUMIF('4店辅助表'!AP:AP,B:B,'4店辅助表'!AR:AR),"-")</f>
        <v>-</v>
      </c>
      <c r="AJ83" s="100" t="str">
        <f t="shared" si="45"/>
        <v>-</v>
      </c>
      <c r="AK83" s="101">
        <f t="shared" si="46"/>
        <v>0</v>
      </c>
      <c r="AL83" s="101">
        <f t="shared" si="47"/>
        <v>0</v>
      </c>
      <c r="AM83" s="1" t="str">
        <f>VLOOKUP(B:B,'4店辅助表'!AZ:AZ,1,FALSE)</f>
        <v>Y4063-BL+Y4064+Y4065</v>
      </c>
      <c r="AN83" t="str">
        <f>VLOOKUP(B:B,'4店辅助表'!AZ:BB,3,FALSE)</f>
        <v>US</v>
      </c>
    </row>
    <row r="84" customHeight="1" spans="1:40">
      <c r="A84" s="58" t="str">
        <f>INDEX('[1]4店'!$A:$A,MATCH(B:B,'[1]4店'!$B:$B,0))</f>
        <v>美珠</v>
      </c>
      <c r="B84" s="45" t="s">
        <v>1488</v>
      </c>
      <c r="C84" s="45" t="s">
        <v>1486</v>
      </c>
      <c r="D84" s="59">
        <f>VLOOKUP(B:B,'[1]4店'!$B:$L,3,0)</f>
        <v>44925</v>
      </c>
      <c r="E84" s="45" t="s">
        <v>1489</v>
      </c>
      <c r="F84" s="45">
        <v>21</v>
      </c>
      <c r="G84" s="45">
        <v>0</v>
      </c>
      <c r="H84" s="45">
        <v>1</v>
      </c>
      <c r="I84" s="45">
        <v>0</v>
      </c>
      <c r="J84" s="45">
        <v>0</v>
      </c>
      <c r="K84" s="63">
        <f t="shared" si="37"/>
        <v>22</v>
      </c>
      <c r="L84" s="64">
        <v>11</v>
      </c>
      <c r="M84" s="44">
        <f t="shared" si="36"/>
        <v>242</v>
      </c>
      <c r="N84" s="65">
        <f>IFERROR(VLOOKUP(B:B,'4店辅助表'!B:C,2,FALSE),0)</f>
        <v>0</v>
      </c>
      <c r="O84" s="65">
        <f>IFERROR(VLOOKUP(B:B,'4店辅助表'!E:F,2,FALSE),0)</f>
        <v>0</v>
      </c>
      <c r="P84" s="65">
        <f>IFERROR(VLOOKUP(B:B,'4店辅助表'!H:I,2,FALSE),0)</f>
        <v>3</v>
      </c>
      <c r="Q84" s="65">
        <f>IFERROR(VLOOKUP(B:B,'[1]4店'!$B:$N,13,FALSE),0)</f>
        <v>0</v>
      </c>
      <c r="R84" s="79">
        <f t="shared" si="38"/>
        <v>0</v>
      </c>
      <c r="S84" s="80">
        <f t="shared" si="39"/>
        <v>660</v>
      </c>
      <c r="T84" s="44">
        <f t="shared" si="40"/>
        <v>22</v>
      </c>
      <c r="U84" s="44">
        <f>IFERROR(VLOOKUP($B:$B,'[1]4店'!$B:$T,19,0),"-")</f>
        <v>8.25</v>
      </c>
      <c r="V84" s="81">
        <f t="shared" si="41"/>
        <v>13.75</v>
      </c>
      <c r="W84" s="82" t="str">
        <f t="shared" si="42"/>
        <v>有库存无销量</v>
      </c>
      <c r="X84" s="83" t="str">
        <f t="shared" si="43"/>
        <v>库存过高</v>
      </c>
      <c r="Y84" s="44">
        <f>IFERROR(SUMIF('4店辅助表'!K:K,B:B,'4店辅助表'!N:N),0)</f>
        <v>0</v>
      </c>
      <c r="Z84" s="44">
        <f>IFERROR(SUMIF('4店辅助表'!T:T,B:B,'4店辅助表'!W:W),0)</f>
        <v>0</v>
      </c>
      <c r="AA84" s="44">
        <f>IFERROR(SUMIF('4店辅助表'!AC:AC,B:B,'4店辅助表'!AF:AF),0)</f>
        <v>0</v>
      </c>
      <c r="AB84" s="91" t="str">
        <f>IFERROR(SUMIF('4店辅助表'!K:K,B:B,'4店辅助表'!N:N)/SUMIF('4店辅助表'!K:K,B:B,'4店辅助表'!O:O),"-")</f>
        <v>-</v>
      </c>
      <c r="AC84" s="91" t="str">
        <f>IFERROR(VLOOKUP(B:B,'[1]4店'!$B:$AB,27,0),"-")</f>
        <v>-</v>
      </c>
      <c r="AD84" s="92" t="str">
        <f t="shared" si="44"/>
        <v>-</v>
      </c>
      <c r="AE84" s="91" t="str">
        <f>IFERROR(SUMIF('4店辅助表'!T:T,B:B,'4店辅助表'!W:W)/SUMIF('4店辅助表'!T:T,B:B,'4店辅助表'!X:X),"-")</f>
        <v>-</v>
      </c>
      <c r="AF84" s="91" t="str">
        <f>IFERROR(SUMIF('4店辅助表'!AC:AC,B:B,'4店辅助表'!AF:AF)/SUMIF('4店辅助表'!AC:AC,B:B,'4店辅助表'!AG:AG),"-")</f>
        <v>-</v>
      </c>
      <c r="AG84" s="99">
        <f>IFERROR(AK84/((SUMIF('4店辅助表'!AT:AT,B:B,'4店辅助表'!AU:AU)+M84)/2),"-")</f>
        <v>0</v>
      </c>
      <c r="AH84" s="99">
        <f>IFERROR(AL84/((SUMIF('4店辅助表'!AW:AW,B:B,'4店辅助表'!AX:AX)+M84)/2),"-")</f>
        <v>0</v>
      </c>
      <c r="AI84" s="100" t="str">
        <f>IFERROR((SUMIF('4店辅助表'!AP:AP,B:B,'4店辅助表'!AR:AR)-SUMIF('4店辅助表'!AP:AP,B:B,'4店辅助表'!AR:AR)*0.15-(L84+IFERROR(VLOOKUP(B:B,'4店辅助表'!AZ:BA,2,0),0))*O84-IF(AN:AN="US",6.85,4.9)*(Z84+4.27*O84))/SUMIF('4店辅助表'!AP:AP,B:B,'4店辅助表'!AR:AR),"-")</f>
        <v>-</v>
      </c>
      <c r="AJ84" s="100" t="str">
        <f t="shared" si="45"/>
        <v>-</v>
      </c>
      <c r="AK84" s="101">
        <f t="shared" si="46"/>
        <v>0</v>
      </c>
      <c r="AL84" s="101">
        <f t="shared" si="47"/>
        <v>0</v>
      </c>
      <c r="AM84" s="1" t="str">
        <f>VLOOKUP(B:B,'4店辅助表'!AZ:AZ,1,FALSE)</f>
        <v>Y4063-DB+Y4064+Y4065</v>
      </c>
      <c r="AN84" t="str">
        <f>VLOOKUP(B:B,'4店辅助表'!AZ:BB,3,FALSE)</f>
        <v>US</v>
      </c>
    </row>
    <row r="85" customHeight="1" spans="1:40">
      <c r="A85" s="58" t="str">
        <f>INDEX('[1]4店'!$A:$A,MATCH(B:B,'[1]4店'!$B:$B,0))</f>
        <v>美珠</v>
      </c>
      <c r="B85" s="45" t="s">
        <v>1490</v>
      </c>
      <c r="C85" s="45" t="s">
        <v>1486</v>
      </c>
      <c r="D85" s="59">
        <f>VLOOKUP(B:B,'[1]4店'!$B:$L,3,0)</f>
        <v>44925</v>
      </c>
      <c r="E85" s="45" t="s">
        <v>1491</v>
      </c>
      <c r="F85" s="45">
        <v>30</v>
      </c>
      <c r="G85" s="45">
        <v>0</v>
      </c>
      <c r="H85" s="45">
        <v>0</v>
      </c>
      <c r="I85" s="45">
        <v>0</v>
      </c>
      <c r="J85" s="45">
        <v>0</v>
      </c>
      <c r="K85" s="63">
        <f t="shared" si="37"/>
        <v>30</v>
      </c>
      <c r="L85" s="64">
        <v>11</v>
      </c>
      <c r="M85" s="44">
        <f t="shared" si="36"/>
        <v>330</v>
      </c>
      <c r="N85" s="65">
        <f>IFERROR(VLOOKUP(B:B,'4店辅助表'!B:C,2,FALSE),0)</f>
        <v>0</v>
      </c>
      <c r="O85" s="65">
        <f>IFERROR(VLOOKUP(B:B,'4店辅助表'!E:F,2,FALSE),0)</f>
        <v>0</v>
      </c>
      <c r="P85" s="65">
        <f>IFERROR(VLOOKUP(B:B,'4店辅助表'!H:I,2,FALSE),0)</f>
        <v>2</v>
      </c>
      <c r="Q85" s="65">
        <f>IFERROR(VLOOKUP(B:B,'[1]4店'!$B:$N,13,FALSE),0)</f>
        <v>0</v>
      </c>
      <c r="R85" s="79">
        <f t="shared" si="38"/>
        <v>0</v>
      </c>
      <c r="S85" s="80">
        <f t="shared" si="39"/>
        <v>1350</v>
      </c>
      <c r="T85" s="44">
        <f t="shared" si="40"/>
        <v>45</v>
      </c>
      <c r="U85" s="44">
        <f>IFERROR(VLOOKUP($B:$B,'[1]4店'!$B:$T,19,0),"-")</f>
        <v>22.5</v>
      </c>
      <c r="V85" s="81">
        <f t="shared" si="41"/>
        <v>22.5</v>
      </c>
      <c r="W85" s="82" t="str">
        <f t="shared" si="42"/>
        <v>有库存无销量</v>
      </c>
      <c r="X85" s="83" t="str">
        <f t="shared" si="43"/>
        <v>库存过高</v>
      </c>
      <c r="Y85" s="44">
        <f>IFERROR(SUMIF('4店辅助表'!K:K,B:B,'4店辅助表'!N:N),0)</f>
        <v>0</v>
      </c>
      <c r="Z85" s="44">
        <f>IFERROR(SUMIF('4店辅助表'!T:T,B:B,'4店辅助表'!W:W),0)</f>
        <v>0</v>
      </c>
      <c r="AA85" s="44">
        <f>IFERROR(SUMIF('4店辅助表'!AC:AC,B:B,'4店辅助表'!AF:AF),0)</f>
        <v>0</v>
      </c>
      <c r="AB85" s="91" t="str">
        <f>IFERROR(SUMIF('4店辅助表'!K:K,B:B,'4店辅助表'!N:N)/SUMIF('4店辅助表'!K:K,B:B,'4店辅助表'!O:O),"-")</f>
        <v>-</v>
      </c>
      <c r="AC85" s="91" t="str">
        <f>IFERROR(VLOOKUP(B:B,'[1]4店'!$B:$AB,27,0),"-")</f>
        <v>-</v>
      </c>
      <c r="AD85" s="92" t="str">
        <f t="shared" si="44"/>
        <v>-</v>
      </c>
      <c r="AE85" s="91" t="str">
        <f>IFERROR(SUMIF('4店辅助表'!T:T,B:B,'4店辅助表'!W:W)/SUMIF('4店辅助表'!T:T,B:B,'4店辅助表'!X:X),"-")</f>
        <v>-</v>
      </c>
      <c r="AF85" s="91" t="str">
        <f>IFERROR(SUMIF('4店辅助表'!AC:AC,B:B,'4店辅助表'!AF:AF)/SUMIF('4店辅助表'!AC:AC,B:B,'4店辅助表'!AG:AG),"-")</f>
        <v>-</v>
      </c>
      <c r="AG85" s="99">
        <f>IFERROR(AK85/((SUMIF('4店辅助表'!AT:AT,B:B,'4店辅助表'!AU:AU)+M85)/2),"-")</f>
        <v>0</v>
      </c>
      <c r="AH85" s="99">
        <f>IFERROR(AL85/((SUMIF('4店辅助表'!AW:AW,B:B,'4店辅助表'!AX:AX)+M85)/2),"-")</f>
        <v>0</v>
      </c>
      <c r="AI85" s="100" t="str">
        <f>IFERROR((SUMIF('4店辅助表'!AP:AP,B:B,'4店辅助表'!AR:AR)-SUMIF('4店辅助表'!AP:AP,B:B,'4店辅助表'!AR:AR)*0.15-(L85+IFERROR(VLOOKUP(B:B,'4店辅助表'!AZ:BA,2,0),0))*O85-IF(AN:AN="US",6.85,4.9)*(Z85+4.27*O85))/SUMIF('4店辅助表'!AP:AP,B:B,'4店辅助表'!AR:AR),"-")</f>
        <v>-</v>
      </c>
      <c r="AJ85" s="100" t="str">
        <f t="shared" si="45"/>
        <v>-</v>
      </c>
      <c r="AK85" s="101">
        <f t="shared" si="46"/>
        <v>0</v>
      </c>
      <c r="AL85" s="101">
        <f t="shared" si="47"/>
        <v>0</v>
      </c>
      <c r="AM85" s="1" t="str">
        <f>VLOOKUP(B:B,'4店辅助表'!AZ:AZ,1,FALSE)</f>
        <v>Y4063-GW+Y4064+Y4065</v>
      </c>
      <c r="AN85" t="str">
        <f>VLOOKUP(B:B,'4店辅助表'!AZ:BB,3,FALSE)</f>
        <v>US</v>
      </c>
    </row>
    <row r="86" customHeight="1" spans="1:40">
      <c r="A86" s="58" t="str">
        <f>INDEX('[1]4店'!$A:$A,MATCH(B:B,'[1]4店'!$B:$B,0))</f>
        <v>美珠</v>
      </c>
      <c r="B86" s="45" t="s">
        <v>1492</v>
      </c>
      <c r="C86" s="45" t="s">
        <v>1486</v>
      </c>
      <c r="D86" s="59">
        <f>VLOOKUP(B:B,'[1]4店'!$B:$L,3,0)</f>
        <v>44925</v>
      </c>
      <c r="E86" s="45" t="s">
        <v>1493</v>
      </c>
      <c r="F86" s="45">
        <v>19</v>
      </c>
      <c r="G86" s="45">
        <v>0</v>
      </c>
      <c r="H86" s="45">
        <v>1</v>
      </c>
      <c r="I86" s="45">
        <v>0</v>
      </c>
      <c r="J86" s="45">
        <v>0</v>
      </c>
      <c r="K86" s="63">
        <f t="shared" si="37"/>
        <v>20</v>
      </c>
      <c r="L86" s="64">
        <v>11</v>
      </c>
      <c r="M86" s="44">
        <f t="shared" si="36"/>
        <v>220</v>
      </c>
      <c r="N86" s="65">
        <f>IFERROR(VLOOKUP(B:B,'4店辅助表'!B:C,2,FALSE),0)</f>
        <v>1</v>
      </c>
      <c r="O86" s="65">
        <f>IFERROR(VLOOKUP(B:B,'4店辅助表'!E:F,2,FALSE),0)</f>
        <v>2</v>
      </c>
      <c r="P86" s="65">
        <f>IFERROR(VLOOKUP(B:B,'4店辅助表'!H:I,2,FALSE),0)</f>
        <v>3</v>
      </c>
      <c r="Q86" s="65">
        <f>IFERROR(VLOOKUP(B:B,'[1]4店'!$B:$N,13,FALSE),0)</f>
        <v>1</v>
      </c>
      <c r="R86" s="79">
        <f t="shared" si="38"/>
        <v>0</v>
      </c>
      <c r="S86" s="80">
        <f t="shared" si="39"/>
        <v>159.493670886076</v>
      </c>
      <c r="T86" s="44">
        <f t="shared" si="40"/>
        <v>5.31645569620253</v>
      </c>
      <c r="U86" s="44">
        <f>IFERROR(VLOOKUP($B:$B,'[1]4店'!$B:$T,19,0),"-")</f>
        <v>4.74193548387097</v>
      </c>
      <c r="V86" s="81">
        <f t="shared" si="41"/>
        <v>0.57452021233156</v>
      </c>
      <c r="W86" s="82" t="str">
        <f t="shared" si="42"/>
        <v>库存过高</v>
      </c>
      <c r="X86" s="83" t="str">
        <f t="shared" si="43"/>
        <v>库存过高</v>
      </c>
      <c r="Y86" s="44">
        <f>IFERROR(SUMIF('4店辅助表'!K:K,B:B,'4店辅助表'!N:N),0)</f>
        <v>7.56</v>
      </c>
      <c r="Z86" s="44">
        <f>IFERROR(SUMIF('4店辅助表'!T:T,B:B,'4店辅助表'!W:W),0)</f>
        <v>16.92</v>
      </c>
      <c r="AA86" s="44">
        <f>IFERROR(SUMIF('4店辅助表'!AC:AC,B:B,'4店辅助表'!AF:AF),0)</f>
        <v>35.61</v>
      </c>
      <c r="AB86" s="91" t="str">
        <f>IFERROR(SUMIF('4店辅助表'!K:K,B:B,'4店辅助表'!N:N)/SUMIF('4店辅助表'!K:K,B:B,'4店辅助表'!O:O),"-")</f>
        <v>-</v>
      </c>
      <c r="AC86" s="91">
        <f>IFERROR(VLOOKUP(B:B,'[1]4店'!$B:$AB,27,0),"-")</f>
        <v>0.660508083140878</v>
      </c>
      <c r="AD86" s="92" t="str">
        <f t="shared" si="44"/>
        <v>-</v>
      </c>
      <c r="AE86" s="91">
        <f>IFERROR(SUMIF('4店辅助表'!T:T,B:B,'4店辅助表'!W:W)/SUMIF('4店辅助表'!T:T,B:B,'4店辅助表'!X:X),"-")</f>
        <v>1.30254041570439</v>
      </c>
      <c r="AF86" s="91">
        <f>IFERROR(SUMIF('4店辅助表'!AC:AC,B:B,'4店辅助表'!AF:AF)/SUMIF('4店辅助表'!AC:AC,B:B,'4店辅助表'!AG:AG),"-")</f>
        <v>1.37066974595843</v>
      </c>
      <c r="AG86" s="99">
        <f>IFERROR(AK86/((SUMIF('4店辅助表'!AT:AT,B:B,'4店辅助表'!AU:AU)+M86)/2),"-")</f>
        <v>0.0433326767776246</v>
      </c>
      <c r="AH86" s="99">
        <f>IFERROR(AL86/((SUMIF('4店辅助表'!AW:AW,B:B,'4店辅助表'!AX:AX)+M86)/2),"-")</f>
        <v>0.0822276210054195</v>
      </c>
      <c r="AI86" s="100">
        <f>IFERROR((SUMIF('4店辅助表'!AP:AP,B:B,'4店辅助表'!AR:AR)-SUMIF('4店辅助表'!AP:AP,B:B,'4店辅助表'!AR:AR)*0.15-(L86+IFERROR(VLOOKUP(B:B,'4店辅助表'!AZ:BA,2,0),0))*O86-IF(AN:AN="US",6.85,4.9)*(Z86+4.27*O86))/SUMIF('4店辅助表'!AP:AP,B:B,'4店辅助表'!AR:AR),"-")</f>
        <v>-0.276475728100785</v>
      </c>
      <c r="AJ86" s="100">
        <f t="shared" si="45"/>
        <v>-0.0227339413874688</v>
      </c>
      <c r="AK86" s="101">
        <f t="shared" si="46"/>
        <v>11</v>
      </c>
      <c r="AL86" s="101">
        <f t="shared" si="47"/>
        <v>22</v>
      </c>
      <c r="AM86" s="1" t="str">
        <f>VLOOKUP(B:B,'4店辅助表'!AZ:AZ,1,FALSE)</f>
        <v>Y4063-OR+Y4064+Y4065</v>
      </c>
      <c r="AN86" t="str">
        <f>VLOOKUP(B:B,'4店辅助表'!AZ:BB,3,FALSE)</f>
        <v>US</v>
      </c>
    </row>
    <row r="87" customHeight="1" spans="1:40">
      <c r="A87" s="58" t="str">
        <f>INDEX('[1]4店'!$A:$A,MATCH(B:B,'[1]4店'!$B:$B,0))</f>
        <v>美珠</v>
      </c>
      <c r="B87" s="45" t="s">
        <v>1494</v>
      </c>
      <c r="C87" s="45" t="s">
        <v>1486</v>
      </c>
      <c r="D87" s="59">
        <f>VLOOKUP(B:B,'[1]4店'!$B:$L,3,0)</f>
        <v>44925</v>
      </c>
      <c r="E87" s="45" t="s">
        <v>1495</v>
      </c>
      <c r="F87" s="45">
        <v>22</v>
      </c>
      <c r="G87" s="45">
        <v>0</v>
      </c>
      <c r="H87" s="45">
        <v>0</v>
      </c>
      <c r="I87" s="45">
        <v>0</v>
      </c>
      <c r="J87" s="45">
        <v>0</v>
      </c>
      <c r="K87" s="63">
        <f t="shared" si="37"/>
        <v>22</v>
      </c>
      <c r="L87" s="64">
        <v>11</v>
      </c>
      <c r="M87" s="44">
        <f t="shared" si="36"/>
        <v>242</v>
      </c>
      <c r="N87" s="65">
        <f>IFERROR(VLOOKUP(B:B,'4店辅助表'!B:C,2,FALSE),0)</f>
        <v>0</v>
      </c>
      <c r="O87" s="65">
        <f>IFERROR(VLOOKUP(B:B,'4店辅助表'!E:F,2,FALSE),0)</f>
        <v>1</v>
      </c>
      <c r="P87" s="65">
        <f>IFERROR(VLOOKUP(B:B,'4店辅助表'!H:I,2,FALSE),0)</f>
        <v>4</v>
      </c>
      <c r="Q87" s="65">
        <f>IFERROR(VLOOKUP(B:B,'[1]4店'!$B:$N,13,FALSE),0)</f>
        <v>1</v>
      </c>
      <c r="R87" s="79">
        <f t="shared" si="38"/>
        <v>-1</v>
      </c>
      <c r="S87" s="80">
        <f t="shared" si="39"/>
        <v>330</v>
      </c>
      <c r="T87" s="44">
        <f t="shared" si="40"/>
        <v>11</v>
      </c>
      <c r="U87" s="44">
        <f>IFERROR(VLOOKUP($B:$B,'[1]4店'!$B:$T,19,0),"-")</f>
        <v>5.37209302325581</v>
      </c>
      <c r="V87" s="81">
        <f t="shared" si="41"/>
        <v>5.62790697674419</v>
      </c>
      <c r="W87" s="82" t="str">
        <f t="shared" si="42"/>
        <v>有库存无销量</v>
      </c>
      <c r="X87" s="83" t="str">
        <f t="shared" si="43"/>
        <v>库存过高</v>
      </c>
      <c r="Y87" s="44">
        <f>IFERROR(SUMIF('4店辅助表'!K:K,B:B,'4店辅助表'!N:N),0)</f>
        <v>0</v>
      </c>
      <c r="Z87" s="44">
        <f>IFERROR(SUMIF('4店辅助表'!T:T,B:B,'4店辅助表'!W:W),0)</f>
        <v>0</v>
      </c>
      <c r="AA87" s="44">
        <f>IFERROR(SUMIF('4店辅助表'!AC:AC,B:B,'4店辅助表'!AF:AF),0)</f>
        <v>0</v>
      </c>
      <c r="AB87" s="91" t="str">
        <f>IFERROR(SUMIF('4店辅助表'!K:K,B:B,'4店辅助表'!N:N)/SUMIF('4店辅助表'!K:K,B:B,'4店辅助表'!O:O),"-")</f>
        <v>-</v>
      </c>
      <c r="AC87" s="91" t="str">
        <f>IFERROR(VLOOKUP(B:B,'[1]4店'!$B:$AB,27,0),"-")</f>
        <v>-</v>
      </c>
      <c r="AD87" s="92" t="str">
        <f t="shared" si="44"/>
        <v>-</v>
      </c>
      <c r="AE87" s="91" t="str">
        <f>IFERROR(SUMIF('4店辅助表'!T:T,B:B,'4店辅助表'!W:W)/SUMIF('4店辅助表'!T:T,B:B,'4店辅助表'!X:X),"-")</f>
        <v>-</v>
      </c>
      <c r="AF87" s="91" t="str">
        <f>IFERROR(SUMIF('4店辅助表'!AC:AC,B:B,'4店辅助表'!AF:AF)/SUMIF('4店辅助表'!AC:AC,B:B,'4店辅助表'!AG:AG),"-")</f>
        <v>-</v>
      </c>
      <c r="AG87" s="99">
        <f>IFERROR(AK87/((SUMIF('4店辅助表'!AT:AT,B:B,'4店辅助表'!AU:AU)+M87)/2),"-")</f>
        <v>0</v>
      </c>
      <c r="AH87" s="99">
        <f>IFERROR(AL87/((SUMIF('4店辅助表'!AW:AW,B:B,'4店辅助表'!AX:AX)+M87)/2),"-")</f>
        <v>0.0376390076988879</v>
      </c>
      <c r="AI87" s="100">
        <f>IFERROR((SUMIF('4店辅助表'!AP:AP,B:B,'4店辅助表'!AR:AR)-SUMIF('4店辅助表'!AP:AP,B:B,'4店辅助表'!AR:AR)*0.15-(L87+IFERROR(VLOOKUP(B:B,'4店辅助表'!AZ:BA,2,0),0))*O87-IF(AN:AN="US",6.85,4.9)*(Z87+4.27*O87))/SUMIF('4店辅助表'!AP:AP,B:B,'4店辅助表'!AR:AR),"-")</f>
        <v>0.374873147789147</v>
      </c>
      <c r="AJ87" s="100">
        <f t="shared" si="45"/>
        <v>0.0141098532957421</v>
      </c>
      <c r="AK87" s="101">
        <f t="shared" si="46"/>
        <v>0</v>
      </c>
      <c r="AL87" s="101">
        <f t="shared" si="47"/>
        <v>11</v>
      </c>
      <c r="AM87" s="1" t="str">
        <f>VLOOKUP(B:B,'4店辅助表'!AZ:AZ,1,FALSE)</f>
        <v>Y4063-WI+Y4064+Y4065</v>
      </c>
      <c r="AN87" t="str">
        <f>VLOOKUP(B:B,'4店辅助表'!AZ:BB,3,FALSE)</f>
        <v>US</v>
      </c>
    </row>
    <row r="88" customHeight="1" spans="1:40">
      <c r="A88" s="58" t="str">
        <f>INDEX('[1]4店'!$A:$A,MATCH(B:B,'[1]4店'!$B:$B,0))</f>
        <v>美珠</v>
      </c>
      <c r="B88" s="45" t="s">
        <v>1496</v>
      </c>
      <c r="C88" s="45" t="s">
        <v>1370</v>
      </c>
      <c r="D88" s="59">
        <f>VLOOKUP(B:B,'[1]4店'!$B:$L,3,0)</f>
        <v>44797</v>
      </c>
      <c r="E88" s="45" t="s">
        <v>1497</v>
      </c>
      <c r="F88" s="45">
        <v>60</v>
      </c>
      <c r="G88" s="45">
        <v>0</v>
      </c>
      <c r="H88" s="45">
        <v>5</v>
      </c>
      <c r="I88" s="45">
        <v>13</v>
      </c>
      <c r="J88" s="45">
        <v>0</v>
      </c>
      <c r="K88" s="63">
        <f t="shared" si="37"/>
        <v>78</v>
      </c>
      <c r="L88" s="64">
        <v>11</v>
      </c>
      <c r="M88" s="44">
        <f t="shared" si="36"/>
        <v>858</v>
      </c>
      <c r="N88" s="65">
        <f>IFERROR(VLOOKUP(B:B,'4店辅助表'!B:C,2,FALSE),0)</f>
        <v>8</v>
      </c>
      <c r="O88" s="65">
        <f>IFERROR(VLOOKUP(B:B,'4店辅助表'!E:F,2,FALSE),0)</f>
        <v>21</v>
      </c>
      <c r="P88" s="65">
        <f>IFERROR(VLOOKUP(B:B,'4店辅助表'!H:I,2,FALSE),0)</f>
        <v>44</v>
      </c>
      <c r="Q88" s="65">
        <f>IFERROR(VLOOKUP(B:B,'[1]4店'!$B:$N,13,FALSE),0)</f>
        <v>12</v>
      </c>
      <c r="R88" s="79">
        <f t="shared" si="38"/>
        <v>-4</v>
      </c>
      <c r="S88" s="80">
        <f t="shared" si="39"/>
        <v>58.3610451306413</v>
      </c>
      <c r="T88" s="44">
        <f t="shared" si="40"/>
        <v>1.94536817102138</v>
      </c>
      <c r="U88" s="44">
        <f>IFERROR(VLOOKUP($B:$B,'[1]4店'!$B:$T,19,0),"-")</f>
        <v>1.75178026449644</v>
      </c>
      <c r="V88" s="81">
        <f t="shared" si="41"/>
        <v>0.19358790652494</v>
      </c>
      <c r="W88" s="82" t="str">
        <f t="shared" si="42"/>
        <v>库存过高</v>
      </c>
      <c r="X88" s="83" t="str">
        <f t="shared" si="43"/>
        <v>库存过高</v>
      </c>
      <c r="Y88" s="44">
        <f>IFERROR(SUMIF('4店辅助表'!K:K,B:B,'4店辅助表'!N:N),0)</f>
        <v>0</v>
      </c>
      <c r="Z88" s="44">
        <f>IFERROR(SUMIF('4店辅助表'!T:T,B:B,'4店辅助表'!W:W),0)</f>
        <v>0</v>
      </c>
      <c r="AA88" s="44">
        <f>IFERROR(SUMIF('4店辅助表'!AC:AC,B:B,'4店辅助表'!AF:AF),0)</f>
        <v>0</v>
      </c>
      <c r="AB88" s="91" t="str">
        <f>IFERROR(SUMIF('4店辅助表'!K:K,B:B,'4店辅助表'!N:N)/SUMIF('4店辅助表'!K:K,B:B,'4店辅助表'!O:O),"-")</f>
        <v>-</v>
      </c>
      <c r="AC88" s="91" t="str">
        <f>IFERROR(VLOOKUP(B:B,'[1]4店'!$B:$AB,27,0),"-")</f>
        <v>-</v>
      </c>
      <c r="AD88" s="92" t="str">
        <f t="shared" si="44"/>
        <v>-</v>
      </c>
      <c r="AE88" s="91" t="str">
        <f>IFERROR(SUMIF('4店辅助表'!T:T,B:B,'4店辅助表'!W:W)/SUMIF('4店辅助表'!T:T,B:B,'4店辅助表'!X:X),"-")</f>
        <v>-</v>
      </c>
      <c r="AF88" s="91" t="str">
        <f>IFERROR(SUMIF('4店辅助表'!AC:AC,B:B,'4店辅助表'!AF:AF)/SUMIF('4店辅助表'!AC:AC,B:B,'4店辅助表'!AG:AG),"-")</f>
        <v>-</v>
      </c>
      <c r="AG88" s="99">
        <f>IFERROR(AK88/((SUMIF('4店辅助表'!AT:AT,B:B,'4店辅助表'!AU:AU)+M88)/2),"-")</f>
        <v>0.0888260825678813</v>
      </c>
      <c r="AH88" s="99">
        <f>IFERROR(AL88/((SUMIF('4店辅助表'!AW:AW,B:B,'4店辅助表'!AX:AX)+M88)/2),"-")</f>
        <v>0.266313119667973</v>
      </c>
      <c r="AI88" s="100">
        <f>IFERROR((SUMIF('4店辅助表'!AP:AP,B:B,'4店辅助表'!AR:AR)-SUMIF('4店辅助表'!AP:AP,B:B,'4店辅助表'!AR:AR)*0.15-(L88+IFERROR(VLOOKUP(B:B,'4店辅助表'!AZ:BA,2,0),0))*O88-IF(AN:AN="US",6.85,4.9)*(Z88+4.27*O88))/SUMIF('4店辅助表'!AP:AP,B:B,'4店辅助表'!AR:AR),"-")</f>
        <v>0.354523294895664</v>
      </c>
      <c r="AJ88" s="100">
        <f t="shared" si="45"/>
        <v>0.0944142046586332</v>
      </c>
      <c r="AK88" s="101">
        <f t="shared" si="46"/>
        <v>88</v>
      </c>
      <c r="AL88" s="101">
        <f t="shared" si="47"/>
        <v>231</v>
      </c>
      <c r="AM88" s="1" t="str">
        <f>VLOOKUP(B:B,'4店辅助表'!AZ:AZ,1,FALSE)</f>
        <v>Y4023-BL+Y4027+Y4031*1</v>
      </c>
      <c r="AN88" t="str">
        <f>VLOOKUP(B:B,'4店辅助表'!AZ:BB,3,FALSE)</f>
        <v>US</v>
      </c>
    </row>
    <row r="89" customHeight="1" spans="1:40">
      <c r="A89" s="58" t="str">
        <f>INDEX('[1]4店'!$A:$A,MATCH(B:B,'[1]4店'!$B:$B,0))</f>
        <v>美珠</v>
      </c>
      <c r="B89" s="45" t="s">
        <v>1498</v>
      </c>
      <c r="C89" s="45" t="s">
        <v>1499</v>
      </c>
      <c r="D89" s="59">
        <f>VLOOKUP(B:B,'[1]4店'!$B:$L,3,0)</f>
        <v>44958</v>
      </c>
      <c r="E89" s="45" t="s">
        <v>1500</v>
      </c>
      <c r="F89" s="45">
        <v>23</v>
      </c>
      <c r="G89" s="45">
        <v>0</v>
      </c>
      <c r="H89" s="45">
        <v>0</v>
      </c>
      <c r="I89" s="45">
        <v>0</v>
      </c>
      <c r="J89" s="45">
        <v>0</v>
      </c>
      <c r="K89" s="63">
        <f t="shared" si="37"/>
        <v>23</v>
      </c>
      <c r="L89" s="64">
        <v>11</v>
      </c>
      <c r="M89" s="44">
        <f t="shared" si="36"/>
        <v>253</v>
      </c>
      <c r="N89" s="65">
        <f>IFERROR(VLOOKUP(B:B,'4店辅助表'!B:C,2,FALSE),0)</f>
        <v>2</v>
      </c>
      <c r="O89" s="65">
        <f>IFERROR(VLOOKUP(B:B,'4店辅助表'!E:F,2,FALSE),0)</f>
        <v>3</v>
      </c>
      <c r="P89" s="65">
        <f>IFERROR(VLOOKUP(B:B,'4店辅助表'!H:I,2,FALSE),0)</f>
        <v>4</v>
      </c>
      <c r="Q89" s="65">
        <f>IFERROR(VLOOKUP(B:B,'[1]4店'!$B:$N,13,FALSE),0)</f>
        <v>0</v>
      </c>
      <c r="R89" s="79">
        <f t="shared" si="38"/>
        <v>2</v>
      </c>
      <c r="S89" s="80">
        <f t="shared" si="39"/>
        <v>111.461538461538</v>
      </c>
      <c r="T89" s="44">
        <f t="shared" si="40"/>
        <v>3.71538461538461</v>
      </c>
      <c r="U89" s="44">
        <f>IFERROR(VLOOKUP($B:$B,'[1]4店'!$B:$T,19,0),"-")</f>
        <v>12.5</v>
      </c>
      <c r="V89" s="81">
        <f t="shared" si="41"/>
        <v>-8.78461538461539</v>
      </c>
      <c r="W89" s="82" t="str">
        <f t="shared" si="42"/>
        <v>库存过高</v>
      </c>
      <c r="X89" s="83" t="str">
        <f t="shared" si="43"/>
        <v>库存过高</v>
      </c>
      <c r="Y89" s="44">
        <f>IFERROR(SUMIF('4店辅助表'!K:K,B:B,'4店辅助表'!N:N),0)</f>
        <v>1.51</v>
      </c>
      <c r="Z89" s="44">
        <f>IFERROR(SUMIF('4店辅助表'!T:T,B:B,'4店辅助表'!W:W),0)</f>
        <v>3.33</v>
      </c>
      <c r="AA89" s="44">
        <f>IFERROR(SUMIF('4店辅助表'!AC:AC,B:B,'4店辅助表'!AF:AF),0)</f>
        <v>6.89</v>
      </c>
      <c r="AB89" s="91" t="str">
        <f>IFERROR(SUMIF('4店辅助表'!K:K,B:B,'4店辅助表'!N:N)/SUMIF('4店辅助表'!K:K,B:B,'4店辅助表'!O:O),"-")</f>
        <v>-</v>
      </c>
      <c r="AC89" s="91" t="str">
        <f>IFERROR(VLOOKUP(B:B,'[1]4店'!$B:$AB,27,0),"-")</f>
        <v>-</v>
      </c>
      <c r="AD89" s="92" t="str">
        <f t="shared" si="44"/>
        <v>-</v>
      </c>
      <c r="AE89" s="91" t="str">
        <f>IFERROR(SUMIF('4店辅助表'!T:T,B:B,'4店辅助表'!W:W)/SUMIF('4店辅助表'!T:T,B:B,'4店辅助表'!X:X),"-")</f>
        <v>-</v>
      </c>
      <c r="AF89" s="91" t="str">
        <f>IFERROR(SUMIF('4店辅助表'!AC:AC,B:B,'4店辅助表'!AF:AF)/SUMIF('4店辅助表'!AC:AC,B:B,'4店辅助表'!AG:AG),"-")</f>
        <v>-</v>
      </c>
      <c r="AG89" s="99">
        <f>IFERROR(AK89/((SUMIF('4店辅助表'!AT:AT,B:B,'4店辅助表'!AU:AU)+M89)/2),"-")</f>
        <v>0.073887489504618</v>
      </c>
      <c r="AH89" s="99">
        <f>IFERROR(AL89/((SUMIF('4店辅助表'!AW:AW,B:B,'4店辅助表'!AX:AX)+M89)/2),"-")</f>
        <v>0.105956012200995</v>
      </c>
      <c r="AI89" s="100">
        <f>IFERROR((SUMIF('4店辅助表'!AP:AP,B:B,'4店辅助表'!AR:AR)-SUMIF('4店辅助表'!AP:AP,B:B,'4店辅助表'!AR:AR)*0.15-(L89+IFERROR(VLOOKUP(B:B,'4店辅助表'!AZ:BA,2,0),0))*O89-IF(AN:AN="US",6.85,4.9)*(Z89+4.27*O89))/SUMIF('4店辅助表'!AP:AP,B:B,'4店辅助表'!AR:AR),"-")</f>
        <v>0.291704174463231</v>
      </c>
      <c r="AJ89" s="100">
        <f t="shared" si="45"/>
        <v>0.0309078110685074</v>
      </c>
      <c r="AK89" s="101">
        <f t="shared" si="46"/>
        <v>22</v>
      </c>
      <c r="AL89" s="101">
        <f t="shared" si="47"/>
        <v>33</v>
      </c>
      <c r="AM89" s="1" t="str">
        <f>VLOOKUP(B:B,'4店辅助表'!AZ:AZ,1,FALSE)</f>
        <v>Y4055-BL+Y4056+Y4057</v>
      </c>
      <c r="AN89" t="str">
        <f>VLOOKUP(B:B,'4店辅助表'!AZ:BB,3,FALSE)</f>
        <v>US</v>
      </c>
    </row>
    <row r="90" customHeight="1" spans="1:40">
      <c r="A90" s="58" t="str">
        <f>INDEX('[1]4店'!$A:$A,MATCH(B:B,'[1]4店'!$B:$B,0))</f>
        <v>美珠</v>
      </c>
      <c r="B90" s="45" t="s">
        <v>1501</v>
      </c>
      <c r="C90" s="45" t="s">
        <v>1499</v>
      </c>
      <c r="D90" s="59">
        <f>VLOOKUP(B:B,'[1]4店'!$B:$L,3,0)</f>
        <v>44958</v>
      </c>
      <c r="E90" s="45" t="s">
        <v>1502</v>
      </c>
      <c r="F90" s="45">
        <v>38</v>
      </c>
      <c r="G90" s="45">
        <v>0</v>
      </c>
      <c r="H90" s="45">
        <v>0</v>
      </c>
      <c r="I90" s="45">
        <v>0</v>
      </c>
      <c r="J90" s="45">
        <v>0</v>
      </c>
      <c r="K90" s="63">
        <f t="shared" si="37"/>
        <v>38</v>
      </c>
      <c r="L90" s="64">
        <v>11</v>
      </c>
      <c r="M90" s="44">
        <f t="shared" si="36"/>
        <v>418</v>
      </c>
      <c r="N90" s="65">
        <f>IFERROR(VLOOKUP(B:B,'4店辅助表'!B:C,2,FALSE),0)</f>
        <v>0</v>
      </c>
      <c r="O90" s="65">
        <f>IFERROR(VLOOKUP(B:B,'4店辅助表'!E:F,2,FALSE),0)</f>
        <v>1</v>
      </c>
      <c r="P90" s="65">
        <f>IFERROR(VLOOKUP(B:B,'4店辅助表'!H:I,2,FALSE),0)</f>
        <v>3</v>
      </c>
      <c r="Q90" s="65">
        <f>IFERROR(VLOOKUP(B:B,'[1]4店'!$B:$N,13,FALSE),0)</f>
        <v>1</v>
      </c>
      <c r="R90" s="79">
        <f t="shared" si="38"/>
        <v>-1</v>
      </c>
      <c r="S90" s="80">
        <f t="shared" si="39"/>
        <v>684</v>
      </c>
      <c r="T90" s="44">
        <f t="shared" si="40"/>
        <v>22.8</v>
      </c>
      <c r="U90" s="44">
        <f>IFERROR(VLOOKUP($B:$B,'[1]4店'!$B:$T,19,0),"-")</f>
        <v>11.9538461538462</v>
      </c>
      <c r="V90" s="81">
        <f t="shared" si="41"/>
        <v>10.8461538461538</v>
      </c>
      <c r="W90" s="82" t="str">
        <f t="shared" si="42"/>
        <v>有库存无销量</v>
      </c>
      <c r="X90" s="83" t="str">
        <f t="shared" si="43"/>
        <v>库存过高</v>
      </c>
      <c r="Y90" s="44">
        <f>IFERROR(SUMIF('4店辅助表'!K:K,B:B,'4店辅助表'!N:N),0)</f>
        <v>1.14</v>
      </c>
      <c r="Z90" s="44">
        <f>IFERROR(SUMIF('4店辅助表'!T:T,B:B,'4店辅助表'!W:W),0)</f>
        <v>1.48</v>
      </c>
      <c r="AA90" s="44">
        <f>IFERROR(SUMIF('4店辅助表'!AC:AC,B:B,'4店辅助表'!AF:AF),0)</f>
        <v>4.28</v>
      </c>
      <c r="AB90" s="91">
        <f>IFERROR(SUMIF('4店辅助表'!K:K,B:B,'4店辅助表'!N:N)/SUMIF('4店辅助表'!K:K,B:B,'4店辅助表'!O:O),"-")</f>
        <v>0.0877598152424942</v>
      </c>
      <c r="AC90" s="91" t="str">
        <f>IFERROR(VLOOKUP(B:B,'[1]4店'!$B:$AB,27,0),"-")</f>
        <v>-</v>
      </c>
      <c r="AD90" s="92" t="str">
        <f t="shared" si="44"/>
        <v>-</v>
      </c>
      <c r="AE90" s="91">
        <f>IFERROR(SUMIF('4店辅助表'!T:T,B:B,'4店辅助表'!W:W)/SUMIF('4店辅助表'!T:T,B:B,'4店辅助表'!X:X),"-")</f>
        <v>0.113933795227098</v>
      </c>
      <c r="AF90" s="91">
        <f>IFERROR(SUMIF('4店辅助表'!AC:AC,B:B,'4店辅助表'!AF:AF)/SUMIF('4店辅助表'!AC:AC,B:B,'4店辅助表'!AG:AG),"-")</f>
        <v>0.329484218629715</v>
      </c>
      <c r="AG90" s="99">
        <f>IFERROR(AK90/((SUMIF('4店辅助表'!AT:AT,B:B,'4店辅助表'!AU:AU)+M90)/2),"-")</f>
        <v>0</v>
      </c>
      <c r="AH90" s="99">
        <f>IFERROR(AL90/((SUMIF('4店辅助表'!AW:AW,B:B,'4店辅助表'!AX:AX)+M90)/2),"-")</f>
        <v>0.022455853832806</v>
      </c>
      <c r="AI90" s="100">
        <f>IFERROR((SUMIF('4店辅助表'!AP:AP,B:B,'4店辅助表'!AR:AR)-SUMIF('4店辅助表'!AP:AP,B:B,'4店辅助表'!AR:AR)*0.15-(L90+IFERROR(VLOOKUP(B:B,'4店辅助表'!AZ:BA,2,0),0))*O90-IF(AN:AN="US",6.85,4.9)*(Z90+4.27*O90))/SUMIF('4店辅助表'!AP:AP,B:B,'4店辅助表'!AR:AR),"-")</f>
        <v>0.263243202238668</v>
      </c>
      <c r="AJ90" s="100">
        <f t="shared" si="45"/>
        <v>0.0059113508719513</v>
      </c>
      <c r="AK90" s="101">
        <f t="shared" si="46"/>
        <v>0</v>
      </c>
      <c r="AL90" s="101">
        <f t="shared" si="47"/>
        <v>11</v>
      </c>
      <c r="AM90" s="1" t="str">
        <f>VLOOKUP(B:B,'4店辅助表'!AZ:AZ,1,FALSE)</f>
        <v>Y4055-DB+Y4056+Y4057</v>
      </c>
      <c r="AN90" t="str">
        <f>VLOOKUP(B:B,'4店辅助表'!AZ:BB,3,FALSE)</f>
        <v>US</v>
      </c>
    </row>
    <row r="91" customHeight="1" spans="1:40">
      <c r="A91" s="58" t="str">
        <f>INDEX('[1]4店'!$A:$A,MATCH(B:B,'[1]4店'!$B:$B,0))</f>
        <v>美珠</v>
      </c>
      <c r="B91" s="45" t="s">
        <v>1503</v>
      </c>
      <c r="C91" s="45" t="s">
        <v>1499</v>
      </c>
      <c r="D91" s="59">
        <f>VLOOKUP(B:B,'[1]4店'!$B:$L,3,0)</f>
        <v>44958</v>
      </c>
      <c r="E91" s="45" t="s">
        <v>1504</v>
      </c>
      <c r="F91" s="45">
        <v>21</v>
      </c>
      <c r="G91" s="45">
        <v>0</v>
      </c>
      <c r="H91" s="45">
        <v>0</v>
      </c>
      <c r="I91" s="45">
        <v>0</v>
      </c>
      <c r="J91" s="45">
        <v>0</v>
      </c>
      <c r="K91" s="63">
        <f t="shared" si="37"/>
        <v>21</v>
      </c>
      <c r="L91" s="64">
        <v>11</v>
      </c>
      <c r="M91" s="44">
        <f t="shared" si="36"/>
        <v>231</v>
      </c>
      <c r="N91" s="65">
        <f>IFERROR(VLOOKUP(B:B,'4店辅助表'!B:C,2,FALSE),0)</f>
        <v>0</v>
      </c>
      <c r="O91" s="65">
        <f>IFERROR(VLOOKUP(B:B,'4店辅助表'!E:F,2,FALSE),0)</f>
        <v>1</v>
      </c>
      <c r="P91" s="65">
        <f>IFERROR(VLOOKUP(B:B,'4店辅助表'!H:I,2,FALSE),0)</f>
        <v>2</v>
      </c>
      <c r="Q91" s="65">
        <f>IFERROR(VLOOKUP(B:B,'[1]4店'!$B:$N,13,FALSE),0)</f>
        <v>1</v>
      </c>
      <c r="R91" s="79">
        <f t="shared" si="38"/>
        <v>-1</v>
      </c>
      <c r="S91" s="80">
        <f t="shared" si="39"/>
        <v>472.5</v>
      </c>
      <c r="T91" s="44">
        <f t="shared" si="40"/>
        <v>15.75</v>
      </c>
      <c r="U91" s="44">
        <f>IFERROR(VLOOKUP($B:$B,'[1]4店'!$B:$T,19,0),"-")</f>
        <v>4.96774193548387</v>
      </c>
      <c r="V91" s="81">
        <f t="shared" si="41"/>
        <v>10.7822580645161</v>
      </c>
      <c r="W91" s="82" t="str">
        <f t="shared" si="42"/>
        <v>有库存无销量</v>
      </c>
      <c r="X91" s="83" t="str">
        <f t="shared" si="43"/>
        <v>库存过高</v>
      </c>
      <c r="Y91" s="44">
        <f>IFERROR(SUMIF('4店辅助表'!K:K,B:B,'4店辅助表'!N:N),0)</f>
        <v>2.77</v>
      </c>
      <c r="Z91" s="44">
        <f>IFERROR(SUMIF('4店辅助表'!T:T,B:B,'4店辅助表'!W:W),0)</f>
        <v>5.72</v>
      </c>
      <c r="AA91" s="44">
        <f>IFERROR(SUMIF('4店辅助表'!AC:AC,B:B,'4店辅助表'!AF:AF),0)</f>
        <v>12.84</v>
      </c>
      <c r="AB91" s="91" t="str">
        <f>IFERROR(SUMIF('4店辅助表'!K:K,B:B,'4店辅助表'!N:N)/SUMIF('4店辅助表'!K:K,B:B,'4店辅助表'!O:O),"-")</f>
        <v>-</v>
      </c>
      <c r="AC91" s="91">
        <f>IFERROR(VLOOKUP(B:B,'[1]4店'!$B:$AB,27,0),"-")</f>
        <v>0.232029117379436</v>
      </c>
      <c r="AD91" s="92" t="str">
        <f t="shared" si="44"/>
        <v>-</v>
      </c>
      <c r="AE91" s="91">
        <f>IFERROR(SUMIF('4店辅助表'!T:T,B:B,'4店辅助表'!W:W)/SUMIF('4店辅助表'!T:T,B:B,'4店辅助表'!X:X),"-")</f>
        <v>0.520473157415833</v>
      </c>
      <c r="AF91" s="91">
        <f>IFERROR(SUMIF('4店辅助表'!AC:AC,B:B,'4店辅助表'!AF:AF)/SUMIF('4店辅助表'!AC:AC,B:B,'4店辅助表'!AG:AG),"-")</f>
        <v>0.347308628617798</v>
      </c>
      <c r="AG91" s="99">
        <f>IFERROR(AK91/((SUMIF('4店辅助表'!AT:AT,B:B,'4店辅助表'!AU:AU)+M91)/2),"-")</f>
        <v>0</v>
      </c>
      <c r="AH91" s="99">
        <f>IFERROR(AL91/((SUMIF('4店辅助表'!AW:AW,B:B,'4店辅助表'!AX:AX)+M91)/2),"-")</f>
        <v>0.0402856619666728</v>
      </c>
      <c r="AI91" s="100">
        <f>IFERROR((SUMIF('4店辅助表'!AP:AP,B:B,'4店辅助表'!AR:AR)-SUMIF('4店辅助表'!AP:AP,B:B,'4店辅助表'!AR:AR)*0.15-(L91+IFERROR(VLOOKUP(B:B,'4店辅助表'!AZ:BA,2,0),0))*O91-IF(AN:AN="US",6.85,4.9)*(Z91+4.27*O91))/SUMIF('4店辅助表'!AP:AP,B:B,'4店辅助表'!AR:AR),"-")</f>
        <v>-0.228638178038429</v>
      </c>
      <c r="AJ91" s="100">
        <f t="shared" si="45"/>
        <v>-0.0092108403531321</v>
      </c>
      <c r="AK91" s="101">
        <f t="shared" si="46"/>
        <v>0</v>
      </c>
      <c r="AL91" s="101">
        <f t="shared" si="47"/>
        <v>11</v>
      </c>
      <c r="AM91" s="1" t="str">
        <f>VLOOKUP(B:B,'4店辅助表'!AZ:AZ,1,FALSE)</f>
        <v>Y4055-GW+Y4056+Y4057</v>
      </c>
      <c r="AN91" t="str">
        <f>VLOOKUP(B:B,'4店辅助表'!AZ:BB,3,FALSE)</f>
        <v>US</v>
      </c>
    </row>
    <row r="92" customHeight="1" spans="1:40">
      <c r="A92" s="58" t="str">
        <f>INDEX('[1]4店'!$A:$A,MATCH(B:B,'[1]4店'!$B:$B,0))</f>
        <v>美珠</v>
      </c>
      <c r="B92" s="45" t="s">
        <v>1505</v>
      </c>
      <c r="C92" s="45" t="s">
        <v>1499</v>
      </c>
      <c r="D92" s="59">
        <f>VLOOKUP(B:B,'[1]4店'!$B:$L,3,0)</f>
        <v>44958</v>
      </c>
      <c r="E92" s="45" t="s">
        <v>1506</v>
      </c>
      <c r="F92" s="45">
        <v>48</v>
      </c>
      <c r="G92" s="45">
        <v>0</v>
      </c>
      <c r="H92" s="45">
        <v>0</v>
      </c>
      <c r="I92" s="45">
        <v>0</v>
      </c>
      <c r="J92" s="45">
        <v>0</v>
      </c>
      <c r="K92" s="63">
        <f t="shared" si="37"/>
        <v>48</v>
      </c>
      <c r="L92" s="64">
        <v>11</v>
      </c>
      <c r="M92" s="44">
        <f t="shared" si="36"/>
        <v>528</v>
      </c>
      <c r="N92" s="65">
        <f>IFERROR(VLOOKUP(B:B,'4店辅助表'!B:C,2,FALSE),0)</f>
        <v>1</v>
      </c>
      <c r="O92" s="65">
        <f>IFERROR(VLOOKUP(B:B,'4店辅助表'!E:F,2,FALSE),0)</f>
        <v>1</v>
      </c>
      <c r="P92" s="65">
        <f>IFERROR(VLOOKUP(B:B,'4店辅助表'!H:I,2,FALSE),0)</f>
        <v>1</v>
      </c>
      <c r="Q92" s="65">
        <f>IFERROR(VLOOKUP(B:B,'[1]4店'!$B:$N,13,FALSE),0)</f>
        <v>0</v>
      </c>
      <c r="R92" s="79">
        <f t="shared" si="38"/>
        <v>1</v>
      </c>
      <c r="S92" s="80">
        <f t="shared" si="39"/>
        <v>592.941176470588</v>
      </c>
      <c r="T92" s="44">
        <f t="shared" si="40"/>
        <v>19.7647058823529</v>
      </c>
      <c r="U92" s="44" t="str">
        <f>IFERROR(VLOOKUP($B:$B,'[1]4店'!$B:$T,19,0),"-")</f>
        <v>-</v>
      </c>
      <c r="V92" s="81" t="str">
        <f t="shared" si="41"/>
        <v>-</v>
      </c>
      <c r="W92" s="82" t="str">
        <f t="shared" si="42"/>
        <v>库存过高</v>
      </c>
      <c r="X92" s="83" t="str">
        <f t="shared" si="43"/>
        <v>库存过高</v>
      </c>
      <c r="Y92" s="44">
        <f>IFERROR(SUMIF('4店辅助表'!K:K,B:B,'4店辅助表'!N:N),0)</f>
        <v>6.71</v>
      </c>
      <c r="Z92" s="44">
        <f>IFERROR(SUMIF('4店辅助表'!T:T,B:B,'4店辅助表'!W:W),0)</f>
        <v>11.59</v>
      </c>
      <c r="AA92" s="44">
        <f>IFERROR(SUMIF('4店辅助表'!AC:AC,B:B,'4店辅助表'!AF:AF),0)</f>
        <v>21.29</v>
      </c>
      <c r="AB92" s="91">
        <f>IFERROR(SUMIF('4店辅助表'!K:K,B:B,'4店辅助表'!N:N)/SUMIF('4店辅助表'!K:K,B:B,'4店辅助表'!O:O),"-")</f>
        <v>0.258275596612779</v>
      </c>
      <c r="AC92" s="91" t="str">
        <f>IFERROR(VLOOKUP(B:B,'[1]4店'!$B:$AB,27,0),"-")</f>
        <v>-</v>
      </c>
      <c r="AD92" s="92" t="str">
        <f t="shared" si="44"/>
        <v>-</v>
      </c>
      <c r="AE92" s="91">
        <f>IFERROR(SUMIF('4店辅助表'!T:T,B:B,'4店辅助表'!W:W)/SUMIF('4店辅助表'!T:T,B:B,'4店辅助表'!X:X),"-")</f>
        <v>0.446112394149346</v>
      </c>
      <c r="AF92" s="91">
        <f>IFERROR(SUMIF('4店辅助表'!AC:AC,B:B,'4店辅助表'!AF:AF)/SUMIF('4店辅助表'!AC:AC,B:B,'4店辅助表'!AG:AG),"-")</f>
        <v>0.409738260200154</v>
      </c>
      <c r="AG92" s="99">
        <f>IFERROR(AK92/((SUMIF('4店辅助表'!AT:AT,B:B,'4店辅助表'!AU:AU)+M92)/2),"-")</f>
        <v>0.0185560053981107</v>
      </c>
      <c r="AH92" s="99">
        <f>IFERROR(AL92/((SUMIF('4店辅助表'!AW:AW,B:B,'4店辅助表'!AX:AX)+M92)/2),"-")</f>
        <v>0.0185560053981107</v>
      </c>
      <c r="AI92" s="100">
        <f>IFERROR((SUMIF('4店辅助表'!AP:AP,B:B,'4店辅助表'!AR:AR)-SUMIF('4店辅助表'!AP:AP,B:B,'4店辅助表'!AR:AR)*0.15-(L92+IFERROR(VLOOKUP(B:B,'4店辅助表'!AZ:BA,2,0),0))*O92-IF(AN:AN="US",6.85,4.9)*(Z92+4.27*O92))/SUMIF('4店辅助表'!AP:AP,B:B,'4店辅助表'!AR:AR),"-")</f>
        <v>-0.51503655254182</v>
      </c>
      <c r="AJ92" s="100">
        <f t="shared" si="45"/>
        <v>-0.00955702104919033</v>
      </c>
      <c r="AK92" s="101">
        <f t="shared" si="46"/>
        <v>11</v>
      </c>
      <c r="AL92" s="101">
        <f t="shared" si="47"/>
        <v>11</v>
      </c>
      <c r="AM92" s="1" t="str">
        <f>VLOOKUP(B:B,'4店辅助表'!AZ:AZ,1,FALSE)</f>
        <v>Y4055-OR+Y4056+Y4057</v>
      </c>
      <c r="AN92" t="str">
        <f>VLOOKUP(B:B,'4店辅助表'!AZ:BB,3,FALSE)</f>
        <v>US</v>
      </c>
    </row>
    <row r="93" customHeight="1" spans="1:40">
      <c r="A93" s="58" t="str">
        <f>INDEX('[1]4店'!$A:$A,MATCH(B:B,'[1]4店'!$B:$B,0))</f>
        <v>美珠</v>
      </c>
      <c r="B93" s="45" t="s">
        <v>1507</v>
      </c>
      <c r="C93" s="45" t="s">
        <v>1499</v>
      </c>
      <c r="D93" s="59">
        <f>VLOOKUP(B:B,'[1]4店'!$B:$L,3,0)</f>
        <v>44958</v>
      </c>
      <c r="E93" s="45" t="s">
        <v>1508</v>
      </c>
      <c r="F93" s="45">
        <v>13</v>
      </c>
      <c r="G93" s="45">
        <v>0</v>
      </c>
      <c r="H93" s="45">
        <v>0</v>
      </c>
      <c r="I93" s="45">
        <v>0</v>
      </c>
      <c r="J93" s="45">
        <v>0</v>
      </c>
      <c r="K93" s="63">
        <f t="shared" si="37"/>
        <v>13</v>
      </c>
      <c r="L93" s="64">
        <v>11</v>
      </c>
      <c r="M93" s="44">
        <f t="shared" si="36"/>
        <v>143</v>
      </c>
      <c r="N93" s="65">
        <f>IFERROR(VLOOKUP(B:B,'4店辅助表'!B:C,2,FALSE),0)</f>
        <v>0</v>
      </c>
      <c r="O93" s="65">
        <f>IFERROR(VLOOKUP(B:B,'4店辅助表'!E:F,2,FALSE),0)</f>
        <v>0</v>
      </c>
      <c r="P93" s="65">
        <f>IFERROR(VLOOKUP(B:B,'4店辅助表'!H:I,2,FALSE),0)</f>
        <v>1</v>
      </c>
      <c r="Q93" s="65">
        <f>IFERROR(VLOOKUP(B:B,'[1]4店'!$B:$N,13,FALSE),0)</f>
        <v>0</v>
      </c>
      <c r="R93" s="79">
        <f t="shared" si="38"/>
        <v>0</v>
      </c>
      <c r="S93" s="80">
        <f t="shared" si="39"/>
        <v>1170</v>
      </c>
      <c r="T93" s="44">
        <f t="shared" si="40"/>
        <v>39</v>
      </c>
      <c r="U93" s="44">
        <f>IFERROR(VLOOKUP($B:$B,'[1]4店'!$B:$T,19,0),"-")</f>
        <v>7.8</v>
      </c>
      <c r="V93" s="81">
        <f t="shared" si="41"/>
        <v>31.2</v>
      </c>
      <c r="W93" s="82" t="str">
        <f t="shared" si="42"/>
        <v>有库存无销量</v>
      </c>
      <c r="X93" s="83" t="str">
        <f t="shared" si="43"/>
        <v>库存过高</v>
      </c>
      <c r="Y93" s="44">
        <f>IFERROR(SUMIF('4店辅助表'!K:K,B:B,'4店辅助表'!N:N),0)</f>
        <v>4.64</v>
      </c>
      <c r="Z93" s="44">
        <f>IFERROR(SUMIF('4店辅助表'!T:T,B:B,'4店辅助表'!W:W),0)</f>
        <v>9.49</v>
      </c>
      <c r="AA93" s="44">
        <f>IFERROR(SUMIF('4店辅助表'!AC:AC,B:B,'4店辅助表'!AF:AF),0)</f>
        <v>22.7</v>
      </c>
      <c r="AB93" s="91" t="str">
        <f>IFERROR(SUMIF('4店辅助表'!K:K,B:B,'4店辅助表'!N:N)/SUMIF('4店辅助表'!K:K,B:B,'4店辅助表'!O:O),"-")</f>
        <v>-</v>
      </c>
      <c r="AC93" s="91" t="str">
        <f>IFERROR(VLOOKUP(B:B,'[1]4店'!$B:$AB,27,0),"-")</f>
        <v>-</v>
      </c>
      <c r="AD93" s="92" t="str">
        <f t="shared" si="44"/>
        <v>-</v>
      </c>
      <c r="AE93" s="91" t="str">
        <f>IFERROR(SUMIF('4店辅助表'!T:T,B:B,'4店辅助表'!W:W)/SUMIF('4店辅助表'!T:T,B:B,'4店辅助表'!X:X),"-")</f>
        <v>-</v>
      </c>
      <c r="AF93" s="91" t="str">
        <f>IFERROR(SUMIF('4店辅助表'!AC:AC,B:B,'4店辅助表'!AF:AF)/SUMIF('4店辅助表'!AC:AC,B:B,'4店辅助表'!AG:AG),"-")</f>
        <v>-</v>
      </c>
      <c r="AG93" s="99">
        <f>IFERROR(AK93/((SUMIF('4店辅助表'!AT:AT,B:B,'4店辅助表'!AU:AU)+M93)/2),"-")</f>
        <v>0</v>
      </c>
      <c r="AH93" s="99">
        <f>IFERROR(AL93/((SUMIF('4店辅助表'!AW:AW,B:B,'4店辅助表'!AX:AX)+M93)/2),"-")</f>
        <v>0</v>
      </c>
      <c r="AI93" s="100" t="str">
        <f>IFERROR((SUMIF('4店辅助表'!AP:AP,B:B,'4店辅助表'!AR:AR)-SUMIF('4店辅助表'!AP:AP,B:B,'4店辅助表'!AR:AR)*0.15-(L93+IFERROR(VLOOKUP(B:B,'4店辅助表'!AZ:BA,2,0),0))*O93-IF(AN:AN="US",6.85,4.9)*(Z93+4.27*O93))/SUMIF('4店辅助表'!AP:AP,B:B,'4店辅助表'!AR:AR),"-")</f>
        <v>-</v>
      </c>
      <c r="AJ93" s="100" t="str">
        <f t="shared" si="45"/>
        <v>-</v>
      </c>
      <c r="AK93" s="101">
        <f t="shared" si="46"/>
        <v>0</v>
      </c>
      <c r="AL93" s="101">
        <f t="shared" si="47"/>
        <v>0</v>
      </c>
      <c r="AM93" s="1" t="str">
        <f>VLOOKUP(B:B,'4店辅助表'!AZ:AZ,1,FALSE)</f>
        <v>Y4055-WI+Y4056+Y4057</v>
      </c>
      <c r="AN93" t="str">
        <f>VLOOKUP(B:B,'4店辅助表'!AZ:BB,3,FALSE)</f>
        <v>US</v>
      </c>
    </row>
    <row r="94" customHeight="1" spans="1:40">
      <c r="A94" s="58" t="str">
        <f>INDEX('[1]4店'!$A:$A,MATCH(B:B,'[1]4店'!$B:$B,0))</f>
        <v>美珠</v>
      </c>
      <c r="B94" s="45" t="s">
        <v>1509</v>
      </c>
      <c r="C94" s="45" t="s">
        <v>1510</v>
      </c>
      <c r="D94" s="59">
        <f>VLOOKUP(B:B,'[1]4店'!$B:$L,3,0)</f>
        <v>44958</v>
      </c>
      <c r="E94" s="45" t="s">
        <v>1511</v>
      </c>
      <c r="F94" s="45">
        <v>28</v>
      </c>
      <c r="G94" s="45">
        <v>0</v>
      </c>
      <c r="H94" s="45">
        <v>1</v>
      </c>
      <c r="I94" s="45">
        <v>0</v>
      </c>
      <c r="J94" s="45">
        <v>0</v>
      </c>
      <c r="K94" s="63">
        <f t="shared" si="37"/>
        <v>29</v>
      </c>
      <c r="L94" s="64">
        <v>11</v>
      </c>
      <c r="M94" s="44">
        <f t="shared" si="36"/>
        <v>319</v>
      </c>
      <c r="N94" s="65">
        <f>IFERROR(VLOOKUP(B:B,'4店辅助表'!B:C,2,FALSE),0)</f>
        <v>3</v>
      </c>
      <c r="O94" s="65">
        <f>IFERROR(VLOOKUP(B:B,'4店辅助表'!E:F,2,FALSE),0)</f>
        <v>9</v>
      </c>
      <c r="P94" s="65">
        <f>IFERROR(VLOOKUP(B:B,'4店辅助表'!H:I,2,FALSE),0)</f>
        <v>10</v>
      </c>
      <c r="Q94" s="65">
        <f>IFERROR(VLOOKUP(B:B,'[1]4店'!$B:$N,13,FALSE),0)</f>
        <v>3</v>
      </c>
      <c r="R94" s="79">
        <f t="shared" si="38"/>
        <v>0</v>
      </c>
      <c r="S94" s="80">
        <f t="shared" si="39"/>
        <v>63.8811188811189</v>
      </c>
      <c r="T94" s="44">
        <f t="shared" si="40"/>
        <v>2.12937062937063</v>
      </c>
      <c r="U94" s="44">
        <f>IFERROR(VLOOKUP($B:$B,'[1]4店'!$B:$T,19,0),"-")</f>
        <v>2.84016393442623</v>
      </c>
      <c r="V94" s="81">
        <f t="shared" si="41"/>
        <v>-0.7107933050556</v>
      </c>
      <c r="W94" s="82" t="str">
        <f t="shared" si="42"/>
        <v>库存过高</v>
      </c>
      <c r="X94" s="83" t="str">
        <f t="shared" si="43"/>
        <v>库存过高</v>
      </c>
      <c r="Y94" s="44">
        <f>IFERROR(SUMIF('4店辅助表'!K:K,B:B,'4店辅助表'!N:N),0)</f>
        <v>0</v>
      </c>
      <c r="Z94" s="44">
        <f>IFERROR(SUMIF('4店辅助表'!T:T,B:B,'4店辅助表'!W:W),0)</f>
        <v>0</v>
      </c>
      <c r="AA94" s="44">
        <f>IFERROR(SUMIF('4店辅助表'!AC:AC,B:B,'4店辅助表'!AF:AF),0)</f>
        <v>1.07</v>
      </c>
      <c r="AB94" s="91" t="str">
        <f>IFERROR(SUMIF('4店辅助表'!K:K,B:B,'4店辅助表'!N:N)/SUMIF('4店辅助表'!K:K,B:B,'4店辅助表'!O:O),"-")</f>
        <v>-</v>
      </c>
      <c r="AC94" s="91" t="str">
        <f>IFERROR(VLOOKUP(B:B,'[1]4店'!$B:$AB,27,0),"-")</f>
        <v>-</v>
      </c>
      <c r="AD94" s="92" t="str">
        <f t="shared" si="44"/>
        <v>-</v>
      </c>
      <c r="AE94" s="91" t="str">
        <f>IFERROR(SUMIF('4店辅助表'!T:T,B:B,'4店辅助表'!W:W)/SUMIF('4店辅助表'!T:T,B:B,'4店辅助表'!X:X),"-")</f>
        <v>-</v>
      </c>
      <c r="AF94" s="91" t="str">
        <f>IFERROR(SUMIF('4店辅助表'!AC:AC,B:B,'4店辅助表'!AF:AF)/SUMIF('4店辅助表'!AC:AC,B:B,'4店辅助表'!AG:AG),"-")</f>
        <v>-</v>
      </c>
      <c r="AG94" s="99">
        <f>IFERROR(AK94/((SUMIF('4店辅助表'!AT:AT,B:B,'4店辅助表'!AU:AU)+M94)/2),"-")</f>
        <v>0.0855920114122682</v>
      </c>
      <c r="AH94" s="99">
        <f>IFERROR(AL94/((SUMIF('4店辅助表'!AW:AW,B:B,'4店辅助表'!AX:AX)+M94)/2),"-")</f>
        <v>0.232040314074769</v>
      </c>
      <c r="AI94" s="100">
        <f>IFERROR((SUMIF('4店辅助表'!AP:AP,B:B,'4店辅助表'!AR:AR)-SUMIF('4店辅助表'!AP:AP,B:B,'4店辅助表'!AR:AR)*0.15-(L94+IFERROR(VLOOKUP(B:B,'4店辅助表'!AZ:BA,2,0),0))*O94-IF(AN:AN="US",6.85,4.9)*(Z94+4.27*O94))/SUMIF('4店辅助表'!AP:AP,B:B,'4店辅助表'!AR:AR),"-")</f>
        <v>0.377637306759273</v>
      </c>
      <c r="AJ94" s="100">
        <f t="shared" si="45"/>
        <v>0.0876270792667714</v>
      </c>
      <c r="AK94" s="101">
        <f t="shared" si="46"/>
        <v>33</v>
      </c>
      <c r="AL94" s="101">
        <f t="shared" si="47"/>
        <v>99</v>
      </c>
      <c r="AM94" s="1" t="str">
        <f>VLOOKUP(B:B,'4店辅助表'!AZ:AZ,1,FALSE)</f>
        <v>Y4058-BL+Y4059+Y4060</v>
      </c>
      <c r="AN94" t="str">
        <f>VLOOKUP(B:B,'4店辅助表'!AZ:BB,3,FALSE)</f>
        <v>US</v>
      </c>
    </row>
    <row r="95" customHeight="1" spans="1:40">
      <c r="A95" s="58" t="str">
        <f>INDEX('[1]4店'!$A:$A,MATCH(B:B,'[1]4店'!$B:$B,0))</f>
        <v>美珠</v>
      </c>
      <c r="B95" s="45" t="s">
        <v>1512</v>
      </c>
      <c r="C95" s="45" t="s">
        <v>1510</v>
      </c>
      <c r="D95" s="59">
        <f>VLOOKUP(B:B,'[1]4店'!$B:$L,3,0)</f>
        <v>44958</v>
      </c>
      <c r="E95" s="45" t="s">
        <v>1513</v>
      </c>
      <c r="F95" s="45">
        <v>44</v>
      </c>
      <c r="G95" s="45">
        <v>0</v>
      </c>
      <c r="H95" s="45">
        <v>0</v>
      </c>
      <c r="I95" s="45">
        <v>0</v>
      </c>
      <c r="J95" s="45">
        <v>0</v>
      </c>
      <c r="K95" s="63">
        <f t="shared" si="37"/>
        <v>44</v>
      </c>
      <c r="L95" s="64">
        <v>11</v>
      </c>
      <c r="M95" s="44">
        <f t="shared" si="36"/>
        <v>484</v>
      </c>
      <c r="N95" s="65">
        <f>IFERROR(VLOOKUP(B:B,'4店辅助表'!B:C,2,FALSE),0)</f>
        <v>0</v>
      </c>
      <c r="O95" s="65">
        <f>IFERROR(VLOOKUP(B:B,'4店辅助表'!E:F,2,FALSE),0)</f>
        <v>0</v>
      </c>
      <c r="P95" s="65">
        <f>IFERROR(VLOOKUP(B:B,'4店辅助表'!H:I,2,FALSE),0)</f>
        <v>0</v>
      </c>
      <c r="Q95" s="65">
        <f>IFERROR(VLOOKUP(B:B,'[1]4店'!$B:$N,13,FALSE),0)</f>
        <v>0</v>
      </c>
      <c r="R95" s="79">
        <f t="shared" si="38"/>
        <v>0</v>
      </c>
      <c r="S95" s="80" t="str">
        <f t="shared" si="39"/>
        <v>-</v>
      </c>
      <c r="T95" s="44" t="str">
        <f t="shared" si="40"/>
        <v>-</v>
      </c>
      <c r="U95" s="44">
        <f>IFERROR(VLOOKUP($B:$B,'[1]4店'!$B:$T,19,0),"-")</f>
        <v>132</v>
      </c>
      <c r="V95" s="81" t="str">
        <f t="shared" si="41"/>
        <v>-</v>
      </c>
      <c r="W95" s="82" t="str">
        <f t="shared" si="42"/>
        <v>有库存无销量</v>
      </c>
      <c r="X95" s="83" t="str">
        <f t="shared" si="43"/>
        <v>有库存无销量</v>
      </c>
      <c r="Y95" s="44">
        <f>IFERROR(SUMIF('4店辅助表'!K:K,B:B,'4店辅助表'!N:N),0)</f>
        <v>0.89</v>
      </c>
      <c r="Z95" s="44">
        <f>IFERROR(SUMIF('4店辅助表'!T:T,B:B,'4店辅助表'!W:W),0)</f>
        <v>2.33</v>
      </c>
      <c r="AA95" s="44">
        <f>IFERROR(SUMIF('4店辅助表'!AC:AC,B:B,'4店辅助表'!AF:AF),0)</f>
        <v>4.23</v>
      </c>
      <c r="AB95" s="91" t="str">
        <f>IFERROR(SUMIF('4店辅助表'!K:K,B:B,'4店辅助表'!N:N)/SUMIF('4店辅助表'!K:K,B:B,'4店辅助表'!O:O),"-")</f>
        <v>-</v>
      </c>
      <c r="AC95" s="91" t="str">
        <f>IFERROR(VLOOKUP(B:B,'[1]4店'!$B:$AB,27,0),"-")</f>
        <v>-</v>
      </c>
      <c r="AD95" s="92" t="str">
        <f t="shared" si="44"/>
        <v>-</v>
      </c>
      <c r="AE95" s="91">
        <f>IFERROR(SUMIF('4店辅助表'!T:T,B:B,'4店辅助表'!W:W)/SUMIF('4店辅助表'!T:T,B:B,'4店辅助表'!X:X),"-")</f>
        <v>0.0448421862971517</v>
      </c>
      <c r="AF95" s="91">
        <f>IFERROR(SUMIF('4店辅助表'!AC:AC,B:B,'4店辅助表'!AF:AF)/SUMIF('4店辅助表'!AC:AC,B:B,'4店辅助表'!AG:AG),"-")</f>
        <v>0.0814087759815243</v>
      </c>
      <c r="AG95" s="99">
        <f>IFERROR(AK95/((SUMIF('4店辅助表'!AT:AT,B:B,'4店辅助表'!AU:AU)+M95)/2),"-")</f>
        <v>0</v>
      </c>
      <c r="AH95" s="99">
        <f>IFERROR(AL95/((SUMIF('4店辅助表'!AW:AW,B:B,'4店辅助表'!AX:AX)+M95)/2),"-")</f>
        <v>0</v>
      </c>
      <c r="AI95" s="100" t="str">
        <f>IFERROR((SUMIF('4店辅助表'!AP:AP,B:B,'4店辅助表'!AR:AR)-SUMIF('4店辅助表'!AP:AP,B:B,'4店辅助表'!AR:AR)*0.15-(L95+IFERROR(VLOOKUP(B:B,'4店辅助表'!AZ:BA,2,0),0))*O95-IF(AN:AN="US",6.85,4.9)*(Z95+4.27*O95))/SUMIF('4店辅助表'!AP:AP,B:B,'4店辅助表'!AR:AR),"-")</f>
        <v>-</v>
      </c>
      <c r="AJ95" s="100" t="str">
        <f t="shared" si="45"/>
        <v>-</v>
      </c>
      <c r="AK95" s="101">
        <f t="shared" si="46"/>
        <v>0</v>
      </c>
      <c r="AL95" s="101">
        <f t="shared" si="47"/>
        <v>0</v>
      </c>
      <c r="AM95" s="1" t="str">
        <f>VLOOKUP(B:B,'4店辅助表'!AZ:AZ,1,FALSE)</f>
        <v>Y4058-DB+Y4059+Y4060</v>
      </c>
      <c r="AN95" t="str">
        <f>VLOOKUP(B:B,'4店辅助表'!AZ:BB,3,FALSE)</f>
        <v>US</v>
      </c>
    </row>
    <row r="96" customHeight="1" spans="1:40">
      <c r="A96" s="58" t="str">
        <f>INDEX('[1]4店'!$A:$A,MATCH(B:B,'[1]4店'!$B:$B,0))</f>
        <v>美珠</v>
      </c>
      <c r="B96" s="45" t="s">
        <v>1514</v>
      </c>
      <c r="C96" s="45" t="s">
        <v>1510</v>
      </c>
      <c r="D96" s="59">
        <f>VLOOKUP(B:B,'[1]4店'!$B:$L,3,0)</f>
        <v>44958</v>
      </c>
      <c r="E96" s="45" t="s">
        <v>1515</v>
      </c>
      <c r="F96" s="45">
        <v>18</v>
      </c>
      <c r="G96" s="45">
        <v>0</v>
      </c>
      <c r="H96" s="45">
        <v>0</v>
      </c>
      <c r="I96" s="45">
        <v>0</v>
      </c>
      <c r="J96" s="45">
        <v>0</v>
      </c>
      <c r="K96" s="63">
        <f t="shared" si="37"/>
        <v>18</v>
      </c>
      <c r="L96" s="64">
        <v>11</v>
      </c>
      <c r="M96" s="44">
        <f t="shared" si="36"/>
        <v>198</v>
      </c>
      <c r="N96" s="65">
        <f>IFERROR(VLOOKUP(B:B,'4店辅助表'!B:C,2,FALSE),0)</f>
        <v>1</v>
      </c>
      <c r="O96" s="65">
        <f>IFERROR(VLOOKUP(B:B,'4店辅助表'!E:F,2,FALSE),0)</f>
        <v>2</v>
      </c>
      <c r="P96" s="65">
        <f>IFERROR(VLOOKUP(B:B,'4店辅助表'!H:I,2,FALSE),0)</f>
        <v>2</v>
      </c>
      <c r="Q96" s="65">
        <f>IFERROR(VLOOKUP(B:B,'[1]4店'!$B:$N,13,FALSE),0)</f>
        <v>1</v>
      </c>
      <c r="R96" s="79">
        <f t="shared" si="38"/>
        <v>0</v>
      </c>
      <c r="S96" s="80">
        <f t="shared" si="39"/>
        <v>157.5</v>
      </c>
      <c r="T96" s="44">
        <f t="shared" si="40"/>
        <v>5.25</v>
      </c>
      <c r="U96" s="44">
        <f>IFERROR(VLOOKUP($B:$B,'[1]4店'!$B:$T,19,0),"-")</f>
        <v>6.51724137931035</v>
      </c>
      <c r="V96" s="81">
        <f t="shared" si="41"/>
        <v>-1.26724137931035</v>
      </c>
      <c r="W96" s="82" t="str">
        <f t="shared" si="42"/>
        <v>库存过高</v>
      </c>
      <c r="X96" s="83" t="str">
        <f t="shared" si="43"/>
        <v>库存过高</v>
      </c>
      <c r="Y96" s="44">
        <f>IFERROR(SUMIF('4店辅助表'!K:K,B:B,'4店辅助表'!N:N),0)</f>
        <v>3.39</v>
      </c>
      <c r="Z96" s="44">
        <f>IFERROR(SUMIF('4店辅助表'!T:T,B:B,'4店辅助表'!W:W),0)</f>
        <v>9.25</v>
      </c>
      <c r="AA96" s="44">
        <f>IFERROR(SUMIF('4店辅助表'!AC:AC,B:B,'4店辅助表'!AF:AF),0)</f>
        <v>17.14</v>
      </c>
      <c r="AB96" s="91" t="str">
        <f>IFERROR(SUMIF('4店辅助表'!K:K,B:B,'4店辅助表'!N:N)/SUMIF('4店辅助表'!K:K,B:B,'4店辅助表'!O:O),"-")</f>
        <v>-</v>
      </c>
      <c r="AC96" s="91" t="str">
        <f>IFERROR(VLOOKUP(B:B,'[1]4店'!$B:$AB,27,0),"-")</f>
        <v>-</v>
      </c>
      <c r="AD96" s="92" t="str">
        <f t="shared" si="44"/>
        <v>-</v>
      </c>
      <c r="AE96" s="91">
        <f>IFERROR(SUMIF('4店辅助表'!T:T,B:B,'4店辅助表'!W:W)/SUMIF('4店辅助表'!T:T,B:B,'4店辅助表'!X:X),"-")</f>
        <v>0.712086220169361</v>
      </c>
      <c r="AF96" s="91">
        <f>IFERROR(SUMIF('4店辅助表'!AC:AC,B:B,'4店辅助表'!AF:AF)/SUMIF('4店辅助表'!AC:AC,B:B,'4店辅助表'!AG:AG),"-")</f>
        <v>1.31947652040031</v>
      </c>
      <c r="AG96" s="99">
        <f>IFERROR(AK96/((SUMIF('4店辅助表'!AT:AT,B:B,'4店辅助表'!AU:AU)+M96)/2),"-")</f>
        <v>0.0494826810616284</v>
      </c>
      <c r="AH96" s="99">
        <f>IFERROR(AL96/((SUMIF('4店辅助表'!AW:AW,B:B,'4店辅助表'!AX:AX)+M96)/2),"-")</f>
        <v>0.0960069823259873</v>
      </c>
      <c r="AI96" s="100">
        <f>IFERROR((SUMIF('4店辅助表'!AP:AP,B:B,'4店辅助表'!AR:AR)-SUMIF('4店辅助表'!AP:AP,B:B,'4店辅助表'!AR:AR)*0.15-(L96+IFERROR(VLOOKUP(B:B,'4店辅助表'!AZ:BA,2,0),0))*O96-IF(AN:AN="US",6.85,4.9)*(Z96+4.27*O96))/SUMIF('4店辅助表'!AP:AP,B:B,'4店辅助表'!AR:AR),"-")</f>
        <v>0.021729516809674</v>
      </c>
      <c r="AJ96" s="100">
        <f t="shared" si="45"/>
        <v>0.00208618533629862</v>
      </c>
      <c r="AK96" s="101">
        <f t="shared" si="46"/>
        <v>11</v>
      </c>
      <c r="AL96" s="101">
        <f t="shared" si="47"/>
        <v>22</v>
      </c>
      <c r="AM96" s="1" t="str">
        <f>VLOOKUP(B:B,'4店辅助表'!AZ:AZ,1,FALSE)</f>
        <v>Y4058-GW+Y4059+Y4060</v>
      </c>
      <c r="AN96" t="str">
        <f>VLOOKUP(B:B,'4店辅助表'!AZ:BB,3,FALSE)</f>
        <v>US</v>
      </c>
    </row>
    <row r="97" customHeight="1" spans="1:40">
      <c r="A97" s="58" t="str">
        <f>INDEX('[1]4店'!$A:$A,MATCH(B:B,'[1]4店'!$B:$B,0))</f>
        <v>美珠</v>
      </c>
      <c r="B97" s="45" t="s">
        <v>1516</v>
      </c>
      <c r="C97" s="45" t="s">
        <v>1510</v>
      </c>
      <c r="D97" s="59">
        <f>VLOOKUP(B:B,'[1]4店'!$B:$L,3,0)</f>
        <v>44958</v>
      </c>
      <c r="E97" s="45" t="s">
        <v>1517</v>
      </c>
      <c r="F97" s="45">
        <v>43</v>
      </c>
      <c r="G97" s="45">
        <v>0</v>
      </c>
      <c r="H97" s="45">
        <v>0</v>
      </c>
      <c r="I97" s="45">
        <v>0</v>
      </c>
      <c r="J97" s="45">
        <v>0</v>
      </c>
      <c r="K97" s="63">
        <f t="shared" si="37"/>
        <v>43</v>
      </c>
      <c r="L97" s="64">
        <v>11</v>
      </c>
      <c r="M97" s="44">
        <f t="shared" si="36"/>
        <v>473</v>
      </c>
      <c r="N97" s="65">
        <f>IFERROR(VLOOKUP(B:B,'4店辅助表'!B:C,2,FALSE),0)</f>
        <v>0</v>
      </c>
      <c r="O97" s="65">
        <f>IFERROR(VLOOKUP(B:B,'4店辅助表'!E:F,2,FALSE),0)</f>
        <v>1</v>
      </c>
      <c r="P97" s="65">
        <f>IFERROR(VLOOKUP(B:B,'4店辅助表'!H:I,2,FALSE),0)</f>
        <v>1</v>
      </c>
      <c r="Q97" s="65">
        <f>IFERROR(VLOOKUP(B:B,'[1]4店'!$B:$N,13,FALSE),0)</f>
        <v>0</v>
      </c>
      <c r="R97" s="79">
        <f t="shared" si="38"/>
        <v>0</v>
      </c>
      <c r="S97" s="80">
        <f t="shared" si="39"/>
        <v>1290</v>
      </c>
      <c r="T97" s="44">
        <f t="shared" si="40"/>
        <v>43</v>
      </c>
      <c r="U97" s="44">
        <f>IFERROR(VLOOKUP($B:$B,'[1]4店'!$B:$T,19,0),"-")</f>
        <v>43</v>
      </c>
      <c r="V97" s="81">
        <f t="shared" si="41"/>
        <v>0</v>
      </c>
      <c r="W97" s="82" t="str">
        <f t="shared" si="42"/>
        <v>有库存无销量</v>
      </c>
      <c r="X97" s="83" t="str">
        <f t="shared" si="43"/>
        <v>库存过高</v>
      </c>
      <c r="Y97" s="44">
        <f>IFERROR(SUMIF('4店辅助表'!K:K,B:B,'4店辅助表'!N:N),0)</f>
        <v>1.19</v>
      </c>
      <c r="Z97" s="44">
        <f>IFERROR(SUMIF('4店辅助表'!T:T,B:B,'4店辅助表'!W:W),0)</f>
        <v>3.84</v>
      </c>
      <c r="AA97" s="44">
        <f>IFERROR(SUMIF('4店辅助表'!AC:AC,B:B,'4店辅助表'!AF:AF),0)</f>
        <v>9.18</v>
      </c>
      <c r="AB97" s="91">
        <f>IFERROR(SUMIF('4店辅助表'!K:K,B:B,'4店辅助表'!N:N)/SUMIF('4店辅助表'!K:K,B:B,'4店辅助表'!O:O),"-")</f>
        <v>0.0916089299461124</v>
      </c>
      <c r="AC97" s="91">
        <f>IFERROR(VLOOKUP(B:B,'[1]4店'!$B:$AB,27,0),"-")</f>
        <v>0.241128298453139</v>
      </c>
      <c r="AD97" s="92">
        <f t="shared" si="44"/>
        <v>-0.149519368507027</v>
      </c>
      <c r="AE97" s="91">
        <f>IFERROR(SUMIF('4店辅助表'!T:T,B:B,'4店辅助表'!W:W)/SUMIF('4店辅助表'!T:T,B:B,'4店辅助表'!X:X),"-")</f>
        <v>0.160133444537114</v>
      </c>
      <c r="AF97" s="91">
        <f>IFERROR(SUMIF('4店辅助表'!AC:AC,B:B,'4店辅助表'!AF:AF)/SUMIF('4店辅助表'!AC:AC,B:B,'4店辅助表'!AG:AG),"-")</f>
        <v>0.382819015846539</v>
      </c>
      <c r="AG97" s="99">
        <f>IFERROR(AK97/((SUMIF('4店辅助表'!AT:AT,B:B,'4店辅助表'!AU:AU)+M97)/2),"-")</f>
        <v>0</v>
      </c>
      <c r="AH97" s="99">
        <f>IFERROR(AL97/((SUMIF('4店辅助表'!AW:AW,B:B,'4店辅助表'!AX:AX)+M97)/2),"-")</f>
        <v>0.0204498977505112</v>
      </c>
      <c r="AI97" s="100">
        <f>IFERROR((SUMIF('4店辅助表'!AP:AP,B:B,'4店辅助表'!AR:AR)-SUMIF('4店辅助表'!AP:AP,B:B,'4店辅助表'!AR:AR)*0.15-(L97+IFERROR(VLOOKUP(B:B,'4店辅助表'!AZ:BA,2,0),0))*O97-IF(AN:AN="US",6.85,4.9)*(Z97+4.27*O97))/SUMIF('4店辅助表'!AP:AP,B:B,'4店辅助表'!AR:AR),"-")</f>
        <v>0.0815425116456792</v>
      </c>
      <c r="AJ97" s="100">
        <f t="shared" si="45"/>
        <v>0.00166753602547401</v>
      </c>
      <c r="AK97" s="101">
        <f t="shared" si="46"/>
        <v>0</v>
      </c>
      <c r="AL97" s="101">
        <f t="shared" si="47"/>
        <v>11</v>
      </c>
      <c r="AM97" s="1" t="str">
        <f>VLOOKUP(B:B,'4店辅助表'!AZ:AZ,1,FALSE)</f>
        <v>Y4058-OR+Y4059+Y4060</v>
      </c>
      <c r="AN97" t="str">
        <f>VLOOKUP(B:B,'4店辅助表'!AZ:BB,3,FALSE)</f>
        <v>US</v>
      </c>
    </row>
    <row r="98" customHeight="1" spans="1:40">
      <c r="A98" s="58" t="str">
        <f>INDEX('[1]4店'!$A:$A,MATCH(B:B,'[1]4店'!$B:$B,0))</f>
        <v>美珠</v>
      </c>
      <c r="B98" s="45" t="s">
        <v>1518</v>
      </c>
      <c r="C98" s="45" t="s">
        <v>1510</v>
      </c>
      <c r="D98" s="59">
        <f>VLOOKUP(B:B,'[1]4店'!$B:$L,3,0)</f>
        <v>44958</v>
      </c>
      <c r="E98" s="45" t="s">
        <v>1519</v>
      </c>
      <c r="F98" s="45">
        <v>20</v>
      </c>
      <c r="G98" s="45">
        <v>0</v>
      </c>
      <c r="H98" s="45">
        <v>0</v>
      </c>
      <c r="I98" s="45">
        <v>0</v>
      </c>
      <c r="J98" s="45">
        <v>0</v>
      </c>
      <c r="K98" s="63">
        <f t="shared" si="37"/>
        <v>20</v>
      </c>
      <c r="L98" s="64">
        <v>11</v>
      </c>
      <c r="M98" s="44">
        <f t="shared" si="36"/>
        <v>220</v>
      </c>
      <c r="N98" s="65">
        <f>IFERROR(VLOOKUP(B:B,'4店辅助表'!B:C,2,FALSE),0)</f>
        <v>0</v>
      </c>
      <c r="O98" s="65">
        <f>IFERROR(VLOOKUP(B:B,'4店辅助表'!E:F,2,FALSE),0)</f>
        <v>1</v>
      </c>
      <c r="P98" s="65">
        <f>IFERROR(VLOOKUP(B:B,'4店辅助表'!H:I,2,FALSE),0)</f>
        <v>3</v>
      </c>
      <c r="Q98" s="65">
        <f>IFERROR(VLOOKUP(B:B,'[1]4店'!$B:$N,13,FALSE),0)</f>
        <v>1</v>
      </c>
      <c r="R98" s="79">
        <f t="shared" si="38"/>
        <v>-1</v>
      </c>
      <c r="S98" s="80">
        <f t="shared" si="39"/>
        <v>360</v>
      </c>
      <c r="T98" s="44">
        <f t="shared" si="40"/>
        <v>12</v>
      </c>
      <c r="U98" s="44">
        <f>IFERROR(VLOOKUP($B:$B,'[1]4店'!$B:$T,19,0),"-")</f>
        <v>6.125</v>
      </c>
      <c r="V98" s="81">
        <f t="shared" si="41"/>
        <v>5.875</v>
      </c>
      <c r="W98" s="82" t="str">
        <f t="shared" si="42"/>
        <v>有库存无销量</v>
      </c>
      <c r="X98" s="83" t="str">
        <f t="shared" si="43"/>
        <v>库存过高</v>
      </c>
      <c r="Y98" s="44">
        <f>IFERROR(SUMIF('4店辅助表'!K:K,B:B,'4店辅助表'!N:N),0)</f>
        <v>1.73</v>
      </c>
      <c r="Z98" s="44">
        <f>IFERROR(SUMIF('4店辅助表'!T:T,B:B,'4店辅助表'!W:W),0)</f>
        <v>5.08</v>
      </c>
      <c r="AA98" s="44">
        <f>IFERROR(SUMIF('4店辅助表'!AC:AC,B:B,'4店辅助表'!AF:AF),0)</f>
        <v>8.02</v>
      </c>
      <c r="AB98" s="91" t="str">
        <f>IFERROR(SUMIF('4店辅助表'!K:K,B:B,'4店辅助表'!N:N)/SUMIF('4店辅助表'!K:K,B:B,'4店辅助表'!O:O),"-")</f>
        <v>-</v>
      </c>
      <c r="AC98" s="91" t="str">
        <f>IFERROR(VLOOKUP(B:B,'[1]4店'!$B:$AB,27,0),"-")</f>
        <v>-</v>
      </c>
      <c r="AD98" s="92" t="str">
        <f t="shared" si="44"/>
        <v>-</v>
      </c>
      <c r="AE98" s="91" t="str">
        <f>IFERROR(SUMIF('4店辅助表'!T:T,B:B,'4店辅助表'!W:W)/SUMIF('4店辅助表'!T:T,B:B,'4店辅助表'!X:X),"-")</f>
        <v>-</v>
      </c>
      <c r="AF98" s="91" t="str">
        <f>IFERROR(SUMIF('4店辅助表'!AC:AC,B:B,'4店辅助表'!AF:AF)/SUMIF('4店辅助表'!AC:AC,B:B,'4店辅助表'!AG:AG),"-")</f>
        <v>-</v>
      </c>
      <c r="AG98" s="99">
        <f>IFERROR(AK98/((SUMIF('4店辅助表'!AT:AT,B:B,'4店辅助表'!AU:AU)+M98)/2),"-")</f>
        <v>0</v>
      </c>
      <c r="AH98" s="99">
        <f>IFERROR(AL98/((SUMIF('4店辅助表'!AW:AW,B:B,'4店辅助表'!AX:AX)+M98)/2),"-")</f>
        <v>0.0411138105027098</v>
      </c>
      <c r="AI98" s="100">
        <f>IFERROR((SUMIF('4店辅助表'!AP:AP,B:B,'4店辅助表'!AR:AR)-SUMIF('4店辅助表'!AP:AP,B:B,'4店辅助表'!AR:AR)*0.15-(L98+IFERROR(VLOOKUP(B:B,'4店辅助表'!AZ:BA,2,0),0))*O98-IF(AN:AN="US",6.85,4.9)*(Z98+4.27*O98))/SUMIF('4店辅助表'!AP:AP,B:B,'4店辅助表'!AR:AR),"-")</f>
        <v>-0.170403419166728</v>
      </c>
      <c r="AJ98" s="100">
        <f t="shared" si="45"/>
        <v>-0.00700593388463466</v>
      </c>
      <c r="AK98" s="101">
        <f t="shared" si="46"/>
        <v>0</v>
      </c>
      <c r="AL98" s="101">
        <f t="shared" si="47"/>
        <v>11</v>
      </c>
      <c r="AM98" s="1" t="str">
        <f>VLOOKUP(B:B,'4店辅助表'!AZ:AZ,1,FALSE)</f>
        <v>Y4058-WI+Y4059+Y4060</v>
      </c>
      <c r="AN98" t="str">
        <f>VLOOKUP(B:B,'4店辅助表'!AZ:BB,3,FALSE)</f>
        <v>US</v>
      </c>
    </row>
    <row r="99" customHeight="1" spans="1:40">
      <c r="A99" s="58" t="str">
        <f>INDEX('[1]4店'!$A:$A,MATCH(B:B,'[1]4店'!$B:$B,0))</f>
        <v>美珠</v>
      </c>
      <c r="B99" s="45" t="s">
        <v>1520</v>
      </c>
      <c r="C99" s="45" t="s">
        <v>1521</v>
      </c>
      <c r="D99" s="59">
        <f>VLOOKUP(B:B,'[1]4店'!$B:$L,3,0)</f>
        <v>44958</v>
      </c>
      <c r="E99" s="45" t="s">
        <v>1522</v>
      </c>
      <c r="F99" s="45">
        <v>23</v>
      </c>
      <c r="G99" s="45">
        <v>0</v>
      </c>
      <c r="H99" s="45">
        <v>0</v>
      </c>
      <c r="I99" s="45">
        <v>0</v>
      </c>
      <c r="J99" s="45">
        <v>0</v>
      </c>
      <c r="K99" s="63">
        <f t="shared" si="37"/>
        <v>23</v>
      </c>
      <c r="L99" s="64">
        <v>11</v>
      </c>
      <c r="M99" s="44">
        <f t="shared" si="36"/>
        <v>253</v>
      </c>
      <c r="N99" s="65">
        <f>IFERROR(VLOOKUP(B:B,'4店辅助表'!B:C,2,FALSE),0)</f>
        <v>0</v>
      </c>
      <c r="O99" s="65">
        <f>IFERROR(VLOOKUP(B:B,'4店辅助表'!E:F,2,FALSE),0)</f>
        <v>1</v>
      </c>
      <c r="P99" s="65">
        <f>IFERROR(VLOOKUP(B:B,'4店辅助表'!H:I,2,FALSE),0)</f>
        <v>6</v>
      </c>
      <c r="Q99" s="65">
        <f>IFERROR(VLOOKUP(B:B,'[1]4店'!$B:$N,13,FALSE),0)</f>
        <v>1</v>
      </c>
      <c r="R99" s="79">
        <f t="shared" si="38"/>
        <v>-1</v>
      </c>
      <c r="S99" s="80">
        <f t="shared" si="39"/>
        <v>258.75</v>
      </c>
      <c r="T99" s="44">
        <f t="shared" si="40"/>
        <v>8.625</v>
      </c>
      <c r="U99" s="44">
        <f>IFERROR(VLOOKUP($B:$B,'[1]4店'!$B:$T,19,0),"-")</f>
        <v>3.57777777777778</v>
      </c>
      <c r="V99" s="81">
        <f t="shared" si="41"/>
        <v>5.04722222222222</v>
      </c>
      <c r="W99" s="82" t="str">
        <f t="shared" si="42"/>
        <v>有库存无销量</v>
      </c>
      <c r="X99" s="83" t="str">
        <f t="shared" si="43"/>
        <v>库存过高</v>
      </c>
      <c r="Y99" s="44">
        <f>IFERROR(SUMIF('4店辅助表'!K:K,B:B,'4店辅助表'!N:N),0)</f>
        <v>4.08</v>
      </c>
      <c r="Z99" s="44">
        <f>IFERROR(SUMIF('4店辅助表'!T:T,B:B,'4店辅助表'!W:W),0)</f>
        <v>6.11</v>
      </c>
      <c r="AA99" s="44">
        <f>IFERROR(SUMIF('4店辅助表'!AC:AC,B:B,'4店辅助表'!AF:AF),0)</f>
        <v>9.78</v>
      </c>
      <c r="AB99" s="91" t="str">
        <f>IFERROR(SUMIF('4店辅助表'!K:K,B:B,'4店辅助表'!N:N)/SUMIF('4店辅助表'!K:K,B:B,'4店辅助表'!O:O),"-")</f>
        <v>-</v>
      </c>
      <c r="AC99" s="91" t="str">
        <f>IFERROR(VLOOKUP(B:B,'[1]4店'!$B:$AB,27,0),"-")</f>
        <v>-</v>
      </c>
      <c r="AD99" s="92" t="str">
        <f t="shared" si="44"/>
        <v>-</v>
      </c>
      <c r="AE99" s="91" t="str">
        <f>IFERROR(SUMIF('4店辅助表'!T:T,B:B,'4店辅助表'!W:W)/SUMIF('4店辅助表'!T:T,B:B,'4店辅助表'!X:X),"-")</f>
        <v>-</v>
      </c>
      <c r="AF99" s="91">
        <f>IFERROR(SUMIF('4店辅助表'!AC:AC,B:B,'4店辅助表'!AF:AF)/SUMIF('4店辅助表'!AC:AC,B:B,'4店辅助表'!AG:AG),"-")</f>
        <v>0.250962278675905</v>
      </c>
      <c r="AG99" s="99">
        <f>IFERROR(AK99/((SUMIF('4店辅助表'!AT:AT,B:B,'4店辅助表'!AU:AU)+M99)/2),"-")</f>
        <v>0</v>
      </c>
      <c r="AH99" s="99">
        <f>IFERROR(AL99/((SUMIF('4店辅助表'!AW:AW,B:B,'4店辅助表'!AX:AX)+M99)/2),"-")</f>
        <v>0.0384615384615385</v>
      </c>
      <c r="AI99" s="100">
        <f>IFERROR((SUMIF('4店辅助表'!AP:AP,B:B,'4店辅助表'!AR:AR)-SUMIF('4店辅助表'!AP:AP,B:B,'4店辅助表'!AR:AR)*0.15-(L99+IFERROR(VLOOKUP(B:B,'4店辅助表'!AZ:BA,2,0),0))*O99-IF(AN:AN="US",6.85,4.9)*(Z99+4.27*O99))/SUMIF('4店辅助表'!AP:AP,B:B,'4店辅助表'!AR:AR),"-")</f>
        <v>-0.0931735810252692</v>
      </c>
      <c r="AJ99" s="100">
        <f t="shared" si="45"/>
        <v>-0.00358359927020266</v>
      </c>
      <c r="AK99" s="101">
        <f t="shared" si="46"/>
        <v>0</v>
      </c>
      <c r="AL99" s="101">
        <f t="shared" si="47"/>
        <v>11</v>
      </c>
      <c r="AM99" s="1" t="str">
        <f>VLOOKUP(B:B,'4店辅助表'!AZ:AZ,1,FALSE)</f>
        <v>Y4061-BL+Y4062</v>
      </c>
      <c r="AN99" t="str">
        <f>VLOOKUP(B:B,'4店辅助表'!AZ:BB,3,FALSE)</f>
        <v>US</v>
      </c>
    </row>
    <row r="100" customHeight="1" spans="1:40">
      <c r="A100" s="58" t="str">
        <f>INDEX('[1]4店'!$A:$A,MATCH(B:B,'[1]4店'!$B:$B,0))</f>
        <v>美珠</v>
      </c>
      <c r="B100" s="45" t="s">
        <v>1523</v>
      </c>
      <c r="C100" s="45" t="s">
        <v>1521</v>
      </c>
      <c r="D100" s="59">
        <f>VLOOKUP(B:B,'[1]4店'!$B:$L,3,0)</f>
        <v>44958</v>
      </c>
      <c r="E100" s="45" t="s">
        <v>1524</v>
      </c>
      <c r="F100" s="45">
        <v>19</v>
      </c>
      <c r="G100" s="45">
        <v>0</v>
      </c>
      <c r="H100" s="45">
        <v>0</v>
      </c>
      <c r="I100" s="45">
        <v>0</v>
      </c>
      <c r="J100" s="45">
        <v>0</v>
      </c>
      <c r="K100" s="63">
        <f t="shared" si="37"/>
        <v>19</v>
      </c>
      <c r="L100" s="64">
        <v>11</v>
      </c>
      <c r="M100" s="44">
        <f t="shared" ref="M100:M131" si="48">K100*L100</f>
        <v>209</v>
      </c>
      <c r="N100" s="65">
        <f>IFERROR(VLOOKUP(B:B,'4店辅助表'!B:C,2,FALSE),0)</f>
        <v>3</v>
      </c>
      <c r="O100" s="65">
        <f>IFERROR(VLOOKUP(B:B,'4店辅助表'!E:F,2,FALSE),0)</f>
        <v>3</v>
      </c>
      <c r="P100" s="65">
        <f>IFERROR(VLOOKUP(B:B,'4店辅助表'!H:I,2,FALSE),0)</f>
        <v>3</v>
      </c>
      <c r="Q100" s="65">
        <f>IFERROR(VLOOKUP(B:B,'[1]4店'!$B:$N,13,FALSE),0)</f>
        <v>0</v>
      </c>
      <c r="R100" s="79">
        <f t="shared" si="38"/>
        <v>3</v>
      </c>
      <c r="S100" s="80">
        <f t="shared" si="39"/>
        <v>78.2352941176471</v>
      </c>
      <c r="T100" s="44">
        <f t="shared" si="40"/>
        <v>2.6078431372549</v>
      </c>
      <c r="U100" s="44">
        <f>IFERROR(VLOOKUP($B:$B,'[1]4店'!$B:$T,19,0),"-")</f>
        <v>15</v>
      </c>
      <c r="V100" s="81">
        <f t="shared" si="41"/>
        <v>-12.3921568627451</v>
      </c>
      <c r="W100" s="82" t="str">
        <f t="shared" si="42"/>
        <v>正常</v>
      </c>
      <c r="X100" s="83" t="str">
        <f t="shared" si="43"/>
        <v>库存过高</v>
      </c>
      <c r="Y100" s="44">
        <f>IFERROR(SUMIF('4店辅助表'!K:K,B:B,'4店辅助表'!N:N),0)</f>
        <v>4.25</v>
      </c>
      <c r="Z100" s="44">
        <f>IFERROR(SUMIF('4店辅助表'!T:T,B:B,'4店辅助表'!W:W),0)</f>
        <v>6.51</v>
      </c>
      <c r="AA100" s="44">
        <f>IFERROR(SUMIF('4店辅助表'!AC:AC,B:B,'4店辅助表'!AF:AF),0)</f>
        <v>11.63</v>
      </c>
      <c r="AB100" s="91">
        <f>IFERROR(SUMIF('4店辅助表'!K:K,B:B,'4店辅助表'!N:N)/SUMIF('4店辅助表'!K:K,B:B,'4店辅助表'!O:O),"-")</f>
        <v>0.327174749807544</v>
      </c>
      <c r="AC100" s="91" t="str">
        <f>IFERROR(VLOOKUP(B:B,'[1]4店'!$B:$AB,27,0),"-")</f>
        <v>-</v>
      </c>
      <c r="AD100" s="92" t="str">
        <f t="shared" si="44"/>
        <v>-</v>
      </c>
      <c r="AE100" s="91">
        <f>IFERROR(SUMIF('4店辅助表'!T:T,B:B,'4店辅助表'!W:W)/SUMIF('4店辅助表'!T:T,B:B,'4店辅助表'!X:X),"-")</f>
        <v>0.501154734411085</v>
      </c>
      <c r="AF100" s="91">
        <f>IFERROR(SUMIF('4店辅助表'!AC:AC,B:B,'4店辅助表'!AF:AF)/SUMIF('4店辅助表'!AC:AC,B:B,'4店辅助表'!AG:AG),"-")</f>
        <v>0.298434693353862</v>
      </c>
      <c r="AG100" s="99">
        <f>IFERROR(AK100/((SUMIF('4店辅助表'!AT:AT,B:B,'4店辅助表'!AU:AU)+M100)/2),"-")</f>
        <v>0.153846153846154</v>
      </c>
      <c r="AH100" s="99">
        <f>IFERROR(AL100/((SUMIF('4店辅助表'!AW:AW,B:B,'4店辅助表'!AX:AX)+M100)/2),"-")</f>
        <v>0.15</v>
      </c>
      <c r="AI100" s="100">
        <f>IFERROR((SUMIF('4店辅助表'!AP:AP,B:B,'4店辅助表'!AR:AR)-SUMIF('4店辅助表'!AP:AP,B:B,'4店辅助表'!AR:AR)*0.15-(L100+IFERROR(VLOOKUP(B:B,'4店辅助表'!AZ:BA,2,0),0))*O100-IF(AN:AN="US",6.85,4.9)*(Z100+4.27*O100))/SUMIF('4店辅助表'!AP:AP,B:B,'4店辅助表'!AR:AR),"-")</f>
        <v>-0.10976129869692</v>
      </c>
      <c r="AJ100" s="100">
        <f t="shared" si="45"/>
        <v>-0.016464194804538</v>
      </c>
      <c r="AK100" s="101">
        <f t="shared" si="46"/>
        <v>33</v>
      </c>
      <c r="AL100" s="101">
        <f t="shared" si="47"/>
        <v>33</v>
      </c>
      <c r="AM100" s="1" t="str">
        <f>VLOOKUP(B:B,'4店辅助表'!AZ:AZ,1,FALSE)</f>
        <v>Y4061-DB+Y4062</v>
      </c>
      <c r="AN100" t="str">
        <f>VLOOKUP(B:B,'4店辅助表'!AZ:BB,3,FALSE)</f>
        <v>US</v>
      </c>
    </row>
    <row r="101" customHeight="1" spans="1:40">
      <c r="A101" s="58" t="str">
        <f>INDEX('[1]4店'!$A:$A,MATCH(B:B,'[1]4店'!$B:$B,0))</f>
        <v>美珠</v>
      </c>
      <c r="B101" s="45" t="s">
        <v>1525</v>
      </c>
      <c r="C101" s="45" t="s">
        <v>1521</v>
      </c>
      <c r="D101" s="59">
        <f>VLOOKUP(B:B,'[1]4店'!$B:$L,3,0)</f>
        <v>44958</v>
      </c>
      <c r="E101" s="45" t="s">
        <v>1526</v>
      </c>
      <c r="F101" s="45">
        <v>20</v>
      </c>
      <c r="G101" s="45">
        <v>0</v>
      </c>
      <c r="H101" s="45">
        <v>1</v>
      </c>
      <c r="I101" s="45">
        <v>7</v>
      </c>
      <c r="J101" s="45">
        <v>0</v>
      </c>
      <c r="K101" s="63">
        <f t="shared" ref="K101:K126" si="49">F101+G101+H101+I101+J101</f>
        <v>28</v>
      </c>
      <c r="L101" s="64">
        <v>11</v>
      </c>
      <c r="M101" s="44">
        <f t="shared" si="48"/>
        <v>308</v>
      </c>
      <c r="N101" s="65">
        <f>IFERROR(VLOOKUP(B:B,'4店辅助表'!B:C,2,FALSE),0)</f>
        <v>1</v>
      </c>
      <c r="O101" s="65">
        <f>IFERROR(VLOOKUP(B:B,'4店辅助表'!E:F,2,FALSE),0)</f>
        <v>1</v>
      </c>
      <c r="P101" s="65">
        <f>IFERROR(VLOOKUP(B:B,'4店辅助表'!H:I,2,FALSE),0)</f>
        <v>2</v>
      </c>
      <c r="Q101" s="65">
        <f>IFERROR(VLOOKUP(B:B,'[1]4店'!$B:$N,13,FALSE),0)</f>
        <v>0</v>
      </c>
      <c r="R101" s="79">
        <f t="shared" ref="R101:R126" si="50">N101-Q101</f>
        <v>1</v>
      </c>
      <c r="S101" s="80">
        <f t="shared" ref="S101:S126" si="51">IFERROR(K101/((N101/7+O101/15+P101/30)/3),"-")</f>
        <v>304.137931034483</v>
      </c>
      <c r="T101" s="44">
        <f t="shared" ref="T101:T126" si="52">IFERROR(S101/30,"-")</f>
        <v>10.1379310344828</v>
      </c>
      <c r="U101" s="44">
        <f>IFERROR(VLOOKUP($B:$B,'[1]4店'!$B:$T,19,0),"-")</f>
        <v>99</v>
      </c>
      <c r="V101" s="81">
        <f t="shared" ref="V101:V126" si="53">IFERROR(T101-U101,"-")</f>
        <v>-88.8620689655172</v>
      </c>
      <c r="W101" s="82" t="str">
        <f t="shared" ref="W101:W126" si="54">_xlfn.IFS(AND(D101&lt;&gt;0,D101-$AM$2&gt;=0,B101&gt;0,D101&lt;&gt;0),"本月刚到货",AND(IFERROR((K101/(N101/7))/30,"-")="-",K101&gt;0),"有库存无销量",AND(IFERROR((K101/(N101/7))/30,"-")="-",K101=0),"无库存无销量",AND(IFERROR((K101/(N101/7))/30,"-")&lt;=0.5,K101=0),"无库存有销量",IFERROR((K101/(N101/7))/30,"-")&lt;=0.5,"库存过低",IFERROR((K101/(N101/7))/30,"-")&lt;=1.5,"正常",IFERROR((K101/(N101/7))/30,"-")&gt;1.5,"库存过高")</f>
        <v>库存过高</v>
      </c>
      <c r="X101" s="83" t="str">
        <f t="shared" ref="X101:X126" si="55">_xlfn.IFS(AND(D101&lt;&gt;0,D101-$AM$2&gt;=0,K101&gt;0,D101&lt;&gt;0),"本月刚到货",AND(T101="-",K101&gt;0),"有库存无销量",AND(T101="-",K101=0),"无库存无销量",AND(T101&lt;=0.5,K101=0),"无库存有销量",T101&lt;=0.5,"库存过低",T101&lt;=1.5,"正常",T101&gt;1.5,"库存过高")</f>
        <v>库存过高</v>
      </c>
      <c r="Y101" s="44">
        <f>IFERROR(SUMIF('4店辅助表'!K:K,B:B,'4店辅助表'!N:N),0)</f>
        <v>1.25</v>
      </c>
      <c r="Z101" s="44">
        <f>IFERROR(SUMIF('4店辅助表'!T:T,B:B,'4店辅助表'!W:W),0)</f>
        <v>2.13</v>
      </c>
      <c r="AA101" s="44">
        <f>IFERROR(SUMIF('4店辅助表'!AC:AC,B:B,'4店辅助表'!AF:AF),0)</f>
        <v>3.98</v>
      </c>
      <c r="AB101" s="91">
        <f>IFERROR(SUMIF('4店辅助表'!K:K,B:B,'4店辅助表'!N:N)/SUMIF('4店辅助表'!K:K,B:B,'4店辅助表'!O:O),"-")</f>
        <v>0.0962278675904542</v>
      </c>
      <c r="AC101" s="91" t="str">
        <f>IFERROR(VLOOKUP(B:B,'[1]4店'!$B:$AB,27,0),"-")</f>
        <v>-</v>
      </c>
      <c r="AD101" s="92" t="str">
        <f t="shared" ref="AD101:AD126" si="56">IFERROR(AB101-AC101,"-")</f>
        <v>-</v>
      </c>
      <c r="AE101" s="91">
        <f>IFERROR(SUMIF('4店辅助表'!T:T,B:B,'4店辅助表'!W:W)/SUMIF('4店辅助表'!T:T,B:B,'4店辅助表'!X:X),"-")</f>
        <v>0.163972286374134</v>
      </c>
      <c r="AF101" s="91">
        <f>IFERROR(SUMIF('4店辅助表'!AC:AC,B:B,'4店辅助表'!AF:AF)/SUMIF('4店辅助表'!AC:AC,B:B,'4店辅助表'!AG:AG),"-")</f>
        <v>0.306389530408006</v>
      </c>
      <c r="AG101" s="99">
        <f>IFERROR(AK101/((SUMIF('4店辅助表'!AT:AT,B:B,'4店辅助表'!AU:AU)+M101)/2),"-")</f>
        <v>0.0327868852459016</v>
      </c>
      <c r="AH101" s="99">
        <f>IFERROR(AL101/((SUMIF('4店辅助表'!AW:AW,B:B,'4店辅助表'!AX:AX)+M101)/2),"-")</f>
        <v>0.0416666666666667</v>
      </c>
      <c r="AI101" s="100">
        <f>IFERROR((SUMIF('4店辅助表'!AP:AP,B:B,'4店辅助表'!AR:AR)-SUMIF('4店辅助表'!AP:AP,B:B,'4店辅助表'!AR:AR)*0.15-(L101+IFERROR(VLOOKUP(B:B,'4店辅助表'!AZ:BA,2,0),0))*O101-IF(AN:AN="US",6.85,4.9)*(Z101+4.27*O101))/SUMIF('4店辅助表'!AP:AP,B:B,'4店辅助表'!AR:AR),"-")</f>
        <v>0.213305855711581</v>
      </c>
      <c r="AJ101" s="100">
        <f t="shared" ref="AJ101:AJ126" si="57">IFERROR(AH101*AI101,"-")</f>
        <v>0.00888774398798252</v>
      </c>
      <c r="AK101" s="101">
        <f t="shared" ref="AK101:AK126" si="58">N101*$L101</f>
        <v>11</v>
      </c>
      <c r="AL101" s="101">
        <f t="shared" ref="AL101:AL126" si="59">O101*$L101</f>
        <v>11</v>
      </c>
      <c r="AM101" s="1" t="str">
        <f>VLOOKUP(B:B,'4店辅助表'!AZ:AZ,1,FALSE)</f>
        <v>Y4061-GW+Y4062</v>
      </c>
      <c r="AN101" t="str">
        <f>VLOOKUP(B:B,'4店辅助表'!AZ:BB,3,FALSE)</f>
        <v>US</v>
      </c>
    </row>
    <row r="102" customHeight="1" spans="1:40">
      <c r="A102" s="58" t="str">
        <f>INDEX('[1]4店'!$A:$A,MATCH(B:B,'[1]4店'!$B:$B,0))</f>
        <v>美珠</v>
      </c>
      <c r="B102" s="45" t="s">
        <v>1527</v>
      </c>
      <c r="C102" s="45" t="s">
        <v>1521</v>
      </c>
      <c r="D102" s="59">
        <f>VLOOKUP(B:B,'[1]4店'!$B:$L,3,0)</f>
        <v>44958</v>
      </c>
      <c r="E102" s="45" t="s">
        <v>1528</v>
      </c>
      <c r="F102" s="45">
        <v>31</v>
      </c>
      <c r="G102" s="45">
        <v>0</v>
      </c>
      <c r="H102" s="45">
        <v>0</v>
      </c>
      <c r="I102" s="45">
        <v>0</v>
      </c>
      <c r="J102" s="45">
        <v>0</v>
      </c>
      <c r="K102" s="63">
        <f t="shared" si="49"/>
        <v>31</v>
      </c>
      <c r="L102" s="64">
        <v>11</v>
      </c>
      <c r="M102" s="44">
        <f t="shared" si="48"/>
        <v>341</v>
      </c>
      <c r="N102" s="65">
        <f>IFERROR(VLOOKUP(B:B,'4店辅助表'!B:C,2,FALSE),0)</f>
        <v>1</v>
      </c>
      <c r="O102" s="65">
        <f>IFERROR(VLOOKUP(B:B,'4店辅助表'!E:F,2,FALSE),0)</f>
        <v>2</v>
      </c>
      <c r="P102" s="65">
        <f>IFERROR(VLOOKUP(B:B,'4店辅助表'!H:I,2,FALSE),0)</f>
        <v>6</v>
      </c>
      <c r="Q102" s="65">
        <f>IFERROR(VLOOKUP(B:B,'[1]4店'!$B:$N,13,FALSE),0)</f>
        <v>1</v>
      </c>
      <c r="R102" s="79">
        <f t="shared" si="50"/>
        <v>0</v>
      </c>
      <c r="S102" s="80">
        <f t="shared" si="51"/>
        <v>195.3</v>
      </c>
      <c r="T102" s="44">
        <f t="shared" si="52"/>
        <v>6.51</v>
      </c>
      <c r="U102" s="44">
        <f>IFERROR(VLOOKUP($B:$B,'[1]4店'!$B:$T,19,0),"-")</f>
        <v>6.51</v>
      </c>
      <c r="V102" s="81">
        <f t="shared" si="53"/>
        <v>0</v>
      </c>
      <c r="W102" s="82" t="str">
        <f t="shared" si="54"/>
        <v>库存过高</v>
      </c>
      <c r="X102" s="83" t="str">
        <f t="shared" si="55"/>
        <v>库存过高</v>
      </c>
      <c r="Y102" s="44">
        <f>IFERROR(SUMIF('4店辅助表'!K:K,B:B,'4店辅助表'!N:N),0)</f>
        <v>5.44</v>
      </c>
      <c r="Z102" s="44">
        <f>IFERROR(SUMIF('4店辅助表'!T:T,B:B,'4店辅助表'!W:W),0)</f>
        <v>8.57</v>
      </c>
      <c r="AA102" s="44">
        <f>IFERROR(SUMIF('4店辅助表'!AC:AC,B:B,'4店辅助表'!AF:AF),0)</f>
        <v>16.75</v>
      </c>
      <c r="AB102" s="91">
        <f>IFERROR(SUMIF('4店辅助表'!K:K,B:B,'4店辅助表'!N:N)/SUMIF('4店辅助表'!K:K,B:B,'4店辅助表'!O:O),"-")</f>
        <v>0.418783679753657</v>
      </c>
      <c r="AC102" s="91">
        <f>IFERROR(VLOOKUP(B:B,'[1]4店'!$B:$AB,27,0),"-")</f>
        <v>0.240954580446497</v>
      </c>
      <c r="AD102" s="92">
        <f t="shared" si="56"/>
        <v>0.17782909930716</v>
      </c>
      <c r="AE102" s="91">
        <f>IFERROR(SUMIF('4店辅助表'!T:T,B:B,'4店辅助表'!W:W)/SUMIF('4店辅助表'!T:T,B:B,'4店辅助表'!X:X),"-")</f>
        <v>0.329869130100077</v>
      </c>
      <c r="AF102" s="91">
        <f>IFERROR(SUMIF('4店辅助表'!AC:AC,B:B,'4店辅助表'!AF:AF)/SUMIF('4店辅助表'!AC:AC,B:B,'4店辅助表'!AG:AG),"-")</f>
        <v>0.322363356428022</v>
      </c>
      <c r="AG102" s="99">
        <f>IFERROR(AK102/((SUMIF('4店辅助表'!AT:AT,B:B,'4店辅助表'!AU:AU)+M102)/2),"-")</f>
        <v>0.032258064516129</v>
      </c>
      <c r="AH102" s="99">
        <f>IFERROR(AL102/((SUMIF('4店辅助表'!AW:AW,B:B,'4店辅助表'!AX:AX)+M102)/2),"-")</f>
        <v>0.0597014925373134</v>
      </c>
      <c r="AI102" s="100">
        <f>IFERROR((SUMIF('4店辅助表'!AP:AP,B:B,'4店辅助表'!AR:AR)-SUMIF('4店辅助表'!AP:AP,B:B,'4店辅助表'!AR:AR)*0.15-(L102+IFERROR(VLOOKUP(B:B,'4店辅助表'!AZ:BA,2,0),0))*O102-IF(AN:AN="US",6.85,4.9)*(Z102+4.27*O102))/SUMIF('4店辅助表'!AP:AP,B:B,'4店辅助表'!AR:AR),"-")</f>
        <v>0.0472853907834775</v>
      </c>
      <c r="AJ102" s="100">
        <f t="shared" si="57"/>
        <v>0.00282300840498373</v>
      </c>
      <c r="AK102" s="101">
        <f t="shared" si="58"/>
        <v>11</v>
      </c>
      <c r="AL102" s="101">
        <f t="shared" si="59"/>
        <v>22</v>
      </c>
      <c r="AM102" s="1" t="str">
        <f>VLOOKUP(B:B,'4店辅助表'!AZ:AZ,1,FALSE)</f>
        <v>Y4061-OR+Y4062</v>
      </c>
      <c r="AN102" t="str">
        <f>VLOOKUP(B:B,'4店辅助表'!AZ:BB,3,FALSE)</f>
        <v>US</v>
      </c>
    </row>
    <row r="103" customHeight="1" spans="1:40">
      <c r="A103" s="58" t="str">
        <f>INDEX('[1]4店'!$A:$A,MATCH(B:B,'[1]4店'!$B:$B,0))</f>
        <v>美珠</v>
      </c>
      <c r="B103" s="45" t="s">
        <v>1529</v>
      </c>
      <c r="C103" s="45" t="s">
        <v>1521</v>
      </c>
      <c r="D103" s="59">
        <f>VLOOKUP(B:B,'[1]4店'!$B:$L,3,0)</f>
        <v>44958</v>
      </c>
      <c r="E103" s="45" t="s">
        <v>1530</v>
      </c>
      <c r="F103" s="45">
        <v>0</v>
      </c>
      <c r="G103" s="45">
        <v>0</v>
      </c>
      <c r="H103" s="45">
        <v>0</v>
      </c>
      <c r="I103" s="45">
        <v>0</v>
      </c>
      <c r="J103" s="45">
        <v>0</v>
      </c>
      <c r="K103" s="63">
        <f t="shared" si="49"/>
        <v>0</v>
      </c>
      <c r="L103" s="64">
        <v>11</v>
      </c>
      <c r="M103" s="44">
        <f t="shared" si="48"/>
        <v>0</v>
      </c>
      <c r="N103" s="65">
        <f>IFERROR(VLOOKUP(B:B,'4店辅助表'!B:C,2,FALSE),0)</f>
        <v>6</v>
      </c>
      <c r="O103" s="65">
        <f>IFERROR(VLOOKUP(B:B,'4店辅助表'!E:F,2,FALSE),0)</f>
        <v>9</v>
      </c>
      <c r="P103" s="65">
        <f>IFERROR(VLOOKUP(B:B,'4店辅助表'!H:I,2,FALSE),0)</f>
        <v>12</v>
      </c>
      <c r="Q103" s="65">
        <f>IFERROR(VLOOKUP(B:B,'[1]4店'!$B:$N,13,FALSE),0)</f>
        <v>3</v>
      </c>
      <c r="R103" s="79">
        <f t="shared" si="50"/>
        <v>3</v>
      </c>
      <c r="S103" s="80">
        <f t="shared" si="51"/>
        <v>0</v>
      </c>
      <c r="T103" s="44">
        <f t="shared" si="52"/>
        <v>0</v>
      </c>
      <c r="U103" s="44">
        <f>IFERROR(VLOOKUP($B:$B,'[1]4店'!$B:$T,19,0),"-")</f>
        <v>0.781914893617021</v>
      </c>
      <c r="V103" s="81">
        <f t="shared" si="53"/>
        <v>-0.781914893617021</v>
      </c>
      <c r="W103" s="82" t="str">
        <f t="shared" si="54"/>
        <v>无库存有销量</v>
      </c>
      <c r="X103" s="83" t="str">
        <f t="shared" si="55"/>
        <v>无库存有销量</v>
      </c>
      <c r="Y103" s="44">
        <f>IFERROR(SUMIF('4店辅助表'!K:K,B:B,'4店辅助表'!N:N),0)</f>
        <v>7.39</v>
      </c>
      <c r="Z103" s="44">
        <f>IFERROR(SUMIF('4店辅助表'!T:T,B:B,'4店辅助表'!W:W),0)</f>
        <v>12.57</v>
      </c>
      <c r="AA103" s="44">
        <f>IFERROR(SUMIF('4店辅助表'!AC:AC,B:B,'4店辅助表'!AF:AF),0)</f>
        <v>24.98</v>
      </c>
      <c r="AB103" s="91">
        <f>IFERROR(SUMIF('4店辅助表'!K:K,B:B,'4店辅助表'!N:N)/SUMIF('4店辅助表'!K:K,B:B,'4店辅助表'!O:O),"-")</f>
        <v>0.189633051064922</v>
      </c>
      <c r="AC103" s="91">
        <f>IFERROR(VLOOKUP(B:B,'[1]4店'!$B:$AB,27,0),"-")</f>
        <v>0.175145954962469</v>
      </c>
      <c r="AD103" s="92">
        <f t="shared" si="56"/>
        <v>0.014487096102453</v>
      </c>
      <c r="AE103" s="91">
        <f>IFERROR(SUMIF('4店辅助表'!T:T,B:B,'4店辅助表'!W:W)/SUMIF('4店辅助表'!T:T,B:B,'4店辅助表'!X:X),"-")</f>
        <v>0.199682287529786</v>
      </c>
      <c r="AF103" s="91">
        <f>IFERROR(SUMIF('4店辅助表'!AC:AC,B:B,'4店辅助表'!AF:AF)/SUMIF('4店辅助表'!AC:AC,B:B,'4店辅助表'!AG:AG),"-")</f>
        <v>0.245094191522763</v>
      </c>
      <c r="AG103" s="99">
        <f>IFERROR(AK103/((SUMIF('4店辅助表'!AT:AT,B:B,'4店辅助表'!AU:AU)+M103)/2),"-")</f>
        <v>1.71428571428571</v>
      </c>
      <c r="AH103" s="99">
        <f>IFERROR(AL103/((SUMIF('4店辅助表'!AW:AW,B:B,'4店辅助表'!AX:AX)+M103)/2),"-")</f>
        <v>1.5</v>
      </c>
      <c r="AI103" s="100">
        <f>IFERROR((SUMIF('4店辅助表'!AP:AP,B:B,'4店辅助表'!AR:AR)-SUMIF('4店辅助表'!AP:AP,B:B,'4店辅助表'!AR:AR)*0.15-(L103+IFERROR(VLOOKUP(B:B,'4店辅助表'!AZ:BA,2,0),0))*O103-IF(AN:AN="US",6.85,4.9)*(Z103+4.27*O103))/SUMIF('4店辅助表'!AP:AP,B:B,'4店辅助表'!AR:AR),"-")</f>
        <v>0.249075680068164</v>
      </c>
      <c r="AJ103" s="100">
        <f t="shared" si="57"/>
        <v>0.373613520102246</v>
      </c>
      <c r="AK103" s="101">
        <f t="shared" si="58"/>
        <v>66</v>
      </c>
      <c r="AL103" s="101">
        <f t="shared" si="59"/>
        <v>99</v>
      </c>
      <c r="AM103" s="1" t="str">
        <f>VLOOKUP(B:B,'4店辅助表'!AZ:AZ,1,FALSE)</f>
        <v>Y4061-WI+Y4062</v>
      </c>
      <c r="AN103" t="str">
        <f>VLOOKUP(B:B,'4店辅助表'!AZ:BB,3,FALSE)</f>
        <v>US</v>
      </c>
    </row>
    <row r="104" customHeight="1" spans="1:40">
      <c r="A104" s="58" t="str">
        <f>INDEX('[1]4店'!$A:$A,MATCH(B:B,'[1]4店'!$B:$B,0))</f>
        <v>美珠</v>
      </c>
      <c r="B104" s="45" t="s">
        <v>1531</v>
      </c>
      <c r="C104" s="45" t="s">
        <v>1532</v>
      </c>
      <c r="D104" s="59">
        <f>VLOOKUP(B:B,'[1]4店'!$B:$L,3,0)</f>
        <v>44946</v>
      </c>
      <c r="E104" s="45" t="s">
        <v>1533</v>
      </c>
      <c r="F104" s="45">
        <v>31</v>
      </c>
      <c r="G104" s="45">
        <v>0</v>
      </c>
      <c r="H104" s="45">
        <v>0</v>
      </c>
      <c r="I104" s="45">
        <v>0</v>
      </c>
      <c r="J104" s="45">
        <v>0</v>
      </c>
      <c r="K104" s="63">
        <f t="shared" si="49"/>
        <v>31</v>
      </c>
      <c r="L104" s="64">
        <v>11</v>
      </c>
      <c r="M104" s="44">
        <f t="shared" si="48"/>
        <v>341</v>
      </c>
      <c r="N104" s="65">
        <f>IFERROR(VLOOKUP(B:B,'4店辅助表'!B:C,2,FALSE),0)</f>
        <v>2</v>
      </c>
      <c r="O104" s="65">
        <f>IFERROR(VLOOKUP(B:B,'4店辅助表'!E:F,2,FALSE),0)</f>
        <v>4</v>
      </c>
      <c r="P104" s="65">
        <f>IFERROR(VLOOKUP(B:B,'4店辅助表'!H:I,2,FALSE),0)</f>
        <v>5</v>
      </c>
      <c r="Q104" s="65">
        <f>IFERROR(VLOOKUP(B:B,'[1]4店'!$B:$N,13,FALSE),0)</f>
        <v>2</v>
      </c>
      <c r="R104" s="79">
        <f t="shared" si="50"/>
        <v>0</v>
      </c>
      <c r="S104" s="80">
        <f t="shared" si="51"/>
        <v>129.337748344371</v>
      </c>
      <c r="T104" s="44">
        <f t="shared" si="52"/>
        <v>4.3112582781457</v>
      </c>
      <c r="U104" s="44">
        <f>IFERROR(VLOOKUP($B:$B,'[1]4店'!$B:$T,19,0),"-")</f>
        <v>4.8125</v>
      </c>
      <c r="V104" s="81">
        <f t="shared" si="53"/>
        <v>-0.5012417218543</v>
      </c>
      <c r="W104" s="82" t="str">
        <f t="shared" si="54"/>
        <v>库存过高</v>
      </c>
      <c r="X104" s="83" t="str">
        <f t="shared" si="55"/>
        <v>库存过高</v>
      </c>
      <c r="Y104" s="44">
        <f>IFERROR(SUMIF('4店辅助表'!K:K,B:B,'4店辅助表'!N:N),0)</f>
        <v>0</v>
      </c>
      <c r="Z104" s="44">
        <f>IFERROR(SUMIF('4店辅助表'!T:T,B:B,'4店辅助表'!W:W),0)</f>
        <v>0.43</v>
      </c>
      <c r="AA104" s="44">
        <f>IFERROR(SUMIF('4店辅助表'!AC:AC,B:B,'4店辅助表'!AF:AF),0)</f>
        <v>0.91</v>
      </c>
      <c r="AB104" s="91" t="str">
        <f>IFERROR(SUMIF('4店辅助表'!K:K,B:B,'4店辅助表'!N:N)/SUMIF('4店辅助表'!K:K,B:B,'4店辅助表'!O:O),"-")</f>
        <v>-</v>
      </c>
      <c r="AC104" s="91" t="str">
        <f>IFERROR(VLOOKUP(B:B,'[1]4店'!$B:$AB,27,0),"-")</f>
        <v>-</v>
      </c>
      <c r="AD104" s="92" t="str">
        <f t="shared" si="56"/>
        <v>-</v>
      </c>
      <c r="AE104" s="91" t="str">
        <f>IFERROR(SUMIF('4店辅助表'!T:T,B:B,'4店辅助表'!W:W)/SUMIF('4店辅助表'!T:T,B:B,'4店辅助表'!X:X),"-")</f>
        <v>-</v>
      </c>
      <c r="AF104" s="91" t="str">
        <f>IFERROR(SUMIF('4店辅助表'!AC:AC,B:B,'4店辅助表'!AF:AF)/SUMIF('4店辅助表'!AC:AC,B:B,'4店辅助表'!AG:AG),"-")</f>
        <v>-</v>
      </c>
      <c r="AG104" s="99">
        <f>IFERROR(AK104/((SUMIF('4店辅助表'!AT:AT,B:B,'4店辅助表'!AU:AU)+M104)/2),"-")</f>
        <v>0.0625</v>
      </c>
      <c r="AH104" s="99">
        <f>IFERROR(AL104/((SUMIF('4店辅助表'!AW:AW,B:B,'4店辅助表'!AX:AX)+M104)/2),"-")</f>
        <v>0.121212121212121</v>
      </c>
      <c r="AI104" s="100">
        <f>IFERROR((SUMIF('4店辅助表'!AP:AP,B:B,'4店辅助表'!AR:AR)-SUMIF('4店辅助表'!AP:AP,B:B,'4店辅助表'!AR:AR)*0.15-(L104+IFERROR(VLOOKUP(B:B,'4店辅助表'!AZ:BA,2,0),0))*O104-IF(AN:AN="US",6.85,4.9)*(Z104+4.27*O104))/SUMIF('4店辅助表'!AP:AP,B:B,'4店辅助表'!AR:AR),"-")</f>
        <v>0.348739906609801</v>
      </c>
      <c r="AJ104" s="100">
        <f t="shared" si="57"/>
        <v>0.042271503831491</v>
      </c>
      <c r="AK104" s="101">
        <f t="shared" si="58"/>
        <v>22</v>
      </c>
      <c r="AL104" s="101">
        <f t="shared" si="59"/>
        <v>44</v>
      </c>
      <c r="AM104" s="1" t="str">
        <f>VLOOKUP(B:B,'4店辅助表'!AZ:AZ,1,FALSE)</f>
        <v>Y4066-BL+Y4068</v>
      </c>
      <c r="AN104" t="str">
        <f>VLOOKUP(B:B,'4店辅助表'!AZ:BB,3,FALSE)</f>
        <v>US</v>
      </c>
    </row>
    <row r="105" customHeight="1" spans="1:40">
      <c r="A105" s="58" t="str">
        <f>INDEX('[1]4店'!$A:$A,MATCH(B:B,'[1]4店'!$B:$B,0))</f>
        <v>美珠</v>
      </c>
      <c r="B105" s="45" t="s">
        <v>1534</v>
      </c>
      <c r="C105" s="45" t="s">
        <v>1532</v>
      </c>
      <c r="D105" s="59">
        <f>VLOOKUP(B:B,'[1]4店'!$B:$L,3,0)</f>
        <v>44946</v>
      </c>
      <c r="E105" s="45" t="s">
        <v>1535</v>
      </c>
      <c r="F105" s="45">
        <v>37</v>
      </c>
      <c r="G105" s="45">
        <v>0</v>
      </c>
      <c r="H105" s="45">
        <v>0</v>
      </c>
      <c r="I105" s="45">
        <v>0</v>
      </c>
      <c r="J105" s="45">
        <v>0</v>
      </c>
      <c r="K105" s="63">
        <f t="shared" si="49"/>
        <v>37</v>
      </c>
      <c r="L105" s="64">
        <v>11</v>
      </c>
      <c r="M105" s="44">
        <f t="shared" si="48"/>
        <v>407</v>
      </c>
      <c r="N105" s="65">
        <f>IFERROR(VLOOKUP(B:B,'4店辅助表'!B:C,2,FALSE),0)</f>
        <v>1</v>
      </c>
      <c r="O105" s="65">
        <f>IFERROR(VLOOKUP(B:B,'4店辅助表'!E:F,2,FALSE),0)</f>
        <v>1</v>
      </c>
      <c r="P105" s="65">
        <f>IFERROR(VLOOKUP(B:B,'4店辅助表'!H:I,2,FALSE),0)</f>
        <v>1</v>
      </c>
      <c r="Q105" s="65">
        <f>IFERROR(VLOOKUP(B:B,'[1]4店'!$B:$N,13,FALSE),0)</f>
        <v>0</v>
      </c>
      <c r="R105" s="79">
        <f t="shared" si="50"/>
        <v>1</v>
      </c>
      <c r="S105" s="80">
        <f t="shared" si="51"/>
        <v>457.058823529412</v>
      </c>
      <c r="T105" s="44">
        <f t="shared" si="52"/>
        <v>15.2352941176471</v>
      </c>
      <c r="U105" s="44" t="str">
        <f>IFERROR(VLOOKUP($B:$B,'[1]4店'!$B:$T,19,0),"-")</f>
        <v>-</v>
      </c>
      <c r="V105" s="81" t="str">
        <f t="shared" si="53"/>
        <v>-</v>
      </c>
      <c r="W105" s="82" t="str">
        <f t="shared" si="54"/>
        <v>库存过高</v>
      </c>
      <c r="X105" s="83" t="str">
        <f t="shared" si="55"/>
        <v>库存过高</v>
      </c>
      <c r="Y105" s="44">
        <f>IFERROR(SUMIF('4店辅助表'!K:K,B:B,'4店辅助表'!N:N),0)</f>
        <v>0</v>
      </c>
      <c r="Z105" s="44">
        <f>IFERROR(SUMIF('4店辅助表'!T:T,B:B,'4店辅助表'!W:W),0)</f>
        <v>0.39</v>
      </c>
      <c r="AA105" s="44">
        <f>IFERROR(SUMIF('4店辅助表'!AC:AC,B:B,'4店辅助表'!AF:AF),0)</f>
        <v>0.78</v>
      </c>
      <c r="AB105" s="91" t="str">
        <f>IFERROR(SUMIF('4店辅助表'!K:K,B:B,'4店辅助表'!N:N)/SUMIF('4店辅助表'!K:K,B:B,'4店辅助表'!O:O),"-")</f>
        <v>-</v>
      </c>
      <c r="AC105" s="91" t="str">
        <f>IFERROR(VLOOKUP(B:B,'[1]4店'!$B:$AB,27,0),"-")</f>
        <v>-</v>
      </c>
      <c r="AD105" s="92" t="str">
        <f t="shared" si="56"/>
        <v>-</v>
      </c>
      <c r="AE105" s="91" t="str">
        <f>IFERROR(SUMIF('4店辅助表'!T:T,B:B,'4店辅助表'!W:W)/SUMIF('4店辅助表'!T:T,B:B,'4店辅助表'!X:X),"-")</f>
        <v>-</v>
      </c>
      <c r="AF105" s="91" t="str">
        <f>IFERROR(SUMIF('4店辅助表'!AC:AC,B:B,'4店辅助表'!AF:AF)/SUMIF('4店辅助表'!AC:AC,B:B,'4店辅助表'!AG:AG),"-")</f>
        <v>-</v>
      </c>
      <c r="AG105" s="99">
        <f>IFERROR(AK105/((SUMIF('4店辅助表'!AT:AT,B:B,'4店辅助表'!AU:AU)+M105)/2),"-")</f>
        <v>0.0266666666666667</v>
      </c>
      <c r="AH105" s="99">
        <f>IFERROR(AL105/((SUMIF('4店辅助表'!AW:AW,B:B,'4店辅助表'!AX:AX)+M105)/2),"-")</f>
        <v>0.0263157894736842</v>
      </c>
      <c r="AI105" s="100">
        <f>IFERROR((SUMIF('4店辅助表'!AP:AP,B:B,'4店辅助表'!AR:AR)-SUMIF('4店辅助表'!AP:AP,B:B,'4店辅助表'!AR:AR)*0.15-(L105+IFERROR(VLOOKUP(B:B,'4店辅助表'!AZ:BA,2,0),0))*O105-IF(AN:AN="US",6.85,4.9)*(Z105+4.27*O105))/SUMIF('4店辅助表'!AP:AP,B:B,'4店辅助表'!AR:AR),"-")</f>
        <v>0.328442148086962</v>
      </c>
      <c r="AJ105" s="100">
        <f t="shared" si="57"/>
        <v>0.0086432144233411</v>
      </c>
      <c r="AK105" s="101">
        <f t="shared" si="58"/>
        <v>11</v>
      </c>
      <c r="AL105" s="101">
        <f t="shared" si="59"/>
        <v>11</v>
      </c>
      <c r="AM105" s="1" t="str">
        <f>VLOOKUP(B:B,'4店辅助表'!AZ:AZ,1,FALSE)</f>
        <v>Y4066-DB+Y4068</v>
      </c>
      <c r="AN105" t="str">
        <f>VLOOKUP(B:B,'4店辅助表'!AZ:BB,3,FALSE)</f>
        <v>US</v>
      </c>
    </row>
    <row r="106" customHeight="1" spans="1:40">
      <c r="A106" s="58" t="str">
        <f>INDEX('[1]4店'!$A:$A,MATCH(B:B,'[1]4店'!$B:$B,0))</f>
        <v>美珠</v>
      </c>
      <c r="B106" s="45" t="s">
        <v>1536</v>
      </c>
      <c r="C106" s="45" t="s">
        <v>1532</v>
      </c>
      <c r="D106" s="59">
        <f>VLOOKUP(B:B,'[1]4店'!$B:$L,3,0)</f>
        <v>44946</v>
      </c>
      <c r="E106" s="45" t="s">
        <v>1537</v>
      </c>
      <c r="F106" s="45">
        <v>19</v>
      </c>
      <c r="G106" s="45">
        <v>0</v>
      </c>
      <c r="H106" s="45">
        <v>0</v>
      </c>
      <c r="I106" s="45">
        <v>0</v>
      </c>
      <c r="J106" s="45">
        <v>0</v>
      </c>
      <c r="K106" s="63">
        <f t="shared" si="49"/>
        <v>19</v>
      </c>
      <c r="L106" s="64">
        <v>11</v>
      </c>
      <c r="M106" s="44">
        <f t="shared" si="48"/>
        <v>209</v>
      </c>
      <c r="N106" s="65">
        <f>IFERROR(VLOOKUP(B:B,'4店辅助表'!B:C,2,FALSE),0)</f>
        <v>0</v>
      </c>
      <c r="O106" s="65">
        <f>IFERROR(VLOOKUP(B:B,'4店辅助表'!E:F,2,FALSE),0)</f>
        <v>0</v>
      </c>
      <c r="P106" s="65">
        <f>IFERROR(VLOOKUP(B:B,'4店辅助表'!H:I,2,FALSE),0)</f>
        <v>0</v>
      </c>
      <c r="Q106" s="65">
        <f>IFERROR(VLOOKUP(B:B,'[1]4店'!$B:$N,13,FALSE),0)</f>
        <v>0</v>
      </c>
      <c r="R106" s="79">
        <f t="shared" si="50"/>
        <v>0</v>
      </c>
      <c r="S106" s="80" t="str">
        <f t="shared" si="51"/>
        <v>-</v>
      </c>
      <c r="T106" s="44" t="str">
        <f t="shared" si="52"/>
        <v>-</v>
      </c>
      <c r="U106" s="44" t="str">
        <f>IFERROR(VLOOKUP($B:$B,'[1]4店'!$B:$T,19,0),"-")</f>
        <v>-</v>
      </c>
      <c r="V106" s="81" t="str">
        <f t="shared" si="53"/>
        <v>-</v>
      </c>
      <c r="W106" s="82" t="str">
        <f t="shared" si="54"/>
        <v>有库存无销量</v>
      </c>
      <c r="X106" s="83" t="str">
        <f t="shared" si="55"/>
        <v>有库存无销量</v>
      </c>
      <c r="Y106" s="44">
        <f>IFERROR(SUMIF('4店辅助表'!K:K,B:B,'4店辅助表'!N:N),0)</f>
        <v>0.83</v>
      </c>
      <c r="Z106" s="44">
        <f>IFERROR(SUMIF('4店辅助表'!T:T,B:B,'4店辅助表'!W:W),0)</f>
        <v>1.76</v>
      </c>
      <c r="AA106" s="44">
        <f>IFERROR(SUMIF('4店辅助表'!AC:AC,B:B,'4店辅助表'!AF:AF),0)</f>
        <v>2.48</v>
      </c>
      <c r="AB106" s="91">
        <f>IFERROR(SUMIF('4店辅助表'!K:K,B:B,'4店辅助表'!N:N)/SUMIF('4店辅助表'!K:K,B:B,'4店辅助表'!O:O),"-")</f>
        <v>0.0638953040800616</v>
      </c>
      <c r="AC106" s="91" t="str">
        <f>IFERROR(VLOOKUP(B:B,'[1]4店'!$B:$AB,27,0),"-")</f>
        <v>-</v>
      </c>
      <c r="AD106" s="92" t="str">
        <f t="shared" si="56"/>
        <v>-</v>
      </c>
      <c r="AE106" s="91">
        <f>IFERROR(SUMIF('4店辅助表'!T:T,B:B,'4店辅助表'!W:W)/SUMIF('4店辅助表'!T:T,B:B,'4店辅助表'!X:X),"-")</f>
        <v>0.135488837567359</v>
      </c>
      <c r="AF106" s="91">
        <f>IFERROR(SUMIF('4店辅助表'!AC:AC,B:B,'4店辅助表'!AF:AF)/SUMIF('4店辅助表'!AC:AC,B:B,'4店辅助表'!AG:AG),"-")</f>
        <v>0.0954580446497306</v>
      </c>
      <c r="AG106" s="99">
        <f>IFERROR(AK106/((SUMIF('4店辅助表'!AT:AT,B:B,'4店辅助表'!AU:AU)+M106)/2),"-")</f>
        <v>0</v>
      </c>
      <c r="AH106" s="99">
        <f>IFERROR(AL106/((SUMIF('4店辅助表'!AW:AW,B:B,'4店辅助表'!AX:AX)+M106)/2),"-")</f>
        <v>0</v>
      </c>
      <c r="AI106" s="100" t="str">
        <f>IFERROR((SUMIF('4店辅助表'!AP:AP,B:B,'4店辅助表'!AR:AR)-SUMIF('4店辅助表'!AP:AP,B:B,'4店辅助表'!AR:AR)*0.15-(L106+IFERROR(VLOOKUP(B:B,'4店辅助表'!AZ:BA,2,0),0))*O106-IF(AN:AN="US",6.85,4.9)*(Z106+4.27*O106))/SUMIF('4店辅助表'!AP:AP,B:B,'4店辅助表'!AR:AR),"-")</f>
        <v>-</v>
      </c>
      <c r="AJ106" s="100" t="str">
        <f t="shared" si="57"/>
        <v>-</v>
      </c>
      <c r="AK106" s="101">
        <f t="shared" si="58"/>
        <v>0</v>
      </c>
      <c r="AL106" s="101">
        <f t="shared" si="59"/>
        <v>0</v>
      </c>
      <c r="AM106" s="1" t="str">
        <f>VLOOKUP(B:B,'4店辅助表'!AZ:AZ,1,FALSE)</f>
        <v>Y4066-GW+Y4068</v>
      </c>
      <c r="AN106" t="str">
        <f>VLOOKUP(B:B,'4店辅助表'!AZ:BB,3,FALSE)</f>
        <v>US</v>
      </c>
    </row>
    <row r="107" customHeight="1" spans="1:40">
      <c r="A107" s="58" t="str">
        <f>INDEX('[1]4店'!$A:$A,MATCH(B:B,'[1]4店'!$B:$B,0))</f>
        <v>美珠</v>
      </c>
      <c r="B107" s="45" t="s">
        <v>1538</v>
      </c>
      <c r="C107" s="45" t="s">
        <v>1532</v>
      </c>
      <c r="D107" s="59">
        <f>VLOOKUP(B:B,'[1]4店'!$B:$L,3,0)</f>
        <v>44946</v>
      </c>
      <c r="E107" s="45" t="s">
        <v>1539</v>
      </c>
      <c r="F107" s="45">
        <v>24</v>
      </c>
      <c r="G107" s="45">
        <v>0</v>
      </c>
      <c r="H107" s="45">
        <v>0</v>
      </c>
      <c r="I107" s="45">
        <v>0</v>
      </c>
      <c r="J107" s="45">
        <v>0</v>
      </c>
      <c r="K107" s="63">
        <f t="shared" si="49"/>
        <v>24</v>
      </c>
      <c r="L107" s="64">
        <v>11</v>
      </c>
      <c r="M107" s="44">
        <f t="shared" si="48"/>
        <v>264</v>
      </c>
      <c r="N107" s="65">
        <f>IFERROR(VLOOKUP(B:B,'4店辅助表'!B:C,2,FALSE),0)</f>
        <v>1</v>
      </c>
      <c r="O107" s="65">
        <f>IFERROR(VLOOKUP(B:B,'4店辅助表'!E:F,2,FALSE),0)</f>
        <v>2</v>
      </c>
      <c r="P107" s="65">
        <f>IFERROR(VLOOKUP(B:B,'4店辅助表'!H:I,2,FALSE),0)</f>
        <v>2</v>
      </c>
      <c r="Q107" s="65">
        <f>IFERROR(VLOOKUP(B:B,'[1]4店'!$B:$N,13,FALSE),0)</f>
        <v>1</v>
      </c>
      <c r="R107" s="79">
        <f t="shared" si="50"/>
        <v>0</v>
      </c>
      <c r="S107" s="80">
        <f t="shared" si="51"/>
        <v>210</v>
      </c>
      <c r="T107" s="44">
        <f t="shared" si="52"/>
        <v>7</v>
      </c>
      <c r="U107" s="44">
        <f>IFERROR(VLOOKUP($B:$B,'[1]4店'!$B:$T,19,0),"-")</f>
        <v>10.2941176470588</v>
      </c>
      <c r="V107" s="81">
        <f t="shared" si="53"/>
        <v>-3.2941176470588</v>
      </c>
      <c r="W107" s="82" t="str">
        <f t="shared" si="54"/>
        <v>库存过高</v>
      </c>
      <c r="X107" s="83" t="str">
        <f t="shared" si="55"/>
        <v>库存过高</v>
      </c>
      <c r="Y107" s="44">
        <f>IFERROR(SUMIF('4店辅助表'!K:K,B:B,'4店辅助表'!N:N),0)</f>
        <v>0</v>
      </c>
      <c r="Z107" s="44">
        <f>IFERROR(SUMIF('4店辅助表'!T:T,B:B,'4店辅助表'!W:W),0)</f>
        <v>0.18</v>
      </c>
      <c r="AA107" s="44">
        <f>IFERROR(SUMIF('4店辅助表'!AC:AC,B:B,'4店辅助表'!AF:AF),0)</f>
        <v>0.18</v>
      </c>
      <c r="AB107" s="91" t="str">
        <f>IFERROR(SUMIF('4店辅助表'!K:K,B:B,'4店辅助表'!N:N)/SUMIF('4店辅助表'!K:K,B:B,'4店辅助表'!O:O),"-")</f>
        <v>-</v>
      </c>
      <c r="AC107" s="91" t="str">
        <f>IFERROR(VLOOKUP(B:B,'[1]4店'!$B:$AB,27,0),"-")</f>
        <v>-</v>
      </c>
      <c r="AD107" s="92" t="str">
        <f t="shared" si="56"/>
        <v>-</v>
      </c>
      <c r="AE107" s="91" t="str">
        <f>IFERROR(SUMIF('4店辅助表'!T:T,B:B,'4店辅助表'!W:W)/SUMIF('4店辅助表'!T:T,B:B,'4店辅助表'!X:X),"-")</f>
        <v>-</v>
      </c>
      <c r="AF107" s="91" t="str">
        <f>IFERROR(SUMIF('4店辅助表'!AC:AC,B:B,'4店辅助表'!AF:AF)/SUMIF('4店辅助表'!AC:AC,B:B,'4店辅助表'!AG:AG),"-")</f>
        <v>-</v>
      </c>
      <c r="AG107" s="99">
        <f>IFERROR(AK107/((SUMIF('4店辅助表'!AT:AT,B:B,'4店辅助表'!AU:AU)+M107)/2),"-")</f>
        <v>0.0408163265306122</v>
      </c>
      <c r="AH107" s="99">
        <f>IFERROR(AL107/((SUMIF('4店辅助表'!AW:AW,B:B,'4店辅助表'!AX:AX)+M107)/2),"-")</f>
        <v>0.08</v>
      </c>
      <c r="AI107" s="100">
        <f>IFERROR((SUMIF('4店辅助表'!AP:AP,B:B,'4店辅助表'!AR:AR)-SUMIF('4店辅助表'!AP:AP,B:B,'4店辅助表'!AR:AR)*0.15-(L107+IFERROR(VLOOKUP(B:B,'4店辅助表'!AZ:BA,2,0),0))*O107-IF(AN:AN="US",6.85,4.9)*(Z107+4.27*O107))/SUMIF('4店辅助表'!AP:AP,B:B,'4店辅助表'!AR:AR),"-")</f>
        <v>0.351536836308671</v>
      </c>
      <c r="AJ107" s="100">
        <f t="shared" si="57"/>
        <v>0.0281229469046937</v>
      </c>
      <c r="AK107" s="101">
        <f t="shared" si="58"/>
        <v>11</v>
      </c>
      <c r="AL107" s="101">
        <f t="shared" si="59"/>
        <v>22</v>
      </c>
      <c r="AM107" s="1" t="str">
        <f>VLOOKUP(B:B,'4店辅助表'!AZ:AZ,1,FALSE)</f>
        <v>Y4066-OR+Y4068</v>
      </c>
      <c r="AN107" t="str">
        <f>VLOOKUP(B:B,'4店辅助表'!AZ:BB,3,FALSE)</f>
        <v>US</v>
      </c>
    </row>
    <row r="108" customHeight="1" spans="1:40">
      <c r="A108" s="58" t="str">
        <f>INDEX('[1]4店'!$A:$A,MATCH(B:B,'[1]4店'!$B:$B,0))</f>
        <v>美珠</v>
      </c>
      <c r="B108" s="45" t="s">
        <v>1540</v>
      </c>
      <c r="C108" s="45" t="s">
        <v>1532</v>
      </c>
      <c r="D108" s="59">
        <f>VLOOKUP(B:B,'[1]4店'!$B:$L,3,0)</f>
        <v>44946</v>
      </c>
      <c r="E108" s="45" t="s">
        <v>1541</v>
      </c>
      <c r="F108" s="45">
        <v>24</v>
      </c>
      <c r="G108" s="45">
        <v>0</v>
      </c>
      <c r="H108" s="45">
        <v>0</v>
      </c>
      <c r="I108" s="45">
        <v>0</v>
      </c>
      <c r="J108" s="45">
        <v>0</v>
      </c>
      <c r="K108" s="63">
        <f t="shared" si="49"/>
        <v>24</v>
      </c>
      <c r="L108" s="64">
        <v>11</v>
      </c>
      <c r="M108" s="44">
        <f t="shared" si="48"/>
        <v>264</v>
      </c>
      <c r="N108" s="65">
        <f>IFERROR(VLOOKUP(B:B,'4店辅助表'!B:C,2,FALSE),0)</f>
        <v>0</v>
      </c>
      <c r="O108" s="65">
        <f>IFERROR(VLOOKUP(B:B,'4店辅助表'!E:F,2,FALSE),0)</f>
        <v>0</v>
      </c>
      <c r="P108" s="65">
        <f>IFERROR(VLOOKUP(B:B,'4店辅助表'!H:I,2,FALSE),0)</f>
        <v>0</v>
      </c>
      <c r="Q108" s="65">
        <f>IFERROR(VLOOKUP(B:B,'[1]4店'!$B:$N,13,FALSE),0)</f>
        <v>0</v>
      </c>
      <c r="R108" s="79">
        <f t="shared" si="50"/>
        <v>0</v>
      </c>
      <c r="S108" s="80" t="str">
        <f t="shared" si="51"/>
        <v>-</v>
      </c>
      <c r="T108" s="44" t="str">
        <f t="shared" si="52"/>
        <v>-</v>
      </c>
      <c r="U108" s="44" t="str">
        <f>IFERROR(VLOOKUP($B:$B,'[1]4店'!$B:$T,19,0),"-")</f>
        <v>-</v>
      </c>
      <c r="V108" s="81" t="str">
        <f t="shared" si="53"/>
        <v>-</v>
      </c>
      <c r="W108" s="82" t="str">
        <f t="shared" si="54"/>
        <v>有库存无销量</v>
      </c>
      <c r="X108" s="83" t="str">
        <f t="shared" si="55"/>
        <v>有库存无销量</v>
      </c>
      <c r="Y108" s="44">
        <f>IFERROR(SUMIF('4店辅助表'!K:K,B:B,'4店辅助表'!N:N),0)</f>
        <v>0</v>
      </c>
      <c r="Z108" s="44">
        <f>IFERROR(SUMIF('4店辅助表'!T:T,B:B,'4店辅助表'!W:W),0)</f>
        <v>0.18</v>
      </c>
      <c r="AA108" s="44">
        <f>IFERROR(SUMIF('4店辅助表'!AC:AC,B:B,'4店辅助表'!AF:AF),0)</f>
        <v>0.36</v>
      </c>
      <c r="AB108" s="91" t="str">
        <f>IFERROR(SUMIF('4店辅助表'!K:K,B:B,'4店辅助表'!N:N)/SUMIF('4店辅助表'!K:K,B:B,'4店辅助表'!O:O),"-")</f>
        <v>-</v>
      </c>
      <c r="AC108" s="91" t="str">
        <f>IFERROR(VLOOKUP(B:B,'[1]4店'!$B:$AB,27,0),"-")</f>
        <v>-</v>
      </c>
      <c r="AD108" s="92" t="str">
        <f t="shared" si="56"/>
        <v>-</v>
      </c>
      <c r="AE108" s="91" t="str">
        <f>IFERROR(SUMIF('4店辅助表'!T:T,B:B,'4店辅助表'!W:W)/SUMIF('4店辅助表'!T:T,B:B,'4店辅助表'!X:X),"-")</f>
        <v>-</v>
      </c>
      <c r="AF108" s="91" t="str">
        <f>IFERROR(SUMIF('4店辅助表'!AC:AC,B:B,'4店辅助表'!AF:AF)/SUMIF('4店辅助表'!AC:AC,B:B,'4店辅助表'!AG:AG),"-")</f>
        <v>-</v>
      </c>
      <c r="AG108" s="99">
        <f>IFERROR(AK108/((SUMIF('4店辅助表'!AT:AT,B:B,'4店辅助表'!AU:AU)+M108)/2),"-")</f>
        <v>0</v>
      </c>
      <c r="AH108" s="99">
        <f>IFERROR(AL108/((SUMIF('4店辅助表'!AW:AW,B:B,'4店辅助表'!AX:AX)+M108)/2),"-")</f>
        <v>0</v>
      </c>
      <c r="AI108" s="100" t="str">
        <f>IFERROR((SUMIF('4店辅助表'!AP:AP,B:B,'4店辅助表'!AR:AR)-SUMIF('4店辅助表'!AP:AP,B:B,'4店辅助表'!AR:AR)*0.15-(L108+IFERROR(VLOOKUP(B:B,'4店辅助表'!AZ:BA,2,0),0))*O108-IF(AN:AN="US",6.85,4.9)*(Z108+4.27*O108))/SUMIF('4店辅助表'!AP:AP,B:B,'4店辅助表'!AR:AR),"-")</f>
        <v>-</v>
      </c>
      <c r="AJ108" s="100" t="str">
        <f t="shared" si="57"/>
        <v>-</v>
      </c>
      <c r="AK108" s="101">
        <f t="shared" si="58"/>
        <v>0</v>
      </c>
      <c r="AL108" s="101">
        <f t="shared" si="59"/>
        <v>0</v>
      </c>
      <c r="AM108" s="1" t="str">
        <f>VLOOKUP(B:B,'4店辅助表'!AZ:AZ,1,FALSE)</f>
        <v>Y4066-WI+Y4068</v>
      </c>
      <c r="AN108" t="str">
        <f>VLOOKUP(B:B,'4店辅助表'!AZ:BB,3,FALSE)</f>
        <v>US</v>
      </c>
    </row>
    <row r="109" customHeight="1" spans="1:40">
      <c r="A109" s="58" t="str">
        <f>INDEX('[1]4店'!$A:$A,MATCH(B:B,'[1]4店'!$B:$B,0))</f>
        <v>美珠</v>
      </c>
      <c r="B109" s="45" t="s">
        <v>1542</v>
      </c>
      <c r="C109" s="45" t="s">
        <v>1543</v>
      </c>
      <c r="D109" s="59">
        <f>VLOOKUP(B:B,'[1]4店'!$B:$L,3,0)</f>
        <v>45054</v>
      </c>
      <c r="E109" s="45" t="s">
        <v>1544</v>
      </c>
      <c r="F109" s="45">
        <v>13</v>
      </c>
      <c r="G109" s="45">
        <v>0</v>
      </c>
      <c r="H109" s="45">
        <v>1</v>
      </c>
      <c r="I109" s="45">
        <v>0</v>
      </c>
      <c r="J109" s="45">
        <v>0</v>
      </c>
      <c r="K109" s="63">
        <f t="shared" si="49"/>
        <v>14</v>
      </c>
      <c r="L109" s="64">
        <v>11</v>
      </c>
      <c r="M109" s="44">
        <f t="shared" si="48"/>
        <v>154</v>
      </c>
      <c r="N109" s="65">
        <f>IFERROR(VLOOKUP(B:B,'4店辅助表'!B:C,2,FALSE),0)</f>
        <v>10</v>
      </c>
      <c r="O109" s="65">
        <f>IFERROR(VLOOKUP(B:B,'4店辅助表'!E:F,2,FALSE),0)</f>
        <v>14</v>
      </c>
      <c r="P109" s="65">
        <f>IFERROR(VLOOKUP(B:B,'4店辅助表'!H:I,2,FALSE),0)</f>
        <v>17</v>
      </c>
      <c r="Q109" s="65">
        <f>IFERROR(VLOOKUP(B:B,'[1]4店'!$B:$N,13,FALSE),0)</f>
        <v>4</v>
      </c>
      <c r="R109" s="79">
        <f t="shared" si="50"/>
        <v>6</v>
      </c>
      <c r="S109" s="80">
        <f t="shared" si="51"/>
        <v>14.3414634146341</v>
      </c>
      <c r="T109" s="44">
        <f t="shared" si="52"/>
        <v>0.478048780487805</v>
      </c>
      <c r="U109" s="44">
        <f>IFERROR(VLOOKUP($B:$B,'[1]4店'!$B:$T,19,0),"-")</f>
        <v>1.644128113879</v>
      </c>
      <c r="V109" s="81">
        <f t="shared" si="53"/>
        <v>-1.16607933339119</v>
      </c>
      <c r="W109" s="82" t="str">
        <f t="shared" si="54"/>
        <v>库存过低</v>
      </c>
      <c r="X109" s="83" t="str">
        <f t="shared" si="55"/>
        <v>库存过低</v>
      </c>
      <c r="Y109" s="44">
        <f>IFERROR(SUMIF('4店辅助表'!K:K,B:B,'4店辅助表'!N:N),0)</f>
        <v>0.91</v>
      </c>
      <c r="Z109" s="44">
        <f>IFERROR(SUMIF('4店辅助表'!T:T,B:B,'4店辅助表'!W:W),0)</f>
        <v>5.32</v>
      </c>
      <c r="AA109" s="44">
        <f>IFERROR(SUMIF('4店辅助表'!AC:AC,B:B,'4店辅助表'!AF:AF),0)</f>
        <v>8.99</v>
      </c>
      <c r="AB109" s="91" t="str">
        <f>IFERROR(SUMIF('4店辅助表'!K:K,B:B,'4店辅助表'!N:N)/SUMIF('4店辅助表'!K:K,B:B,'4店辅助表'!O:O),"-")</f>
        <v>-</v>
      </c>
      <c r="AC109" s="91" t="str">
        <f>IFERROR(VLOOKUP(B:B,'[1]4店'!$B:$AB,27,0),"-")</f>
        <v>-</v>
      </c>
      <c r="AD109" s="92" t="str">
        <f t="shared" si="56"/>
        <v>-</v>
      </c>
      <c r="AE109" s="91" t="str">
        <f>IFERROR(SUMIF('4店辅助表'!T:T,B:B,'4店辅助表'!W:W)/SUMIF('4店辅助表'!T:T,B:B,'4店辅助表'!X:X),"-")</f>
        <v>-</v>
      </c>
      <c r="AF109" s="91" t="str">
        <f>IFERROR(SUMIF('4店辅助表'!AC:AC,B:B,'4店辅助表'!AF:AF)/SUMIF('4店辅助表'!AC:AC,B:B,'4店辅助表'!AG:AG),"-")</f>
        <v>-</v>
      </c>
      <c r="AG109" s="99">
        <f>IFERROR(AK109/((SUMIF('4店辅助表'!AT:AT,B:B,'4店辅助表'!AU:AU)+M109)/2),"-")</f>
        <v>0.483091787439614</v>
      </c>
      <c r="AH109" s="99">
        <f>IFERROR(AL109/((SUMIF('4店辅助表'!AW:AW,B:B,'4店辅助表'!AX:AX)+M109)/2),"-")</f>
        <v>0.587898453903417</v>
      </c>
      <c r="AI109" s="100">
        <f>IFERROR((SUMIF('4店辅助表'!AP:AP,B:B,'4店辅助表'!AR:AR)-SUMIF('4店辅助表'!AP:AP,B:B,'4店辅助表'!AR:AR)*0.15-(L109+IFERROR(VLOOKUP(B:B,'4店辅助表'!AZ:BA,2,0),0))*O109-IF(AN:AN="US",6.85,4.9)*(Z109+4.27*O109))/SUMIF('4店辅助表'!AP:AP,B:B,'4店辅助表'!AR:AR),"-")</f>
        <v>0.301981591679169</v>
      </c>
      <c r="AJ109" s="100">
        <f t="shared" si="57"/>
        <v>0.177534510855477</v>
      </c>
      <c r="AK109" s="101">
        <f t="shared" si="58"/>
        <v>110</v>
      </c>
      <c r="AL109" s="101">
        <f t="shared" si="59"/>
        <v>154</v>
      </c>
      <c r="AM109" s="1" t="str">
        <f>VLOOKUP(B:B,'4店辅助表'!AZ:AZ,1,FALSE)</f>
        <v>Y4069-BL+Y4070+Y4071</v>
      </c>
      <c r="AN109" t="str">
        <f>VLOOKUP(B:B,'4店辅助表'!AZ:BB,3,FALSE)</f>
        <v>US</v>
      </c>
    </row>
    <row r="110" customHeight="1" spans="1:40">
      <c r="A110" s="58" t="str">
        <f>INDEX('[1]4店'!$A:$A,MATCH(B:B,'[1]4店'!$B:$B,0))</f>
        <v>美珠</v>
      </c>
      <c r="B110" s="45" t="s">
        <v>1545</v>
      </c>
      <c r="C110" s="45" t="s">
        <v>1543</v>
      </c>
      <c r="D110" s="59">
        <f>VLOOKUP(B:B,'[1]4店'!$B:$L,3,0)</f>
        <v>45054</v>
      </c>
      <c r="E110" s="45" t="s">
        <v>1546</v>
      </c>
      <c r="F110" s="45">
        <v>33</v>
      </c>
      <c r="G110" s="45">
        <v>0</v>
      </c>
      <c r="H110" s="45">
        <v>2</v>
      </c>
      <c r="I110" s="45">
        <v>0</v>
      </c>
      <c r="J110" s="45">
        <v>0</v>
      </c>
      <c r="K110" s="63">
        <f t="shared" si="49"/>
        <v>35</v>
      </c>
      <c r="L110" s="64">
        <v>11</v>
      </c>
      <c r="M110" s="44">
        <f t="shared" si="48"/>
        <v>385</v>
      </c>
      <c r="N110" s="65">
        <f>IFERROR(VLOOKUP(B:B,'4店辅助表'!B:C,2,FALSE),0)</f>
        <v>1</v>
      </c>
      <c r="O110" s="65">
        <f>IFERROR(VLOOKUP(B:B,'4店辅助表'!E:F,2,FALSE),0)</f>
        <v>1</v>
      </c>
      <c r="P110" s="65">
        <f>IFERROR(VLOOKUP(B:B,'4店辅助表'!H:I,2,FALSE),0)</f>
        <v>5</v>
      </c>
      <c r="Q110" s="65">
        <f>IFERROR(VLOOKUP(B:B,'[1]4店'!$B:$N,13,FALSE),0)</f>
        <v>0</v>
      </c>
      <c r="R110" s="79">
        <f t="shared" si="50"/>
        <v>1</v>
      </c>
      <c r="S110" s="80">
        <f t="shared" si="51"/>
        <v>279.113924050633</v>
      </c>
      <c r="T110" s="44">
        <f t="shared" si="52"/>
        <v>9.30379746835443</v>
      </c>
      <c r="U110" s="44">
        <f>IFERROR(VLOOKUP($B:$B,'[1]4店'!$B:$T,19,0),"-")</f>
        <v>15</v>
      </c>
      <c r="V110" s="81">
        <f t="shared" si="53"/>
        <v>-5.69620253164557</v>
      </c>
      <c r="W110" s="82" t="str">
        <f t="shared" si="54"/>
        <v>库存过高</v>
      </c>
      <c r="X110" s="83" t="str">
        <f t="shared" si="55"/>
        <v>库存过高</v>
      </c>
      <c r="Y110" s="44">
        <f>IFERROR(SUMIF('4店辅助表'!K:K,B:B,'4店辅助表'!N:N),0)</f>
        <v>0.35</v>
      </c>
      <c r="Z110" s="44">
        <f>IFERROR(SUMIF('4店辅助表'!T:T,B:B,'4店辅助表'!W:W),0)</f>
        <v>1.47</v>
      </c>
      <c r="AA110" s="44">
        <f>IFERROR(SUMIF('4店辅助表'!AC:AC,B:B,'4店辅助表'!AF:AF),0)</f>
        <v>5.91</v>
      </c>
      <c r="AB110" s="91" t="str">
        <f>IFERROR(SUMIF('4店辅助表'!K:K,B:B,'4店辅助表'!N:N)/SUMIF('4店辅助表'!K:K,B:B,'4店辅助表'!O:O),"-")</f>
        <v>-</v>
      </c>
      <c r="AC110" s="91">
        <f>IFERROR(VLOOKUP(B:B,'[1]4店'!$B:$AB,27,0),"-")</f>
        <v>0.086220169361047</v>
      </c>
      <c r="AD110" s="92" t="str">
        <f t="shared" si="56"/>
        <v>-</v>
      </c>
      <c r="AE110" s="91">
        <f>IFERROR(SUMIF('4店辅助表'!T:T,B:B,'4店辅助表'!W:W)/SUMIF('4店辅助表'!T:T,B:B,'4店辅助表'!X:X),"-")</f>
        <v>0.113163972286374</v>
      </c>
      <c r="AF110" s="91">
        <f>IFERROR(SUMIF('4店辅助表'!AC:AC,B:B,'4店辅助表'!AF:AF)/SUMIF('4店辅助表'!AC:AC,B:B,'4店辅助表'!AG:AG),"-")</f>
        <v>0.454965357967667</v>
      </c>
      <c r="AG110" s="99">
        <f>IFERROR(AK110/((SUMIF('4店辅助表'!AT:AT,B:B,'4店辅助表'!AU:AU)+M110)/2),"-")</f>
        <v>0.0254482359745518</v>
      </c>
      <c r="AH110" s="99">
        <f>IFERROR(AL110/((SUMIF('4店辅助表'!AW:AW,B:B,'4店辅助表'!AX:AX)+M110)/2),"-")</f>
        <v>0.0239312520395953</v>
      </c>
      <c r="AI110" s="100">
        <f>IFERROR((SUMIF('4店辅助表'!AP:AP,B:B,'4店辅助表'!AR:AR)-SUMIF('4店辅助表'!AP:AP,B:B,'4店辅助表'!AR:AR)*0.15-(L110+IFERROR(VLOOKUP(B:B,'4店辅助表'!AZ:BA,2,0),0))*O110-IF(AN:AN="US",6.85,4.9)*(Z110+4.27*O110))/SUMIF('4店辅助表'!AP:AP,B:B,'4店辅助表'!AR:AR),"-")</f>
        <v>0.225555593016526</v>
      </c>
      <c r="AJ110" s="100">
        <f t="shared" si="57"/>
        <v>0.00539782774541887</v>
      </c>
      <c r="AK110" s="101">
        <f t="shared" si="58"/>
        <v>11</v>
      </c>
      <c r="AL110" s="101">
        <f t="shared" si="59"/>
        <v>11</v>
      </c>
      <c r="AM110" s="1" t="str">
        <f>VLOOKUP(B:B,'4店辅助表'!AZ:AZ,1,FALSE)</f>
        <v>Y4069-DB+Y4070+Y4071</v>
      </c>
      <c r="AN110" t="str">
        <f>VLOOKUP(B:B,'4店辅助表'!AZ:BB,3,FALSE)</f>
        <v>US</v>
      </c>
    </row>
    <row r="111" customHeight="1" spans="1:40">
      <c r="A111" s="58" t="str">
        <f>INDEX('[1]4店'!$A:$A,MATCH(B:B,'[1]4店'!$B:$B,0))</f>
        <v>美珠</v>
      </c>
      <c r="B111" s="45" t="s">
        <v>1547</v>
      </c>
      <c r="C111" s="45" t="s">
        <v>1543</v>
      </c>
      <c r="D111" s="59">
        <f>VLOOKUP(B:B,'[1]4店'!$B:$L,3,0)</f>
        <v>45054</v>
      </c>
      <c r="E111" s="45" t="s">
        <v>1548</v>
      </c>
      <c r="F111" s="45">
        <v>22</v>
      </c>
      <c r="G111" s="45">
        <v>0</v>
      </c>
      <c r="H111" s="45">
        <v>0</v>
      </c>
      <c r="I111" s="45">
        <v>0</v>
      </c>
      <c r="J111" s="45">
        <v>0</v>
      </c>
      <c r="K111" s="63">
        <f t="shared" si="49"/>
        <v>22</v>
      </c>
      <c r="L111" s="64">
        <v>11</v>
      </c>
      <c r="M111" s="44">
        <f t="shared" si="48"/>
        <v>242</v>
      </c>
      <c r="N111" s="65">
        <f>IFERROR(VLOOKUP(B:B,'4店辅助表'!B:C,2,FALSE),0)</f>
        <v>1</v>
      </c>
      <c r="O111" s="65">
        <f>IFERROR(VLOOKUP(B:B,'4店辅助表'!E:F,2,FALSE),0)</f>
        <v>1</v>
      </c>
      <c r="P111" s="65">
        <f>IFERROR(VLOOKUP(B:B,'4店辅助表'!H:I,2,FALSE),0)</f>
        <v>1</v>
      </c>
      <c r="Q111" s="65">
        <f>IFERROR(VLOOKUP(B:B,'[1]4店'!$B:$N,13,FALSE),0)</f>
        <v>0</v>
      </c>
      <c r="R111" s="79">
        <f t="shared" si="50"/>
        <v>1</v>
      </c>
      <c r="S111" s="80">
        <f t="shared" si="51"/>
        <v>271.764705882353</v>
      </c>
      <c r="T111" s="44">
        <f t="shared" si="52"/>
        <v>9.05882352941177</v>
      </c>
      <c r="U111" s="44" t="str">
        <f>IFERROR(VLOOKUP($B:$B,'[1]4店'!$B:$T,19,0),"-")</f>
        <v>-</v>
      </c>
      <c r="V111" s="81" t="str">
        <f t="shared" si="53"/>
        <v>-</v>
      </c>
      <c r="W111" s="82" t="str">
        <f t="shared" si="54"/>
        <v>库存过高</v>
      </c>
      <c r="X111" s="83" t="str">
        <f t="shared" si="55"/>
        <v>库存过高</v>
      </c>
      <c r="Y111" s="44">
        <f>IFERROR(SUMIF('4店辅助表'!K:K,B:B,'4店辅助表'!N:N),0)</f>
        <v>3.07</v>
      </c>
      <c r="Z111" s="44">
        <f>IFERROR(SUMIF('4店辅助表'!T:T,B:B,'4店辅助表'!W:W),0)</f>
        <v>7.51</v>
      </c>
      <c r="AA111" s="44">
        <f>IFERROR(SUMIF('4店辅助表'!AC:AC,B:B,'4店辅助表'!AF:AF),0)</f>
        <v>13.55</v>
      </c>
      <c r="AB111" s="91">
        <f>IFERROR(SUMIF('4店辅助表'!K:K,B:B,'4店辅助表'!N:N)/SUMIF('4店辅助表'!K:K,B:B,'4店辅助表'!O:O),"-")</f>
        <v>0.236335642802155</v>
      </c>
      <c r="AC111" s="91" t="str">
        <f>IFERROR(VLOOKUP(B:B,'[1]4店'!$B:$AB,27,0),"-")</f>
        <v>-</v>
      </c>
      <c r="AD111" s="92" t="str">
        <f t="shared" si="56"/>
        <v>-</v>
      </c>
      <c r="AE111" s="91">
        <f>IFERROR(SUMIF('4店辅助表'!T:T,B:B,'4店辅助表'!W:W)/SUMIF('4店辅助表'!T:T,B:B,'4店辅助表'!X:X),"-")</f>
        <v>0.578137028483449</v>
      </c>
      <c r="AF111" s="91">
        <f>IFERROR(SUMIF('4店辅助表'!AC:AC,B:B,'4店辅助表'!AF:AF)/SUMIF('4店辅助表'!AC:AC,B:B,'4店辅助表'!AG:AG),"-")</f>
        <v>0.521555042340262</v>
      </c>
      <c r="AG111" s="99">
        <f>IFERROR(AK111/((SUMIF('4店辅助表'!AT:AT,B:B,'4店辅助表'!AU:AU)+M111)/2),"-")</f>
        <v>0.0394902171961946</v>
      </c>
      <c r="AH111" s="99">
        <f>IFERROR(AL111/((SUMIF('4店辅助表'!AW:AW,B:B,'4店辅助表'!AX:AX)+M111)/2),"-")</f>
        <v>0.0394902171961946</v>
      </c>
      <c r="AI111" s="100">
        <f>IFERROR((SUMIF('4店辅助表'!AP:AP,B:B,'4店辅助表'!AR:AR)-SUMIF('4店辅助表'!AP:AP,B:B,'4店辅助表'!AR:AR)*0.15-(L111+IFERROR(VLOOKUP(B:B,'4店辅助表'!AZ:BA,2,0),0))*O111-IF(AN:AN="US",6.85,4.9)*(Z111+4.27*O111))/SUMIF('4店辅助表'!AP:AP,B:B,'4店辅助表'!AR:AR),"-")</f>
        <v>-0.236484269202025</v>
      </c>
      <c r="AJ111" s="100">
        <f t="shared" si="57"/>
        <v>-0.00933881515427132</v>
      </c>
      <c r="AK111" s="101">
        <f t="shared" si="58"/>
        <v>11</v>
      </c>
      <c r="AL111" s="101">
        <f t="shared" si="59"/>
        <v>11</v>
      </c>
      <c r="AM111" s="1" t="str">
        <f>VLOOKUP(B:B,'4店辅助表'!AZ:AZ,1,FALSE)</f>
        <v>Y4069-GW+Y4070+Y4071</v>
      </c>
      <c r="AN111" t="str">
        <f>VLOOKUP(B:B,'4店辅助表'!AZ:BB,3,FALSE)</f>
        <v>US</v>
      </c>
    </row>
    <row r="112" customHeight="1" spans="1:40">
      <c r="A112" s="58" t="str">
        <f>INDEX('[1]4店'!$A:$A,MATCH(B:B,'[1]4店'!$B:$B,0))</f>
        <v>美珠</v>
      </c>
      <c r="B112" s="45" t="s">
        <v>1549</v>
      </c>
      <c r="C112" s="45" t="s">
        <v>1543</v>
      </c>
      <c r="D112" s="59">
        <f>VLOOKUP(B:B,'[1]4店'!$B:$L,3,0)</f>
        <v>45054</v>
      </c>
      <c r="E112" s="45" t="s">
        <v>1550</v>
      </c>
      <c r="F112" s="45">
        <v>33</v>
      </c>
      <c r="G112" s="45">
        <v>0</v>
      </c>
      <c r="H112" s="45">
        <v>0</v>
      </c>
      <c r="I112" s="45">
        <v>0</v>
      </c>
      <c r="J112" s="45">
        <v>0</v>
      </c>
      <c r="K112" s="63">
        <f t="shared" si="49"/>
        <v>33</v>
      </c>
      <c r="L112" s="64">
        <v>11</v>
      </c>
      <c r="M112" s="44">
        <f t="shared" si="48"/>
        <v>363</v>
      </c>
      <c r="N112" s="65">
        <f>IFERROR(VLOOKUP(B:B,'4店辅助表'!B:C,2,FALSE),0)</f>
        <v>1</v>
      </c>
      <c r="O112" s="65">
        <f>IFERROR(VLOOKUP(B:B,'4店辅助表'!E:F,2,FALSE),0)</f>
        <v>3</v>
      </c>
      <c r="P112" s="65">
        <f>IFERROR(VLOOKUP(B:B,'4店辅助表'!H:I,2,FALSE),0)</f>
        <v>5</v>
      </c>
      <c r="Q112" s="65">
        <f>IFERROR(VLOOKUP(B:B,'[1]4店'!$B:$N,13,FALSE),0)</f>
        <v>1</v>
      </c>
      <c r="R112" s="79">
        <f t="shared" si="50"/>
        <v>0</v>
      </c>
      <c r="S112" s="80">
        <f t="shared" si="51"/>
        <v>194.299065420561</v>
      </c>
      <c r="T112" s="44">
        <f t="shared" si="52"/>
        <v>6.47663551401869</v>
      </c>
      <c r="U112" s="44">
        <f>IFERROR(VLOOKUP($B:$B,'[1]4店'!$B:$T,19,0),"-")</f>
        <v>7.14</v>
      </c>
      <c r="V112" s="81">
        <f t="shared" si="53"/>
        <v>-0.66336448598131</v>
      </c>
      <c r="W112" s="82" t="str">
        <f t="shared" si="54"/>
        <v>库存过高</v>
      </c>
      <c r="X112" s="83" t="str">
        <f t="shared" si="55"/>
        <v>库存过高</v>
      </c>
      <c r="Y112" s="44">
        <f>IFERROR(SUMIF('4店辅助表'!K:K,B:B,'4店辅助表'!N:N),0)</f>
        <v>5.99</v>
      </c>
      <c r="Z112" s="44">
        <f>IFERROR(SUMIF('4店辅助表'!T:T,B:B,'4店辅助表'!W:W),0)</f>
        <v>19.17</v>
      </c>
      <c r="AA112" s="44">
        <f>IFERROR(SUMIF('4店辅助表'!AC:AC,B:B,'4店辅助表'!AF:AF),0)</f>
        <v>32.16</v>
      </c>
      <c r="AB112" s="91" t="str">
        <f>IFERROR(SUMIF('4店辅助表'!K:K,B:B,'4店辅助表'!N:N)/SUMIF('4店辅助表'!K:K,B:B,'4店辅助表'!O:O),"-")</f>
        <v>-</v>
      </c>
      <c r="AC112" s="91">
        <f>IFERROR(VLOOKUP(B:B,'[1]4店'!$B:$AB,27,0),"-")</f>
        <v>0.488452655889145</v>
      </c>
      <c r="AD112" s="92" t="str">
        <f t="shared" si="56"/>
        <v>-</v>
      </c>
      <c r="AE112" s="91">
        <f>IFERROR(SUMIF('4店辅助表'!T:T,B:B,'4店辅助表'!W:W)/SUMIF('4店辅助表'!T:T,B:B,'4店辅助表'!X:X),"-")</f>
        <v>0.737875288683603</v>
      </c>
      <c r="AF112" s="91">
        <f>IFERROR(SUMIF('4店辅助表'!AC:AC,B:B,'4店辅助表'!AF:AF)/SUMIF('4店辅助表'!AC:AC,B:B,'4店辅助表'!AG:AG),"-")</f>
        <v>0.618937644341801</v>
      </c>
      <c r="AG112" s="99">
        <f>IFERROR(AK112/((SUMIF('4店辅助表'!AT:AT,B:B,'4店辅助表'!AU:AU)+M112)/2),"-")</f>
        <v>0.0265444015444015</v>
      </c>
      <c r="AH112" s="99">
        <f>IFERROR(AL112/((SUMIF('4店辅助表'!AW:AW,B:B,'4店辅助表'!AX:AX)+M112)/2),"-")</f>
        <v>0.0746944318696243</v>
      </c>
      <c r="AI112" s="100">
        <f>IFERROR((SUMIF('4店辅助表'!AP:AP,B:B,'4店辅助表'!AR:AR)-SUMIF('4店辅助表'!AP:AP,B:B,'4店辅助表'!AR:AR)*0.15-(L112+IFERROR(VLOOKUP(B:B,'4店辅助表'!AZ:BA,2,0),0))*O112-IF(AN:AN="US",6.85,4.9)*(Z112+4.27*O112))/SUMIF('4店辅助表'!AP:AP,B:B,'4店辅助表'!AR:AR),"-")</f>
        <v>-0.15364682546372</v>
      </c>
      <c r="AJ112" s="100">
        <f t="shared" si="57"/>
        <v>-0.0114765623365839</v>
      </c>
      <c r="AK112" s="101">
        <f t="shared" si="58"/>
        <v>11</v>
      </c>
      <c r="AL112" s="101">
        <f t="shared" si="59"/>
        <v>33</v>
      </c>
      <c r="AM112" s="1" t="str">
        <f>VLOOKUP(B:B,'4店辅助表'!AZ:AZ,1,FALSE)</f>
        <v>Y4069-OR+Y4070+Y4071</v>
      </c>
      <c r="AN112" t="str">
        <f>VLOOKUP(B:B,'4店辅助表'!AZ:BB,3,FALSE)</f>
        <v>US</v>
      </c>
    </row>
    <row r="113" customHeight="1" spans="1:40">
      <c r="A113" s="58" t="str">
        <f>INDEX('[1]4店'!$A:$A,MATCH(B:B,'[1]4店'!$B:$B,0))</f>
        <v>美珠</v>
      </c>
      <c r="B113" s="45" t="s">
        <v>1551</v>
      </c>
      <c r="C113" s="45" t="s">
        <v>1543</v>
      </c>
      <c r="D113" s="59">
        <f>VLOOKUP(B:B,'[1]4店'!$B:$L,3,0)</f>
        <v>45054</v>
      </c>
      <c r="E113" s="45" t="s">
        <v>1552</v>
      </c>
      <c r="F113" s="45">
        <v>21</v>
      </c>
      <c r="G113" s="45">
        <v>0</v>
      </c>
      <c r="H113" s="45">
        <v>1</v>
      </c>
      <c r="I113" s="45">
        <v>0</v>
      </c>
      <c r="J113" s="45">
        <v>0</v>
      </c>
      <c r="K113" s="63">
        <f t="shared" si="49"/>
        <v>22</v>
      </c>
      <c r="L113" s="64">
        <v>11</v>
      </c>
      <c r="M113" s="44">
        <f t="shared" si="48"/>
        <v>242</v>
      </c>
      <c r="N113" s="65">
        <f>IFERROR(VLOOKUP(B:B,'4店辅助表'!B:C,2,FALSE),0)</f>
        <v>3</v>
      </c>
      <c r="O113" s="65">
        <f>IFERROR(VLOOKUP(B:B,'4店辅助表'!E:F,2,FALSE),0)</f>
        <v>4</v>
      </c>
      <c r="P113" s="65">
        <f>IFERROR(VLOOKUP(B:B,'4店辅助表'!H:I,2,FALSE),0)</f>
        <v>4</v>
      </c>
      <c r="Q113" s="65">
        <f>IFERROR(VLOOKUP(B:B,'[1]4店'!$B:$N,13,FALSE),0)</f>
        <v>1</v>
      </c>
      <c r="R113" s="79">
        <f t="shared" si="50"/>
        <v>2</v>
      </c>
      <c r="S113" s="80">
        <f t="shared" si="51"/>
        <v>79.6551724137931</v>
      </c>
      <c r="T113" s="44">
        <f t="shared" si="52"/>
        <v>2.6551724137931</v>
      </c>
      <c r="U113" s="44">
        <f>IFERROR(VLOOKUP($B:$B,'[1]4店'!$B:$T,19,0),"-")</f>
        <v>8.6896551724138</v>
      </c>
      <c r="V113" s="81">
        <f t="shared" si="53"/>
        <v>-6.0344827586207</v>
      </c>
      <c r="W113" s="82" t="str">
        <f t="shared" si="54"/>
        <v>库存过高</v>
      </c>
      <c r="X113" s="83" t="str">
        <f t="shared" si="55"/>
        <v>库存过高</v>
      </c>
      <c r="Y113" s="44">
        <f>IFERROR(SUMIF('4店辅助表'!K:K,B:B,'4店辅助表'!N:N),0)</f>
        <v>1.71</v>
      </c>
      <c r="Z113" s="44">
        <f>IFERROR(SUMIF('4店辅助表'!T:T,B:B,'4店辅助表'!W:W),0)</f>
        <v>2.81</v>
      </c>
      <c r="AA113" s="44">
        <f>IFERROR(SUMIF('4店辅助表'!AC:AC,B:B,'4店辅助表'!AF:AF),0)</f>
        <v>7.31</v>
      </c>
      <c r="AB113" s="91" t="str">
        <f>IFERROR(SUMIF('4店辅助表'!K:K,B:B,'4店辅助表'!N:N)/SUMIF('4店辅助表'!K:K,B:B,'4店辅助表'!O:O),"-")</f>
        <v>-</v>
      </c>
      <c r="AC113" s="91" t="str">
        <f>IFERROR(VLOOKUP(B:B,'[1]4店'!$B:$AB,27,0),"-")</f>
        <v>-</v>
      </c>
      <c r="AD113" s="92" t="str">
        <f t="shared" si="56"/>
        <v>-</v>
      </c>
      <c r="AE113" s="91" t="str">
        <f>IFERROR(SUMIF('4店辅助表'!T:T,B:B,'4店辅助表'!W:W)/SUMIF('4店辅助表'!T:T,B:B,'4店辅助表'!X:X),"-")</f>
        <v>-</v>
      </c>
      <c r="AF113" s="91">
        <f>IFERROR(SUMIF('4店辅助表'!AC:AC,B:B,'4店辅助表'!AF:AF)/SUMIF('4店辅助表'!AC:AC,B:B,'4店辅助表'!AG:AG),"-")</f>
        <v>0.281370284834488</v>
      </c>
      <c r="AG113" s="99">
        <f>IFERROR(AK113/((SUMIF('4店辅助表'!AT:AT,B:B,'4店辅助表'!AU:AU)+M113)/2),"-")</f>
        <v>0.1156271899089</v>
      </c>
      <c r="AH113" s="99">
        <f>IFERROR(AL113/((SUMIF('4店辅助表'!AW:AW,B:B,'4店辅助表'!AX:AX)+M113)/2),"-")</f>
        <v>0.196648044692737</v>
      </c>
      <c r="AI113" s="100">
        <f>IFERROR((SUMIF('4店辅助表'!AP:AP,B:B,'4店辅助表'!AR:AR)-SUMIF('4店辅助表'!AP:AP,B:B,'4店辅助表'!AR:AR)*0.15-(L113+IFERROR(VLOOKUP(B:B,'4店辅助表'!AZ:BA,2,0),0))*O113-IF(AN:AN="US",6.85,4.9)*(Z113+4.27*O113))/SUMIF('4店辅助表'!AP:AP,B:B,'4店辅助表'!AR:AR),"-")</f>
        <v>0.297619729943865</v>
      </c>
      <c r="AJ113" s="100">
        <f t="shared" si="57"/>
        <v>0.0585263379554416</v>
      </c>
      <c r="AK113" s="101">
        <f t="shared" si="58"/>
        <v>33</v>
      </c>
      <c r="AL113" s="101">
        <f t="shared" si="59"/>
        <v>44</v>
      </c>
      <c r="AM113" s="1" t="str">
        <f>VLOOKUP(B:B,'4店辅助表'!AZ:AZ,1,FALSE)</f>
        <v>Y4069-WI+Y4070+Y4071</v>
      </c>
      <c r="AN113" t="str">
        <f>VLOOKUP(B:B,'4店辅助表'!AZ:BB,3,FALSE)</f>
        <v>US</v>
      </c>
    </row>
    <row r="114" customHeight="1" spans="1:40">
      <c r="A114" s="58" t="str">
        <f>INDEX('[1]4店'!$A:$A,MATCH(B:B,'[1]4店'!$B:$B,0))</f>
        <v>美珠</v>
      </c>
      <c r="B114" s="45" t="s">
        <v>1553</v>
      </c>
      <c r="C114" s="45" t="s">
        <v>1554</v>
      </c>
      <c r="D114" s="59">
        <f>VLOOKUP(B:B,'[1]4店'!$B:$L,3,0)</f>
        <v>45054</v>
      </c>
      <c r="E114" s="45" t="s">
        <v>1555</v>
      </c>
      <c r="F114" s="45">
        <v>56</v>
      </c>
      <c r="G114" s="45">
        <v>0</v>
      </c>
      <c r="H114" s="45">
        <v>0</v>
      </c>
      <c r="I114" s="45">
        <v>0</v>
      </c>
      <c r="J114" s="45">
        <v>0</v>
      </c>
      <c r="K114" s="63">
        <f t="shared" si="49"/>
        <v>56</v>
      </c>
      <c r="L114" s="64">
        <v>11</v>
      </c>
      <c r="M114" s="44">
        <f t="shared" si="48"/>
        <v>616</v>
      </c>
      <c r="N114" s="65">
        <f>IFERROR(VLOOKUP(B:B,'4店辅助表'!B:C,2,FALSE),0)</f>
        <v>6</v>
      </c>
      <c r="O114" s="65">
        <f>IFERROR(VLOOKUP(B:B,'4店辅助表'!E:F,2,FALSE),0)</f>
        <v>10</v>
      </c>
      <c r="P114" s="65">
        <f>IFERROR(VLOOKUP(B:B,'4店辅助表'!H:I,2,FALSE),0)</f>
        <v>13</v>
      </c>
      <c r="Q114" s="65">
        <f>IFERROR(VLOOKUP(B:B,'[1]4店'!$B:$N,13,FALSE),0)</f>
        <v>4</v>
      </c>
      <c r="R114" s="79">
        <f t="shared" si="50"/>
        <v>2</v>
      </c>
      <c r="S114" s="80">
        <f t="shared" si="51"/>
        <v>85.8394160583942</v>
      </c>
      <c r="T114" s="44">
        <f t="shared" si="52"/>
        <v>2.86131386861314</v>
      </c>
      <c r="U114" s="44">
        <f>IFERROR(VLOOKUP($B:$B,'[1]4店'!$B:$T,19,0),"-")</f>
        <v>4.52083333333333</v>
      </c>
      <c r="V114" s="81">
        <f t="shared" si="53"/>
        <v>-1.65951946472019</v>
      </c>
      <c r="W114" s="82" t="str">
        <f t="shared" si="54"/>
        <v>库存过高</v>
      </c>
      <c r="X114" s="83" t="str">
        <f t="shared" si="55"/>
        <v>库存过高</v>
      </c>
      <c r="Y114" s="44">
        <f>IFERROR(SUMIF('4店辅助表'!K:K,B:B,'4店辅助表'!N:N),0)</f>
        <v>0.75</v>
      </c>
      <c r="Z114" s="44">
        <f>IFERROR(SUMIF('4店辅助表'!T:T,B:B,'4店辅助表'!W:W),0)</f>
        <v>1.93</v>
      </c>
      <c r="AA114" s="44">
        <f>IFERROR(SUMIF('4店辅助表'!AC:AC,B:B,'4店辅助表'!AF:AF),0)</f>
        <v>3.48</v>
      </c>
      <c r="AB114" s="91" t="str">
        <f>IFERROR(SUMIF('4店辅助表'!K:K,B:B,'4店辅助表'!N:N)/SUMIF('4店辅助表'!K:K,B:B,'4店辅助表'!O:O),"-")</f>
        <v>-</v>
      </c>
      <c r="AC114" s="91">
        <f>IFERROR(VLOOKUP(B:B,'[1]4店'!$B:$AB,27,0),"-")</f>
        <v>0.1073703366697</v>
      </c>
      <c r="AD114" s="92" t="str">
        <f t="shared" si="56"/>
        <v>-</v>
      </c>
      <c r="AE114" s="91">
        <f>IFERROR(SUMIF('4店辅助表'!T:T,B:B,'4店辅助表'!W:W)/SUMIF('4店辅助表'!T:T,B:B,'4店辅助表'!X:X),"-")</f>
        <v>0.175614194722475</v>
      </c>
      <c r="AF114" s="91">
        <f>IFERROR(SUMIF('4店辅助表'!AC:AC,B:B,'4店辅助表'!AF:AF)/SUMIF('4店辅助表'!AC:AC,B:B,'4店辅助表'!AG:AG),"-")</f>
        <v>0.316651501364877</v>
      </c>
      <c r="AG114" s="99">
        <f>IFERROR(AK114/((SUMIF('4店辅助表'!AT:AT,B:B,'4店辅助表'!AU:AU)+M114)/2),"-")</f>
        <v>0.0900777944588508</v>
      </c>
      <c r="AH114" s="99">
        <f>IFERROR(AL114/((SUMIF('4店辅助表'!AW:AW,B:B,'4店辅助表'!AX:AX)+M114)/2),"-")</f>
        <v>0.142155595761179</v>
      </c>
      <c r="AI114" s="100">
        <f>IFERROR((SUMIF('4店辅助表'!AP:AP,B:B,'4店辅助表'!AR:AR)-SUMIF('4店辅助表'!AP:AP,B:B,'4店辅助表'!AR:AR)*0.15-(L114+IFERROR(VLOOKUP(B:B,'4店辅助表'!AZ:BA,2,0),0))*O114-IF(AN:AN="US",6.85,4.9)*(Z114+4.27*O114))/SUMIF('4店辅助表'!AP:AP,B:B,'4店辅助表'!AR:AR),"-")</f>
        <v>0.329932152461446</v>
      </c>
      <c r="AJ114" s="100">
        <f t="shared" si="57"/>
        <v>0.0469017016939248</v>
      </c>
      <c r="AK114" s="101">
        <f t="shared" si="58"/>
        <v>66</v>
      </c>
      <c r="AL114" s="101">
        <f t="shared" si="59"/>
        <v>110</v>
      </c>
      <c r="AM114" s="1" t="str">
        <f>VLOOKUP(B:B,'4店辅助表'!AZ:AZ,1,FALSE)</f>
        <v>Y4072-BL+Y4073+Y4074</v>
      </c>
      <c r="AN114" t="str">
        <f>VLOOKUP(B:B,'4店辅助表'!AZ:BB,3,FALSE)</f>
        <v>US</v>
      </c>
    </row>
    <row r="115" customHeight="1" spans="1:40">
      <c r="A115" s="58" t="str">
        <f>INDEX('[1]4店'!$A:$A,MATCH(B:B,'[1]4店'!$B:$B,0))</f>
        <v>美珠</v>
      </c>
      <c r="B115" s="45" t="s">
        <v>1556</v>
      </c>
      <c r="C115" s="45" t="s">
        <v>1554</v>
      </c>
      <c r="D115" s="59">
        <f>VLOOKUP(B:B,'[1]4店'!$B:$L,3,0)</f>
        <v>45054</v>
      </c>
      <c r="E115" s="45" t="s">
        <v>1557</v>
      </c>
      <c r="F115" s="45">
        <v>35</v>
      </c>
      <c r="G115" s="45">
        <v>0</v>
      </c>
      <c r="H115" s="45">
        <v>0</v>
      </c>
      <c r="I115" s="45">
        <v>0</v>
      </c>
      <c r="J115" s="45">
        <v>0</v>
      </c>
      <c r="K115" s="63">
        <f t="shared" si="49"/>
        <v>35</v>
      </c>
      <c r="L115" s="64">
        <v>11</v>
      </c>
      <c r="M115" s="44">
        <f t="shared" si="48"/>
        <v>385</v>
      </c>
      <c r="N115" s="65">
        <f>IFERROR(VLOOKUP(B:B,'4店辅助表'!B:C,2,FALSE),0)</f>
        <v>0</v>
      </c>
      <c r="O115" s="65">
        <f>IFERROR(VLOOKUP(B:B,'4店辅助表'!E:F,2,FALSE),0)</f>
        <v>5</v>
      </c>
      <c r="P115" s="65">
        <f>IFERROR(VLOOKUP(B:B,'4店辅助表'!H:I,2,FALSE),0)</f>
        <v>6</v>
      </c>
      <c r="Q115" s="65">
        <f>IFERROR(VLOOKUP(B:B,'[1]4店'!$B:$N,13,FALSE),0)</f>
        <v>5</v>
      </c>
      <c r="R115" s="79">
        <f t="shared" si="50"/>
        <v>-5</v>
      </c>
      <c r="S115" s="80">
        <f t="shared" si="51"/>
        <v>196.875</v>
      </c>
      <c r="T115" s="44">
        <f t="shared" si="52"/>
        <v>6.5625</v>
      </c>
      <c r="U115" s="44">
        <f>IFERROR(VLOOKUP($B:$B,'[1]4店'!$B:$T,19,0),"-")</f>
        <v>2.67137809187279</v>
      </c>
      <c r="V115" s="81">
        <f t="shared" si="53"/>
        <v>3.89112190812721</v>
      </c>
      <c r="W115" s="82" t="str">
        <f t="shared" si="54"/>
        <v>有库存无销量</v>
      </c>
      <c r="X115" s="83" t="str">
        <f t="shared" si="55"/>
        <v>库存过高</v>
      </c>
      <c r="Y115" s="44">
        <f>IFERROR(SUMIF('4店辅助表'!K:K,B:B,'4店辅助表'!N:N),0)</f>
        <v>0.8</v>
      </c>
      <c r="Z115" s="44">
        <f>IFERROR(SUMIF('4店辅助表'!T:T,B:B,'4店辅助表'!W:W),0)</f>
        <v>1.4</v>
      </c>
      <c r="AA115" s="44">
        <f>IFERROR(SUMIF('4店辅助表'!AC:AC,B:B,'4店辅助表'!AF:AF),0)</f>
        <v>2.2</v>
      </c>
      <c r="AB115" s="91" t="str">
        <f>IFERROR(SUMIF('4店辅助表'!K:K,B:B,'4店辅助表'!N:N)/SUMIF('4店辅助表'!K:K,B:B,'4店辅助表'!O:O),"-")</f>
        <v>-</v>
      </c>
      <c r="AC115" s="91" t="str">
        <f>IFERROR(VLOOKUP(B:B,'[1]4店'!$B:$AB,27,0),"-")</f>
        <v>-</v>
      </c>
      <c r="AD115" s="92" t="str">
        <f t="shared" si="56"/>
        <v>-</v>
      </c>
      <c r="AE115" s="91" t="str">
        <f>IFERROR(SUMIF('4店辅助表'!T:T,B:B,'4店辅助表'!W:W)/SUMIF('4店辅助表'!T:T,B:B,'4店辅助表'!X:X),"-")</f>
        <v>-</v>
      </c>
      <c r="AF115" s="91" t="str">
        <f>IFERROR(SUMIF('4店辅助表'!AC:AC,B:B,'4店辅助表'!AF:AF)/SUMIF('4店辅助表'!AC:AC,B:B,'4店辅助表'!AG:AG),"-")</f>
        <v>-</v>
      </c>
      <c r="AG115" s="99">
        <f>IFERROR(AK115/((SUMIF('4店辅助表'!AT:AT,B:B,'4店辅助表'!AU:AU)+M115)/2),"-")</f>
        <v>0</v>
      </c>
      <c r="AH115" s="99">
        <f>IFERROR(AL115/((SUMIF('4店辅助表'!AW:AW,B:B,'4店辅助表'!AX:AX)+M115)/2),"-")</f>
        <v>0.116193091792543</v>
      </c>
      <c r="AI115" s="100">
        <f>IFERROR((SUMIF('4店辅助表'!AP:AP,B:B,'4店辅助表'!AR:AR)-SUMIF('4店辅助表'!AP:AP,B:B,'4店辅助表'!AR:AR)*0.15-(L115+IFERROR(VLOOKUP(B:B,'4店辅助表'!AZ:BA,2,0),0))*O115-IF(AN:AN="US",6.85,4.9)*(Z115+4.27*O115))/SUMIF('4店辅助表'!AP:AP,B:B,'4店辅助表'!AR:AR),"-")</f>
        <v>0.256951929916754</v>
      </c>
      <c r="AJ115" s="100">
        <f t="shared" si="57"/>
        <v>0.0298560391790883</v>
      </c>
      <c r="AK115" s="101">
        <f t="shared" si="58"/>
        <v>0</v>
      </c>
      <c r="AL115" s="101">
        <f t="shared" si="59"/>
        <v>55</v>
      </c>
      <c r="AM115" s="1" t="str">
        <f>VLOOKUP(B:B,'4店辅助表'!AZ:AZ,1,FALSE)</f>
        <v>Y4072-DB+Y4073+Y4074</v>
      </c>
      <c r="AN115" t="str">
        <f>VLOOKUP(B:B,'4店辅助表'!AZ:BB,3,FALSE)</f>
        <v>US</v>
      </c>
    </row>
    <row r="116" customHeight="1" spans="1:40">
      <c r="A116" s="58" t="str">
        <f>INDEX('[1]4店'!$A:$A,MATCH(B:B,'[1]4店'!$B:$B,0))</f>
        <v>美珠</v>
      </c>
      <c r="B116" s="45" t="s">
        <v>1558</v>
      </c>
      <c r="C116" s="45" t="s">
        <v>1554</v>
      </c>
      <c r="D116" s="59">
        <f>VLOOKUP(B:B,'[1]4店'!$B:$L,3,0)</f>
        <v>45054</v>
      </c>
      <c r="E116" s="45" t="s">
        <v>1559</v>
      </c>
      <c r="F116" s="45">
        <v>29</v>
      </c>
      <c r="G116" s="45">
        <v>0</v>
      </c>
      <c r="H116" s="45">
        <v>0</v>
      </c>
      <c r="I116" s="45">
        <v>0</v>
      </c>
      <c r="J116" s="45">
        <v>0</v>
      </c>
      <c r="K116" s="63">
        <f t="shared" si="49"/>
        <v>29</v>
      </c>
      <c r="L116" s="64">
        <v>11</v>
      </c>
      <c r="M116" s="44">
        <f t="shared" si="48"/>
        <v>319</v>
      </c>
      <c r="N116" s="65">
        <f>IFERROR(VLOOKUP(B:B,'4店辅助表'!B:C,2,FALSE),0)</f>
        <v>1</v>
      </c>
      <c r="O116" s="65">
        <f>IFERROR(VLOOKUP(B:B,'4店辅助表'!E:F,2,FALSE),0)</f>
        <v>3</v>
      </c>
      <c r="P116" s="65">
        <f>IFERROR(VLOOKUP(B:B,'4店辅助表'!H:I,2,FALSE),0)</f>
        <v>5</v>
      </c>
      <c r="Q116" s="65">
        <f>IFERROR(VLOOKUP(B:B,'[1]4店'!$B:$N,13,FALSE),0)</f>
        <v>2</v>
      </c>
      <c r="R116" s="79">
        <f t="shared" si="50"/>
        <v>-1</v>
      </c>
      <c r="S116" s="80">
        <f t="shared" si="51"/>
        <v>170.747663551402</v>
      </c>
      <c r="T116" s="44">
        <f t="shared" si="52"/>
        <v>5.69158878504673</v>
      </c>
      <c r="U116" s="44">
        <f>IFERROR(VLOOKUP($B:$B,'[1]4店'!$B:$T,19,0),"-")</f>
        <v>5.00769230769231</v>
      </c>
      <c r="V116" s="81">
        <f t="shared" si="53"/>
        <v>0.68389647735442</v>
      </c>
      <c r="W116" s="82" t="str">
        <f t="shared" si="54"/>
        <v>库存过高</v>
      </c>
      <c r="X116" s="83" t="str">
        <f t="shared" si="55"/>
        <v>库存过高</v>
      </c>
      <c r="Y116" s="44">
        <f>IFERROR(SUMIF('4店辅助表'!K:K,B:B,'4店辅助表'!N:N),0)</f>
        <v>1.87</v>
      </c>
      <c r="Z116" s="44">
        <f>IFERROR(SUMIF('4店辅助表'!T:T,B:B,'4店辅助表'!W:W),0)</f>
        <v>3.79</v>
      </c>
      <c r="AA116" s="44">
        <f>IFERROR(SUMIF('4店辅助表'!AC:AC,B:B,'4店辅助表'!AF:AF),0)</f>
        <v>6.84</v>
      </c>
      <c r="AB116" s="91" t="str">
        <f>IFERROR(SUMIF('4店辅助表'!K:K,B:B,'4店辅助表'!N:N)/SUMIF('4店辅助表'!K:K,B:B,'4店辅助表'!O:O),"-")</f>
        <v>-</v>
      </c>
      <c r="AC116" s="91">
        <f>IFERROR(VLOOKUP(B:B,'[1]4店'!$B:$AB,27,0),"-")</f>
        <v>0.0696087352138307</v>
      </c>
      <c r="AD116" s="92" t="str">
        <f t="shared" si="56"/>
        <v>-</v>
      </c>
      <c r="AE116" s="91">
        <f>IFERROR(SUMIF('4店辅助表'!T:T,B:B,'4店辅助表'!W:W)/SUMIF('4店辅助表'!T:T,B:B,'4店辅助表'!X:X),"-")</f>
        <v>0.172429481346679</v>
      </c>
      <c r="AF116" s="91">
        <f>IFERROR(SUMIF('4店辅助表'!AC:AC,B:B,'4店辅助表'!AF:AF)/SUMIF('4店辅助表'!AC:AC,B:B,'4店辅助表'!AG:AG),"-")</f>
        <v>0.142618849040867</v>
      </c>
      <c r="AG116" s="99">
        <f>IFERROR(AK116/((SUMIF('4店辅助表'!AT:AT,B:B,'4店辅助表'!AU:AU)+M116)/2),"-")</f>
        <v>0.0295818206265967</v>
      </c>
      <c r="AH116" s="99">
        <f>IFERROR(AL116/((SUMIF('4店辅助表'!AW:AW,B:B,'4店辅助表'!AX:AX)+M116)/2),"-")</f>
        <v>0.0855920114122682</v>
      </c>
      <c r="AI116" s="100">
        <f>IFERROR((SUMIF('4店辅助表'!AP:AP,B:B,'4店辅助表'!AR:AR)-SUMIF('4店辅助表'!AP:AP,B:B,'4店辅助表'!AR:AR)*0.15-(L116+IFERROR(VLOOKUP(B:B,'4店辅助表'!AZ:BA,2,0),0))*O116-IF(AN:AN="US",6.85,4.9)*(Z116+4.27*O116))/SUMIF('4店辅助表'!AP:AP,B:B,'4店辅助表'!AR:AR),"-")</f>
        <v>0.197194362634083</v>
      </c>
      <c r="AJ116" s="100">
        <f t="shared" si="57"/>
        <v>0.0168782621370114</v>
      </c>
      <c r="AK116" s="101">
        <f t="shared" si="58"/>
        <v>11</v>
      </c>
      <c r="AL116" s="101">
        <f t="shared" si="59"/>
        <v>33</v>
      </c>
      <c r="AM116" s="1" t="str">
        <f>VLOOKUP(B:B,'4店辅助表'!AZ:AZ,1,FALSE)</f>
        <v>Y4072-WI+Y4073+Y4074</v>
      </c>
      <c r="AN116" t="str">
        <f>VLOOKUP(B:B,'4店辅助表'!AZ:BB,3,FALSE)</f>
        <v>US</v>
      </c>
    </row>
    <row r="117" customHeight="1" spans="1:40">
      <c r="A117" s="58" t="str">
        <f>INDEX('[1]4店'!$A:$A,MATCH(B:B,'[1]4店'!$B:$B,0))</f>
        <v>美珠</v>
      </c>
      <c r="B117" s="45" t="s">
        <v>1560</v>
      </c>
      <c r="C117" s="45" t="s">
        <v>1554</v>
      </c>
      <c r="D117" s="59">
        <f>VLOOKUP(B:B,'[1]4店'!$B:$L,3,0)</f>
        <v>45054</v>
      </c>
      <c r="E117" s="45" t="s">
        <v>1561</v>
      </c>
      <c r="F117" s="45">
        <v>32</v>
      </c>
      <c r="G117" s="45">
        <v>0</v>
      </c>
      <c r="H117" s="45">
        <v>0</v>
      </c>
      <c r="I117" s="45">
        <v>0</v>
      </c>
      <c r="J117" s="45">
        <v>0</v>
      </c>
      <c r="K117" s="63">
        <f t="shared" si="49"/>
        <v>32</v>
      </c>
      <c r="L117" s="64">
        <v>11</v>
      </c>
      <c r="M117" s="44">
        <f t="shared" si="48"/>
        <v>352</v>
      </c>
      <c r="N117" s="65">
        <f>IFERROR(VLOOKUP(B:B,'4店辅助表'!B:C,2,FALSE),0)</f>
        <v>0</v>
      </c>
      <c r="O117" s="65">
        <f>IFERROR(VLOOKUP(B:B,'4店辅助表'!E:F,2,FALSE),0)</f>
        <v>2</v>
      </c>
      <c r="P117" s="65">
        <f>IFERROR(VLOOKUP(B:B,'4店辅助表'!H:I,2,FALSE),0)</f>
        <v>2</v>
      </c>
      <c r="Q117" s="65">
        <f>IFERROR(VLOOKUP(B:B,'[1]4店'!$B:$N,13,FALSE),0)</f>
        <v>2</v>
      </c>
      <c r="R117" s="79">
        <f t="shared" si="50"/>
        <v>-2</v>
      </c>
      <c r="S117" s="80">
        <f t="shared" si="51"/>
        <v>480</v>
      </c>
      <c r="T117" s="44">
        <f t="shared" si="52"/>
        <v>16</v>
      </c>
      <c r="U117" s="44">
        <f>IFERROR(VLOOKUP($B:$B,'[1]4店'!$B:$T,19,0),"-")</f>
        <v>6.79411764705882</v>
      </c>
      <c r="V117" s="81">
        <f t="shared" si="53"/>
        <v>9.20588235294118</v>
      </c>
      <c r="W117" s="82" t="str">
        <f t="shared" si="54"/>
        <v>有库存无销量</v>
      </c>
      <c r="X117" s="83" t="str">
        <f t="shared" si="55"/>
        <v>库存过高</v>
      </c>
      <c r="Y117" s="44">
        <f>IFERROR(SUMIF('4店辅助表'!K:K,B:B,'4店辅助表'!N:N),0)</f>
        <v>0.27</v>
      </c>
      <c r="Z117" s="44">
        <f>IFERROR(SUMIF('4店辅助表'!T:T,B:B,'4店辅助表'!W:W),0)</f>
        <v>0.66</v>
      </c>
      <c r="AA117" s="44">
        <f>IFERROR(SUMIF('4店辅助表'!AC:AC,B:B,'4店辅助表'!AF:AF),0)</f>
        <v>1.61</v>
      </c>
      <c r="AB117" s="91" t="str">
        <f>IFERROR(SUMIF('4店辅助表'!K:K,B:B,'4店辅助表'!N:N)/SUMIF('4店辅助表'!K:K,B:B,'4店辅助表'!O:O),"-")</f>
        <v>-</v>
      </c>
      <c r="AC117" s="91" t="str">
        <f>IFERROR(VLOOKUP(B:B,'[1]4店'!$B:$AB,27,0),"-")</f>
        <v>-</v>
      </c>
      <c r="AD117" s="92" t="str">
        <f t="shared" si="56"/>
        <v>-</v>
      </c>
      <c r="AE117" s="91" t="str">
        <f>IFERROR(SUMIF('4店辅助表'!T:T,B:B,'4店辅助表'!W:W)/SUMIF('4店辅助表'!T:T,B:B,'4店辅助表'!X:X),"-")</f>
        <v>-</v>
      </c>
      <c r="AF117" s="91" t="str">
        <f>IFERROR(SUMIF('4店辅助表'!AC:AC,B:B,'4店辅助表'!AF:AF)/SUMIF('4店辅助表'!AC:AC,B:B,'4店辅助表'!AG:AG),"-")</f>
        <v>-</v>
      </c>
      <c r="AG117" s="99">
        <f>IFERROR(AK117/((SUMIF('4店辅助表'!AT:AT,B:B,'4店辅助表'!AU:AU)+M117)/2),"-")</f>
        <v>0</v>
      </c>
      <c r="AH117" s="99">
        <f>IFERROR(AL117/((SUMIF('4店辅助表'!AW:AW,B:B,'4店辅助表'!AX:AX)+M117)/2),"-")</f>
        <v>0.052916416115454</v>
      </c>
      <c r="AI117" s="100">
        <f>IFERROR((SUMIF('4店辅助表'!AP:AP,B:B,'4店辅助表'!AR:AR)-SUMIF('4店辅助表'!AP:AP,B:B,'4店辅助表'!AR:AR)*0.15-(L117+IFERROR(VLOOKUP(B:B,'4店辅助表'!AZ:BA,2,0),0))*O117-IF(AN:AN="US",6.85,4.9)*(Z117+4.27*O117))/SUMIF('4店辅助表'!AP:AP,B:B,'4店辅助表'!AR:AR),"-")</f>
        <v>0.290117372749798</v>
      </c>
      <c r="AJ117" s="100">
        <f t="shared" si="57"/>
        <v>0.0153519716187506</v>
      </c>
      <c r="AK117" s="101">
        <f t="shared" si="58"/>
        <v>0</v>
      </c>
      <c r="AL117" s="101">
        <f t="shared" si="59"/>
        <v>22</v>
      </c>
      <c r="AM117" s="1" t="str">
        <f>VLOOKUP(B:B,'4店辅助表'!AZ:AZ,1,FALSE)</f>
        <v>Y4072-GW+Y4073+Y4074</v>
      </c>
      <c r="AN117" t="str">
        <f>VLOOKUP(B:B,'4店辅助表'!AZ:BB,3,FALSE)</f>
        <v>US</v>
      </c>
    </row>
    <row r="118" customHeight="1" spans="1:40">
      <c r="A118" s="58" t="str">
        <f>INDEX('[1]4店'!$A:$A,MATCH(B:B,'[1]4店'!$B:$B,0))</f>
        <v>美珠</v>
      </c>
      <c r="B118" s="45" t="s">
        <v>1562</v>
      </c>
      <c r="C118" s="45" t="s">
        <v>1554</v>
      </c>
      <c r="D118" s="59">
        <f>VLOOKUP(B:B,'[1]4店'!$B:$L,3,0)</f>
        <v>45054</v>
      </c>
      <c r="E118" s="45" t="s">
        <v>1563</v>
      </c>
      <c r="F118" s="45">
        <v>41</v>
      </c>
      <c r="G118" s="45">
        <v>0</v>
      </c>
      <c r="H118" s="45">
        <v>0</v>
      </c>
      <c r="I118" s="45">
        <v>0</v>
      </c>
      <c r="J118" s="45">
        <v>0</v>
      </c>
      <c r="K118" s="63">
        <f t="shared" si="49"/>
        <v>41</v>
      </c>
      <c r="L118" s="64">
        <v>11</v>
      </c>
      <c r="M118" s="44">
        <f t="shared" si="48"/>
        <v>451</v>
      </c>
      <c r="N118" s="65">
        <f>IFERROR(VLOOKUP(B:B,'4店辅助表'!B:C,2,FALSE),0)</f>
        <v>1</v>
      </c>
      <c r="O118" s="65">
        <f>IFERROR(VLOOKUP(B:B,'4店辅助表'!E:F,2,FALSE),0)</f>
        <v>4</v>
      </c>
      <c r="P118" s="65">
        <f>IFERROR(VLOOKUP(B:B,'4店辅助表'!H:I,2,FALSE),0)</f>
        <v>6</v>
      </c>
      <c r="Q118" s="65">
        <f>IFERROR(VLOOKUP(B:B,'[1]4店'!$B:$N,13,FALSE),0)</f>
        <v>2</v>
      </c>
      <c r="R118" s="79">
        <f t="shared" si="50"/>
        <v>-1</v>
      </c>
      <c r="S118" s="80">
        <f t="shared" si="51"/>
        <v>201.796875</v>
      </c>
      <c r="T118" s="44">
        <f t="shared" si="52"/>
        <v>6.7265625</v>
      </c>
      <c r="U118" s="44">
        <f>IFERROR(VLOOKUP($B:$B,'[1]4店'!$B:$T,19,0),"-")</f>
        <v>6.125</v>
      </c>
      <c r="V118" s="81">
        <f t="shared" si="53"/>
        <v>0.6015625</v>
      </c>
      <c r="W118" s="82" t="str">
        <f t="shared" si="54"/>
        <v>库存过高</v>
      </c>
      <c r="X118" s="83" t="str">
        <f t="shared" si="55"/>
        <v>库存过高</v>
      </c>
      <c r="Y118" s="44">
        <f>IFERROR(SUMIF('4店辅助表'!K:K,B:B,'4店辅助表'!N:N),0)</f>
        <v>1.59</v>
      </c>
      <c r="Z118" s="44">
        <f>IFERROR(SUMIF('4店辅助表'!T:T,B:B,'4店辅助表'!W:W),0)</f>
        <v>2.76</v>
      </c>
      <c r="AA118" s="44">
        <f>IFERROR(SUMIF('4店辅助表'!AC:AC,B:B,'4店辅助表'!AF:AF),0)</f>
        <v>6.43</v>
      </c>
      <c r="AB118" s="91" t="str">
        <f>IFERROR(SUMIF('4店辅助表'!K:K,B:B,'4店辅助表'!N:N)/SUMIF('4店辅助表'!K:K,B:B,'4店辅助表'!O:O),"-")</f>
        <v>-</v>
      </c>
      <c r="AC118" s="91" t="str">
        <f>IFERROR(VLOOKUP(B:B,'[1]4店'!$B:$AB,27,0),"-")</f>
        <v>-</v>
      </c>
      <c r="AD118" s="92" t="str">
        <f t="shared" si="56"/>
        <v>-</v>
      </c>
      <c r="AE118" s="91">
        <f>IFERROR(SUMIF('4店辅助表'!T:T,B:B,'4店辅助表'!W:W)/SUMIF('4店辅助表'!T:T,B:B,'4店辅助表'!X:X),"-")</f>
        <v>0.212471131639723</v>
      </c>
      <c r="AF118" s="91">
        <f>IFERROR(SUMIF('4店辅助表'!AC:AC,B:B,'4店辅助表'!AF:AF)/SUMIF('4店辅助表'!AC:AC,B:B,'4店辅助表'!AG:AG),"-")</f>
        <v>0.494996150885296</v>
      </c>
      <c r="AG118" s="99">
        <f>IFERROR(AK118/((SUMIF('4店辅助表'!AT:AT,B:B,'4店辅助表'!AU:AU)+M118)/2),"-")</f>
        <v>0.0214341387373344</v>
      </c>
      <c r="AH118" s="99">
        <f>IFERROR(AL118/((SUMIF('4店辅助表'!AW:AW,B:B,'4店辅助表'!AX:AX)+M118)/2),"-")</f>
        <v>0.0813910469848317</v>
      </c>
      <c r="AI118" s="100">
        <f>IFERROR((SUMIF('4店辅助表'!AP:AP,B:B,'4店辅助表'!AR:AR)-SUMIF('4店辅助表'!AP:AP,B:B,'4店辅助表'!AR:AR)*0.15-(L118+IFERROR(VLOOKUP(B:B,'4店辅助表'!AZ:BA,2,0),0))*O118-IF(AN:AN="US",6.85,4.9)*(Z118+4.27*O118))/SUMIF('4店辅助表'!AP:AP,B:B,'4店辅助表'!AR:AR),"-")</f>
        <v>0.276355683086615</v>
      </c>
      <c r="AJ118" s="100">
        <f t="shared" si="57"/>
        <v>0.022492878386628</v>
      </c>
      <c r="AK118" s="101">
        <f t="shared" si="58"/>
        <v>11</v>
      </c>
      <c r="AL118" s="101">
        <f t="shared" si="59"/>
        <v>44</v>
      </c>
      <c r="AM118" s="1" t="str">
        <f>VLOOKUP(B:B,'4店辅助表'!AZ:AZ,1,FALSE)</f>
        <v>Y4072-OR+Y4073+Y4074</v>
      </c>
      <c r="AN118" t="str">
        <f>VLOOKUP(B:B,'4店辅助表'!AZ:BB,3,FALSE)</f>
        <v>US</v>
      </c>
    </row>
    <row r="119" customHeight="1" spans="1:40">
      <c r="A119" s="58" t="str">
        <f>INDEX('[1]4店'!$A:$A,MATCH(B:B,'[1]4店'!$B:$B,0))</f>
        <v>美珠</v>
      </c>
      <c r="B119" s="45" t="s">
        <v>1564</v>
      </c>
      <c r="C119" s="45" t="s">
        <v>1429</v>
      </c>
      <c r="D119" s="59"/>
      <c r="E119" s="45" t="s">
        <v>1565</v>
      </c>
      <c r="F119" s="45">
        <v>21</v>
      </c>
      <c r="G119" s="45">
        <v>0</v>
      </c>
      <c r="H119" s="45">
        <v>0</v>
      </c>
      <c r="I119" s="45">
        <v>0</v>
      </c>
      <c r="J119" s="45">
        <v>0</v>
      </c>
      <c r="K119" s="63">
        <f t="shared" si="49"/>
        <v>21</v>
      </c>
      <c r="L119" s="64">
        <v>11</v>
      </c>
      <c r="M119" s="44">
        <f t="shared" si="48"/>
        <v>231</v>
      </c>
      <c r="N119" s="65">
        <f>IFERROR(VLOOKUP(B:B,'4店辅助表'!B:C,2,FALSE),0)</f>
        <v>0</v>
      </c>
      <c r="O119" s="65">
        <f>IFERROR(VLOOKUP(B:B,'4店辅助表'!E:F,2,FALSE),0)</f>
        <v>0</v>
      </c>
      <c r="P119" s="65">
        <f>IFERROR(VLOOKUP(B:B,'4店辅助表'!H:I,2,FALSE),0)</f>
        <v>0</v>
      </c>
      <c r="Q119" s="65">
        <f>IFERROR(VLOOKUP(B:B,'[1]4店'!$B:$N,13,FALSE),0)</f>
        <v>0</v>
      </c>
      <c r="R119" s="79">
        <f t="shared" si="50"/>
        <v>0</v>
      </c>
      <c r="S119" s="80" t="str">
        <f t="shared" si="51"/>
        <v>-</v>
      </c>
      <c r="T119" s="44" t="str">
        <f t="shared" si="52"/>
        <v>-</v>
      </c>
      <c r="U119" s="44" t="str">
        <f>IFERROR(VLOOKUP($B:$B,'[1]4店'!$B:$T,19,0),"-")</f>
        <v>-</v>
      </c>
      <c r="V119" s="81" t="str">
        <f t="shared" si="53"/>
        <v>-</v>
      </c>
      <c r="W119" s="82" t="str">
        <f t="shared" si="54"/>
        <v>有库存无销量</v>
      </c>
      <c r="X119" s="83" t="str">
        <f t="shared" si="55"/>
        <v>有库存无销量</v>
      </c>
      <c r="Y119" s="44">
        <f>IFERROR(SUMIF('4店辅助表'!K:K,B:B,'4店辅助表'!N:N),0)</f>
        <v>0</v>
      </c>
      <c r="Z119" s="44">
        <f>IFERROR(SUMIF('4店辅助表'!T:T,B:B,'4店辅助表'!W:W),0)</f>
        <v>0.42</v>
      </c>
      <c r="AA119" s="44">
        <f>IFERROR(SUMIF('4店辅助表'!AC:AC,B:B,'4店辅助表'!AF:AF),0)</f>
        <v>0.42</v>
      </c>
      <c r="AB119" s="91" t="str">
        <f>IFERROR(SUMIF('4店辅助表'!K:K,B:B,'4店辅助表'!N:N)/SUMIF('4店辅助表'!K:K,B:B,'4店辅助表'!O:O),"-")</f>
        <v>-</v>
      </c>
      <c r="AC119" s="91" t="str">
        <f>IFERROR(VLOOKUP(B:B,'[1]4店'!$B:$AB,27,0),"-")</f>
        <v>-</v>
      </c>
      <c r="AD119" s="92" t="str">
        <f t="shared" si="56"/>
        <v>-</v>
      </c>
      <c r="AE119" s="91" t="str">
        <f>IFERROR(SUMIF('4店辅助表'!T:T,B:B,'4店辅助表'!W:W)/SUMIF('4店辅助表'!T:T,B:B,'4店辅助表'!X:X),"-")</f>
        <v>-</v>
      </c>
      <c r="AF119" s="91" t="str">
        <f>IFERROR(SUMIF('4店辅助表'!AC:AC,B:B,'4店辅助表'!AF:AF)/SUMIF('4店辅助表'!AC:AC,B:B,'4店辅助表'!AG:AG),"-")</f>
        <v>-</v>
      </c>
      <c r="AG119" s="99">
        <f>IFERROR(AK119/((SUMIF('4店辅助表'!AT:AT,B:B,'4店辅助表'!AU:AU)+M119)/2),"-")</f>
        <v>0</v>
      </c>
      <c r="AH119" s="99">
        <f>IFERROR(AL119/((SUMIF('4店辅助表'!AW:AW,B:B,'4店辅助表'!AX:AX)+M119)/2),"-")</f>
        <v>0</v>
      </c>
      <c r="AI119" s="100" t="str">
        <f>IFERROR((SUMIF('4店辅助表'!AP:AP,B:B,'4店辅助表'!AR:AR)-SUMIF('4店辅助表'!AP:AP,B:B,'4店辅助表'!AR:AR)*0.15-(L119+IFERROR(VLOOKUP(B:B,'4店辅助表'!AZ:BA,2,0),0))*O119-IF(AN:AN="US",6.85,4.9)*(Z119+4.27*O119))/SUMIF('4店辅助表'!AP:AP,B:B,'4店辅助表'!AR:AR),"-")</f>
        <v>-</v>
      </c>
      <c r="AJ119" s="100" t="str">
        <f t="shared" si="57"/>
        <v>-</v>
      </c>
      <c r="AK119" s="101">
        <f t="shared" si="58"/>
        <v>0</v>
      </c>
      <c r="AL119" s="101">
        <f t="shared" si="59"/>
        <v>0</v>
      </c>
      <c r="AM119" s="1" t="str">
        <f>VLOOKUP(B:B,'4店辅助表'!AZ:AZ,1,FALSE)</f>
        <v>Y4038-BL</v>
      </c>
      <c r="AN119" t="str">
        <f>VLOOKUP(B:B,'4店辅助表'!AZ:BB,3,FALSE)</f>
        <v>US</v>
      </c>
    </row>
    <row r="120" customHeight="1" spans="1:40">
      <c r="A120" s="58" t="str">
        <f>INDEX('[1]4店'!$A:$A,MATCH(B:B,'[1]4店'!$B:$B,0))</f>
        <v>美珠</v>
      </c>
      <c r="B120" s="45" t="s">
        <v>1566</v>
      </c>
      <c r="C120" s="45" t="s">
        <v>1567</v>
      </c>
      <c r="D120" s="59">
        <f>VLOOKUP(B:B,'[1]4店'!$B:$L,3,0)</f>
        <v>45181</v>
      </c>
      <c r="E120" s="45" t="s">
        <v>1568</v>
      </c>
      <c r="F120" s="45">
        <v>66</v>
      </c>
      <c r="G120" s="45">
        <v>0</v>
      </c>
      <c r="H120" s="45">
        <v>1</v>
      </c>
      <c r="I120" s="45">
        <v>0</v>
      </c>
      <c r="J120" s="45">
        <v>0</v>
      </c>
      <c r="K120" s="63">
        <f t="shared" si="49"/>
        <v>67</v>
      </c>
      <c r="L120" s="64">
        <v>11</v>
      </c>
      <c r="M120" s="44">
        <f t="shared" si="48"/>
        <v>737</v>
      </c>
      <c r="N120" s="65">
        <f>IFERROR(VLOOKUP(B:B,'4店辅助表'!B:C,2,FALSE),0)</f>
        <v>5</v>
      </c>
      <c r="O120" s="65">
        <f>IFERROR(VLOOKUP(B:B,'4店辅助表'!E:F,2,FALSE),0)</f>
        <v>14</v>
      </c>
      <c r="P120" s="65">
        <f>IFERROR(VLOOKUP(B:B,'4店辅助表'!H:I,2,FALSE),0)</f>
        <v>33</v>
      </c>
      <c r="Q120" s="65">
        <f>IFERROR(VLOOKUP(B:B,'[1]4店'!$B:$N,13,FALSE),0)</f>
        <v>9</v>
      </c>
      <c r="R120" s="79">
        <f t="shared" si="50"/>
        <v>-4</v>
      </c>
      <c r="S120" s="80">
        <f t="shared" si="51"/>
        <v>73.1542461005199</v>
      </c>
      <c r="T120" s="44">
        <f t="shared" si="52"/>
        <v>2.43847487001733</v>
      </c>
      <c r="U120" s="44">
        <f>IFERROR(VLOOKUP($B:$B,'[1]4店'!$B:$T,19,0),"-")</f>
        <v>2.07660167130919</v>
      </c>
      <c r="V120" s="81">
        <f t="shared" si="53"/>
        <v>0.36187319870814</v>
      </c>
      <c r="W120" s="82" t="str">
        <f t="shared" si="54"/>
        <v>库存过高</v>
      </c>
      <c r="X120" s="83" t="str">
        <f t="shared" si="55"/>
        <v>库存过高</v>
      </c>
      <c r="Y120" s="44">
        <f>IFERROR(SUMIF('4店辅助表'!K:K,B:B,'4店辅助表'!N:N),0)</f>
        <v>3.22</v>
      </c>
      <c r="Z120" s="44">
        <f>IFERROR(SUMIF('4店辅助表'!T:T,B:B,'4店辅助表'!W:W),0)</f>
        <v>15.01</v>
      </c>
      <c r="AA120" s="44">
        <f>IFERROR(SUMIF('4店辅助表'!AC:AC,B:B,'4店辅助表'!AF:AF),0)</f>
        <v>32.28</v>
      </c>
      <c r="AB120" s="91" t="str">
        <f>IFERROR(SUMIF('4店辅助表'!K:K,B:B,'4店辅助表'!N:N)/SUMIF('4店辅助表'!K:K,B:B,'4店辅助表'!O:O),"-")</f>
        <v>-</v>
      </c>
      <c r="AC120" s="91">
        <f>IFERROR(VLOOKUP(B:B,'[1]4店'!$B:$AB,27,0),"-")</f>
        <v>0.561970746728252</v>
      </c>
      <c r="AD120" s="92" t="str">
        <f t="shared" si="56"/>
        <v>-</v>
      </c>
      <c r="AE120" s="91">
        <f>IFERROR(SUMIF('4店辅助表'!T:T,B:B,'4店辅助表'!W:W)/SUMIF('4店辅助表'!T:T,B:B,'4店辅助表'!X:X),"-")</f>
        <v>1.15550423402617</v>
      </c>
      <c r="AF120" s="91">
        <f>IFERROR(SUMIF('4店辅助表'!AC:AC,B:B,'4店辅助表'!AF:AF)/SUMIF('4店辅助表'!AC:AC,B:B,'4店辅助表'!AG:AG),"-")</f>
        <v>0.496997690531178</v>
      </c>
      <c r="AG120" s="99">
        <f>IFERROR(AK120/((SUMIF('4店辅助表'!AT:AT,B:B,'4店辅助表'!AU:AU)+M120)/2),"-")</f>
        <v>0.0643387728841317</v>
      </c>
      <c r="AH120" s="99">
        <f>IFERROR(AL120/((SUMIF('4店辅助表'!AW:AW,B:B,'4店辅助表'!AX:AX)+M120)/2),"-")</f>
        <v>0.148105404885555</v>
      </c>
      <c r="AI120" s="100">
        <f>IFERROR((SUMIF('4店辅助表'!AP:AP,B:B,'4店辅助表'!AR:AR)-SUMIF('4店辅助表'!AP:AP,B:B,'4店辅助表'!AR:AR)*0.15-(L120+IFERROR(VLOOKUP(B:B,'4店辅助表'!AZ:BA,2,0),0))*O120-IF(AN:AN="US",6.85,4.9)*(Z120+4.27*O120))/SUMIF('4店辅助表'!AP:AP,B:B,'4店辅助表'!AR:AR),"-")</f>
        <v>0.241506619506291</v>
      </c>
      <c r="AJ120" s="100">
        <f t="shared" si="57"/>
        <v>0.035768435664521</v>
      </c>
      <c r="AK120" s="101">
        <f t="shared" si="58"/>
        <v>55</v>
      </c>
      <c r="AL120" s="101">
        <f t="shared" si="59"/>
        <v>154</v>
      </c>
      <c r="AM120" s="1" t="str">
        <f>VLOOKUP(B:B,'4店辅助表'!AZ:AZ,1,FALSE)</f>
        <v>Y4084-BL+Y4085+Y4086</v>
      </c>
      <c r="AN120" t="str">
        <f>VLOOKUP(B:B,'4店辅助表'!AZ:BB,3,FALSE)</f>
        <v>US</v>
      </c>
    </row>
    <row r="121" customHeight="1" spans="1:40">
      <c r="A121" s="58" t="str">
        <f>INDEX('[1]4店'!$A:$A,MATCH(B:B,'[1]4店'!$B:$B,0))</f>
        <v>美珠</v>
      </c>
      <c r="B121" s="45" t="s">
        <v>1569</v>
      </c>
      <c r="C121" s="45" t="s">
        <v>1567</v>
      </c>
      <c r="D121" s="59">
        <f>VLOOKUP(B:B,'[1]4店'!$B:$L,3,0)</f>
        <v>45181</v>
      </c>
      <c r="E121" s="45" t="s">
        <v>1570</v>
      </c>
      <c r="F121" s="45">
        <v>29</v>
      </c>
      <c r="G121" s="45">
        <v>0</v>
      </c>
      <c r="H121" s="45">
        <v>1</v>
      </c>
      <c r="I121" s="45">
        <v>0</v>
      </c>
      <c r="J121" s="45">
        <v>0</v>
      </c>
      <c r="K121" s="63">
        <f t="shared" si="49"/>
        <v>30</v>
      </c>
      <c r="L121" s="64">
        <v>11</v>
      </c>
      <c r="M121" s="44">
        <f t="shared" si="48"/>
        <v>330</v>
      </c>
      <c r="N121" s="65">
        <f>IFERROR(VLOOKUP(B:B,'4店辅助表'!B:C,2,FALSE),0)</f>
        <v>5</v>
      </c>
      <c r="O121" s="65">
        <f>IFERROR(VLOOKUP(B:B,'4店辅助表'!E:F,2,FALSE),0)</f>
        <v>9</v>
      </c>
      <c r="P121" s="65">
        <f>IFERROR(VLOOKUP(B:B,'4店辅助表'!H:I,2,FALSE),0)</f>
        <v>22</v>
      </c>
      <c r="Q121" s="65">
        <f>IFERROR(VLOOKUP(B:B,'[1]4店'!$B:$N,13,FALSE),0)</f>
        <v>4</v>
      </c>
      <c r="R121" s="79">
        <f t="shared" si="50"/>
        <v>1</v>
      </c>
      <c r="S121" s="80">
        <f t="shared" si="51"/>
        <v>43.953488372093</v>
      </c>
      <c r="T121" s="44">
        <f t="shared" si="52"/>
        <v>1.46511627906977</v>
      </c>
      <c r="U121" s="44">
        <f>IFERROR(VLOOKUP($B:$B,'[1]4店'!$B:$T,19,0),"-")</f>
        <v>1.86290322580645</v>
      </c>
      <c r="V121" s="81">
        <f t="shared" si="53"/>
        <v>-0.39778694673668</v>
      </c>
      <c r="W121" s="82" t="str">
        <f t="shared" si="54"/>
        <v>正常</v>
      </c>
      <c r="X121" s="83" t="str">
        <f t="shared" si="55"/>
        <v>正常</v>
      </c>
      <c r="Y121" s="44">
        <f>IFERROR(SUMIF('4店辅助表'!K:K,B:B,'4店辅助表'!N:N),0)</f>
        <v>9.48</v>
      </c>
      <c r="Z121" s="44">
        <f>IFERROR(SUMIF('4店辅助表'!T:T,B:B,'4店辅助表'!W:W),0)</f>
        <v>20.64</v>
      </c>
      <c r="AA121" s="44">
        <f>IFERROR(SUMIF('4店辅助表'!AC:AC,B:B,'4店辅助表'!AF:AF),0)</f>
        <v>69.34</v>
      </c>
      <c r="AB121" s="91">
        <f>IFERROR(SUMIF('4店辅助表'!K:K,B:B,'4店辅助表'!N:N)/SUMIF('4店辅助表'!K:K,B:B,'4店辅助表'!O:O),"-")</f>
        <v>0.364896073903002</v>
      </c>
      <c r="AC121" s="91">
        <f>IFERROR(VLOOKUP(B:B,'[1]4店'!$B:$AB,27,0),"-")</f>
        <v>0.122412008281574</v>
      </c>
      <c r="AD121" s="92">
        <f t="shared" si="56"/>
        <v>0.242484065621428</v>
      </c>
      <c r="AE121" s="91">
        <f>IFERROR(SUMIF('4店辅助表'!T:T,B:B,'4店辅助表'!W:W)/SUMIF('4店辅助表'!T:T,B:B,'4店辅助表'!X:X),"-")</f>
        <v>0.177548387096774</v>
      </c>
      <c r="AF121" s="91">
        <f>IFERROR(SUMIF('4店辅助表'!AC:AC,B:B,'4店辅助表'!AF:AF)/SUMIF('4店辅助表'!AC:AC,B:B,'4店辅助表'!AG:AG),"-")</f>
        <v>0.382671081677704</v>
      </c>
      <c r="AG121" s="99">
        <f>IFERROR(AK121/((SUMIF('4店辅助表'!AT:AT,B:B,'4店辅助表'!AU:AU)+M121)/2),"-")</f>
        <v>0.140646976090014</v>
      </c>
      <c r="AH121" s="99">
        <f>IFERROR(AL121/((SUMIF('4店辅助表'!AW:AW,B:B,'4店辅助表'!AX:AX)+M121)/2),"-")</f>
        <v>0.197742934185559</v>
      </c>
      <c r="AI121" s="100">
        <f>IFERROR((SUMIF('4店辅助表'!AP:AP,B:B,'4店辅助表'!AR:AR)-SUMIF('4店辅助表'!AP:AP,B:B,'4店辅助表'!AR:AR)*0.15-(L121+IFERROR(VLOOKUP(B:B,'4店辅助表'!AZ:BA,2,0),0))*O121-IF(AN:AN="US",6.85,4.9)*(Z121+4.27*O121))/SUMIF('4店辅助表'!AP:AP,B:B,'4店辅助表'!AR:AR),"-")</f>
        <v>0.193168711099124</v>
      </c>
      <c r="AJ121" s="100">
        <f t="shared" si="57"/>
        <v>0.0381977477255832</v>
      </c>
      <c r="AK121" s="101">
        <f t="shared" si="58"/>
        <v>55</v>
      </c>
      <c r="AL121" s="101">
        <f t="shared" si="59"/>
        <v>99</v>
      </c>
      <c r="AM121" s="1" t="str">
        <f>VLOOKUP(B:B,'4店辅助表'!AZ:AZ,1,FALSE)</f>
        <v>Y4084-DB+Y4085+Y4086</v>
      </c>
      <c r="AN121" t="str">
        <f>VLOOKUP(B:B,'4店辅助表'!AZ:BB,3,FALSE)</f>
        <v>US</v>
      </c>
    </row>
    <row r="122" customHeight="1" spans="1:40">
      <c r="A122" s="58" t="str">
        <f>INDEX('[1]4店'!$A:$A,MATCH(B:B,'[1]4店'!$B:$B,0))</f>
        <v>美珠</v>
      </c>
      <c r="B122" s="45" t="s">
        <v>1571</v>
      </c>
      <c r="C122" s="45" t="s">
        <v>1567</v>
      </c>
      <c r="D122" s="59">
        <f>VLOOKUP(B:B,'[1]4店'!$B:$L,3,0)</f>
        <v>45181</v>
      </c>
      <c r="E122" s="45" t="s">
        <v>1572</v>
      </c>
      <c r="F122" s="45">
        <v>23</v>
      </c>
      <c r="G122" s="45">
        <v>0</v>
      </c>
      <c r="H122" s="45">
        <v>0</v>
      </c>
      <c r="I122" s="45">
        <v>0</v>
      </c>
      <c r="J122" s="45">
        <v>0</v>
      </c>
      <c r="K122" s="63">
        <f t="shared" si="49"/>
        <v>23</v>
      </c>
      <c r="L122" s="64">
        <v>11</v>
      </c>
      <c r="M122" s="44">
        <f t="shared" si="48"/>
        <v>253</v>
      </c>
      <c r="N122" s="65">
        <f>IFERROR(VLOOKUP(B:B,'4店辅助表'!B:C,2,FALSE),0)</f>
        <v>3</v>
      </c>
      <c r="O122" s="65">
        <f>IFERROR(VLOOKUP(B:B,'4店辅助表'!E:F,2,FALSE),0)</f>
        <v>5</v>
      </c>
      <c r="P122" s="65">
        <f>IFERROR(VLOOKUP(B:B,'4店辅助表'!H:I,2,FALSE),0)</f>
        <v>6</v>
      </c>
      <c r="Q122" s="65">
        <f>IFERROR(VLOOKUP(B:B,'[1]4店'!$B:$N,13,FALSE),0)</f>
        <v>2</v>
      </c>
      <c r="R122" s="79">
        <f t="shared" si="50"/>
        <v>1</v>
      </c>
      <c r="S122" s="80">
        <f t="shared" si="51"/>
        <v>71.7326732673267</v>
      </c>
      <c r="T122" s="44">
        <f t="shared" si="52"/>
        <v>2.39108910891089</v>
      </c>
      <c r="U122" s="44">
        <f>IFERROR(VLOOKUP($B:$B,'[1]4店'!$B:$T,19,0),"-")</f>
        <v>5.20183486238532</v>
      </c>
      <c r="V122" s="81">
        <f t="shared" si="53"/>
        <v>-2.81074575347443</v>
      </c>
      <c r="W122" s="82" t="str">
        <f t="shared" si="54"/>
        <v>库存过高</v>
      </c>
      <c r="X122" s="83" t="str">
        <f t="shared" si="55"/>
        <v>库存过高</v>
      </c>
      <c r="Y122" s="44">
        <f>IFERROR(SUMIF('4店辅助表'!K:K,B:B,'4店辅助表'!N:N),0)</f>
        <v>8.48</v>
      </c>
      <c r="Z122" s="44">
        <f>IFERROR(SUMIF('4店辅助表'!T:T,B:B,'4店辅助表'!W:W),0)</f>
        <v>18.21</v>
      </c>
      <c r="AA122" s="44">
        <f>IFERROR(SUMIF('4店辅助表'!AC:AC,B:B,'4店辅助表'!AF:AF),0)</f>
        <v>37.21</v>
      </c>
      <c r="AB122" s="91" t="str">
        <f>IFERROR(SUMIF('4店辅助表'!K:K,B:B,'4店辅助表'!N:N)/SUMIF('4店辅助表'!K:K,B:B,'4店辅助表'!O:O),"-")</f>
        <v>-</v>
      </c>
      <c r="AC122" s="91">
        <f>IFERROR(VLOOKUP(B:B,'[1]4店'!$B:$AB,27,0),"-")</f>
        <v>0.641262509622787</v>
      </c>
      <c r="AD122" s="92" t="str">
        <f t="shared" si="56"/>
        <v>-</v>
      </c>
      <c r="AE122" s="91">
        <f>IFERROR(SUMIF('4店辅助表'!T:T,B:B,'4店辅助表'!W:W)/SUMIF('4店辅助表'!T:T,B:B,'4店辅助表'!X:X),"-")</f>
        <v>1.40184757505774</v>
      </c>
      <c r="AF122" s="91">
        <f>IFERROR(SUMIF('4店辅助表'!AC:AC,B:B,'4店辅助表'!AF:AF)/SUMIF('4店辅助表'!AC:AC,B:B,'4店辅助表'!AG:AG),"-")</f>
        <v>0.71612779060816</v>
      </c>
      <c r="AG122" s="99">
        <f>IFERROR(AK122/((SUMIF('4店辅助表'!AT:AT,B:B,'4店辅助表'!AU:AU)+M122)/2),"-")</f>
        <v>0.105956012200995</v>
      </c>
      <c r="AH122" s="99">
        <f>IFERROR(AL122/((SUMIF('4店辅助表'!AW:AW,B:B,'4店辅助表'!AX:AX)+M122)/2),"-")</f>
        <v>0.16566265060241</v>
      </c>
      <c r="AI122" s="100">
        <f>IFERROR((SUMIF('4店辅助表'!AP:AP,B:B,'4店辅助表'!AR:AR)-SUMIF('4店辅助表'!AP:AP,B:B,'4店辅助表'!AR:AR)*0.15-(L122+IFERROR(VLOOKUP(B:B,'4店辅助表'!AZ:BA,2,0),0))*O122-IF(AN:AN="US",6.85,4.9)*(Z122+4.27*O122))/SUMIF('4店辅助表'!AP:AP,B:B,'4店辅助表'!AR:AR),"-")</f>
        <v>0.0893452571601963</v>
      </c>
      <c r="AJ122" s="100">
        <f t="shared" si="57"/>
        <v>0.014801172119912</v>
      </c>
      <c r="AK122" s="101">
        <f t="shared" si="58"/>
        <v>33</v>
      </c>
      <c r="AL122" s="101">
        <f t="shared" si="59"/>
        <v>55</v>
      </c>
      <c r="AM122" s="1" t="str">
        <f>VLOOKUP(B:B,'4店辅助表'!AZ:AZ,1,FALSE)</f>
        <v>Y4084-GW+Y4085+Y4086</v>
      </c>
      <c r="AN122" t="str">
        <f>VLOOKUP(B:B,'4店辅助表'!AZ:BB,3,FALSE)</f>
        <v>US</v>
      </c>
    </row>
    <row r="123" customHeight="1" spans="1:40">
      <c r="A123" s="58" t="str">
        <f>INDEX('[1]4店'!$A:$A,MATCH(B:B,'[1]4店'!$B:$B,0))</f>
        <v>美珠</v>
      </c>
      <c r="B123" s="45" t="s">
        <v>1573</v>
      </c>
      <c r="C123" s="45" t="s">
        <v>1567</v>
      </c>
      <c r="D123" s="59">
        <f>VLOOKUP(B:B,'[1]4店'!$B:$L,3,0)</f>
        <v>45181</v>
      </c>
      <c r="E123" s="45" t="s">
        <v>1574</v>
      </c>
      <c r="F123" s="45">
        <v>34</v>
      </c>
      <c r="G123" s="45">
        <v>1</v>
      </c>
      <c r="H123" s="45">
        <v>0</v>
      </c>
      <c r="I123" s="45">
        <v>0</v>
      </c>
      <c r="J123" s="45">
        <v>0</v>
      </c>
      <c r="K123" s="63">
        <f t="shared" si="49"/>
        <v>35</v>
      </c>
      <c r="L123" s="64">
        <v>11</v>
      </c>
      <c r="M123" s="44">
        <f t="shared" si="48"/>
        <v>385</v>
      </c>
      <c r="N123" s="65">
        <f>IFERROR(VLOOKUP(B:B,'4店辅助表'!B:C,2,FALSE),0)</f>
        <v>6</v>
      </c>
      <c r="O123" s="65">
        <f>IFERROR(VLOOKUP(B:B,'4店辅助表'!E:F,2,FALSE),0)</f>
        <v>11</v>
      </c>
      <c r="P123" s="65">
        <f>IFERROR(VLOOKUP(B:B,'4店辅助表'!H:I,2,FALSE),0)</f>
        <v>17</v>
      </c>
      <c r="Q123" s="65">
        <f>IFERROR(VLOOKUP(B:B,'[1]4店'!$B:$N,13,FALSE),0)</f>
        <v>4</v>
      </c>
      <c r="R123" s="79">
        <f t="shared" si="50"/>
        <v>2</v>
      </c>
      <c r="S123" s="80">
        <f t="shared" si="51"/>
        <v>48.6754966887417</v>
      </c>
      <c r="T123" s="44">
        <f t="shared" si="52"/>
        <v>1.62251655629139</v>
      </c>
      <c r="U123" s="44">
        <f>IFERROR(VLOOKUP($B:$B,'[1]4店'!$B:$T,19,0),"-")</f>
        <v>2.53560371517028</v>
      </c>
      <c r="V123" s="81">
        <f t="shared" si="53"/>
        <v>-0.91308715887889</v>
      </c>
      <c r="W123" s="82" t="str">
        <f t="shared" si="54"/>
        <v>正常</v>
      </c>
      <c r="X123" s="83" t="str">
        <f t="shared" si="55"/>
        <v>库存过高</v>
      </c>
      <c r="Y123" s="44">
        <f>IFERROR(SUMIF('4店辅助表'!K:K,B:B,'4店辅助表'!N:N),0)</f>
        <v>11.21</v>
      </c>
      <c r="Z123" s="44">
        <f>IFERROR(SUMIF('4店辅助表'!T:T,B:B,'4店辅助表'!W:W),0)</f>
        <v>19.68</v>
      </c>
      <c r="AA123" s="44">
        <f>IFERROR(SUMIF('4店辅助表'!AC:AC,B:B,'4店辅助表'!AF:AF),0)</f>
        <v>46.71</v>
      </c>
      <c r="AB123" s="91">
        <f>IFERROR(SUMIF('4店辅助表'!K:K,B:B,'4店辅助表'!N:N)/SUMIF('4店辅助表'!K:K,B:B,'4店辅助表'!O:O),"-")</f>
        <v>0.431485758275597</v>
      </c>
      <c r="AC123" s="91">
        <f>IFERROR(VLOOKUP(B:B,'[1]4店'!$B:$AB,27,0),"-")</f>
        <v>0.598152424942263</v>
      </c>
      <c r="AD123" s="92">
        <f t="shared" si="56"/>
        <v>-0.166666666666666</v>
      </c>
      <c r="AE123" s="91">
        <f>IFERROR(SUMIF('4店辅助表'!T:T,B:B,'4店辅助表'!W:W)/SUMIF('4店辅助表'!T:T,B:B,'4店辅助表'!X:X),"-")</f>
        <v>0.505003849114704</v>
      </c>
      <c r="AF123" s="91">
        <f>IFERROR(SUMIF('4店辅助表'!AC:AC,B:B,'4店辅助表'!AF:AF)/SUMIF('4店辅助表'!AC:AC,B:B,'4店辅助表'!AG:AG),"-")</f>
        <v>0.399538106235566</v>
      </c>
      <c r="AG123" s="99">
        <f>IFERROR(AK123/((SUMIF('4店辅助表'!AT:AT,B:B,'4店辅助表'!AU:AU)+M123)/2),"-")</f>
        <v>0.143587512237572</v>
      </c>
      <c r="AH123" s="99">
        <f>IFERROR(AL123/((SUMIF('4店辅助表'!AW:AW,B:B,'4店辅助表'!AX:AX)+M123)/2),"-")</f>
        <v>0.229101580990249</v>
      </c>
      <c r="AI123" s="100">
        <f>IFERROR((SUMIF('4店辅助表'!AP:AP,B:B,'4店辅助表'!AR:AR)-SUMIF('4店辅助表'!AP:AP,B:B,'4店辅助表'!AR:AR)*0.15-(L123+IFERROR(VLOOKUP(B:B,'4店辅助表'!AZ:BA,2,0),0))*O123-IF(AN:AN="US",6.85,4.9)*(Z123+4.27*O123))/SUMIF('4店辅助表'!AP:AP,B:B,'4店辅助表'!AR:AR),"-")</f>
        <v>0.231986449685915</v>
      </c>
      <c r="AJ123" s="100">
        <f t="shared" si="57"/>
        <v>0.053148462391358</v>
      </c>
      <c r="AK123" s="101">
        <f t="shared" si="58"/>
        <v>66</v>
      </c>
      <c r="AL123" s="101">
        <f t="shared" si="59"/>
        <v>121</v>
      </c>
      <c r="AM123" s="1" t="str">
        <f>VLOOKUP(B:B,'4店辅助表'!AZ:AZ,1,FALSE)</f>
        <v>Y4084-OR+Y4085+Y4086</v>
      </c>
      <c r="AN123" t="str">
        <f>VLOOKUP(B:B,'4店辅助表'!AZ:BB,3,FALSE)</f>
        <v>US</v>
      </c>
    </row>
    <row r="124" customHeight="1" spans="1:40">
      <c r="A124" s="58" t="str">
        <f>INDEX('[1]4店'!$A:$A,MATCH(B:B,'[1]4店'!$B:$B,0))</f>
        <v>美珠</v>
      </c>
      <c r="B124" s="45" t="s">
        <v>1575</v>
      </c>
      <c r="C124" s="45" t="s">
        <v>1576</v>
      </c>
      <c r="D124" s="59">
        <f>VLOOKUP(B:B,'[1]4店'!$B:$L,3,0)</f>
        <v>45181</v>
      </c>
      <c r="E124" s="45" t="s">
        <v>1577</v>
      </c>
      <c r="F124" s="45">
        <v>29</v>
      </c>
      <c r="G124" s="45">
        <v>1</v>
      </c>
      <c r="H124" s="45">
        <v>12</v>
      </c>
      <c r="I124" s="45">
        <v>0</v>
      </c>
      <c r="J124" s="45">
        <v>0</v>
      </c>
      <c r="K124" s="63">
        <f t="shared" si="49"/>
        <v>42</v>
      </c>
      <c r="L124" s="64">
        <v>11</v>
      </c>
      <c r="M124" s="44">
        <f t="shared" si="48"/>
        <v>462</v>
      </c>
      <c r="N124" s="65">
        <f>IFERROR(VLOOKUP(B:B,'4店辅助表'!B:C,2,FALSE),0)</f>
        <v>0</v>
      </c>
      <c r="O124" s="65">
        <f>IFERROR(VLOOKUP(B:B,'4店辅助表'!E:F,2,FALSE),0)</f>
        <v>3</v>
      </c>
      <c r="P124" s="65">
        <f>IFERROR(VLOOKUP(B:B,'4店辅助表'!H:I,2,FALSE),0)</f>
        <v>10</v>
      </c>
      <c r="Q124" s="65">
        <f>IFERROR(VLOOKUP(B:B,'[1]4店'!$B:$N,13,FALSE),0)</f>
        <v>2</v>
      </c>
      <c r="R124" s="79">
        <f t="shared" si="50"/>
        <v>-2</v>
      </c>
      <c r="S124" s="80">
        <f t="shared" si="51"/>
        <v>236.25</v>
      </c>
      <c r="T124" s="44">
        <f t="shared" si="52"/>
        <v>7.875</v>
      </c>
      <c r="U124" s="44">
        <f>IFERROR(VLOOKUP($B:$B,'[1]4店'!$B:$T,19,0),"-")</f>
        <v>2.25700934579439</v>
      </c>
      <c r="V124" s="81">
        <f t="shared" si="53"/>
        <v>5.61799065420561</v>
      </c>
      <c r="W124" s="82" t="str">
        <f t="shared" si="54"/>
        <v>有库存无销量</v>
      </c>
      <c r="X124" s="83" t="str">
        <f t="shared" si="55"/>
        <v>库存过高</v>
      </c>
      <c r="Y124" s="44">
        <f>IFERROR(SUMIF('4店辅助表'!K:K,B:B,'4店辅助表'!N:N),0)</f>
        <v>5.82</v>
      </c>
      <c r="Z124" s="44">
        <f>IFERROR(SUMIF('4店辅助表'!T:T,B:B,'4店辅助表'!W:W),0)</f>
        <v>16.57</v>
      </c>
      <c r="AA124" s="44">
        <f>IFERROR(SUMIF('4店辅助表'!AC:AC,B:B,'4店辅助表'!AF:AF),0)</f>
        <v>28.28</v>
      </c>
      <c r="AB124" s="91" t="str">
        <f>IFERROR(SUMIF('4店辅助表'!K:K,B:B,'4店辅助表'!N:N)/SUMIF('4店辅助表'!K:K,B:B,'4店辅助表'!O:O),"-")</f>
        <v>-</v>
      </c>
      <c r="AC124" s="91" t="str">
        <f>IFERROR(VLOOKUP(B:B,'[1]4店'!$B:$AB,27,0),"-")</f>
        <v>-</v>
      </c>
      <c r="AD124" s="92" t="str">
        <f t="shared" si="56"/>
        <v>-</v>
      </c>
      <c r="AE124" s="91" t="str">
        <f>IFERROR(SUMIF('4店辅助表'!T:T,B:B,'4店辅助表'!W:W)/SUMIF('4店辅助表'!T:T,B:B,'4店辅助表'!X:X),"-")</f>
        <v>-</v>
      </c>
      <c r="AF124" s="91" t="str">
        <f>IFERROR(SUMIF('4店辅助表'!AC:AC,B:B,'4店辅助表'!AF:AF)/SUMIF('4店辅助表'!AC:AC,B:B,'4店辅助表'!AG:AG),"-")</f>
        <v>-</v>
      </c>
      <c r="AG124" s="99">
        <f>IFERROR(AK124/((SUMIF('4店辅助表'!AT:AT,B:B,'4店辅助表'!AU:AU)+M124)/2),"-")</f>
        <v>0</v>
      </c>
      <c r="AH124" s="99">
        <f>IFERROR(AL124/((SUMIF('4店辅助表'!AW:AW,B:B,'4店辅助表'!AX:AX)+M124)/2),"-")</f>
        <v>0.0780510879848628</v>
      </c>
      <c r="AI124" s="100">
        <f>IFERROR((SUMIF('4店辅助表'!AP:AP,B:B,'4店辅助表'!AR:AR)-SUMIF('4店辅助表'!AP:AP,B:B,'4店辅助表'!AR:AR)*0.15-(L124+IFERROR(VLOOKUP(B:B,'4店辅助表'!AZ:BA,2,0),0))*O124-IF(AN:AN="US",6.85,4.9)*(Z124+4.27*O124))/SUMIF('4店辅助表'!AP:AP,B:B,'4店辅助表'!AR:AR),"-")</f>
        <v>-0.05548409875461</v>
      </c>
      <c r="AJ124" s="100">
        <f t="shared" si="57"/>
        <v>-0.00433059427365688</v>
      </c>
      <c r="AK124" s="101">
        <f t="shared" si="58"/>
        <v>0</v>
      </c>
      <c r="AL124" s="101">
        <f t="shared" si="59"/>
        <v>33</v>
      </c>
      <c r="AM124" s="1" t="str">
        <f>VLOOKUP(B:B,'4店辅助表'!AZ:AZ,1,FALSE)</f>
        <v>Y4084-WI+Y4085+Y4086</v>
      </c>
      <c r="AN124" t="str">
        <f>VLOOKUP(B:B,'4店辅助表'!AZ:BB,3,FALSE)</f>
        <v>US</v>
      </c>
    </row>
    <row r="125" customHeight="1" spans="1:40">
      <c r="A125" s="58" t="str">
        <f>INDEX('[1]4店'!$A:$A,MATCH(B:B,'[1]4店'!$B:$B,0))</f>
        <v>美珠</v>
      </c>
      <c r="B125" s="45" t="s">
        <v>1578</v>
      </c>
      <c r="C125" s="45" t="s">
        <v>1579</v>
      </c>
      <c r="D125" s="59">
        <f>VLOOKUP(B:B,'[1]4店'!$B:$L,3,0)</f>
        <v>45181</v>
      </c>
      <c r="E125" s="45" t="s">
        <v>1580</v>
      </c>
      <c r="F125" s="45">
        <v>21</v>
      </c>
      <c r="G125" s="45">
        <v>0</v>
      </c>
      <c r="H125" s="45">
        <v>0</v>
      </c>
      <c r="I125" s="45">
        <v>1</v>
      </c>
      <c r="J125" s="45">
        <v>0</v>
      </c>
      <c r="K125" s="63">
        <f t="shared" si="49"/>
        <v>22</v>
      </c>
      <c r="L125" s="64">
        <v>11</v>
      </c>
      <c r="M125" s="44">
        <f t="shared" si="48"/>
        <v>242</v>
      </c>
      <c r="N125" s="65">
        <f>IFERROR(VLOOKUP(B:B,'4店辅助表'!B:C,2,FALSE),0)</f>
        <v>9</v>
      </c>
      <c r="O125" s="65">
        <f>IFERROR(VLOOKUP(B:B,'4店辅助表'!E:F,2,FALSE),0)</f>
        <v>25</v>
      </c>
      <c r="P125" s="65">
        <f>IFERROR(VLOOKUP(B:B,'4店辅助表'!H:I,2,FALSE),0)</f>
        <v>30</v>
      </c>
      <c r="Q125" s="65">
        <f>IFERROR(VLOOKUP(B:B,'[1]4店'!$B:$N,13,FALSE),0)</f>
        <v>16</v>
      </c>
      <c r="R125" s="79">
        <f t="shared" si="50"/>
        <v>-7</v>
      </c>
      <c r="S125" s="80">
        <f t="shared" si="51"/>
        <v>16.6987951807229</v>
      </c>
      <c r="T125" s="44">
        <f t="shared" si="52"/>
        <v>0.556626506024096</v>
      </c>
      <c r="U125" s="44">
        <f>IFERROR(VLOOKUP($B:$B,'[1]4店'!$B:$T,19,0),"-")</f>
        <v>0.833517089305402</v>
      </c>
      <c r="V125" s="81">
        <f t="shared" si="53"/>
        <v>-0.276890583281306</v>
      </c>
      <c r="W125" s="82" t="str">
        <f t="shared" si="54"/>
        <v>正常</v>
      </c>
      <c r="X125" s="83" t="str">
        <f t="shared" si="55"/>
        <v>正常</v>
      </c>
      <c r="Y125" s="44">
        <f>IFERROR(SUMIF('4店辅助表'!K:K,B:B,'4店辅助表'!N:N),0)</f>
        <v>2.57</v>
      </c>
      <c r="Z125" s="44">
        <f>IFERROR(SUMIF('4店辅助表'!T:T,B:B,'4店辅助表'!W:W),0)</f>
        <v>7.06</v>
      </c>
      <c r="AA125" s="44">
        <f>IFERROR(SUMIF('4店辅助表'!AC:AC,B:B,'4店辅助表'!AF:AF),0)</f>
        <v>12.79</v>
      </c>
      <c r="AB125" s="91" t="str">
        <f>IFERROR(SUMIF('4店辅助表'!K:K,B:B,'4店辅助表'!N:N)/SUMIF('4店辅助表'!K:K,B:B,'4店辅助表'!O:O),"-")</f>
        <v>-</v>
      </c>
      <c r="AC125" s="91">
        <f>IFERROR(VLOOKUP(B:B,'[1]4店'!$B:$AB,27,0),"-")</f>
        <v>0.150542118432027</v>
      </c>
      <c r="AD125" s="92" t="str">
        <f t="shared" si="56"/>
        <v>-</v>
      </c>
      <c r="AE125" s="91">
        <f>IFERROR(SUMIF('4店辅助表'!T:T,B:B,'4店辅助表'!W:W)/SUMIF('4店辅助表'!T:T,B:B,'4店辅助表'!X:X),"-")</f>
        <v>0.29441201000834</v>
      </c>
      <c r="AF125" s="91">
        <f>IFERROR(SUMIF('4店辅助表'!AC:AC,B:B,'4店辅助表'!AF:AF)/SUMIF('4店辅助表'!AC:AC,B:B,'4店辅助表'!AG:AG),"-")</f>
        <v>0.256004803843074</v>
      </c>
      <c r="AG125" s="99">
        <f>IFERROR(AK125/((SUMIF('4店辅助表'!AT:AT,B:B,'4店辅助表'!AU:AU)+M125)/2),"-")</f>
        <v>0.269314472252448</v>
      </c>
      <c r="AH125" s="99">
        <f>IFERROR(AL125/((SUMIF('4店辅助表'!AW:AW,B:B,'4店辅助表'!AX:AX)+M125)/2),"-")</f>
        <v>0.593311758360302</v>
      </c>
      <c r="AI125" s="100">
        <f>IFERROR((SUMIF('4店辅助表'!AP:AP,B:B,'4店辅助表'!AR:AR)-SUMIF('4店辅助表'!AP:AP,B:B,'4店辅助表'!AR:AR)*0.15-(L125+IFERROR(VLOOKUP(B:B,'4店辅助表'!AZ:BA,2,0),0))*O125-IF(AN:AN="US",6.85,4.9)*(Z125+4.27*O125))/SUMIF('4店辅助表'!AP:AP,B:B,'4店辅助表'!AR:AR),"-")</f>
        <v>0.322369242573461</v>
      </c>
      <c r="AJ125" s="100">
        <f t="shared" si="57"/>
        <v>0.191265462152539</v>
      </c>
      <c r="AK125" s="101">
        <f t="shared" si="58"/>
        <v>99</v>
      </c>
      <c r="AL125" s="101">
        <f t="shared" si="59"/>
        <v>275</v>
      </c>
      <c r="AM125" s="1" t="str">
        <f>VLOOKUP(B:B,'4店辅助表'!AZ:AZ,1,FALSE)</f>
        <v>Y4081-BL+Y4082+Y4083</v>
      </c>
      <c r="AN125" t="str">
        <f>VLOOKUP(B:B,'4店辅助表'!AZ:BB,3,FALSE)</f>
        <v>US</v>
      </c>
    </row>
    <row r="126" customHeight="1" spans="1:40">
      <c r="A126" s="58" t="str">
        <f>INDEX('[1]4店'!$A:$A,MATCH(B:B,'[1]4店'!$B:$B,0))</f>
        <v>美珠</v>
      </c>
      <c r="B126" s="45" t="s">
        <v>1581</v>
      </c>
      <c r="C126" s="45" t="s">
        <v>1582</v>
      </c>
      <c r="D126" s="59">
        <f>VLOOKUP(B:B,'[1]4店'!$B:$L,3,0)</f>
        <v>45181</v>
      </c>
      <c r="E126" s="45" t="s">
        <v>1583</v>
      </c>
      <c r="F126" s="45">
        <v>40</v>
      </c>
      <c r="G126" s="45">
        <v>0</v>
      </c>
      <c r="H126" s="45">
        <v>0</v>
      </c>
      <c r="I126" s="45">
        <v>0</v>
      </c>
      <c r="J126" s="45">
        <v>0</v>
      </c>
      <c r="K126" s="63">
        <f t="shared" si="49"/>
        <v>40</v>
      </c>
      <c r="L126" s="64">
        <v>11</v>
      </c>
      <c r="M126" s="44">
        <f t="shared" si="48"/>
        <v>440</v>
      </c>
      <c r="N126" s="65">
        <f>IFERROR(VLOOKUP(B:B,'4店辅助表'!B:C,2,FALSE),0)</f>
        <v>4</v>
      </c>
      <c r="O126" s="65">
        <f>IFERROR(VLOOKUP(B:B,'4店辅助表'!E:F,2,FALSE),0)</f>
        <v>8</v>
      </c>
      <c r="P126" s="65">
        <f>IFERROR(VLOOKUP(B:B,'4店辅助表'!H:I,2,FALSE),0)</f>
        <v>9</v>
      </c>
      <c r="Q126" s="65">
        <f>IFERROR(VLOOKUP(B:B,'[1]4店'!$B:$N,13,FALSE),0)</f>
        <v>2</v>
      </c>
      <c r="R126" s="79">
        <f t="shared" si="50"/>
        <v>2</v>
      </c>
      <c r="S126" s="80">
        <f t="shared" si="51"/>
        <v>85.4237288135593</v>
      </c>
      <c r="T126" s="44">
        <f t="shared" si="52"/>
        <v>2.84745762711864</v>
      </c>
      <c r="U126" s="44">
        <f>IFERROR(VLOOKUP($B:$B,'[1]4店'!$B:$T,19,0),"-")</f>
        <v>5.37209302325581</v>
      </c>
      <c r="V126" s="81">
        <f t="shared" si="53"/>
        <v>-2.52463539613717</v>
      </c>
      <c r="W126" s="82" t="str">
        <f t="shared" si="54"/>
        <v>库存过高</v>
      </c>
      <c r="X126" s="83" t="str">
        <f t="shared" si="55"/>
        <v>库存过高</v>
      </c>
      <c r="Y126" s="44">
        <f>IFERROR(SUMIF('4店辅助表'!K:K,B:B,'4店辅助表'!N:N),0)</f>
        <v>3.35</v>
      </c>
      <c r="Z126" s="44">
        <f>IFERROR(SUMIF('4店辅助表'!T:T,B:B,'4店辅助表'!W:W),0)</f>
        <v>6.53</v>
      </c>
      <c r="AA126" s="44">
        <f>IFERROR(SUMIF('4店辅助表'!AC:AC,B:B,'4店辅助表'!AF:AF),0)</f>
        <v>10.26</v>
      </c>
      <c r="AB126" s="91">
        <f>IFERROR(SUMIF('4店辅助表'!K:K,B:B,'4店辅助表'!N:N)/SUMIF('4店辅助表'!K:K,B:B,'4店辅助表'!O:O),"-")</f>
        <v>0.257890685142417</v>
      </c>
      <c r="AC126" s="91" t="str">
        <f>IFERROR(VLOOKUP(B:B,'[1]4店'!$B:$AB,27,0),"-")</f>
        <v>-</v>
      </c>
      <c r="AD126" s="92" t="str">
        <f t="shared" si="56"/>
        <v>-</v>
      </c>
      <c r="AE126" s="91">
        <f>IFERROR(SUMIF('4店辅助表'!T:T,B:B,'4店辅助表'!W:W)/SUMIF('4店辅助表'!T:T,B:B,'4店辅助表'!X:X),"-")</f>
        <v>0.251347190146266</v>
      </c>
      <c r="AF126" s="91">
        <f>IFERROR(SUMIF('4店辅助表'!AC:AC,B:B,'4店辅助表'!AF:AF)/SUMIF('4店辅助表'!AC:AC,B:B,'4店辅助表'!AG:AG),"-")</f>
        <v>0.394919168591224</v>
      </c>
      <c r="AG126" s="99">
        <f>IFERROR(AK126/((SUMIF('4店辅助表'!AT:AT,B:B,'4店辅助表'!AU:AU)+M126)/2),"-")</f>
        <v>0.0843881856540084</v>
      </c>
      <c r="AH126" s="99">
        <f>IFERROR(AL126/((SUMIF('4店辅助表'!AW:AW,B:B,'4店辅助表'!AX:AX)+M126)/2),"-")</f>
        <v>0.158373076576982</v>
      </c>
      <c r="AI126" s="100">
        <f>IFERROR((SUMIF('4店辅助表'!AP:AP,B:B,'4店辅助表'!AR:AR)-SUMIF('4店辅助表'!AP:AP,B:B,'4店辅助表'!AR:AR)*0.15-(L126+IFERROR(VLOOKUP(B:B,'4店辅助表'!AZ:BA,2,0),0))*O126-IF(AN:AN="US",6.85,4.9)*(Z126+4.27*O126))/SUMIF('4店辅助表'!AP:AP,B:B,'4店辅助表'!AR:AR),"-")</f>
        <v>0.306877974635177</v>
      </c>
      <c r="AJ126" s="100">
        <f t="shared" si="57"/>
        <v>0.048601208976686</v>
      </c>
      <c r="AK126" s="101">
        <f t="shared" si="58"/>
        <v>44</v>
      </c>
      <c r="AL126" s="101">
        <f t="shared" si="59"/>
        <v>88</v>
      </c>
      <c r="AM126" s="1" t="str">
        <f>VLOOKUP(B:B,'4店辅助表'!AZ:AZ,1,FALSE)</f>
        <v>Y4081-DB+Y4082+Y4083</v>
      </c>
      <c r="AN126" t="str">
        <f>VLOOKUP(B:B,'4店辅助表'!AZ:BB,3,FALSE)</f>
        <v>US</v>
      </c>
    </row>
    <row r="127" customHeight="1" spans="1:40">
      <c r="A127" s="58" t="str">
        <f>INDEX('[1]4店'!$A:$A,MATCH(B:B,'[1]4店'!$B:$B,0))</f>
        <v>美珠</v>
      </c>
      <c r="B127" s="45" t="s">
        <v>1584</v>
      </c>
      <c r="C127" s="45" t="s">
        <v>1582</v>
      </c>
      <c r="D127" s="59">
        <f>VLOOKUP(B:B,'[1]4店'!$B:$L,3,0)</f>
        <v>45181</v>
      </c>
      <c r="E127" s="45" t="s">
        <v>1585</v>
      </c>
      <c r="F127" s="45">
        <v>25</v>
      </c>
      <c r="G127" s="45">
        <v>0</v>
      </c>
      <c r="H127" s="45">
        <v>0</v>
      </c>
      <c r="I127" s="45">
        <v>0</v>
      </c>
      <c r="J127" s="45">
        <v>0</v>
      </c>
      <c r="K127" s="63">
        <f t="shared" ref="K127:K149" si="60">F127+G127+H127+I127+J127</f>
        <v>25</v>
      </c>
      <c r="L127" s="64">
        <v>11</v>
      </c>
      <c r="M127" s="44">
        <f t="shared" si="48"/>
        <v>275</v>
      </c>
      <c r="N127" s="65">
        <f>IFERROR(VLOOKUP(B:B,'4店辅助表'!B:C,2,FALSE),0)</f>
        <v>1</v>
      </c>
      <c r="O127" s="65">
        <f>IFERROR(VLOOKUP(B:B,'4店辅助表'!E:F,2,FALSE),0)</f>
        <v>4</v>
      </c>
      <c r="P127" s="65">
        <f>IFERROR(VLOOKUP(B:B,'4店辅助表'!H:I,2,FALSE),0)</f>
        <v>5</v>
      </c>
      <c r="Q127" s="65">
        <f>IFERROR(VLOOKUP(B:B,'[1]4店'!$B:$N,13,FALSE),0)</f>
        <v>3</v>
      </c>
      <c r="R127" s="79">
        <f t="shared" ref="R127:R149" si="61">N127-Q127</f>
        <v>-2</v>
      </c>
      <c r="S127" s="80">
        <f t="shared" ref="S127:S149" si="62">IFERROR(K127/((N127/7+O127/15+P127/30)/3),"-")</f>
        <v>130.165289256198</v>
      </c>
      <c r="T127" s="44">
        <f t="shared" ref="T127:T149" si="63">IFERROR(S127/30,"-")</f>
        <v>4.33884297520661</v>
      </c>
      <c r="U127" s="44">
        <f>IFERROR(VLOOKUP($B:$B,'[1]4店'!$B:$T,19,0),"-")</f>
        <v>3.37931034482759</v>
      </c>
      <c r="V127" s="81">
        <f t="shared" ref="V127:V149" si="64">IFERROR(T127-U127,"-")</f>
        <v>0.95953263037902</v>
      </c>
      <c r="W127" s="82" t="str">
        <f t="shared" ref="W127:W149" si="65">_xlfn.IFS(AND(D127&lt;&gt;0,D127-$AM$2&gt;=0,B127&gt;0,D127&lt;&gt;0),"本月刚到货",AND(IFERROR((K127/(N127/7))/30,"-")="-",K127&gt;0),"有库存无销量",AND(IFERROR((K127/(N127/7))/30,"-")="-",K127=0),"无库存无销量",AND(IFERROR((K127/(N127/7))/30,"-")&lt;=0.5,K127=0),"无库存有销量",IFERROR((K127/(N127/7))/30,"-")&lt;=0.5,"库存过低",IFERROR((K127/(N127/7))/30,"-")&lt;=1.5,"正常",IFERROR((K127/(N127/7))/30,"-")&gt;1.5,"库存过高")</f>
        <v>库存过高</v>
      </c>
      <c r="X127" s="83" t="str">
        <f t="shared" ref="X127:X149" si="66">_xlfn.IFS(AND(D127&lt;&gt;0,D127-$AM$2&gt;=0,K127&gt;0,D127&lt;&gt;0),"本月刚到货",AND(T127="-",K127&gt;0),"有库存无销量",AND(T127="-",K127=0),"无库存无销量",AND(T127&lt;=0.5,K127=0),"无库存有销量",T127&lt;=0.5,"库存过低",T127&lt;=1.5,"正常",T127&gt;1.5,"库存过高")</f>
        <v>库存过高</v>
      </c>
      <c r="Y127" s="44">
        <f>IFERROR(SUMIF('4店辅助表'!K:K,B:B,'4店辅助表'!N:N),0)</f>
        <v>3.81</v>
      </c>
      <c r="Z127" s="44">
        <f>IFERROR(SUMIF('4店辅助表'!T:T,B:B,'4店辅助表'!W:W),0)</f>
        <v>6.96</v>
      </c>
      <c r="AA127" s="44">
        <f>IFERROR(SUMIF('4店辅助表'!AC:AC,B:B,'4店辅助表'!AF:AF),0)</f>
        <v>10.91</v>
      </c>
      <c r="AB127" s="91">
        <f>IFERROR(SUMIF('4店辅助表'!K:K,B:B,'4店辅助表'!N:N)/SUMIF('4店辅助表'!K:K,B:B,'4店辅助表'!O:O),"-")</f>
        <v>0.293302540415704</v>
      </c>
      <c r="AC127" s="91" t="str">
        <f>IFERROR(VLOOKUP(B:B,'[1]4店'!$B:$AB,27,0),"-")</f>
        <v>-</v>
      </c>
      <c r="AD127" s="92" t="str">
        <f t="shared" ref="AD127:AD149" si="67">IFERROR(AB127-AC127,"-")</f>
        <v>-</v>
      </c>
      <c r="AE127" s="91">
        <f>IFERROR(SUMIF('4店辅助表'!T:T,B:B,'4店辅助表'!W:W)/SUMIF('4店辅助表'!T:T,B:B,'4店辅助表'!X:X),"-")</f>
        <v>0.535796766743649</v>
      </c>
      <c r="AF127" s="91">
        <f>IFERROR(SUMIF('4店辅助表'!AC:AC,B:B,'4店辅助表'!AF:AF)/SUMIF('4店辅助表'!AC:AC,B:B,'4店辅助表'!AG:AG),"-")</f>
        <v>0.839876828329484</v>
      </c>
      <c r="AG127" s="99">
        <f>IFERROR(AK127/((SUMIF('4店辅助表'!AT:AT,B:B,'4店辅助表'!AU:AU)+M127)/2),"-")</f>
        <v>0.0334041907075615</v>
      </c>
      <c r="AH127" s="99">
        <f>IFERROR(AL127/((SUMIF('4店辅助表'!AW:AW,B:B,'4店辅助表'!AX:AX)+M127)/2),"-")</f>
        <v>0.128279883381924</v>
      </c>
      <c r="AI127" s="100">
        <f>IFERROR((SUMIF('4店辅助表'!AP:AP,B:B,'4店辅助表'!AR:AR)-SUMIF('4店辅助表'!AP:AP,B:B,'4店辅助表'!AR:AR)*0.15-(L127+IFERROR(VLOOKUP(B:B,'4店辅助表'!AZ:BA,2,0),0))*O127-IF(AN:AN="US",6.85,4.9)*(Z127+4.27*O127))/SUMIF('4店辅助表'!AP:AP,B:B,'4店辅助表'!AR:AR),"-")</f>
        <v>0.184536688116009</v>
      </c>
      <c r="AJ127" s="100">
        <f t="shared" ref="AJ127:AJ149" si="68">IFERROR(AH127*AI127,"-")</f>
        <v>0.0236723448312082</v>
      </c>
      <c r="AK127" s="101">
        <f t="shared" ref="AK127:AK149" si="69">N127*$L127</f>
        <v>11</v>
      </c>
      <c r="AL127" s="101">
        <f t="shared" ref="AL127:AL149" si="70">O127*$L127</f>
        <v>44</v>
      </c>
      <c r="AM127" s="1" t="str">
        <f>VLOOKUP(B:B,'4店辅助表'!AZ:AZ,1,FALSE)</f>
        <v>Y4081-GW+Y4082+Y4083</v>
      </c>
      <c r="AN127" t="str">
        <f>VLOOKUP(B:B,'4店辅助表'!AZ:BB,3,FALSE)</f>
        <v>US</v>
      </c>
    </row>
    <row r="128" customHeight="1" spans="1:40">
      <c r="A128" s="58" t="str">
        <f>INDEX('[1]4店'!$A:$A,MATCH(B:B,'[1]4店'!$B:$B,0))</f>
        <v>美珠</v>
      </c>
      <c r="B128" s="45" t="s">
        <v>1586</v>
      </c>
      <c r="C128" s="45" t="s">
        <v>1579</v>
      </c>
      <c r="D128" s="59">
        <f>VLOOKUP(B:B,'[1]4店'!$B:$L,3,0)</f>
        <v>45181</v>
      </c>
      <c r="E128" s="45" t="s">
        <v>1587</v>
      </c>
      <c r="F128" s="45">
        <v>39</v>
      </c>
      <c r="G128" s="45">
        <v>0</v>
      </c>
      <c r="H128" s="45">
        <v>0</v>
      </c>
      <c r="I128" s="45">
        <v>0</v>
      </c>
      <c r="J128" s="45">
        <v>0</v>
      </c>
      <c r="K128" s="63">
        <f t="shared" si="60"/>
        <v>39</v>
      </c>
      <c r="L128" s="64">
        <v>11</v>
      </c>
      <c r="M128" s="44">
        <f t="shared" si="48"/>
        <v>429</v>
      </c>
      <c r="N128" s="65">
        <f>IFERROR(VLOOKUP(B:B,'4店辅助表'!B:C,2,FALSE),0)</f>
        <v>4</v>
      </c>
      <c r="O128" s="65">
        <f>IFERROR(VLOOKUP(B:B,'4店辅助表'!E:F,2,FALSE),0)</f>
        <v>9</v>
      </c>
      <c r="P128" s="65">
        <f>IFERROR(VLOOKUP(B:B,'4店辅助表'!H:I,2,FALSE),0)</f>
        <v>11</v>
      </c>
      <c r="Q128" s="65">
        <f>IFERROR(VLOOKUP(B:B,'[1]4店'!$B:$N,13,FALSE),0)</f>
        <v>5</v>
      </c>
      <c r="R128" s="79">
        <f t="shared" si="61"/>
        <v>-1</v>
      </c>
      <c r="S128" s="80">
        <f t="shared" si="62"/>
        <v>76.0681114551084</v>
      </c>
      <c r="T128" s="44">
        <f t="shared" si="63"/>
        <v>2.53560371517028</v>
      </c>
      <c r="U128" s="44">
        <f>IFERROR(VLOOKUP($B:$B,'[1]4店'!$B:$T,19,0),"-")</f>
        <v>3.26501766784452</v>
      </c>
      <c r="V128" s="81">
        <f t="shared" si="64"/>
        <v>-0.72941395267424</v>
      </c>
      <c r="W128" s="82" t="str">
        <f t="shared" si="65"/>
        <v>库存过高</v>
      </c>
      <c r="X128" s="83" t="str">
        <f t="shared" si="66"/>
        <v>库存过高</v>
      </c>
      <c r="Y128" s="44">
        <f>IFERROR(SUMIF('4店辅助表'!K:K,B:B,'4店辅助表'!N:N),0)</f>
        <v>7.98</v>
      </c>
      <c r="Z128" s="44">
        <f>IFERROR(SUMIF('4店辅助表'!T:T,B:B,'4店辅助表'!W:W),0)</f>
        <v>13.28</v>
      </c>
      <c r="AA128" s="44">
        <f>IFERROR(SUMIF('4店辅助表'!AC:AC,B:B,'4店辅助表'!AF:AF),0)</f>
        <v>16.59</v>
      </c>
      <c r="AB128" s="91" t="str">
        <f>IFERROR(SUMIF('4店辅助表'!K:K,B:B,'4店辅助表'!N:N)/SUMIF('4店辅助表'!K:K,B:B,'4店辅助表'!O:O),"-")</f>
        <v>-</v>
      </c>
      <c r="AC128" s="91">
        <f>IFERROR(VLOOKUP(B:B,'[1]4店'!$B:$AB,27,0),"-")</f>
        <v>0.0930640913081651</v>
      </c>
      <c r="AD128" s="92" t="str">
        <f t="shared" si="67"/>
        <v>-</v>
      </c>
      <c r="AE128" s="91">
        <f>IFERROR(SUMIF('4店辅助表'!T:T,B:B,'4店辅助表'!W:W)/SUMIF('4店辅助表'!T:T,B:B,'4店辅助表'!X:X),"-")</f>
        <v>0.233187006145742</v>
      </c>
      <c r="AF128" s="91">
        <f>IFERROR(SUMIF('4店辅助表'!AC:AC,B:B,'4店辅助表'!AF:AF)/SUMIF('4店辅助表'!AC:AC,B:B,'4店辅助表'!AG:AG),"-")</f>
        <v>0.200048233449897</v>
      </c>
      <c r="AG128" s="99">
        <f>IFERROR(AK128/((SUMIF('4店辅助表'!AT:AT,B:B,'4店辅助表'!AU:AU)+M128)/2),"-")</f>
        <v>0.0852878464818763</v>
      </c>
      <c r="AH128" s="99">
        <f>IFERROR(AL128/((SUMIF('4店辅助表'!AW:AW,B:B,'4店辅助表'!AX:AX)+M128)/2),"-")</f>
        <v>0.177737881508079</v>
      </c>
      <c r="AI128" s="100">
        <f>IFERROR((SUMIF('4店辅助表'!AP:AP,B:B,'4店辅助表'!AR:AR)-SUMIF('4店辅助表'!AP:AP,B:B,'4店辅助表'!AR:AR)*0.15-(L128+IFERROR(VLOOKUP(B:B,'4店辅助表'!AZ:BA,2,0),0))*O128-IF(AN:AN="US",6.85,4.9)*(Z128+4.27*O128))/SUMIF('4店辅助表'!AP:AP,B:B,'4店辅助表'!AR:AR),"-")</f>
        <v>0.155142654269401</v>
      </c>
      <c r="AJ128" s="100">
        <f t="shared" si="68"/>
        <v>0.0275747267013837</v>
      </c>
      <c r="AK128" s="101">
        <f t="shared" si="69"/>
        <v>44</v>
      </c>
      <c r="AL128" s="101">
        <f t="shared" si="70"/>
        <v>99</v>
      </c>
      <c r="AM128" s="1" t="str">
        <f>VLOOKUP(B:B,'4店辅助表'!AZ:AZ,1,FALSE)</f>
        <v>Y4081-OR+Y4082+Y4083</v>
      </c>
      <c r="AN128" t="str">
        <f>VLOOKUP(B:B,'4店辅助表'!AZ:BB,3,FALSE)</f>
        <v>US</v>
      </c>
    </row>
    <row r="129" customHeight="1" spans="1:40">
      <c r="A129" s="58" t="str">
        <f>INDEX('[1]4店'!$A:$A,MATCH(B:B,'[1]4店'!$B:$B,0))</f>
        <v>美珠</v>
      </c>
      <c r="B129" s="45" t="s">
        <v>1588</v>
      </c>
      <c r="C129" s="45" t="s">
        <v>1579</v>
      </c>
      <c r="D129" s="59">
        <f>VLOOKUP(B:B,'[1]4店'!$B:$L,3,0)</f>
        <v>45181</v>
      </c>
      <c r="E129" s="45" t="s">
        <v>1589</v>
      </c>
      <c r="F129" s="45">
        <v>26</v>
      </c>
      <c r="G129" s="45">
        <v>0</v>
      </c>
      <c r="H129" s="45">
        <v>15</v>
      </c>
      <c r="I129" s="45">
        <v>0</v>
      </c>
      <c r="J129" s="45">
        <v>0</v>
      </c>
      <c r="K129" s="63">
        <f t="shared" si="60"/>
        <v>41</v>
      </c>
      <c r="L129" s="64">
        <v>11</v>
      </c>
      <c r="M129" s="44">
        <f t="shared" si="48"/>
        <v>451</v>
      </c>
      <c r="N129" s="65">
        <f>IFERROR(VLOOKUP(B:B,'4店辅助表'!B:C,2,FALSE),0)</f>
        <v>1</v>
      </c>
      <c r="O129" s="65">
        <f>IFERROR(VLOOKUP(B:B,'4店辅助表'!E:F,2,FALSE),0)</f>
        <v>5</v>
      </c>
      <c r="P129" s="65">
        <f>IFERROR(VLOOKUP(B:B,'4店辅助表'!H:I,2,FALSE),0)</f>
        <v>8</v>
      </c>
      <c r="Q129" s="65">
        <f>IFERROR(VLOOKUP(B:B,'[1]4店'!$B:$N,13,FALSE),0)</f>
        <v>4</v>
      </c>
      <c r="R129" s="79">
        <f t="shared" si="61"/>
        <v>-3</v>
      </c>
      <c r="S129" s="80">
        <f t="shared" si="62"/>
        <v>165.576923076923</v>
      </c>
      <c r="T129" s="44">
        <f t="shared" si="63"/>
        <v>5.51923076923077</v>
      </c>
      <c r="U129" s="44">
        <f>IFERROR(VLOOKUP($B:$B,'[1]4店'!$B:$T,19,0),"-")</f>
        <v>1.80898876404494</v>
      </c>
      <c r="V129" s="81">
        <f t="shared" si="64"/>
        <v>3.71024200518583</v>
      </c>
      <c r="W129" s="82" t="str">
        <f t="shared" si="65"/>
        <v>库存过高</v>
      </c>
      <c r="X129" s="83" t="str">
        <f t="shared" si="66"/>
        <v>库存过高</v>
      </c>
      <c r="Y129" s="44">
        <f>IFERROR(SUMIF('4店辅助表'!K:K,B:B,'4店辅助表'!N:N),0)</f>
        <v>6.67</v>
      </c>
      <c r="Z129" s="44">
        <f>IFERROR(SUMIF('4店辅助表'!T:T,B:B,'4店辅助表'!W:W),0)</f>
        <v>13.83</v>
      </c>
      <c r="AA129" s="44">
        <f>IFERROR(SUMIF('4店辅助表'!AC:AC,B:B,'4店辅助表'!AF:AF),0)</f>
        <v>21.79</v>
      </c>
      <c r="AB129" s="91" t="str">
        <f>IFERROR(SUMIF('4店辅助表'!K:K,B:B,'4店辅助表'!N:N)/SUMIF('4店辅助表'!K:K,B:B,'4店辅助表'!O:O),"-")</f>
        <v>-</v>
      </c>
      <c r="AC129" s="91">
        <f>IFERROR(VLOOKUP(B:B,'[1]4店'!$B:$AB,27,0),"-")</f>
        <v>0.178438661710037</v>
      </c>
      <c r="AD129" s="92" t="str">
        <f t="shared" si="67"/>
        <v>-</v>
      </c>
      <c r="AE129" s="91">
        <f>IFERROR(SUMIF('4店辅助表'!T:T,B:B,'4店辅助表'!W:W)/SUMIF('4店辅助表'!T:T,B:B,'4店辅助表'!X:X),"-")</f>
        <v>0.395481841578496</v>
      </c>
      <c r="AF129" s="91">
        <f>IFERROR(SUMIF('4店辅助表'!AC:AC,B:B,'4店辅助表'!AF:AF)/SUMIF('4店辅助表'!AC:AC,B:B,'4店辅助表'!AG:AG),"-")</f>
        <v>0.454336947456214</v>
      </c>
      <c r="AG129" s="99">
        <f>IFERROR(AK129/((SUMIF('4店辅助表'!AT:AT,B:B,'4店辅助表'!AU:AU)+M129)/2),"-")</f>
        <v>0.0287168776922073</v>
      </c>
      <c r="AH129" s="99">
        <f>IFERROR(AL129/((SUMIF('4店辅助表'!AW:AW,B:B,'4店辅助表'!AX:AX)+M129)/2),"-")</f>
        <v>0.129671106919722</v>
      </c>
      <c r="AI129" s="100">
        <f>IFERROR((SUMIF('4店辅助表'!AP:AP,B:B,'4店辅助表'!AR:AR)-SUMIF('4店辅助表'!AP:AP,B:B,'4店辅助表'!AR:AR)*0.15-(L129+IFERROR(VLOOKUP(B:B,'4店辅助表'!AZ:BA,2,0),0))*O129-IF(AN:AN="US",6.85,4.9)*(Z129+4.27*O129))/SUMIF('4店辅助表'!AP:AP,B:B,'4店辅助表'!AR:AR),"-")</f>
        <v>0.111287521781046</v>
      </c>
      <c r="AJ129" s="100">
        <f t="shared" si="68"/>
        <v>0.0144307761357009</v>
      </c>
      <c r="AK129" s="101">
        <f t="shared" si="69"/>
        <v>11</v>
      </c>
      <c r="AL129" s="101">
        <f t="shared" si="70"/>
        <v>55</v>
      </c>
      <c r="AM129" s="1" t="str">
        <f>VLOOKUP(B:B,'4店辅助表'!AZ:AZ,1,FALSE)</f>
        <v>Y4081-WI+Y4082+Y4083</v>
      </c>
      <c r="AN129" t="str">
        <f>VLOOKUP(B:B,'4店辅助表'!AZ:BB,3,FALSE)</f>
        <v>US</v>
      </c>
    </row>
    <row r="130" customHeight="1" spans="1:40">
      <c r="A130" s="58" t="str">
        <f>INDEX('[1]4店'!$A:$A,MATCH(B:B,'[1]4店'!$B:$B,0))</f>
        <v>美珠</v>
      </c>
      <c r="B130" s="45" t="s">
        <v>1590</v>
      </c>
      <c r="C130" s="45" t="s">
        <v>1591</v>
      </c>
      <c r="D130" s="59">
        <f>VLOOKUP(B:B,'[1]4店'!$B:$L,3,0)</f>
        <v>45181</v>
      </c>
      <c r="E130" s="45" t="s">
        <v>1592</v>
      </c>
      <c r="F130" s="45">
        <v>34</v>
      </c>
      <c r="G130" s="45">
        <v>0</v>
      </c>
      <c r="H130" s="45">
        <v>1</v>
      </c>
      <c r="I130" s="45">
        <v>0</v>
      </c>
      <c r="J130" s="45">
        <v>0</v>
      </c>
      <c r="K130" s="63">
        <f t="shared" si="60"/>
        <v>35</v>
      </c>
      <c r="L130" s="64">
        <v>11</v>
      </c>
      <c r="M130" s="44">
        <f t="shared" si="48"/>
        <v>385</v>
      </c>
      <c r="N130" s="65">
        <f>IFERROR(VLOOKUP(B:B,'4店辅助表'!B:C,2,FALSE),0)</f>
        <v>3</v>
      </c>
      <c r="O130" s="65">
        <f>IFERROR(VLOOKUP(B:B,'4店辅助表'!E:F,2,FALSE),0)</f>
        <v>7</v>
      </c>
      <c r="P130" s="65">
        <f>IFERROR(VLOOKUP(B:B,'4店辅助表'!H:I,2,FALSE),0)</f>
        <v>16</v>
      </c>
      <c r="Q130" s="65">
        <f>IFERROR(VLOOKUP(B:B,'[1]4店'!$B:$N,13,FALSE),0)</f>
        <v>4</v>
      </c>
      <c r="R130" s="79">
        <f t="shared" si="61"/>
        <v>-1</v>
      </c>
      <c r="S130" s="80">
        <f t="shared" si="62"/>
        <v>73.5</v>
      </c>
      <c r="T130" s="44">
        <f t="shared" si="63"/>
        <v>2.45</v>
      </c>
      <c r="U130" s="44">
        <f>IFERROR(VLOOKUP($B:$B,'[1]4店'!$B:$T,19,0),"-")</f>
        <v>2.49258160237389</v>
      </c>
      <c r="V130" s="81">
        <f t="shared" si="64"/>
        <v>-0.0425816023738896</v>
      </c>
      <c r="W130" s="82" t="str">
        <f t="shared" si="65"/>
        <v>库存过高</v>
      </c>
      <c r="X130" s="83" t="str">
        <f t="shared" si="66"/>
        <v>库存过高</v>
      </c>
      <c r="Y130" s="44">
        <f>IFERROR(SUMIF('4店辅助表'!K:K,B:B,'4店辅助表'!N:N),0)</f>
        <v>1.14</v>
      </c>
      <c r="Z130" s="44">
        <f>IFERROR(SUMIF('4店辅助表'!T:T,B:B,'4店辅助表'!W:W),0)</f>
        <v>3.97</v>
      </c>
      <c r="AA130" s="44">
        <f>IFERROR(SUMIF('4店辅助表'!AC:AC,B:B,'4店辅助表'!AF:AF),0)</f>
        <v>6.35</v>
      </c>
      <c r="AB130" s="91" t="str">
        <f>IFERROR(SUMIF('4店辅助表'!K:K,B:B,'4店辅助表'!N:N)/SUMIF('4店辅助表'!K:K,B:B,'4店辅助表'!O:O),"-")</f>
        <v>-</v>
      </c>
      <c r="AC130" s="91">
        <f>IFERROR(VLOOKUP(B:B,'[1]4店'!$B:$AB,27,0),"-")</f>
        <v>0.24385805277525</v>
      </c>
      <c r="AD130" s="92" t="str">
        <f t="shared" si="67"/>
        <v>-</v>
      </c>
      <c r="AE130" s="91">
        <f>IFERROR(SUMIF('4店辅助表'!T:T,B:B,'4店辅助表'!W:W)/SUMIF('4店辅助表'!T:T,B:B,'4店辅助表'!X:X),"-")</f>
        <v>0.361237488626024</v>
      </c>
      <c r="AF130" s="91">
        <f>IFERROR(SUMIF('4店辅助表'!AC:AC,B:B,'4店辅助表'!AF:AF)/SUMIF('4店辅助表'!AC:AC,B:B,'4店辅助表'!AG:AG),"-")</f>
        <v>0.127101681345076</v>
      </c>
      <c r="AG130" s="99">
        <f>IFERROR(AK130/((SUMIF('4店辅助表'!AT:AT,B:B,'4店辅助表'!AU:AU)+M130)/2),"-")</f>
        <v>0.0707395498392283</v>
      </c>
      <c r="AH130" s="99">
        <f>IFERROR(AL130/((SUMIF('4店辅助表'!AW:AW,B:B,'4店辅助表'!AX:AX)+M130)/2),"-")</f>
        <v>0.14392523364486</v>
      </c>
      <c r="AI130" s="100">
        <f>IFERROR((SUMIF('4店辅助表'!AP:AP,B:B,'4店辅助表'!AR:AR)-SUMIF('4店辅助表'!AP:AP,B:B,'4店辅助表'!AR:AR)*0.15-(L130+IFERROR(VLOOKUP(B:B,'4店辅助表'!AZ:BA,2,0),0))*O130-IF(AN:AN="US",6.85,4.9)*(Z130+4.27*O130))/SUMIF('4店辅助表'!AP:AP,B:B,'4店辅助表'!AR:AR),"-")</f>
        <v>0.286851823091922</v>
      </c>
      <c r="AJ130" s="100">
        <f t="shared" si="68"/>
        <v>0.0412852156599589</v>
      </c>
      <c r="AK130" s="101">
        <f t="shared" si="69"/>
        <v>33</v>
      </c>
      <c r="AL130" s="101">
        <f t="shared" si="70"/>
        <v>77</v>
      </c>
      <c r="AM130" s="1" t="str">
        <f>VLOOKUP(B:B,'4店辅助表'!AZ:AZ,1,FALSE)</f>
        <v>Y4078-BL+Y4079+Y4080</v>
      </c>
      <c r="AN130" t="str">
        <f>VLOOKUP(B:B,'4店辅助表'!AZ:BB,3,FALSE)</f>
        <v>US</v>
      </c>
    </row>
    <row r="131" customHeight="1" spans="1:40">
      <c r="A131" s="58" t="str">
        <f>INDEX('[1]4店'!$A:$A,MATCH(B:B,'[1]4店'!$B:$B,0))</f>
        <v>美珠</v>
      </c>
      <c r="B131" s="45" t="s">
        <v>1593</v>
      </c>
      <c r="C131" s="45" t="s">
        <v>1591</v>
      </c>
      <c r="D131" s="59">
        <f>VLOOKUP(B:B,'[1]4店'!$B:$L,3,0)</f>
        <v>45181</v>
      </c>
      <c r="E131" s="45" t="s">
        <v>1594</v>
      </c>
      <c r="F131" s="45">
        <v>40</v>
      </c>
      <c r="G131" s="45">
        <v>1</v>
      </c>
      <c r="H131" s="45">
        <v>0</v>
      </c>
      <c r="I131" s="45">
        <v>0</v>
      </c>
      <c r="J131" s="45">
        <v>0</v>
      </c>
      <c r="K131" s="63">
        <f t="shared" si="60"/>
        <v>41</v>
      </c>
      <c r="L131" s="64">
        <v>11</v>
      </c>
      <c r="M131" s="44">
        <f t="shared" si="48"/>
        <v>451</v>
      </c>
      <c r="N131" s="65">
        <f>IFERROR(VLOOKUP(B:B,'4店辅助表'!B:C,2,FALSE),0)</f>
        <v>1</v>
      </c>
      <c r="O131" s="65">
        <f>IFERROR(VLOOKUP(B:B,'4店辅助表'!E:F,2,FALSE),0)</f>
        <v>5</v>
      </c>
      <c r="P131" s="65">
        <f>IFERROR(VLOOKUP(B:B,'4店辅助表'!H:I,2,FALSE),0)</f>
        <v>9</v>
      </c>
      <c r="Q131" s="65">
        <f>IFERROR(VLOOKUP(B:B,'[1]4店'!$B:$N,13,FALSE),0)</f>
        <v>2</v>
      </c>
      <c r="R131" s="79">
        <f t="shared" si="61"/>
        <v>-1</v>
      </c>
      <c r="S131" s="80">
        <f t="shared" si="62"/>
        <v>158.466257668712</v>
      </c>
      <c r="T131" s="44">
        <f t="shared" si="63"/>
        <v>5.28220858895706</v>
      </c>
      <c r="U131" s="44">
        <f>IFERROR(VLOOKUP($B:$B,'[1]4店'!$B:$T,19,0),"-")</f>
        <v>4.15942028985507</v>
      </c>
      <c r="V131" s="81">
        <f t="shared" si="64"/>
        <v>1.12278829910199</v>
      </c>
      <c r="W131" s="82" t="str">
        <f t="shared" si="65"/>
        <v>库存过高</v>
      </c>
      <c r="X131" s="83" t="str">
        <f t="shared" si="66"/>
        <v>库存过高</v>
      </c>
      <c r="Y131" s="44">
        <f>IFERROR(SUMIF('4店辅助表'!K:K,B:B,'4店辅助表'!N:N),0)</f>
        <v>13.61</v>
      </c>
      <c r="Z131" s="44">
        <f>IFERROR(SUMIF('4店辅助表'!T:T,B:B,'4店辅助表'!W:W),0)</f>
        <v>24.06</v>
      </c>
      <c r="AA131" s="44">
        <f>IFERROR(SUMIF('4店辅助表'!AC:AC,B:B,'4店辅助表'!AF:AF),0)</f>
        <v>41.46</v>
      </c>
      <c r="AB131" s="91">
        <f>IFERROR(SUMIF('4店辅助表'!K:K,B:B,'4店辅助表'!N:N)/SUMIF('4店辅助表'!K:K,B:B,'4店辅助表'!O:O),"-")</f>
        <v>1.07503949447077</v>
      </c>
      <c r="AC131" s="91">
        <f>IFERROR(VLOOKUP(B:B,'[1]4店'!$B:$AB,27,0),"-")</f>
        <v>0.336027713625866</v>
      </c>
      <c r="AD131" s="92">
        <f t="shared" si="67"/>
        <v>0.739011780844904</v>
      </c>
      <c r="AE131" s="91">
        <f>IFERROR(SUMIF('4店辅助表'!T:T,B:B,'4店辅助表'!W:W)/SUMIF('4店辅助表'!T:T,B:B,'4店辅助表'!X:X),"-")</f>
        <v>0.622670807453416</v>
      </c>
      <c r="AF131" s="91">
        <f>IFERROR(SUMIF('4店辅助表'!AC:AC,B:B,'4店辅助表'!AF:AF)/SUMIF('4店辅助表'!AC:AC,B:B,'4店辅助表'!AG:AG),"-")</f>
        <v>0.355635615028307</v>
      </c>
      <c r="AG131" s="99">
        <f>IFERROR(AK131/((SUMIF('4店辅助表'!AT:AT,B:B,'4店辅助表'!AU:AU)+M131)/2),"-")</f>
        <v>0.0217241038807149</v>
      </c>
      <c r="AH131" s="99">
        <f>IFERROR(AL131/((SUMIF('4店辅助表'!AW:AW,B:B,'4店辅助表'!AX:AX)+M131)/2),"-")</f>
        <v>0.096830985915493</v>
      </c>
      <c r="AI131" s="100">
        <f>IFERROR((SUMIF('4店辅助表'!AP:AP,B:B,'4店辅助表'!AR:AR)-SUMIF('4店辅助表'!AP:AP,B:B,'4店辅助表'!AR:AR)*0.15-(L131+IFERROR(VLOOKUP(B:B,'4店辅助表'!AZ:BA,2,0),0))*O131-IF(AN:AN="US",6.85,4.9)*(Z131+4.27*O131))/SUMIF('4店辅助表'!AP:AP,B:B,'4店辅助表'!AR:AR),"-")</f>
        <v>-0.000724026904468842</v>
      </c>
      <c r="AJ131" s="100">
        <f t="shared" si="68"/>
        <v>-7.01082389890604e-5</v>
      </c>
      <c r="AK131" s="101">
        <f t="shared" si="69"/>
        <v>11</v>
      </c>
      <c r="AL131" s="101">
        <f t="shared" si="70"/>
        <v>55</v>
      </c>
      <c r="AM131" s="1" t="str">
        <f>VLOOKUP(B:B,'4店辅助表'!AZ:AZ,1,FALSE)</f>
        <v>Y4078-DB+Y4079+Y4080</v>
      </c>
      <c r="AN131" t="str">
        <f>VLOOKUP(B:B,'4店辅助表'!AZ:BB,3,FALSE)</f>
        <v>US</v>
      </c>
    </row>
    <row r="132" customHeight="1" spans="1:40">
      <c r="A132" s="58" t="str">
        <f>INDEX('[1]4店'!$A:$A,MATCH(B:B,'[1]4店'!$B:$B,0))</f>
        <v>美珠</v>
      </c>
      <c r="B132" s="45" t="s">
        <v>1595</v>
      </c>
      <c r="C132" s="45" t="s">
        <v>1591</v>
      </c>
      <c r="D132" s="59">
        <f>VLOOKUP(B:B,'[1]4店'!$B:$L,3,0)</f>
        <v>45181</v>
      </c>
      <c r="E132" s="45" t="s">
        <v>1596</v>
      </c>
      <c r="F132" s="45">
        <v>29</v>
      </c>
      <c r="G132" s="45">
        <v>0</v>
      </c>
      <c r="H132" s="45">
        <v>0</v>
      </c>
      <c r="I132" s="45">
        <v>0</v>
      </c>
      <c r="J132" s="45">
        <v>0</v>
      </c>
      <c r="K132" s="63">
        <f t="shared" si="60"/>
        <v>29</v>
      </c>
      <c r="L132" s="64">
        <v>11</v>
      </c>
      <c r="M132" s="44">
        <f t="shared" ref="M132:M149" si="71">K132*L132</f>
        <v>319</v>
      </c>
      <c r="N132" s="65">
        <f>IFERROR(VLOOKUP(B:B,'4店辅助表'!B:C,2,FALSE),0)</f>
        <v>1</v>
      </c>
      <c r="O132" s="65">
        <f>IFERROR(VLOOKUP(B:B,'4店辅助表'!E:F,2,FALSE),0)</f>
        <v>2</v>
      </c>
      <c r="P132" s="65">
        <f>IFERROR(VLOOKUP(B:B,'4店辅助表'!H:I,2,FALSE),0)</f>
        <v>2</v>
      </c>
      <c r="Q132" s="65">
        <f>IFERROR(VLOOKUP(B:B,'[1]4店'!$B:$N,13,FALSE),0)</f>
        <v>0</v>
      </c>
      <c r="R132" s="79">
        <f t="shared" si="61"/>
        <v>1</v>
      </c>
      <c r="S132" s="80">
        <f t="shared" si="62"/>
        <v>253.75</v>
      </c>
      <c r="T132" s="44">
        <f t="shared" si="63"/>
        <v>8.45833333333333</v>
      </c>
      <c r="U132" s="44">
        <f>IFERROR(VLOOKUP($B:$B,'[1]4店'!$B:$T,19,0),"-")</f>
        <v>29</v>
      </c>
      <c r="V132" s="81">
        <f t="shared" si="64"/>
        <v>-20.5416666666667</v>
      </c>
      <c r="W132" s="82" t="str">
        <f t="shared" si="65"/>
        <v>库存过高</v>
      </c>
      <c r="X132" s="83" t="str">
        <f t="shared" si="66"/>
        <v>库存过高</v>
      </c>
      <c r="Y132" s="44">
        <f>IFERROR(SUMIF('4店辅助表'!K:K,B:B,'4店辅助表'!N:N),0)</f>
        <v>2.13</v>
      </c>
      <c r="Z132" s="44">
        <f>IFERROR(SUMIF('4店辅助表'!T:T,B:B,'4店辅助表'!W:W),0)</f>
        <v>5.94</v>
      </c>
      <c r="AA132" s="44">
        <f>IFERROR(SUMIF('4店辅助表'!AC:AC,B:B,'4店辅助表'!AF:AF),0)</f>
        <v>9.02</v>
      </c>
      <c r="AB132" s="91" t="str">
        <f>IFERROR(SUMIF('4店辅助表'!K:K,B:B,'4店辅助表'!N:N)/SUMIF('4店辅助表'!K:K,B:B,'4店辅助表'!O:O),"-")</f>
        <v>-</v>
      </c>
      <c r="AC132" s="91">
        <f>IFERROR(VLOOKUP(B:B,'[1]4店'!$B:$AB,27,0),"-")</f>
        <v>0.293302540415704</v>
      </c>
      <c r="AD132" s="92" t="str">
        <f t="shared" si="67"/>
        <v>-</v>
      </c>
      <c r="AE132" s="91">
        <f>IFERROR(SUMIF('4店辅助表'!T:T,B:B,'4店辅助表'!W:W)/SUMIF('4店辅助表'!T:T,B:B,'4店辅助表'!X:X),"-")</f>
        <v>0.457274826789838</v>
      </c>
      <c r="AF132" s="91">
        <f>IFERROR(SUMIF('4店辅助表'!AC:AC,B:B,'4店辅助表'!AF:AF)/SUMIF('4店辅助表'!AC:AC,B:B,'4店辅助表'!AG:AG),"-")</f>
        <v>0.347190146266359</v>
      </c>
      <c r="AG132" s="99">
        <f>IFERROR(AK132/((SUMIF('4店辅助表'!AT:AT,B:B,'4店辅助表'!AU:AU)+M132)/2),"-")</f>
        <v>0.0307133882451487</v>
      </c>
      <c r="AH132" s="99">
        <f>IFERROR(AL132/((SUMIF('4店辅助表'!AW:AW,B:B,'4店辅助表'!AX:AX)+M132)/2),"-")</f>
        <v>0.0602739726027397</v>
      </c>
      <c r="AI132" s="100">
        <f>IFERROR((SUMIF('4店辅助表'!AP:AP,B:B,'4店辅助表'!AR:AR)-SUMIF('4店辅助表'!AP:AP,B:B,'4店辅助表'!AR:AR)*0.15-(L132+IFERROR(VLOOKUP(B:B,'4店辅助表'!AZ:BA,2,0),0))*O132-IF(AN:AN="US",6.85,4.9)*(Z132+4.27*O132))/SUMIF('4店辅助表'!AP:AP,B:B,'4店辅助表'!AR:AR),"-")</f>
        <v>0.141077358776824</v>
      </c>
      <c r="AJ132" s="100">
        <f t="shared" si="68"/>
        <v>0.0085032928577812</v>
      </c>
      <c r="AK132" s="101">
        <f t="shared" si="69"/>
        <v>11</v>
      </c>
      <c r="AL132" s="101">
        <f t="shared" si="70"/>
        <v>22</v>
      </c>
      <c r="AM132" s="1" t="str">
        <f>VLOOKUP(B:B,'4店辅助表'!AZ:AZ,1,FALSE)</f>
        <v>Y4078-GW+Y4079+Y4080</v>
      </c>
      <c r="AN132" t="str">
        <f>VLOOKUP(B:B,'4店辅助表'!AZ:BB,3,FALSE)</f>
        <v>US</v>
      </c>
    </row>
    <row r="133" customHeight="1" spans="1:40">
      <c r="A133" s="58" t="str">
        <f>INDEX('[1]4店'!$A:$A,MATCH(B:B,'[1]4店'!$B:$B,0))</f>
        <v>美珠</v>
      </c>
      <c r="B133" s="45" t="s">
        <v>1597</v>
      </c>
      <c r="C133" s="45" t="s">
        <v>1591</v>
      </c>
      <c r="D133" s="59">
        <f>VLOOKUP(B:B,'[1]4店'!$B:$L,3,0)</f>
        <v>45181</v>
      </c>
      <c r="E133" s="45" t="s">
        <v>1598</v>
      </c>
      <c r="F133" s="45">
        <v>34</v>
      </c>
      <c r="G133" s="45">
        <v>0</v>
      </c>
      <c r="H133" s="45">
        <v>36</v>
      </c>
      <c r="I133" s="45">
        <v>14</v>
      </c>
      <c r="J133" s="45">
        <v>0</v>
      </c>
      <c r="K133" s="63">
        <f t="shared" si="60"/>
        <v>84</v>
      </c>
      <c r="L133" s="64">
        <v>11</v>
      </c>
      <c r="M133" s="44">
        <f t="shared" si="71"/>
        <v>924</v>
      </c>
      <c r="N133" s="65">
        <f>IFERROR(VLOOKUP(B:B,'4店辅助表'!B:C,2,FALSE),0)</f>
        <v>3</v>
      </c>
      <c r="O133" s="65">
        <f>IFERROR(VLOOKUP(B:B,'4店辅助表'!E:F,2,FALSE),0)</f>
        <v>13</v>
      </c>
      <c r="P133" s="65">
        <f>IFERROR(VLOOKUP(B:B,'4店辅助表'!H:I,2,FALSE),0)</f>
        <v>15</v>
      </c>
      <c r="Q133" s="65">
        <f>IFERROR(VLOOKUP(B:B,'[1]4店'!$B:$N,13,FALSE),0)</f>
        <v>9</v>
      </c>
      <c r="R133" s="79">
        <f t="shared" si="61"/>
        <v>-6</v>
      </c>
      <c r="S133" s="80">
        <f t="shared" si="62"/>
        <v>140.371352785146</v>
      </c>
      <c r="T133" s="44">
        <f t="shared" si="63"/>
        <v>4.6790450928382</v>
      </c>
      <c r="U133" s="44">
        <f>IFERROR(VLOOKUP($B:$B,'[1]4店'!$B:$T,19,0),"-")</f>
        <v>3.73053892215569</v>
      </c>
      <c r="V133" s="81">
        <f t="shared" si="64"/>
        <v>0.94850617068251</v>
      </c>
      <c r="W133" s="82" t="str">
        <f t="shared" si="65"/>
        <v>库存过高</v>
      </c>
      <c r="X133" s="83" t="str">
        <f t="shared" si="66"/>
        <v>库存过高</v>
      </c>
      <c r="Y133" s="44">
        <f>IFERROR(SUMIF('4店辅助表'!K:K,B:B,'4店辅助表'!N:N),0)</f>
        <v>11.55</v>
      </c>
      <c r="Z133" s="44">
        <f>IFERROR(SUMIF('4店辅助表'!T:T,B:B,'4店辅助表'!W:W),0)</f>
        <v>37.43</v>
      </c>
      <c r="AA133" s="44">
        <f>IFERROR(SUMIF('4店辅助表'!AC:AC,B:B,'4店辅助表'!AF:AF),0)</f>
        <v>51.93</v>
      </c>
      <c r="AB133" s="91" t="str">
        <f>IFERROR(SUMIF('4店辅助表'!K:K,B:B,'4店辅助表'!N:N)/SUMIF('4店辅助表'!K:K,B:B,'4店辅助表'!O:O),"-")</f>
        <v>-</v>
      </c>
      <c r="AC133" s="91">
        <f>IFERROR(VLOOKUP(B:B,'[1]4店'!$B:$AB,27,0),"-")</f>
        <v>0.182875716363014</v>
      </c>
      <c r="AD133" s="92" t="str">
        <f t="shared" si="67"/>
        <v>-</v>
      </c>
      <c r="AE133" s="91">
        <f>IFERROR(SUMIF('4店辅助表'!T:T,B:B,'4店辅助表'!W:W)/SUMIF('4店辅助表'!T:T,B:B,'4店辅助表'!X:X),"-")</f>
        <v>0.261949751557142</v>
      </c>
      <c r="AF133" s="91">
        <f>IFERROR(SUMIF('4店辅助表'!AC:AC,B:B,'4店辅助表'!AF:AF)/SUMIF('4店辅助表'!AC:AC,B:B,'4店辅助表'!AG:AG),"-")</f>
        <v>0.307514656244448</v>
      </c>
      <c r="AG133" s="99">
        <f>IFERROR(AK133/((SUMIF('4店辅助表'!AT:AT,B:B,'4店辅助表'!AU:AU)+M133)/2),"-")</f>
        <v>0.0307936359818971</v>
      </c>
      <c r="AH133" s="99">
        <f>IFERROR(AL133/((SUMIF('4店辅助表'!AW:AW,B:B,'4店辅助表'!AX:AX)+M133)/2),"-")</f>
        <v>0.127724187209718</v>
      </c>
      <c r="AI133" s="100">
        <f>IFERROR((SUMIF('4店辅助表'!AP:AP,B:B,'4店辅助表'!AR:AR)-SUMIF('4店辅助表'!AP:AP,B:B,'4店辅助表'!AR:AR)*0.15-(L133+IFERROR(VLOOKUP(B:B,'4店辅助表'!AZ:BA,2,0),0))*O133-IF(AN:AN="US",6.85,4.9)*(Z133+4.27*O133))/SUMIF('4店辅助表'!AP:AP,B:B,'4店辅助表'!AR:AR),"-")</f>
        <v>0.156280994771711</v>
      </c>
      <c r="AJ133" s="100">
        <f t="shared" si="68"/>
        <v>0.019960863033543</v>
      </c>
      <c r="AK133" s="101">
        <f t="shared" si="69"/>
        <v>33</v>
      </c>
      <c r="AL133" s="101">
        <f t="shared" si="70"/>
        <v>143</v>
      </c>
      <c r="AM133" s="1" t="str">
        <f>VLOOKUP(B:B,'4店辅助表'!AZ:AZ,1,FALSE)</f>
        <v>Y4078-OR+Y4079+Y4080</v>
      </c>
      <c r="AN133" t="str">
        <f>VLOOKUP(B:B,'4店辅助表'!AZ:BB,3,FALSE)</f>
        <v>US</v>
      </c>
    </row>
    <row r="134" customHeight="1" spans="1:40">
      <c r="A134" s="58" t="str">
        <f>INDEX('[1]4店'!$A:$A,MATCH(B:B,'[1]4店'!$B:$B,0))</f>
        <v>美珠</v>
      </c>
      <c r="B134" s="45" t="s">
        <v>1599</v>
      </c>
      <c r="C134" s="45" t="s">
        <v>1600</v>
      </c>
      <c r="D134" s="59">
        <f>VLOOKUP(B:B,'[1]4店'!$B:$L,3,0)</f>
        <v>45181</v>
      </c>
      <c r="E134" s="45" t="s">
        <v>1601</v>
      </c>
      <c r="F134" s="45">
        <v>25</v>
      </c>
      <c r="G134" s="45">
        <v>1</v>
      </c>
      <c r="H134" s="45">
        <v>0</v>
      </c>
      <c r="I134" s="45">
        <v>0</v>
      </c>
      <c r="J134" s="45">
        <v>0</v>
      </c>
      <c r="K134" s="63">
        <f t="shared" si="60"/>
        <v>26</v>
      </c>
      <c r="L134" s="64">
        <v>11</v>
      </c>
      <c r="M134" s="44">
        <f t="shared" si="71"/>
        <v>286</v>
      </c>
      <c r="N134" s="65">
        <f>IFERROR(VLOOKUP(B:B,'4店辅助表'!B:C,2,FALSE),0)</f>
        <v>0</v>
      </c>
      <c r="O134" s="65">
        <f>IFERROR(VLOOKUP(B:B,'4店辅助表'!E:F,2,FALSE),0)</f>
        <v>1</v>
      </c>
      <c r="P134" s="65">
        <f>IFERROR(VLOOKUP(B:B,'4店辅助表'!H:I,2,FALSE),0)</f>
        <v>5</v>
      </c>
      <c r="Q134" s="65">
        <f>IFERROR(VLOOKUP(B:B,'[1]4店'!$B:$N,13,FALSE),0)</f>
        <v>1</v>
      </c>
      <c r="R134" s="79">
        <f t="shared" si="61"/>
        <v>-1</v>
      </c>
      <c r="S134" s="80">
        <f t="shared" si="62"/>
        <v>334.285714285714</v>
      </c>
      <c r="T134" s="44">
        <f t="shared" si="63"/>
        <v>11.1428571428571</v>
      </c>
      <c r="U134" s="44">
        <f>IFERROR(VLOOKUP($B:$B,'[1]4店'!$B:$T,19,0),"-")</f>
        <v>4.51239669421488</v>
      </c>
      <c r="V134" s="81">
        <f t="shared" si="64"/>
        <v>6.63046044864222</v>
      </c>
      <c r="W134" s="82" t="str">
        <f t="shared" si="65"/>
        <v>有库存无销量</v>
      </c>
      <c r="X134" s="83" t="str">
        <f t="shared" si="66"/>
        <v>库存过高</v>
      </c>
      <c r="Y134" s="44">
        <f>IFERROR(SUMIF('4店辅助表'!K:K,B:B,'4店辅助表'!N:N),0)</f>
        <v>3.04</v>
      </c>
      <c r="Z134" s="44">
        <f>IFERROR(SUMIF('4店辅助表'!T:T,B:B,'4店辅助表'!W:W),0)</f>
        <v>5.25</v>
      </c>
      <c r="AA134" s="44">
        <f>IFERROR(SUMIF('4店辅助表'!AC:AC,B:B,'4店辅助表'!AF:AF),0)</f>
        <v>11.13</v>
      </c>
      <c r="AB134" s="91" t="str">
        <f>IFERROR(SUMIF('4店辅助表'!K:K,B:B,'4店辅助表'!N:N)/SUMIF('4店辅助表'!K:K,B:B,'4店辅助表'!O:O),"-")</f>
        <v>-</v>
      </c>
      <c r="AC134" s="91" t="str">
        <f>IFERROR(VLOOKUP(B:B,'[1]4店'!$B:$AB,27,0),"-")</f>
        <v>-</v>
      </c>
      <c r="AD134" s="92" t="str">
        <f t="shared" si="67"/>
        <v>-</v>
      </c>
      <c r="AE134" s="91" t="str">
        <f>IFERROR(SUMIF('4店辅助表'!T:T,B:B,'4店辅助表'!W:W)/SUMIF('4店辅助表'!T:T,B:B,'4店辅助表'!X:X),"-")</f>
        <v>-</v>
      </c>
      <c r="AF134" s="91">
        <f>IFERROR(SUMIF('4店辅助表'!AC:AC,B:B,'4店辅助表'!AF:AF)/SUMIF('4店辅助表'!AC:AC,B:B,'4店辅助表'!AG:AG),"-")</f>
        <v>0.856812933025404</v>
      </c>
      <c r="AG134" s="99">
        <f>IFERROR(AK134/((SUMIF('4店辅助表'!AT:AT,B:B,'4店辅助表'!AU:AU)+M134)/2),"-")</f>
        <v>0</v>
      </c>
      <c r="AH134" s="99">
        <f>IFERROR(AL134/((SUMIF('4店辅助表'!AW:AW,B:B,'4店辅助表'!AX:AX)+M134)/2),"-")</f>
        <v>0.0315638450502152</v>
      </c>
      <c r="AI134" s="100">
        <f>IFERROR((SUMIF('4店辅助表'!AP:AP,B:B,'4店辅助表'!AR:AR)-SUMIF('4店辅助表'!AP:AP,B:B,'4店辅助表'!AR:AR)*0.15-(L134+IFERROR(VLOOKUP(B:B,'4店辅助表'!AZ:BA,2,0),0))*O134-IF(AN:AN="US",6.85,4.9)*(Z134+4.27*O134))/SUMIF('4店辅助表'!AP:AP,B:B,'4店辅助表'!AR:AR),"-")</f>
        <v>-0.195396279298367</v>
      </c>
      <c r="AJ134" s="100">
        <f t="shared" si="68"/>
        <v>-0.00616745788316222</v>
      </c>
      <c r="AK134" s="101">
        <f t="shared" si="69"/>
        <v>0</v>
      </c>
      <c r="AL134" s="101">
        <f t="shared" si="70"/>
        <v>11</v>
      </c>
      <c r="AM134" s="1" t="str">
        <f>VLOOKUP(B:B,'4店辅助表'!AZ:AZ,1,FALSE)</f>
        <v>Y4078-WI+Y4079+Y4080</v>
      </c>
      <c r="AN134" t="str">
        <f>VLOOKUP(B:B,'4店辅助表'!AZ:BB,3,FALSE)</f>
        <v>US</v>
      </c>
    </row>
    <row r="135" customHeight="1" spans="1:40">
      <c r="A135" s="58" t="str">
        <f>INDEX('[1]4店'!$A:$A,MATCH(B:B,'[1]4店'!$B:$B,0))</f>
        <v>美珠</v>
      </c>
      <c r="B135" s="45" t="s">
        <v>1602</v>
      </c>
      <c r="C135" s="45" t="s">
        <v>1603</v>
      </c>
      <c r="D135" s="59">
        <f>VLOOKUP(B:B,'[1]4店'!$B:$L,3,0)</f>
        <v>45181</v>
      </c>
      <c r="E135" s="45" t="s">
        <v>1604</v>
      </c>
      <c r="F135" s="45">
        <v>45</v>
      </c>
      <c r="G135" s="45">
        <v>0</v>
      </c>
      <c r="H135" s="45">
        <v>0</v>
      </c>
      <c r="I135" s="45">
        <v>1</v>
      </c>
      <c r="J135" s="45">
        <v>0</v>
      </c>
      <c r="K135" s="63">
        <f t="shared" si="60"/>
        <v>46</v>
      </c>
      <c r="L135" s="64">
        <v>11</v>
      </c>
      <c r="M135" s="44">
        <f t="shared" si="71"/>
        <v>506</v>
      </c>
      <c r="N135" s="65">
        <f>IFERROR(VLOOKUP(B:B,'4店辅助表'!B:C,2,FALSE),0)</f>
        <v>2</v>
      </c>
      <c r="O135" s="65">
        <f>IFERROR(VLOOKUP(B:B,'4店辅助表'!E:F,2,FALSE),0)</f>
        <v>5</v>
      </c>
      <c r="P135" s="65">
        <f>IFERROR(VLOOKUP(B:B,'4店辅助表'!H:I,2,FALSE),0)</f>
        <v>6</v>
      </c>
      <c r="Q135" s="65">
        <f>IFERROR(VLOOKUP(B:B,'[1]4店'!$B:$N,13,FALSE),0)</f>
        <v>3</v>
      </c>
      <c r="R135" s="79">
        <f t="shared" si="61"/>
        <v>-1</v>
      </c>
      <c r="S135" s="80">
        <f t="shared" si="62"/>
        <v>168.488372093023</v>
      </c>
      <c r="T135" s="44">
        <f t="shared" si="63"/>
        <v>5.61627906976744</v>
      </c>
      <c r="U135" s="44">
        <f>IFERROR(VLOOKUP($B:$B,'[1]4店'!$B:$T,19,0),"-")</f>
        <v>5.67241379310345</v>
      </c>
      <c r="V135" s="81">
        <f t="shared" si="64"/>
        <v>-0.0561347233360099</v>
      </c>
      <c r="W135" s="82" t="str">
        <f t="shared" si="65"/>
        <v>库存过高</v>
      </c>
      <c r="X135" s="83" t="str">
        <f t="shared" si="66"/>
        <v>库存过高</v>
      </c>
      <c r="Y135" s="44">
        <f>IFERROR(SUMIF('4店辅助表'!K:K,B:B,'4店辅助表'!N:N),0)</f>
        <v>1.58</v>
      </c>
      <c r="Z135" s="44">
        <f>IFERROR(SUMIF('4店辅助表'!T:T,B:B,'4店辅助表'!W:W),0)</f>
        <v>4.09</v>
      </c>
      <c r="AA135" s="44">
        <f>IFERROR(SUMIF('4店辅助表'!AC:AC,B:B,'4店辅助表'!AF:AF),0)</f>
        <v>10.17</v>
      </c>
      <c r="AB135" s="91">
        <f>IFERROR(SUMIF('4店辅助表'!K:K,B:B,'4店辅助表'!N:N)/SUMIF('4店辅助表'!K:K,B:B,'4店辅助表'!O:O),"-")</f>
        <v>0.121632024634334</v>
      </c>
      <c r="AC135" s="91" t="str">
        <f>IFERROR(VLOOKUP(B:B,'[1]4店'!$B:$AB,27,0),"-")</f>
        <v>-</v>
      </c>
      <c r="AD135" s="92" t="str">
        <f t="shared" si="67"/>
        <v>-</v>
      </c>
      <c r="AE135" s="91">
        <f>IFERROR(SUMIF('4店辅助表'!T:T,B:B,'4店辅助表'!W:W)/SUMIF('4店辅助表'!T:T,B:B,'4店辅助表'!X:X),"-")</f>
        <v>0.157428791377983</v>
      </c>
      <c r="AF135" s="91">
        <f>IFERROR(SUMIF('4店辅助表'!AC:AC,B:B,'4店辅助表'!AF:AF)/SUMIF('4店辅助表'!AC:AC,B:B,'4店辅助表'!AG:AG),"-")</f>
        <v>0.391454965357968</v>
      </c>
      <c r="AG135" s="99">
        <f>IFERROR(AK135/((SUMIF('4店辅助表'!AT:AT,B:B,'4店辅助表'!AU:AU)+M135)/2),"-")</f>
        <v>0.0382641968866858</v>
      </c>
      <c r="AH135" s="99">
        <f>IFERROR(AL135/((SUMIF('4店辅助表'!AW:AW,B:B,'4店辅助表'!AX:AX)+M135)/2),"-")</f>
        <v>0.0923593618807725</v>
      </c>
      <c r="AI135" s="100">
        <f>IFERROR((SUMIF('4店辅助表'!AP:AP,B:B,'4店辅助表'!AR:AR)-SUMIF('4店辅助表'!AP:AP,B:B,'4店辅助表'!AR:AR)*0.15-(L135+IFERROR(VLOOKUP(B:B,'4店辅助表'!AZ:BA,2,0),0))*O135-IF(AN:AN="US",6.85,4.9)*(Z135+4.27*O135))/SUMIF('4店辅助表'!AP:AP,B:B,'4店辅助表'!AR:AR),"-")</f>
        <v>0.289483311398805</v>
      </c>
      <c r="AJ135" s="100">
        <f t="shared" si="68"/>
        <v>0.0267364939159265</v>
      </c>
      <c r="AK135" s="101">
        <f t="shared" si="69"/>
        <v>22</v>
      </c>
      <c r="AL135" s="101">
        <f t="shared" si="70"/>
        <v>55</v>
      </c>
      <c r="AM135" s="1" t="str">
        <f>VLOOKUP(B:B,'4店辅助表'!AZ:AZ,1,FALSE)</f>
        <v>Y4075-BL+Y4076+Y4077</v>
      </c>
      <c r="AN135" t="str">
        <f>VLOOKUP(B:B,'4店辅助表'!AZ:BB,3,FALSE)</f>
        <v>US</v>
      </c>
    </row>
    <row r="136" customHeight="1" spans="1:40">
      <c r="A136" s="58" t="str">
        <f>INDEX('[1]4店'!$A:$A,MATCH(B:B,'[1]4店'!$B:$B,0))</f>
        <v>美珠</v>
      </c>
      <c r="B136" s="45" t="s">
        <v>1605</v>
      </c>
      <c r="C136" s="45" t="s">
        <v>1606</v>
      </c>
      <c r="D136" s="59">
        <f>VLOOKUP(B:B,'[1]4店'!$B:$L,3,0)</f>
        <v>45181</v>
      </c>
      <c r="E136" s="45" t="s">
        <v>1607</v>
      </c>
      <c r="F136" s="45">
        <v>47</v>
      </c>
      <c r="G136" s="45">
        <v>0</v>
      </c>
      <c r="H136" s="45">
        <v>31</v>
      </c>
      <c r="I136" s="45">
        <v>9</v>
      </c>
      <c r="J136" s="45">
        <v>0</v>
      </c>
      <c r="K136" s="63">
        <f t="shared" si="60"/>
        <v>87</v>
      </c>
      <c r="L136" s="64">
        <v>11</v>
      </c>
      <c r="M136" s="44">
        <f t="shared" si="71"/>
        <v>957</v>
      </c>
      <c r="N136" s="65">
        <f>IFERROR(VLOOKUP(B:B,'4店辅助表'!B:C,2,FALSE),0)</f>
        <v>2</v>
      </c>
      <c r="O136" s="65">
        <f>IFERROR(VLOOKUP(B:B,'4店辅助表'!E:F,2,FALSE),0)</f>
        <v>3</v>
      </c>
      <c r="P136" s="65">
        <f>IFERROR(VLOOKUP(B:B,'4店辅助表'!H:I,2,FALSE),0)</f>
        <v>3</v>
      </c>
      <c r="Q136" s="65">
        <f>IFERROR(VLOOKUP(B:B,'[1]4店'!$B:$N,13,FALSE),0)</f>
        <v>1</v>
      </c>
      <c r="R136" s="79">
        <f t="shared" si="61"/>
        <v>1</v>
      </c>
      <c r="S136" s="80">
        <f t="shared" si="62"/>
        <v>445.609756097561</v>
      </c>
      <c r="T136" s="44">
        <f t="shared" si="63"/>
        <v>14.8536585365854</v>
      </c>
      <c r="U136" s="44">
        <f>IFERROR(VLOOKUP($B:$B,'[1]4店'!$B:$T,19,0),"-")</f>
        <v>36.6470588235294</v>
      </c>
      <c r="V136" s="81">
        <f t="shared" si="64"/>
        <v>-21.793400286944</v>
      </c>
      <c r="W136" s="82" t="str">
        <f t="shared" si="65"/>
        <v>库存过高</v>
      </c>
      <c r="X136" s="83" t="str">
        <f t="shared" si="66"/>
        <v>库存过高</v>
      </c>
      <c r="Y136" s="44">
        <f>IFERROR(SUMIF('4店辅助表'!K:K,B:B,'4店辅助表'!N:N),0)</f>
        <v>3.88</v>
      </c>
      <c r="Z136" s="44">
        <f>IFERROR(SUMIF('4店辅助表'!T:T,B:B,'4店辅助表'!W:W),0)</f>
        <v>9.57</v>
      </c>
      <c r="AA136" s="44">
        <f>IFERROR(SUMIF('4店辅助表'!AC:AC,B:B,'4店辅助表'!AF:AF),0)</f>
        <v>14.97</v>
      </c>
      <c r="AB136" s="91">
        <f>IFERROR(SUMIF('4店辅助表'!K:K,B:B,'4店辅助表'!N:N)/SUMIF('4店辅助表'!K:K,B:B,'4店辅助表'!O:O),"-")</f>
        <v>0.0426701858572528</v>
      </c>
      <c r="AC136" s="91">
        <f>IFERROR(VLOOKUP(B:B,'[1]4店'!$B:$AB,27,0),"-")</f>
        <v>0.219014626635874</v>
      </c>
      <c r="AD136" s="92">
        <f t="shared" si="67"/>
        <v>-0.176344440778621</v>
      </c>
      <c r="AE136" s="91">
        <f>IFERROR(SUMIF('4店辅助表'!T:T,B:B,'4店辅助表'!W:W)/SUMIF('4店辅助表'!T:T,B:B,'4店辅助表'!X:X),"-")</f>
        <v>0.081857839363613</v>
      </c>
      <c r="AF136" s="91">
        <f>IFERROR(SUMIF('4店辅助表'!AC:AC,B:B,'4店辅助表'!AF:AF)/SUMIF('4店辅助表'!AC:AC,B:B,'4店辅助表'!AG:AG),"-")</f>
        <v>0.115242494226328</v>
      </c>
      <c r="AG136" s="99">
        <f>IFERROR(AK136/((SUMIF('4店辅助表'!AT:AT,B:B,'4店辅助表'!AU:AU)+M136)/2),"-")</f>
        <v>0.0202178008546616</v>
      </c>
      <c r="AH136" s="99">
        <f>IFERROR(AL136/((SUMIF('4店辅助表'!AW:AW,B:B,'4店辅助表'!AX:AX)+M136)/2),"-")</f>
        <v>0.0301369863013699</v>
      </c>
      <c r="AI136" s="100">
        <f>IFERROR((SUMIF('4店辅助表'!AP:AP,B:B,'4店辅助表'!AR:AR)-SUMIF('4店辅助表'!AP:AP,B:B,'4店辅助表'!AR:AR)*0.15-(L136+IFERROR(VLOOKUP(B:B,'4店辅助表'!AZ:BA,2,0),0))*O136-IF(AN:AN="US",6.85,4.9)*(Z136+4.27*O136))/SUMIF('4店辅助表'!AP:AP,B:B,'4店辅助表'!AR:AR),"-")</f>
        <v>0.124141254080904</v>
      </c>
      <c r="AJ136" s="100">
        <f t="shared" si="68"/>
        <v>0.00374124327367109</v>
      </c>
      <c r="AK136" s="101">
        <f t="shared" si="69"/>
        <v>22</v>
      </c>
      <c r="AL136" s="101">
        <f t="shared" si="70"/>
        <v>33</v>
      </c>
      <c r="AM136" s="1" t="str">
        <f>VLOOKUP(B:B,'4店辅助表'!AZ:AZ,1,FALSE)</f>
        <v>Y4075-DB+Y4076+Y4077</v>
      </c>
      <c r="AN136" t="str">
        <f>VLOOKUP(B:B,'4店辅助表'!AZ:BB,3,FALSE)</f>
        <v>US</v>
      </c>
    </row>
    <row r="137" customHeight="1" spans="1:40">
      <c r="A137" s="58" t="str">
        <f>INDEX('[1]4店'!$A:$A,MATCH(B:B,'[1]4店'!$B:$B,0))</f>
        <v>美珠</v>
      </c>
      <c r="B137" s="45" t="s">
        <v>1608</v>
      </c>
      <c r="C137" s="45" t="s">
        <v>1606</v>
      </c>
      <c r="D137" s="59">
        <f>VLOOKUP(B:B,'[1]4店'!$B:$L,3,0)</f>
        <v>45181</v>
      </c>
      <c r="E137" s="45" t="s">
        <v>1609</v>
      </c>
      <c r="F137" s="45">
        <v>29</v>
      </c>
      <c r="G137" s="45">
        <v>0</v>
      </c>
      <c r="H137" s="45">
        <v>0</v>
      </c>
      <c r="I137" s="45">
        <v>0</v>
      </c>
      <c r="J137" s="45">
        <v>0</v>
      </c>
      <c r="K137" s="63">
        <f t="shared" si="60"/>
        <v>29</v>
      </c>
      <c r="L137" s="64">
        <v>11</v>
      </c>
      <c r="M137" s="44">
        <f t="shared" si="71"/>
        <v>319</v>
      </c>
      <c r="N137" s="65">
        <f>IFERROR(VLOOKUP(B:B,'4店辅助表'!B:C,2,FALSE),0)</f>
        <v>2</v>
      </c>
      <c r="O137" s="65">
        <f>IFERROR(VLOOKUP(B:B,'4店辅助表'!E:F,2,FALSE),0)</f>
        <v>2</v>
      </c>
      <c r="P137" s="65">
        <f>IFERROR(VLOOKUP(B:B,'4店辅助表'!H:I,2,FALSE),0)</f>
        <v>2</v>
      </c>
      <c r="Q137" s="65">
        <f>IFERROR(VLOOKUP(B:B,'[1]4店'!$B:$N,13,FALSE),0)</f>
        <v>0</v>
      </c>
      <c r="R137" s="79">
        <f t="shared" si="61"/>
        <v>2</v>
      </c>
      <c r="S137" s="80">
        <f t="shared" si="62"/>
        <v>179.117647058824</v>
      </c>
      <c r="T137" s="44">
        <f t="shared" si="63"/>
        <v>5.97058823529412</v>
      </c>
      <c r="U137" s="44" t="str">
        <f>IFERROR(VLOOKUP($B:$B,'[1]4店'!$B:$T,19,0),"-")</f>
        <v>-</v>
      </c>
      <c r="V137" s="81" t="str">
        <f t="shared" si="64"/>
        <v>-</v>
      </c>
      <c r="W137" s="82" t="str">
        <f t="shared" si="65"/>
        <v>库存过高</v>
      </c>
      <c r="X137" s="83" t="str">
        <f t="shared" si="66"/>
        <v>库存过高</v>
      </c>
      <c r="Y137" s="44">
        <f>IFERROR(SUMIF('4店辅助表'!K:K,B:B,'4店辅助表'!N:N),0)</f>
        <v>3.3</v>
      </c>
      <c r="Z137" s="44">
        <f>IFERROR(SUMIF('4店辅助表'!T:T,B:B,'4店辅助表'!W:W),0)</f>
        <v>4.7</v>
      </c>
      <c r="AA137" s="44">
        <f>IFERROR(SUMIF('4店辅助表'!AC:AC,B:B,'4店辅助表'!AF:AF),0)</f>
        <v>5.65</v>
      </c>
      <c r="AB137" s="91" t="str">
        <f>IFERROR(SUMIF('4店辅助表'!K:K,B:B,'4店辅助表'!N:N)/SUMIF('4店辅助表'!K:K,B:B,'4店辅助表'!O:O),"-")</f>
        <v>-</v>
      </c>
      <c r="AC137" s="91" t="str">
        <f>IFERROR(VLOOKUP(B:B,'[1]4店'!$B:$AB,27,0),"-")</f>
        <v>-</v>
      </c>
      <c r="AD137" s="92" t="str">
        <f t="shared" si="67"/>
        <v>-</v>
      </c>
      <c r="AE137" s="91" t="str">
        <f>IFERROR(SUMIF('4店辅助表'!T:T,B:B,'4店辅助表'!W:W)/SUMIF('4店辅助表'!T:T,B:B,'4店辅助表'!X:X),"-")</f>
        <v>-</v>
      </c>
      <c r="AF137" s="91" t="str">
        <f>IFERROR(SUMIF('4店辅助表'!AC:AC,B:B,'4店辅助表'!AF:AF)/SUMIF('4店辅助表'!AC:AC,B:B,'4店辅助表'!AG:AG),"-")</f>
        <v>-</v>
      </c>
      <c r="AG137" s="99">
        <f>IFERROR(AK137/((SUMIF('4店辅助表'!AT:AT,B:B,'4店辅助表'!AU:AU)+M137)/2),"-")</f>
        <v>0.0602739726027397</v>
      </c>
      <c r="AH137" s="99">
        <f>IFERROR(AL137/((SUMIF('4店辅助表'!AW:AW,B:B,'4店辅助表'!AX:AX)+M137)/2),"-")</f>
        <v>0.0602739726027397</v>
      </c>
      <c r="AI137" s="100">
        <f>IFERROR((SUMIF('4店辅助表'!AP:AP,B:B,'4店辅助表'!AR:AR)-SUMIF('4店辅助表'!AP:AP,B:B,'4店辅助表'!AR:AR)*0.15-(L137+IFERROR(VLOOKUP(B:B,'4店辅助表'!AZ:BA,2,0),0))*O137-IF(AN:AN="US",6.85,4.9)*(Z137+4.27*O137))/SUMIF('4店辅助表'!AP:AP,B:B,'4店辅助表'!AR:AR),"-")</f>
        <v>0.18880638110169</v>
      </c>
      <c r="AJ137" s="100">
        <f t="shared" si="68"/>
        <v>0.0113801106417457</v>
      </c>
      <c r="AK137" s="101">
        <f t="shared" si="69"/>
        <v>22</v>
      </c>
      <c r="AL137" s="101">
        <f t="shared" si="70"/>
        <v>22</v>
      </c>
      <c r="AM137" s="1" t="str">
        <f>VLOOKUP(B:B,'4店辅助表'!AZ:AZ,1,FALSE)</f>
        <v>Y4075-GW+Y4076+Y4077</v>
      </c>
      <c r="AN137" t="str">
        <f>VLOOKUP(B:B,'4店辅助表'!AZ:BB,3,FALSE)</f>
        <v>US</v>
      </c>
    </row>
    <row r="138" customHeight="1" spans="1:40">
      <c r="A138" s="58" t="str">
        <f>INDEX('[1]4店'!$A:$A,MATCH(B:B,'[1]4店'!$B:$B,0))</f>
        <v>美珠</v>
      </c>
      <c r="B138" s="45" t="s">
        <v>1610</v>
      </c>
      <c r="C138" s="45" t="s">
        <v>1603</v>
      </c>
      <c r="D138" s="59">
        <f>VLOOKUP(B:B,'[1]4店'!$B:$L,3,0)</f>
        <v>45181</v>
      </c>
      <c r="E138" s="45" t="s">
        <v>1611</v>
      </c>
      <c r="F138" s="45">
        <v>40</v>
      </c>
      <c r="G138" s="45">
        <v>0</v>
      </c>
      <c r="H138" s="45">
        <v>0</v>
      </c>
      <c r="I138" s="45">
        <v>0</v>
      </c>
      <c r="J138" s="45">
        <v>0</v>
      </c>
      <c r="K138" s="63">
        <f t="shared" si="60"/>
        <v>40</v>
      </c>
      <c r="L138" s="64">
        <v>11</v>
      </c>
      <c r="M138" s="44">
        <f t="shared" si="71"/>
        <v>440</v>
      </c>
      <c r="N138" s="65">
        <f>IFERROR(VLOOKUP(B:B,'4店辅助表'!B:C,2,FALSE),0)</f>
        <v>0</v>
      </c>
      <c r="O138" s="65">
        <f>IFERROR(VLOOKUP(B:B,'4店辅助表'!E:F,2,FALSE),0)</f>
        <v>2</v>
      </c>
      <c r="P138" s="65">
        <f>IFERROR(VLOOKUP(B:B,'4店辅助表'!H:I,2,FALSE),0)</f>
        <v>2</v>
      </c>
      <c r="Q138" s="65">
        <f>IFERROR(VLOOKUP(B:B,'[1]4店'!$B:$N,13,FALSE),0)</f>
        <v>1</v>
      </c>
      <c r="R138" s="79">
        <f t="shared" si="61"/>
        <v>-1</v>
      </c>
      <c r="S138" s="80">
        <f t="shared" si="62"/>
        <v>600</v>
      </c>
      <c r="T138" s="44">
        <f t="shared" si="63"/>
        <v>20</v>
      </c>
      <c r="U138" s="44">
        <f>IFERROR(VLOOKUP($B:$B,'[1]4店'!$B:$T,19,0),"-")</f>
        <v>11.6666666666667</v>
      </c>
      <c r="V138" s="81">
        <f t="shared" si="64"/>
        <v>8.3333333333333</v>
      </c>
      <c r="W138" s="82" t="str">
        <f t="shared" si="65"/>
        <v>有库存无销量</v>
      </c>
      <c r="X138" s="83" t="str">
        <f t="shared" si="66"/>
        <v>库存过高</v>
      </c>
      <c r="Y138" s="44">
        <f>IFERROR(SUMIF('4店辅助表'!K:K,B:B,'4店辅助表'!N:N),0)</f>
        <v>3</v>
      </c>
      <c r="Z138" s="44">
        <f>IFERROR(SUMIF('4店辅助表'!T:T,B:B,'4店辅助表'!W:W),0)</f>
        <v>4.99</v>
      </c>
      <c r="AA138" s="44">
        <f>IFERROR(SUMIF('4店辅助表'!AC:AC,B:B,'4店辅助表'!AF:AF),0)</f>
        <v>5.54</v>
      </c>
      <c r="AB138" s="91" t="str">
        <f>IFERROR(SUMIF('4店辅助表'!K:K,B:B,'4店辅助表'!N:N)/SUMIF('4店辅助表'!K:K,B:B,'4店辅助表'!O:O),"-")</f>
        <v>-</v>
      </c>
      <c r="AC138" s="91" t="str">
        <f>IFERROR(VLOOKUP(B:B,'[1]4店'!$B:$AB,27,0),"-")</f>
        <v>-</v>
      </c>
      <c r="AD138" s="92" t="str">
        <f t="shared" si="67"/>
        <v>-</v>
      </c>
      <c r="AE138" s="91" t="str">
        <f>IFERROR(SUMIF('4店辅助表'!T:T,B:B,'4店辅助表'!W:W)/SUMIF('4店辅助表'!T:T,B:B,'4店辅助表'!X:X),"-")</f>
        <v>-</v>
      </c>
      <c r="AF138" s="91" t="str">
        <f>IFERROR(SUMIF('4店辅助表'!AC:AC,B:B,'4店辅助表'!AF:AF)/SUMIF('4店辅助表'!AC:AC,B:B,'4店辅助表'!AG:AG),"-")</f>
        <v>-</v>
      </c>
      <c r="AG138" s="99">
        <f>IFERROR(AK138/((SUMIF('4店辅助表'!AT:AT,B:B,'4店辅助表'!AU:AU)+M138)/2),"-")</f>
        <v>0</v>
      </c>
      <c r="AH138" s="99">
        <f>IFERROR(AL138/((SUMIF('4店辅助表'!AW:AW,B:B,'4店辅助表'!AX:AX)+M138)/2),"-")</f>
        <v>0.0386405550188812</v>
      </c>
      <c r="AI138" s="100">
        <f>IFERROR((SUMIF('4店辅助表'!AP:AP,B:B,'4店辅助表'!AR:AR)-SUMIF('4店辅助表'!AP:AP,B:B,'4店辅助表'!AR:AR)*0.15-(L138+IFERROR(VLOOKUP(B:B,'4店辅助表'!AZ:BA,2,0),0))*O138-IF(AN:AN="US",6.85,4.9)*(Z138+4.27*O138))/SUMIF('4店辅助表'!AP:AP,B:B,'4店辅助表'!AR:AR),"-")</f>
        <v>0.177643948461197</v>
      </c>
      <c r="AJ138" s="100">
        <f t="shared" si="68"/>
        <v>0.00686426076428618</v>
      </c>
      <c r="AK138" s="101">
        <f t="shared" si="69"/>
        <v>0</v>
      </c>
      <c r="AL138" s="101">
        <f t="shared" si="70"/>
        <v>22</v>
      </c>
      <c r="AM138" s="1" t="str">
        <f>VLOOKUP(B:B,'4店辅助表'!AZ:AZ,1,FALSE)</f>
        <v>Y4075-OR+Y4076+Y4077</v>
      </c>
      <c r="AN138" t="str">
        <f>VLOOKUP(B:B,'4店辅助表'!AZ:BB,3,FALSE)</f>
        <v>US</v>
      </c>
    </row>
    <row r="139" customHeight="1" spans="1:40">
      <c r="A139" s="58" t="str">
        <f>INDEX('[1]4店'!$A:$A,MATCH(B:B,'[1]4店'!$B:$B,0))</f>
        <v>美珠</v>
      </c>
      <c r="B139" s="45" t="s">
        <v>1612</v>
      </c>
      <c r="C139" s="45" t="s">
        <v>1603</v>
      </c>
      <c r="D139" s="59">
        <f>VLOOKUP(B:B,'[1]4店'!$B:$L,3,0)</f>
        <v>45181</v>
      </c>
      <c r="E139" s="45" t="s">
        <v>1613</v>
      </c>
      <c r="F139" s="45">
        <v>27</v>
      </c>
      <c r="G139" s="45">
        <v>0</v>
      </c>
      <c r="H139" s="45">
        <v>0</v>
      </c>
      <c r="I139" s="45">
        <v>0</v>
      </c>
      <c r="J139" s="45">
        <v>0</v>
      </c>
      <c r="K139" s="63">
        <f t="shared" si="60"/>
        <v>27</v>
      </c>
      <c r="L139" s="64">
        <v>11</v>
      </c>
      <c r="M139" s="44">
        <f t="shared" si="71"/>
        <v>297</v>
      </c>
      <c r="N139" s="65">
        <f>IFERROR(VLOOKUP(B:B,'4店辅助表'!B:C,2,FALSE),0)</f>
        <v>1</v>
      </c>
      <c r="O139" s="65">
        <f>IFERROR(VLOOKUP(B:B,'4店辅助表'!E:F,2,FALSE),0)</f>
        <v>3</v>
      </c>
      <c r="P139" s="65">
        <f>IFERROR(VLOOKUP(B:B,'4店辅助表'!H:I,2,FALSE),0)</f>
        <v>3</v>
      </c>
      <c r="Q139" s="65">
        <f>IFERROR(VLOOKUP(B:B,'[1]4店'!$B:$N,13,FALSE),0)</f>
        <v>2</v>
      </c>
      <c r="R139" s="79">
        <f t="shared" si="61"/>
        <v>-1</v>
      </c>
      <c r="S139" s="80">
        <f t="shared" si="62"/>
        <v>182.903225806452</v>
      </c>
      <c r="T139" s="44">
        <f t="shared" si="63"/>
        <v>6.09677419354839</v>
      </c>
      <c r="U139" s="44">
        <f>IFERROR(VLOOKUP($B:$B,'[1]4店'!$B:$T,19,0),"-")</f>
        <v>5.97058823529412</v>
      </c>
      <c r="V139" s="81">
        <f t="shared" si="64"/>
        <v>0.126185958254269</v>
      </c>
      <c r="W139" s="82" t="str">
        <f t="shared" si="65"/>
        <v>库存过高</v>
      </c>
      <c r="X139" s="83" t="str">
        <f t="shared" si="66"/>
        <v>库存过高</v>
      </c>
      <c r="Y139" s="44">
        <f>IFERROR(SUMIF('4店辅助表'!K:K,B:B,'4店辅助表'!N:N),0)</f>
        <v>0</v>
      </c>
      <c r="Z139" s="44">
        <f>IFERROR(SUMIF('4店辅助表'!T:T,B:B,'4店辅助表'!W:W),0)</f>
        <v>1.47</v>
      </c>
      <c r="AA139" s="44">
        <f>IFERROR(SUMIF('4店辅助表'!AC:AC,B:B,'4店辅助表'!AF:AF),0)</f>
        <v>2.02</v>
      </c>
      <c r="AB139" s="91" t="str">
        <f>IFERROR(SUMIF('4店辅助表'!K:K,B:B,'4店辅助表'!N:N)/SUMIF('4店辅助表'!K:K,B:B,'4店辅助表'!O:O),"-")</f>
        <v>-</v>
      </c>
      <c r="AC139" s="91">
        <f>IFERROR(VLOOKUP(B:B,'[1]4店'!$B:$AB,27,0),"-")</f>
        <v>0.113163972286374</v>
      </c>
      <c r="AD139" s="92" t="str">
        <f t="shared" si="67"/>
        <v>-</v>
      </c>
      <c r="AE139" s="91">
        <f>IFERROR(SUMIF('4店辅助表'!T:T,B:B,'4店辅助表'!W:W)/SUMIF('4店辅助表'!T:T,B:B,'4店辅助表'!X:X),"-")</f>
        <v>0.113163972286374</v>
      </c>
      <c r="AF139" s="91">
        <f>IFERROR(SUMIF('4店辅助表'!AC:AC,B:B,'4店辅助表'!AF:AF)/SUMIF('4店辅助表'!AC:AC,B:B,'4店辅助表'!AG:AG),"-")</f>
        <v>0.155504234026174</v>
      </c>
      <c r="AG139" s="99">
        <f>IFERROR(AK139/((SUMIF('4店辅助表'!AT:AT,B:B,'4店辅助表'!AU:AU)+M139)/2),"-")</f>
        <v>0.0316865908108887</v>
      </c>
      <c r="AH139" s="99">
        <f>IFERROR(AL139/((SUMIF('4店辅助表'!AW:AW,B:B,'4店辅助表'!AX:AX)+M139)/2),"-")</f>
        <v>0.0932203389830508</v>
      </c>
      <c r="AI139" s="100">
        <f>IFERROR((SUMIF('4店辅助表'!AP:AP,B:B,'4店辅助表'!AR:AR)-SUMIF('4店辅助表'!AP:AP,B:B,'4店辅助表'!AR:AR)*0.15-(L139+IFERROR(VLOOKUP(B:B,'4店辅助表'!AZ:BA,2,0),0))*O139-IF(AN:AN="US",6.85,4.9)*(Z139+4.27*O139))/SUMIF('4店辅助表'!AP:AP,B:B,'4店辅助表'!AR:AR),"-")</f>
        <v>0.303970372505622</v>
      </c>
      <c r="AJ139" s="100">
        <f t="shared" si="68"/>
        <v>0.0283362211657783</v>
      </c>
      <c r="AK139" s="101">
        <f t="shared" si="69"/>
        <v>11</v>
      </c>
      <c r="AL139" s="101">
        <f t="shared" si="70"/>
        <v>33</v>
      </c>
      <c r="AM139" s="1" t="str">
        <f>VLOOKUP(B:B,'4店辅助表'!AZ:AZ,1,FALSE)</f>
        <v>Y4075-WI+Y4076+Y4077</v>
      </c>
      <c r="AN139" t="str">
        <f>VLOOKUP(B:B,'4店辅助表'!AZ:BB,3,FALSE)</f>
        <v>US</v>
      </c>
    </row>
    <row r="140" customHeight="1" spans="1:40">
      <c r="A140" s="58" t="str">
        <f>INDEX('[1]4店'!$A:$A,MATCH(B:B,'[1]4店'!$B:$B,0))</f>
        <v>美珠</v>
      </c>
      <c r="B140" s="45" t="s">
        <v>1614</v>
      </c>
      <c r="C140" s="45" t="s">
        <v>1615</v>
      </c>
      <c r="D140" s="59">
        <f>VLOOKUP(B:B,'[1]4店'!$B:$L,3,0)</f>
        <v>45211</v>
      </c>
      <c r="E140" s="45" t="s">
        <v>1616</v>
      </c>
      <c r="F140" s="45">
        <v>30</v>
      </c>
      <c r="G140" s="45">
        <v>0</v>
      </c>
      <c r="H140" s="45">
        <v>0</v>
      </c>
      <c r="I140" s="45">
        <v>0</v>
      </c>
      <c r="J140" s="45">
        <v>0</v>
      </c>
      <c r="K140" s="63">
        <f t="shared" si="60"/>
        <v>30</v>
      </c>
      <c r="L140" s="64">
        <v>11</v>
      </c>
      <c r="M140" s="44">
        <f t="shared" si="71"/>
        <v>330</v>
      </c>
      <c r="N140" s="65">
        <f>IFERROR(VLOOKUP(B:B,'4店辅助表'!B:C,2,FALSE),0)</f>
        <v>0</v>
      </c>
      <c r="O140" s="65">
        <f>IFERROR(VLOOKUP(B:B,'4店辅助表'!E:F,2,FALSE),0)</f>
        <v>0</v>
      </c>
      <c r="P140" s="65">
        <f>IFERROR(VLOOKUP(B:B,'4店辅助表'!H:I,2,FALSE),0)</f>
        <v>0</v>
      </c>
      <c r="Q140" s="65">
        <f>IFERROR(VLOOKUP(B:B,'[1]4店'!$B:$N,13,FALSE),0)</f>
        <v>0</v>
      </c>
      <c r="R140" s="79">
        <f t="shared" si="61"/>
        <v>0</v>
      </c>
      <c r="S140" s="80" t="str">
        <f t="shared" si="62"/>
        <v>-</v>
      </c>
      <c r="T140" s="44" t="str">
        <f t="shared" si="63"/>
        <v>-</v>
      </c>
      <c r="U140" s="44" t="str">
        <f>IFERROR(VLOOKUP($B:$B,'[1]4店'!$B:$T,19,0),"-")</f>
        <v>-</v>
      </c>
      <c r="V140" s="81" t="str">
        <f t="shared" si="64"/>
        <v>-</v>
      </c>
      <c r="W140" s="82" t="str">
        <f t="shared" si="65"/>
        <v>本月刚到货</v>
      </c>
      <c r="X140" s="83" t="str">
        <f t="shared" si="66"/>
        <v>本月刚到货</v>
      </c>
      <c r="Y140" s="44">
        <f>IFERROR(SUMIF('4店辅助表'!K:K,B:B,'4店辅助表'!N:N),0)</f>
        <v>0</v>
      </c>
      <c r="Z140" s="44">
        <f>IFERROR(SUMIF('4店辅助表'!T:T,B:B,'4店辅助表'!W:W),0)</f>
        <v>0</v>
      </c>
      <c r="AA140" s="44">
        <f>IFERROR(SUMIF('4店辅助表'!AC:AC,B:B,'4店辅助表'!AF:AF),0)</f>
        <v>0</v>
      </c>
      <c r="AB140" s="91" t="str">
        <f>IFERROR(SUMIF('4店辅助表'!K:K,B:B,'4店辅助表'!N:N)/SUMIF('4店辅助表'!K:K,B:B,'4店辅助表'!O:O),"-")</f>
        <v>-</v>
      </c>
      <c r="AC140" s="91" t="str">
        <f>IFERROR(VLOOKUP(B:B,'[1]4店'!$B:$AB,27,0),"-")</f>
        <v>-</v>
      </c>
      <c r="AD140" s="92" t="str">
        <f t="shared" si="67"/>
        <v>-</v>
      </c>
      <c r="AE140" s="91" t="str">
        <f>IFERROR(SUMIF('4店辅助表'!T:T,B:B,'4店辅助表'!W:W)/SUMIF('4店辅助表'!T:T,B:B,'4店辅助表'!X:X),"-")</f>
        <v>-</v>
      </c>
      <c r="AF140" s="91" t="str">
        <f>IFERROR(SUMIF('4店辅助表'!AC:AC,B:B,'4店辅助表'!AF:AF)/SUMIF('4店辅助表'!AC:AC,B:B,'4店辅助表'!AG:AG),"-")</f>
        <v>-</v>
      </c>
      <c r="AG140" s="99">
        <f>IFERROR(AK140/((SUMIF('4店辅助表'!AT:AT,B:B,'4店辅助表'!AU:AU)+M140)/2),"-")</f>
        <v>0</v>
      </c>
      <c r="AH140" s="99">
        <f>IFERROR(AL140/((SUMIF('4店辅助表'!AW:AW,B:B,'4店辅助表'!AX:AX)+M140)/2),"-")</f>
        <v>0</v>
      </c>
      <c r="AI140" s="100" t="str">
        <f>IFERROR((SUMIF('4店辅助表'!AP:AP,B:B,'4店辅助表'!AR:AR)-SUMIF('4店辅助表'!AP:AP,B:B,'4店辅助表'!AR:AR)*0.15-(L140+IFERROR(VLOOKUP(B:B,'4店辅助表'!AZ:BA,2,0),0))*O140-IF(AN:AN="US",6.85,4.9)*(Z140+4.27*O140))/SUMIF('4店辅助表'!AP:AP,B:B,'4店辅助表'!AR:AR),"-")</f>
        <v>-</v>
      </c>
      <c r="AJ140" s="100" t="str">
        <f t="shared" si="68"/>
        <v>-</v>
      </c>
      <c r="AK140" s="101">
        <f t="shared" si="69"/>
        <v>0</v>
      </c>
      <c r="AL140" s="101">
        <f t="shared" si="70"/>
        <v>0</v>
      </c>
      <c r="AM140" s="1" t="str">
        <f>VLOOKUP(B:B,'4店辅助表'!AZ:AZ,1,FALSE)</f>
        <v>Y4087-BL+Y4088</v>
      </c>
      <c r="AN140" t="str">
        <f>VLOOKUP(B:B,'4店辅助表'!AZ:BB,3,FALSE)</f>
        <v>US</v>
      </c>
    </row>
    <row r="141" customHeight="1" spans="1:40">
      <c r="A141" s="58" t="str">
        <f>INDEX('[1]4店'!$A:$A,MATCH(B:B,'[1]4店'!$B:$B,0))</f>
        <v>美珠</v>
      </c>
      <c r="B141" s="45" t="s">
        <v>1617</v>
      </c>
      <c r="C141" s="45" t="s">
        <v>1618</v>
      </c>
      <c r="D141" s="59">
        <f>VLOOKUP(B:B,'[1]4店'!$B:$L,3,0)</f>
        <v>45211</v>
      </c>
      <c r="E141" s="45" t="s">
        <v>1619</v>
      </c>
      <c r="F141" s="45">
        <v>0</v>
      </c>
      <c r="G141" s="45">
        <v>0</v>
      </c>
      <c r="H141" s="45">
        <v>0</v>
      </c>
      <c r="I141" s="45">
        <v>30</v>
      </c>
      <c r="J141" s="45">
        <v>0</v>
      </c>
      <c r="K141" s="63">
        <f t="shared" si="60"/>
        <v>30</v>
      </c>
      <c r="L141" s="64">
        <v>11</v>
      </c>
      <c r="M141" s="44">
        <f t="shared" si="71"/>
        <v>330</v>
      </c>
      <c r="N141" s="65">
        <f>IFERROR(VLOOKUP(B:B,'4店辅助表'!B:C,2,FALSE),0)</f>
        <v>0</v>
      </c>
      <c r="O141" s="65">
        <f>IFERROR(VLOOKUP(B:B,'4店辅助表'!E:F,2,FALSE),0)</f>
        <v>0</v>
      </c>
      <c r="P141" s="65">
        <f>IFERROR(VLOOKUP(B:B,'4店辅助表'!H:I,2,FALSE),0)</f>
        <v>0</v>
      </c>
      <c r="Q141" s="65">
        <f>IFERROR(VLOOKUP(B:B,'[1]4店'!$B:$N,13,FALSE),0)</f>
        <v>0</v>
      </c>
      <c r="R141" s="79">
        <f t="shared" si="61"/>
        <v>0</v>
      </c>
      <c r="S141" s="80" t="str">
        <f t="shared" si="62"/>
        <v>-</v>
      </c>
      <c r="T141" s="44" t="str">
        <f t="shared" si="63"/>
        <v>-</v>
      </c>
      <c r="U141" s="44" t="str">
        <f>IFERROR(VLOOKUP($B:$B,'[1]4店'!$B:$T,19,0),"-")</f>
        <v>-</v>
      </c>
      <c r="V141" s="81" t="str">
        <f t="shared" si="64"/>
        <v>-</v>
      </c>
      <c r="W141" s="82" t="str">
        <f t="shared" si="65"/>
        <v>本月刚到货</v>
      </c>
      <c r="X141" s="83" t="str">
        <f t="shared" si="66"/>
        <v>本月刚到货</v>
      </c>
      <c r="Y141" s="44">
        <f>IFERROR(SUMIF('4店辅助表'!K:K,B:B,'4店辅助表'!N:N),0)</f>
        <v>0</v>
      </c>
      <c r="Z141" s="44">
        <f>IFERROR(SUMIF('4店辅助表'!T:T,B:B,'4店辅助表'!W:W),0)</f>
        <v>0</v>
      </c>
      <c r="AA141" s="44">
        <f>IFERROR(SUMIF('4店辅助表'!AC:AC,B:B,'4店辅助表'!AF:AF),0)</f>
        <v>0</v>
      </c>
      <c r="AB141" s="91" t="str">
        <f>IFERROR(SUMIF('4店辅助表'!K:K,B:B,'4店辅助表'!N:N)/SUMIF('4店辅助表'!K:K,B:B,'4店辅助表'!O:O),"-")</f>
        <v>-</v>
      </c>
      <c r="AC141" s="91" t="str">
        <f>IFERROR(VLOOKUP(B:B,'[1]4店'!$B:$AB,27,0),"-")</f>
        <v>-</v>
      </c>
      <c r="AD141" s="92" t="str">
        <f t="shared" si="67"/>
        <v>-</v>
      </c>
      <c r="AE141" s="91" t="str">
        <f>IFERROR(SUMIF('4店辅助表'!T:T,B:B,'4店辅助表'!W:W)/SUMIF('4店辅助表'!T:T,B:B,'4店辅助表'!X:X),"-")</f>
        <v>-</v>
      </c>
      <c r="AF141" s="91" t="str">
        <f>IFERROR(SUMIF('4店辅助表'!AC:AC,B:B,'4店辅助表'!AF:AF)/SUMIF('4店辅助表'!AC:AC,B:B,'4店辅助表'!AG:AG),"-")</f>
        <v>-</v>
      </c>
      <c r="AG141" s="99">
        <f>IFERROR(AK141/((SUMIF('4店辅助表'!AT:AT,B:B,'4店辅助表'!AU:AU)+M141)/2),"-")</f>
        <v>0</v>
      </c>
      <c r="AH141" s="99">
        <f>IFERROR(AL141/((SUMIF('4店辅助表'!AW:AW,B:B,'4店辅助表'!AX:AX)+M141)/2),"-")</f>
        <v>0</v>
      </c>
      <c r="AI141" s="100" t="str">
        <f>IFERROR((SUMIF('4店辅助表'!AP:AP,B:B,'4店辅助表'!AR:AR)-SUMIF('4店辅助表'!AP:AP,B:B,'4店辅助表'!AR:AR)*0.15-(L141+IFERROR(VLOOKUP(B:B,'4店辅助表'!AZ:BA,2,0),0))*O141-IF(AN:AN="US",6.85,4.9)*(Z141+4.27*O141))/SUMIF('4店辅助表'!AP:AP,B:B,'4店辅助表'!AR:AR),"-")</f>
        <v>-</v>
      </c>
      <c r="AJ141" s="100" t="str">
        <f t="shared" si="68"/>
        <v>-</v>
      </c>
      <c r="AK141" s="101">
        <f t="shared" si="69"/>
        <v>0</v>
      </c>
      <c r="AL141" s="101">
        <f t="shared" si="70"/>
        <v>0</v>
      </c>
      <c r="AM141" s="1" t="str">
        <f>VLOOKUP(B:B,'4店辅助表'!AZ:AZ,1,FALSE)</f>
        <v>Y4087-DB+Y4088</v>
      </c>
      <c r="AN141" t="str">
        <f>VLOOKUP(B:B,'4店辅助表'!AZ:BB,3,FALSE)</f>
        <v>US</v>
      </c>
    </row>
    <row r="142" customHeight="1" spans="1:40">
      <c r="A142" s="58" t="str">
        <f>INDEX('[1]4店'!$A:$A,MATCH(B:B,'[1]4店'!$B:$B,0))</f>
        <v>美珠</v>
      </c>
      <c r="B142" s="45" t="s">
        <v>1620</v>
      </c>
      <c r="C142" s="45" t="s">
        <v>1621</v>
      </c>
      <c r="D142" s="59">
        <f>VLOOKUP(B:B,'[1]4店'!$B:$L,3,0)</f>
        <v>45211</v>
      </c>
      <c r="E142" s="45" t="s">
        <v>1622</v>
      </c>
      <c r="F142" s="45">
        <v>20</v>
      </c>
      <c r="G142" s="45">
        <v>0</v>
      </c>
      <c r="H142" s="45">
        <v>0</v>
      </c>
      <c r="I142" s="45">
        <v>0</v>
      </c>
      <c r="J142" s="45">
        <v>0</v>
      </c>
      <c r="K142" s="63">
        <f t="shared" si="60"/>
        <v>20</v>
      </c>
      <c r="L142" s="64">
        <v>11</v>
      </c>
      <c r="M142" s="44">
        <f t="shared" si="71"/>
        <v>220</v>
      </c>
      <c r="N142" s="65">
        <f>IFERROR(VLOOKUP(B:B,'4店辅助表'!B:C,2,FALSE),0)</f>
        <v>0</v>
      </c>
      <c r="O142" s="65">
        <f>IFERROR(VLOOKUP(B:B,'4店辅助表'!E:F,2,FALSE),0)</f>
        <v>0</v>
      </c>
      <c r="P142" s="65">
        <f>IFERROR(VLOOKUP(B:B,'4店辅助表'!H:I,2,FALSE),0)</f>
        <v>0</v>
      </c>
      <c r="Q142" s="65">
        <f>IFERROR(VLOOKUP(B:B,'[1]4店'!$B:$N,13,FALSE),0)</f>
        <v>0</v>
      </c>
      <c r="R142" s="79">
        <f t="shared" si="61"/>
        <v>0</v>
      </c>
      <c r="S142" s="80" t="str">
        <f t="shared" si="62"/>
        <v>-</v>
      </c>
      <c r="T142" s="44" t="str">
        <f t="shared" si="63"/>
        <v>-</v>
      </c>
      <c r="U142" s="44" t="str">
        <f>IFERROR(VLOOKUP($B:$B,'[1]4店'!$B:$T,19,0),"-")</f>
        <v>-</v>
      </c>
      <c r="V142" s="81" t="str">
        <f t="shared" si="64"/>
        <v>-</v>
      </c>
      <c r="W142" s="82" t="str">
        <f t="shared" si="65"/>
        <v>本月刚到货</v>
      </c>
      <c r="X142" s="83" t="str">
        <f t="shared" si="66"/>
        <v>本月刚到货</v>
      </c>
      <c r="Y142" s="44">
        <f>IFERROR(SUMIF('4店辅助表'!K:K,B:B,'4店辅助表'!N:N),0)</f>
        <v>0</v>
      </c>
      <c r="Z142" s="44">
        <f>IFERROR(SUMIF('4店辅助表'!T:T,B:B,'4店辅助表'!W:W),0)</f>
        <v>0</v>
      </c>
      <c r="AA142" s="44">
        <f>IFERROR(SUMIF('4店辅助表'!AC:AC,B:B,'4店辅助表'!AF:AF),0)</f>
        <v>0</v>
      </c>
      <c r="AB142" s="91" t="str">
        <f>IFERROR(SUMIF('4店辅助表'!K:K,B:B,'4店辅助表'!N:N)/SUMIF('4店辅助表'!K:K,B:B,'4店辅助表'!O:O),"-")</f>
        <v>-</v>
      </c>
      <c r="AC142" s="91" t="str">
        <f>IFERROR(VLOOKUP(B:B,'[1]4店'!$B:$AB,27,0),"-")</f>
        <v>-</v>
      </c>
      <c r="AD142" s="92" t="str">
        <f t="shared" si="67"/>
        <v>-</v>
      </c>
      <c r="AE142" s="91" t="str">
        <f>IFERROR(SUMIF('4店辅助表'!T:T,B:B,'4店辅助表'!W:W)/SUMIF('4店辅助表'!T:T,B:B,'4店辅助表'!X:X),"-")</f>
        <v>-</v>
      </c>
      <c r="AF142" s="91" t="str">
        <f>IFERROR(SUMIF('4店辅助表'!AC:AC,B:B,'4店辅助表'!AF:AF)/SUMIF('4店辅助表'!AC:AC,B:B,'4店辅助表'!AG:AG),"-")</f>
        <v>-</v>
      </c>
      <c r="AG142" s="99">
        <f>IFERROR(AK142/((SUMIF('4店辅助表'!AT:AT,B:B,'4店辅助表'!AU:AU)+M142)/2),"-")</f>
        <v>0</v>
      </c>
      <c r="AH142" s="99">
        <f>IFERROR(AL142/((SUMIF('4店辅助表'!AW:AW,B:B,'4店辅助表'!AX:AX)+M142)/2),"-")</f>
        <v>0</v>
      </c>
      <c r="AI142" s="100" t="str">
        <f>IFERROR((SUMIF('4店辅助表'!AP:AP,B:B,'4店辅助表'!AR:AR)-SUMIF('4店辅助表'!AP:AP,B:B,'4店辅助表'!AR:AR)*0.15-(L142+IFERROR(VLOOKUP(B:B,'4店辅助表'!AZ:BA,2,0),0))*O142-IF(AN:AN="US",6.85,4.9)*(Z142+4.27*O142))/SUMIF('4店辅助表'!AP:AP,B:B,'4店辅助表'!AR:AR),"-")</f>
        <v>-</v>
      </c>
      <c r="AJ142" s="100" t="str">
        <f t="shared" si="68"/>
        <v>-</v>
      </c>
      <c r="AK142" s="101">
        <f t="shared" si="69"/>
        <v>0</v>
      </c>
      <c r="AL142" s="101">
        <f t="shared" si="70"/>
        <v>0</v>
      </c>
      <c r="AM142" s="1" t="str">
        <f>VLOOKUP(B:B,'4店辅助表'!AZ:AZ,1,FALSE)</f>
        <v>Y4087-GW+Y4088</v>
      </c>
      <c r="AN142" t="str">
        <f>VLOOKUP(B:B,'4店辅助表'!AZ:BB,3,FALSE)</f>
        <v>US</v>
      </c>
    </row>
    <row r="143" customHeight="1" spans="1:40">
      <c r="A143" s="58" t="str">
        <f>INDEX('[1]4店'!$A:$A,MATCH(B:B,'[1]4店'!$B:$B,0))</f>
        <v>美珠</v>
      </c>
      <c r="B143" s="45" t="s">
        <v>1623</v>
      </c>
      <c r="C143" s="45" t="s">
        <v>1624</v>
      </c>
      <c r="D143" s="59">
        <f>VLOOKUP(B:B,'[1]4店'!$B:$L,3,0)</f>
        <v>45211</v>
      </c>
      <c r="E143" s="45" t="s">
        <v>1625</v>
      </c>
      <c r="F143" s="45">
        <v>30</v>
      </c>
      <c r="G143" s="45">
        <v>0</v>
      </c>
      <c r="H143" s="45">
        <v>0</v>
      </c>
      <c r="I143" s="45">
        <v>0</v>
      </c>
      <c r="J143" s="45">
        <v>0</v>
      </c>
      <c r="K143" s="63">
        <f t="shared" si="60"/>
        <v>30</v>
      </c>
      <c r="L143" s="64">
        <v>11</v>
      </c>
      <c r="M143" s="44">
        <f t="shared" si="71"/>
        <v>330</v>
      </c>
      <c r="N143" s="65">
        <f>IFERROR(VLOOKUP(B:B,'4店辅助表'!B:C,2,FALSE),0)</f>
        <v>0</v>
      </c>
      <c r="O143" s="65">
        <f>IFERROR(VLOOKUP(B:B,'4店辅助表'!E:F,2,FALSE),0)</f>
        <v>0</v>
      </c>
      <c r="P143" s="65">
        <f>IFERROR(VLOOKUP(B:B,'4店辅助表'!H:I,2,FALSE),0)</f>
        <v>0</v>
      </c>
      <c r="Q143" s="65">
        <f>IFERROR(VLOOKUP(B:B,'[1]4店'!$B:$N,13,FALSE),0)</f>
        <v>0</v>
      </c>
      <c r="R143" s="79">
        <f t="shared" si="61"/>
        <v>0</v>
      </c>
      <c r="S143" s="80" t="str">
        <f t="shared" si="62"/>
        <v>-</v>
      </c>
      <c r="T143" s="44" t="str">
        <f t="shared" si="63"/>
        <v>-</v>
      </c>
      <c r="U143" s="44" t="str">
        <f>IFERROR(VLOOKUP($B:$B,'[1]4店'!$B:$T,19,0),"-")</f>
        <v>-</v>
      </c>
      <c r="V143" s="81" t="str">
        <f t="shared" si="64"/>
        <v>-</v>
      </c>
      <c r="W143" s="82" t="str">
        <f t="shared" si="65"/>
        <v>本月刚到货</v>
      </c>
      <c r="X143" s="83" t="str">
        <f t="shared" si="66"/>
        <v>本月刚到货</v>
      </c>
      <c r="Y143" s="44">
        <f>IFERROR(SUMIF('4店辅助表'!K:K,B:B,'4店辅助表'!N:N),0)</f>
        <v>0</v>
      </c>
      <c r="Z143" s="44">
        <f>IFERROR(SUMIF('4店辅助表'!T:T,B:B,'4店辅助表'!W:W),0)</f>
        <v>0</v>
      </c>
      <c r="AA143" s="44">
        <f>IFERROR(SUMIF('4店辅助表'!AC:AC,B:B,'4店辅助表'!AF:AF),0)</f>
        <v>0</v>
      </c>
      <c r="AB143" s="91" t="str">
        <f>IFERROR(SUMIF('4店辅助表'!K:K,B:B,'4店辅助表'!N:N)/SUMIF('4店辅助表'!K:K,B:B,'4店辅助表'!O:O),"-")</f>
        <v>-</v>
      </c>
      <c r="AC143" s="91" t="str">
        <f>IFERROR(VLOOKUP(B:B,'[1]4店'!$B:$AB,27,0),"-")</f>
        <v>-</v>
      </c>
      <c r="AD143" s="92" t="str">
        <f t="shared" si="67"/>
        <v>-</v>
      </c>
      <c r="AE143" s="91" t="str">
        <f>IFERROR(SUMIF('4店辅助表'!T:T,B:B,'4店辅助表'!W:W)/SUMIF('4店辅助表'!T:T,B:B,'4店辅助表'!X:X),"-")</f>
        <v>-</v>
      </c>
      <c r="AF143" s="91" t="str">
        <f>IFERROR(SUMIF('4店辅助表'!AC:AC,B:B,'4店辅助表'!AF:AF)/SUMIF('4店辅助表'!AC:AC,B:B,'4店辅助表'!AG:AG),"-")</f>
        <v>-</v>
      </c>
      <c r="AG143" s="99">
        <f>IFERROR(AK143/((SUMIF('4店辅助表'!AT:AT,B:B,'4店辅助表'!AU:AU)+M143)/2),"-")</f>
        <v>0</v>
      </c>
      <c r="AH143" s="99">
        <f>IFERROR(AL143/((SUMIF('4店辅助表'!AW:AW,B:B,'4店辅助表'!AX:AX)+M143)/2),"-")</f>
        <v>0</v>
      </c>
      <c r="AI143" s="100" t="str">
        <f>IFERROR((SUMIF('4店辅助表'!AP:AP,B:B,'4店辅助表'!AR:AR)-SUMIF('4店辅助表'!AP:AP,B:B,'4店辅助表'!AR:AR)*0.15-(L143+IFERROR(VLOOKUP(B:B,'4店辅助表'!AZ:BA,2,0),0))*O143-IF(AN:AN="US",6.85,4.9)*(Z143+4.27*O143))/SUMIF('4店辅助表'!AP:AP,B:B,'4店辅助表'!AR:AR),"-")</f>
        <v>-</v>
      </c>
      <c r="AJ143" s="100" t="str">
        <f t="shared" si="68"/>
        <v>-</v>
      </c>
      <c r="AK143" s="101">
        <f t="shared" si="69"/>
        <v>0</v>
      </c>
      <c r="AL143" s="101">
        <f t="shared" si="70"/>
        <v>0</v>
      </c>
      <c r="AM143" s="1" t="str">
        <f>VLOOKUP(B:B,'4店辅助表'!AZ:AZ,1,FALSE)</f>
        <v>Y4087-OR+Y4088</v>
      </c>
      <c r="AN143" t="str">
        <f>VLOOKUP(B:B,'4店辅助表'!AZ:BB,3,FALSE)</f>
        <v>US</v>
      </c>
    </row>
    <row r="144" customHeight="1" spans="1:40">
      <c r="A144" s="58" t="str">
        <f>INDEX('[1]4店'!$A:$A,MATCH(B:B,'[1]4店'!$B:$B,0))</f>
        <v>美珠</v>
      </c>
      <c r="B144" s="45" t="s">
        <v>1626</v>
      </c>
      <c r="C144" s="45" t="s">
        <v>1627</v>
      </c>
      <c r="D144" s="59">
        <f>VLOOKUP(B:B,'[1]4店'!$B:$L,3,0)</f>
        <v>45211</v>
      </c>
      <c r="E144" s="45" t="s">
        <v>1628</v>
      </c>
      <c r="F144" s="45">
        <v>20</v>
      </c>
      <c r="G144" s="45">
        <v>0</v>
      </c>
      <c r="H144" s="45">
        <v>0</v>
      </c>
      <c r="I144" s="45">
        <v>0</v>
      </c>
      <c r="J144" s="45">
        <v>0</v>
      </c>
      <c r="K144" s="63">
        <f t="shared" si="60"/>
        <v>20</v>
      </c>
      <c r="L144" s="64">
        <v>11</v>
      </c>
      <c r="M144" s="44">
        <f t="shared" si="71"/>
        <v>220</v>
      </c>
      <c r="N144" s="65">
        <f>IFERROR(VLOOKUP(B:B,'4店辅助表'!B:C,2,FALSE),0)</f>
        <v>0</v>
      </c>
      <c r="O144" s="65">
        <f>IFERROR(VLOOKUP(B:B,'4店辅助表'!E:F,2,FALSE),0)</f>
        <v>0</v>
      </c>
      <c r="P144" s="65">
        <f>IFERROR(VLOOKUP(B:B,'4店辅助表'!H:I,2,FALSE),0)</f>
        <v>0</v>
      </c>
      <c r="Q144" s="65">
        <f>IFERROR(VLOOKUP(B:B,'[1]4店'!$B:$N,13,FALSE),0)</f>
        <v>0</v>
      </c>
      <c r="R144" s="79">
        <f t="shared" si="61"/>
        <v>0</v>
      </c>
      <c r="S144" s="80" t="str">
        <f t="shared" si="62"/>
        <v>-</v>
      </c>
      <c r="T144" s="44" t="str">
        <f t="shared" si="63"/>
        <v>-</v>
      </c>
      <c r="U144" s="44" t="str">
        <f>IFERROR(VLOOKUP($B:$B,'[1]4店'!$B:$T,19,0),"-")</f>
        <v>-</v>
      </c>
      <c r="V144" s="81" t="str">
        <f t="shared" si="64"/>
        <v>-</v>
      </c>
      <c r="W144" s="82" t="str">
        <f t="shared" si="65"/>
        <v>本月刚到货</v>
      </c>
      <c r="X144" s="83" t="str">
        <f t="shared" si="66"/>
        <v>本月刚到货</v>
      </c>
      <c r="Y144" s="44">
        <f>IFERROR(SUMIF('4店辅助表'!K:K,B:B,'4店辅助表'!N:N),0)</f>
        <v>0</v>
      </c>
      <c r="Z144" s="44">
        <f>IFERROR(SUMIF('4店辅助表'!T:T,B:B,'4店辅助表'!W:W),0)</f>
        <v>0</v>
      </c>
      <c r="AA144" s="44">
        <f>IFERROR(SUMIF('4店辅助表'!AC:AC,B:B,'4店辅助表'!AF:AF),0)</f>
        <v>0</v>
      </c>
      <c r="AB144" s="91" t="str">
        <f>IFERROR(SUMIF('4店辅助表'!K:K,B:B,'4店辅助表'!N:N)/SUMIF('4店辅助表'!K:K,B:B,'4店辅助表'!O:O),"-")</f>
        <v>-</v>
      </c>
      <c r="AC144" s="91" t="str">
        <f>IFERROR(VLOOKUP(B:B,'[1]4店'!$B:$AB,27,0),"-")</f>
        <v>-</v>
      </c>
      <c r="AD144" s="92" t="str">
        <f t="shared" si="67"/>
        <v>-</v>
      </c>
      <c r="AE144" s="91" t="str">
        <f>IFERROR(SUMIF('4店辅助表'!T:T,B:B,'4店辅助表'!W:W)/SUMIF('4店辅助表'!T:T,B:B,'4店辅助表'!X:X),"-")</f>
        <v>-</v>
      </c>
      <c r="AF144" s="91" t="str">
        <f>IFERROR(SUMIF('4店辅助表'!AC:AC,B:B,'4店辅助表'!AF:AF)/SUMIF('4店辅助表'!AC:AC,B:B,'4店辅助表'!AG:AG),"-")</f>
        <v>-</v>
      </c>
      <c r="AG144" s="99">
        <f>IFERROR(AK144/((SUMIF('4店辅助表'!AT:AT,B:B,'4店辅助表'!AU:AU)+M144)/2),"-")</f>
        <v>0</v>
      </c>
      <c r="AH144" s="99">
        <f>IFERROR(AL144/((SUMIF('4店辅助表'!AW:AW,B:B,'4店辅助表'!AX:AX)+M144)/2),"-")</f>
        <v>0</v>
      </c>
      <c r="AI144" s="100" t="str">
        <f>IFERROR((SUMIF('4店辅助表'!AP:AP,B:B,'4店辅助表'!AR:AR)-SUMIF('4店辅助表'!AP:AP,B:B,'4店辅助表'!AR:AR)*0.15-(L144+IFERROR(VLOOKUP(B:B,'4店辅助表'!AZ:BA,2,0),0))*O144-IF(AN:AN="US",6.85,4.9)*(Z144+4.27*O144))/SUMIF('4店辅助表'!AP:AP,B:B,'4店辅助表'!AR:AR),"-")</f>
        <v>-</v>
      </c>
      <c r="AJ144" s="100" t="str">
        <f t="shared" si="68"/>
        <v>-</v>
      </c>
      <c r="AK144" s="101">
        <f t="shared" si="69"/>
        <v>0</v>
      </c>
      <c r="AL144" s="101">
        <f t="shared" si="70"/>
        <v>0</v>
      </c>
      <c r="AM144" s="1" t="str">
        <f>VLOOKUP(B:B,'4店辅助表'!AZ:AZ,1,FALSE)</f>
        <v>Y4087-WI+Y4088</v>
      </c>
      <c r="AN144" t="str">
        <f>VLOOKUP(B:B,'4店辅助表'!AZ:BB,3,FALSE)</f>
        <v>US</v>
      </c>
    </row>
    <row r="145" customHeight="1" spans="1:40">
      <c r="A145" s="58" t="str">
        <f>INDEX('[1]4店'!$A:$A,MATCH(B:B,'[1]4店'!$B:$B,0))</f>
        <v>美珠</v>
      </c>
      <c r="B145" s="45" t="s">
        <v>1629</v>
      </c>
      <c r="C145" s="45" t="s">
        <v>1630</v>
      </c>
      <c r="D145" s="59">
        <f>VLOOKUP(B:B,'[1]4店'!$B:$L,3,0)</f>
        <v>45211</v>
      </c>
      <c r="E145" s="45" t="s">
        <v>1631</v>
      </c>
      <c r="F145" s="45">
        <v>26</v>
      </c>
      <c r="G145" s="45">
        <v>0</v>
      </c>
      <c r="H145" s="45">
        <v>5</v>
      </c>
      <c r="I145" s="45">
        <v>0</v>
      </c>
      <c r="J145" s="45">
        <v>0</v>
      </c>
      <c r="K145" s="63">
        <f t="shared" si="60"/>
        <v>31</v>
      </c>
      <c r="L145" s="64">
        <v>11</v>
      </c>
      <c r="M145" s="44">
        <f t="shared" si="71"/>
        <v>341</v>
      </c>
      <c r="N145" s="65">
        <f>IFERROR(VLOOKUP(B:B,'4店辅助表'!B:C,2,FALSE),0)</f>
        <v>1</v>
      </c>
      <c r="O145" s="65">
        <f>IFERROR(VLOOKUP(B:B,'4店辅助表'!E:F,2,FALSE),0)</f>
        <v>1</v>
      </c>
      <c r="P145" s="65">
        <f>IFERROR(VLOOKUP(B:B,'4店辅助表'!H:I,2,FALSE),0)</f>
        <v>1</v>
      </c>
      <c r="Q145" s="65">
        <f>IFERROR(VLOOKUP(B:B,'[1]4店'!$B:$N,13,FALSE),0)</f>
        <v>0</v>
      </c>
      <c r="R145" s="79">
        <f t="shared" si="61"/>
        <v>1</v>
      </c>
      <c r="S145" s="80">
        <f t="shared" si="62"/>
        <v>382.941176470588</v>
      </c>
      <c r="T145" s="44">
        <f t="shared" si="63"/>
        <v>12.7647058823529</v>
      </c>
      <c r="U145" s="44" t="str">
        <f>IFERROR(VLOOKUP($B:$B,'[1]4店'!$B:$T,19,0),"-")</f>
        <v>-</v>
      </c>
      <c r="V145" s="81" t="str">
        <f t="shared" si="64"/>
        <v>-</v>
      </c>
      <c r="W145" s="82" t="str">
        <f t="shared" si="65"/>
        <v>本月刚到货</v>
      </c>
      <c r="X145" s="83" t="str">
        <f t="shared" si="66"/>
        <v>本月刚到货</v>
      </c>
      <c r="Y145" s="44">
        <f>IFERROR(SUMIF('4店辅助表'!K:K,B:B,'4店辅助表'!N:N),0)</f>
        <v>0</v>
      </c>
      <c r="Z145" s="44">
        <f>IFERROR(SUMIF('4店辅助表'!T:T,B:B,'4店辅助表'!W:W),0)</f>
        <v>0</v>
      </c>
      <c r="AA145" s="44">
        <f>IFERROR(SUMIF('4店辅助表'!AC:AC,B:B,'4店辅助表'!AF:AF),0)</f>
        <v>0</v>
      </c>
      <c r="AB145" s="91" t="str">
        <f>IFERROR(SUMIF('4店辅助表'!K:K,B:B,'4店辅助表'!N:N)/SUMIF('4店辅助表'!K:K,B:B,'4店辅助表'!O:O),"-")</f>
        <v>-</v>
      </c>
      <c r="AC145" s="91" t="str">
        <f>IFERROR(VLOOKUP(B:B,'[1]4店'!$B:$AB,27,0),"-")</f>
        <v>-</v>
      </c>
      <c r="AD145" s="92" t="str">
        <f t="shared" si="67"/>
        <v>-</v>
      </c>
      <c r="AE145" s="91" t="str">
        <f>IFERROR(SUMIF('4店辅助表'!T:T,B:B,'4店辅助表'!W:W)/SUMIF('4店辅助表'!T:T,B:B,'4店辅助表'!X:X),"-")</f>
        <v>-</v>
      </c>
      <c r="AF145" s="91" t="str">
        <f>IFERROR(SUMIF('4店辅助表'!AC:AC,B:B,'4店辅助表'!AF:AF)/SUMIF('4店辅助表'!AC:AC,B:B,'4店辅助表'!AG:AG),"-")</f>
        <v>-</v>
      </c>
      <c r="AG145" s="99">
        <f>IFERROR(AK145/((SUMIF('4店辅助表'!AT:AT,B:B,'4店辅助表'!AU:AU)+M145)/2),"-")</f>
        <v>0.0327868852459016</v>
      </c>
      <c r="AH145" s="99">
        <f>IFERROR(AL145/((SUMIF('4店辅助表'!AW:AW,B:B,'4店辅助表'!AX:AX)+M145)/2),"-")</f>
        <v>0.0645161290322581</v>
      </c>
      <c r="AI145" s="100">
        <f>IFERROR((SUMIF('4店辅助表'!AP:AP,B:B,'4店辅助表'!AR:AR)-SUMIF('4店辅助表'!AP:AP,B:B,'4店辅助表'!AR:AR)*0.15-(L145+IFERROR(VLOOKUP(B:B,'4店辅助表'!AZ:BA,2,0),0))*O145-IF(AN:AN="US",6.85,4.9)*(Z145+4.27*O145))/SUMIF('4店辅助表'!AP:AP,B:B,'4店辅助表'!AR:AR),"-")</f>
        <v>0.380065238279867</v>
      </c>
      <c r="AJ145" s="100">
        <f t="shared" si="68"/>
        <v>0.0245203379535398</v>
      </c>
      <c r="AK145" s="101">
        <f t="shared" si="69"/>
        <v>11</v>
      </c>
      <c r="AL145" s="101">
        <f t="shared" si="70"/>
        <v>11</v>
      </c>
      <c r="AM145" s="1" t="str">
        <f>VLOOKUP(B:B,'4店辅助表'!AZ:AZ,1,FALSE)</f>
        <v>Y4089-BL+Y4090</v>
      </c>
      <c r="AN145" t="str">
        <f>VLOOKUP(B:B,'4店辅助表'!AZ:BB,3,FALSE)</f>
        <v>US</v>
      </c>
    </row>
    <row r="146" customHeight="1" spans="1:40">
      <c r="A146" s="58" t="str">
        <f>INDEX('[1]4店'!$A:$A,MATCH(B:B,'[1]4店'!$B:$B,0))</f>
        <v>美珠</v>
      </c>
      <c r="B146" s="45" t="s">
        <v>1632</v>
      </c>
      <c r="C146" s="45" t="s">
        <v>1633</v>
      </c>
      <c r="D146" s="59">
        <f>VLOOKUP(B:B,'[1]4店'!$B:$L,3,0)</f>
        <v>45211</v>
      </c>
      <c r="E146" s="45" t="s">
        <v>1634</v>
      </c>
      <c r="F146" s="45">
        <v>0</v>
      </c>
      <c r="G146" s="45">
        <v>0</v>
      </c>
      <c r="H146" s="45">
        <v>0</v>
      </c>
      <c r="I146" s="45">
        <v>30</v>
      </c>
      <c r="J146" s="45">
        <v>0</v>
      </c>
      <c r="K146" s="63">
        <f t="shared" si="60"/>
        <v>30</v>
      </c>
      <c r="L146" s="64">
        <v>11</v>
      </c>
      <c r="M146" s="44">
        <f t="shared" si="71"/>
        <v>330</v>
      </c>
      <c r="N146" s="65">
        <f>IFERROR(VLOOKUP(B:B,'4店辅助表'!B:C,2,FALSE),0)</f>
        <v>0</v>
      </c>
      <c r="O146" s="65">
        <f>IFERROR(VLOOKUP(B:B,'4店辅助表'!E:F,2,FALSE),0)</f>
        <v>0</v>
      </c>
      <c r="P146" s="65">
        <f>IFERROR(VLOOKUP(B:B,'4店辅助表'!H:I,2,FALSE),0)</f>
        <v>0</v>
      </c>
      <c r="Q146" s="65">
        <f>IFERROR(VLOOKUP(B:B,'[1]4店'!$B:$N,13,FALSE),0)</f>
        <v>0</v>
      </c>
      <c r="R146" s="79">
        <f t="shared" si="61"/>
        <v>0</v>
      </c>
      <c r="S146" s="80" t="str">
        <f t="shared" si="62"/>
        <v>-</v>
      </c>
      <c r="T146" s="44" t="str">
        <f t="shared" si="63"/>
        <v>-</v>
      </c>
      <c r="U146" s="44" t="str">
        <f>IFERROR(VLOOKUP($B:$B,'[1]4店'!$B:$T,19,0),"-")</f>
        <v>-</v>
      </c>
      <c r="V146" s="81" t="str">
        <f t="shared" si="64"/>
        <v>-</v>
      </c>
      <c r="W146" s="82" t="str">
        <f t="shared" si="65"/>
        <v>本月刚到货</v>
      </c>
      <c r="X146" s="83" t="str">
        <f t="shared" si="66"/>
        <v>本月刚到货</v>
      </c>
      <c r="Y146" s="44">
        <f>IFERROR(SUMIF('4店辅助表'!K:K,B:B,'4店辅助表'!N:N),0)</f>
        <v>0</v>
      </c>
      <c r="Z146" s="44">
        <f>IFERROR(SUMIF('4店辅助表'!T:T,B:B,'4店辅助表'!W:W),0)</f>
        <v>0</v>
      </c>
      <c r="AA146" s="44">
        <f>IFERROR(SUMIF('4店辅助表'!AC:AC,B:B,'4店辅助表'!AF:AF),0)</f>
        <v>0</v>
      </c>
      <c r="AB146" s="91" t="str">
        <f>IFERROR(SUMIF('4店辅助表'!K:K,B:B,'4店辅助表'!N:N)/SUMIF('4店辅助表'!K:K,B:B,'4店辅助表'!O:O),"-")</f>
        <v>-</v>
      </c>
      <c r="AC146" s="91" t="str">
        <f>IFERROR(VLOOKUP(B:B,'[1]4店'!$B:$AB,27,0),"-")</f>
        <v>-</v>
      </c>
      <c r="AD146" s="92" t="str">
        <f t="shared" si="67"/>
        <v>-</v>
      </c>
      <c r="AE146" s="91" t="str">
        <f>IFERROR(SUMIF('4店辅助表'!T:T,B:B,'4店辅助表'!W:W)/SUMIF('4店辅助表'!T:T,B:B,'4店辅助表'!X:X),"-")</f>
        <v>-</v>
      </c>
      <c r="AF146" s="91" t="str">
        <f>IFERROR(SUMIF('4店辅助表'!AC:AC,B:B,'4店辅助表'!AF:AF)/SUMIF('4店辅助表'!AC:AC,B:B,'4店辅助表'!AG:AG),"-")</f>
        <v>-</v>
      </c>
      <c r="AG146" s="99">
        <f>IFERROR(AK146/((SUMIF('4店辅助表'!AT:AT,B:B,'4店辅助表'!AU:AU)+M146)/2),"-")</f>
        <v>0</v>
      </c>
      <c r="AH146" s="99">
        <f>IFERROR(AL146/((SUMIF('4店辅助表'!AW:AW,B:B,'4店辅助表'!AX:AX)+M146)/2),"-")</f>
        <v>0</v>
      </c>
      <c r="AI146" s="100" t="str">
        <f>IFERROR((SUMIF('4店辅助表'!AP:AP,B:B,'4店辅助表'!AR:AR)-SUMIF('4店辅助表'!AP:AP,B:B,'4店辅助表'!AR:AR)*0.15-(L146+IFERROR(VLOOKUP(B:B,'4店辅助表'!AZ:BA,2,0),0))*O146-IF(AN:AN="US",6.85,4.9)*(Z146+4.27*O146))/SUMIF('4店辅助表'!AP:AP,B:B,'4店辅助表'!AR:AR),"-")</f>
        <v>-</v>
      </c>
      <c r="AJ146" s="100" t="str">
        <f t="shared" si="68"/>
        <v>-</v>
      </c>
      <c r="AK146" s="101">
        <f t="shared" si="69"/>
        <v>0</v>
      </c>
      <c r="AL146" s="101">
        <f t="shared" si="70"/>
        <v>0</v>
      </c>
      <c r="AM146" s="1" t="str">
        <f>VLOOKUP(B:B,'4店辅助表'!AZ:AZ,1,FALSE)</f>
        <v>Y4089-DB+Y4090</v>
      </c>
      <c r="AN146" t="str">
        <f>VLOOKUP(B:B,'4店辅助表'!AZ:BB,3,FALSE)</f>
        <v>US</v>
      </c>
    </row>
    <row r="147" customHeight="1" spans="1:40">
      <c r="A147" s="58" t="str">
        <f>INDEX('[1]4店'!$A:$A,MATCH(B:B,'[1]4店'!$B:$B,0))</f>
        <v>美珠</v>
      </c>
      <c r="B147" s="45" t="s">
        <v>1635</v>
      </c>
      <c r="C147" s="45" t="s">
        <v>1636</v>
      </c>
      <c r="D147" s="59">
        <f>VLOOKUP(B:B,'[1]4店'!$B:$L,3,0)</f>
        <v>45211</v>
      </c>
      <c r="E147" s="45" t="s">
        <v>1637</v>
      </c>
      <c r="F147" s="45">
        <v>0</v>
      </c>
      <c r="G147" s="45">
        <v>0</v>
      </c>
      <c r="H147" s="45">
        <v>0</v>
      </c>
      <c r="I147" s="45">
        <v>20</v>
      </c>
      <c r="J147" s="45">
        <v>0</v>
      </c>
      <c r="K147" s="63">
        <f t="shared" si="60"/>
        <v>20</v>
      </c>
      <c r="L147" s="64">
        <v>11</v>
      </c>
      <c r="M147" s="44">
        <f t="shared" si="71"/>
        <v>220</v>
      </c>
      <c r="N147" s="65">
        <f>IFERROR(VLOOKUP(B:B,'4店辅助表'!B:C,2,FALSE),0)</f>
        <v>0</v>
      </c>
      <c r="O147" s="65">
        <f>IFERROR(VLOOKUP(B:B,'4店辅助表'!E:F,2,FALSE),0)</f>
        <v>0</v>
      </c>
      <c r="P147" s="65">
        <f>IFERROR(VLOOKUP(B:B,'4店辅助表'!H:I,2,FALSE),0)</f>
        <v>0</v>
      </c>
      <c r="Q147" s="65">
        <f>IFERROR(VLOOKUP(B:B,'[1]4店'!$B:$N,13,FALSE),0)</f>
        <v>0</v>
      </c>
      <c r="R147" s="79">
        <f t="shared" si="61"/>
        <v>0</v>
      </c>
      <c r="S147" s="80" t="str">
        <f t="shared" si="62"/>
        <v>-</v>
      </c>
      <c r="T147" s="44" t="str">
        <f t="shared" si="63"/>
        <v>-</v>
      </c>
      <c r="U147" s="44" t="str">
        <f>IFERROR(VLOOKUP($B:$B,'[1]4店'!$B:$T,19,0),"-")</f>
        <v>-</v>
      </c>
      <c r="V147" s="81" t="str">
        <f t="shared" si="64"/>
        <v>-</v>
      </c>
      <c r="W147" s="82" t="str">
        <f t="shared" si="65"/>
        <v>本月刚到货</v>
      </c>
      <c r="X147" s="83" t="str">
        <f t="shared" si="66"/>
        <v>本月刚到货</v>
      </c>
      <c r="Y147" s="44">
        <f>IFERROR(SUMIF('4店辅助表'!K:K,B:B,'4店辅助表'!N:N),0)</f>
        <v>0</v>
      </c>
      <c r="Z147" s="44">
        <f>IFERROR(SUMIF('4店辅助表'!T:T,B:B,'4店辅助表'!W:W),0)</f>
        <v>0</v>
      </c>
      <c r="AA147" s="44">
        <f>IFERROR(SUMIF('4店辅助表'!AC:AC,B:B,'4店辅助表'!AF:AF),0)</f>
        <v>0</v>
      </c>
      <c r="AB147" s="91" t="str">
        <f>IFERROR(SUMIF('4店辅助表'!K:K,B:B,'4店辅助表'!N:N)/SUMIF('4店辅助表'!K:K,B:B,'4店辅助表'!O:O),"-")</f>
        <v>-</v>
      </c>
      <c r="AC147" s="91" t="str">
        <f>IFERROR(VLOOKUP(B:B,'[1]4店'!$B:$AB,27,0),"-")</f>
        <v>-</v>
      </c>
      <c r="AD147" s="92" t="str">
        <f t="shared" si="67"/>
        <v>-</v>
      </c>
      <c r="AE147" s="91" t="str">
        <f>IFERROR(SUMIF('4店辅助表'!T:T,B:B,'4店辅助表'!W:W)/SUMIF('4店辅助表'!T:T,B:B,'4店辅助表'!X:X),"-")</f>
        <v>-</v>
      </c>
      <c r="AF147" s="91" t="str">
        <f>IFERROR(SUMIF('4店辅助表'!AC:AC,B:B,'4店辅助表'!AF:AF)/SUMIF('4店辅助表'!AC:AC,B:B,'4店辅助表'!AG:AG),"-")</f>
        <v>-</v>
      </c>
      <c r="AG147" s="99">
        <f>IFERROR(AK147/((SUMIF('4店辅助表'!AT:AT,B:B,'4店辅助表'!AU:AU)+M147)/2),"-")</f>
        <v>0</v>
      </c>
      <c r="AH147" s="99">
        <f>IFERROR(AL147/((SUMIF('4店辅助表'!AW:AW,B:B,'4店辅助表'!AX:AX)+M147)/2),"-")</f>
        <v>0</v>
      </c>
      <c r="AI147" s="100" t="str">
        <f>IFERROR((SUMIF('4店辅助表'!AP:AP,B:B,'4店辅助表'!AR:AR)-SUMIF('4店辅助表'!AP:AP,B:B,'4店辅助表'!AR:AR)*0.15-(L147+IFERROR(VLOOKUP(B:B,'4店辅助表'!AZ:BA,2,0),0))*O147-IF(AN:AN="US",6.85,4.9)*(Z147+4.27*O147))/SUMIF('4店辅助表'!AP:AP,B:B,'4店辅助表'!AR:AR),"-")</f>
        <v>-</v>
      </c>
      <c r="AJ147" s="100" t="str">
        <f t="shared" si="68"/>
        <v>-</v>
      </c>
      <c r="AK147" s="101">
        <f t="shared" si="69"/>
        <v>0</v>
      </c>
      <c r="AL147" s="101">
        <f t="shared" si="70"/>
        <v>0</v>
      </c>
      <c r="AM147" s="1" t="str">
        <f>VLOOKUP(B:B,'4店辅助表'!AZ:AZ,1,FALSE)</f>
        <v>Y4089-GW+Y4090</v>
      </c>
      <c r="AN147" t="str">
        <f>VLOOKUP(B:B,'4店辅助表'!AZ:BB,3,FALSE)</f>
        <v>US</v>
      </c>
    </row>
    <row r="148" customHeight="1" spans="1:40">
      <c r="A148" s="58" t="str">
        <f>INDEX('[1]4店'!$A:$A,MATCH(B:B,'[1]4店'!$B:$B,0))</f>
        <v>美珠</v>
      </c>
      <c r="B148" s="45" t="s">
        <v>1638</v>
      </c>
      <c r="C148" s="45" t="s">
        <v>1639</v>
      </c>
      <c r="D148" s="59">
        <f>VLOOKUP(B:B,'[1]4店'!$B:$L,3,0)</f>
        <v>45211</v>
      </c>
      <c r="E148" s="45" t="s">
        <v>1640</v>
      </c>
      <c r="F148" s="45">
        <v>0</v>
      </c>
      <c r="G148" s="45">
        <v>0</v>
      </c>
      <c r="H148" s="45">
        <v>0</v>
      </c>
      <c r="I148" s="45">
        <v>30</v>
      </c>
      <c r="J148" s="45">
        <v>0</v>
      </c>
      <c r="K148" s="63">
        <f t="shared" si="60"/>
        <v>30</v>
      </c>
      <c r="L148" s="64">
        <v>11</v>
      </c>
      <c r="M148" s="44">
        <f t="shared" si="71"/>
        <v>330</v>
      </c>
      <c r="N148" s="65">
        <f>IFERROR(VLOOKUP(B:B,'4店辅助表'!B:C,2,FALSE),0)</f>
        <v>0</v>
      </c>
      <c r="O148" s="65">
        <f>IFERROR(VLOOKUP(B:B,'4店辅助表'!E:F,2,FALSE),0)</f>
        <v>0</v>
      </c>
      <c r="P148" s="65">
        <f>IFERROR(VLOOKUP(B:B,'4店辅助表'!H:I,2,FALSE),0)</f>
        <v>0</v>
      </c>
      <c r="Q148" s="65">
        <f>IFERROR(VLOOKUP(B:B,'[1]4店'!$B:$N,13,FALSE),0)</f>
        <v>0</v>
      </c>
      <c r="R148" s="79">
        <f t="shared" si="61"/>
        <v>0</v>
      </c>
      <c r="S148" s="80" t="str">
        <f t="shared" si="62"/>
        <v>-</v>
      </c>
      <c r="T148" s="44" t="str">
        <f t="shared" si="63"/>
        <v>-</v>
      </c>
      <c r="U148" s="44" t="str">
        <f>IFERROR(VLOOKUP($B:$B,'[1]4店'!$B:$T,19,0),"-")</f>
        <v>-</v>
      </c>
      <c r="V148" s="81" t="str">
        <f t="shared" si="64"/>
        <v>-</v>
      </c>
      <c r="W148" s="82" t="str">
        <f t="shared" si="65"/>
        <v>本月刚到货</v>
      </c>
      <c r="X148" s="83" t="str">
        <f t="shared" si="66"/>
        <v>本月刚到货</v>
      </c>
      <c r="Y148" s="44">
        <f>IFERROR(SUMIF('4店辅助表'!K:K,B:B,'4店辅助表'!N:N),0)</f>
        <v>0</v>
      </c>
      <c r="Z148" s="44">
        <f>IFERROR(SUMIF('4店辅助表'!T:T,B:B,'4店辅助表'!W:W),0)</f>
        <v>0</v>
      </c>
      <c r="AA148" s="44">
        <f>IFERROR(SUMIF('4店辅助表'!AC:AC,B:B,'4店辅助表'!AF:AF),0)</f>
        <v>0</v>
      </c>
      <c r="AB148" s="91" t="str">
        <f>IFERROR(SUMIF('4店辅助表'!K:K,B:B,'4店辅助表'!N:N)/SUMIF('4店辅助表'!K:K,B:B,'4店辅助表'!O:O),"-")</f>
        <v>-</v>
      </c>
      <c r="AC148" s="91" t="str">
        <f>IFERROR(VLOOKUP(B:B,'[1]4店'!$B:$AB,27,0),"-")</f>
        <v>-</v>
      </c>
      <c r="AD148" s="92" t="str">
        <f t="shared" si="67"/>
        <v>-</v>
      </c>
      <c r="AE148" s="91" t="str">
        <f>IFERROR(SUMIF('4店辅助表'!T:T,B:B,'4店辅助表'!W:W)/SUMIF('4店辅助表'!T:T,B:B,'4店辅助表'!X:X),"-")</f>
        <v>-</v>
      </c>
      <c r="AF148" s="91" t="str">
        <f>IFERROR(SUMIF('4店辅助表'!AC:AC,B:B,'4店辅助表'!AF:AF)/SUMIF('4店辅助表'!AC:AC,B:B,'4店辅助表'!AG:AG),"-")</f>
        <v>-</v>
      </c>
      <c r="AG148" s="99">
        <f>IFERROR(AK148/((SUMIF('4店辅助表'!AT:AT,B:B,'4店辅助表'!AU:AU)+M148)/2),"-")</f>
        <v>0</v>
      </c>
      <c r="AH148" s="99">
        <f>IFERROR(AL148/((SUMIF('4店辅助表'!AW:AW,B:B,'4店辅助表'!AX:AX)+M148)/2),"-")</f>
        <v>0</v>
      </c>
      <c r="AI148" s="100" t="str">
        <f>IFERROR((SUMIF('4店辅助表'!AP:AP,B:B,'4店辅助表'!AR:AR)-SUMIF('4店辅助表'!AP:AP,B:B,'4店辅助表'!AR:AR)*0.15-(L148+IFERROR(VLOOKUP(B:B,'4店辅助表'!AZ:BA,2,0),0))*O148-IF(AN:AN="US",6.85,4.9)*(Z148+4.27*O148))/SUMIF('4店辅助表'!AP:AP,B:B,'4店辅助表'!AR:AR),"-")</f>
        <v>-</v>
      </c>
      <c r="AJ148" s="100" t="str">
        <f t="shared" si="68"/>
        <v>-</v>
      </c>
      <c r="AK148" s="101">
        <f t="shared" si="69"/>
        <v>0</v>
      </c>
      <c r="AL148" s="101">
        <f t="shared" si="70"/>
        <v>0</v>
      </c>
      <c r="AM148" s="1" t="str">
        <f>VLOOKUP(B:B,'4店辅助表'!AZ:AZ,1,FALSE)</f>
        <v>Y4089-OR+Y4090</v>
      </c>
      <c r="AN148" t="str">
        <f>VLOOKUP(B:B,'4店辅助表'!AZ:BB,3,FALSE)</f>
        <v>US</v>
      </c>
    </row>
    <row r="149" customHeight="1" spans="1:40">
      <c r="A149" s="58" t="str">
        <f>INDEX('[1]4店'!$A:$A,MATCH(B:B,'[1]4店'!$B:$B,0))</f>
        <v>美珠</v>
      </c>
      <c r="B149" s="45" t="s">
        <v>1641</v>
      </c>
      <c r="C149" s="45" t="s">
        <v>1642</v>
      </c>
      <c r="D149" s="59">
        <f>VLOOKUP(B:B,'[1]4店'!$B:$L,3,0)</f>
        <v>45211</v>
      </c>
      <c r="E149" s="45" t="s">
        <v>1643</v>
      </c>
      <c r="F149" s="45">
        <v>0</v>
      </c>
      <c r="G149" s="45">
        <v>0</v>
      </c>
      <c r="H149" s="45">
        <v>0</v>
      </c>
      <c r="I149" s="45">
        <v>20</v>
      </c>
      <c r="J149" s="45">
        <v>0</v>
      </c>
      <c r="K149" s="63">
        <f t="shared" si="60"/>
        <v>20</v>
      </c>
      <c r="L149" s="64">
        <v>11</v>
      </c>
      <c r="M149" s="44">
        <f t="shared" si="71"/>
        <v>220</v>
      </c>
      <c r="N149" s="65">
        <f>IFERROR(VLOOKUP(B:B,'4店辅助表'!B:C,2,FALSE),0)</f>
        <v>0</v>
      </c>
      <c r="O149" s="65">
        <f>IFERROR(VLOOKUP(B:B,'4店辅助表'!E:F,2,FALSE),0)</f>
        <v>0</v>
      </c>
      <c r="P149" s="65">
        <f>IFERROR(VLOOKUP(B:B,'4店辅助表'!H:I,2,FALSE),0)</f>
        <v>0</v>
      </c>
      <c r="Q149" s="65">
        <f>IFERROR(VLOOKUP(B:B,'[1]4店'!$B:$N,13,FALSE),0)</f>
        <v>0</v>
      </c>
      <c r="R149" s="79">
        <f t="shared" si="61"/>
        <v>0</v>
      </c>
      <c r="S149" s="80" t="str">
        <f t="shared" si="62"/>
        <v>-</v>
      </c>
      <c r="T149" s="44" t="str">
        <f t="shared" si="63"/>
        <v>-</v>
      </c>
      <c r="U149" s="44" t="str">
        <f>IFERROR(VLOOKUP($B:$B,'[1]4店'!$B:$T,19,0),"-")</f>
        <v>-</v>
      </c>
      <c r="V149" s="81" t="str">
        <f t="shared" si="64"/>
        <v>-</v>
      </c>
      <c r="W149" s="82" t="str">
        <f t="shared" si="65"/>
        <v>本月刚到货</v>
      </c>
      <c r="X149" s="83" t="str">
        <f t="shared" si="66"/>
        <v>本月刚到货</v>
      </c>
      <c r="Y149" s="44">
        <f>IFERROR(SUMIF('4店辅助表'!K:K,B:B,'4店辅助表'!N:N),0)</f>
        <v>0</v>
      </c>
      <c r="Z149" s="44">
        <f>IFERROR(SUMIF('4店辅助表'!T:T,B:B,'4店辅助表'!W:W),0)</f>
        <v>0</v>
      </c>
      <c r="AA149" s="44">
        <f>IFERROR(SUMIF('4店辅助表'!AC:AC,B:B,'4店辅助表'!AF:AF),0)</f>
        <v>0</v>
      </c>
      <c r="AB149" s="91" t="str">
        <f>IFERROR(SUMIF('4店辅助表'!K:K,B:B,'4店辅助表'!N:N)/SUMIF('4店辅助表'!K:K,B:B,'4店辅助表'!O:O),"-")</f>
        <v>-</v>
      </c>
      <c r="AC149" s="91" t="str">
        <f>IFERROR(VLOOKUP(B:B,'[1]4店'!$B:$AB,27,0),"-")</f>
        <v>-</v>
      </c>
      <c r="AD149" s="92" t="str">
        <f t="shared" si="67"/>
        <v>-</v>
      </c>
      <c r="AE149" s="91" t="str">
        <f>IFERROR(SUMIF('4店辅助表'!T:T,B:B,'4店辅助表'!W:W)/SUMIF('4店辅助表'!T:T,B:B,'4店辅助表'!X:X),"-")</f>
        <v>-</v>
      </c>
      <c r="AF149" s="91" t="str">
        <f>IFERROR(SUMIF('4店辅助表'!AC:AC,B:B,'4店辅助表'!AF:AF)/SUMIF('4店辅助表'!AC:AC,B:B,'4店辅助表'!AG:AG),"-")</f>
        <v>-</v>
      </c>
      <c r="AG149" s="99">
        <f>IFERROR(AK149/((SUMIF('4店辅助表'!AT:AT,B:B,'4店辅助表'!AU:AU)+M149)/2),"-")</f>
        <v>0</v>
      </c>
      <c r="AH149" s="99">
        <f>IFERROR(AL149/((SUMIF('4店辅助表'!AW:AW,B:B,'4店辅助表'!AX:AX)+M149)/2),"-")</f>
        <v>0</v>
      </c>
      <c r="AI149" s="100" t="str">
        <f>IFERROR((SUMIF('4店辅助表'!AP:AP,B:B,'4店辅助表'!AR:AR)-SUMIF('4店辅助表'!AP:AP,B:B,'4店辅助表'!AR:AR)*0.15-(L149+IFERROR(VLOOKUP(B:B,'4店辅助表'!AZ:BA,2,0),0))*O149-IF(AN:AN="US",6.85,4.9)*(Z149+4.27*O149))/SUMIF('4店辅助表'!AP:AP,B:B,'4店辅助表'!AR:AR),"-")</f>
        <v>-</v>
      </c>
      <c r="AJ149" s="100" t="str">
        <f t="shared" si="68"/>
        <v>-</v>
      </c>
      <c r="AK149" s="101">
        <f t="shared" si="69"/>
        <v>0</v>
      </c>
      <c r="AL149" s="101">
        <f t="shared" si="70"/>
        <v>0</v>
      </c>
      <c r="AM149" s="1" t="str">
        <f>VLOOKUP(B:B,'4店辅助表'!AZ:AZ,1,FALSE)</f>
        <v>Y4089-WI+Y4090</v>
      </c>
      <c r="AN149" t="str">
        <f>VLOOKUP(B:B,'4店辅助表'!AZ:BB,3,FALSE)</f>
        <v>US</v>
      </c>
    </row>
  </sheetData>
  <autoFilter ref="A2:AP149">
    <extLst/>
  </autoFilter>
  <mergeCells count="3">
    <mergeCell ref="Y1:AF1"/>
    <mergeCell ref="AG1:AH1"/>
    <mergeCell ref="B3:E3"/>
  </mergeCells>
  <conditionalFormatting sqref="E2">
    <cfRule type="duplicateValues" dxfId="984" priority="132"/>
  </conditionalFormatting>
  <conditionalFormatting sqref="B3">
    <cfRule type="duplicateValues" dxfId="984" priority="138"/>
    <cfRule type="duplicateValues" dxfId="984" priority="140"/>
  </conditionalFormatting>
  <conditionalFormatting sqref="E3">
    <cfRule type="duplicateValues" dxfId="984" priority="139"/>
  </conditionalFormatting>
  <conditionalFormatting sqref="V3">
    <cfRule type="iconSet" priority="142">
      <iconSet iconSet="3Arrows">
        <cfvo type="percent" val="0"/>
        <cfvo type="num" val="0"/>
        <cfvo type="num" val="0" gte="0"/>
      </iconSet>
    </cfRule>
  </conditionalFormatting>
  <conditionalFormatting sqref="AD3">
    <cfRule type="iconSet" priority="141">
      <iconSet iconSet="3Arrows">
        <cfvo type="percent" val="0"/>
        <cfvo type="num" val="0"/>
        <cfvo type="num" val="0" gte="0"/>
      </iconSet>
    </cfRule>
  </conditionalFormatting>
  <conditionalFormatting sqref="AI3:AJ3">
    <cfRule type="cellIs" dxfId="986" priority="137" operator="lessThan">
      <formula>0</formula>
    </cfRule>
  </conditionalFormatting>
  <conditionalFormatting sqref="R4:R149">
    <cfRule type="iconSet" priority="147">
      <iconSet iconSet="3Arrows">
        <cfvo type="percent" val="0"/>
        <cfvo type="num" val="0"/>
        <cfvo type="num" val="0" gte="0"/>
      </iconSet>
    </cfRule>
  </conditionalFormatting>
  <conditionalFormatting sqref="V4:V149">
    <cfRule type="iconSet" priority="146">
      <iconSet iconSet="3Arrows">
        <cfvo type="percent" val="0"/>
        <cfvo type="num" val="0"/>
        <cfvo type="num" val="0" gte="0"/>
      </iconSet>
    </cfRule>
  </conditionalFormatting>
  <conditionalFormatting sqref="X4:X1048576">
    <cfRule type="expression" dxfId="985" priority="1">
      <formula>AND($X4="库存过高",$K4&gt;2,OR($V4&gt;=0,$V4="-"))</formula>
    </cfRule>
    <cfRule type="expression" dxfId="985" priority="2">
      <formula>AND($X4="有库存无销量",$K4&gt;2,OR($V4&gt;=0,$V4="-"))</formula>
    </cfRule>
  </conditionalFormatting>
  <conditionalFormatting sqref="Y4:Y149">
    <cfRule type="expression" dxfId="985" priority="3">
      <formula>AND($Y4&gt;3,$AB4=0)</formula>
    </cfRule>
  </conditionalFormatting>
  <conditionalFormatting sqref="AB4:AB149">
    <cfRule type="expression" dxfId="985" priority="4">
      <formula>AND($AB4&gt;30%,$AD4&gt;0,$AB4&lt;&gt;"-")</formula>
    </cfRule>
  </conditionalFormatting>
  <conditionalFormatting sqref="AD4:AD149">
    <cfRule type="iconSet" priority="145">
      <iconSet iconSet="3Arrows">
        <cfvo type="percent" val="0"/>
        <cfvo type="num" val="0"/>
        <cfvo type="num" val="0" gte="0"/>
      </iconSet>
    </cfRule>
  </conditionalFormatting>
  <conditionalFormatting sqref="AI4:AI149">
    <cfRule type="cellIs" dxfId="986" priority="5" operator="lessThan">
      <formula>25%</formula>
    </cfRule>
  </conditionalFormatting>
  <conditionalFormatting sqref="D2:D3 D150:D1048576">
    <cfRule type="expression" dxfId="987" priority="124">
      <formula>(TODAY()-$D2)&lt;30</formula>
    </cfRule>
  </conditionalFormatting>
  <pageMargins left="0.75" right="0.75" top="1" bottom="1" header="0.5" footer="0.5"/>
  <headerFooter/>
  <extLst>
    <ext xmlns:x14="http://schemas.microsoft.com/office/spreadsheetml/2009/9/main" uri="{78C0D931-6437-407d-A8EE-F0AAD7539E65}">
      <x14:conditionalFormattings>
        <x14:conditionalFormatting xmlns:xm="http://schemas.microsoft.com/office/excel/2006/main">
          <x14:cfRule type="iconSet" priority="7" id="{eb05d2a4-06e0-4a82-bcfa-7c66617b427c}">
            <x14:iconSet iconSet="3Arrows" custom="1">
              <x14:cfvo type="percent">
                <xm:f>0</xm:f>
              </x14:cfvo>
              <x14:cfvo type="num">
                <xm:f>0</xm:f>
              </x14:cfvo>
              <x14:cfvo type="num" gte="0">
                <xm:f>0</xm:f>
              </x14:cfvo>
              <x14:cfIcon iconSet="3Arrows" iconId="0"/>
              <x14:cfIcon iconSet="3Arrows" iconId="1"/>
              <x14:cfIcon iconSet="3Arrows" iconId="2"/>
            </x14:iconSet>
          </x14:cfRule>
          <xm:sqref>W4:W149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B1:BB204"/>
  <sheetViews>
    <sheetView topLeftCell="AD1" workbookViewId="0">
      <pane ySplit="1" topLeftCell="A2" activePane="bottomLeft" state="frozen"/>
      <selection/>
      <selection pane="bottomLeft" activeCell="M8" sqref="M8"/>
    </sheetView>
  </sheetViews>
  <sheetFormatPr defaultColWidth="9" defaultRowHeight="12.9"/>
  <cols>
    <col min="1" max="1" width="9" style="1"/>
    <col min="2" max="2" width="25.1100917431193" style="1"/>
    <col min="3" max="3" width="16.0733944954128" style="1" customWidth="1"/>
    <col min="4" max="4" width="9" style="1"/>
    <col min="5" max="5" width="25.1100917431193" style="1"/>
    <col min="6" max="6" width="16.0733944954128" style="1" customWidth="1"/>
    <col min="7" max="7" width="9" style="1"/>
    <col min="8" max="8" width="25.1100917431193" style="1"/>
    <col min="9" max="9" width="16.0733944954128" style="1" customWidth="1"/>
    <col min="10" max="10" width="9" style="1"/>
    <col min="11" max="11" width="22.8623853211009" style="1"/>
    <col min="12" max="14" width="14.0733944954128" style="1" customWidth="1"/>
    <col min="15" max="15" width="18.9449541284404" style="1" customWidth="1"/>
    <col min="16" max="16" width="19.3119266055046" style="1" customWidth="1"/>
    <col min="17" max="18" width="15.0733944954128" style="2" customWidth="1"/>
    <col min="19" max="19" width="9" style="1"/>
    <col min="20" max="20" width="22.8623853211009" style="1"/>
    <col min="21" max="23" width="13.5871559633028" style="1" customWidth="1"/>
    <col min="24" max="24" width="19.6880733944954" style="1" customWidth="1"/>
    <col min="25" max="25" width="20.3119266055046" style="1" customWidth="1"/>
    <col min="26" max="27" width="17.8256880733945" style="2" customWidth="1"/>
    <col min="28" max="28" width="17.8256880733945" style="1" customWidth="1"/>
    <col min="29" max="29" width="21.3119266055046" style="1" customWidth="1"/>
    <col min="30" max="32" width="14.5779816513761" style="1" customWidth="1"/>
    <col min="33" max="33" width="19.4403669724771" style="1" customWidth="1"/>
    <col min="34" max="34" width="19.9357798165138" style="1" customWidth="1"/>
    <col min="35" max="36" width="17.9449541284404" style="2" customWidth="1"/>
    <col min="37" max="37" width="10.0917431192661" style="2" customWidth="1"/>
    <col min="40" max="40" width="10.0917431192661" style="2" customWidth="1"/>
    <col min="41" max="41" width="9" style="1"/>
    <col min="44" max="44" width="10.4954128440367" style="1"/>
    <col min="45" max="45" width="9" style="1"/>
    <col min="46" max="46" width="15.0825688073394" customWidth="1"/>
    <col min="47" max="47" width="10.4495412844037"/>
    <col min="49" max="49" width="15.0825688073394" customWidth="1"/>
    <col min="50" max="50" width="10.4495412844037"/>
    <col min="51" max="51" width="9" style="1"/>
    <col min="52" max="52" width="15.3761467889908" style="106" customWidth="1"/>
    <col min="53" max="53" width="8.10091743119266" style="106"/>
    <col min="54" max="16384" width="9" style="1"/>
  </cols>
  <sheetData>
    <row r="1" spans="2:50">
      <c r="B1" t="s">
        <v>408</v>
      </c>
      <c r="C1" t="s">
        <v>409</v>
      </c>
      <c r="E1" t="s">
        <v>408</v>
      </c>
      <c r="F1" t="s">
        <v>409</v>
      </c>
      <c r="H1" t="s">
        <v>408</v>
      </c>
      <c r="I1" t="s">
        <v>409</v>
      </c>
      <c r="K1" t="s">
        <v>410</v>
      </c>
      <c r="L1" t="s">
        <v>411</v>
      </c>
      <c r="M1" t="s">
        <v>412</v>
      </c>
      <c r="N1" t="s">
        <v>413</v>
      </c>
      <c r="O1" t="s">
        <v>414</v>
      </c>
      <c r="P1" t="s">
        <v>415</v>
      </c>
      <c r="Q1" s="31" t="s">
        <v>416</v>
      </c>
      <c r="R1" s="31" t="s">
        <v>417</v>
      </c>
      <c r="T1" t="s">
        <v>410</v>
      </c>
      <c r="U1" t="s">
        <v>411</v>
      </c>
      <c r="V1" t="s">
        <v>412</v>
      </c>
      <c r="W1" t="s">
        <v>413</v>
      </c>
      <c r="X1" t="s">
        <v>414</v>
      </c>
      <c r="Y1" t="s">
        <v>415</v>
      </c>
      <c r="Z1" s="31" t="s">
        <v>418</v>
      </c>
      <c r="AA1" s="31" t="s">
        <v>419</v>
      </c>
      <c r="AC1" t="s">
        <v>410</v>
      </c>
      <c r="AD1" t="s">
        <v>411</v>
      </c>
      <c r="AE1" t="s">
        <v>412</v>
      </c>
      <c r="AF1" t="s">
        <v>413</v>
      </c>
      <c r="AG1" t="s">
        <v>414</v>
      </c>
      <c r="AH1" t="s">
        <v>415</v>
      </c>
      <c r="AI1" s="31" t="s">
        <v>420</v>
      </c>
      <c r="AJ1" s="31" t="s">
        <v>421</v>
      </c>
      <c r="AK1" s="32" t="s">
        <v>422</v>
      </c>
      <c r="AL1" t="s">
        <v>408</v>
      </c>
      <c r="AM1" t="s">
        <v>423</v>
      </c>
      <c r="AN1" s="1"/>
      <c r="AO1" s="32" t="s">
        <v>424</v>
      </c>
      <c r="AP1" t="s">
        <v>408</v>
      </c>
      <c r="AQ1" t="s">
        <v>423</v>
      </c>
      <c r="AS1" s="1">
        <v>6.85</v>
      </c>
      <c r="AT1" s="35">
        <v>146</v>
      </c>
      <c r="AU1" s="36"/>
      <c r="AV1" s="35"/>
      <c r="AW1" s="35">
        <v>137</v>
      </c>
      <c r="AX1" s="36"/>
    </row>
    <row r="2" spans="2:53">
      <c r="B2" t="s">
        <v>426</v>
      </c>
      <c r="C2"/>
      <c r="E2" t="s">
        <v>1315</v>
      </c>
      <c r="F2">
        <v>14</v>
      </c>
      <c r="G2" s="1" t="str">
        <f>VLOOKUP(E:E,'4店'!$B:$B,1,0)</f>
        <v>Y4012-OR+Y4015+Y4018</v>
      </c>
      <c r="H2" t="s">
        <v>1319</v>
      </c>
      <c r="I2">
        <v>4</v>
      </c>
      <c r="J2" s="1" t="str">
        <f>VLOOKUP(H:H,'4店'!$B:$B,1,0)</f>
        <v>Y4011-PB+Y4014+Y4017</v>
      </c>
      <c r="K2" t="s">
        <v>1303</v>
      </c>
      <c r="L2">
        <v>1565</v>
      </c>
      <c r="M2">
        <v>10</v>
      </c>
      <c r="N2">
        <v>3.91</v>
      </c>
      <c r="O2">
        <v>0</v>
      </c>
      <c r="P2">
        <v>0</v>
      </c>
      <c r="Q2" s="31">
        <v>0</v>
      </c>
      <c r="R2" s="31">
        <v>0</v>
      </c>
      <c r="S2" s="1" t="str">
        <f>VLOOKUP(K:K,'4店'!$B:$B,1,0)</f>
        <v>Y4011-BL+Y4014+Y4017</v>
      </c>
      <c r="T2" t="s">
        <v>1303</v>
      </c>
      <c r="U2">
        <v>3256</v>
      </c>
      <c r="V2">
        <v>21</v>
      </c>
      <c r="W2">
        <v>8.53</v>
      </c>
      <c r="X2">
        <v>38.97</v>
      </c>
      <c r="Y2">
        <v>3</v>
      </c>
      <c r="Z2" s="31">
        <v>0.21888632281242</v>
      </c>
      <c r="AA2" s="31">
        <v>0.142857142857143</v>
      </c>
      <c r="AB2" s="1" t="str">
        <f>VLOOKUP(T:T,'4店'!$B:$B,1,0)</f>
        <v>Y4011-BL+Y4014+Y4017</v>
      </c>
      <c r="AC2" t="s">
        <v>1303</v>
      </c>
      <c r="AD2">
        <v>6878</v>
      </c>
      <c r="AE2">
        <v>43</v>
      </c>
      <c r="AF2">
        <v>17.56</v>
      </c>
      <c r="AG2">
        <v>64.95</v>
      </c>
      <c r="AH2">
        <v>5</v>
      </c>
      <c r="AI2" s="31">
        <v>0.27036181678214</v>
      </c>
      <c r="AJ2" s="31">
        <v>0.116279069767442</v>
      </c>
      <c r="AK2" s="1" t="str">
        <f>VLOOKUP(AC:AC,'4店'!$B:$B,1,0)</f>
        <v>Y4011-BL+Y4014+Y4017</v>
      </c>
      <c r="AL2" t="s">
        <v>1358</v>
      </c>
      <c r="AM2" s="102">
        <v>259.8</v>
      </c>
      <c r="AN2" s="1">
        <f>AM2*$AS$1</f>
        <v>1779.63</v>
      </c>
      <c r="AP2" t="s">
        <v>1358</v>
      </c>
      <c r="AQ2" s="102">
        <v>497.61</v>
      </c>
      <c r="AR2" s="1">
        <f>AQ2*$AS$1</f>
        <v>3408.6285</v>
      </c>
      <c r="AT2" s="37" t="s">
        <v>10</v>
      </c>
      <c r="AU2" s="38" t="s">
        <v>21</v>
      </c>
      <c r="AV2" s="39"/>
      <c r="AW2" s="37" t="s">
        <v>10</v>
      </c>
      <c r="AX2" s="38" t="s">
        <v>21</v>
      </c>
      <c r="AZ2" s="46" t="s">
        <v>1644</v>
      </c>
      <c r="BA2" s="46" t="s">
        <v>428</v>
      </c>
    </row>
    <row r="3" spans="2:54">
      <c r="B3" t="s">
        <v>1358</v>
      </c>
      <c r="C3">
        <v>20</v>
      </c>
      <c r="D3" s="1" t="str">
        <f>VLOOKUP(B:B,'4店'!$B:$B,1,0)</f>
        <v>Y4022-BL+Y4026+Y4030</v>
      </c>
      <c r="E3" t="s">
        <v>1328</v>
      </c>
      <c r="F3">
        <v>15</v>
      </c>
      <c r="G3" s="1" t="str">
        <f>VLOOKUP(E:E,'4店'!$B:$B,1,0)</f>
        <v>Y4013-DB+Y4016+Y4019</v>
      </c>
      <c r="H3" t="s">
        <v>1315</v>
      </c>
      <c r="I3">
        <v>33</v>
      </c>
      <c r="J3" s="1" t="str">
        <f>VLOOKUP(H:H,'4店'!$B:$B,1,0)</f>
        <v>Y4012-OR+Y4015+Y4018</v>
      </c>
      <c r="K3" t="s">
        <v>1317</v>
      </c>
      <c r="L3">
        <v>1433</v>
      </c>
      <c r="M3">
        <v>17</v>
      </c>
      <c r="N3">
        <v>7.08</v>
      </c>
      <c r="O3">
        <v>12.99</v>
      </c>
      <c r="P3">
        <v>1</v>
      </c>
      <c r="Q3" s="31">
        <v>0.545034642032333</v>
      </c>
      <c r="R3" s="31">
        <v>0.0588235294117647</v>
      </c>
      <c r="S3" s="1" t="str">
        <f>VLOOKUP(K:K,'4店'!$B:$B,1,0)</f>
        <v>Y4011-DB+Y4014+Y4017</v>
      </c>
      <c r="T3" t="s">
        <v>1317</v>
      </c>
      <c r="U3">
        <v>2509</v>
      </c>
      <c r="V3">
        <v>30</v>
      </c>
      <c r="W3">
        <v>11.76</v>
      </c>
      <c r="X3">
        <v>36.97</v>
      </c>
      <c r="Y3">
        <v>3</v>
      </c>
      <c r="Z3" s="31">
        <v>0.318095753313497</v>
      </c>
      <c r="AA3" s="31">
        <v>0.1</v>
      </c>
      <c r="AB3" s="1" t="str">
        <f>VLOOKUP(T:T,'4店'!$B:$B,1,0)</f>
        <v>Y4011-DB+Y4014+Y4017</v>
      </c>
      <c r="AC3" t="s">
        <v>1317</v>
      </c>
      <c r="AD3">
        <v>4944</v>
      </c>
      <c r="AE3">
        <v>65</v>
      </c>
      <c r="AF3">
        <v>24.94</v>
      </c>
      <c r="AG3">
        <v>62.95</v>
      </c>
      <c r="AH3">
        <v>5</v>
      </c>
      <c r="AI3" s="31">
        <v>0.396187450357427</v>
      </c>
      <c r="AJ3" s="31">
        <v>0.0769230769230769</v>
      </c>
      <c r="AK3" s="1" t="str">
        <f>VLOOKUP(AC:AC,'4店'!$B:$B,1,0)</f>
        <v>Y4011-DB+Y4014+Y4017</v>
      </c>
      <c r="AL3" t="s">
        <v>1332</v>
      </c>
      <c r="AM3" s="102">
        <v>207.84</v>
      </c>
      <c r="AN3" s="1">
        <f>AM3*$AS$1</f>
        <v>1423.704</v>
      </c>
      <c r="AP3" t="s">
        <v>1332</v>
      </c>
      <c r="AQ3" s="102">
        <v>411.68</v>
      </c>
      <c r="AR3" s="1">
        <f>AQ3*$AS$1</f>
        <v>2820.008</v>
      </c>
      <c r="AT3" s="40" t="s">
        <v>48</v>
      </c>
      <c r="AU3" s="57">
        <v>80894.3</v>
      </c>
      <c r="AV3" s="42"/>
      <c r="AW3" s="40" t="s">
        <v>48</v>
      </c>
      <c r="AX3" s="57">
        <v>72700.3</v>
      </c>
      <c r="AZ3" s="47" t="s">
        <v>1645</v>
      </c>
      <c r="BA3" s="48">
        <v>6.38</v>
      </c>
      <c r="BB3" s="1" t="s">
        <v>430</v>
      </c>
    </row>
    <row r="4" spans="2:54">
      <c r="B4" t="s">
        <v>1332</v>
      </c>
      <c r="C4">
        <v>16</v>
      </c>
      <c r="D4" s="1" t="str">
        <f>VLOOKUP(B:B,'4店'!$B:$B,1,0)</f>
        <v>Y4013-OR+Y4016+Y4019</v>
      </c>
      <c r="E4" t="s">
        <v>1330</v>
      </c>
      <c r="F4">
        <v>11</v>
      </c>
      <c r="G4" s="1" t="str">
        <f>VLOOKUP(E:E,'4店'!$B:$B,1,0)</f>
        <v>Y4013-GW+Y4016+Y4019</v>
      </c>
      <c r="H4" t="s">
        <v>1328</v>
      </c>
      <c r="I4">
        <v>32</v>
      </c>
      <c r="J4" s="1" t="str">
        <f>VLOOKUP(H:H,'4店'!$B:$B,1,0)</f>
        <v>Y4013-DB+Y4016+Y4019</v>
      </c>
      <c r="K4" t="s">
        <v>1310</v>
      </c>
      <c r="L4">
        <v>136</v>
      </c>
      <c r="M4">
        <v>0</v>
      </c>
      <c r="N4">
        <v>0</v>
      </c>
      <c r="O4">
        <v>0</v>
      </c>
      <c r="P4">
        <v>0</v>
      </c>
      <c r="Q4" s="31">
        <v>0</v>
      </c>
      <c r="R4" s="31">
        <v>0</v>
      </c>
      <c r="S4" s="1" t="str">
        <f>VLOOKUP(K:K,'4店'!$B:$B,1,0)</f>
        <v>Y4012-BL+Y4015+Y4018</v>
      </c>
      <c r="T4" t="s">
        <v>1308</v>
      </c>
      <c r="U4">
        <v>10347</v>
      </c>
      <c r="V4">
        <v>160</v>
      </c>
      <c r="W4">
        <v>63.7</v>
      </c>
      <c r="X4">
        <v>682.25</v>
      </c>
      <c r="Y4">
        <v>27</v>
      </c>
      <c r="Z4" s="31">
        <v>0.0933675338951997</v>
      </c>
      <c r="AA4" s="31">
        <v>0.16875</v>
      </c>
      <c r="AB4" s="1" t="str">
        <f>VLOOKUP(T:T,'4店'!$B:$B,1,0)</f>
        <v>Y4011-OR+Y4014+Y4017</v>
      </c>
      <c r="AC4" t="s">
        <v>1308</v>
      </c>
      <c r="AD4">
        <v>20286</v>
      </c>
      <c r="AE4">
        <v>292</v>
      </c>
      <c r="AF4">
        <v>115.14</v>
      </c>
      <c r="AG4">
        <v>916.07</v>
      </c>
      <c r="AH4">
        <v>44</v>
      </c>
      <c r="AI4" s="31">
        <v>0.125689084895259</v>
      </c>
      <c r="AJ4" s="31">
        <v>0.150684931506849</v>
      </c>
      <c r="AK4" s="1" t="str">
        <f>VLOOKUP(AC:AC,'4店'!$B:$B,1,0)</f>
        <v>Y4011-OR+Y4014+Y4017</v>
      </c>
      <c r="AL4" t="s">
        <v>1442</v>
      </c>
      <c r="AM4" s="102">
        <v>129.9</v>
      </c>
      <c r="AN4" s="1">
        <f>AM4*$AS$1</f>
        <v>889.815</v>
      </c>
      <c r="AP4" t="s">
        <v>1325</v>
      </c>
      <c r="AQ4" s="102">
        <v>322.75</v>
      </c>
      <c r="AR4" s="1">
        <f>AQ4*$AS$1</f>
        <v>2210.8375</v>
      </c>
      <c r="AT4" s="43" t="s">
        <v>1303</v>
      </c>
      <c r="AU4" s="44">
        <v>534.3</v>
      </c>
      <c r="AV4" s="35"/>
      <c r="AW4" s="43" t="s">
        <v>1303</v>
      </c>
      <c r="AX4" s="44">
        <v>904.2</v>
      </c>
      <c r="AZ4" s="47" t="s">
        <v>1303</v>
      </c>
      <c r="BA4" s="48">
        <v>4.279</v>
      </c>
      <c r="BB4" s="1" t="s">
        <v>430</v>
      </c>
    </row>
    <row r="5" spans="2:54">
      <c r="B5" t="s">
        <v>1325</v>
      </c>
      <c r="C5">
        <v>4</v>
      </c>
      <c r="D5" s="1" t="str">
        <f>VLOOKUP(B:B,'4店'!$B:$B,1,0)</f>
        <v>Y4013-BL+Y4016+Y4019</v>
      </c>
      <c r="E5" t="s">
        <v>1332</v>
      </c>
      <c r="F5">
        <v>32</v>
      </c>
      <c r="G5" s="1" t="str">
        <f>VLOOKUP(E:E,'4店'!$B:$B,1,0)</f>
        <v>Y4013-OR+Y4016+Y4019</v>
      </c>
      <c r="H5" t="s">
        <v>1310</v>
      </c>
      <c r="I5">
        <v>13</v>
      </c>
      <c r="J5" s="1" t="str">
        <f>VLOOKUP(H:H,'4店'!$B:$B,1,0)</f>
        <v>Y4012-BL+Y4015+Y4018</v>
      </c>
      <c r="K5" t="s">
        <v>1321</v>
      </c>
      <c r="L5">
        <v>505</v>
      </c>
      <c r="M5">
        <v>1</v>
      </c>
      <c r="N5">
        <v>0.13</v>
      </c>
      <c r="O5">
        <v>0</v>
      </c>
      <c r="P5">
        <v>0</v>
      </c>
      <c r="Q5" s="31">
        <v>0</v>
      </c>
      <c r="R5" s="31">
        <v>0</v>
      </c>
      <c r="S5" s="1" t="str">
        <f>VLOOKUP(K:K,'4店'!$B:$B,1,0)</f>
        <v>Y4012-DB+Y4015+Y4018</v>
      </c>
      <c r="T5" t="s">
        <v>1310</v>
      </c>
      <c r="U5">
        <v>319</v>
      </c>
      <c r="V5">
        <v>0</v>
      </c>
      <c r="W5">
        <v>0</v>
      </c>
      <c r="X5">
        <v>0</v>
      </c>
      <c r="Y5">
        <v>0</v>
      </c>
      <c r="Z5" s="31">
        <v>0</v>
      </c>
      <c r="AA5" s="31">
        <v>0</v>
      </c>
      <c r="AB5" s="1" t="str">
        <f>VLOOKUP(T:T,'4店'!$B:$B,1,0)</f>
        <v>Y4012-BL+Y4015+Y4018</v>
      </c>
      <c r="AC5" t="s">
        <v>1310</v>
      </c>
      <c r="AD5">
        <v>534</v>
      </c>
      <c r="AE5">
        <v>2</v>
      </c>
      <c r="AF5">
        <v>0.63</v>
      </c>
      <c r="AG5">
        <v>0</v>
      </c>
      <c r="AH5">
        <v>0</v>
      </c>
      <c r="AI5" s="31">
        <v>0</v>
      </c>
      <c r="AJ5" s="31">
        <v>0</v>
      </c>
      <c r="AK5" s="1" t="str">
        <f>VLOOKUP(AC:AC,'4店'!$B:$B,1,0)</f>
        <v>Y4012-BL+Y4015+Y4018</v>
      </c>
      <c r="AL5" t="s">
        <v>1542</v>
      </c>
      <c r="AM5" s="102">
        <v>129.9</v>
      </c>
      <c r="AN5" s="1">
        <f>AM5*$AS$1</f>
        <v>889.815</v>
      </c>
      <c r="AP5" t="s">
        <v>1442</v>
      </c>
      <c r="AQ5" s="102">
        <v>266.79</v>
      </c>
      <c r="AR5" s="1">
        <f>AQ5*$AS$1</f>
        <v>1827.5115</v>
      </c>
      <c r="AT5" s="43" t="s">
        <v>1306</v>
      </c>
      <c r="AU5" s="44">
        <v>411</v>
      </c>
      <c r="AV5" s="35"/>
      <c r="AW5" s="43" t="s">
        <v>1306</v>
      </c>
      <c r="AX5" s="44">
        <v>411</v>
      </c>
      <c r="AZ5" s="47" t="s">
        <v>1317</v>
      </c>
      <c r="BA5" s="48">
        <v>4.621</v>
      </c>
      <c r="BB5" s="1" t="s">
        <v>430</v>
      </c>
    </row>
    <row r="6" spans="2:54">
      <c r="B6" t="s">
        <v>1339</v>
      </c>
      <c r="C6">
        <v>2</v>
      </c>
      <c r="D6" s="1" t="str">
        <f>VLOOKUP(B:B,'4店'!$B:$B,1,0)</f>
        <v>Y4020-DB+Y4024+Y4028</v>
      </c>
      <c r="E6" t="s">
        <v>1317</v>
      </c>
      <c r="F6">
        <v>19</v>
      </c>
      <c r="G6" s="1" t="str">
        <f>VLOOKUP(E:E,'4店'!$B:$B,1,0)</f>
        <v>Y4011-DB+Y4014+Y4017</v>
      </c>
      <c r="H6" t="s">
        <v>1330</v>
      </c>
      <c r="I6">
        <v>18</v>
      </c>
      <c r="J6" s="1" t="str">
        <f>VLOOKUP(H:H,'4店'!$B:$B,1,0)</f>
        <v>Y4013-GW+Y4016+Y4019</v>
      </c>
      <c r="K6" t="s">
        <v>1315</v>
      </c>
      <c r="L6">
        <v>3619</v>
      </c>
      <c r="M6">
        <v>26</v>
      </c>
      <c r="N6">
        <v>7.94</v>
      </c>
      <c r="O6">
        <v>25.98</v>
      </c>
      <c r="P6">
        <v>2</v>
      </c>
      <c r="Q6" s="31">
        <v>0.305619707467283</v>
      </c>
      <c r="R6" s="31">
        <v>0.0769230769230769</v>
      </c>
      <c r="S6" s="1" t="str">
        <f>VLOOKUP(K:K,'4店'!$B:$B,1,0)</f>
        <v>Y4012-OR+Y4015+Y4018</v>
      </c>
      <c r="T6" t="s">
        <v>1321</v>
      </c>
      <c r="U6">
        <v>833</v>
      </c>
      <c r="V6">
        <v>4</v>
      </c>
      <c r="W6">
        <v>1.39</v>
      </c>
      <c r="X6">
        <v>12.99</v>
      </c>
      <c r="Y6">
        <v>1</v>
      </c>
      <c r="Z6" s="31">
        <v>0.107005388760585</v>
      </c>
      <c r="AA6" s="31">
        <v>0.25</v>
      </c>
      <c r="AB6" s="1" t="str">
        <f>VLOOKUP(T:T,'4店'!$B:$B,1,0)</f>
        <v>Y4012-DB+Y4015+Y4018</v>
      </c>
      <c r="AC6" t="s">
        <v>1321</v>
      </c>
      <c r="AD6">
        <v>1707</v>
      </c>
      <c r="AE6">
        <v>7</v>
      </c>
      <c r="AF6">
        <v>2.51</v>
      </c>
      <c r="AG6">
        <v>25.98</v>
      </c>
      <c r="AH6">
        <v>2</v>
      </c>
      <c r="AI6" s="31">
        <v>0.096612779060816</v>
      </c>
      <c r="AJ6" s="31">
        <v>0.285714285714286</v>
      </c>
      <c r="AK6" s="1" t="str">
        <f>VLOOKUP(AC:AC,'4店'!$B:$B,1,0)</f>
        <v>Y4012-DB+Y4015+Y4018</v>
      </c>
      <c r="AL6" t="s">
        <v>1303</v>
      </c>
      <c r="AM6" s="102">
        <v>337.74</v>
      </c>
      <c r="AN6" s="1">
        <f>AM6*$AS$1</f>
        <v>2313.519</v>
      </c>
      <c r="AP6" t="s">
        <v>1496</v>
      </c>
      <c r="AQ6" s="102">
        <v>274.79</v>
      </c>
      <c r="AR6" s="1">
        <f t="shared" ref="AR6:AR37" si="0">AQ6*$AS$1</f>
        <v>1882.3115</v>
      </c>
      <c r="AT6" s="43" t="s">
        <v>1308</v>
      </c>
      <c r="AU6" s="44">
        <v>685</v>
      </c>
      <c r="AV6" s="35"/>
      <c r="AW6" s="43" t="s">
        <v>1308</v>
      </c>
      <c r="AX6" s="44">
        <v>493.2</v>
      </c>
      <c r="AZ6" s="47" t="s">
        <v>1306</v>
      </c>
      <c r="BA6" s="48">
        <v>4.137</v>
      </c>
      <c r="BB6" s="1" t="s">
        <v>430</v>
      </c>
    </row>
    <row r="7" spans="2:54">
      <c r="B7" t="s">
        <v>1365</v>
      </c>
      <c r="C7">
        <v>5</v>
      </c>
      <c r="D7" s="1" t="str">
        <f>VLOOKUP(B:B,'4店'!$B:$B,1,0)</f>
        <v>Y4022-OR+Y4026+Y4030</v>
      </c>
      <c r="E7" t="s">
        <v>1321</v>
      </c>
      <c r="F7">
        <v>8</v>
      </c>
      <c r="G7" s="1" t="str">
        <f>VLOOKUP(E:E,'4店'!$B:$B,1,0)</f>
        <v>Y4012-DB+Y4015+Y4018</v>
      </c>
      <c r="H7" t="s">
        <v>1332</v>
      </c>
      <c r="I7">
        <v>68</v>
      </c>
      <c r="J7" s="1" t="str">
        <f>VLOOKUP(H:H,'4店'!$B:$B,1,0)</f>
        <v>Y4013-OR+Y4016+Y4019</v>
      </c>
      <c r="K7" t="s">
        <v>1323</v>
      </c>
      <c r="L7">
        <v>30</v>
      </c>
      <c r="M7">
        <v>1</v>
      </c>
      <c r="N7">
        <v>0.24</v>
      </c>
      <c r="O7">
        <v>0</v>
      </c>
      <c r="P7">
        <v>0</v>
      </c>
      <c r="Q7" s="31">
        <v>0</v>
      </c>
      <c r="R7" s="31">
        <v>0</v>
      </c>
      <c r="S7" s="1" t="str">
        <f>VLOOKUP(K:K,'4店'!$B:$B,1,0)</f>
        <v>Y4012-PB+Y4015+Y4018</v>
      </c>
      <c r="T7" t="s">
        <v>1315</v>
      </c>
      <c r="U7">
        <v>7891</v>
      </c>
      <c r="V7">
        <v>71</v>
      </c>
      <c r="W7">
        <v>21.91</v>
      </c>
      <c r="X7">
        <v>136.89</v>
      </c>
      <c r="Y7">
        <v>11</v>
      </c>
      <c r="Z7" s="31">
        <v>0.160055519029878</v>
      </c>
      <c r="AA7" s="31">
        <v>0.154929577464789</v>
      </c>
      <c r="AB7" s="1" t="str">
        <f>VLOOKUP(T:T,'4店'!$B:$B,1,0)</f>
        <v>Y4012-OR+Y4015+Y4018</v>
      </c>
      <c r="AC7" t="s">
        <v>1315</v>
      </c>
      <c r="AD7">
        <v>14955</v>
      </c>
      <c r="AE7">
        <v>145</v>
      </c>
      <c r="AF7">
        <v>44.46</v>
      </c>
      <c r="AG7">
        <v>227.82</v>
      </c>
      <c r="AH7">
        <v>18</v>
      </c>
      <c r="AI7" s="31">
        <v>0.195154069001844</v>
      </c>
      <c r="AJ7" s="31">
        <v>0.124137931034483</v>
      </c>
      <c r="AK7" s="1" t="str">
        <f>VLOOKUP(AC:AC,'4店'!$B:$B,1,0)</f>
        <v>Y4012-OR+Y4015+Y4018</v>
      </c>
      <c r="AL7" t="s">
        <v>1363</v>
      </c>
      <c r="AM7" s="102">
        <v>103.92</v>
      </c>
      <c r="AN7" s="1">
        <f>AM7*$AS$1</f>
        <v>711.852</v>
      </c>
      <c r="AP7" t="s">
        <v>1578</v>
      </c>
      <c r="AQ7" s="102">
        <v>308.99</v>
      </c>
      <c r="AR7" s="1">
        <f t="shared" si="0"/>
        <v>2116.5815</v>
      </c>
      <c r="AT7" s="43" t="s">
        <v>1310</v>
      </c>
      <c r="AU7" s="44">
        <v>712.4</v>
      </c>
      <c r="AV7" s="35"/>
      <c r="AW7" s="43" t="s">
        <v>1310</v>
      </c>
      <c r="AX7" s="44">
        <v>356.2</v>
      </c>
      <c r="AZ7" s="47" t="s">
        <v>1319</v>
      </c>
      <c r="BA7" s="48">
        <v>3.831</v>
      </c>
      <c r="BB7" s="1" t="s">
        <v>430</v>
      </c>
    </row>
    <row r="8" spans="2:54">
      <c r="B8" t="s">
        <v>1315</v>
      </c>
      <c r="C8">
        <v>2</v>
      </c>
      <c r="D8" s="1" t="str">
        <f>VLOOKUP(B:B,'4店'!$B:$B,1,0)</f>
        <v>Y4012-OR+Y4015+Y4018</v>
      </c>
      <c r="E8" t="s">
        <v>1325</v>
      </c>
      <c r="F8">
        <v>25</v>
      </c>
      <c r="G8" s="1" t="str">
        <f>VLOOKUP(E:E,'4店'!$B:$B,1,0)</f>
        <v>Y4013-BL+Y4016+Y4019</v>
      </c>
      <c r="H8" t="s">
        <v>1317</v>
      </c>
      <c r="I8">
        <v>27</v>
      </c>
      <c r="J8" s="1" t="str">
        <f>VLOOKUP(H:H,'4店'!$B:$B,1,0)</f>
        <v>Y4011-DB+Y4014+Y4017</v>
      </c>
      <c r="K8" t="s">
        <v>1325</v>
      </c>
      <c r="L8">
        <v>286</v>
      </c>
      <c r="M8">
        <v>3</v>
      </c>
      <c r="N8">
        <v>0.75</v>
      </c>
      <c r="O8">
        <v>12.99</v>
      </c>
      <c r="P8">
        <v>1</v>
      </c>
      <c r="Q8" s="31">
        <v>0.0577367205542725</v>
      </c>
      <c r="R8" s="31">
        <v>0.333333333333333</v>
      </c>
      <c r="S8" s="1" t="str">
        <f>VLOOKUP(K:K,'4店'!$B:$B,1,0)</f>
        <v>Y4013-BL+Y4016+Y4019</v>
      </c>
      <c r="T8" t="s">
        <v>1323</v>
      </c>
      <c r="U8">
        <v>72</v>
      </c>
      <c r="V8">
        <v>1</v>
      </c>
      <c r="W8">
        <v>0.24</v>
      </c>
      <c r="X8">
        <v>0</v>
      </c>
      <c r="Y8">
        <v>0</v>
      </c>
      <c r="Z8" s="31">
        <v>0</v>
      </c>
      <c r="AA8" s="31">
        <v>0</v>
      </c>
      <c r="AB8" s="1" t="str">
        <f>VLOOKUP(T:T,'4店'!$B:$B,1,0)</f>
        <v>Y4012-PB+Y4015+Y4018</v>
      </c>
      <c r="AC8" t="s">
        <v>1323</v>
      </c>
      <c r="AD8">
        <v>166</v>
      </c>
      <c r="AE8">
        <v>2</v>
      </c>
      <c r="AF8">
        <v>0.66</v>
      </c>
      <c r="AG8">
        <v>0</v>
      </c>
      <c r="AH8">
        <v>0</v>
      </c>
      <c r="AI8" s="31">
        <v>0</v>
      </c>
      <c r="AJ8" s="31">
        <v>0</v>
      </c>
      <c r="AK8" s="1" t="str">
        <f>VLOOKUP(AC:AC,'4店'!$B:$B,1,0)</f>
        <v>Y4012-PB+Y4015+Y4018</v>
      </c>
      <c r="AL8" t="s">
        <v>1496</v>
      </c>
      <c r="AM8" s="102">
        <v>103.92</v>
      </c>
      <c r="AN8" s="1">
        <f>AM8*$AS$1</f>
        <v>711.852</v>
      </c>
      <c r="AP8" t="s">
        <v>1308</v>
      </c>
      <c r="AQ8" s="102">
        <v>449.61</v>
      </c>
      <c r="AR8" s="1">
        <f t="shared" si="0"/>
        <v>3079.8285</v>
      </c>
      <c r="AT8" s="43" t="s">
        <v>1313</v>
      </c>
      <c r="AU8" s="44">
        <v>328.8</v>
      </c>
      <c r="AV8" s="35"/>
      <c r="AW8" s="43" t="s">
        <v>1313</v>
      </c>
      <c r="AX8" s="44">
        <v>356.2</v>
      </c>
      <c r="AZ8" s="47" t="s">
        <v>1308</v>
      </c>
      <c r="BA8" s="48">
        <v>4.68</v>
      </c>
      <c r="BB8" s="1" t="s">
        <v>430</v>
      </c>
    </row>
    <row r="9" spans="2:54">
      <c r="B9" t="s">
        <v>1308</v>
      </c>
      <c r="C9">
        <v>6</v>
      </c>
      <c r="D9" s="1" t="str">
        <f>VLOOKUP(B:B,'4店'!$B:$B,1,0)</f>
        <v>Y4011-OR+Y4014+Y4017</v>
      </c>
      <c r="E9" t="s">
        <v>1308</v>
      </c>
      <c r="F9">
        <v>37</v>
      </c>
      <c r="G9" s="1" t="str">
        <f>VLOOKUP(E:E,'4店'!$B:$B,1,0)</f>
        <v>Y4011-OR+Y4014+Y4017</v>
      </c>
      <c r="H9" t="s">
        <v>1313</v>
      </c>
      <c r="I9">
        <v>3</v>
      </c>
      <c r="J9" s="1" t="str">
        <f>VLOOKUP(H:H,'4店'!$B:$B,1,0)</f>
        <v>Y4012-GW+Y4015+Y4018</v>
      </c>
      <c r="K9" t="s">
        <v>1328</v>
      </c>
      <c r="L9">
        <v>703</v>
      </c>
      <c r="M9">
        <v>9</v>
      </c>
      <c r="N9">
        <v>3.72</v>
      </c>
      <c r="O9">
        <v>12.99</v>
      </c>
      <c r="P9">
        <v>1</v>
      </c>
      <c r="Q9" s="31">
        <v>0.286374133949192</v>
      </c>
      <c r="R9" s="31">
        <v>0.111111111111111</v>
      </c>
      <c r="S9" s="1" t="str">
        <f>VLOOKUP(K:K,'4店'!$B:$B,1,0)</f>
        <v>Y4013-DB+Y4016+Y4019</v>
      </c>
      <c r="T9" t="s">
        <v>1325</v>
      </c>
      <c r="U9">
        <v>589</v>
      </c>
      <c r="V9">
        <v>5</v>
      </c>
      <c r="W9">
        <v>1.35</v>
      </c>
      <c r="X9">
        <v>12.99</v>
      </c>
      <c r="Y9">
        <v>1</v>
      </c>
      <c r="Z9" s="31">
        <v>0.103926096997691</v>
      </c>
      <c r="AA9" s="31">
        <v>0.2</v>
      </c>
      <c r="AB9" s="1" t="str">
        <f>VLOOKUP(T:T,'4店'!$B:$B,1,0)</f>
        <v>Y4013-BL+Y4016+Y4019</v>
      </c>
      <c r="AC9" t="s">
        <v>1325</v>
      </c>
      <c r="AD9">
        <v>1008</v>
      </c>
      <c r="AE9">
        <v>13</v>
      </c>
      <c r="AF9">
        <v>3.3</v>
      </c>
      <c r="AG9">
        <v>25.98</v>
      </c>
      <c r="AH9">
        <v>2</v>
      </c>
      <c r="AI9" s="31">
        <v>0.1270207852194</v>
      </c>
      <c r="AJ9" s="31">
        <v>0.153846153846154</v>
      </c>
      <c r="AK9" s="1" t="str">
        <f>VLOOKUP(AC:AC,'4店'!$B:$B,1,0)</f>
        <v>Y4013-BL+Y4016+Y4019</v>
      </c>
      <c r="AL9" t="s">
        <v>1328</v>
      </c>
      <c r="AM9" s="102">
        <v>103.81</v>
      </c>
      <c r="AN9" s="1">
        <f>AM9*$AS$1</f>
        <v>711.0985</v>
      </c>
      <c r="AP9" t="s">
        <v>1303</v>
      </c>
      <c r="AQ9" s="102">
        <v>465.31</v>
      </c>
      <c r="AR9" s="1">
        <f t="shared" si="0"/>
        <v>3187.3735</v>
      </c>
      <c r="AT9" s="43" t="s">
        <v>1315</v>
      </c>
      <c r="AU9" s="44">
        <v>602.8</v>
      </c>
      <c r="AV9" s="35"/>
      <c r="AW9" s="43" t="s">
        <v>1315</v>
      </c>
      <c r="AX9" s="44">
        <v>739.8</v>
      </c>
      <c r="AZ9" s="47" t="s">
        <v>1310</v>
      </c>
      <c r="BA9" s="48">
        <v>5.229</v>
      </c>
      <c r="BB9" s="1" t="s">
        <v>430</v>
      </c>
    </row>
    <row r="10" spans="2:54">
      <c r="B10" t="s">
        <v>1361</v>
      </c>
      <c r="C10">
        <v>6</v>
      </c>
      <c r="D10" s="1" t="str">
        <f>VLOOKUP(B:B,'4店'!$B:$B,1,0)</f>
        <v>Y4022-DB+Y4026+Y4030</v>
      </c>
      <c r="E10" t="s">
        <v>1334</v>
      </c>
      <c r="F10">
        <v>5</v>
      </c>
      <c r="G10" s="1" t="str">
        <f>VLOOKUP(E:E,'4店'!$B:$B,1,0)</f>
        <v>Y4013-PB+Y4016+Y4019</v>
      </c>
      <c r="H10" t="s">
        <v>1321</v>
      </c>
      <c r="I10">
        <v>14</v>
      </c>
      <c r="J10" s="1" t="str">
        <f>VLOOKUP(H:H,'4店'!$B:$B,1,0)</f>
        <v>Y4012-DB+Y4015+Y4018</v>
      </c>
      <c r="K10" t="s">
        <v>1332</v>
      </c>
      <c r="L10">
        <v>7975</v>
      </c>
      <c r="M10">
        <v>106</v>
      </c>
      <c r="N10">
        <v>51.07</v>
      </c>
      <c r="O10">
        <v>155.77</v>
      </c>
      <c r="P10">
        <v>11</v>
      </c>
      <c r="Q10" s="31">
        <v>0.327855171085575</v>
      </c>
      <c r="R10" s="31">
        <v>0.10377358490566</v>
      </c>
      <c r="S10" s="1" t="str">
        <f>VLOOKUP(K:K,'4店'!$B:$B,1,0)</f>
        <v>Y4013-OR+Y4016+Y4019</v>
      </c>
      <c r="T10" t="s">
        <v>1328</v>
      </c>
      <c r="U10">
        <v>1235</v>
      </c>
      <c r="V10">
        <v>15</v>
      </c>
      <c r="W10">
        <v>6.05</v>
      </c>
      <c r="X10">
        <v>25.98</v>
      </c>
      <c r="Y10">
        <v>2</v>
      </c>
      <c r="Z10" s="31">
        <v>0.232871439568899</v>
      </c>
      <c r="AA10" s="31">
        <v>0.133333333333333</v>
      </c>
      <c r="AB10" s="1" t="str">
        <f>VLOOKUP(T:T,'4店'!$B:$B,1,0)</f>
        <v>Y4013-DB+Y4016+Y4019</v>
      </c>
      <c r="AC10" t="s">
        <v>1328</v>
      </c>
      <c r="AD10">
        <v>2514</v>
      </c>
      <c r="AE10">
        <v>22</v>
      </c>
      <c r="AF10">
        <v>8.85</v>
      </c>
      <c r="AG10">
        <v>38.97</v>
      </c>
      <c r="AH10">
        <v>3</v>
      </c>
      <c r="AI10" s="31">
        <v>0.227097767513472</v>
      </c>
      <c r="AJ10" s="31">
        <v>0.136363636363636</v>
      </c>
      <c r="AK10" s="1" t="str">
        <f>VLOOKUP(AC:AC,'4店'!$B:$B,1,0)</f>
        <v>Y4013-DB+Y4016+Y4019</v>
      </c>
      <c r="AL10" t="s">
        <v>1308</v>
      </c>
      <c r="AM10" s="102">
        <v>77.83</v>
      </c>
      <c r="AN10" s="1">
        <f>AM10*$AS$1</f>
        <v>533.1355</v>
      </c>
      <c r="AP10" t="s">
        <v>1361</v>
      </c>
      <c r="AQ10" s="102">
        <v>203.84</v>
      </c>
      <c r="AR10" s="1">
        <f t="shared" si="0"/>
        <v>1396.304</v>
      </c>
      <c r="AT10" s="43" t="s">
        <v>1317</v>
      </c>
      <c r="AU10" s="44">
        <v>767.2</v>
      </c>
      <c r="AV10" s="35"/>
      <c r="AW10" s="43" t="s">
        <v>1317</v>
      </c>
      <c r="AX10" s="44">
        <v>534.3</v>
      </c>
      <c r="AZ10" s="47" t="s">
        <v>1313</v>
      </c>
      <c r="BA10" s="48">
        <v>5.497</v>
      </c>
      <c r="BB10" s="1" t="s">
        <v>430</v>
      </c>
    </row>
    <row r="11" spans="2:54">
      <c r="B11" t="s">
        <v>1369</v>
      </c>
      <c r="C11">
        <v>6</v>
      </c>
      <c r="D11" s="1" t="str">
        <f>VLOOKUP(B:B,'4店'!$B:$B,1,0)</f>
        <v>Y4023-DB+Y4027+Y4031</v>
      </c>
      <c r="E11" t="s">
        <v>1319</v>
      </c>
      <c r="F11">
        <v>4</v>
      </c>
      <c r="G11" s="1" t="str">
        <f>VLOOKUP(E:E,'4店'!$B:$B,1,0)</f>
        <v>Y4011-PB+Y4014+Y4017</v>
      </c>
      <c r="H11" t="s">
        <v>1325</v>
      </c>
      <c r="I11">
        <v>60</v>
      </c>
      <c r="J11" s="1" t="str">
        <f>VLOOKUP(H:H,'4店'!$B:$B,1,0)</f>
        <v>Y4013-BL+Y4016+Y4019</v>
      </c>
      <c r="K11" t="s">
        <v>1378</v>
      </c>
      <c r="L11">
        <v>966</v>
      </c>
      <c r="M11">
        <v>12</v>
      </c>
      <c r="N11">
        <v>3.64</v>
      </c>
      <c r="O11">
        <v>25.98</v>
      </c>
      <c r="P11">
        <v>1</v>
      </c>
      <c r="Q11" s="31">
        <v>0.140107775211701</v>
      </c>
      <c r="R11" s="31">
        <v>0.0833333333333333</v>
      </c>
      <c r="S11" s="1" t="str">
        <f>VLOOKUP(K:K,'4店'!$B:$B,1,0)</f>
        <v>Y4039-BL+Y4042+Y4045</v>
      </c>
      <c r="T11" t="s">
        <v>1332</v>
      </c>
      <c r="U11">
        <v>14437</v>
      </c>
      <c r="V11">
        <v>192</v>
      </c>
      <c r="W11">
        <v>90.11</v>
      </c>
      <c r="X11">
        <v>372.6</v>
      </c>
      <c r="Y11">
        <v>24</v>
      </c>
      <c r="Z11" s="31">
        <v>0.241841116478798</v>
      </c>
      <c r="AA11" s="31">
        <v>0.125</v>
      </c>
      <c r="AB11" s="1" t="str">
        <f>VLOOKUP(T:T,'4店'!$B:$B,1,0)</f>
        <v>Y4013-OR+Y4016+Y4019</v>
      </c>
      <c r="AC11" t="s">
        <v>1332</v>
      </c>
      <c r="AD11">
        <v>28927</v>
      </c>
      <c r="AE11">
        <v>397</v>
      </c>
      <c r="AF11">
        <v>181.17</v>
      </c>
      <c r="AG11">
        <v>954.93</v>
      </c>
      <c r="AH11">
        <v>62</v>
      </c>
      <c r="AI11" s="31">
        <v>0.189720712512959</v>
      </c>
      <c r="AJ11" s="31">
        <v>0.156171284634761</v>
      </c>
      <c r="AK11" s="1" t="str">
        <f>VLOOKUP(AC:AC,'4店'!$B:$B,1,0)</f>
        <v>Y4013-OR+Y4016+Y4019</v>
      </c>
      <c r="AL11" t="s">
        <v>1361</v>
      </c>
      <c r="AM11" s="102">
        <v>77.94</v>
      </c>
      <c r="AN11" s="1">
        <f>AM11*$AS$1</f>
        <v>533.889</v>
      </c>
      <c r="AP11" t="s">
        <v>1315</v>
      </c>
      <c r="AQ11" s="102">
        <v>167.86</v>
      </c>
      <c r="AR11" s="1">
        <f t="shared" si="0"/>
        <v>1149.841</v>
      </c>
      <c r="AT11" s="43" t="s">
        <v>1319</v>
      </c>
      <c r="AU11" s="44">
        <v>260.3</v>
      </c>
      <c r="AV11" s="35"/>
      <c r="AW11" s="43" t="s">
        <v>1319</v>
      </c>
      <c r="AX11" s="44">
        <v>287.7</v>
      </c>
      <c r="AZ11" s="47" t="s">
        <v>1315</v>
      </c>
      <c r="BA11" s="48">
        <v>4.711</v>
      </c>
      <c r="BB11" s="1" t="s">
        <v>430</v>
      </c>
    </row>
    <row r="12" spans="2:54">
      <c r="B12" t="s">
        <v>1343</v>
      </c>
      <c r="C12">
        <v>4</v>
      </c>
      <c r="D12" s="1" t="str">
        <f>VLOOKUP(B:B,'4店'!$B:$B,1,0)</f>
        <v>Y4020-OR+Y4024+Y4028</v>
      </c>
      <c r="E12" t="s">
        <v>1378</v>
      </c>
      <c r="F12">
        <v>15</v>
      </c>
      <c r="G12" s="1" t="str">
        <f>VLOOKUP(E:E,'4店'!$B:$B,1,0)</f>
        <v>Y4039-BL+Y4042+Y4045</v>
      </c>
      <c r="H12" t="s">
        <v>1308</v>
      </c>
      <c r="I12">
        <v>50</v>
      </c>
      <c r="J12" s="1" t="str">
        <f>VLOOKUP(H:H,'4店'!$B:$B,1,0)</f>
        <v>Y4011-OR+Y4014+Y4017</v>
      </c>
      <c r="K12" t="s">
        <v>1383</v>
      </c>
      <c r="L12">
        <v>1037</v>
      </c>
      <c r="M12">
        <v>9</v>
      </c>
      <c r="N12">
        <v>3.05</v>
      </c>
      <c r="O12">
        <v>0</v>
      </c>
      <c r="P12">
        <v>0</v>
      </c>
      <c r="Q12" s="31">
        <v>0</v>
      </c>
      <c r="R12" s="31">
        <v>0</v>
      </c>
      <c r="S12" s="1" t="str">
        <f>VLOOKUP(K:K,'4店'!$B:$B,1,0)</f>
        <v>Y4039-OR+Y4042+Y4045</v>
      </c>
      <c r="T12" t="s">
        <v>1378</v>
      </c>
      <c r="U12">
        <v>2714</v>
      </c>
      <c r="V12">
        <v>29</v>
      </c>
      <c r="W12">
        <v>8.95</v>
      </c>
      <c r="X12">
        <v>51.96</v>
      </c>
      <c r="Y12">
        <v>3</v>
      </c>
      <c r="Z12" s="31">
        <v>0.172247882986913</v>
      </c>
      <c r="AA12" s="31">
        <v>0.103448275862069</v>
      </c>
      <c r="AB12" s="1" t="str">
        <f>VLOOKUP(T:T,'4店'!$B:$B,1,0)</f>
        <v>Y4039-BL+Y4042+Y4045</v>
      </c>
      <c r="AC12" t="s">
        <v>1378</v>
      </c>
      <c r="AD12">
        <v>4389</v>
      </c>
      <c r="AE12">
        <v>46</v>
      </c>
      <c r="AF12">
        <v>14.83</v>
      </c>
      <c r="AG12">
        <v>51.96</v>
      </c>
      <c r="AH12">
        <v>3</v>
      </c>
      <c r="AI12" s="31">
        <v>0.285411855273287</v>
      </c>
      <c r="AJ12" s="31">
        <v>0.0652173913043478</v>
      </c>
      <c r="AK12" s="1" t="str">
        <f>VLOOKUP(AC:AC,'4店'!$B:$B,1,0)</f>
        <v>Y4039-BL+Y4042+Y4045</v>
      </c>
      <c r="AL12" t="s">
        <v>1367</v>
      </c>
      <c r="AM12" s="102">
        <v>77.94</v>
      </c>
      <c r="AN12" s="1">
        <f t="shared" ref="AN12:AN43" si="1">AM12*$AS$1</f>
        <v>533.889</v>
      </c>
      <c r="AP12" t="s">
        <v>1328</v>
      </c>
      <c r="AQ12" s="102">
        <v>188.74</v>
      </c>
      <c r="AR12" s="1">
        <f t="shared" si="0"/>
        <v>1292.869</v>
      </c>
      <c r="AT12" s="43" t="s">
        <v>1321</v>
      </c>
      <c r="AU12" s="44">
        <v>548</v>
      </c>
      <c r="AV12" s="35"/>
      <c r="AW12" s="43" t="s">
        <v>1321</v>
      </c>
      <c r="AX12" s="44">
        <v>397.3</v>
      </c>
      <c r="AZ12" s="47" t="s">
        <v>1323</v>
      </c>
      <c r="BA12" s="48">
        <v>5.275</v>
      </c>
      <c r="BB12" s="1" t="s">
        <v>430</v>
      </c>
    </row>
    <row r="13" spans="2:54">
      <c r="B13" t="s">
        <v>1425</v>
      </c>
      <c r="C13">
        <v>4</v>
      </c>
      <c r="D13" s="1" t="str">
        <f>VLOOKUP(B:B,'4店'!$B:$B,1,0)</f>
        <v>Y4023-WI+Y4027+Y4031</v>
      </c>
      <c r="E13" t="s">
        <v>426</v>
      </c>
      <c r="F13"/>
      <c r="G13" s="1" t="e">
        <f>VLOOKUP(E:E,'4店'!$B:$B,1,0)</f>
        <v>#N/A</v>
      </c>
      <c r="H13" t="s">
        <v>1334</v>
      </c>
      <c r="I13">
        <v>9</v>
      </c>
      <c r="J13" s="1" t="str">
        <f>VLOOKUP(H:H,'4店'!$B:$B,1,0)</f>
        <v>Y4013-PB+Y4016+Y4019</v>
      </c>
      <c r="K13" t="s">
        <v>1381</v>
      </c>
      <c r="L13">
        <v>806</v>
      </c>
      <c r="M13">
        <v>17</v>
      </c>
      <c r="N13">
        <v>5.63</v>
      </c>
      <c r="O13">
        <v>0</v>
      </c>
      <c r="P13">
        <v>0</v>
      </c>
      <c r="Q13" s="31">
        <v>0</v>
      </c>
      <c r="R13" s="31">
        <v>0</v>
      </c>
      <c r="S13" s="1" t="str">
        <f>VLOOKUP(K:K,'4店'!$B:$B,1,0)</f>
        <v>Y4039-DB+Y4042+Y4045</v>
      </c>
      <c r="T13" t="s">
        <v>1383</v>
      </c>
      <c r="U13">
        <v>1932</v>
      </c>
      <c r="V13">
        <v>19</v>
      </c>
      <c r="W13">
        <v>6.34</v>
      </c>
      <c r="X13">
        <v>25.98</v>
      </c>
      <c r="Y13">
        <v>2</v>
      </c>
      <c r="Z13" s="31">
        <v>0.244033872209392</v>
      </c>
      <c r="AA13" s="31">
        <v>0.105263157894737</v>
      </c>
      <c r="AB13" s="1" t="str">
        <f>VLOOKUP(T:T,'4店'!$B:$B,1,0)</f>
        <v>Y4039-OR+Y4042+Y4045</v>
      </c>
      <c r="AC13" t="s">
        <v>1383</v>
      </c>
      <c r="AD13">
        <v>3255</v>
      </c>
      <c r="AE13">
        <v>48</v>
      </c>
      <c r="AF13">
        <v>14.87</v>
      </c>
      <c r="AG13">
        <v>51.96</v>
      </c>
      <c r="AH13">
        <v>4</v>
      </c>
      <c r="AI13" s="31">
        <v>0.286181678214011</v>
      </c>
      <c r="AJ13" s="31">
        <v>0.0833333333333333</v>
      </c>
      <c r="AK13" s="1" t="str">
        <f>VLOOKUP(AC:AC,'4店'!$B:$B,1,0)</f>
        <v>Y4039-OR+Y4042+Y4045</v>
      </c>
      <c r="AL13" t="s">
        <v>1369</v>
      </c>
      <c r="AM13" s="102">
        <v>77.94</v>
      </c>
      <c r="AN13" s="1">
        <f t="shared" si="1"/>
        <v>533.889</v>
      </c>
      <c r="AP13" t="s">
        <v>1376</v>
      </c>
      <c r="AQ13" s="102">
        <v>186.75</v>
      </c>
      <c r="AR13" s="1">
        <f t="shared" si="0"/>
        <v>1279.2375</v>
      </c>
      <c r="AT13" s="43" t="s">
        <v>1323</v>
      </c>
      <c r="AU13" s="44">
        <v>424.7</v>
      </c>
      <c r="AV13" s="35"/>
      <c r="AW13" s="43" t="s">
        <v>1323</v>
      </c>
      <c r="AX13" s="44">
        <v>493.2</v>
      </c>
      <c r="AZ13" s="47" t="s">
        <v>1321</v>
      </c>
      <c r="BA13" s="48">
        <v>5.113</v>
      </c>
      <c r="BB13" s="1" t="s">
        <v>430</v>
      </c>
    </row>
    <row r="14" spans="2:54">
      <c r="B14" t="s">
        <v>1376</v>
      </c>
      <c r="C14">
        <v>5</v>
      </c>
      <c r="D14" s="1" t="str">
        <f>VLOOKUP(B:B,'4店'!$B:$B,1,0)</f>
        <v>Y4023-WB+Y4027+Y4031</v>
      </c>
      <c r="E14" t="s">
        <v>1376</v>
      </c>
      <c r="F14">
        <v>14</v>
      </c>
      <c r="G14" s="1" t="str">
        <f>VLOOKUP(E:E,'4店'!$B:$B,1,0)</f>
        <v>Y4023-WB+Y4027+Y4031</v>
      </c>
      <c r="H14" t="s">
        <v>1378</v>
      </c>
      <c r="I14">
        <v>22</v>
      </c>
      <c r="J14" s="1" t="str">
        <f>VLOOKUP(H:H,'4店'!$B:$B,1,0)</f>
        <v>Y4039-BL+Y4042+Y4045</v>
      </c>
      <c r="K14" t="s">
        <v>1308</v>
      </c>
      <c r="L14">
        <v>4993</v>
      </c>
      <c r="M14">
        <v>74</v>
      </c>
      <c r="N14">
        <v>28.85</v>
      </c>
      <c r="O14">
        <v>493.51</v>
      </c>
      <c r="P14">
        <v>11</v>
      </c>
      <c r="Q14" s="31">
        <v>0.0584587951611923</v>
      </c>
      <c r="R14" s="31">
        <v>0.148648648648649</v>
      </c>
      <c r="S14" s="1" t="str">
        <f>VLOOKUP(K:K,'4店'!$B:$B,1,0)</f>
        <v>Y4011-OR+Y4014+Y4017</v>
      </c>
      <c r="T14" t="s">
        <v>1381</v>
      </c>
      <c r="U14">
        <v>1867</v>
      </c>
      <c r="V14">
        <v>32</v>
      </c>
      <c r="W14">
        <v>10.3</v>
      </c>
      <c r="X14">
        <v>0</v>
      </c>
      <c r="Y14">
        <v>0</v>
      </c>
      <c r="Z14" s="31">
        <v>0</v>
      </c>
      <c r="AA14" s="31">
        <v>0</v>
      </c>
      <c r="AB14" s="1" t="str">
        <f>VLOOKUP(T:T,'4店'!$B:$B,1,0)</f>
        <v>Y4039-DB+Y4042+Y4045</v>
      </c>
      <c r="AC14" t="s">
        <v>1381</v>
      </c>
      <c r="AD14">
        <v>3262</v>
      </c>
      <c r="AE14">
        <v>66</v>
      </c>
      <c r="AF14">
        <v>21.08</v>
      </c>
      <c r="AG14">
        <v>38.97</v>
      </c>
      <c r="AH14">
        <v>3</v>
      </c>
      <c r="AI14" s="31">
        <v>0.540928919681806</v>
      </c>
      <c r="AJ14" s="31">
        <v>0.0454545454545455</v>
      </c>
      <c r="AK14" s="1" t="str">
        <f>VLOOKUP(AC:AC,'4店'!$B:$B,1,0)</f>
        <v>Y4039-DB+Y4042+Y4045</v>
      </c>
      <c r="AL14" t="s">
        <v>1529</v>
      </c>
      <c r="AM14" s="102">
        <v>77.94</v>
      </c>
      <c r="AN14" s="1">
        <f t="shared" si="1"/>
        <v>533.889</v>
      </c>
      <c r="AP14" t="s">
        <v>1378</v>
      </c>
      <c r="AQ14" s="102">
        <v>175.86</v>
      </c>
      <c r="AR14" s="1">
        <f t="shared" si="0"/>
        <v>1204.641</v>
      </c>
      <c r="AT14" s="43" t="s">
        <v>1325</v>
      </c>
      <c r="AU14" s="44">
        <v>1383.7</v>
      </c>
      <c r="AV14" s="35"/>
      <c r="AW14" s="43" t="s">
        <v>1325</v>
      </c>
      <c r="AX14" s="44">
        <v>1274.1</v>
      </c>
      <c r="AZ14" s="47" t="s">
        <v>1325</v>
      </c>
      <c r="BA14" s="48">
        <v>4.714</v>
      </c>
      <c r="BB14" s="1" t="s">
        <v>430</v>
      </c>
    </row>
    <row r="15" spans="2:54">
      <c r="B15" t="s">
        <v>1328</v>
      </c>
      <c r="C15">
        <v>8</v>
      </c>
      <c r="D15" s="1" t="str">
        <f>VLOOKUP(B:B,'4店'!$B:$B,1,0)</f>
        <v>Y4013-DB+Y4016+Y4019</v>
      </c>
      <c r="E15" t="s">
        <v>1339</v>
      </c>
      <c r="F15">
        <v>8</v>
      </c>
      <c r="G15" s="1" t="str">
        <f>VLOOKUP(E:E,'4店'!$B:$B,1,0)</f>
        <v>Y4020-DB+Y4024+Y4028</v>
      </c>
      <c r="H15" t="s">
        <v>426</v>
      </c>
      <c r="I15"/>
      <c r="J15" s="1" t="e">
        <f>VLOOKUP(H:H,'4店'!$B:$B,1,0)</f>
        <v>#N/A</v>
      </c>
      <c r="K15" t="s">
        <v>1390</v>
      </c>
      <c r="L15">
        <v>391</v>
      </c>
      <c r="M15">
        <v>1</v>
      </c>
      <c r="N15">
        <v>0.48</v>
      </c>
      <c r="O15">
        <v>0</v>
      </c>
      <c r="P15">
        <v>0</v>
      </c>
      <c r="Q15" s="31">
        <v>0</v>
      </c>
      <c r="R15" s="31">
        <v>0</v>
      </c>
      <c r="S15" s="1" t="str">
        <f>VLOOKUP(K:K,'4店'!$B:$B,1,0)</f>
        <v>Y4033-DG</v>
      </c>
      <c r="T15" t="s">
        <v>1390</v>
      </c>
      <c r="U15">
        <v>675</v>
      </c>
      <c r="V15">
        <v>2</v>
      </c>
      <c r="W15">
        <v>0.73</v>
      </c>
      <c r="X15">
        <v>0</v>
      </c>
      <c r="Y15">
        <v>0</v>
      </c>
      <c r="Z15" s="31">
        <v>0</v>
      </c>
      <c r="AA15" s="31">
        <v>0</v>
      </c>
      <c r="AB15" s="1" t="str">
        <f>VLOOKUP(T:T,'4店'!$B:$B,1,0)</f>
        <v>Y4033-DG</v>
      </c>
      <c r="AC15" t="s">
        <v>1390</v>
      </c>
      <c r="AD15">
        <v>1850</v>
      </c>
      <c r="AE15">
        <v>6</v>
      </c>
      <c r="AF15">
        <v>1.81</v>
      </c>
      <c r="AG15">
        <v>0</v>
      </c>
      <c r="AH15">
        <v>0</v>
      </c>
      <c r="AI15" s="31">
        <v>0</v>
      </c>
      <c r="AJ15" s="31">
        <v>0</v>
      </c>
      <c r="AK15" s="1" t="str">
        <f>VLOOKUP(AC:AC,'4店'!$B:$B,1,0)</f>
        <v>Y4033-DG</v>
      </c>
      <c r="AL15" t="s">
        <v>1573</v>
      </c>
      <c r="AM15" s="102">
        <v>77.94</v>
      </c>
      <c r="AN15" s="1">
        <f t="shared" si="1"/>
        <v>533.889</v>
      </c>
      <c r="AP15" t="s">
        <v>1542</v>
      </c>
      <c r="AQ15" s="102">
        <v>181.86</v>
      </c>
      <c r="AR15" s="1">
        <f t="shared" si="0"/>
        <v>1245.741</v>
      </c>
      <c r="AT15" s="43" t="s">
        <v>1328</v>
      </c>
      <c r="AU15" s="44">
        <v>1342.6</v>
      </c>
      <c r="AV15" s="35"/>
      <c r="AW15" s="43" t="s">
        <v>1328</v>
      </c>
      <c r="AX15" s="44">
        <v>780.9</v>
      </c>
      <c r="AZ15" s="47" t="s">
        <v>1328</v>
      </c>
      <c r="BA15" s="48">
        <v>4.503</v>
      </c>
      <c r="BB15" s="1" t="s">
        <v>430</v>
      </c>
    </row>
    <row r="16" spans="2:54">
      <c r="B16" t="s">
        <v>1367</v>
      </c>
      <c r="C16">
        <v>6</v>
      </c>
      <c r="D16" s="1" t="str">
        <f>VLOOKUP(B:B,'4店'!$B:$B,1,0)</f>
        <v>Y4022-WB+Y4026+Y4030</v>
      </c>
      <c r="E16" t="s">
        <v>1425</v>
      </c>
      <c r="F16">
        <v>8</v>
      </c>
      <c r="G16" s="1" t="str">
        <f>VLOOKUP(E:E,'4店'!$B:$B,1,0)</f>
        <v>Y4023-WI+Y4027+Y4031</v>
      </c>
      <c r="H16" t="s">
        <v>1376</v>
      </c>
      <c r="I16">
        <v>22</v>
      </c>
      <c r="J16" s="1" t="str">
        <f>VLOOKUP(H:H,'4店'!$B:$B,1,0)</f>
        <v>Y4023-WB+Y4027+Y4031</v>
      </c>
      <c r="K16" t="s">
        <v>1393</v>
      </c>
      <c r="L16">
        <v>460</v>
      </c>
      <c r="M16">
        <v>3</v>
      </c>
      <c r="N16">
        <v>0.91</v>
      </c>
      <c r="O16">
        <v>0</v>
      </c>
      <c r="P16">
        <v>0</v>
      </c>
      <c r="Q16" s="31">
        <v>0</v>
      </c>
      <c r="R16" s="31">
        <v>0</v>
      </c>
      <c r="S16" s="1" t="str">
        <f>VLOOKUP(K:K,'4店'!$B:$B,1,0)</f>
        <v>Y4033-LP</v>
      </c>
      <c r="T16" t="s">
        <v>1393</v>
      </c>
      <c r="U16">
        <v>1074</v>
      </c>
      <c r="V16">
        <v>5</v>
      </c>
      <c r="W16">
        <v>1.39</v>
      </c>
      <c r="X16">
        <v>0</v>
      </c>
      <c r="Y16">
        <v>0</v>
      </c>
      <c r="Z16" s="31">
        <v>0</v>
      </c>
      <c r="AA16" s="31">
        <v>0</v>
      </c>
      <c r="AB16" s="1" t="str">
        <f>VLOOKUP(T:T,'4店'!$B:$B,1,0)</f>
        <v>Y4033-LP</v>
      </c>
      <c r="AC16" t="s">
        <v>1393</v>
      </c>
      <c r="AD16">
        <v>2665</v>
      </c>
      <c r="AE16">
        <v>12</v>
      </c>
      <c r="AF16">
        <v>3.27</v>
      </c>
      <c r="AG16">
        <v>0</v>
      </c>
      <c r="AH16">
        <v>0</v>
      </c>
      <c r="AI16" s="31">
        <v>0</v>
      </c>
      <c r="AJ16" s="31">
        <v>0</v>
      </c>
      <c r="AK16" s="1" t="str">
        <f>VLOOKUP(AC:AC,'4店'!$B:$B,1,0)</f>
        <v>Y4033-LP</v>
      </c>
      <c r="AL16" t="s">
        <v>1330</v>
      </c>
      <c r="AM16" s="102">
        <v>64.95</v>
      </c>
      <c r="AN16" s="1">
        <f t="shared" si="1"/>
        <v>444.9075</v>
      </c>
      <c r="AP16" t="s">
        <v>1343</v>
      </c>
      <c r="AQ16" s="102">
        <v>170.87</v>
      </c>
      <c r="AR16" s="1">
        <f t="shared" si="0"/>
        <v>1170.4595</v>
      </c>
      <c r="AT16" s="43" t="s">
        <v>1330</v>
      </c>
      <c r="AU16" s="44">
        <v>712.4</v>
      </c>
      <c r="AV16" s="35"/>
      <c r="AW16" s="43" t="s">
        <v>1330</v>
      </c>
      <c r="AX16" s="44">
        <v>890.5</v>
      </c>
      <c r="AZ16" s="47" t="s">
        <v>1330</v>
      </c>
      <c r="BA16" s="48">
        <v>4.096</v>
      </c>
      <c r="BB16" s="1" t="s">
        <v>430</v>
      </c>
    </row>
    <row r="17" spans="2:54">
      <c r="B17" t="s">
        <v>1462</v>
      </c>
      <c r="C17">
        <v>3</v>
      </c>
      <c r="D17" s="1" t="str">
        <f>VLOOKUP(B:B,'4店'!$B:$B,1,0)</f>
        <v>Y4050-BL+Y4051+Y4052</v>
      </c>
      <c r="E17" t="s">
        <v>1336</v>
      </c>
      <c r="F17">
        <v>11</v>
      </c>
      <c r="G17" s="1" t="str">
        <f>VLOOKUP(E:E,'4店'!$B:$B,1,0)</f>
        <v>Y4020-BL+Y4024+Y4028</v>
      </c>
      <c r="H17" t="s">
        <v>1339</v>
      </c>
      <c r="I17">
        <v>21</v>
      </c>
      <c r="J17" s="1" t="str">
        <f>VLOOKUP(H:H,'4店'!$B:$B,1,0)</f>
        <v>Y4020-DB+Y4024+Y4028</v>
      </c>
      <c r="K17" t="s">
        <v>1387</v>
      </c>
      <c r="L17">
        <v>622</v>
      </c>
      <c r="M17">
        <v>12</v>
      </c>
      <c r="N17">
        <v>2.68</v>
      </c>
      <c r="O17">
        <v>0</v>
      </c>
      <c r="P17">
        <v>0</v>
      </c>
      <c r="Q17" s="31">
        <v>0</v>
      </c>
      <c r="R17" s="31">
        <v>0</v>
      </c>
      <c r="S17" s="1" t="str">
        <f>VLOOKUP(K:K,'4店'!$B:$B,1,0)</f>
        <v>Y4032-DB</v>
      </c>
      <c r="T17" t="s">
        <v>1387</v>
      </c>
      <c r="U17">
        <v>1673</v>
      </c>
      <c r="V17">
        <v>31</v>
      </c>
      <c r="W17">
        <v>6.18</v>
      </c>
      <c r="X17">
        <v>25.98</v>
      </c>
      <c r="Y17">
        <v>2</v>
      </c>
      <c r="Z17" s="31">
        <v>0.237875288683603</v>
      </c>
      <c r="AA17" s="31">
        <v>0.0645161290322581</v>
      </c>
      <c r="AB17" s="1" t="str">
        <f>VLOOKUP(T:T,'4店'!$B:$B,1,0)</f>
        <v>Y4032-DB</v>
      </c>
      <c r="AC17" t="s">
        <v>1387</v>
      </c>
      <c r="AD17">
        <v>3952</v>
      </c>
      <c r="AE17">
        <v>70</v>
      </c>
      <c r="AF17">
        <v>15.04</v>
      </c>
      <c r="AG17">
        <v>51.96</v>
      </c>
      <c r="AH17">
        <v>3</v>
      </c>
      <c r="AI17" s="31">
        <v>0.289453425712086</v>
      </c>
      <c r="AJ17" s="31">
        <v>0.0428571428571429</v>
      </c>
      <c r="AK17" s="1" t="str">
        <f>VLOOKUP(AC:AC,'4店'!$B:$B,1,0)</f>
        <v>Y4032-DB</v>
      </c>
      <c r="AL17" t="s">
        <v>1365</v>
      </c>
      <c r="AM17" s="102">
        <v>64.95</v>
      </c>
      <c r="AN17" s="1">
        <f t="shared" si="1"/>
        <v>444.9075</v>
      </c>
      <c r="AP17" t="s">
        <v>1566</v>
      </c>
      <c r="AQ17" s="102">
        <v>168.21</v>
      </c>
      <c r="AR17" s="1">
        <f t="shared" si="0"/>
        <v>1152.2385</v>
      </c>
      <c r="AT17" s="43" t="s">
        <v>1332</v>
      </c>
      <c r="AU17" s="44">
        <v>1753.6</v>
      </c>
      <c r="AV17" s="35"/>
      <c r="AW17" s="43" t="s">
        <v>1332</v>
      </c>
      <c r="AX17" s="44">
        <v>685</v>
      </c>
      <c r="AZ17" s="47" t="s">
        <v>1334</v>
      </c>
      <c r="BA17" s="48">
        <v>4.794</v>
      </c>
      <c r="BB17" s="1" t="s">
        <v>430</v>
      </c>
    </row>
    <row r="18" spans="2:54">
      <c r="B18" t="s">
        <v>1496</v>
      </c>
      <c r="C18">
        <v>8</v>
      </c>
      <c r="D18" s="1" t="str">
        <f>VLOOKUP(B:B,'4店'!$B:$B,1,0)</f>
        <v>Y4023-BL+Y4027+Y4031*1</v>
      </c>
      <c r="E18" t="s">
        <v>1347</v>
      </c>
      <c r="F18">
        <v>7</v>
      </c>
      <c r="G18" s="1" t="str">
        <f>VLOOKUP(E:E,'4店'!$B:$B,1,0)</f>
        <v>Y4021-BL+Y4025+Y4029</v>
      </c>
      <c r="H18" t="s">
        <v>1425</v>
      </c>
      <c r="I18">
        <v>17</v>
      </c>
      <c r="J18" s="1" t="str">
        <f>VLOOKUP(H:H,'4店'!$B:$B,1,0)</f>
        <v>Y4023-WI+Y4027+Y4031</v>
      </c>
      <c r="K18" t="s">
        <v>1402</v>
      </c>
      <c r="L18">
        <v>149</v>
      </c>
      <c r="M18">
        <v>3</v>
      </c>
      <c r="N18">
        <v>1.23</v>
      </c>
      <c r="O18">
        <v>0</v>
      </c>
      <c r="P18">
        <v>0</v>
      </c>
      <c r="Q18" s="31">
        <v>0</v>
      </c>
      <c r="R18" s="31">
        <v>0</v>
      </c>
      <c r="S18" s="1" t="str">
        <f>VLOOKUP(K:K,'4店'!$B:$B,1,0)</f>
        <v>Y4035-WHB</v>
      </c>
      <c r="T18" t="s">
        <v>1402</v>
      </c>
      <c r="U18">
        <v>329</v>
      </c>
      <c r="V18">
        <v>3</v>
      </c>
      <c r="W18">
        <v>1.23</v>
      </c>
      <c r="X18">
        <v>0</v>
      </c>
      <c r="Y18">
        <v>0</v>
      </c>
      <c r="Z18" s="31">
        <v>0</v>
      </c>
      <c r="AA18" s="31">
        <v>0</v>
      </c>
      <c r="AB18" s="1" t="str">
        <f>VLOOKUP(T:T,'4店'!$B:$B,1,0)</f>
        <v>Y4035-WHB</v>
      </c>
      <c r="AC18" t="s">
        <v>1402</v>
      </c>
      <c r="AD18">
        <v>543</v>
      </c>
      <c r="AE18">
        <v>4</v>
      </c>
      <c r="AF18">
        <v>1.6</v>
      </c>
      <c r="AG18">
        <v>0</v>
      </c>
      <c r="AH18">
        <v>0</v>
      </c>
      <c r="AI18" s="31">
        <v>0</v>
      </c>
      <c r="AJ18" s="31">
        <v>0</v>
      </c>
      <c r="AK18" s="1" t="str">
        <f>VLOOKUP(AC:AC,'4店'!$B:$B,1,0)</f>
        <v>Y4035-WHB</v>
      </c>
      <c r="AL18" t="s">
        <v>1376</v>
      </c>
      <c r="AM18" s="102">
        <v>64.95</v>
      </c>
      <c r="AN18" s="1">
        <f t="shared" si="1"/>
        <v>444.9075</v>
      </c>
      <c r="AP18" t="s">
        <v>1365</v>
      </c>
      <c r="AQ18" s="102">
        <v>142.89</v>
      </c>
      <c r="AR18" s="1">
        <f t="shared" si="0"/>
        <v>978.7965</v>
      </c>
      <c r="AT18" s="43" t="s">
        <v>1334</v>
      </c>
      <c r="AU18" s="44">
        <v>246.6</v>
      </c>
      <c r="AV18" s="35"/>
      <c r="AW18" s="43" t="s">
        <v>1334</v>
      </c>
      <c r="AX18" s="44">
        <v>369.9</v>
      </c>
      <c r="AZ18" s="47" t="s">
        <v>1332</v>
      </c>
      <c r="BA18" s="48">
        <v>4.544</v>
      </c>
      <c r="BB18" s="1" t="s">
        <v>430</v>
      </c>
    </row>
    <row r="19" spans="2:54">
      <c r="B19" t="s">
        <v>1374</v>
      </c>
      <c r="C19">
        <v>3</v>
      </c>
      <c r="D19" s="1" t="str">
        <f>VLOOKUP(B:B,'4店'!$B:$B,1,0)</f>
        <v>Y4023-OR+Y4027+Y4031</v>
      </c>
      <c r="E19" t="s">
        <v>1354</v>
      </c>
      <c r="F19">
        <v>4</v>
      </c>
      <c r="G19" s="1" t="str">
        <f>VLOOKUP(E:E,'4店'!$B:$B,1,0)</f>
        <v>Y4021-OR+Y4025+Y4029</v>
      </c>
      <c r="H19" t="s">
        <v>1336</v>
      </c>
      <c r="I19">
        <v>21</v>
      </c>
      <c r="J19" s="1" t="str">
        <f>VLOOKUP(H:H,'4店'!$B:$B,1,0)</f>
        <v>Y4020-BL+Y4024+Y4028</v>
      </c>
      <c r="K19" t="s">
        <v>1397</v>
      </c>
      <c r="L19">
        <v>1329</v>
      </c>
      <c r="M19">
        <v>8</v>
      </c>
      <c r="N19">
        <v>3.34</v>
      </c>
      <c r="O19">
        <v>12.99</v>
      </c>
      <c r="P19">
        <v>1</v>
      </c>
      <c r="Q19" s="31">
        <v>0.257120862201694</v>
      </c>
      <c r="R19" s="31">
        <v>0.125</v>
      </c>
      <c r="S19" s="1" t="str">
        <f>VLOOKUP(K:K,'4店'!$B:$B,1,0)</f>
        <v>Y4035-GR</v>
      </c>
      <c r="T19" t="s">
        <v>1397</v>
      </c>
      <c r="U19">
        <v>2307</v>
      </c>
      <c r="V19">
        <v>16</v>
      </c>
      <c r="W19">
        <v>6.48</v>
      </c>
      <c r="X19">
        <v>12.99</v>
      </c>
      <c r="Y19">
        <v>1</v>
      </c>
      <c r="Z19" s="31">
        <v>0.498845265588915</v>
      </c>
      <c r="AA19" s="31">
        <v>0.0625</v>
      </c>
      <c r="AB19" s="1" t="str">
        <f>VLOOKUP(T:T,'4店'!$B:$B,1,0)</f>
        <v>Y4035-GR</v>
      </c>
      <c r="AC19" t="s">
        <v>1397</v>
      </c>
      <c r="AD19">
        <v>3275</v>
      </c>
      <c r="AE19">
        <v>23</v>
      </c>
      <c r="AF19">
        <v>8.93</v>
      </c>
      <c r="AG19">
        <v>12.99</v>
      </c>
      <c r="AH19">
        <v>1</v>
      </c>
      <c r="AI19" s="31">
        <v>0.687451886066205</v>
      </c>
      <c r="AJ19" s="31">
        <v>0.0434782608695652</v>
      </c>
      <c r="AK19" s="1" t="str">
        <f>VLOOKUP(AC:AC,'4店'!$B:$B,1,0)</f>
        <v>Y4035-GR</v>
      </c>
      <c r="AL19" t="s">
        <v>1481</v>
      </c>
      <c r="AM19" s="102">
        <v>64.95</v>
      </c>
      <c r="AN19" s="1">
        <f t="shared" si="1"/>
        <v>444.9075</v>
      </c>
      <c r="AP19" t="s">
        <v>1330</v>
      </c>
      <c r="AQ19" s="102">
        <v>138.89</v>
      </c>
      <c r="AR19" s="1">
        <f t="shared" si="0"/>
        <v>951.3965</v>
      </c>
      <c r="AT19" s="43" t="s">
        <v>1336</v>
      </c>
      <c r="AU19" s="44">
        <v>178.1</v>
      </c>
      <c r="AV19" s="35"/>
      <c r="AW19" s="43" t="s">
        <v>1336</v>
      </c>
      <c r="AX19" s="44">
        <v>369.9</v>
      </c>
      <c r="AZ19" s="47" t="s">
        <v>1336</v>
      </c>
      <c r="BA19" s="48">
        <v>4.868</v>
      </c>
      <c r="BB19" s="1" t="s">
        <v>430</v>
      </c>
    </row>
    <row r="20" spans="2:54">
      <c r="B20" t="s">
        <v>1423</v>
      </c>
      <c r="C20">
        <v>3</v>
      </c>
      <c r="D20" s="1" t="str">
        <f>VLOOKUP(B:B,'4店'!$B:$B,1,0)</f>
        <v>Y4022-WI+Y4026+Y4030</v>
      </c>
      <c r="E20" t="s">
        <v>1369</v>
      </c>
      <c r="F20">
        <v>11</v>
      </c>
      <c r="G20" s="1" t="str">
        <f>VLOOKUP(E:E,'4店'!$B:$B,1,0)</f>
        <v>Y4023-DB+Y4027+Y4031</v>
      </c>
      <c r="H20" t="s">
        <v>1372</v>
      </c>
      <c r="I20">
        <v>13</v>
      </c>
      <c r="J20" s="1" t="str">
        <f>VLOOKUP(H:H,'4店'!$B:$B,1,0)</f>
        <v>Y4023-GW+Y4027+Y4031</v>
      </c>
      <c r="K20" t="s">
        <v>1400</v>
      </c>
      <c r="L20">
        <v>1708</v>
      </c>
      <c r="M20">
        <v>3</v>
      </c>
      <c r="N20">
        <v>0.68</v>
      </c>
      <c r="O20">
        <v>0</v>
      </c>
      <c r="P20">
        <v>0</v>
      </c>
      <c r="Q20" s="31">
        <v>0</v>
      </c>
      <c r="R20" s="31">
        <v>0</v>
      </c>
      <c r="S20" s="1" t="str">
        <f>VLOOKUP(K:K,'4店'!$B:$B,1,0)</f>
        <v>Y4035-PU</v>
      </c>
      <c r="T20" t="s">
        <v>1400</v>
      </c>
      <c r="U20">
        <v>3768</v>
      </c>
      <c r="V20">
        <v>3</v>
      </c>
      <c r="W20">
        <v>0.68</v>
      </c>
      <c r="X20">
        <v>0</v>
      </c>
      <c r="Y20">
        <v>0</v>
      </c>
      <c r="Z20" s="31">
        <v>0</v>
      </c>
      <c r="AA20" s="31">
        <v>0</v>
      </c>
      <c r="AB20" s="1" t="str">
        <f>VLOOKUP(T:T,'4店'!$B:$B,1,0)</f>
        <v>Y4035-PU</v>
      </c>
      <c r="AC20" t="s">
        <v>1400</v>
      </c>
      <c r="AD20">
        <v>4608</v>
      </c>
      <c r="AE20">
        <v>6</v>
      </c>
      <c r="AF20">
        <v>1.36</v>
      </c>
      <c r="AG20">
        <v>12.99</v>
      </c>
      <c r="AH20">
        <v>1</v>
      </c>
      <c r="AI20" s="31">
        <v>0.104695919938414</v>
      </c>
      <c r="AJ20" s="31">
        <v>0.166666666666667</v>
      </c>
      <c r="AK20" s="1" t="str">
        <f>VLOOKUP(AC:AC,'4店'!$B:$B,1,0)</f>
        <v>Y4035-PU</v>
      </c>
      <c r="AL20" t="s">
        <v>1553</v>
      </c>
      <c r="AM20" s="102">
        <v>77.72</v>
      </c>
      <c r="AN20" s="1">
        <f t="shared" si="1"/>
        <v>532.382</v>
      </c>
      <c r="AP20" t="s">
        <v>1336</v>
      </c>
      <c r="AQ20" s="102">
        <v>136.89</v>
      </c>
      <c r="AR20" s="1">
        <f t="shared" si="0"/>
        <v>937.6965</v>
      </c>
      <c r="AT20" s="43" t="s">
        <v>1339</v>
      </c>
      <c r="AU20" s="44">
        <v>1274.1</v>
      </c>
      <c r="AV20" s="35"/>
      <c r="AW20" s="43" t="s">
        <v>1339</v>
      </c>
      <c r="AX20" s="44">
        <v>205.5</v>
      </c>
      <c r="AZ20" s="47" t="s">
        <v>1418</v>
      </c>
      <c r="BA20" s="48">
        <v>5.185</v>
      </c>
      <c r="BB20" s="1" t="s">
        <v>430</v>
      </c>
    </row>
    <row r="21" spans="2:54">
      <c r="B21" t="s">
        <v>1465</v>
      </c>
      <c r="C21">
        <v>3</v>
      </c>
      <c r="D21" s="1" t="str">
        <f>VLOOKUP(B:B,'4店'!$B:$B,1,0)</f>
        <v>Y4050-DB+Y4051+Y4052</v>
      </c>
      <c r="E21" t="s">
        <v>1374</v>
      </c>
      <c r="F21">
        <v>5</v>
      </c>
      <c r="G21" s="1" t="str">
        <f>VLOOKUP(E:E,'4店'!$B:$B,1,0)</f>
        <v>Y4023-OR+Y4027+Y4031</v>
      </c>
      <c r="H21" t="s">
        <v>1347</v>
      </c>
      <c r="I21">
        <v>16</v>
      </c>
      <c r="J21" s="1" t="str">
        <f>VLOOKUP(H:H,'4店'!$B:$B,1,0)</f>
        <v>Y4021-BL+Y4025+Y4029</v>
      </c>
      <c r="K21" t="s">
        <v>1404</v>
      </c>
      <c r="L21">
        <v>37</v>
      </c>
      <c r="M21">
        <v>4</v>
      </c>
      <c r="N21">
        <v>1.76</v>
      </c>
      <c r="O21">
        <v>0</v>
      </c>
      <c r="P21">
        <v>0</v>
      </c>
      <c r="Q21" s="31">
        <v>0</v>
      </c>
      <c r="R21" s="31">
        <v>0</v>
      </c>
      <c r="S21" s="1" t="str">
        <f>VLOOKUP(K:K,'4店'!$B:$B,1,0)</f>
        <v>Y4037-BL</v>
      </c>
      <c r="T21" t="s">
        <v>1404</v>
      </c>
      <c r="U21">
        <v>81</v>
      </c>
      <c r="V21">
        <v>5</v>
      </c>
      <c r="W21">
        <v>2.17</v>
      </c>
      <c r="X21">
        <v>0</v>
      </c>
      <c r="Y21">
        <v>0</v>
      </c>
      <c r="Z21" s="31">
        <v>0</v>
      </c>
      <c r="AA21" s="31">
        <v>0</v>
      </c>
      <c r="AB21" s="1" t="str">
        <f>VLOOKUP(T:T,'4店'!$B:$B,1,0)</f>
        <v>Y4037-BL</v>
      </c>
      <c r="AC21" t="s">
        <v>1404</v>
      </c>
      <c r="AD21">
        <v>207</v>
      </c>
      <c r="AE21">
        <v>9</v>
      </c>
      <c r="AF21">
        <v>3.82</v>
      </c>
      <c r="AG21">
        <v>15.99</v>
      </c>
      <c r="AH21">
        <v>1</v>
      </c>
      <c r="AI21" s="31">
        <v>0.238899312070044</v>
      </c>
      <c r="AJ21" s="31">
        <v>0.111111111111111</v>
      </c>
      <c r="AK21" s="1" t="str">
        <f>VLOOKUP(AC:AC,'4店'!$B:$B,1,0)</f>
        <v>Y4037-BL</v>
      </c>
      <c r="AL21" t="s">
        <v>1569</v>
      </c>
      <c r="AM21" s="102">
        <v>64.95</v>
      </c>
      <c r="AN21" s="1">
        <f t="shared" si="1"/>
        <v>444.9075</v>
      </c>
      <c r="AP21" t="s">
        <v>1369</v>
      </c>
      <c r="AQ21" s="102">
        <v>138.89</v>
      </c>
      <c r="AR21" s="1">
        <f t="shared" si="0"/>
        <v>951.3965</v>
      </c>
      <c r="AT21" s="43" t="s">
        <v>1341</v>
      </c>
      <c r="AU21" s="44">
        <v>506.9</v>
      </c>
      <c r="AV21" s="35"/>
      <c r="AW21" s="43" t="s">
        <v>1341</v>
      </c>
      <c r="AX21" s="44">
        <v>561.7</v>
      </c>
      <c r="AZ21" s="47" t="s">
        <v>1339</v>
      </c>
      <c r="BA21" s="48">
        <v>3.843</v>
      </c>
      <c r="BB21" s="1" t="s">
        <v>430</v>
      </c>
    </row>
    <row r="22" spans="2:54">
      <c r="B22" t="s">
        <v>1317</v>
      </c>
      <c r="C22">
        <v>13</v>
      </c>
      <c r="D22" s="1" t="str">
        <f>VLOOKUP(B:B,'4店'!$B:$B,1,0)</f>
        <v>Y4011-DB+Y4014+Y4017</v>
      </c>
      <c r="E22" t="s">
        <v>1343</v>
      </c>
      <c r="F22">
        <v>13</v>
      </c>
      <c r="G22" s="1" t="str">
        <f>VLOOKUP(E:E,'4店'!$B:$B,1,0)</f>
        <v>Y4020-OR+Y4024+Y4028</v>
      </c>
      <c r="H22" t="s">
        <v>1354</v>
      </c>
      <c r="I22">
        <v>10</v>
      </c>
      <c r="J22" s="1" t="str">
        <f>VLOOKUP(H:H,'4店'!$B:$B,1,0)</f>
        <v>Y4021-OR+Y4025+Y4029</v>
      </c>
      <c r="K22" t="s">
        <v>1407</v>
      </c>
      <c r="L22">
        <v>4</v>
      </c>
      <c r="M22">
        <v>0</v>
      </c>
      <c r="N22">
        <v>0</v>
      </c>
      <c r="O22">
        <v>0</v>
      </c>
      <c r="P22">
        <v>0</v>
      </c>
      <c r="Q22" s="31">
        <v>0</v>
      </c>
      <c r="R22" s="31">
        <v>0</v>
      </c>
      <c r="S22" s="1" t="str">
        <f>VLOOKUP(K:K,'4店'!$B:$B,1,0)</f>
        <v>Y4037-GO</v>
      </c>
      <c r="T22" t="s">
        <v>1407</v>
      </c>
      <c r="U22">
        <v>11</v>
      </c>
      <c r="V22">
        <v>0</v>
      </c>
      <c r="W22">
        <v>0</v>
      </c>
      <c r="X22">
        <v>0</v>
      </c>
      <c r="Y22">
        <v>0</v>
      </c>
      <c r="Z22" s="31">
        <v>0</v>
      </c>
      <c r="AA22" s="31">
        <v>0</v>
      </c>
      <c r="AB22" s="1" t="str">
        <f>VLOOKUP(T:T,'4店'!$B:$B,1,0)</f>
        <v>Y4037-GO</v>
      </c>
      <c r="AC22" t="s">
        <v>1407</v>
      </c>
      <c r="AD22">
        <v>33</v>
      </c>
      <c r="AE22">
        <v>0</v>
      </c>
      <c r="AF22">
        <v>0</v>
      </c>
      <c r="AG22">
        <v>0</v>
      </c>
      <c r="AH22">
        <v>0</v>
      </c>
      <c r="AI22" s="31">
        <v>0</v>
      </c>
      <c r="AJ22" s="31">
        <v>0</v>
      </c>
      <c r="AK22" s="1" t="str">
        <f>VLOOKUP(AC:AC,'4店'!$B:$B,1,0)</f>
        <v>Y4037-GO</v>
      </c>
      <c r="AL22" t="s">
        <v>1566</v>
      </c>
      <c r="AM22" s="102">
        <v>64.95</v>
      </c>
      <c r="AN22" s="1">
        <f t="shared" si="1"/>
        <v>444.9075</v>
      </c>
      <c r="AP22" t="s">
        <v>1434</v>
      </c>
      <c r="AQ22" s="102">
        <v>142.89</v>
      </c>
      <c r="AR22" s="1">
        <f t="shared" si="0"/>
        <v>978.7965</v>
      </c>
      <c r="AT22" s="43" t="s">
        <v>1343</v>
      </c>
      <c r="AU22" s="44">
        <v>849.4</v>
      </c>
      <c r="AV22" s="35"/>
      <c r="AW22" s="43" t="s">
        <v>1343</v>
      </c>
      <c r="AX22" s="44">
        <v>506.9</v>
      </c>
      <c r="AZ22" s="47" t="s">
        <v>1341</v>
      </c>
      <c r="BA22" s="48">
        <v>3.694</v>
      </c>
      <c r="BB22" s="1" t="s">
        <v>430</v>
      </c>
    </row>
    <row r="23" spans="2:54">
      <c r="B23" t="s">
        <v>1363</v>
      </c>
      <c r="C23">
        <v>8</v>
      </c>
      <c r="D23" s="1" t="str">
        <f>VLOOKUP(B:B,'4店'!$B:$B,1,0)</f>
        <v>Y4022-GW+Y4026+Y4030</v>
      </c>
      <c r="E23" t="s">
        <v>1367</v>
      </c>
      <c r="F23">
        <v>8</v>
      </c>
      <c r="G23" s="1" t="str">
        <f>VLOOKUP(E:E,'4店'!$B:$B,1,0)</f>
        <v>Y4022-WB+Y4026+Y4030</v>
      </c>
      <c r="H23" t="s">
        <v>1369</v>
      </c>
      <c r="I23">
        <v>39</v>
      </c>
      <c r="J23" s="1" t="str">
        <f>VLOOKUP(H:H,'4店'!$B:$B,1,0)</f>
        <v>Y4023-DB+Y4027+Y4031</v>
      </c>
      <c r="K23" t="s">
        <v>1409</v>
      </c>
      <c r="L23">
        <v>12</v>
      </c>
      <c r="M23">
        <v>0</v>
      </c>
      <c r="N23">
        <v>0</v>
      </c>
      <c r="O23">
        <v>0</v>
      </c>
      <c r="P23">
        <v>0</v>
      </c>
      <c r="Q23" s="31">
        <v>0</v>
      </c>
      <c r="R23" s="31">
        <v>0</v>
      </c>
      <c r="S23" s="1" t="str">
        <f>VLOOKUP(K:K,'4店'!$B:$B,1,0)</f>
        <v>Y4037-GR</v>
      </c>
      <c r="T23" t="s">
        <v>1409</v>
      </c>
      <c r="U23">
        <v>36</v>
      </c>
      <c r="V23">
        <v>0</v>
      </c>
      <c r="W23">
        <v>0</v>
      </c>
      <c r="X23">
        <v>0</v>
      </c>
      <c r="Y23">
        <v>0</v>
      </c>
      <c r="Z23" s="31">
        <v>0</v>
      </c>
      <c r="AA23" s="31">
        <v>0</v>
      </c>
      <c r="AB23" s="1" t="str">
        <f>VLOOKUP(T:T,'4店'!$B:$B,1,0)</f>
        <v>Y4037-GR</v>
      </c>
      <c r="AC23" t="s">
        <v>1409</v>
      </c>
      <c r="AD23">
        <v>65</v>
      </c>
      <c r="AE23">
        <v>1</v>
      </c>
      <c r="AF23">
        <v>0.41</v>
      </c>
      <c r="AG23">
        <v>0</v>
      </c>
      <c r="AH23">
        <v>0</v>
      </c>
      <c r="AI23" s="31">
        <v>0</v>
      </c>
      <c r="AJ23" s="31">
        <v>0</v>
      </c>
      <c r="AK23" s="1" t="str">
        <f>VLOOKUP(AC:AC,'4店'!$B:$B,1,0)</f>
        <v>Y4037-GR</v>
      </c>
      <c r="AL23" t="s">
        <v>1578</v>
      </c>
      <c r="AM23" s="102">
        <v>111.15</v>
      </c>
      <c r="AN23" s="1">
        <f t="shared" si="1"/>
        <v>761.3775</v>
      </c>
      <c r="AP23" t="s">
        <v>1462</v>
      </c>
      <c r="AQ23" s="102">
        <v>177.75</v>
      </c>
      <c r="AR23" s="1">
        <f t="shared" si="0"/>
        <v>1217.5875</v>
      </c>
      <c r="AT23" s="43" t="s">
        <v>1345</v>
      </c>
      <c r="AU23" s="44">
        <v>315.1</v>
      </c>
      <c r="AV23" s="35"/>
      <c r="AW23" s="43" t="s">
        <v>1345</v>
      </c>
      <c r="AX23" s="44">
        <v>342.5</v>
      </c>
      <c r="AZ23" s="47" t="s">
        <v>1343</v>
      </c>
      <c r="BA23" s="48">
        <v>4.74</v>
      </c>
      <c r="BB23" s="1" t="s">
        <v>430</v>
      </c>
    </row>
    <row r="24" spans="2:54">
      <c r="B24" t="s">
        <v>1434</v>
      </c>
      <c r="C24">
        <v>4</v>
      </c>
      <c r="D24" s="1" t="str">
        <f>VLOOKUP(B:B,'4店'!$B:$B,1,0)</f>
        <v>Y4040-BL+Y4043</v>
      </c>
      <c r="E24" t="s">
        <v>1358</v>
      </c>
      <c r="F24">
        <v>39</v>
      </c>
      <c r="G24" s="1" t="str">
        <f>VLOOKUP(E:E,'4店'!$B:$B,1,0)</f>
        <v>Y4022-BL+Y4026+Y4030</v>
      </c>
      <c r="H24" t="s">
        <v>1374</v>
      </c>
      <c r="I24">
        <v>24</v>
      </c>
      <c r="J24" s="1" t="str">
        <f>VLOOKUP(H:H,'4店'!$B:$B,1,0)</f>
        <v>Y4023-OR+Y4027+Y4031</v>
      </c>
      <c r="K24" t="s">
        <v>1411</v>
      </c>
      <c r="L24">
        <v>124</v>
      </c>
      <c r="M24">
        <v>1</v>
      </c>
      <c r="N24">
        <v>0.36</v>
      </c>
      <c r="O24">
        <v>0</v>
      </c>
      <c r="P24">
        <v>0</v>
      </c>
      <c r="Q24" s="31">
        <v>0</v>
      </c>
      <c r="R24" s="31">
        <v>0</v>
      </c>
      <c r="S24" s="1" t="str">
        <f>VLOOKUP(K:K,'4店'!$B:$B,1,0)</f>
        <v>Y4036-BL</v>
      </c>
      <c r="T24" t="s">
        <v>1411</v>
      </c>
      <c r="U24">
        <v>264</v>
      </c>
      <c r="V24">
        <v>5</v>
      </c>
      <c r="W24">
        <v>1.77</v>
      </c>
      <c r="X24">
        <v>0</v>
      </c>
      <c r="Y24">
        <v>0</v>
      </c>
      <c r="Z24" s="31">
        <v>0</v>
      </c>
      <c r="AA24" s="31">
        <v>0</v>
      </c>
      <c r="AB24" s="1" t="str">
        <f>VLOOKUP(T:T,'4店'!$B:$B,1,0)</f>
        <v>Y4036-BL</v>
      </c>
      <c r="AC24" t="s">
        <v>1411</v>
      </c>
      <c r="AD24">
        <v>493</v>
      </c>
      <c r="AE24">
        <v>9</v>
      </c>
      <c r="AF24">
        <v>3.21</v>
      </c>
      <c r="AG24">
        <v>0</v>
      </c>
      <c r="AH24">
        <v>0</v>
      </c>
      <c r="AI24" s="31">
        <v>0</v>
      </c>
      <c r="AJ24" s="31">
        <v>0</v>
      </c>
      <c r="AK24" s="1" t="str">
        <f>VLOOKUP(AC:AC,'4店'!$B:$B,1,0)</f>
        <v>Y4036-BL</v>
      </c>
      <c r="AL24" t="s">
        <v>1321</v>
      </c>
      <c r="AM24" s="102">
        <v>51.96</v>
      </c>
      <c r="AN24" s="1">
        <f t="shared" si="1"/>
        <v>355.926</v>
      </c>
      <c r="AP24" t="s">
        <v>1573</v>
      </c>
      <c r="AQ24" s="102">
        <v>142.89</v>
      </c>
      <c r="AR24" s="1">
        <f t="shared" si="0"/>
        <v>978.7965</v>
      </c>
      <c r="AT24" s="43" t="s">
        <v>1347</v>
      </c>
      <c r="AU24" s="44">
        <v>602.8</v>
      </c>
      <c r="AV24" s="35"/>
      <c r="AW24" s="43" t="s">
        <v>1347</v>
      </c>
      <c r="AX24" s="44">
        <v>739.8</v>
      </c>
      <c r="AZ24" s="47" t="s">
        <v>1345</v>
      </c>
      <c r="BA24" s="48">
        <v>4.878</v>
      </c>
      <c r="BB24" s="1" t="s">
        <v>430</v>
      </c>
    </row>
    <row r="25" spans="2:54">
      <c r="B25" t="s">
        <v>1303</v>
      </c>
      <c r="C25">
        <v>26</v>
      </c>
      <c r="D25" s="1" t="str">
        <f>VLOOKUP(B:B,'4店'!$B:$B,1,0)</f>
        <v>Y4011-BL+Y4014+Y4017</v>
      </c>
      <c r="E25" t="s">
        <v>1361</v>
      </c>
      <c r="F25">
        <v>16</v>
      </c>
      <c r="G25" s="1" t="str">
        <f>VLOOKUP(E:E,'4店'!$B:$B,1,0)</f>
        <v>Y4022-DB+Y4026+Y4030</v>
      </c>
      <c r="H25" t="s">
        <v>1418</v>
      </c>
      <c r="I25">
        <v>1</v>
      </c>
      <c r="J25" s="1" t="str">
        <f>VLOOKUP(H:H,'4店'!$B:$B,1,0)</f>
        <v>Y4020-WI+Y4024+Y4028</v>
      </c>
      <c r="K25" t="s">
        <v>1414</v>
      </c>
      <c r="L25">
        <v>655</v>
      </c>
      <c r="M25">
        <v>11</v>
      </c>
      <c r="N25">
        <v>3.86</v>
      </c>
      <c r="O25">
        <v>0</v>
      </c>
      <c r="P25">
        <v>0</v>
      </c>
      <c r="Q25" s="31">
        <v>0</v>
      </c>
      <c r="R25" s="31">
        <v>0</v>
      </c>
      <c r="S25" s="1" t="str">
        <f>VLOOKUP(K:K,'4店'!$B:$B,1,0)</f>
        <v>Y4036-DB</v>
      </c>
      <c r="T25" t="s">
        <v>1414</v>
      </c>
      <c r="U25">
        <v>919</v>
      </c>
      <c r="V25">
        <v>24</v>
      </c>
      <c r="W25">
        <v>8.54</v>
      </c>
      <c r="X25">
        <v>12.99</v>
      </c>
      <c r="Y25">
        <v>1</v>
      </c>
      <c r="Z25" s="31">
        <v>0.657428791377983</v>
      </c>
      <c r="AA25" s="31">
        <v>0.0416666666666667</v>
      </c>
      <c r="AB25" s="1" t="str">
        <f>VLOOKUP(T:T,'4店'!$B:$B,1,0)</f>
        <v>Y4036-DB</v>
      </c>
      <c r="AC25" t="s">
        <v>1416</v>
      </c>
      <c r="AD25">
        <v>1546</v>
      </c>
      <c r="AE25">
        <v>55</v>
      </c>
      <c r="AF25">
        <v>19.48</v>
      </c>
      <c r="AG25">
        <v>38.97</v>
      </c>
      <c r="AH25">
        <v>3</v>
      </c>
      <c r="AI25" s="31">
        <v>0.499871696176546</v>
      </c>
      <c r="AJ25" s="31">
        <v>0.0545454545454545</v>
      </c>
      <c r="AK25" s="1" t="str">
        <f>VLOOKUP(AC:AC,'4店'!$B:$B,1,0)</f>
        <v>Y4036-OR</v>
      </c>
      <c r="AL25" t="s">
        <v>1317</v>
      </c>
      <c r="AM25" s="102">
        <v>168.87</v>
      </c>
      <c r="AN25" s="1">
        <f t="shared" si="1"/>
        <v>1156.7595</v>
      </c>
      <c r="AP25" t="s">
        <v>1597</v>
      </c>
      <c r="AQ25" s="102">
        <v>170.87</v>
      </c>
      <c r="AR25" s="1">
        <f t="shared" si="0"/>
        <v>1170.4595</v>
      </c>
      <c r="AT25" s="43" t="s">
        <v>1350</v>
      </c>
      <c r="AU25" s="44">
        <v>301.4</v>
      </c>
      <c r="AV25" s="35"/>
      <c r="AW25" s="43" t="s">
        <v>1350</v>
      </c>
      <c r="AX25" s="44">
        <v>383.6</v>
      </c>
      <c r="AZ25" s="47" t="s">
        <v>1347</v>
      </c>
      <c r="BA25" s="48">
        <v>4.122</v>
      </c>
      <c r="BB25" s="1" t="s">
        <v>430</v>
      </c>
    </row>
    <row r="26" spans="2:54">
      <c r="B26" t="s">
        <v>1372</v>
      </c>
      <c r="C26">
        <v>3</v>
      </c>
      <c r="D26" s="1" t="str">
        <f>VLOOKUP(B:B,'4店'!$B:$B,1,0)</f>
        <v>Y4023-GW+Y4027+Y4031</v>
      </c>
      <c r="E26" t="s">
        <v>1365</v>
      </c>
      <c r="F26">
        <v>12</v>
      </c>
      <c r="G26" s="1" t="str">
        <f>VLOOKUP(E:E,'4店'!$B:$B,1,0)</f>
        <v>Y4022-OR+Y4026+Y4030</v>
      </c>
      <c r="H26" t="s">
        <v>1345</v>
      </c>
      <c r="I26">
        <v>5</v>
      </c>
      <c r="J26" s="1" t="str">
        <f>VLOOKUP(H:H,'4店'!$B:$B,1,0)</f>
        <v>Y4020-WB+Y4024+Y4028</v>
      </c>
      <c r="K26" t="s">
        <v>426</v>
      </c>
      <c r="L26"/>
      <c r="M26"/>
      <c r="N26"/>
      <c r="O26"/>
      <c r="P26"/>
      <c r="Q26" s="31">
        <v>0</v>
      </c>
      <c r="R26" s="31">
        <v>0</v>
      </c>
      <c r="S26" s="1" t="e">
        <f>VLOOKUP(K:K,'4店'!$B:$B,1,0)</f>
        <v>#N/A</v>
      </c>
      <c r="T26" t="s">
        <v>426</v>
      </c>
      <c r="U26"/>
      <c r="V26"/>
      <c r="W26"/>
      <c r="X26"/>
      <c r="Y26"/>
      <c r="Z26" s="31">
        <v>0</v>
      </c>
      <c r="AA26" s="31">
        <v>0</v>
      </c>
      <c r="AB26" s="1" t="e">
        <f>VLOOKUP(T:T,'4店'!$B:$B,1,0)</f>
        <v>#N/A</v>
      </c>
      <c r="AC26" t="s">
        <v>1414</v>
      </c>
      <c r="AD26">
        <v>1285</v>
      </c>
      <c r="AE26">
        <v>41</v>
      </c>
      <c r="AF26">
        <v>14.34</v>
      </c>
      <c r="AG26">
        <v>12.99</v>
      </c>
      <c r="AH26">
        <v>1</v>
      </c>
      <c r="AI26" s="31">
        <v>1.10392609699769</v>
      </c>
      <c r="AJ26" s="31">
        <v>0.024390243902439</v>
      </c>
      <c r="AK26" s="1" t="str">
        <f>VLOOKUP(AC:AC,'4店'!$B:$B,1,0)</f>
        <v>Y4036-DB</v>
      </c>
      <c r="AL26" t="s">
        <v>1325</v>
      </c>
      <c r="AM26" s="102">
        <v>51.96</v>
      </c>
      <c r="AN26" s="1">
        <f t="shared" si="1"/>
        <v>355.926</v>
      </c>
      <c r="AP26" t="s">
        <v>1317</v>
      </c>
      <c r="AQ26" s="102">
        <v>233.71</v>
      </c>
      <c r="AR26" s="1">
        <f t="shared" si="0"/>
        <v>1600.9135</v>
      </c>
      <c r="AT26" s="43" t="s">
        <v>1352</v>
      </c>
      <c r="AU26" s="44">
        <v>643.9</v>
      </c>
      <c r="AV26" s="35"/>
      <c r="AW26" s="43" t="s">
        <v>1352</v>
      </c>
      <c r="AX26" s="44">
        <v>657.6</v>
      </c>
      <c r="AZ26" s="47" t="s">
        <v>1350</v>
      </c>
      <c r="BA26" s="48">
        <v>4.498</v>
      </c>
      <c r="BB26" s="1" t="s">
        <v>430</v>
      </c>
    </row>
    <row r="27" spans="2:54">
      <c r="B27" t="s">
        <v>1474</v>
      </c>
      <c r="C27">
        <v>1</v>
      </c>
      <c r="D27" s="1" t="str">
        <f>VLOOKUP(B:B,'4店'!$B:$B,1,0)</f>
        <v>Y4053-BL+Y4054+Y4049</v>
      </c>
      <c r="E27" t="s">
        <v>1423</v>
      </c>
      <c r="F27">
        <v>6</v>
      </c>
      <c r="G27" s="1" t="str">
        <f>VLOOKUP(E:E,'4店'!$B:$B,1,0)</f>
        <v>Y4022-WI+Y4026+Y4030</v>
      </c>
      <c r="H27" t="s">
        <v>1343</v>
      </c>
      <c r="I27">
        <v>24</v>
      </c>
      <c r="J27" s="1" t="str">
        <f>VLOOKUP(H:H,'4店'!$B:$B,1,0)</f>
        <v>Y4020-OR+Y4024+Y4028</v>
      </c>
      <c r="K27" t="s">
        <v>1425</v>
      </c>
      <c r="L27">
        <v>904</v>
      </c>
      <c r="M27">
        <v>18</v>
      </c>
      <c r="N27">
        <v>7.11</v>
      </c>
      <c r="O27">
        <v>0</v>
      </c>
      <c r="P27">
        <v>0</v>
      </c>
      <c r="Q27" s="31">
        <v>0</v>
      </c>
      <c r="R27" s="31">
        <v>0</v>
      </c>
      <c r="S27" s="1" t="str">
        <f>VLOOKUP(K:K,'4店'!$B:$B,1,0)</f>
        <v>Y4023-WI+Y4027+Y4031</v>
      </c>
      <c r="T27" t="s">
        <v>1425</v>
      </c>
      <c r="U27">
        <v>1532</v>
      </c>
      <c r="V27">
        <v>31</v>
      </c>
      <c r="W27">
        <v>12.27</v>
      </c>
      <c r="X27">
        <v>12.99</v>
      </c>
      <c r="Y27">
        <v>1</v>
      </c>
      <c r="Z27" s="31">
        <v>0.944572748267898</v>
      </c>
      <c r="AA27" s="31">
        <v>0.032258064516129</v>
      </c>
      <c r="AB27" s="1" t="str">
        <f>VLOOKUP(T:T,'4店'!$B:$B,1,0)</f>
        <v>Y4023-WI+Y4027+Y4031</v>
      </c>
      <c r="AC27" t="s">
        <v>426</v>
      </c>
      <c r="AD27"/>
      <c r="AE27"/>
      <c r="AF27"/>
      <c r="AG27"/>
      <c r="AH27"/>
      <c r="AI27" s="31">
        <v>0</v>
      </c>
      <c r="AJ27" s="31">
        <v>0</v>
      </c>
      <c r="AK27" s="1" t="e">
        <f>VLOOKUP(AC:AC,'4店'!$B:$B,1,0)</f>
        <v>#N/A</v>
      </c>
      <c r="AL27" t="s">
        <v>1336</v>
      </c>
      <c r="AM27" s="102">
        <v>51.96</v>
      </c>
      <c r="AN27" s="1">
        <f t="shared" si="1"/>
        <v>355.926</v>
      </c>
      <c r="AP27" t="s">
        <v>1363</v>
      </c>
      <c r="AQ27" s="102">
        <v>140.89</v>
      </c>
      <c r="AR27" s="1">
        <f t="shared" si="0"/>
        <v>965.0965</v>
      </c>
      <c r="AT27" s="43" t="s">
        <v>1354</v>
      </c>
      <c r="AU27" s="44">
        <v>383.6</v>
      </c>
      <c r="AV27" s="35"/>
      <c r="AW27" s="43" t="s">
        <v>1354</v>
      </c>
      <c r="AX27" s="44">
        <v>232.9</v>
      </c>
      <c r="AZ27" s="47" t="s">
        <v>1352</v>
      </c>
      <c r="BA27" s="48">
        <v>3.724</v>
      </c>
      <c r="BB27" s="1" t="s">
        <v>430</v>
      </c>
    </row>
    <row r="28" spans="2:54">
      <c r="B28" t="s">
        <v>1470</v>
      </c>
      <c r="C28">
        <v>4</v>
      </c>
      <c r="D28" s="1" t="str">
        <f>VLOOKUP(B:B,'4店'!$B:$B,1,0)</f>
        <v>Y4050-OR+Y4051+Y4052</v>
      </c>
      <c r="E28" t="s">
        <v>1448</v>
      </c>
      <c r="F28">
        <v>9</v>
      </c>
      <c r="G28" s="1" t="str">
        <f>VLOOKUP(E:E,'4店'!$B:$B,1,0)</f>
        <v>Y4041-BL+Y4044</v>
      </c>
      <c r="H28" t="s">
        <v>1350</v>
      </c>
      <c r="I28">
        <v>7</v>
      </c>
      <c r="J28" s="1" t="str">
        <f>VLOOKUP(H:H,'4店'!$B:$B,1,0)</f>
        <v>Y4021-DB+Y4025+Y4029</v>
      </c>
      <c r="K28" t="s">
        <v>1374</v>
      </c>
      <c r="L28">
        <v>7286</v>
      </c>
      <c r="M28">
        <v>59</v>
      </c>
      <c r="N28">
        <v>22.02</v>
      </c>
      <c r="O28">
        <v>51.96</v>
      </c>
      <c r="P28">
        <v>4</v>
      </c>
      <c r="Q28" s="31">
        <v>0.42378752886836</v>
      </c>
      <c r="R28" s="31">
        <v>0.0677966101694915</v>
      </c>
      <c r="S28" s="1" t="str">
        <f>VLOOKUP(K:K,'4店'!$B:$B,1,0)</f>
        <v>Y4023-OR+Y4027+Y4031</v>
      </c>
      <c r="T28" t="s">
        <v>1374</v>
      </c>
      <c r="U28">
        <v>11195</v>
      </c>
      <c r="V28">
        <v>108</v>
      </c>
      <c r="W28">
        <v>40.35</v>
      </c>
      <c r="X28">
        <v>116.91</v>
      </c>
      <c r="Y28">
        <v>9</v>
      </c>
      <c r="Z28" s="31">
        <v>0.345137285091096</v>
      </c>
      <c r="AA28" s="31">
        <v>0.0833333333333333</v>
      </c>
      <c r="AB28" s="1" t="str">
        <f>VLOOKUP(T:T,'4店'!$B:$B,1,0)</f>
        <v>Y4023-OR+Y4027+Y4031</v>
      </c>
      <c r="AC28" t="s">
        <v>1425</v>
      </c>
      <c r="AD28">
        <v>2878</v>
      </c>
      <c r="AE28">
        <v>71</v>
      </c>
      <c r="AF28">
        <v>27.46</v>
      </c>
      <c r="AG28">
        <v>51.96</v>
      </c>
      <c r="AH28">
        <v>4</v>
      </c>
      <c r="AI28" s="31">
        <v>0.528483448806774</v>
      </c>
      <c r="AJ28" s="31">
        <v>0.0563380281690141</v>
      </c>
      <c r="AK28" s="1" t="str">
        <f>VLOOKUP(AC:AC,'4店'!$B:$B,1,0)</f>
        <v>Y4023-WI+Y4027+Y4031</v>
      </c>
      <c r="AL28" t="s">
        <v>1347</v>
      </c>
      <c r="AM28" s="102">
        <v>51.96</v>
      </c>
      <c r="AN28" s="1">
        <f t="shared" si="1"/>
        <v>355.926</v>
      </c>
      <c r="AP28" t="s">
        <v>1437</v>
      </c>
      <c r="AQ28" s="102">
        <v>127.9</v>
      </c>
      <c r="AR28" s="1">
        <f t="shared" si="0"/>
        <v>876.115</v>
      </c>
      <c r="AT28" s="43" t="s">
        <v>1356</v>
      </c>
      <c r="AU28" s="44">
        <v>219.2</v>
      </c>
      <c r="AV28" s="35"/>
      <c r="AW28" s="43" t="s">
        <v>1356</v>
      </c>
      <c r="AX28" s="44">
        <v>246.6</v>
      </c>
      <c r="AZ28" s="47" t="s">
        <v>1354</v>
      </c>
      <c r="BA28" s="48">
        <v>4.036</v>
      </c>
      <c r="BB28" s="1" t="s">
        <v>430</v>
      </c>
    </row>
    <row r="29" spans="2:54">
      <c r="B29" t="s">
        <v>1448</v>
      </c>
      <c r="C29">
        <v>4</v>
      </c>
      <c r="D29" s="1" t="str">
        <f>VLOOKUP(B:B,'4店'!$B:$B,1,0)</f>
        <v>Y4041-BL+Y4044</v>
      </c>
      <c r="E29" t="s">
        <v>1462</v>
      </c>
      <c r="F29">
        <v>14</v>
      </c>
      <c r="G29" s="1" t="str">
        <f>VLOOKUP(E:E,'4店'!$B:$B,1,0)</f>
        <v>Y4050-BL+Y4051+Y4052</v>
      </c>
      <c r="H29" t="s">
        <v>1367</v>
      </c>
      <c r="I29">
        <v>17</v>
      </c>
      <c r="J29" s="1" t="str">
        <f>VLOOKUP(H:H,'4店'!$B:$B,1,0)</f>
        <v>Y4022-WB+Y4026+Y4030</v>
      </c>
      <c r="K29" t="s">
        <v>1369</v>
      </c>
      <c r="L29">
        <v>4051</v>
      </c>
      <c r="M29">
        <v>53</v>
      </c>
      <c r="N29">
        <v>19.59</v>
      </c>
      <c r="O29">
        <v>25.98</v>
      </c>
      <c r="P29">
        <v>2</v>
      </c>
      <c r="Q29" s="31">
        <v>0.754041570438799</v>
      </c>
      <c r="R29" s="31">
        <v>0.0377358490566038</v>
      </c>
      <c r="S29" s="1" t="str">
        <f>VLOOKUP(K:K,'4店'!$B:$B,1,0)</f>
        <v>Y4023-DB+Y4027+Y4031</v>
      </c>
      <c r="T29" t="s">
        <v>1369</v>
      </c>
      <c r="U29">
        <v>6425</v>
      </c>
      <c r="V29">
        <v>89</v>
      </c>
      <c r="W29">
        <v>33.28</v>
      </c>
      <c r="X29">
        <v>49.96</v>
      </c>
      <c r="Y29">
        <v>4</v>
      </c>
      <c r="Z29" s="31">
        <v>0.66613290632506</v>
      </c>
      <c r="AA29" s="31">
        <v>0.0449438202247191</v>
      </c>
      <c r="AB29" s="1" t="str">
        <f>VLOOKUP(T:T,'4店'!$B:$B,1,0)</f>
        <v>Y4023-DB+Y4027+Y4031</v>
      </c>
      <c r="AC29" t="s">
        <v>1374</v>
      </c>
      <c r="AD29">
        <v>18992</v>
      </c>
      <c r="AE29">
        <v>204</v>
      </c>
      <c r="AF29">
        <v>73.98</v>
      </c>
      <c r="AG29">
        <v>285.78</v>
      </c>
      <c r="AH29">
        <v>22</v>
      </c>
      <c r="AI29" s="31">
        <v>0.258870459794247</v>
      </c>
      <c r="AJ29" s="31">
        <v>0.107843137254902</v>
      </c>
      <c r="AK29" s="1" t="str">
        <f>VLOOKUP(AC:AC,'4店'!$B:$B,1,0)</f>
        <v>Y4023-OR+Y4027+Y4031</v>
      </c>
      <c r="AL29" t="s">
        <v>1343</v>
      </c>
      <c r="AM29" s="102">
        <v>51.96</v>
      </c>
      <c r="AN29" s="1">
        <f t="shared" si="1"/>
        <v>355.926</v>
      </c>
      <c r="AP29" t="s">
        <v>1470</v>
      </c>
      <c r="AQ29" s="102">
        <v>129.9</v>
      </c>
      <c r="AR29" s="1">
        <f t="shared" si="0"/>
        <v>889.815</v>
      </c>
      <c r="AT29" s="43" t="s">
        <v>1358</v>
      </c>
      <c r="AU29" s="44">
        <v>2849.6</v>
      </c>
      <c r="AV29" s="35"/>
      <c r="AW29" s="43" t="s">
        <v>1358</v>
      </c>
      <c r="AX29" s="44">
        <v>1150.8</v>
      </c>
      <c r="AZ29" s="47" t="s">
        <v>1356</v>
      </c>
      <c r="BA29" s="48">
        <v>6.11</v>
      </c>
      <c r="BB29" s="1" t="s">
        <v>430</v>
      </c>
    </row>
    <row r="30" spans="2:54">
      <c r="B30" t="s">
        <v>1378</v>
      </c>
      <c r="C30">
        <v>4</v>
      </c>
      <c r="D30" s="1" t="str">
        <f>VLOOKUP(B:B,'4店'!$B:$B,1,0)</f>
        <v>Y4039-BL+Y4042+Y4045</v>
      </c>
      <c r="E30" t="s">
        <v>1451</v>
      </c>
      <c r="F30">
        <v>1</v>
      </c>
      <c r="G30" s="1" t="str">
        <f>VLOOKUP(E:E,'4店'!$B:$B,1,0)</f>
        <v>Y4041-DB+Y4044</v>
      </c>
      <c r="H30" t="s">
        <v>1358</v>
      </c>
      <c r="I30">
        <v>95</v>
      </c>
      <c r="J30" s="1" t="str">
        <f>VLOOKUP(H:H,'4店'!$B:$B,1,0)</f>
        <v>Y4022-BL+Y4026+Y4030</v>
      </c>
      <c r="K30" t="s">
        <v>1376</v>
      </c>
      <c r="L30">
        <v>3323</v>
      </c>
      <c r="M30">
        <v>50</v>
      </c>
      <c r="N30">
        <v>19.81</v>
      </c>
      <c r="O30">
        <v>51.96</v>
      </c>
      <c r="P30">
        <v>4</v>
      </c>
      <c r="Q30" s="31">
        <v>0.381254811393379</v>
      </c>
      <c r="R30" s="31">
        <v>0.08</v>
      </c>
      <c r="S30" s="1" t="str">
        <f>VLOOKUP(K:K,'4店'!$B:$B,1,0)</f>
        <v>Y4023-WB+Y4027+Y4031</v>
      </c>
      <c r="T30" t="s">
        <v>1376</v>
      </c>
      <c r="U30">
        <v>6521</v>
      </c>
      <c r="V30">
        <v>100</v>
      </c>
      <c r="W30">
        <v>38.27</v>
      </c>
      <c r="X30">
        <v>120.91</v>
      </c>
      <c r="Y30">
        <v>9</v>
      </c>
      <c r="Z30" s="31">
        <v>0.316516417169796</v>
      </c>
      <c r="AA30" s="31">
        <v>0.09</v>
      </c>
      <c r="AB30" s="1" t="str">
        <f>VLOOKUP(T:T,'4店'!$B:$B,1,0)</f>
        <v>Y4023-WB+Y4027+Y4031</v>
      </c>
      <c r="AC30" t="s">
        <v>1369</v>
      </c>
      <c r="AD30">
        <v>16354</v>
      </c>
      <c r="AE30">
        <v>269</v>
      </c>
      <c r="AF30">
        <v>100.64</v>
      </c>
      <c r="AG30">
        <v>452.65</v>
      </c>
      <c r="AH30">
        <v>35</v>
      </c>
      <c r="AI30" s="31">
        <v>0.222335137523473</v>
      </c>
      <c r="AJ30" s="31">
        <v>0.130111524163569</v>
      </c>
      <c r="AK30" s="1" t="str">
        <f>VLOOKUP(AC:AC,'4店'!$B:$B,1,0)</f>
        <v>Y4023-DB+Y4027+Y4031</v>
      </c>
      <c r="AL30" t="s">
        <v>1425</v>
      </c>
      <c r="AM30" s="102">
        <v>51.96</v>
      </c>
      <c r="AN30" s="1">
        <f t="shared" si="1"/>
        <v>355.926</v>
      </c>
      <c r="AP30" t="s">
        <v>1529</v>
      </c>
      <c r="AQ30" s="102">
        <v>112.91</v>
      </c>
      <c r="AR30" s="1">
        <f t="shared" si="0"/>
        <v>773.4335</v>
      </c>
      <c r="AT30" s="43" t="s">
        <v>1361</v>
      </c>
      <c r="AU30" s="44">
        <v>2534.5</v>
      </c>
      <c r="AV30" s="35"/>
      <c r="AW30" s="43" t="s">
        <v>1361</v>
      </c>
      <c r="AX30" s="44">
        <v>2027.6</v>
      </c>
      <c r="AZ30" s="47" t="s">
        <v>1420</v>
      </c>
      <c r="BA30" s="48">
        <v>5.209</v>
      </c>
      <c r="BB30" s="1" t="s">
        <v>430</v>
      </c>
    </row>
    <row r="31" spans="2:54">
      <c r="B31" t="s">
        <v>1553</v>
      </c>
      <c r="C31">
        <v>6</v>
      </c>
      <c r="D31" s="1" t="str">
        <f>VLOOKUP(B:B,'4店'!$B:$B,1,0)</f>
        <v>Y4072-BL+Y4073+Y4074</v>
      </c>
      <c r="E31" t="s">
        <v>1456</v>
      </c>
      <c r="F31">
        <v>1</v>
      </c>
      <c r="G31" s="1" t="str">
        <f>VLOOKUP(E:E,'4店'!$B:$B,1,0)</f>
        <v>Y4041-OR+Y4044</v>
      </c>
      <c r="H31" t="s">
        <v>1361</v>
      </c>
      <c r="I31">
        <v>43</v>
      </c>
      <c r="J31" s="1" t="str">
        <f>VLOOKUP(H:H,'4店'!$B:$B,1,0)</f>
        <v>Y4022-DB+Y4026+Y4030</v>
      </c>
      <c r="K31" t="s">
        <v>1418</v>
      </c>
      <c r="L31">
        <v>7</v>
      </c>
      <c r="M31">
        <v>0</v>
      </c>
      <c r="N31">
        <v>0</v>
      </c>
      <c r="O31">
        <v>0</v>
      </c>
      <c r="P31">
        <v>0</v>
      </c>
      <c r="Q31" s="31">
        <v>0</v>
      </c>
      <c r="R31" s="31">
        <v>0</v>
      </c>
      <c r="S31" s="1" t="str">
        <f>VLOOKUP(K:K,'4店'!$B:$B,1,0)</f>
        <v>Y4020-WI+Y4024+Y4028</v>
      </c>
      <c r="T31" t="s">
        <v>1418</v>
      </c>
      <c r="U31">
        <v>10</v>
      </c>
      <c r="V31">
        <v>0</v>
      </c>
      <c r="W31">
        <v>0</v>
      </c>
      <c r="X31">
        <v>0</v>
      </c>
      <c r="Y31">
        <v>0</v>
      </c>
      <c r="Z31" s="31">
        <v>0</v>
      </c>
      <c r="AA31" s="31">
        <v>0</v>
      </c>
      <c r="AB31" s="1" t="str">
        <f>VLOOKUP(T:T,'4店'!$B:$B,1,0)</f>
        <v>Y4020-WI+Y4024+Y4028</v>
      </c>
      <c r="AC31" t="s">
        <v>1376</v>
      </c>
      <c r="AD31">
        <v>14001</v>
      </c>
      <c r="AE31">
        <v>241</v>
      </c>
      <c r="AF31">
        <v>90.4</v>
      </c>
      <c r="AG31">
        <v>263.8</v>
      </c>
      <c r="AH31">
        <v>20</v>
      </c>
      <c r="AI31" s="31">
        <v>0.342683851402578</v>
      </c>
      <c r="AJ31" s="31">
        <v>0.0829875518672199</v>
      </c>
      <c r="AK31" s="1" t="str">
        <f>VLOOKUP(AC:AC,'4店'!$B:$B,1,0)</f>
        <v>Y4023-WB+Y4027+Y4031</v>
      </c>
      <c r="AL31" t="s">
        <v>1448</v>
      </c>
      <c r="AM31" s="102">
        <v>51.96</v>
      </c>
      <c r="AN31" s="1">
        <f t="shared" si="1"/>
        <v>355.926</v>
      </c>
      <c r="AP31" t="s">
        <v>1553</v>
      </c>
      <c r="AQ31" s="102">
        <v>127.68</v>
      </c>
      <c r="AR31" s="1">
        <f t="shared" si="0"/>
        <v>874.608</v>
      </c>
      <c r="AT31" s="43" t="s">
        <v>1363</v>
      </c>
      <c r="AU31" s="44">
        <v>1424.8</v>
      </c>
      <c r="AV31" s="35"/>
      <c r="AW31" s="43" t="s">
        <v>1363</v>
      </c>
      <c r="AX31" s="44">
        <v>616.5</v>
      </c>
      <c r="AZ31" s="47" t="s">
        <v>1358</v>
      </c>
      <c r="BA31" s="48">
        <v>4.492</v>
      </c>
      <c r="BB31" s="1" t="s">
        <v>430</v>
      </c>
    </row>
    <row r="32" spans="2:54">
      <c r="B32" t="s">
        <v>1442</v>
      </c>
      <c r="C32">
        <v>10</v>
      </c>
      <c r="D32" s="1" t="str">
        <f>VLOOKUP(B:B,'4店'!$B:$B,1,0)</f>
        <v>Y4040-OR+Y4043</v>
      </c>
      <c r="E32" t="s">
        <v>1434</v>
      </c>
      <c r="F32">
        <v>11</v>
      </c>
      <c r="G32" s="1" t="str">
        <f>VLOOKUP(E:E,'4店'!$B:$B,1,0)</f>
        <v>Y4040-BL+Y4043</v>
      </c>
      <c r="H32" t="s">
        <v>1365</v>
      </c>
      <c r="I32">
        <v>37</v>
      </c>
      <c r="J32" s="1" t="str">
        <f>VLOOKUP(H:H,'4店'!$B:$B,1,0)</f>
        <v>Y4022-OR+Y4026+Y4030</v>
      </c>
      <c r="K32" t="s">
        <v>1345</v>
      </c>
      <c r="L32">
        <v>34</v>
      </c>
      <c r="M32">
        <v>1</v>
      </c>
      <c r="N32">
        <v>0.11</v>
      </c>
      <c r="O32">
        <v>0</v>
      </c>
      <c r="P32">
        <v>0</v>
      </c>
      <c r="Q32" s="31">
        <v>0</v>
      </c>
      <c r="R32" s="31">
        <v>0</v>
      </c>
      <c r="S32" s="1" t="str">
        <f>VLOOKUP(K:K,'4店'!$B:$B,1,0)</f>
        <v>Y4020-WB+Y4024+Y4028</v>
      </c>
      <c r="T32" t="s">
        <v>1345</v>
      </c>
      <c r="U32">
        <v>87</v>
      </c>
      <c r="V32">
        <v>2</v>
      </c>
      <c r="W32">
        <v>0.31</v>
      </c>
      <c r="X32">
        <v>0</v>
      </c>
      <c r="Y32">
        <v>0</v>
      </c>
      <c r="Z32" s="31">
        <v>0</v>
      </c>
      <c r="AA32" s="31">
        <v>0</v>
      </c>
      <c r="AB32" s="1" t="str">
        <f>VLOOKUP(T:T,'4店'!$B:$B,1,0)</f>
        <v>Y4020-WB+Y4024+Y4028</v>
      </c>
      <c r="AC32" t="s">
        <v>1418</v>
      </c>
      <c r="AD32">
        <v>83</v>
      </c>
      <c r="AE32">
        <v>2</v>
      </c>
      <c r="AF32">
        <v>0.69</v>
      </c>
      <c r="AG32">
        <v>0</v>
      </c>
      <c r="AH32">
        <v>0</v>
      </c>
      <c r="AI32" s="31">
        <v>0</v>
      </c>
      <c r="AJ32" s="31">
        <v>0</v>
      </c>
      <c r="AK32" s="1" t="str">
        <f>VLOOKUP(AC:AC,'4店'!$B:$B,1,0)</f>
        <v>Y4020-WI+Y4024+Y4028</v>
      </c>
      <c r="AL32" t="s">
        <v>1434</v>
      </c>
      <c r="AM32" s="102">
        <v>51.96</v>
      </c>
      <c r="AN32" s="1">
        <f t="shared" si="1"/>
        <v>355.926</v>
      </c>
      <c r="AP32" t="s">
        <v>1569</v>
      </c>
      <c r="AQ32" s="102">
        <v>116.91</v>
      </c>
      <c r="AR32" s="1">
        <f t="shared" si="0"/>
        <v>800.8335</v>
      </c>
      <c r="AT32" s="43" t="s">
        <v>1365</v>
      </c>
      <c r="AU32" s="44">
        <v>2055</v>
      </c>
      <c r="AV32" s="35"/>
      <c r="AW32" s="43" t="s">
        <v>1365</v>
      </c>
      <c r="AX32" s="44">
        <v>1178.2</v>
      </c>
      <c r="AZ32" s="47" t="s">
        <v>1361</v>
      </c>
      <c r="BA32" s="48">
        <v>4.933</v>
      </c>
      <c r="BB32" s="1" t="s">
        <v>430</v>
      </c>
    </row>
    <row r="33" spans="2:54">
      <c r="B33" t="s">
        <v>1481</v>
      </c>
      <c r="C33">
        <v>5</v>
      </c>
      <c r="D33" s="1" t="str">
        <f>VLOOKUP(B:B,'4店'!$B:$B,1,0)</f>
        <v>Y4053-OR+Y4054+Y4049</v>
      </c>
      <c r="E33" t="s">
        <v>1446</v>
      </c>
      <c r="F33">
        <v>3</v>
      </c>
      <c r="G33" s="1" t="str">
        <f>VLOOKUP(E:E,'4店'!$B:$B,1,0)</f>
        <v>Y4040-WI+Y4043</v>
      </c>
      <c r="H33" t="s">
        <v>1423</v>
      </c>
      <c r="I33">
        <v>21</v>
      </c>
      <c r="J33" s="1" t="str">
        <f>VLOOKUP(H:H,'4店'!$B:$B,1,0)</f>
        <v>Y4022-WI+Y4026+Y4030</v>
      </c>
      <c r="K33" t="s">
        <v>1339</v>
      </c>
      <c r="L33">
        <v>741</v>
      </c>
      <c r="M33">
        <v>2</v>
      </c>
      <c r="N33">
        <v>0.54</v>
      </c>
      <c r="O33">
        <v>0</v>
      </c>
      <c r="P33">
        <v>0</v>
      </c>
      <c r="Q33" s="31">
        <v>0</v>
      </c>
      <c r="R33" s="31">
        <v>0</v>
      </c>
      <c r="S33" s="1" t="str">
        <f>VLOOKUP(K:K,'4店'!$B:$B,1,0)</f>
        <v>Y4020-DB+Y4024+Y4028</v>
      </c>
      <c r="T33" t="s">
        <v>1339</v>
      </c>
      <c r="U33">
        <v>982</v>
      </c>
      <c r="V33">
        <v>6</v>
      </c>
      <c r="W33">
        <v>1.61</v>
      </c>
      <c r="X33">
        <v>0</v>
      </c>
      <c r="Y33">
        <v>0</v>
      </c>
      <c r="Z33" s="31">
        <v>0</v>
      </c>
      <c r="AA33" s="31">
        <v>0</v>
      </c>
      <c r="AB33" s="1" t="str">
        <f>VLOOKUP(T:T,'4店'!$B:$B,1,0)</f>
        <v>Y4020-DB+Y4024+Y4028</v>
      </c>
      <c r="AC33" t="s">
        <v>1345</v>
      </c>
      <c r="AD33">
        <v>140</v>
      </c>
      <c r="AE33">
        <v>4</v>
      </c>
      <c r="AF33">
        <v>0.51</v>
      </c>
      <c r="AG33">
        <v>0</v>
      </c>
      <c r="AH33">
        <v>0</v>
      </c>
      <c r="AI33" s="31">
        <v>0</v>
      </c>
      <c r="AJ33" s="31">
        <v>0</v>
      </c>
      <c r="AK33" s="1" t="str">
        <f>VLOOKUP(AC:AC,'4店'!$B:$B,1,0)</f>
        <v>Y4020-WB+Y4024+Y4028</v>
      </c>
      <c r="AL33" t="s">
        <v>1439</v>
      </c>
      <c r="AM33" s="102">
        <v>51.96</v>
      </c>
      <c r="AN33" s="1">
        <f t="shared" si="1"/>
        <v>355.926</v>
      </c>
      <c r="AP33" t="s">
        <v>1586</v>
      </c>
      <c r="AQ33" s="102">
        <v>99.92</v>
      </c>
      <c r="AR33" s="1">
        <f t="shared" si="0"/>
        <v>684.452</v>
      </c>
      <c r="AT33" s="43" t="s">
        <v>1367</v>
      </c>
      <c r="AU33" s="44">
        <v>726.1</v>
      </c>
      <c r="AV33" s="35"/>
      <c r="AW33" s="43" t="s">
        <v>1367</v>
      </c>
      <c r="AX33" s="44">
        <v>876.8</v>
      </c>
      <c r="AZ33" s="47" t="s">
        <v>1363</v>
      </c>
      <c r="BA33" s="48">
        <v>4.209</v>
      </c>
      <c r="BB33" s="1" t="s">
        <v>430</v>
      </c>
    </row>
    <row r="34" spans="2:54">
      <c r="B34" t="s">
        <v>1437</v>
      </c>
      <c r="C34">
        <v>3</v>
      </c>
      <c r="D34" s="1" t="str">
        <f>VLOOKUP(B:B,'4店'!$B:$B,1,0)</f>
        <v>Y4040-DB+Y4043</v>
      </c>
      <c r="E34" t="s">
        <v>1444</v>
      </c>
      <c r="F34">
        <v>6</v>
      </c>
      <c r="G34" s="1" t="str">
        <f>VLOOKUP(E:E,'4店'!$B:$B,1,0)</f>
        <v>Y4040-WB+Y4043</v>
      </c>
      <c r="H34" t="s">
        <v>1448</v>
      </c>
      <c r="I34">
        <v>20</v>
      </c>
      <c r="J34" s="1" t="str">
        <f>VLOOKUP(H:H,'4店'!$B:$B,1,0)</f>
        <v>Y4041-BL+Y4044</v>
      </c>
      <c r="K34" t="s">
        <v>1341</v>
      </c>
      <c r="L34">
        <v>1037</v>
      </c>
      <c r="M34">
        <v>6</v>
      </c>
      <c r="N34">
        <v>2.49</v>
      </c>
      <c r="O34">
        <v>0</v>
      </c>
      <c r="P34">
        <v>0</v>
      </c>
      <c r="Q34" s="31">
        <v>0</v>
      </c>
      <c r="R34" s="31">
        <v>0</v>
      </c>
      <c r="S34" s="1" t="str">
        <f>VLOOKUP(K:K,'4店'!$B:$B,1,0)</f>
        <v>Y4020-GW+Y4024+Y4028</v>
      </c>
      <c r="T34" t="s">
        <v>1341</v>
      </c>
      <c r="U34">
        <v>1596</v>
      </c>
      <c r="V34">
        <v>16</v>
      </c>
      <c r="W34">
        <v>7.14</v>
      </c>
      <c r="X34">
        <v>38.97</v>
      </c>
      <c r="Y34">
        <v>3</v>
      </c>
      <c r="Z34" s="31">
        <v>0.183217859892225</v>
      </c>
      <c r="AA34" s="31">
        <v>0.1875</v>
      </c>
      <c r="AB34" s="1" t="str">
        <f>VLOOKUP(T:T,'4店'!$B:$B,1,0)</f>
        <v>Y4020-GW+Y4024+Y4028</v>
      </c>
      <c r="AC34" t="s">
        <v>1339</v>
      </c>
      <c r="AD34">
        <v>1712</v>
      </c>
      <c r="AE34">
        <v>14</v>
      </c>
      <c r="AF34">
        <v>4.94</v>
      </c>
      <c r="AG34">
        <v>0</v>
      </c>
      <c r="AH34">
        <v>0</v>
      </c>
      <c r="AI34" s="31">
        <v>0</v>
      </c>
      <c r="AJ34" s="31">
        <v>0</v>
      </c>
      <c r="AK34" s="1" t="str">
        <f>VLOOKUP(AC:AC,'4店'!$B:$B,1,0)</f>
        <v>Y4020-DB+Y4024+Y4028</v>
      </c>
      <c r="AL34" t="s">
        <v>1444</v>
      </c>
      <c r="AM34" s="102">
        <v>51.96</v>
      </c>
      <c r="AN34" s="1">
        <f t="shared" si="1"/>
        <v>355.926</v>
      </c>
      <c r="AP34" t="s">
        <v>1367</v>
      </c>
      <c r="AQ34" s="102">
        <v>103.92</v>
      </c>
      <c r="AR34" s="1">
        <f t="shared" si="0"/>
        <v>711.852</v>
      </c>
      <c r="AT34" s="43" t="s">
        <v>1646</v>
      </c>
      <c r="AU34" s="44">
        <v>13.7</v>
      </c>
      <c r="AV34" s="35"/>
      <c r="AW34" s="43" t="s">
        <v>1369</v>
      </c>
      <c r="AX34" s="44">
        <v>685</v>
      </c>
      <c r="AZ34" s="47" t="s">
        <v>1365</v>
      </c>
      <c r="BA34" s="48">
        <v>5.04</v>
      </c>
      <c r="BB34" s="1" t="s">
        <v>430</v>
      </c>
    </row>
    <row r="35" spans="2:54">
      <c r="B35" t="s">
        <v>1439</v>
      </c>
      <c r="C35">
        <v>4</v>
      </c>
      <c r="D35" s="1" t="str">
        <f>VLOOKUP(B:B,'4店'!$B:$B,1,0)</f>
        <v>Y4040-GW+Y4043</v>
      </c>
      <c r="E35" t="s">
        <v>1437</v>
      </c>
      <c r="F35">
        <v>10</v>
      </c>
      <c r="G35" s="1" t="str">
        <f>VLOOKUP(E:E,'4店'!$B:$B,1,0)</f>
        <v>Y4040-DB+Y4043</v>
      </c>
      <c r="H35" t="s">
        <v>1462</v>
      </c>
      <c r="I35">
        <v>23</v>
      </c>
      <c r="J35" s="1" t="str">
        <f>VLOOKUP(H:H,'4店'!$B:$B,1,0)</f>
        <v>Y4050-BL+Y4051+Y4052</v>
      </c>
      <c r="K35" t="s">
        <v>1336</v>
      </c>
      <c r="L35">
        <v>975</v>
      </c>
      <c r="M35">
        <v>10</v>
      </c>
      <c r="N35">
        <v>4.01</v>
      </c>
      <c r="O35">
        <v>38.97</v>
      </c>
      <c r="P35">
        <v>3</v>
      </c>
      <c r="Q35" s="31">
        <v>0.102899666410059</v>
      </c>
      <c r="R35" s="31">
        <v>0.3</v>
      </c>
      <c r="S35" s="1" t="str">
        <f>VLOOKUP(K:K,'4店'!$B:$B,1,0)</f>
        <v>Y4020-BL+Y4024+Y4028</v>
      </c>
      <c r="T35" t="s">
        <v>1336</v>
      </c>
      <c r="U35">
        <v>2232</v>
      </c>
      <c r="V35">
        <v>25</v>
      </c>
      <c r="W35">
        <v>9.76</v>
      </c>
      <c r="X35">
        <v>73.94</v>
      </c>
      <c r="Y35">
        <v>6</v>
      </c>
      <c r="Z35" s="31">
        <v>0.131998918041655</v>
      </c>
      <c r="AA35" s="31">
        <v>0.24</v>
      </c>
      <c r="AB35" s="1" t="str">
        <f>VLOOKUP(T:T,'4店'!$B:$B,1,0)</f>
        <v>Y4020-BL+Y4024+Y4028</v>
      </c>
      <c r="AC35" t="s">
        <v>1341</v>
      </c>
      <c r="AD35">
        <v>2979</v>
      </c>
      <c r="AE35">
        <v>34</v>
      </c>
      <c r="AF35">
        <v>15.2</v>
      </c>
      <c r="AG35">
        <v>64.95</v>
      </c>
      <c r="AH35">
        <v>5</v>
      </c>
      <c r="AI35" s="31">
        <v>0.234026173979985</v>
      </c>
      <c r="AJ35" s="31">
        <v>0.147058823529412</v>
      </c>
      <c r="AK35" s="1" t="str">
        <f>VLOOKUP(AC:AC,'4店'!$B:$B,1,0)</f>
        <v>Y4020-GW+Y4024+Y4028</v>
      </c>
      <c r="AL35" t="s">
        <v>1470</v>
      </c>
      <c r="AM35" s="102">
        <v>51.96</v>
      </c>
      <c r="AN35" s="1">
        <f t="shared" si="1"/>
        <v>355.926</v>
      </c>
      <c r="AP35" t="s">
        <v>1425</v>
      </c>
      <c r="AQ35" s="102">
        <v>103.92</v>
      </c>
      <c r="AR35" s="1">
        <f t="shared" si="0"/>
        <v>711.852</v>
      </c>
      <c r="AT35" s="43" t="s">
        <v>1369</v>
      </c>
      <c r="AU35" s="44">
        <v>369.9</v>
      </c>
      <c r="AV35" s="35"/>
      <c r="AW35" s="43" t="s">
        <v>1372</v>
      </c>
      <c r="AX35" s="44">
        <v>274</v>
      </c>
      <c r="AZ35" s="47" t="s">
        <v>1367</v>
      </c>
      <c r="BA35" s="48">
        <v>4.279</v>
      </c>
      <c r="BB35" s="1" t="s">
        <v>430</v>
      </c>
    </row>
    <row r="36" spans="2:54">
      <c r="B36" t="s">
        <v>1542</v>
      </c>
      <c r="C36">
        <v>10</v>
      </c>
      <c r="D36" s="1" t="str">
        <f>VLOOKUP(B:B,'4店'!$B:$B,1,0)</f>
        <v>Y4069-BL+Y4070+Y4071</v>
      </c>
      <c r="E36" t="s">
        <v>1442</v>
      </c>
      <c r="F36">
        <v>21</v>
      </c>
      <c r="G36" s="1" t="str">
        <f>VLOOKUP(E:E,'4店'!$B:$B,1,0)</f>
        <v>Y4040-OR+Y4043</v>
      </c>
      <c r="H36" t="s">
        <v>1451</v>
      </c>
      <c r="I36">
        <v>3</v>
      </c>
      <c r="J36" s="1" t="str">
        <f>VLOOKUP(H:H,'4店'!$B:$B,1,0)</f>
        <v>Y4041-DB+Y4044</v>
      </c>
      <c r="K36" t="s">
        <v>1343</v>
      </c>
      <c r="L36">
        <v>4539</v>
      </c>
      <c r="M36">
        <v>39</v>
      </c>
      <c r="N36">
        <v>14.89</v>
      </c>
      <c r="O36">
        <v>38.97</v>
      </c>
      <c r="P36">
        <v>3</v>
      </c>
      <c r="Q36" s="31">
        <v>0.38208878624583</v>
      </c>
      <c r="R36" s="31">
        <v>0.0769230769230769</v>
      </c>
      <c r="S36" s="1" t="str">
        <f>VLOOKUP(K:K,'4店'!$B:$B,1,0)</f>
        <v>Y4020-OR+Y4024+Y4028</v>
      </c>
      <c r="T36" t="s">
        <v>1343</v>
      </c>
      <c r="U36">
        <v>9566</v>
      </c>
      <c r="V36">
        <v>80</v>
      </c>
      <c r="W36">
        <v>31.87</v>
      </c>
      <c r="X36">
        <v>118.91</v>
      </c>
      <c r="Y36">
        <v>9</v>
      </c>
      <c r="Z36" s="31">
        <v>0.268017828609873</v>
      </c>
      <c r="AA36" s="31">
        <v>0.1125</v>
      </c>
      <c r="AB36" s="1" t="str">
        <f>VLOOKUP(T:T,'4店'!$B:$B,1,0)</f>
        <v>Y4020-OR+Y4024+Y4028</v>
      </c>
      <c r="AC36" t="s">
        <v>1336</v>
      </c>
      <c r="AD36">
        <v>13266</v>
      </c>
      <c r="AE36">
        <v>58</v>
      </c>
      <c r="AF36">
        <v>23.13</v>
      </c>
      <c r="AG36">
        <v>125.9</v>
      </c>
      <c r="AH36">
        <v>9</v>
      </c>
      <c r="AI36" s="31">
        <v>0.183717235901509</v>
      </c>
      <c r="AJ36" s="31">
        <v>0.155172413793103</v>
      </c>
      <c r="AK36" s="1" t="str">
        <f>VLOOKUP(AC:AC,'4店'!$B:$B,1,0)</f>
        <v>Y4020-BL+Y4024+Y4028</v>
      </c>
      <c r="AL36" t="s">
        <v>1581</v>
      </c>
      <c r="AM36" s="102">
        <v>51.96</v>
      </c>
      <c r="AN36" s="1">
        <f t="shared" si="1"/>
        <v>355.926</v>
      </c>
      <c r="AP36" t="s">
        <v>1448</v>
      </c>
      <c r="AQ36" s="102">
        <v>120.91</v>
      </c>
      <c r="AR36" s="1">
        <f t="shared" si="0"/>
        <v>828.2335</v>
      </c>
      <c r="AT36" s="43" t="s">
        <v>1372</v>
      </c>
      <c r="AU36" s="44">
        <v>137</v>
      </c>
      <c r="AV36" s="35"/>
      <c r="AW36" s="43" t="s">
        <v>1374</v>
      </c>
      <c r="AX36" s="44">
        <v>726.1</v>
      </c>
      <c r="AZ36" s="47" t="s">
        <v>1423</v>
      </c>
      <c r="BA36" s="48">
        <v>5.106</v>
      </c>
      <c r="BB36" s="1" t="s">
        <v>430</v>
      </c>
    </row>
    <row r="37" spans="2:54">
      <c r="B37" t="s">
        <v>1477</v>
      </c>
      <c r="C37">
        <v>1</v>
      </c>
      <c r="D37" s="1" t="str">
        <f>VLOOKUP(B:B,'4店'!$B:$B,1,0)</f>
        <v>Y4053-DB+Y4054+Y4049</v>
      </c>
      <c r="E37" t="s">
        <v>1474</v>
      </c>
      <c r="F37">
        <v>3</v>
      </c>
      <c r="G37" s="1" t="str">
        <f>VLOOKUP(E:E,'4店'!$B:$B,1,0)</f>
        <v>Y4053-BL+Y4054+Y4049</v>
      </c>
      <c r="H37" t="s">
        <v>1456</v>
      </c>
      <c r="I37">
        <v>6</v>
      </c>
      <c r="J37" s="1" t="str">
        <f>VLOOKUP(H:H,'4店'!$B:$B,1,0)</f>
        <v>Y4041-OR+Y4044</v>
      </c>
      <c r="K37" t="s">
        <v>1358</v>
      </c>
      <c r="L37">
        <v>4956</v>
      </c>
      <c r="M37">
        <v>21</v>
      </c>
      <c r="N37">
        <v>9.24</v>
      </c>
      <c r="O37">
        <v>38.97</v>
      </c>
      <c r="P37">
        <v>3</v>
      </c>
      <c r="Q37" s="31">
        <v>0.237105465742879</v>
      </c>
      <c r="R37" s="31">
        <v>0.142857142857143</v>
      </c>
      <c r="S37" s="1" t="str">
        <f>VLOOKUP(K:K,'4店'!$B:$B,1,0)</f>
        <v>Y4022-BL+Y4026+Y4030</v>
      </c>
      <c r="T37" t="s">
        <v>1358</v>
      </c>
      <c r="U37">
        <v>11497</v>
      </c>
      <c r="V37">
        <v>52</v>
      </c>
      <c r="W37">
        <v>22.57</v>
      </c>
      <c r="X37">
        <v>101.92</v>
      </c>
      <c r="Y37">
        <v>8</v>
      </c>
      <c r="Z37" s="31">
        <v>0.22144819466248</v>
      </c>
      <c r="AA37" s="31">
        <v>0.153846153846154</v>
      </c>
      <c r="AB37" s="1" t="str">
        <f>VLOOKUP(T:T,'4店'!$B:$B,1,0)</f>
        <v>Y4022-BL+Y4026+Y4030</v>
      </c>
      <c r="AC37" t="s">
        <v>1343</v>
      </c>
      <c r="AD37">
        <v>22301</v>
      </c>
      <c r="AE37">
        <v>197</v>
      </c>
      <c r="AF37">
        <v>78.36</v>
      </c>
      <c r="AG37">
        <v>261.8</v>
      </c>
      <c r="AH37">
        <v>20</v>
      </c>
      <c r="AI37" s="31">
        <v>0.299312452253629</v>
      </c>
      <c r="AJ37" s="31">
        <v>0.101522842639594</v>
      </c>
      <c r="AK37" s="1" t="str">
        <f>VLOOKUP(AC:AC,'4店'!$B:$B,1,0)</f>
        <v>Y4020-OR+Y4024+Y4028</v>
      </c>
      <c r="AL37" t="s">
        <v>1586</v>
      </c>
      <c r="AM37" s="102">
        <v>38.97</v>
      </c>
      <c r="AN37" s="1">
        <f t="shared" si="1"/>
        <v>266.9445</v>
      </c>
      <c r="AP37" t="s">
        <v>1481</v>
      </c>
      <c r="AQ37" s="102">
        <v>99.92</v>
      </c>
      <c r="AR37" s="1">
        <f t="shared" si="0"/>
        <v>684.452</v>
      </c>
      <c r="AT37" s="43" t="s">
        <v>1374</v>
      </c>
      <c r="AU37" s="44">
        <v>452.1</v>
      </c>
      <c r="AV37" s="35"/>
      <c r="AW37" s="43" t="s">
        <v>1376</v>
      </c>
      <c r="AX37" s="44">
        <v>424.7</v>
      </c>
      <c r="AZ37" s="47" t="s">
        <v>1646</v>
      </c>
      <c r="BA37" s="48">
        <v>4.164</v>
      </c>
      <c r="BB37" s="1" t="s">
        <v>430</v>
      </c>
    </row>
    <row r="38" spans="2:54">
      <c r="B38" t="s">
        <v>1483</v>
      </c>
      <c r="C38">
        <v>2</v>
      </c>
      <c r="D38" s="1" t="str">
        <f>VLOOKUP(B:B,'4店'!$B:$B,1,0)</f>
        <v>Y4053-WI+Y4054+Y4049</v>
      </c>
      <c r="E38" t="s">
        <v>1470</v>
      </c>
      <c r="F38">
        <v>10</v>
      </c>
      <c r="G38" s="1" t="str">
        <f>VLOOKUP(E:E,'4店'!$B:$B,1,0)</f>
        <v>Y4050-OR+Y4051+Y4052</v>
      </c>
      <c r="H38" t="s">
        <v>1434</v>
      </c>
      <c r="I38">
        <v>36</v>
      </c>
      <c r="J38" s="1" t="str">
        <f>VLOOKUP(H:H,'4店'!$B:$B,1,0)</f>
        <v>Y4040-BL+Y4043</v>
      </c>
      <c r="K38" t="s">
        <v>1361</v>
      </c>
      <c r="L38">
        <v>1659</v>
      </c>
      <c r="M38">
        <v>14</v>
      </c>
      <c r="N38">
        <v>6.47</v>
      </c>
      <c r="O38">
        <v>25.98</v>
      </c>
      <c r="P38">
        <v>2</v>
      </c>
      <c r="Q38" s="31">
        <v>0.249037721324095</v>
      </c>
      <c r="R38" s="31">
        <v>0.142857142857143</v>
      </c>
      <c r="S38" s="1" t="str">
        <f>VLOOKUP(K:K,'4店'!$B:$B,1,0)</f>
        <v>Y4022-DB+Y4026+Y4030</v>
      </c>
      <c r="T38" t="s">
        <v>1361</v>
      </c>
      <c r="U38">
        <v>2948</v>
      </c>
      <c r="V38">
        <v>31</v>
      </c>
      <c r="W38">
        <v>13.9</v>
      </c>
      <c r="X38">
        <v>49.96</v>
      </c>
      <c r="Y38">
        <v>4</v>
      </c>
      <c r="Z38" s="31">
        <v>0.27822257806245</v>
      </c>
      <c r="AA38" s="31">
        <v>0.129032258064516</v>
      </c>
      <c r="AB38" s="1" t="str">
        <f>VLOOKUP(T:T,'4店'!$B:$B,1,0)</f>
        <v>Y4022-DB+Y4026+Y4030</v>
      </c>
      <c r="AC38" t="s">
        <v>1358</v>
      </c>
      <c r="AD38">
        <v>19262</v>
      </c>
      <c r="AE38">
        <v>85</v>
      </c>
      <c r="AF38">
        <v>36.72</v>
      </c>
      <c r="AG38">
        <v>166.87</v>
      </c>
      <c r="AH38">
        <v>13</v>
      </c>
      <c r="AI38" s="31">
        <v>0.220051537124708</v>
      </c>
      <c r="AJ38" s="31">
        <v>0.152941176470588</v>
      </c>
      <c r="AK38" s="1" t="str">
        <f>VLOOKUP(AC:AC,'4店'!$B:$B,1,0)</f>
        <v>Y4022-BL+Y4026+Y4030</v>
      </c>
      <c r="AL38" t="s">
        <v>1372</v>
      </c>
      <c r="AM38" s="102">
        <v>38.97</v>
      </c>
      <c r="AN38" s="1">
        <f t="shared" si="1"/>
        <v>266.9445</v>
      </c>
      <c r="AP38" t="s">
        <v>1581</v>
      </c>
      <c r="AQ38" s="102">
        <v>103.92</v>
      </c>
      <c r="AR38" s="1">
        <f t="shared" ref="AR38:AR69" si="2">AQ38*$AS$1</f>
        <v>711.852</v>
      </c>
      <c r="AT38" s="43" t="s">
        <v>1376</v>
      </c>
      <c r="AU38" s="44">
        <v>328.8</v>
      </c>
      <c r="AV38" s="35"/>
      <c r="AW38" s="43" t="s">
        <v>1378</v>
      </c>
      <c r="AX38" s="44">
        <v>424.7</v>
      </c>
      <c r="AZ38" s="47" t="s">
        <v>1369</v>
      </c>
      <c r="BA38" s="48">
        <v>3.734</v>
      </c>
      <c r="BB38" s="1" t="s">
        <v>430</v>
      </c>
    </row>
    <row r="39" spans="2:54">
      <c r="B39" t="s">
        <v>1336</v>
      </c>
      <c r="C39">
        <v>4</v>
      </c>
      <c r="D39" s="1" t="str">
        <f>VLOOKUP(B:B,'4店'!$B:$B,1,0)</f>
        <v>Y4020-BL+Y4024+Y4028</v>
      </c>
      <c r="E39" t="s">
        <v>1465</v>
      </c>
      <c r="F39">
        <v>6</v>
      </c>
      <c r="G39" s="1" t="str">
        <f>VLOOKUP(E:E,'4店'!$B:$B,1,0)</f>
        <v>Y4050-DB+Y4051+Y4052</v>
      </c>
      <c r="H39" t="s">
        <v>1446</v>
      </c>
      <c r="I39">
        <v>7</v>
      </c>
      <c r="J39" s="1" t="str">
        <f>VLOOKUP(H:H,'4店'!$B:$B,1,0)</f>
        <v>Y4040-WI+Y4043</v>
      </c>
      <c r="K39" t="s">
        <v>1354</v>
      </c>
      <c r="L39">
        <v>4611</v>
      </c>
      <c r="M39">
        <v>35</v>
      </c>
      <c r="N39">
        <v>13.2</v>
      </c>
      <c r="O39">
        <v>25.98</v>
      </c>
      <c r="P39">
        <v>2</v>
      </c>
      <c r="Q39" s="31">
        <v>0.508083140877598</v>
      </c>
      <c r="R39" s="31">
        <v>0.0571428571428571</v>
      </c>
      <c r="S39" s="1" t="str">
        <f>VLOOKUP(K:K,'4店'!$B:$B,1,0)</f>
        <v>Y4021-OR+Y4025+Y4029</v>
      </c>
      <c r="T39" t="s">
        <v>1354</v>
      </c>
      <c r="U39">
        <v>7242</v>
      </c>
      <c r="V39">
        <v>61</v>
      </c>
      <c r="W39">
        <v>23.46</v>
      </c>
      <c r="X39">
        <v>75.94</v>
      </c>
      <c r="Y39">
        <v>5</v>
      </c>
      <c r="Z39" s="31">
        <v>0.308928101132473</v>
      </c>
      <c r="AA39" s="31">
        <v>0.0819672131147541</v>
      </c>
      <c r="AB39" s="1" t="str">
        <f>VLOOKUP(T:T,'4店'!$B:$B,1,0)</f>
        <v>Y4021-OR+Y4025+Y4029</v>
      </c>
      <c r="AC39" t="s">
        <v>1361</v>
      </c>
      <c r="AD39">
        <v>6086</v>
      </c>
      <c r="AE39">
        <v>62</v>
      </c>
      <c r="AF39">
        <v>28.03</v>
      </c>
      <c r="AG39">
        <v>88.93</v>
      </c>
      <c r="AH39">
        <v>7</v>
      </c>
      <c r="AI39" s="31">
        <v>0.31519172382773</v>
      </c>
      <c r="AJ39" s="31">
        <v>0.112903225806452</v>
      </c>
      <c r="AK39" s="1" t="str">
        <f>VLOOKUP(AC:AC,'4店'!$B:$B,1,0)</f>
        <v>Y4022-DB+Y4026+Y4030</v>
      </c>
      <c r="AL39" t="s">
        <v>1374</v>
      </c>
      <c r="AM39" s="102">
        <v>38.97</v>
      </c>
      <c r="AN39" s="1">
        <f t="shared" si="1"/>
        <v>266.9445</v>
      </c>
      <c r="AP39" t="s">
        <v>1310</v>
      </c>
      <c r="AQ39" s="102">
        <v>82.93</v>
      </c>
      <c r="AR39" s="1">
        <f t="shared" si="2"/>
        <v>568.0705</v>
      </c>
      <c r="AT39" s="43" t="s">
        <v>1378</v>
      </c>
      <c r="AU39" s="44">
        <v>356.2</v>
      </c>
      <c r="AV39" s="35"/>
      <c r="AW39" s="43" t="s">
        <v>1381</v>
      </c>
      <c r="AX39" s="44">
        <v>301.4</v>
      </c>
      <c r="AZ39" s="47" t="s">
        <v>1372</v>
      </c>
      <c r="BA39" s="48">
        <v>3.568</v>
      </c>
      <c r="BB39" s="1" t="s">
        <v>430</v>
      </c>
    </row>
    <row r="40" spans="2:54">
      <c r="B40" t="s">
        <v>1347</v>
      </c>
      <c r="C40">
        <v>4</v>
      </c>
      <c r="D40" s="1" t="str">
        <f>VLOOKUP(B:B,'4店'!$B:$B,1,0)</f>
        <v>Y4021-BL+Y4025+Y4029</v>
      </c>
      <c r="E40" t="s">
        <v>1481</v>
      </c>
      <c r="F40">
        <v>8</v>
      </c>
      <c r="G40" s="1" t="str">
        <f>VLOOKUP(E:E,'4店'!$B:$B,1,0)</f>
        <v>Y4053-OR+Y4054+Y4049</v>
      </c>
      <c r="H40" t="s">
        <v>1444</v>
      </c>
      <c r="I40">
        <v>12</v>
      </c>
      <c r="J40" s="1" t="str">
        <f>VLOOKUP(H:H,'4店'!$B:$B,1,0)</f>
        <v>Y4040-WB+Y4043</v>
      </c>
      <c r="K40" t="s">
        <v>1350</v>
      </c>
      <c r="L40">
        <v>274</v>
      </c>
      <c r="M40">
        <v>4</v>
      </c>
      <c r="N40">
        <v>1.31</v>
      </c>
      <c r="O40">
        <v>12.99</v>
      </c>
      <c r="P40">
        <v>1</v>
      </c>
      <c r="Q40" s="31">
        <v>0.100846805234796</v>
      </c>
      <c r="R40" s="31">
        <v>0.25</v>
      </c>
      <c r="S40" s="1" t="str">
        <f>VLOOKUP(K:K,'4店'!$B:$B,1,0)</f>
        <v>Y4021-DB+Y4025+Y4029</v>
      </c>
      <c r="T40" t="s">
        <v>1350</v>
      </c>
      <c r="U40">
        <v>472</v>
      </c>
      <c r="V40">
        <v>7</v>
      </c>
      <c r="W40">
        <v>1.93</v>
      </c>
      <c r="X40">
        <v>12.99</v>
      </c>
      <c r="Y40">
        <v>1</v>
      </c>
      <c r="Z40" s="31">
        <v>0.148575827559661</v>
      </c>
      <c r="AA40" s="31">
        <v>0.142857142857143</v>
      </c>
      <c r="AB40" s="1" t="str">
        <f>VLOOKUP(T:T,'4店'!$B:$B,1,0)</f>
        <v>Y4021-DB+Y4025+Y4029</v>
      </c>
      <c r="AC40" t="s">
        <v>1354</v>
      </c>
      <c r="AD40">
        <v>10798</v>
      </c>
      <c r="AE40">
        <v>118</v>
      </c>
      <c r="AF40">
        <v>46.58</v>
      </c>
      <c r="AG40">
        <v>231.82</v>
      </c>
      <c r="AH40">
        <v>17</v>
      </c>
      <c r="AI40" s="31">
        <v>0.200931757397981</v>
      </c>
      <c r="AJ40" s="31">
        <v>0.14406779661017</v>
      </c>
      <c r="AK40" s="1" t="str">
        <f>VLOOKUP(AC:AC,'4店'!$B:$B,1,0)</f>
        <v>Y4021-OR+Y4025+Y4029</v>
      </c>
      <c r="AL40" t="s">
        <v>1378</v>
      </c>
      <c r="AM40" s="102">
        <v>51.96</v>
      </c>
      <c r="AN40" s="1">
        <f t="shared" si="1"/>
        <v>355.926</v>
      </c>
      <c r="AP40" t="s">
        <v>1321</v>
      </c>
      <c r="AQ40" s="102">
        <v>103.92</v>
      </c>
      <c r="AR40" s="1">
        <f t="shared" si="2"/>
        <v>711.852</v>
      </c>
      <c r="AT40" s="43" t="s">
        <v>1381</v>
      </c>
      <c r="AU40" s="44">
        <v>369.9</v>
      </c>
      <c r="AV40" s="35"/>
      <c r="AW40" s="43" t="s">
        <v>1383</v>
      </c>
      <c r="AX40" s="44">
        <v>753.5</v>
      </c>
      <c r="AZ40" s="47" t="s">
        <v>1374</v>
      </c>
      <c r="BA40" s="48">
        <v>3.949</v>
      </c>
      <c r="BB40" s="1" t="s">
        <v>430</v>
      </c>
    </row>
    <row r="41" spans="2:54">
      <c r="B41" t="s">
        <v>1492</v>
      </c>
      <c r="C41">
        <v>1</v>
      </c>
      <c r="D41" s="1" t="str">
        <f>VLOOKUP(B:B,'4店'!$B:$B,1,0)</f>
        <v>Y4063-OR+Y4064+Y4065</v>
      </c>
      <c r="E41" t="s">
        <v>1477</v>
      </c>
      <c r="F41">
        <v>5</v>
      </c>
      <c r="G41" s="1" t="str">
        <f>VLOOKUP(E:E,'4店'!$B:$B,1,0)</f>
        <v>Y4053-DB+Y4054+Y4049</v>
      </c>
      <c r="H41" t="s">
        <v>1437</v>
      </c>
      <c r="I41">
        <v>19</v>
      </c>
      <c r="J41" s="1" t="str">
        <f>VLOOKUP(H:H,'4店'!$B:$B,1,0)</f>
        <v>Y4040-DB+Y4043</v>
      </c>
      <c r="K41" t="s">
        <v>1347</v>
      </c>
      <c r="L41">
        <v>3297</v>
      </c>
      <c r="M41">
        <v>33</v>
      </c>
      <c r="N41">
        <v>12.46</v>
      </c>
      <c r="O41">
        <v>12.99</v>
      </c>
      <c r="P41">
        <v>1</v>
      </c>
      <c r="Q41" s="31">
        <v>0.959199384141648</v>
      </c>
      <c r="R41" s="31">
        <v>0.0303030303030303</v>
      </c>
      <c r="S41" s="1" t="str">
        <f>VLOOKUP(K:K,'4店'!$B:$B,1,0)</f>
        <v>Y4021-BL+Y4025+Y4029</v>
      </c>
      <c r="T41" t="s">
        <v>1347</v>
      </c>
      <c r="U41">
        <v>7950</v>
      </c>
      <c r="V41">
        <v>54</v>
      </c>
      <c r="W41">
        <v>21.02</v>
      </c>
      <c r="X41">
        <v>51.96</v>
      </c>
      <c r="Y41">
        <v>4</v>
      </c>
      <c r="Z41" s="31">
        <v>0.404541955350269</v>
      </c>
      <c r="AA41" s="31">
        <v>0.0740740740740741</v>
      </c>
      <c r="AB41" s="1" t="str">
        <f>VLOOKUP(T:T,'4店'!$B:$B,1,0)</f>
        <v>Y4021-BL+Y4025+Y4029</v>
      </c>
      <c r="AC41" t="s">
        <v>1350</v>
      </c>
      <c r="AD41">
        <v>900</v>
      </c>
      <c r="AE41">
        <v>11</v>
      </c>
      <c r="AF41">
        <v>3.45</v>
      </c>
      <c r="AG41">
        <v>25.98</v>
      </c>
      <c r="AH41">
        <v>2</v>
      </c>
      <c r="AI41" s="31">
        <v>0.132794457274827</v>
      </c>
      <c r="AJ41" s="31">
        <v>0.181818181818182</v>
      </c>
      <c r="AK41" s="1" t="str">
        <f>VLOOKUP(AC:AC,'4店'!$B:$B,1,0)</f>
        <v>Y4021-DB+Y4025+Y4029</v>
      </c>
      <c r="AL41" t="s">
        <v>1423</v>
      </c>
      <c r="AM41" s="102">
        <v>38.97</v>
      </c>
      <c r="AN41" s="1">
        <f t="shared" si="1"/>
        <v>266.9445</v>
      </c>
      <c r="AP41" t="s">
        <v>1339</v>
      </c>
      <c r="AQ41" s="102">
        <v>101.81</v>
      </c>
      <c r="AR41" s="1">
        <f t="shared" si="2"/>
        <v>697.3985</v>
      </c>
      <c r="AT41" s="43" t="s">
        <v>1383</v>
      </c>
      <c r="AU41" s="44">
        <v>630.2</v>
      </c>
      <c r="AV41" s="35"/>
      <c r="AW41" s="43" t="s">
        <v>1385</v>
      </c>
      <c r="AX41" s="44">
        <v>342.5</v>
      </c>
      <c r="AZ41" s="47" t="s">
        <v>1376</v>
      </c>
      <c r="BA41" s="48">
        <v>3.873</v>
      </c>
      <c r="BB41" s="1" t="s">
        <v>430</v>
      </c>
    </row>
    <row r="42" spans="2:54">
      <c r="B42" t="s">
        <v>1529</v>
      </c>
      <c r="C42">
        <v>6</v>
      </c>
      <c r="D42" s="1" t="str">
        <f>VLOOKUP(B:B,'4店'!$B:$B,1,0)</f>
        <v>Y4061-WI+Y4062</v>
      </c>
      <c r="E42" t="s">
        <v>1363</v>
      </c>
      <c r="F42">
        <v>11</v>
      </c>
      <c r="G42" s="1" t="str">
        <f>VLOOKUP(E:E,'4店'!$B:$B,1,0)</f>
        <v>Y4022-GW+Y4026+Y4030</v>
      </c>
      <c r="H42" t="s">
        <v>1442</v>
      </c>
      <c r="I42">
        <v>49</v>
      </c>
      <c r="J42" s="1" t="str">
        <f>VLOOKUP(H:H,'4店'!$B:$B,1,0)</f>
        <v>Y4040-OR+Y4043</v>
      </c>
      <c r="K42" t="s">
        <v>1365</v>
      </c>
      <c r="L42">
        <v>9057</v>
      </c>
      <c r="M42">
        <v>53</v>
      </c>
      <c r="N42">
        <v>24.32</v>
      </c>
      <c r="O42">
        <v>77.94</v>
      </c>
      <c r="P42">
        <v>6</v>
      </c>
      <c r="Q42" s="31">
        <v>0.312034898639979</v>
      </c>
      <c r="R42" s="31">
        <v>0.113207547169811</v>
      </c>
      <c r="S42" s="1" t="str">
        <f>VLOOKUP(K:K,'4店'!$B:$B,1,0)</f>
        <v>Y4022-OR+Y4026+Y4030</v>
      </c>
      <c r="T42" t="s">
        <v>1365</v>
      </c>
      <c r="U42">
        <v>20930</v>
      </c>
      <c r="V42">
        <v>110</v>
      </c>
      <c r="W42">
        <v>49.06</v>
      </c>
      <c r="X42">
        <v>114.91</v>
      </c>
      <c r="Y42">
        <v>9</v>
      </c>
      <c r="Z42" s="31">
        <v>0.426942824819424</v>
      </c>
      <c r="AA42" s="31">
        <v>0.0818181818181818</v>
      </c>
      <c r="AB42" s="1" t="str">
        <f>VLOOKUP(T:T,'4店'!$B:$B,1,0)</f>
        <v>Y4022-OR+Y4026+Y4030</v>
      </c>
      <c r="AC42" t="s">
        <v>1347</v>
      </c>
      <c r="AD42">
        <v>11058</v>
      </c>
      <c r="AE42">
        <v>77</v>
      </c>
      <c r="AF42">
        <v>29.78</v>
      </c>
      <c r="AG42">
        <v>77.94</v>
      </c>
      <c r="AH42">
        <v>6</v>
      </c>
      <c r="AI42" s="31">
        <v>0.38208878624583</v>
      </c>
      <c r="AJ42" s="31">
        <v>0.0779220779220779</v>
      </c>
      <c r="AK42" s="1" t="str">
        <f>VLOOKUP(AC:AC,'4店'!$B:$B,1,0)</f>
        <v>Y4021-BL+Y4025+Y4029</v>
      </c>
      <c r="AL42" t="s">
        <v>1437</v>
      </c>
      <c r="AM42" s="102">
        <v>38.97</v>
      </c>
      <c r="AN42" s="1">
        <f t="shared" si="1"/>
        <v>266.9445</v>
      </c>
      <c r="AP42" t="s">
        <v>1347</v>
      </c>
      <c r="AQ42" s="102">
        <v>88.93</v>
      </c>
      <c r="AR42" s="1">
        <f t="shared" si="2"/>
        <v>609.1705</v>
      </c>
      <c r="AT42" s="43" t="s">
        <v>1385</v>
      </c>
      <c r="AU42" s="44">
        <v>342.5</v>
      </c>
      <c r="AV42" s="35"/>
      <c r="AW42" s="43" t="s">
        <v>1387</v>
      </c>
      <c r="AX42" s="44">
        <v>54</v>
      </c>
      <c r="AZ42" s="47" t="s">
        <v>1425</v>
      </c>
      <c r="BA42" s="48">
        <v>3.852</v>
      </c>
      <c r="BB42" s="1" t="s">
        <v>430</v>
      </c>
    </row>
    <row r="43" spans="2:54">
      <c r="B43" t="s">
        <v>1319</v>
      </c>
      <c r="C43">
        <v>1</v>
      </c>
      <c r="D43" s="1" t="str">
        <f>VLOOKUP(B:B,'4店'!$B:$B,1,0)</f>
        <v>Y4011-PB+Y4014+Y4017</v>
      </c>
      <c r="E43" t="s">
        <v>1383</v>
      </c>
      <c r="F43">
        <v>4</v>
      </c>
      <c r="G43" s="1" t="str">
        <f>VLOOKUP(E:E,'4店'!$B:$B,1,0)</f>
        <v>Y4039-OR+Y4042+Y4045</v>
      </c>
      <c r="H43" t="s">
        <v>1453</v>
      </c>
      <c r="I43">
        <v>2</v>
      </c>
      <c r="J43" s="1" t="str">
        <f>VLOOKUP(H:H,'4店'!$B:$B,1,0)</f>
        <v>Y4041-GW+Y4044</v>
      </c>
      <c r="K43" t="s">
        <v>1367</v>
      </c>
      <c r="L43">
        <v>7110</v>
      </c>
      <c r="M43">
        <v>40</v>
      </c>
      <c r="N43">
        <v>16.4</v>
      </c>
      <c r="O43">
        <v>51.96</v>
      </c>
      <c r="P43">
        <v>4</v>
      </c>
      <c r="Q43" s="31">
        <v>0.31562740569669</v>
      </c>
      <c r="R43" s="31">
        <v>0.1</v>
      </c>
      <c r="S43" s="1" t="str">
        <f>VLOOKUP(K:K,'4店'!$B:$B,1,0)</f>
        <v>Y4022-WB+Y4026+Y4030</v>
      </c>
      <c r="T43" t="s">
        <v>1367</v>
      </c>
      <c r="U43">
        <v>12093</v>
      </c>
      <c r="V43">
        <v>80</v>
      </c>
      <c r="W43">
        <v>32.93</v>
      </c>
      <c r="X43">
        <v>112.91</v>
      </c>
      <c r="Y43">
        <v>8</v>
      </c>
      <c r="Z43" s="31">
        <v>0.291648215392791</v>
      </c>
      <c r="AA43" s="31">
        <v>0.1</v>
      </c>
      <c r="AB43" s="1" t="str">
        <f>VLOOKUP(T:T,'4店'!$B:$B,1,0)</f>
        <v>Y4022-WB+Y4026+Y4030</v>
      </c>
      <c r="AC43" t="s">
        <v>1365</v>
      </c>
      <c r="AD43">
        <v>40508</v>
      </c>
      <c r="AE43">
        <v>241</v>
      </c>
      <c r="AF43">
        <v>103.53</v>
      </c>
      <c r="AG43">
        <v>322.53</v>
      </c>
      <c r="AH43">
        <v>25</v>
      </c>
      <c r="AI43" s="31">
        <v>0.320993395963166</v>
      </c>
      <c r="AJ43" s="31">
        <v>0.103734439834025</v>
      </c>
      <c r="AK43" s="1" t="str">
        <f>VLOOKUP(AC:AC,'4店'!$B:$B,1,0)</f>
        <v>Y4022-OR+Y4026+Y4030</v>
      </c>
      <c r="AL43" t="s">
        <v>1465</v>
      </c>
      <c r="AM43" s="102">
        <v>38.97</v>
      </c>
      <c r="AN43" s="1">
        <f t="shared" si="1"/>
        <v>266.9445</v>
      </c>
      <c r="AP43" t="s">
        <v>1509</v>
      </c>
      <c r="AQ43" s="102">
        <v>114.91</v>
      </c>
      <c r="AR43" s="1">
        <f t="shared" si="2"/>
        <v>787.1335</v>
      </c>
      <c r="AT43" s="43" t="s">
        <v>1387</v>
      </c>
      <c r="AU43" s="44">
        <v>9</v>
      </c>
      <c r="AV43" s="35"/>
      <c r="AW43" s="43" t="s">
        <v>1390</v>
      </c>
      <c r="AX43" s="44">
        <v>254.8</v>
      </c>
      <c r="AZ43" s="47" t="s">
        <v>1387</v>
      </c>
      <c r="BA43" s="48">
        <v>3.208</v>
      </c>
      <c r="BB43" s="1" t="s">
        <v>430</v>
      </c>
    </row>
    <row r="44" spans="2:54">
      <c r="B44" t="s">
        <v>1551</v>
      </c>
      <c r="C44">
        <v>3</v>
      </c>
      <c r="D44" s="1" t="str">
        <f>VLOOKUP(B:B,'4店'!$B:$B,1,0)</f>
        <v>Y4069-WI+Y4070+Y4071</v>
      </c>
      <c r="E44" t="s">
        <v>1381</v>
      </c>
      <c r="F44">
        <v>2</v>
      </c>
      <c r="G44" s="1" t="str">
        <f>VLOOKUP(E:E,'4店'!$B:$B,1,0)</f>
        <v>Y4039-DB+Y4042+Y4045</v>
      </c>
      <c r="H44" t="s">
        <v>1474</v>
      </c>
      <c r="I44">
        <v>14</v>
      </c>
      <c r="J44" s="1" t="str">
        <f>VLOOKUP(H:H,'4店'!$B:$B,1,0)</f>
        <v>Y4053-BL+Y4054+Y4049</v>
      </c>
      <c r="K44" t="s">
        <v>1564</v>
      </c>
      <c r="L44">
        <v>80</v>
      </c>
      <c r="M44">
        <v>0</v>
      </c>
      <c r="N44">
        <v>0</v>
      </c>
      <c r="O44">
        <v>0</v>
      </c>
      <c r="P44">
        <v>0</v>
      </c>
      <c r="Q44" s="31">
        <v>0</v>
      </c>
      <c r="R44" s="31">
        <v>0</v>
      </c>
      <c r="S44" s="1" t="str">
        <f>VLOOKUP(K:K,'4店'!$B:$B,1,0)</f>
        <v>Y4038-BL</v>
      </c>
      <c r="T44" t="s">
        <v>1564</v>
      </c>
      <c r="U44">
        <v>118</v>
      </c>
      <c r="V44">
        <v>1</v>
      </c>
      <c r="W44">
        <v>0.42</v>
      </c>
      <c r="X44">
        <v>0</v>
      </c>
      <c r="Y44">
        <v>0</v>
      </c>
      <c r="Z44" s="31">
        <v>0</v>
      </c>
      <c r="AA44" s="31">
        <v>0</v>
      </c>
      <c r="AB44" s="1" t="str">
        <f>VLOOKUP(T:T,'4店'!$B:$B,1,0)</f>
        <v>Y4038-BL</v>
      </c>
      <c r="AC44" t="s">
        <v>1367</v>
      </c>
      <c r="AD44">
        <v>22496</v>
      </c>
      <c r="AE44">
        <v>151</v>
      </c>
      <c r="AF44">
        <v>62.18</v>
      </c>
      <c r="AG44">
        <v>320.53</v>
      </c>
      <c r="AH44">
        <v>22</v>
      </c>
      <c r="AI44" s="31">
        <v>0.193991202071569</v>
      </c>
      <c r="AJ44" s="31">
        <v>0.145695364238411</v>
      </c>
      <c r="AK44" s="1" t="str">
        <f>VLOOKUP(AC:AC,'4店'!$B:$B,1,0)</f>
        <v>Y4022-WB+Y4026+Y4030</v>
      </c>
      <c r="AL44" t="s">
        <v>1462</v>
      </c>
      <c r="AM44" s="102">
        <v>38.97</v>
      </c>
      <c r="AN44" s="1">
        <f t="shared" ref="AN44:AN75" si="3">AM44*$AS$1</f>
        <v>266.9445</v>
      </c>
      <c r="AP44" t="s">
        <v>1590</v>
      </c>
      <c r="AQ44" s="102">
        <v>84.6</v>
      </c>
      <c r="AR44" s="1">
        <f t="shared" si="2"/>
        <v>579.51</v>
      </c>
      <c r="AT44" s="43" t="s">
        <v>1390</v>
      </c>
      <c r="AU44" s="44">
        <v>274.4</v>
      </c>
      <c r="AV44" s="35"/>
      <c r="AW44" s="43" t="s">
        <v>1647</v>
      </c>
      <c r="AX44" s="44">
        <v>9.8</v>
      </c>
      <c r="AZ44" s="47" t="s">
        <v>1648</v>
      </c>
      <c r="BA44" s="48">
        <v>3.873</v>
      </c>
      <c r="BB44" s="1" t="s">
        <v>430</v>
      </c>
    </row>
    <row r="45" spans="2:54">
      <c r="B45" t="s">
        <v>1444</v>
      </c>
      <c r="C45">
        <v>4</v>
      </c>
      <c r="D45" s="1" t="str">
        <f>VLOOKUP(B:B,'4店'!$B:$B,1,0)</f>
        <v>Y4040-WB+Y4043</v>
      </c>
      <c r="E45" t="s">
        <v>1496</v>
      </c>
      <c r="F45">
        <v>21</v>
      </c>
      <c r="G45" s="1" t="str">
        <f>VLOOKUP(E:E,'4店'!$B:$B,1,0)</f>
        <v>Y4023-BL+Y4027+Y4031*1</v>
      </c>
      <c r="H45" t="s">
        <v>1439</v>
      </c>
      <c r="I45">
        <v>8</v>
      </c>
      <c r="J45" s="1" t="str">
        <f>VLOOKUP(H:H,'4店'!$B:$B,1,0)</f>
        <v>Y4040-GW+Y4043</v>
      </c>
      <c r="K45" t="s">
        <v>1442</v>
      </c>
      <c r="L45">
        <v>6496</v>
      </c>
      <c r="M45">
        <v>95</v>
      </c>
      <c r="N45">
        <v>48.17</v>
      </c>
      <c r="O45">
        <v>168.87</v>
      </c>
      <c r="P45">
        <v>13</v>
      </c>
      <c r="Q45" s="31">
        <v>0.285249008112749</v>
      </c>
      <c r="R45" s="31">
        <v>0.136842105263158</v>
      </c>
      <c r="S45" s="1" t="str">
        <f>VLOOKUP(K:K,'4店'!$B:$B,1,0)</f>
        <v>Y4040-OR+Y4043</v>
      </c>
      <c r="T45" t="s">
        <v>1428</v>
      </c>
      <c r="U45">
        <v>8</v>
      </c>
      <c r="V45">
        <v>0</v>
      </c>
      <c r="W45">
        <v>0</v>
      </c>
      <c r="X45">
        <v>0</v>
      </c>
      <c r="Y45">
        <v>0</v>
      </c>
      <c r="Z45" s="31">
        <v>0</v>
      </c>
      <c r="AA45" s="31">
        <v>0</v>
      </c>
      <c r="AB45" s="1" t="str">
        <f>VLOOKUP(T:T,'4店'!$B:$B,1,0)</f>
        <v>Y4038-DB</v>
      </c>
      <c r="AC45" t="s">
        <v>1564</v>
      </c>
      <c r="AD45">
        <v>182</v>
      </c>
      <c r="AE45">
        <v>1</v>
      </c>
      <c r="AF45">
        <v>0.42</v>
      </c>
      <c r="AG45">
        <v>0</v>
      </c>
      <c r="AH45">
        <v>0</v>
      </c>
      <c r="AI45" s="31">
        <v>0</v>
      </c>
      <c r="AJ45" s="31">
        <v>0</v>
      </c>
      <c r="AK45" s="1" t="str">
        <f>VLOOKUP(AC:AC,'4店'!$B:$B,1,0)</f>
        <v>Y4038-BL</v>
      </c>
      <c r="AL45" t="s">
        <v>1523</v>
      </c>
      <c r="AM45" s="102">
        <v>25.98</v>
      </c>
      <c r="AN45" s="1">
        <f t="shared" si="3"/>
        <v>177.963</v>
      </c>
      <c r="AP45" t="s">
        <v>1423</v>
      </c>
      <c r="AQ45" s="102">
        <v>75.94</v>
      </c>
      <c r="AR45" s="1">
        <f t="shared" si="2"/>
        <v>520.189</v>
      </c>
      <c r="AT45" s="43" t="s">
        <v>1393</v>
      </c>
      <c r="AU45" s="44">
        <v>186.2</v>
      </c>
      <c r="AV45" s="35"/>
      <c r="AW45" s="43" t="s">
        <v>1393</v>
      </c>
      <c r="AX45" s="44">
        <v>186.2</v>
      </c>
      <c r="AZ45" s="47" t="s">
        <v>1390</v>
      </c>
      <c r="BA45" s="48">
        <v>3.361</v>
      </c>
      <c r="BB45" s="1" t="s">
        <v>430</v>
      </c>
    </row>
    <row r="46" spans="2:54">
      <c r="B46" t="s">
        <v>1334</v>
      </c>
      <c r="C46">
        <v>1</v>
      </c>
      <c r="D46" s="1" t="str">
        <f>VLOOKUP(B:B,'4店'!$B:$B,1,0)</f>
        <v>Y4013-PB+Y4016+Y4019</v>
      </c>
      <c r="E46" t="s">
        <v>1310</v>
      </c>
      <c r="F46">
        <v>7</v>
      </c>
      <c r="G46" s="1" t="str">
        <f>VLOOKUP(E:E,'4店'!$B:$B,1,0)</f>
        <v>Y4012-BL+Y4015+Y4018</v>
      </c>
      <c r="H46" t="s">
        <v>1470</v>
      </c>
      <c r="I46">
        <v>19</v>
      </c>
      <c r="J46" s="1" t="str">
        <f>VLOOKUP(H:H,'4店'!$B:$B,1,0)</f>
        <v>Y4050-OR+Y4051+Y4052</v>
      </c>
      <c r="K46" t="s">
        <v>1437</v>
      </c>
      <c r="L46">
        <v>1653</v>
      </c>
      <c r="M46">
        <v>21</v>
      </c>
      <c r="N46">
        <v>11.46</v>
      </c>
      <c r="O46">
        <v>12.99</v>
      </c>
      <c r="P46">
        <v>1</v>
      </c>
      <c r="Q46" s="31">
        <v>0.882217090069284</v>
      </c>
      <c r="R46" s="31">
        <v>0.0476190476190476</v>
      </c>
      <c r="S46" s="1" t="str">
        <f>VLOOKUP(K:K,'4店'!$B:$B,1,0)</f>
        <v>Y4040-DB+Y4043</v>
      </c>
      <c r="T46" t="s">
        <v>1442</v>
      </c>
      <c r="U46">
        <v>12566</v>
      </c>
      <c r="V46">
        <v>190</v>
      </c>
      <c r="W46">
        <v>96.98</v>
      </c>
      <c r="X46">
        <v>283.78</v>
      </c>
      <c r="Y46">
        <v>22</v>
      </c>
      <c r="Z46" s="31">
        <v>0.341743604200437</v>
      </c>
      <c r="AA46" s="31">
        <v>0.115789473684211</v>
      </c>
      <c r="AB46" s="1" t="str">
        <f>VLOOKUP(T:T,'4店'!$B:$B,1,0)</f>
        <v>Y4040-OR+Y4043</v>
      </c>
      <c r="AC46" t="s">
        <v>1432</v>
      </c>
      <c r="AD46">
        <v>5</v>
      </c>
      <c r="AE46">
        <v>0</v>
      </c>
      <c r="AF46">
        <v>0</v>
      </c>
      <c r="AG46">
        <v>0</v>
      </c>
      <c r="AH46">
        <v>0</v>
      </c>
      <c r="AI46" s="31">
        <v>0</v>
      </c>
      <c r="AJ46" s="31">
        <v>0</v>
      </c>
      <c r="AK46" s="1" t="str">
        <f>VLOOKUP(AC:AC,'4店'!$B:$B,1,0)</f>
        <v>Y4038-OR</v>
      </c>
      <c r="AL46" t="s">
        <v>1509</v>
      </c>
      <c r="AM46" s="102">
        <v>38.97</v>
      </c>
      <c r="AN46" s="1">
        <f t="shared" si="3"/>
        <v>266.9445</v>
      </c>
      <c r="AP46" t="s">
        <v>1444</v>
      </c>
      <c r="AQ46" s="102">
        <v>77.94</v>
      </c>
      <c r="AR46" s="1">
        <f t="shared" si="2"/>
        <v>533.889</v>
      </c>
      <c r="AT46" s="43" t="s">
        <v>1395</v>
      </c>
      <c r="AU46" s="44">
        <v>98</v>
      </c>
      <c r="AV46" s="35"/>
      <c r="AW46" s="43" t="s">
        <v>1395</v>
      </c>
      <c r="AX46" s="44">
        <v>127.4</v>
      </c>
      <c r="AZ46" s="47" t="s">
        <v>1647</v>
      </c>
      <c r="BA46" s="48">
        <v>4.053</v>
      </c>
      <c r="BB46" s="1" t="s">
        <v>430</v>
      </c>
    </row>
    <row r="47" spans="2:54">
      <c r="B47" t="s">
        <v>1573</v>
      </c>
      <c r="C47">
        <v>6</v>
      </c>
      <c r="D47" s="1" t="str">
        <f>VLOOKUP(B:B,'4店'!$B:$B,1,0)</f>
        <v>Y4084-OR+Y4085+Y4086</v>
      </c>
      <c r="E47" t="s">
        <v>1372</v>
      </c>
      <c r="F47">
        <v>4</v>
      </c>
      <c r="G47" s="1" t="str">
        <f>VLOOKUP(E:E,'4店'!$B:$B,1,0)</f>
        <v>Y4023-GW+Y4027+Y4031</v>
      </c>
      <c r="H47" t="s">
        <v>1472</v>
      </c>
      <c r="I47">
        <v>3</v>
      </c>
      <c r="J47" s="1" t="str">
        <f>VLOOKUP(H:H,'4店'!$B:$B,1,0)</f>
        <v>Y4050-WI+Y4051+Y4052</v>
      </c>
      <c r="K47" t="s">
        <v>1446</v>
      </c>
      <c r="L47">
        <v>536</v>
      </c>
      <c r="M47">
        <v>9</v>
      </c>
      <c r="N47">
        <v>3.11</v>
      </c>
      <c r="O47">
        <v>0</v>
      </c>
      <c r="P47">
        <v>0</v>
      </c>
      <c r="Q47" s="31">
        <v>0</v>
      </c>
      <c r="R47" s="31">
        <v>0</v>
      </c>
      <c r="S47" s="1" t="str">
        <f>VLOOKUP(K:K,'4店'!$B:$B,1,0)</f>
        <v>Y4040-WI+Y4043</v>
      </c>
      <c r="T47" t="s">
        <v>1437</v>
      </c>
      <c r="U47">
        <v>3313</v>
      </c>
      <c r="V47">
        <v>47</v>
      </c>
      <c r="W47">
        <v>25.08</v>
      </c>
      <c r="X47">
        <v>75.94</v>
      </c>
      <c r="Y47">
        <v>6</v>
      </c>
      <c r="Z47" s="31">
        <v>0.330260732156966</v>
      </c>
      <c r="AA47" s="31">
        <v>0.127659574468085</v>
      </c>
      <c r="AB47" s="1" t="str">
        <f>VLOOKUP(T:T,'4店'!$B:$B,1,0)</f>
        <v>Y4040-DB+Y4043</v>
      </c>
      <c r="AC47" t="s">
        <v>1428</v>
      </c>
      <c r="AD47">
        <v>13</v>
      </c>
      <c r="AE47">
        <v>0</v>
      </c>
      <c r="AF47">
        <v>0</v>
      </c>
      <c r="AG47">
        <v>0</v>
      </c>
      <c r="AH47">
        <v>0</v>
      </c>
      <c r="AI47" s="31">
        <v>0</v>
      </c>
      <c r="AJ47" s="31">
        <v>0</v>
      </c>
      <c r="AK47" s="1" t="str">
        <f>VLOOKUP(AC:AC,'4店'!$B:$B,1,0)</f>
        <v>Y4038-DB</v>
      </c>
      <c r="AL47" t="s">
        <v>1551</v>
      </c>
      <c r="AM47" s="102">
        <v>38.97</v>
      </c>
      <c r="AN47" s="1">
        <f t="shared" si="3"/>
        <v>266.9445</v>
      </c>
      <c r="AP47" t="s">
        <v>1465</v>
      </c>
      <c r="AQ47" s="102">
        <v>77.94</v>
      </c>
      <c r="AR47" s="1">
        <f t="shared" si="2"/>
        <v>533.889</v>
      </c>
      <c r="AT47" s="43" t="s">
        <v>1397</v>
      </c>
      <c r="AU47" s="44">
        <v>1320</v>
      </c>
      <c r="AV47" s="35"/>
      <c r="AW47" s="43" t="s">
        <v>1397</v>
      </c>
      <c r="AX47" s="44">
        <v>1320</v>
      </c>
      <c r="AZ47" s="47" t="s">
        <v>1393</v>
      </c>
      <c r="BA47" s="48">
        <v>3.661</v>
      </c>
      <c r="BB47" s="1" t="s">
        <v>430</v>
      </c>
    </row>
    <row r="48" spans="2:54">
      <c r="B48" t="s">
        <v>1531</v>
      </c>
      <c r="C48">
        <v>2</v>
      </c>
      <c r="D48" s="1" t="str">
        <f>VLOOKUP(B:B,'4店'!$B:$B,1,0)</f>
        <v>Y4066-BL+Y4068</v>
      </c>
      <c r="E48" t="s">
        <v>1303</v>
      </c>
      <c r="F48">
        <v>36</v>
      </c>
      <c r="G48" s="1" t="str">
        <f>VLOOKUP(E:E,'4店'!$B:$B,1,0)</f>
        <v>Y4011-BL+Y4014+Y4017</v>
      </c>
      <c r="H48" t="s">
        <v>1465</v>
      </c>
      <c r="I48">
        <v>8</v>
      </c>
      <c r="J48" s="1" t="str">
        <f>VLOOKUP(H:H,'4店'!$B:$B,1,0)</f>
        <v>Y4050-DB+Y4051+Y4052</v>
      </c>
      <c r="K48" t="s">
        <v>1448</v>
      </c>
      <c r="L48">
        <v>1268</v>
      </c>
      <c r="M48">
        <v>13</v>
      </c>
      <c r="N48">
        <v>4.41</v>
      </c>
      <c r="O48">
        <v>38.97</v>
      </c>
      <c r="P48">
        <v>3</v>
      </c>
      <c r="Q48" s="31">
        <v>0.113163972286374</v>
      </c>
      <c r="R48" s="31">
        <v>0.230769230769231</v>
      </c>
      <c r="S48" s="1" t="str">
        <f>VLOOKUP(K:K,'4店'!$B:$B,1,0)</f>
        <v>Y4041-BL+Y4044</v>
      </c>
      <c r="T48" t="s">
        <v>1446</v>
      </c>
      <c r="U48">
        <v>1181</v>
      </c>
      <c r="V48">
        <v>19</v>
      </c>
      <c r="W48">
        <v>6.68</v>
      </c>
      <c r="X48">
        <v>0</v>
      </c>
      <c r="Y48">
        <v>0</v>
      </c>
      <c r="Z48" s="31">
        <v>0</v>
      </c>
      <c r="AA48" s="31">
        <v>0</v>
      </c>
      <c r="AB48" s="1" t="str">
        <f>VLOOKUP(T:T,'4店'!$B:$B,1,0)</f>
        <v>Y4040-WI+Y4043</v>
      </c>
      <c r="AC48" t="s">
        <v>1442</v>
      </c>
      <c r="AD48">
        <v>26279</v>
      </c>
      <c r="AE48">
        <v>448</v>
      </c>
      <c r="AF48">
        <v>224.75</v>
      </c>
      <c r="AG48">
        <v>738.43</v>
      </c>
      <c r="AH48">
        <v>57</v>
      </c>
      <c r="AI48" s="31">
        <v>0.304361957125252</v>
      </c>
      <c r="AJ48" s="31">
        <v>0.127232142857143</v>
      </c>
      <c r="AK48" s="1" t="str">
        <f>VLOOKUP(AC:AC,'4店'!$B:$B,1,0)</f>
        <v>Y4040-OR+Y4043</v>
      </c>
      <c r="AL48" t="s">
        <v>1571</v>
      </c>
      <c r="AM48" s="102">
        <v>38.97</v>
      </c>
      <c r="AN48" s="1">
        <f t="shared" si="3"/>
        <v>266.9445</v>
      </c>
      <c r="AP48" t="s">
        <v>1334</v>
      </c>
      <c r="AQ48" s="102">
        <v>60.95</v>
      </c>
      <c r="AR48" s="1">
        <f t="shared" si="2"/>
        <v>417.5075</v>
      </c>
      <c r="AT48" s="43" t="s">
        <v>1400</v>
      </c>
      <c r="AU48" s="44">
        <v>1140</v>
      </c>
      <c r="AV48" s="35"/>
      <c r="AW48" s="43" t="s">
        <v>1400</v>
      </c>
      <c r="AX48" s="44">
        <v>1170</v>
      </c>
      <c r="AZ48" s="47" t="s">
        <v>1395</v>
      </c>
      <c r="BA48" s="48">
        <v>3.925</v>
      </c>
      <c r="BB48" s="1" t="s">
        <v>430</v>
      </c>
    </row>
    <row r="49" spans="2:54">
      <c r="B49" t="s">
        <v>1566</v>
      </c>
      <c r="C49">
        <v>5</v>
      </c>
      <c r="D49" s="1" t="str">
        <f>VLOOKUP(B:B,'4店'!$B:$B,1,0)</f>
        <v>Y4084-BL+Y4085+Y4086</v>
      </c>
      <c r="E49" t="s">
        <v>1387</v>
      </c>
      <c r="F49">
        <v>2</v>
      </c>
      <c r="G49" s="1" t="str">
        <f>VLOOKUP(E:E,'4店'!$B:$B,1,0)</f>
        <v>Y4032-DB</v>
      </c>
      <c r="H49" t="s">
        <v>1481</v>
      </c>
      <c r="I49">
        <v>15</v>
      </c>
      <c r="J49" s="1" t="str">
        <f>VLOOKUP(H:H,'4店'!$B:$B,1,0)</f>
        <v>Y4053-OR+Y4054+Y4049</v>
      </c>
      <c r="K49" t="s">
        <v>1456</v>
      </c>
      <c r="L49">
        <v>796</v>
      </c>
      <c r="M49">
        <v>13</v>
      </c>
      <c r="N49">
        <v>4.32</v>
      </c>
      <c r="O49">
        <v>25.98</v>
      </c>
      <c r="P49">
        <v>2</v>
      </c>
      <c r="Q49" s="31">
        <v>0.166281755196305</v>
      </c>
      <c r="R49" s="31">
        <v>0.153846153846154</v>
      </c>
      <c r="S49" s="1" t="str">
        <f>VLOOKUP(K:K,'4店'!$B:$B,1,0)</f>
        <v>Y4041-OR+Y4044</v>
      </c>
      <c r="T49" t="s">
        <v>1448</v>
      </c>
      <c r="U49">
        <v>3148</v>
      </c>
      <c r="V49">
        <v>26</v>
      </c>
      <c r="W49">
        <v>8.91</v>
      </c>
      <c r="X49">
        <v>38.97</v>
      </c>
      <c r="Y49">
        <v>3</v>
      </c>
      <c r="Z49" s="31">
        <v>0.228637413394919</v>
      </c>
      <c r="AA49" s="31">
        <v>0.115384615384615</v>
      </c>
      <c r="AB49" s="1" t="str">
        <f>VLOOKUP(T:T,'4店'!$B:$B,1,0)</f>
        <v>Y4041-BL+Y4044</v>
      </c>
      <c r="AC49" t="s">
        <v>1437</v>
      </c>
      <c r="AD49">
        <v>8528</v>
      </c>
      <c r="AE49">
        <v>96</v>
      </c>
      <c r="AF49">
        <v>48.22</v>
      </c>
      <c r="AG49">
        <v>153.88</v>
      </c>
      <c r="AH49">
        <v>12</v>
      </c>
      <c r="AI49" s="31">
        <v>0.313361060566675</v>
      </c>
      <c r="AJ49" s="31">
        <v>0.125</v>
      </c>
      <c r="AK49" s="1" t="str">
        <f>VLOOKUP(AC:AC,'4店'!$B:$B,1,0)</f>
        <v>Y4040-DB+Y4043</v>
      </c>
      <c r="AL49" t="s">
        <v>1590</v>
      </c>
      <c r="AM49" s="102">
        <v>38.64</v>
      </c>
      <c r="AN49" s="1">
        <f t="shared" si="3"/>
        <v>264.684</v>
      </c>
      <c r="AP49" t="s">
        <v>1374</v>
      </c>
      <c r="AQ49" s="102">
        <v>64.95</v>
      </c>
      <c r="AR49" s="1">
        <f t="shared" si="2"/>
        <v>444.9075</v>
      </c>
      <c r="AT49" s="43" t="s">
        <v>1402</v>
      </c>
      <c r="AU49" s="44">
        <v>1230</v>
      </c>
      <c r="AV49" s="35"/>
      <c r="AW49" s="43" t="s">
        <v>1402</v>
      </c>
      <c r="AX49" s="44">
        <v>1230</v>
      </c>
      <c r="AZ49" s="47" t="s">
        <v>1400</v>
      </c>
      <c r="BA49" s="48">
        <v>3.734</v>
      </c>
      <c r="BB49" s="1" t="s">
        <v>430</v>
      </c>
    </row>
    <row r="50" spans="2:54">
      <c r="B50" t="s">
        <v>1562</v>
      </c>
      <c r="C50">
        <v>1</v>
      </c>
      <c r="D50" s="1" t="str">
        <f>VLOOKUP(B:B,'4店'!$B:$B,1,0)</f>
        <v>Y4072-OR+Y4073+Y4074</v>
      </c>
      <c r="E50" t="s">
        <v>1531</v>
      </c>
      <c r="F50">
        <v>4</v>
      </c>
      <c r="G50" s="1" t="str">
        <f>VLOOKUP(E:E,'4店'!$B:$B,1,0)</f>
        <v>Y4066-BL+Y4068</v>
      </c>
      <c r="H50" t="s">
        <v>1479</v>
      </c>
      <c r="I50">
        <v>3</v>
      </c>
      <c r="J50" s="1" t="str">
        <f>VLOOKUP(H:H,'4店'!$B:$B,1,0)</f>
        <v>Y4053-GW+Y4054+Y4049</v>
      </c>
      <c r="K50" t="s">
        <v>1460</v>
      </c>
      <c r="L50">
        <v>387</v>
      </c>
      <c r="M50">
        <v>2</v>
      </c>
      <c r="N50">
        <v>0.81</v>
      </c>
      <c r="O50">
        <v>0</v>
      </c>
      <c r="P50">
        <v>0</v>
      </c>
      <c r="Q50" s="31">
        <v>0</v>
      </c>
      <c r="R50" s="31">
        <v>0</v>
      </c>
      <c r="S50" s="1" t="str">
        <f>VLOOKUP(K:K,'4店'!$B:$B,1,0)</f>
        <v>Y4041-WB+Y4044</v>
      </c>
      <c r="T50" t="s">
        <v>1456</v>
      </c>
      <c r="U50">
        <v>2406</v>
      </c>
      <c r="V50">
        <v>26</v>
      </c>
      <c r="W50">
        <v>8.26</v>
      </c>
      <c r="X50">
        <v>25.98</v>
      </c>
      <c r="Y50">
        <v>2</v>
      </c>
      <c r="Z50" s="31">
        <v>0.317936874518861</v>
      </c>
      <c r="AA50" s="31">
        <v>0.0769230769230769</v>
      </c>
      <c r="AB50" s="1" t="str">
        <f>VLOOKUP(T:T,'4店'!$B:$B,1,0)</f>
        <v>Y4041-OR+Y4044</v>
      </c>
      <c r="AC50" t="s">
        <v>1446</v>
      </c>
      <c r="AD50">
        <v>2700</v>
      </c>
      <c r="AE50">
        <v>38</v>
      </c>
      <c r="AF50">
        <v>13.77</v>
      </c>
      <c r="AG50">
        <v>0</v>
      </c>
      <c r="AH50">
        <v>0</v>
      </c>
      <c r="AI50" s="31">
        <v>0</v>
      </c>
      <c r="AJ50" s="31">
        <v>0</v>
      </c>
      <c r="AK50" s="1" t="str">
        <f>VLOOKUP(AC:AC,'4店'!$B:$B,1,0)</f>
        <v>Y4040-WI+Y4043</v>
      </c>
      <c r="AL50" t="s">
        <v>1315</v>
      </c>
      <c r="AM50" s="102">
        <v>25.98</v>
      </c>
      <c r="AN50" s="1">
        <f t="shared" si="3"/>
        <v>177.963</v>
      </c>
      <c r="AP50" t="s">
        <v>1439</v>
      </c>
      <c r="AQ50" s="102">
        <v>64.95</v>
      </c>
      <c r="AR50" s="1">
        <f t="shared" si="2"/>
        <v>444.9075</v>
      </c>
      <c r="AT50" s="43" t="s">
        <v>1404</v>
      </c>
      <c r="AU50" s="44">
        <v>506</v>
      </c>
      <c r="AV50" s="35"/>
      <c r="AW50" s="43" t="s">
        <v>1404</v>
      </c>
      <c r="AX50" s="44">
        <v>529</v>
      </c>
      <c r="AZ50" s="47" t="s">
        <v>1402</v>
      </c>
      <c r="BA50" s="48">
        <v>3.77</v>
      </c>
      <c r="BB50" s="1" t="s">
        <v>430</v>
      </c>
    </row>
    <row r="51" spans="2:54">
      <c r="B51" t="s">
        <v>1588</v>
      </c>
      <c r="C51">
        <v>1</v>
      </c>
      <c r="D51" s="1" t="str">
        <f>VLOOKUP(B:B,'4店'!$B:$B,1,0)</f>
        <v>Y4081-WI+Y4082+Y4083</v>
      </c>
      <c r="E51" t="s">
        <v>1350</v>
      </c>
      <c r="F51">
        <v>1</v>
      </c>
      <c r="G51" s="1" t="str">
        <f>VLOOKUP(E:E,'4店'!$B:$B,1,0)</f>
        <v>Y4021-DB+Y4025+Y4029</v>
      </c>
      <c r="H51" t="s">
        <v>1477</v>
      </c>
      <c r="I51">
        <v>15</v>
      </c>
      <c r="J51" s="1" t="str">
        <f>VLOOKUP(H:H,'4店'!$B:$B,1,0)</f>
        <v>Y4053-DB+Y4054+Y4049</v>
      </c>
      <c r="K51" t="s">
        <v>1474</v>
      </c>
      <c r="L51">
        <v>275</v>
      </c>
      <c r="M51">
        <v>4</v>
      </c>
      <c r="N51">
        <v>1.42</v>
      </c>
      <c r="O51">
        <v>0</v>
      </c>
      <c r="P51">
        <v>0</v>
      </c>
      <c r="Q51" s="31">
        <v>0</v>
      </c>
      <c r="R51" s="31">
        <v>0</v>
      </c>
      <c r="S51" s="1" t="str">
        <f>VLOOKUP(K:K,'4店'!$B:$B,1,0)</f>
        <v>Y4053-BL+Y4054+Y4049</v>
      </c>
      <c r="T51" t="s">
        <v>1460</v>
      </c>
      <c r="U51">
        <v>731</v>
      </c>
      <c r="V51">
        <v>7</v>
      </c>
      <c r="W51">
        <v>2.62</v>
      </c>
      <c r="X51">
        <v>0</v>
      </c>
      <c r="Y51">
        <v>0</v>
      </c>
      <c r="Z51" s="31">
        <v>0</v>
      </c>
      <c r="AA51" s="31">
        <v>0</v>
      </c>
      <c r="AB51" s="1" t="str">
        <f>VLOOKUP(T:T,'4店'!$B:$B,1,0)</f>
        <v>Y4041-WB+Y4044</v>
      </c>
      <c r="AC51" t="s">
        <v>1448</v>
      </c>
      <c r="AD51">
        <v>5745</v>
      </c>
      <c r="AE51">
        <v>41</v>
      </c>
      <c r="AF51">
        <v>13.93</v>
      </c>
      <c r="AG51">
        <v>64.95</v>
      </c>
      <c r="AH51">
        <v>5</v>
      </c>
      <c r="AI51" s="31">
        <v>0.214472671285604</v>
      </c>
      <c r="AJ51" s="31">
        <v>0.121951219512195</v>
      </c>
      <c r="AK51" s="1" t="str">
        <f>VLOOKUP(AC:AC,'4店'!$B:$B,1,0)</f>
        <v>Y4041-BL+Y4044</v>
      </c>
      <c r="AL51" t="s">
        <v>1339</v>
      </c>
      <c r="AM51" s="102">
        <v>25.98</v>
      </c>
      <c r="AN51" s="1">
        <f t="shared" si="3"/>
        <v>177.963</v>
      </c>
      <c r="AP51" t="s">
        <v>1477</v>
      </c>
      <c r="AQ51" s="102">
        <v>64.95</v>
      </c>
      <c r="AR51" s="1">
        <f t="shared" si="2"/>
        <v>444.9075</v>
      </c>
      <c r="AT51" s="43" t="s">
        <v>1407</v>
      </c>
      <c r="AU51" s="44">
        <v>483</v>
      </c>
      <c r="AV51" s="35"/>
      <c r="AW51" s="43" t="s">
        <v>1407</v>
      </c>
      <c r="AX51" s="44">
        <v>506</v>
      </c>
      <c r="AZ51" s="47" t="s">
        <v>1397</v>
      </c>
      <c r="BA51" s="48">
        <v>3.738</v>
      </c>
      <c r="BB51" s="1" t="s">
        <v>430</v>
      </c>
    </row>
    <row r="52" spans="2:54">
      <c r="B52" t="s">
        <v>1527</v>
      </c>
      <c r="C52">
        <v>1</v>
      </c>
      <c r="D52" s="1" t="str">
        <f>VLOOKUP(B:B,'4店'!$B:$B,1,0)</f>
        <v>Y4061-OR+Y4062</v>
      </c>
      <c r="E52" t="s">
        <v>1479</v>
      </c>
      <c r="F52">
        <v>2</v>
      </c>
      <c r="G52" s="1" t="str">
        <f>VLOOKUP(E:E,'4店'!$B:$B,1,0)</f>
        <v>Y4053-GW+Y4054+Y4049</v>
      </c>
      <c r="H52" t="s">
        <v>1468</v>
      </c>
      <c r="I52">
        <v>3</v>
      </c>
      <c r="J52" s="1" t="str">
        <f>VLOOKUP(H:H,'4店'!$B:$B,1,0)</f>
        <v>Y4050-GW+Y4051+Y4052</v>
      </c>
      <c r="K52" t="s">
        <v>1481</v>
      </c>
      <c r="L52">
        <v>3352</v>
      </c>
      <c r="M52">
        <v>34</v>
      </c>
      <c r="N52">
        <v>12.15</v>
      </c>
      <c r="O52">
        <v>25.98</v>
      </c>
      <c r="P52">
        <v>2</v>
      </c>
      <c r="Q52" s="31">
        <v>0.467667436489607</v>
      </c>
      <c r="R52" s="31">
        <v>0.0588235294117647</v>
      </c>
      <c r="S52" s="1" t="str">
        <f>VLOOKUP(K:K,'4店'!$B:$B,1,0)</f>
        <v>Y4053-OR+Y4054+Y4049</v>
      </c>
      <c r="T52" t="s">
        <v>1474</v>
      </c>
      <c r="U52">
        <v>813</v>
      </c>
      <c r="V52">
        <v>7</v>
      </c>
      <c r="W52">
        <v>2.32</v>
      </c>
      <c r="X52">
        <v>0</v>
      </c>
      <c r="Y52">
        <v>0</v>
      </c>
      <c r="Z52" s="31">
        <v>0</v>
      </c>
      <c r="AA52" s="31">
        <v>0</v>
      </c>
      <c r="AB52" s="1" t="str">
        <f>VLOOKUP(T:T,'4店'!$B:$B,1,0)</f>
        <v>Y4053-BL+Y4054+Y4049</v>
      </c>
      <c r="AC52" t="s">
        <v>1456</v>
      </c>
      <c r="AD52">
        <v>4389</v>
      </c>
      <c r="AE52">
        <v>46</v>
      </c>
      <c r="AF52">
        <v>14.35</v>
      </c>
      <c r="AG52">
        <v>51.96</v>
      </c>
      <c r="AH52">
        <v>4</v>
      </c>
      <c r="AI52" s="31">
        <v>0.276173979984604</v>
      </c>
      <c r="AJ52" s="31">
        <v>0.0869565217391304</v>
      </c>
      <c r="AK52" s="1" t="str">
        <f>VLOOKUP(AC:AC,'4店'!$B:$B,1,0)</f>
        <v>Y4041-OR+Y4044</v>
      </c>
      <c r="AL52" t="s">
        <v>1345</v>
      </c>
      <c r="AM52" s="102">
        <v>25.98</v>
      </c>
      <c r="AN52" s="1">
        <f t="shared" si="3"/>
        <v>177.963</v>
      </c>
      <c r="AP52" t="s">
        <v>1556</v>
      </c>
      <c r="AQ52" s="102">
        <v>56.95</v>
      </c>
      <c r="AR52" s="1">
        <f t="shared" si="2"/>
        <v>390.1075</v>
      </c>
      <c r="AT52" s="43" t="s">
        <v>1409</v>
      </c>
      <c r="AU52" s="44">
        <v>690</v>
      </c>
      <c r="AV52" s="35"/>
      <c r="AW52" s="43" t="s">
        <v>1409</v>
      </c>
      <c r="AX52" s="44">
        <v>713</v>
      </c>
      <c r="AZ52" s="47" t="s">
        <v>1416</v>
      </c>
      <c r="BA52" s="48">
        <v>2.977</v>
      </c>
      <c r="BB52" s="1" t="s">
        <v>430</v>
      </c>
    </row>
    <row r="53" spans="2:54">
      <c r="B53" t="s">
        <v>1569</v>
      </c>
      <c r="C53">
        <v>5</v>
      </c>
      <c r="D53" s="1" t="str">
        <f>VLOOKUP(B:B,'4店'!$B:$B,1,0)</f>
        <v>Y4084-DB+Y4085+Y4086</v>
      </c>
      <c r="E53" t="s">
        <v>1553</v>
      </c>
      <c r="F53">
        <v>10</v>
      </c>
      <c r="G53" s="1" t="str">
        <f>VLOOKUP(E:E,'4店'!$B:$B,1,0)</f>
        <v>Y4072-BL+Y4073+Y4074</v>
      </c>
      <c r="H53" t="s">
        <v>1383</v>
      </c>
      <c r="I53">
        <v>10</v>
      </c>
      <c r="J53" s="1" t="str">
        <f>VLOOKUP(H:H,'4店'!$B:$B,1,0)</f>
        <v>Y4039-OR+Y4042+Y4045</v>
      </c>
      <c r="K53" t="s">
        <v>1477</v>
      </c>
      <c r="L53">
        <v>1353</v>
      </c>
      <c r="M53">
        <v>4</v>
      </c>
      <c r="N53">
        <v>1.33</v>
      </c>
      <c r="O53">
        <v>12.99</v>
      </c>
      <c r="P53">
        <v>1</v>
      </c>
      <c r="Q53" s="31">
        <v>0.102386451116243</v>
      </c>
      <c r="R53" s="31">
        <v>0.25</v>
      </c>
      <c r="S53" s="1" t="str">
        <f>VLOOKUP(K:K,'4店'!$B:$B,1,0)</f>
        <v>Y4053-DB+Y4054+Y4049</v>
      </c>
      <c r="T53" t="s">
        <v>1481</v>
      </c>
      <c r="U53">
        <v>9766</v>
      </c>
      <c r="V53">
        <v>66</v>
      </c>
      <c r="W53">
        <v>24.71</v>
      </c>
      <c r="X53">
        <v>47.96</v>
      </c>
      <c r="Y53">
        <v>4</v>
      </c>
      <c r="Z53" s="31">
        <v>0.515221017514596</v>
      </c>
      <c r="AA53" s="31">
        <v>0.0606060606060606</v>
      </c>
      <c r="AB53" s="1" t="str">
        <f>VLOOKUP(T:T,'4店'!$B:$B,1,0)</f>
        <v>Y4053-OR+Y4054+Y4049</v>
      </c>
      <c r="AC53" t="s">
        <v>1460</v>
      </c>
      <c r="AD53">
        <v>1365</v>
      </c>
      <c r="AE53">
        <v>16</v>
      </c>
      <c r="AF53">
        <v>5.3</v>
      </c>
      <c r="AG53">
        <v>0</v>
      </c>
      <c r="AH53">
        <v>0</v>
      </c>
      <c r="AI53" s="31">
        <v>0</v>
      </c>
      <c r="AJ53" s="31">
        <v>0</v>
      </c>
      <c r="AK53" s="1" t="str">
        <f>VLOOKUP(AC:AC,'4店'!$B:$B,1,0)</f>
        <v>Y4041-WB+Y4044</v>
      </c>
      <c r="AL53" t="s">
        <v>1354</v>
      </c>
      <c r="AM53" s="102">
        <v>25.98</v>
      </c>
      <c r="AN53" s="1">
        <f t="shared" si="3"/>
        <v>177.963</v>
      </c>
      <c r="AP53" t="s">
        <v>1571</v>
      </c>
      <c r="AQ53" s="102">
        <v>64.95</v>
      </c>
      <c r="AR53" s="1">
        <f t="shared" si="2"/>
        <v>444.9075</v>
      </c>
      <c r="AT53" s="43" t="s">
        <v>1411</v>
      </c>
      <c r="AU53" s="44">
        <v>270</v>
      </c>
      <c r="AV53" s="35"/>
      <c r="AW53" s="43" t="s">
        <v>1411</v>
      </c>
      <c r="AX53" s="44">
        <v>290</v>
      </c>
      <c r="AZ53" s="47" t="s">
        <v>1414</v>
      </c>
      <c r="BA53" s="48">
        <v>2.932</v>
      </c>
      <c r="BB53" s="1" t="s">
        <v>430</v>
      </c>
    </row>
    <row r="54" spans="2:54">
      <c r="B54" t="s">
        <v>1581</v>
      </c>
      <c r="C54">
        <v>4</v>
      </c>
      <c r="D54" s="1" t="str">
        <f>VLOOKUP(B:B,'4店'!$B:$B,1,0)</f>
        <v>Y4081-DB+Y4082+Y4083</v>
      </c>
      <c r="E54" t="s">
        <v>1453</v>
      </c>
      <c r="F54">
        <v>1</v>
      </c>
      <c r="G54" s="1" t="str">
        <f>VLOOKUP(E:E,'4店'!$B:$B,1,0)</f>
        <v>Y4041-GW+Y4044</v>
      </c>
      <c r="H54" t="s">
        <v>1363</v>
      </c>
      <c r="I54">
        <v>23</v>
      </c>
      <c r="J54" s="1" t="str">
        <f>VLOOKUP(H:H,'4店'!$B:$B,1,0)</f>
        <v>Y4022-GW+Y4026+Y4030</v>
      </c>
      <c r="K54" t="s">
        <v>1483</v>
      </c>
      <c r="L54">
        <v>1106</v>
      </c>
      <c r="M54">
        <v>8</v>
      </c>
      <c r="N54">
        <v>3.1</v>
      </c>
      <c r="O54">
        <v>0</v>
      </c>
      <c r="P54">
        <v>0</v>
      </c>
      <c r="Q54" s="31">
        <v>0</v>
      </c>
      <c r="R54" s="31">
        <v>0</v>
      </c>
      <c r="S54" s="1" t="str">
        <f>VLOOKUP(K:K,'4店'!$B:$B,1,0)</f>
        <v>Y4053-WI+Y4054+Y4049</v>
      </c>
      <c r="T54" t="s">
        <v>1477</v>
      </c>
      <c r="U54">
        <v>1755</v>
      </c>
      <c r="V54">
        <v>7</v>
      </c>
      <c r="W54">
        <v>2.15</v>
      </c>
      <c r="X54">
        <v>12.99</v>
      </c>
      <c r="Y54">
        <v>1</v>
      </c>
      <c r="Z54" s="31">
        <v>0.165511932255581</v>
      </c>
      <c r="AA54" s="31">
        <v>0.142857142857143</v>
      </c>
      <c r="AB54" s="1" t="str">
        <f>VLOOKUP(T:T,'4店'!$B:$B,1,0)</f>
        <v>Y4053-DB+Y4054+Y4049</v>
      </c>
      <c r="AC54" t="s">
        <v>1474</v>
      </c>
      <c r="AD54">
        <v>3014</v>
      </c>
      <c r="AE54">
        <v>19</v>
      </c>
      <c r="AF54">
        <v>5.99</v>
      </c>
      <c r="AG54">
        <v>0</v>
      </c>
      <c r="AH54">
        <v>0</v>
      </c>
      <c r="AI54" s="31">
        <v>0</v>
      </c>
      <c r="AJ54" s="31">
        <v>0</v>
      </c>
      <c r="AK54" s="1" t="str">
        <f>VLOOKUP(AC:AC,'4店'!$B:$B,1,0)</f>
        <v>Y4053-BL+Y4054+Y4049</v>
      </c>
      <c r="AL54" t="s">
        <v>1460</v>
      </c>
      <c r="AM54" s="102">
        <v>25.98</v>
      </c>
      <c r="AN54" s="1">
        <f t="shared" si="3"/>
        <v>177.963</v>
      </c>
      <c r="AP54" t="s">
        <v>1588</v>
      </c>
      <c r="AQ54" s="102">
        <v>60.95</v>
      </c>
      <c r="AR54" s="1">
        <f t="shared" si="2"/>
        <v>417.5075</v>
      </c>
      <c r="AT54" s="43" t="s">
        <v>1414</v>
      </c>
      <c r="AU54" s="44">
        <v>340</v>
      </c>
      <c r="AV54" s="35"/>
      <c r="AW54" s="43" t="s">
        <v>1414</v>
      </c>
      <c r="AX54" s="44">
        <v>400</v>
      </c>
      <c r="AZ54" s="47" t="s">
        <v>1411</v>
      </c>
      <c r="BA54" s="48">
        <v>3.099</v>
      </c>
      <c r="BB54" s="1" t="s">
        <v>430</v>
      </c>
    </row>
    <row r="55" spans="2:54">
      <c r="B55" t="s">
        <v>1593</v>
      </c>
      <c r="C55">
        <v>1</v>
      </c>
      <c r="D55" s="1" t="str">
        <f>VLOOKUP(B:B,'4店'!$B:$B,1,0)</f>
        <v>Y4078-DB+Y4079+Y4080</v>
      </c>
      <c r="E55" t="s">
        <v>1556</v>
      </c>
      <c r="F55">
        <v>5</v>
      </c>
      <c r="G55" s="1" t="str">
        <f>VLOOKUP(E:E,'4店'!$B:$B,1,0)</f>
        <v>Y4072-DB+Y4073+Y4074</v>
      </c>
      <c r="H55" t="s">
        <v>1458</v>
      </c>
      <c r="I55">
        <v>1</v>
      </c>
      <c r="J55" s="1" t="str">
        <f>VLOOKUP(H:H,'4店'!$B:$B,1,0)</f>
        <v>Y4041-WI+Y4044</v>
      </c>
      <c r="K55" t="s">
        <v>1462</v>
      </c>
      <c r="L55">
        <v>763</v>
      </c>
      <c r="M55">
        <v>5</v>
      </c>
      <c r="N55">
        <v>2.36</v>
      </c>
      <c r="O55">
        <v>12.99</v>
      </c>
      <c r="P55">
        <v>1</v>
      </c>
      <c r="Q55" s="31">
        <v>0.181678214010778</v>
      </c>
      <c r="R55" s="31">
        <v>0.2</v>
      </c>
      <c r="S55" s="1" t="str">
        <f>VLOOKUP(K:K,'4店'!$B:$B,1,0)</f>
        <v>Y4050-BL+Y4051+Y4052</v>
      </c>
      <c r="T55" t="s">
        <v>1483</v>
      </c>
      <c r="U55">
        <v>2580</v>
      </c>
      <c r="V55">
        <v>20</v>
      </c>
      <c r="W55">
        <v>7.83</v>
      </c>
      <c r="X55">
        <v>12.99</v>
      </c>
      <c r="Y55">
        <v>1</v>
      </c>
      <c r="Z55" s="31">
        <v>0.602771362586605</v>
      </c>
      <c r="AA55" s="31">
        <v>0.05</v>
      </c>
      <c r="AB55" s="1" t="str">
        <f>VLOOKUP(T:T,'4店'!$B:$B,1,0)</f>
        <v>Y4053-WI+Y4054+Y4049</v>
      </c>
      <c r="AC55" t="s">
        <v>1481</v>
      </c>
      <c r="AD55">
        <v>17521</v>
      </c>
      <c r="AE55">
        <v>145</v>
      </c>
      <c r="AF55">
        <v>53.55</v>
      </c>
      <c r="AG55">
        <v>177.86</v>
      </c>
      <c r="AH55">
        <v>14</v>
      </c>
      <c r="AI55" s="31">
        <v>0.301079500730912</v>
      </c>
      <c r="AJ55" s="31">
        <v>0.096551724137931</v>
      </c>
      <c r="AK55" s="1" t="str">
        <f>VLOOKUP(AC:AC,'4店'!$B:$B,1,0)</f>
        <v>Y4053-OR+Y4054+Y4049</v>
      </c>
      <c r="AL55" t="s">
        <v>1483</v>
      </c>
      <c r="AM55" s="102">
        <v>25.98</v>
      </c>
      <c r="AN55" s="1">
        <f t="shared" si="3"/>
        <v>177.963</v>
      </c>
      <c r="AP55" t="s">
        <v>1593</v>
      </c>
      <c r="AQ55" s="102">
        <v>64.95</v>
      </c>
      <c r="AR55" s="1">
        <f t="shared" si="2"/>
        <v>444.9075</v>
      </c>
      <c r="AT55" s="43" t="s">
        <v>1416</v>
      </c>
      <c r="AU55" s="44">
        <v>120</v>
      </c>
      <c r="AV55" s="35"/>
      <c r="AW55" s="43" t="s">
        <v>1416</v>
      </c>
      <c r="AX55" s="44">
        <v>120</v>
      </c>
      <c r="AZ55" s="47" t="s">
        <v>1407</v>
      </c>
      <c r="BA55" s="48">
        <v>3.67</v>
      </c>
      <c r="BB55" s="1" t="s">
        <v>430</v>
      </c>
    </row>
    <row r="56" spans="2:54">
      <c r="B56" t="s">
        <v>1590</v>
      </c>
      <c r="C56">
        <v>3</v>
      </c>
      <c r="D56" s="1" t="str">
        <f>VLOOKUP(B:B,'4店'!$B:$B,1,0)</f>
        <v>Y4078-BL+Y4079+Y4080</v>
      </c>
      <c r="E56" t="s">
        <v>1542</v>
      </c>
      <c r="F56">
        <v>14</v>
      </c>
      <c r="G56" s="1" t="str">
        <f>VLOOKUP(E:E,'4店'!$B:$B,1,0)</f>
        <v>Y4069-BL+Y4070+Y4071</v>
      </c>
      <c r="H56" t="s">
        <v>1323</v>
      </c>
      <c r="I56">
        <v>4</v>
      </c>
      <c r="J56" s="1" t="str">
        <f>VLOOKUP(H:H,'4店'!$B:$B,1,0)</f>
        <v>Y4012-PB+Y4015+Y4018</v>
      </c>
      <c r="K56" t="s">
        <v>1470</v>
      </c>
      <c r="L56">
        <v>3377</v>
      </c>
      <c r="M56">
        <v>59</v>
      </c>
      <c r="N56">
        <v>26.56</v>
      </c>
      <c r="O56">
        <v>51.96</v>
      </c>
      <c r="P56">
        <v>4</v>
      </c>
      <c r="Q56" s="31">
        <v>0.511162432640493</v>
      </c>
      <c r="R56" s="31">
        <v>0.0677966101694915</v>
      </c>
      <c r="S56" s="1" t="str">
        <f>VLOOKUP(K:K,'4店'!$B:$B,1,0)</f>
        <v>Y4050-OR+Y4051+Y4052</v>
      </c>
      <c r="T56" t="s">
        <v>1462</v>
      </c>
      <c r="U56">
        <v>1597</v>
      </c>
      <c r="V56">
        <v>10</v>
      </c>
      <c r="W56">
        <v>4.84</v>
      </c>
      <c r="X56">
        <v>75.94</v>
      </c>
      <c r="Y56">
        <v>3</v>
      </c>
      <c r="Z56" s="31">
        <v>0.0637345272583619</v>
      </c>
      <c r="AA56" s="31">
        <v>0.3</v>
      </c>
      <c r="AB56" s="1" t="str">
        <f>VLOOKUP(T:T,'4店'!$B:$B,1,0)</f>
        <v>Y4050-BL+Y4051+Y4052</v>
      </c>
      <c r="AC56" t="s">
        <v>1477</v>
      </c>
      <c r="AD56">
        <v>3400</v>
      </c>
      <c r="AE56">
        <v>22</v>
      </c>
      <c r="AF56">
        <v>7.11</v>
      </c>
      <c r="AG56">
        <v>51.96</v>
      </c>
      <c r="AH56">
        <v>4</v>
      </c>
      <c r="AI56" s="31">
        <v>0.136836027713626</v>
      </c>
      <c r="AJ56" s="31">
        <v>0.181818181818182</v>
      </c>
      <c r="AK56" s="1" t="str">
        <f>VLOOKUP(AC:AC,'4店'!$B:$B,1,0)</f>
        <v>Y4053-DB+Y4054+Y4049</v>
      </c>
      <c r="AL56" t="s">
        <v>1472</v>
      </c>
      <c r="AM56" s="102">
        <v>25.98</v>
      </c>
      <c r="AN56" s="1">
        <f t="shared" si="3"/>
        <v>177.963</v>
      </c>
      <c r="AP56" t="s">
        <v>1602</v>
      </c>
      <c r="AQ56" s="102">
        <v>62.95</v>
      </c>
      <c r="AR56" s="1">
        <f t="shared" si="2"/>
        <v>431.2075</v>
      </c>
      <c r="AT56" s="43" t="s">
        <v>1418</v>
      </c>
      <c r="AU56" s="44">
        <v>356.2</v>
      </c>
      <c r="AV56" s="35"/>
      <c r="AW56" s="43" t="s">
        <v>1418</v>
      </c>
      <c r="AX56" s="44">
        <v>369.9</v>
      </c>
      <c r="AZ56" s="47" t="s">
        <v>1409</v>
      </c>
      <c r="BA56" s="48">
        <v>3.734</v>
      </c>
      <c r="BB56" s="1" t="s">
        <v>430</v>
      </c>
    </row>
    <row r="57" spans="2:54">
      <c r="B57" t="s">
        <v>1597</v>
      </c>
      <c r="C57">
        <v>3</v>
      </c>
      <c r="D57" s="1" t="str">
        <f>VLOOKUP(B:B,'4店'!$B:$B,1,0)</f>
        <v>Y4078-OR+Y4079+Y4080</v>
      </c>
      <c r="E57" t="s">
        <v>1345</v>
      </c>
      <c r="F57">
        <v>2</v>
      </c>
      <c r="G57" s="1" t="str">
        <f>VLOOKUP(E:E,'4店'!$B:$B,1,0)</f>
        <v>Y4020-WB+Y4024+Y4028</v>
      </c>
      <c r="H57" t="s">
        <v>1381</v>
      </c>
      <c r="I57">
        <v>6</v>
      </c>
      <c r="J57" s="1" t="str">
        <f>VLOOKUP(H:H,'4店'!$B:$B,1,0)</f>
        <v>Y4039-DB+Y4042+Y4045</v>
      </c>
      <c r="K57" t="s">
        <v>1465</v>
      </c>
      <c r="L57">
        <v>266</v>
      </c>
      <c r="M57">
        <v>5</v>
      </c>
      <c r="N57">
        <v>1.74</v>
      </c>
      <c r="O57">
        <v>0</v>
      </c>
      <c r="P57">
        <v>0</v>
      </c>
      <c r="Q57" s="31">
        <v>0</v>
      </c>
      <c r="R57" s="31">
        <v>0</v>
      </c>
      <c r="S57" s="1" t="str">
        <f>VLOOKUP(K:K,'4店'!$B:$B,1,0)</f>
        <v>Y4050-DB+Y4051+Y4052</v>
      </c>
      <c r="T57" t="s">
        <v>1472</v>
      </c>
      <c r="U57">
        <v>225</v>
      </c>
      <c r="V57">
        <v>7</v>
      </c>
      <c r="W57">
        <v>2.44</v>
      </c>
      <c r="X57">
        <v>0</v>
      </c>
      <c r="Y57">
        <v>0</v>
      </c>
      <c r="Z57" s="31">
        <v>0</v>
      </c>
      <c r="AA57" s="31">
        <v>0</v>
      </c>
      <c r="AB57" s="1" t="str">
        <f>VLOOKUP(T:T,'4店'!$B:$B,1,0)</f>
        <v>Y4050-WI+Y4051+Y4052</v>
      </c>
      <c r="AC57" t="s">
        <v>1483</v>
      </c>
      <c r="AD57">
        <v>5662</v>
      </c>
      <c r="AE57">
        <v>52</v>
      </c>
      <c r="AF57">
        <v>19.84</v>
      </c>
      <c r="AG57">
        <v>77.94</v>
      </c>
      <c r="AH57">
        <v>6</v>
      </c>
      <c r="AI57" s="31">
        <v>0.254554785732615</v>
      </c>
      <c r="AJ57" s="31">
        <v>0.115384615384615</v>
      </c>
      <c r="AK57" s="1" t="str">
        <f>VLOOKUP(AC:AC,'4店'!$B:$B,1,0)</f>
        <v>Y4053-WI+Y4054+Y4049</v>
      </c>
      <c r="AL57" t="s">
        <v>1498</v>
      </c>
      <c r="AM57" s="102">
        <v>25.98</v>
      </c>
      <c r="AN57" s="1">
        <f t="shared" si="3"/>
        <v>177.963</v>
      </c>
      <c r="AP57" t="s">
        <v>1319</v>
      </c>
      <c r="AQ57" s="102">
        <v>51.96</v>
      </c>
      <c r="AR57" s="1">
        <f t="shared" si="2"/>
        <v>355.926</v>
      </c>
      <c r="AT57" s="43" t="s">
        <v>1420</v>
      </c>
      <c r="AU57" s="44">
        <v>438.4</v>
      </c>
      <c r="AV57" s="35"/>
      <c r="AW57" s="43" t="s">
        <v>1420</v>
      </c>
      <c r="AX57" s="44">
        <v>452.1</v>
      </c>
      <c r="AZ57" s="47" t="s">
        <v>1404</v>
      </c>
      <c r="BA57" s="48">
        <v>3.773</v>
      </c>
      <c r="BB57" s="1" t="s">
        <v>430</v>
      </c>
    </row>
    <row r="58" spans="2:54">
      <c r="B58" t="s">
        <v>1578</v>
      </c>
      <c r="C58">
        <v>9</v>
      </c>
      <c r="D58" s="1" t="str">
        <f>VLOOKUP(B:B,'4店'!$B:$B,1,0)</f>
        <v>Y4081-BL+Y4082+Y4083</v>
      </c>
      <c r="E58" t="s">
        <v>1439</v>
      </c>
      <c r="F58">
        <v>5</v>
      </c>
      <c r="G58" s="1" t="str">
        <f>VLOOKUP(E:E,'4店'!$B:$B,1,0)</f>
        <v>Y4040-GW+Y4043</v>
      </c>
      <c r="H58" t="s">
        <v>1496</v>
      </c>
      <c r="I58">
        <v>44</v>
      </c>
      <c r="J58" s="1" t="str">
        <f>VLOOKUP(H:H,'4店'!$B:$B,1,0)</f>
        <v>Y4023-BL+Y4027+Y4031*1</v>
      </c>
      <c r="K58" t="s">
        <v>1458</v>
      </c>
      <c r="L58">
        <v>123</v>
      </c>
      <c r="M58">
        <v>1</v>
      </c>
      <c r="N58">
        <v>0.35</v>
      </c>
      <c r="O58">
        <v>25.98</v>
      </c>
      <c r="P58">
        <v>2</v>
      </c>
      <c r="Q58" s="31">
        <v>0.0134719014626636</v>
      </c>
      <c r="R58" s="31">
        <v>2</v>
      </c>
      <c r="S58" s="1" t="str">
        <f>VLOOKUP(K:K,'4店'!$B:$B,1,0)</f>
        <v>Y4041-WI+Y4044</v>
      </c>
      <c r="T58" t="s">
        <v>1470</v>
      </c>
      <c r="U58">
        <v>6819</v>
      </c>
      <c r="V58">
        <v>113</v>
      </c>
      <c r="W58">
        <v>50.07</v>
      </c>
      <c r="X58">
        <v>168.87</v>
      </c>
      <c r="Y58">
        <v>13</v>
      </c>
      <c r="Z58" s="31">
        <v>0.296500266477172</v>
      </c>
      <c r="AA58" s="31">
        <v>0.115044247787611</v>
      </c>
      <c r="AB58" s="1" t="str">
        <f>VLOOKUP(T:T,'4店'!$B:$B,1,0)</f>
        <v>Y4050-OR+Y4051+Y4052</v>
      </c>
      <c r="AC58" t="s">
        <v>1462</v>
      </c>
      <c r="AD58">
        <v>2887</v>
      </c>
      <c r="AE58">
        <v>21</v>
      </c>
      <c r="AF58">
        <v>8.55</v>
      </c>
      <c r="AG58">
        <v>88.93</v>
      </c>
      <c r="AH58">
        <v>4</v>
      </c>
      <c r="AI58" s="31">
        <v>0.0961430338468458</v>
      </c>
      <c r="AJ58" s="31">
        <v>0.19047619047619</v>
      </c>
      <c r="AK58" s="1" t="str">
        <f>VLOOKUP(AC:AC,'4店'!$B:$B,1,0)</f>
        <v>Y4050-BL+Y4051+Y4052</v>
      </c>
      <c r="AL58" t="s">
        <v>1531</v>
      </c>
      <c r="AM58" s="102">
        <v>25.98</v>
      </c>
      <c r="AN58" s="1">
        <f t="shared" si="3"/>
        <v>177.963</v>
      </c>
      <c r="AP58" t="s">
        <v>1372</v>
      </c>
      <c r="AQ58" s="102">
        <v>51.96</v>
      </c>
      <c r="AR58" s="1">
        <f t="shared" si="2"/>
        <v>355.926</v>
      </c>
      <c r="AT58" s="43" t="s">
        <v>1423</v>
      </c>
      <c r="AU58" s="44">
        <v>1150.8</v>
      </c>
      <c r="AV58" s="35"/>
      <c r="AW58" s="43" t="s">
        <v>1423</v>
      </c>
      <c r="AX58" s="44">
        <v>780.9</v>
      </c>
      <c r="AZ58" s="47" t="s">
        <v>1564</v>
      </c>
      <c r="BA58" s="48">
        <v>4.538</v>
      </c>
      <c r="BB58" s="1" t="s">
        <v>430</v>
      </c>
    </row>
    <row r="59" spans="2:54">
      <c r="B59" t="s">
        <v>1586</v>
      </c>
      <c r="C59">
        <v>4</v>
      </c>
      <c r="D59" s="1" t="str">
        <f>VLOOKUP(B:B,'4店'!$B:$B,1,0)</f>
        <v>Y4081-OR+Y4082+Y4083</v>
      </c>
      <c r="E59" t="s">
        <v>1509</v>
      </c>
      <c r="F59">
        <v>9</v>
      </c>
      <c r="G59" s="1" t="str">
        <f>VLOOKUP(E:E,'4店'!$B:$B,1,0)</f>
        <v>Y4058-BL+Y4059+Y4060</v>
      </c>
      <c r="H59" t="s">
        <v>1483</v>
      </c>
      <c r="I59">
        <v>9</v>
      </c>
      <c r="J59" s="1" t="str">
        <f>VLOOKUP(H:H,'4店'!$B:$B,1,0)</f>
        <v>Y4053-WI+Y4054+Y4049</v>
      </c>
      <c r="K59" t="s">
        <v>1428</v>
      </c>
      <c r="L59">
        <v>6</v>
      </c>
      <c r="M59">
        <v>0</v>
      </c>
      <c r="N59">
        <v>0</v>
      </c>
      <c r="O59">
        <v>0</v>
      </c>
      <c r="P59">
        <v>0</v>
      </c>
      <c r="Q59" s="31">
        <v>0</v>
      </c>
      <c r="R59" s="31">
        <v>0</v>
      </c>
      <c r="S59" s="1" t="str">
        <f>VLOOKUP(K:K,'4店'!$B:$B,1,0)</f>
        <v>Y4038-DB</v>
      </c>
      <c r="T59" t="s">
        <v>1465</v>
      </c>
      <c r="U59">
        <v>513</v>
      </c>
      <c r="V59">
        <v>9</v>
      </c>
      <c r="W59">
        <v>3.26</v>
      </c>
      <c r="X59">
        <v>0</v>
      </c>
      <c r="Y59">
        <v>0</v>
      </c>
      <c r="Z59" s="31">
        <v>0</v>
      </c>
      <c r="AA59" s="31">
        <v>0</v>
      </c>
      <c r="AB59" s="1" t="str">
        <f>VLOOKUP(T:T,'4店'!$B:$B,1,0)</f>
        <v>Y4050-DB+Y4051+Y4052</v>
      </c>
      <c r="AC59" t="s">
        <v>1472</v>
      </c>
      <c r="AD59">
        <v>459</v>
      </c>
      <c r="AE59">
        <v>10</v>
      </c>
      <c r="AF59">
        <v>3.3</v>
      </c>
      <c r="AG59">
        <v>0</v>
      </c>
      <c r="AH59">
        <v>0</v>
      </c>
      <c r="AI59" s="31">
        <v>0</v>
      </c>
      <c r="AJ59" s="31">
        <v>0</v>
      </c>
      <c r="AK59" s="1" t="str">
        <f>VLOOKUP(AC:AC,'4店'!$B:$B,1,0)</f>
        <v>Y4050-WI+Y4051+Y4052</v>
      </c>
      <c r="AL59" t="s">
        <v>1602</v>
      </c>
      <c r="AM59" s="102">
        <v>25.98</v>
      </c>
      <c r="AN59" s="1">
        <f t="shared" si="3"/>
        <v>177.963</v>
      </c>
      <c r="AP59" t="s">
        <v>1483</v>
      </c>
      <c r="AQ59" s="102">
        <v>51.96</v>
      </c>
      <c r="AR59" s="1">
        <f t="shared" si="2"/>
        <v>355.926</v>
      </c>
      <c r="AT59" s="43" t="s">
        <v>1425</v>
      </c>
      <c r="AU59" s="44">
        <v>315.1</v>
      </c>
      <c r="AV59" s="35"/>
      <c r="AW59" s="43" t="s">
        <v>1425</v>
      </c>
      <c r="AX59" s="44">
        <v>465.8</v>
      </c>
      <c r="AZ59" s="47" t="s">
        <v>1428</v>
      </c>
      <c r="BA59" s="48">
        <v>4.538</v>
      </c>
      <c r="BB59" s="1" t="s">
        <v>430</v>
      </c>
    </row>
    <row r="60" spans="2:54">
      <c r="B60" t="s">
        <v>1330</v>
      </c>
      <c r="C60">
        <v>5</v>
      </c>
      <c r="D60" s="1" t="str">
        <f>VLOOKUP(B:B,'4店'!$B:$B,1,0)</f>
        <v>Y4013-GW+Y4016+Y4019</v>
      </c>
      <c r="E60" t="s">
        <v>1514</v>
      </c>
      <c r="F60">
        <v>2</v>
      </c>
      <c r="G60" s="1" t="str">
        <f>VLOOKUP(E:E,'4店'!$B:$B,1,0)</f>
        <v>Y4058-GW+Y4059+Y4060</v>
      </c>
      <c r="H60" t="s">
        <v>1485</v>
      </c>
      <c r="I60">
        <v>5</v>
      </c>
      <c r="J60" s="1" t="str">
        <f>VLOOKUP(H:H,'4店'!$B:$B,1,0)</f>
        <v>Y4063-BL+Y4064+Y4065</v>
      </c>
      <c r="K60" t="s">
        <v>1472</v>
      </c>
      <c r="L60">
        <v>126</v>
      </c>
      <c r="M60">
        <v>4</v>
      </c>
      <c r="N60">
        <v>1.44</v>
      </c>
      <c r="O60">
        <v>0</v>
      </c>
      <c r="P60">
        <v>0</v>
      </c>
      <c r="Q60" s="31">
        <v>0</v>
      </c>
      <c r="R60" s="31">
        <v>0</v>
      </c>
      <c r="S60" s="1" t="str">
        <f>VLOOKUP(K:K,'4店'!$B:$B,1,0)</f>
        <v>Y4050-WI+Y4051+Y4052</v>
      </c>
      <c r="T60" t="s">
        <v>1458</v>
      </c>
      <c r="U60">
        <v>256</v>
      </c>
      <c r="V60">
        <v>3</v>
      </c>
      <c r="W60">
        <v>1.15</v>
      </c>
      <c r="X60">
        <v>25.98</v>
      </c>
      <c r="Y60">
        <v>2</v>
      </c>
      <c r="Z60" s="31">
        <v>0.0442648190916089</v>
      </c>
      <c r="AA60" s="31">
        <v>0.666666666666667</v>
      </c>
      <c r="AB60" s="1" t="str">
        <f>VLOOKUP(T:T,'4店'!$B:$B,1,0)</f>
        <v>Y4041-WI+Y4044</v>
      </c>
      <c r="AC60" t="s">
        <v>1470</v>
      </c>
      <c r="AD60">
        <v>11361</v>
      </c>
      <c r="AE60">
        <v>190</v>
      </c>
      <c r="AF60">
        <v>82.66</v>
      </c>
      <c r="AG60">
        <v>272.68</v>
      </c>
      <c r="AH60">
        <v>21</v>
      </c>
      <c r="AI60" s="31">
        <v>0.303139210796538</v>
      </c>
      <c r="AJ60" s="31">
        <v>0.110526315789474</v>
      </c>
      <c r="AK60" s="1" t="str">
        <f>VLOOKUP(AC:AC,'4店'!$B:$B,1,0)</f>
        <v>Y4050-OR+Y4051+Y4052</v>
      </c>
      <c r="AL60" t="s">
        <v>1608</v>
      </c>
      <c r="AM60" s="102">
        <v>25.98</v>
      </c>
      <c r="AN60" s="1">
        <f t="shared" si="3"/>
        <v>177.963</v>
      </c>
      <c r="AP60" t="s">
        <v>1531</v>
      </c>
      <c r="AQ60" s="102">
        <v>51.96</v>
      </c>
      <c r="AR60" s="1">
        <f t="shared" si="2"/>
        <v>355.926</v>
      </c>
      <c r="AT60" s="43" t="s">
        <v>1428</v>
      </c>
      <c r="AU60" s="44">
        <v>11</v>
      </c>
      <c r="AV60" s="35"/>
      <c r="AW60" s="43" t="s">
        <v>1564</v>
      </c>
      <c r="AX60" s="44">
        <v>242</v>
      </c>
      <c r="AZ60" s="47" t="s">
        <v>1378</v>
      </c>
      <c r="BA60" s="48">
        <v>4.134</v>
      </c>
      <c r="BB60" s="1" t="s">
        <v>430</v>
      </c>
    </row>
    <row r="61" spans="2:54">
      <c r="B61" t="s">
        <v>1509</v>
      </c>
      <c r="C61">
        <v>3</v>
      </c>
      <c r="D61" s="1" t="str">
        <f>VLOOKUP(B:B,'4店'!$B:$B,1,0)</f>
        <v>Y4058-BL+Y4059+Y4060</v>
      </c>
      <c r="E61" t="s">
        <v>1483</v>
      </c>
      <c r="F61">
        <v>4</v>
      </c>
      <c r="G61" s="1" t="str">
        <f>VLOOKUP(E:E,'4店'!$B:$B,1,0)</f>
        <v>Y4053-WI+Y4054+Y4049</v>
      </c>
      <c r="H61" t="s">
        <v>1404</v>
      </c>
      <c r="I61">
        <v>1</v>
      </c>
      <c r="J61" s="1" t="str">
        <f>VLOOKUP(H:H,'4店'!$B:$B,1,0)</f>
        <v>Y4037-BL</v>
      </c>
      <c r="K61" t="s">
        <v>1485</v>
      </c>
      <c r="L61">
        <v>646</v>
      </c>
      <c r="M61">
        <v>3</v>
      </c>
      <c r="N61">
        <v>0.96</v>
      </c>
      <c r="O61">
        <v>0</v>
      </c>
      <c r="P61">
        <v>0</v>
      </c>
      <c r="Q61" s="31">
        <v>0</v>
      </c>
      <c r="R61" s="31">
        <v>0</v>
      </c>
      <c r="S61" s="1" t="str">
        <f>VLOOKUP(K:K,'4店'!$B:$B,1,0)</f>
        <v>Y4063-BL+Y4064+Y4065</v>
      </c>
      <c r="T61" t="s">
        <v>1485</v>
      </c>
      <c r="U61">
        <v>1304</v>
      </c>
      <c r="V61">
        <v>7</v>
      </c>
      <c r="W61">
        <v>2.65</v>
      </c>
      <c r="X61">
        <v>0</v>
      </c>
      <c r="Y61">
        <v>0</v>
      </c>
      <c r="Z61" s="31">
        <v>0</v>
      </c>
      <c r="AA61" s="31">
        <v>0</v>
      </c>
      <c r="AB61" s="1" t="str">
        <f>VLOOKUP(T:T,'4店'!$B:$B,1,0)</f>
        <v>Y4063-BL+Y4064+Y4065</v>
      </c>
      <c r="AC61" t="s">
        <v>1465</v>
      </c>
      <c r="AD61">
        <v>954</v>
      </c>
      <c r="AE61">
        <v>14</v>
      </c>
      <c r="AF61">
        <v>4.98</v>
      </c>
      <c r="AG61">
        <v>0</v>
      </c>
      <c r="AH61">
        <v>0</v>
      </c>
      <c r="AI61" s="31">
        <v>0</v>
      </c>
      <c r="AJ61" s="31">
        <v>0</v>
      </c>
      <c r="AK61" s="1" t="str">
        <f>VLOOKUP(AC:AC,'4店'!$B:$B,1,0)</f>
        <v>Y4050-DB+Y4051+Y4052</v>
      </c>
      <c r="AL61" t="s">
        <v>1605</v>
      </c>
      <c r="AM61" s="102">
        <v>25.98</v>
      </c>
      <c r="AN61" s="1">
        <f t="shared" si="3"/>
        <v>177.963</v>
      </c>
      <c r="AP61" t="s">
        <v>1551</v>
      </c>
      <c r="AQ61" s="102">
        <v>51.96</v>
      </c>
      <c r="AR61" s="1">
        <f t="shared" si="2"/>
        <v>355.926</v>
      </c>
      <c r="AT61" s="45" t="s">
        <v>1434</v>
      </c>
      <c r="AU61" s="44">
        <v>385</v>
      </c>
      <c r="AV61" s="35"/>
      <c r="AW61" s="43" t="s">
        <v>1428</v>
      </c>
      <c r="AX61" s="44">
        <v>220</v>
      </c>
      <c r="AZ61" s="47" t="s">
        <v>1381</v>
      </c>
      <c r="BA61" s="48">
        <v>4.744</v>
      </c>
      <c r="BB61" s="1" t="s">
        <v>430</v>
      </c>
    </row>
    <row r="62" spans="2:54">
      <c r="B62" t="s">
        <v>1584</v>
      </c>
      <c r="C62">
        <v>1</v>
      </c>
      <c r="D62" s="1" t="str">
        <f>VLOOKUP(B:B,'4店'!$B:$B,1,0)</f>
        <v>Y4081-GW+Y4082+Y4083</v>
      </c>
      <c r="E62" t="s">
        <v>1492</v>
      </c>
      <c r="F62">
        <v>2</v>
      </c>
      <c r="G62" s="1" t="str">
        <f>VLOOKUP(E:E,'4店'!$B:$B,1,0)</f>
        <v>Y4063-OR+Y4064+Y4065</v>
      </c>
      <c r="H62" t="s">
        <v>1385</v>
      </c>
      <c r="I62">
        <v>1</v>
      </c>
      <c r="J62" s="1" t="str">
        <f>VLOOKUP(H:H,'4店'!$B:$B,1,0)</f>
        <v>Y4039-WB+Y4042+Y4045</v>
      </c>
      <c r="K62" t="s">
        <v>1492</v>
      </c>
      <c r="L62">
        <v>2120</v>
      </c>
      <c r="M62">
        <v>19</v>
      </c>
      <c r="N62">
        <v>7.56</v>
      </c>
      <c r="O62">
        <v>0</v>
      </c>
      <c r="P62">
        <v>0</v>
      </c>
      <c r="Q62" s="31">
        <v>0</v>
      </c>
      <c r="R62" s="31">
        <v>0</v>
      </c>
      <c r="S62" s="1" t="str">
        <f>VLOOKUP(K:K,'4店'!$B:$B,1,0)</f>
        <v>Y4063-OR+Y4064+Y4065</v>
      </c>
      <c r="T62" t="s">
        <v>1492</v>
      </c>
      <c r="U62">
        <v>3760</v>
      </c>
      <c r="V62">
        <v>43</v>
      </c>
      <c r="W62">
        <v>16.92</v>
      </c>
      <c r="X62">
        <v>12.99</v>
      </c>
      <c r="Y62">
        <v>1</v>
      </c>
      <c r="Z62" s="31">
        <v>1.30254041570439</v>
      </c>
      <c r="AA62" s="31">
        <v>0.0232558139534884</v>
      </c>
      <c r="AB62" s="1" t="str">
        <f>VLOOKUP(T:T,'4店'!$B:$B,1,0)</f>
        <v>Y4063-OR+Y4064+Y4065</v>
      </c>
      <c r="AC62" t="s">
        <v>1458</v>
      </c>
      <c r="AD62">
        <v>589</v>
      </c>
      <c r="AE62">
        <v>7</v>
      </c>
      <c r="AF62">
        <v>2.51</v>
      </c>
      <c r="AG62">
        <v>25.98</v>
      </c>
      <c r="AH62">
        <v>2</v>
      </c>
      <c r="AI62" s="31">
        <v>0.096612779060816</v>
      </c>
      <c r="AJ62" s="31">
        <v>0.285714285714286</v>
      </c>
      <c r="AK62" s="1" t="str">
        <f>VLOOKUP(AC:AC,'4店'!$B:$B,1,0)</f>
        <v>Y4041-WI+Y4044</v>
      </c>
      <c r="AL62" t="s">
        <v>1334</v>
      </c>
      <c r="AM62" s="102">
        <v>12.99</v>
      </c>
      <c r="AN62" s="1">
        <f t="shared" si="3"/>
        <v>88.9815</v>
      </c>
      <c r="AP62" t="s">
        <v>1562</v>
      </c>
      <c r="AQ62" s="102">
        <v>49.96</v>
      </c>
      <c r="AR62" s="1">
        <f t="shared" si="2"/>
        <v>342.226</v>
      </c>
      <c r="AT62" s="45" t="s">
        <v>1437</v>
      </c>
      <c r="AU62" s="44">
        <v>352</v>
      </c>
      <c r="AV62" s="35"/>
      <c r="AW62" s="43" t="s">
        <v>1432</v>
      </c>
      <c r="AX62" s="44">
        <v>198</v>
      </c>
      <c r="AZ62" s="47" t="s">
        <v>1383</v>
      </c>
      <c r="BA62" s="48">
        <v>4.169</v>
      </c>
      <c r="BB62" s="1" t="s">
        <v>430</v>
      </c>
    </row>
    <row r="63" spans="2:54">
      <c r="B63" t="s">
        <v>1602</v>
      </c>
      <c r="C63">
        <v>2</v>
      </c>
      <c r="D63" s="1" t="str">
        <f>VLOOKUP(B:B,'4店'!$B:$B,1,0)</f>
        <v>Y4075-BL+Y4076+Y4077</v>
      </c>
      <c r="E63" t="s">
        <v>1529</v>
      </c>
      <c r="F63">
        <v>9</v>
      </c>
      <c r="G63" s="1" t="str">
        <f>VLOOKUP(E:E,'4店'!$B:$B,1,0)</f>
        <v>Y4061-WI+Y4062</v>
      </c>
      <c r="H63" t="s">
        <v>1387</v>
      </c>
      <c r="I63">
        <v>5</v>
      </c>
      <c r="J63" s="1" t="str">
        <f>VLOOKUP(H:H,'4店'!$B:$B,1,0)</f>
        <v>Y4032-DB</v>
      </c>
      <c r="K63" t="s">
        <v>1395</v>
      </c>
      <c r="L63">
        <v>204</v>
      </c>
      <c r="M63">
        <v>3</v>
      </c>
      <c r="N63">
        <v>0.54</v>
      </c>
      <c r="O63">
        <v>0</v>
      </c>
      <c r="P63">
        <v>0</v>
      </c>
      <c r="Q63" s="31">
        <v>0</v>
      </c>
      <c r="R63" s="31">
        <v>0</v>
      </c>
      <c r="S63" s="1" t="str">
        <f>VLOOKUP(K:K,'4店'!$B:$B,1,0)</f>
        <v>Y4033-OR</v>
      </c>
      <c r="T63" t="s">
        <v>1395</v>
      </c>
      <c r="U63">
        <v>346</v>
      </c>
      <c r="V63">
        <v>6</v>
      </c>
      <c r="W63">
        <v>1.09</v>
      </c>
      <c r="X63">
        <v>0</v>
      </c>
      <c r="Y63">
        <v>0</v>
      </c>
      <c r="Z63" s="31">
        <v>0</v>
      </c>
      <c r="AA63" s="31">
        <v>0</v>
      </c>
      <c r="AB63" s="1" t="str">
        <f>VLOOKUP(T:T,'4店'!$B:$B,1,0)</f>
        <v>Y4033-OR</v>
      </c>
      <c r="AC63" t="s">
        <v>1485</v>
      </c>
      <c r="AD63">
        <v>2551</v>
      </c>
      <c r="AE63">
        <v>12</v>
      </c>
      <c r="AF63">
        <v>4.59</v>
      </c>
      <c r="AG63">
        <v>12.99</v>
      </c>
      <c r="AH63">
        <v>1</v>
      </c>
      <c r="AI63" s="31">
        <v>0.353348729792148</v>
      </c>
      <c r="AJ63" s="31">
        <v>0.0833333333333333</v>
      </c>
      <c r="AK63" s="1" t="str">
        <f>VLOOKUP(AC:AC,'4店'!$B:$B,1,0)</f>
        <v>Y4063-BL+Y4064+Y4065</v>
      </c>
      <c r="AL63" t="s">
        <v>1319</v>
      </c>
      <c r="AM63" s="102">
        <v>12.99</v>
      </c>
      <c r="AN63" s="1">
        <f t="shared" si="3"/>
        <v>88.9815</v>
      </c>
      <c r="AP63" t="s">
        <v>1584</v>
      </c>
      <c r="AQ63" s="102">
        <v>47.96</v>
      </c>
      <c r="AR63" s="1">
        <f t="shared" si="2"/>
        <v>328.526</v>
      </c>
      <c r="AT63" s="45" t="s">
        <v>1439</v>
      </c>
      <c r="AU63" s="44">
        <v>638</v>
      </c>
      <c r="AV63" s="35"/>
      <c r="AW63" s="43" t="s">
        <v>1434</v>
      </c>
      <c r="AX63" s="44">
        <v>715</v>
      </c>
      <c r="AZ63" s="47" t="s">
        <v>1385</v>
      </c>
      <c r="BA63" s="48">
        <v>5.164</v>
      </c>
      <c r="BB63" s="1" t="s">
        <v>430</v>
      </c>
    </row>
    <row r="64" spans="2:54">
      <c r="B64" t="s">
        <v>1321</v>
      </c>
      <c r="C64">
        <v>4</v>
      </c>
      <c r="D64" s="1" t="str">
        <f>VLOOKUP(B:B,'4店'!$B:$B,1,0)</f>
        <v>Y4012-DB+Y4015+Y4018</v>
      </c>
      <c r="E64" t="s">
        <v>1527</v>
      </c>
      <c r="F64">
        <v>2</v>
      </c>
      <c r="G64" s="1" t="str">
        <f>VLOOKUP(E:E,'4店'!$B:$B,1,0)</f>
        <v>Y4061-OR+Y4062</v>
      </c>
      <c r="H64" t="s">
        <v>1490</v>
      </c>
      <c r="I64">
        <v>2</v>
      </c>
      <c r="J64" s="1" t="str">
        <f>VLOOKUP(H:H,'4店'!$B:$B,1,0)</f>
        <v>Y4063-GW+Y4064+Y4065</v>
      </c>
      <c r="K64" t="s">
        <v>1416</v>
      </c>
      <c r="L64">
        <v>466</v>
      </c>
      <c r="M64">
        <v>12</v>
      </c>
      <c r="N64">
        <v>4.06</v>
      </c>
      <c r="O64">
        <v>12.99</v>
      </c>
      <c r="P64">
        <v>1</v>
      </c>
      <c r="Q64" s="31">
        <v>0.312548113933795</v>
      </c>
      <c r="R64" s="31">
        <v>0.0833333333333333</v>
      </c>
      <c r="S64" s="1" t="str">
        <f>VLOOKUP(K:K,'4店'!$B:$B,1,0)</f>
        <v>Y4036-OR</v>
      </c>
      <c r="T64" t="s">
        <v>1416</v>
      </c>
      <c r="U64">
        <v>825</v>
      </c>
      <c r="V64">
        <v>30</v>
      </c>
      <c r="W64">
        <v>10.48</v>
      </c>
      <c r="X64">
        <v>12.99</v>
      </c>
      <c r="Y64">
        <v>1</v>
      </c>
      <c r="Z64" s="31">
        <v>0.806774441878368</v>
      </c>
      <c r="AA64" s="31">
        <v>0.0333333333333333</v>
      </c>
      <c r="AB64" s="1" t="str">
        <f>VLOOKUP(T:T,'4店'!$B:$B,1,0)</f>
        <v>Y4036-OR</v>
      </c>
      <c r="AC64" t="s">
        <v>1492</v>
      </c>
      <c r="AD64">
        <v>8501</v>
      </c>
      <c r="AE64">
        <v>90</v>
      </c>
      <c r="AF64">
        <v>35.61</v>
      </c>
      <c r="AG64">
        <v>25.98</v>
      </c>
      <c r="AH64">
        <v>2</v>
      </c>
      <c r="AI64" s="31">
        <v>1.37066974595843</v>
      </c>
      <c r="AJ64" s="31">
        <v>0.0222222222222222</v>
      </c>
      <c r="AK64" s="1" t="str">
        <f>VLOOKUP(AC:AC,'4店'!$B:$B,1,0)</f>
        <v>Y4063-OR+Y4064+Y4065</v>
      </c>
      <c r="AL64" t="s">
        <v>1350</v>
      </c>
      <c r="AM64" s="102">
        <v>12.99</v>
      </c>
      <c r="AN64" s="1">
        <f t="shared" si="3"/>
        <v>88.9815</v>
      </c>
      <c r="AP64" t="s">
        <v>1323</v>
      </c>
      <c r="AQ64" s="102">
        <v>38.97</v>
      </c>
      <c r="AR64" s="1">
        <f t="shared" si="2"/>
        <v>266.9445</v>
      </c>
      <c r="AT64" s="45" t="s">
        <v>1442</v>
      </c>
      <c r="AU64" s="44">
        <v>891</v>
      </c>
      <c r="AV64" s="35"/>
      <c r="AW64" s="43" t="s">
        <v>1437</v>
      </c>
      <c r="AX64" s="44">
        <v>473</v>
      </c>
      <c r="AZ64" s="47" t="s">
        <v>1439</v>
      </c>
      <c r="BA64" s="48">
        <v>4.267</v>
      </c>
      <c r="BB64" s="1" t="s">
        <v>430</v>
      </c>
    </row>
    <row r="65" spans="2:54">
      <c r="B65" t="s">
        <v>1558</v>
      </c>
      <c r="C65">
        <v>1</v>
      </c>
      <c r="D65" s="1" t="str">
        <f>VLOOKUP(B:B,'4店'!$B:$B,1,0)</f>
        <v>Y4072-WI+Y4073+Y4074</v>
      </c>
      <c r="E65" t="s">
        <v>1468</v>
      </c>
      <c r="F65">
        <v>3</v>
      </c>
      <c r="G65" s="1" t="str">
        <f>VLOOKUP(E:E,'4店'!$B:$B,1,0)</f>
        <v>Y4050-GW+Y4051+Y4052</v>
      </c>
      <c r="H65" t="s">
        <v>1303</v>
      </c>
      <c r="I65">
        <v>53</v>
      </c>
      <c r="J65" s="1" t="str">
        <f>VLOOKUP(H:H,'4店'!$B:$B,1,0)</f>
        <v>Y4011-BL+Y4014+Y4017</v>
      </c>
      <c r="K65" t="s">
        <v>1520</v>
      </c>
      <c r="L65">
        <v>980</v>
      </c>
      <c r="M65">
        <v>12</v>
      </c>
      <c r="N65">
        <v>4.08</v>
      </c>
      <c r="O65">
        <v>0</v>
      </c>
      <c r="P65">
        <v>0</v>
      </c>
      <c r="Q65" s="31">
        <v>0</v>
      </c>
      <c r="R65" s="31">
        <v>0</v>
      </c>
      <c r="S65" s="1" t="str">
        <f>VLOOKUP(K:K,'4店'!$B:$B,1,0)</f>
        <v>Y4061-BL+Y4062</v>
      </c>
      <c r="T65" t="s">
        <v>1520</v>
      </c>
      <c r="U65">
        <v>1398</v>
      </c>
      <c r="V65">
        <v>19</v>
      </c>
      <c r="W65">
        <v>6.11</v>
      </c>
      <c r="X65">
        <v>0</v>
      </c>
      <c r="Y65">
        <v>0</v>
      </c>
      <c r="Z65" s="31">
        <v>0</v>
      </c>
      <c r="AA65" s="31">
        <v>0</v>
      </c>
      <c r="AB65" s="1" t="str">
        <f>VLOOKUP(T:T,'4店'!$B:$B,1,0)</f>
        <v>Y4061-BL+Y4062</v>
      </c>
      <c r="AC65" t="s">
        <v>1395</v>
      </c>
      <c r="AD65">
        <v>899</v>
      </c>
      <c r="AE65">
        <v>13</v>
      </c>
      <c r="AF65">
        <v>2.22</v>
      </c>
      <c r="AG65">
        <v>12.99</v>
      </c>
      <c r="AH65">
        <v>1</v>
      </c>
      <c r="AI65" s="31">
        <v>0.170900692840647</v>
      </c>
      <c r="AJ65" s="31">
        <v>0.0769230769230769</v>
      </c>
      <c r="AK65" s="1" t="str">
        <f>VLOOKUP(AC:AC,'4店'!$B:$B,1,0)</f>
        <v>Y4033-OR</v>
      </c>
      <c r="AL65" t="s">
        <v>1397</v>
      </c>
      <c r="AM65" s="102">
        <v>12.99</v>
      </c>
      <c r="AN65" s="1">
        <f t="shared" si="3"/>
        <v>88.9815</v>
      </c>
      <c r="AP65" t="s">
        <v>1341</v>
      </c>
      <c r="AQ65" s="102">
        <v>38.97</v>
      </c>
      <c r="AR65" s="1">
        <f t="shared" si="2"/>
        <v>266.9445</v>
      </c>
      <c r="AT65" s="45" t="s">
        <v>1444</v>
      </c>
      <c r="AU65" s="44">
        <v>198</v>
      </c>
      <c r="AV65" s="35"/>
      <c r="AW65" s="43" t="s">
        <v>1439</v>
      </c>
      <c r="AX65" s="44">
        <v>11</v>
      </c>
      <c r="AZ65" s="47" t="s">
        <v>1446</v>
      </c>
      <c r="BA65" s="48">
        <v>5.544</v>
      </c>
      <c r="BB65" s="1" t="s">
        <v>430</v>
      </c>
    </row>
    <row r="66" spans="2:54">
      <c r="B66" t="s">
        <v>1571</v>
      </c>
      <c r="C66">
        <v>3</v>
      </c>
      <c r="D66" s="1" t="str">
        <f>VLOOKUP(B:B,'4店'!$B:$B,1,0)</f>
        <v>Y4084-GW+Y4085+Y4086</v>
      </c>
      <c r="E66" t="s">
        <v>1323</v>
      </c>
      <c r="F66">
        <v>3</v>
      </c>
      <c r="G66" s="1" t="str">
        <f>VLOOKUP(E:E,'4店'!$B:$B,1,0)</f>
        <v>Y4012-PB+Y4015+Y4018</v>
      </c>
      <c r="H66" t="s">
        <v>1523</v>
      </c>
      <c r="I66">
        <v>3</v>
      </c>
      <c r="J66" s="1" t="str">
        <f>VLOOKUP(H:H,'4店'!$B:$B,1,0)</f>
        <v>Y4061-DB+Y4062</v>
      </c>
      <c r="K66" t="s">
        <v>1525</v>
      </c>
      <c r="L66">
        <v>200</v>
      </c>
      <c r="M66">
        <v>5</v>
      </c>
      <c r="N66">
        <v>1.25</v>
      </c>
      <c r="O66">
        <v>12.99</v>
      </c>
      <c r="P66">
        <v>1</v>
      </c>
      <c r="Q66" s="31">
        <v>0.0962278675904542</v>
      </c>
      <c r="R66" s="31">
        <v>0.2</v>
      </c>
      <c r="S66" s="1" t="str">
        <f>VLOOKUP(K:K,'4店'!$B:$B,1,0)</f>
        <v>Y4061-GW+Y4062</v>
      </c>
      <c r="T66" t="s">
        <v>1525</v>
      </c>
      <c r="U66">
        <v>420</v>
      </c>
      <c r="V66">
        <v>9</v>
      </c>
      <c r="W66">
        <v>2.13</v>
      </c>
      <c r="X66">
        <v>12.99</v>
      </c>
      <c r="Y66">
        <v>1</v>
      </c>
      <c r="Z66" s="31">
        <v>0.163972286374134</v>
      </c>
      <c r="AA66" s="31">
        <v>0.111111111111111</v>
      </c>
      <c r="AB66" s="1" t="str">
        <f>VLOOKUP(T:T,'4店'!$B:$B,1,0)</f>
        <v>Y4061-GW+Y4062</v>
      </c>
      <c r="AC66" t="s">
        <v>1520</v>
      </c>
      <c r="AD66">
        <v>4190</v>
      </c>
      <c r="AE66">
        <v>31</v>
      </c>
      <c r="AF66">
        <v>9.78</v>
      </c>
      <c r="AG66">
        <v>38.97</v>
      </c>
      <c r="AH66">
        <v>3</v>
      </c>
      <c r="AI66" s="31">
        <v>0.250962278675905</v>
      </c>
      <c r="AJ66" s="31">
        <v>0.0967741935483871</v>
      </c>
      <c r="AK66" s="1" t="str">
        <f>VLOOKUP(AC:AC,'4店'!$B:$B,1,0)</f>
        <v>Y4061-BL+Y4062</v>
      </c>
      <c r="AL66" t="s">
        <v>1416</v>
      </c>
      <c r="AM66" s="102">
        <v>12.99</v>
      </c>
      <c r="AN66" s="1">
        <f t="shared" si="3"/>
        <v>88.9815</v>
      </c>
      <c r="AP66" t="s">
        <v>1354</v>
      </c>
      <c r="AQ66" s="102">
        <v>51.96</v>
      </c>
      <c r="AR66" s="1">
        <f t="shared" si="2"/>
        <v>355.926</v>
      </c>
      <c r="AT66" s="45" t="s">
        <v>1446</v>
      </c>
      <c r="AU66" s="44">
        <v>319</v>
      </c>
      <c r="AV66" s="35"/>
      <c r="AW66" s="43" t="s">
        <v>1442</v>
      </c>
      <c r="AX66" s="44">
        <v>506</v>
      </c>
      <c r="AZ66" s="47" t="s">
        <v>1434</v>
      </c>
      <c r="BA66" s="48">
        <v>4.26</v>
      </c>
      <c r="BB66" s="1" t="s">
        <v>430</v>
      </c>
    </row>
    <row r="67" spans="2:54">
      <c r="B67" t="s">
        <v>1612</v>
      </c>
      <c r="C67">
        <v>1</v>
      </c>
      <c r="D67" s="1" t="str">
        <f>VLOOKUP(B:B,'4店'!$B:$B,1,0)</f>
        <v>Y4075-WI+Y4076+Y4077</v>
      </c>
      <c r="E67" t="s">
        <v>1549</v>
      </c>
      <c r="F67">
        <v>3</v>
      </c>
      <c r="G67" s="1" t="str">
        <f>VLOOKUP(E:E,'4店'!$B:$B,1,0)</f>
        <v>Y4069-OR+Y4070+Y4071</v>
      </c>
      <c r="H67" t="s">
        <v>1507</v>
      </c>
      <c r="I67">
        <v>1</v>
      </c>
      <c r="J67" s="1" t="str">
        <f>VLOOKUP(H:H,'4店'!$B:$B,1,0)</f>
        <v>Y4055-WI+Y4056+Y4057</v>
      </c>
      <c r="K67" t="s">
        <v>1529</v>
      </c>
      <c r="L67">
        <v>868</v>
      </c>
      <c r="M67">
        <v>25</v>
      </c>
      <c r="N67">
        <v>7.39</v>
      </c>
      <c r="O67">
        <v>38.97</v>
      </c>
      <c r="P67">
        <v>3</v>
      </c>
      <c r="Q67" s="31">
        <v>0.189633051064922</v>
      </c>
      <c r="R67" s="31">
        <v>0.12</v>
      </c>
      <c r="S67" s="1" t="str">
        <f>VLOOKUP(K:K,'4店'!$B:$B,1,0)</f>
        <v>Y4061-WI+Y4062</v>
      </c>
      <c r="T67" t="s">
        <v>1529</v>
      </c>
      <c r="U67">
        <v>1347</v>
      </c>
      <c r="V67">
        <v>42</v>
      </c>
      <c r="W67">
        <v>12.57</v>
      </c>
      <c r="X67">
        <v>62.95</v>
      </c>
      <c r="Y67">
        <v>5</v>
      </c>
      <c r="Z67" s="31">
        <v>0.199682287529786</v>
      </c>
      <c r="AA67" s="31">
        <v>0.119047619047619</v>
      </c>
      <c r="AB67" s="1" t="str">
        <f>VLOOKUP(T:T,'4店'!$B:$B,1,0)</f>
        <v>Y4061-WI+Y4062</v>
      </c>
      <c r="AC67" t="s">
        <v>1525</v>
      </c>
      <c r="AD67">
        <v>784</v>
      </c>
      <c r="AE67">
        <v>16</v>
      </c>
      <c r="AF67">
        <v>3.98</v>
      </c>
      <c r="AG67">
        <v>12.99</v>
      </c>
      <c r="AH67">
        <v>1</v>
      </c>
      <c r="AI67" s="31">
        <v>0.306389530408006</v>
      </c>
      <c r="AJ67" s="31">
        <v>0.0625</v>
      </c>
      <c r="AK67" s="1" t="str">
        <f>VLOOKUP(AC:AC,'4店'!$B:$B,1,0)</f>
        <v>Y4061-GW+Y4062</v>
      </c>
      <c r="AL67" t="s">
        <v>1456</v>
      </c>
      <c r="AM67" s="102">
        <v>12.99</v>
      </c>
      <c r="AN67" s="1">
        <f t="shared" si="3"/>
        <v>88.9815</v>
      </c>
      <c r="AP67" t="s">
        <v>1383</v>
      </c>
      <c r="AQ67" s="102">
        <v>51.96</v>
      </c>
      <c r="AR67" s="1">
        <f t="shared" si="2"/>
        <v>355.926</v>
      </c>
      <c r="AT67" s="45" t="s">
        <v>1448</v>
      </c>
      <c r="AU67" s="44">
        <v>660</v>
      </c>
      <c r="AV67" s="35"/>
      <c r="AW67" s="43" t="s">
        <v>1444</v>
      </c>
      <c r="AX67" s="44">
        <v>275</v>
      </c>
      <c r="AZ67" s="47" t="s">
        <v>1437</v>
      </c>
      <c r="BA67" s="48">
        <v>4.116</v>
      </c>
      <c r="BB67" s="1" t="s">
        <v>430</v>
      </c>
    </row>
    <row r="68" spans="2:54">
      <c r="B68" t="s">
        <v>1453</v>
      </c>
      <c r="C68">
        <v>1</v>
      </c>
      <c r="D68" s="1" t="str">
        <f>VLOOKUP(B:B,'4店'!$B:$B,1,0)</f>
        <v>Y4041-GW+Y4044</v>
      </c>
      <c r="E68" t="s">
        <v>1545</v>
      </c>
      <c r="F68">
        <v>1</v>
      </c>
      <c r="G68" s="1" t="str">
        <f>VLOOKUP(E:E,'4店'!$B:$B,1,0)</f>
        <v>Y4069-DB+Y4070+Y4071</v>
      </c>
      <c r="H68" t="s">
        <v>1531</v>
      </c>
      <c r="I68">
        <v>5</v>
      </c>
      <c r="J68" s="1" t="str">
        <f>VLOOKUP(H:H,'4店'!$B:$B,1,0)</f>
        <v>Y4066-BL+Y4068</v>
      </c>
      <c r="K68" t="s">
        <v>1523</v>
      </c>
      <c r="L68">
        <v>538</v>
      </c>
      <c r="M68">
        <v>13</v>
      </c>
      <c r="N68">
        <v>4.25</v>
      </c>
      <c r="O68">
        <v>12.99</v>
      </c>
      <c r="P68">
        <v>2</v>
      </c>
      <c r="Q68" s="31">
        <v>0.327174749807544</v>
      </c>
      <c r="R68" s="31">
        <v>0.153846153846154</v>
      </c>
      <c r="S68" s="1" t="str">
        <f>VLOOKUP(K:K,'4店'!$B:$B,1,0)</f>
        <v>Y4061-DB+Y4062</v>
      </c>
      <c r="T68" t="s">
        <v>1523</v>
      </c>
      <c r="U68">
        <v>902</v>
      </c>
      <c r="V68">
        <v>20</v>
      </c>
      <c r="W68">
        <v>6.51</v>
      </c>
      <c r="X68">
        <v>12.99</v>
      </c>
      <c r="Y68">
        <v>2</v>
      </c>
      <c r="Z68" s="31">
        <v>0.501154734411085</v>
      </c>
      <c r="AA68" s="31">
        <v>0.1</v>
      </c>
      <c r="AB68" s="1" t="str">
        <f>VLOOKUP(T:T,'4店'!$B:$B,1,0)</f>
        <v>Y4061-DB+Y4062</v>
      </c>
      <c r="AC68" t="s">
        <v>1529</v>
      </c>
      <c r="AD68">
        <v>3016</v>
      </c>
      <c r="AE68">
        <v>85</v>
      </c>
      <c r="AF68">
        <v>24.98</v>
      </c>
      <c r="AG68">
        <v>101.92</v>
      </c>
      <c r="AH68">
        <v>8</v>
      </c>
      <c r="AI68" s="31">
        <v>0.245094191522763</v>
      </c>
      <c r="AJ68" s="31">
        <v>0.0941176470588235</v>
      </c>
      <c r="AK68" s="1" t="str">
        <f>VLOOKUP(AC:AC,'4店'!$B:$B,1,0)</f>
        <v>Y4061-WI+Y4062</v>
      </c>
      <c r="AL68" t="s">
        <v>1453</v>
      </c>
      <c r="AM68" s="102">
        <v>12.99</v>
      </c>
      <c r="AN68" s="1">
        <f t="shared" si="3"/>
        <v>88.9815</v>
      </c>
      <c r="AP68" t="s">
        <v>1446</v>
      </c>
      <c r="AQ68" s="102">
        <v>38.97</v>
      </c>
      <c r="AR68" s="1">
        <f t="shared" si="2"/>
        <v>266.9445</v>
      </c>
      <c r="AT68" s="45" t="s">
        <v>1451</v>
      </c>
      <c r="AU68" s="44">
        <v>209</v>
      </c>
      <c r="AV68" s="35"/>
      <c r="AW68" s="43" t="s">
        <v>1446</v>
      </c>
      <c r="AX68" s="44">
        <v>385</v>
      </c>
      <c r="AZ68" s="47" t="s">
        <v>1442</v>
      </c>
      <c r="BA68" s="48">
        <v>4.042</v>
      </c>
      <c r="BB68" s="1" t="s">
        <v>430</v>
      </c>
    </row>
    <row r="69" spans="2:54">
      <c r="B69" t="s">
        <v>1514</v>
      </c>
      <c r="C69">
        <v>1</v>
      </c>
      <c r="D69" s="1" t="str">
        <f>VLOOKUP(B:B,'4店'!$B:$B,1,0)</f>
        <v>Y4058-GW+Y4059+Y4060</v>
      </c>
      <c r="E69" t="s">
        <v>1498</v>
      </c>
      <c r="F69">
        <v>3</v>
      </c>
      <c r="G69" s="1" t="str">
        <f>VLOOKUP(E:E,'4店'!$B:$B,1,0)</f>
        <v>Y4055-BL+Y4056+Y4057</v>
      </c>
      <c r="H69" t="s">
        <v>1538</v>
      </c>
      <c r="I69">
        <v>2</v>
      </c>
      <c r="J69" s="1" t="str">
        <f>VLOOKUP(H:H,'4店'!$B:$B,1,0)</f>
        <v>Y4066-OR+Y4068</v>
      </c>
      <c r="K69" t="s">
        <v>1527</v>
      </c>
      <c r="L69">
        <v>515</v>
      </c>
      <c r="M69">
        <v>16</v>
      </c>
      <c r="N69">
        <v>5.44</v>
      </c>
      <c r="O69">
        <v>12.99</v>
      </c>
      <c r="P69">
        <v>1</v>
      </c>
      <c r="Q69" s="31">
        <v>0.418783679753657</v>
      </c>
      <c r="R69" s="31">
        <v>0.0625</v>
      </c>
      <c r="S69" s="1" t="str">
        <f>VLOOKUP(K:K,'4店'!$B:$B,1,0)</f>
        <v>Y4061-OR+Y4062</v>
      </c>
      <c r="T69" t="s">
        <v>1527</v>
      </c>
      <c r="U69">
        <v>1268</v>
      </c>
      <c r="V69">
        <v>26</v>
      </c>
      <c r="W69">
        <v>8.57</v>
      </c>
      <c r="X69">
        <v>25.98</v>
      </c>
      <c r="Y69">
        <v>2</v>
      </c>
      <c r="Z69" s="31">
        <v>0.329869130100077</v>
      </c>
      <c r="AA69" s="31">
        <v>0.0769230769230769</v>
      </c>
      <c r="AB69" s="1" t="str">
        <f>VLOOKUP(T:T,'4店'!$B:$B,1,0)</f>
        <v>Y4061-OR+Y4062</v>
      </c>
      <c r="AC69" t="s">
        <v>1523</v>
      </c>
      <c r="AD69">
        <v>1863</v>
      </c>
      <c r="AE69">
        <v>35</v>
      </c>
      <c r="AF69">
        <v>11.63</v>
      </c>
      <c r="AG69">
        <v>38.97</v>
      </c>
      <c r="AH69">
        <v>4</v>
      </c>
      <c r="AI69" s="31">
        <v>0.298434693353862</v>
      </c>
      <c r="AJ69" s="31">
        <v>0.114285714285714</v>
      </c>
      <c r="AK69" s="1" t="str">
        <f>VLOOKUP(AC:AC,'4店'!$B:$B,1,0)</f>
        <v>Y4061-DB+Y4062</v>
      </c>
      <c r="AL69" t="s">
        <v>1446</v>
      </c>
      <c r="AM69" s="102">
        <v>12.99</v>
      </c>
      <c r="AN69" s="1">
        <f t="shared" si="3"/>
        <v>88.9815</v>
      </c>
      <c r="AP69" t="s">
        <v>1474</v>
      </c>
      <c r="AQ69" s="102">
        <v>34.97</v>
      </c>
      <c r="AR69" s="1">
        <f t="shared" si="2"/>
        <v>239.5445</v>
      </c>
      <c r="AT69" s="45" t="s">
        <v>1453</v>
      </c>
      <c r="AU69" s="44">
        <v>330</v>
      </c>
      <c r="AV69" s="35"/>
      <c r="AW69" s="43" t="s">
        <v>1448</v>
      </c>
      <c r="AX69" s="44">
        <v>671</v>
      </c>
      <c r="AZ69" s="47" t="s">
        <v>1444</v>
      </c>
      <c r="BA69" s="48">
        <v>4.521</v>
      </c>
      <c r="BB69" s="1" t="s">
        <v>430</v>
      </c>
    </row>
    <row r="70" spans="2:54">
      <c r="B70" t="s">
        <v>1538</v>
      </c>
      <c r="C70">
        <v>1</v>
      </c>
      <c r="D70" s="1" t="str">
        <f>VLOOKUP(B:B,'4店'!$B:$B,1,0)</f>
        <v>Y4066-OR+Y4068</v>
      </c>
      <c r="E70" t="s">
        <v>1516</v>
      </c>
      <c r="F70">
        <v>1</v>
      </c>
      <c r="G70" s="1" t="str">
        <f>VLOOKUP(E:E,'4店'!$B:$B,1,0)</f>
        <v>Y4058-OR+Y4059+Y4060</v>
      </c>
      <c r="H70" t="s">
        <v>1525</v>
      </c>
      <c r="I70">
        <v>2</v>
      </c>
      <c r="J70" s="1" t="str">
        <f>VLOOKUP(H:H,'4店'!$B:$B,1,0)</f>
        <v>Y4061-GW+Y4062</v>
      </c>
      <c r="K70" t="s">
        <v>1512</v>
      </c>
      <c r="L70">
        <v>129</v>
      </c>
      <c r="M70">
        <v>2</v>
      </c>
      <c r="N70">
        <v>0.89</v>
      </c>
      <c r="O70">
        <v>0</v>
      </c>
      <c r="P70">
        <v>0</v>
      </c>
      <c r="Q70" s="31">
        <v>0</v>
      </c>
      <c r="R70" s="31">
        <v>0</v>
      </c>
      <c r="S70" s="1" t="str">
        <f>VLOOKUP(K:K,'4店'!$B:$B,1,0)</f>
        <v>Y4058-DB+Y4059+Y4060</v>
      </c>
      <c r="T70" t="s">
        <v>1512</v>
      </c>
      <c r="U70">
        <v>343</v>
      </c>
      <c r="V70">
        <v>5</v>
      </c>
      <c r="W70">
        <v>2.33</v>
      </c>
      <c r="X70">
        <v>51.96</v>
      </c>
      <c r="Y70">
        <v>2</v>
      </c>
      <c r="Z70" s="31">
        <v>0.0448421862971517</v>
      </c>
      <c r="AA70" s="31">
        <v>0.4</v>
      </c>
      <c r="AB70" s="1" t="str">
        <f>VLOOKUP(T:T,'4店'!$B:$B,1,0)</f>
        <v>Y4058-DB+Y4059+Y4060</v>
      </c>
      <c r="AC70" t="s">
        <v>1527</v>
      </c>
      <c r="AD70">
        <v>3150</v>
      </c>
      <c r="AE70">
        <v>53</v>
      </c>
      <c r="AF70">
        <v>16.75</v>
      </c>
      <c r="AG70">
        <v>51.96</v>
      </c>
      <c r="AH70">
        <v>4</v>
      </c>
      <c r="AI70" s="31">
        <v>0.322363356428022</v>
      </c>
      <c r="AJ70" s="31">
        <v>0.0754716981132076</v>
      </c>
      <c r="AK70" s="1" t="str">
        <f>VLOOKUP(AC:AC,'4店'!$B:$B,1,0)</f>
        <v>Y4061-OR+Y4062</v>
      </c>
      <c r="AL70" t="s">
        <v>1451</v>
      </c>
      <c r="AM70" s="102">
        <v>12.99</v>
      </c>
      <c r="AN70" s="1">
        <f t="shared" si="3"/>
        <v>88.9815</v>
      </c>
      <c r="AP70" t="s">
        <v>1468</v>
      </c>
      <c r="AQ70" s="102">
        <v>38.97</v>
      </c>
      <c r="AR70" s="1">
        <f t="shared" ref="AR70:AR101" si="4">AQ70*$AS$1</f>
        <v>266.9445</v>
      </c>
      <c r="AT70" s="45" t="s">
        <v>1456</v>
      </c>
      <c r="AU70" s="44">
        <v>286</v>
      </c>
      <c r="AV70" s="35"/>
      <c r="AW70" s="43" t="s">
        <v>1451</v>
      </c>
      <c r="AX70" s="44">
        <v>132</v>
      </c>
      <c r="AZ70" s="47" t="s">
        <v>1453</v>
      </c>
      <c r="BA70" s="48">
        <v>4.528</v>
      </c>
      <c r="BB70" s="1" t="s">
        <v>430</v>
      </c>
    </row>
    <row r="71" spans="2:54">
      <c r="B71" t="s">
        <v>1549</v>
      </c>
      <c r="C71">
        <v>1</v>
      </c>
      <c r="D71" s="1" t="str">
        <f>VLOOKUP(B:B,'4店'!$B:$B,1,0)</f>
        <v>Y4069-OR+Y4070+Y4071</v>
      </c>
      <c r="E71" t="s">
        <v>1341</v>
      </c>
      <c r="F71">
        <v>3</v>
      </c>
      <c r="G71" s="1" t="str">
        <f>VLOOKUP(E:E,'4店'!$B:$B,1,0)</f>
        <v>Y4020-GW+Y4024+Y4028</v>
      </c>
      <c r="H71" t="s">
        <v>1558</v>
      </c>
      <c r="I71">
        <v>5</v>
      </c>
      <c r="J71" s="1" t="str">
        <f>VLOOKUP(H:H,'4店'!$B:$B,1,0)</f>
        <v>Y4072-WI+Y4073+Y4074</v>
      </c>
      <c r="K71" t="s">
        <v>1514</v>
      </c>
      <c r="L71">
        <v>1167</v>
      </c>
      <c r="M71">
        <v>9</v>
      </c>
      <c r="N71">
        <v>3.39</v>
      </c>
      <c r="O71">
        <v>0</v>
      </c>
      <c r="P71">
        <v>0</v>
      </c>
      <c r="Q71" s="31">
        <v>0</v>
      </c>
      <c r="R71" s="31">
        <v>0</v>
      </c>
      <c r="S71" s="1" t="str">
        <f>VLOOKUP(K:K,'4店'!$B:$B,1,0)</f>
        <v>Y4058-GW+Y4059+Y4060</v>
      </c>
      <c r="T71" t="s">
        <v>1514</v>
      </c>
      <c r="U71">
        <v>2366</v>
      </c>
      <c r="V71">
        <v>24</v>
      </c>
      <c r="W71">
        <v>9.25</v>
      </c>
      <c r="X71">
        <v>12.99</v>
      </c>
      <c r="Y71">
        <v>1</v>
      </c>
      <c r="Z71" s="31">
        <v>0.712086220169361</v>
      </c>
      <c r="AA71" s="31">
        <v>0.0416666666666667</v>
      </c>
      <c r="AB71" s="1" t="str">
        <f>VLOOKUP(T:T,'4店'!$B:$B,1,0)</f>
        <v>Y4058-GW+Y4059+Y4060</v>
      </c>
      <c r="AC71" t="s">
        <v>1512</v>
      </c>
      <c r="AD71">
        <v>787</v>
      </c>
      <c r="AE71">
        <v>10</v>
      </c>
      <c r="AF71">
        <v>4.23</v>
      </c>
      <c r="AG71">
        <v>51.96</v>
      </c>
      <c r="AH71">
        <v>2</v>
      </c>
      <c r="AI71" s="31">
        <v>0.0814087759815243</v>
      </c>
      <c r="AJ71" s="31">
        <v>0.2</v>
      </c>
      <c r="AK71" s="1" t="str">
        <f>VLOOKUP(AC:AC,'4店'!$B:$B,1,0)</f>
        <v>Y4058-DB+Y4059+Y4060</v>
      </c>
      <c r="AL71" t="s">
        <v>1477</v>
      </c>
      <c r="AM71" s="102">
        <v>12.99</v>
      </c>
      <c r="AN71" s="1">
        <f t="shared" si="3"/>
        <v>88.9815</v>
      </c>
      <c r="AP71" t="s">
        <v>1523</v>
      </c>
      <c r="AQ71" s="102">
        <v>25.98</v>
      </c>
      <c r="AR71" s="1">
        <f t="shared" si="4"/>
        <v>177.963</v>
      </c>
      <c r="AT71" s="45" t="s">
        <v>1458</v>
      </c>
      <c r="AU71" s="44">
        <v>88</v>
      </c>
      <c r="AV71" s="35"/>
      <c r="AW71" s="43" t="s">
        <v>1453</v>
      </c>
      <c r="AX71" s="44">
        <v>231</v>
      </c>
      <c r="AZ71" s="47" t="s">
        <v>1458</v>
      </c>
      <c r="BA71" s="48">
        <v>4.581</v>
      </c>
      <c r="BB71" s="1" t="s">
        <v>430</v>
      </c>
    </row>
    <row r="72" spans="2:54">
      <c r="B72" t="s">
        <v>1605</v>
      </c>
      <c r="C72">
        <v>2</v>
      </c>
      <c r="D72" s="1" t="str">
        <f>VLOOKUP(B:B,'4店'!$B:$B,1,0)</f>
        <v>Y4075-DB+Y4076+Y4077</v>
      </c>
      <c r="E72" t="s">
        <v>1518</v>
      </c>
      <c r="F72">
        <v>1</v>
      </c>
      <c r="G72" s="1" t="str">
        <f>VLOOKUP(E:E,'4店'!$B:$B,1,0)</f>
        <v>Y4058-WI+Y4059+Y4060</v>
      </c>
      <c r="H72" t="s">
        <v>1498</v>
      </c>
      <c r="I72">
        <v>4</v>
      </c>
      <c r="J72" s="1" t="str">
        <f>VLOOKUP(H:H,'4店'!$B:$B,1,0)</f>
        <v>Y4055-BL+Y4056+Y4057</v>
      </c>
      <c r="K72" t="s">
        <v>1516</v>
      </c>
      <c r="L72">
        <v>304</v>
      </c>
      <c r="M72">
        <v>3</v>
      </c>
      <c r="N72">
        <v>1.19</v>
      </c>
      <c r="O72">
        <v>12.99</v>
      </c>
      <c r="P72">
        <v>1</v>
      </c>
      <c r="Q72" s="31">
        <v>0.0916089299461124</v>
      </c>
      <c r="R72" s="31">
        <v>0.333333333333333</v>
      </c>
      <c r="S72" s="1" t="str">
        <f>VLOOKUP(K:K,'4店'!$B:$B,1,0)</f>
        <v>Y4058-OR+Y4059+Y4060</v>
      </c>
      <c r="T72" t="s">
        <v>1516</v>
      </c>
      <c r="U72">
        <v>832</v>
      </c>
      <c r="V72">
        <v>10</v>
      </c>
      <c r="W72">
        <v>3.84</v>
      </c>
      <c r="X72">
        <v>23.98</v>
      </c>
      <c r="Y72">
        <v>2</v>
      </c>
      <c r="Z72" s="31">
        <v>0.160133444537114</v>
      </c>
      <c r="AA72" s="31">
        <v>0.2</v>
      </c>
      <c r="AB72" s="1" t="str">
        <f>VLOOKUP(T:T,'4店'!$B:$B,1,0)</f>
        <v>Y4058-OR+Y4059+Y4060</v>
      </c>
      <c r="AC72" t="s">
        <v>1514</v>
      </c>
      <c r="AD72">
        <v>3968</v>
      </c>
      <c r="AE72">
        <v>45</v>
      </c>
      <c r="AF72">
        <v>17.14</v>
      </c>
      <c r="AG72">
        <v>12.99</v>
      </c>
      <c r="AH72">
        <v>1</v>
      </c>
      <c r="AI72" s="31">
        <v>1.31947652040031</v>
      </c>
      <c r="AJ72" s="31">
        <v>0.0222222222222222</v>
      </c>
      <c r="AK72" s="1" t="str">
        <f>VLOOKUP(AC:AC,'4店'!$B:$B,1,0)</f>
        <v>Y4058-GW+Y4059+Y4060</v>
      </c>
      <c r="AL72" t="s">
        <v>1474</v>
      </c>
      <c r="AM72" s="102">
        <v>12.99</v>
      </c>
      <c r="AN72" s="1">
        <f t="shared" si="3"/>
        <v>88.9815</v>
      </c>
      <c r="AP72" t="s">
        <v>1498</v>
      </c>
      <c r="AQ72" s="102">
        <v>38.97</v>
      </c>
      <c r="AR72" s="1">
        <f t="shared" si="4"/>
        <v>266.9445</v>
      </c>
      <c r="AT72" s="45" t="s">
        <v>1460</v>
      </c>
      <c r="AU72" s="44">
        <v>275</v>
      </c>
      <c r="AV72" s="35"/>
      <c r="AW72" s="43" t="s">
        <v>1456</v>
      </c>
      <c r="AX72" s="44">
        <v>231</v>
      </c>
      <c r="AZ72" s="47" t="s">
        <v>1448</v>
      </c>
      <c r="BA72" s="48">
        <v>5.272</v>
      </c>
      <c r="BB72" s="1" t="s">
        <v>430</v>
      </c>
    </row>
    <row r="73" spans="2:54">
      <c r="B73" t="s">
        <v>1523</v>
      </c>
      <c r="C73">
        <v>3</v>
      </c>
      <c r="D73" s="1" t="str">
        <f>VLOOKUP(B:B,'4店'!$B:$B,1,0)</f>
        <v>Y4061-DB+Y4062</v>
      </c>
      <c r="E73" t="s">
        <v>1551</v>
      </c>
      <c r="F73">
        <v>4</v>
      </c>
      <c r="G73" s="1" t="str">
        <f>VLOOKUP(E:E,'4店'!$B:$B,1,0)</f>
        <v>Y4069-WI+Y4070+Y4071</v>
      </c>
      <c r="H73" t="s">
        <v>1562</v>
      </c>
      <c r="I73">
        <v>6</v>
      </c>
      <c r="J73" s="1" t="str">
        <f>VLOOKUP(H:H,'4店'!$B:$B,1,0)</f>
        <v>Y4072-OR+Y4073+Y4074</v>
      </c>
      <c r="K73" t="s">
        <v>1518</v>
      </c>
      <c r="L73">
        <v>263</v>
      </c>
      <c r="M73">
        <v>5</v>
      </c>
      <c r="N73">
        <v>1.73</v>
      </c>
      <c r="O73">
        <v>0</v>
      </c>
      <c r="P73">
        <v>0</v>
      </c>
      <c r="Q73" s="31">
        <v>0</v>
      </c>
      <c r="R73" s="31">
        <v>0</v>
      </c>
      <c r="S73" s="1" t="str">
        <f>VLOOKUP(K:K,'4店'!$B:$B,1,0)</f>
        <v>Y4058-WI+Y4059+Y4060</v>
      </c>
      <c r="T73" t="s">
        <v>1518</v>
      </c>
      <c r="U73">
        <v>486</v>
      </c>
      <c r="V73">
        <v>14</v>
      </c>
      <c r="W73">
        <v>5.08</v>
      </c>
      <c r="X73">
        <v>0</v>
      </c>
      <c r="Y73">
        <v>0</v>
      </c>
      <c r="Z73" s="31">
        <v>0</v>
      </c>
      <c r="AA73" s="31">
        <v>0</v>
      </c>
      <c r="AB73" s="1" t="str">
        <f>VLOOKUP(T:T,'4店'!$B:$B,1,0)</f>
        <v>Y4058-WI+Y4059+Y4060</v>
      </c>
      <c r="AC73" t="s">
        <v>1516</v>
      </c>
      <c r="AD73">
        <v>1754</v>
      </c>
      <c r="AE73">
        <v>23</v>
      </c>
      <c r="AF73">
        <v>9.18</v>
      </c>
      <c r="AG73">
        <v>23.98</v>
      </c>
      <c r="AH73">
        <v>2</v>
      </c>
      <c r="AI73" s="31">
        <v>0.382819015846539</v>
      </c>
      <c r="AJ73" s="31">
        <v>0.0869565217391304</v>
      </c>
      <c r="AK73" s="1" t="str">
        <f>VLOOKUP(AC:AC,'4店'!$B:$B,1,0)</f>
        <v>Y4058-OR+Y4059+Y4060</v>
      </c>
      <c r="AL73" t="s">
        <v>1492</v>
      </c>
      <c r="AM73" s="102">
        <v>12.99</v>
      </c>
      <c r="AN73" s="1">
        <f t="shared" si="3"/>
        <v>88.9815</v>
      </c>
      <c r="AP73" t="s">
        <v>1549</v>
      </c>
      <c r="AQ73" s="102">
        <v>38.97</v>
      </c>
      <c r="AR73" s="1">
        <f t="shared" si="4"/>
        <v>266.9445</v>
      </c>
      <c r="AT73" s="45" t="s">
        <v>1462</v>
      </c>
      <c r="AU73" s="44">
        <v>780.9</v>
      </c>
      <c r="AV73" s="35"/>
      <c r="AW73" s="43" t="s">
        <v>1458</v>
      </c>
      <c r="AX73" s="44">
        <v>88</v>
      </c>
      <c r="AZ73" s="47" t="s">
        <v>1451</v>
      </c>
      <c r="BA73" s="48">
        <v>5.081</v>
      </c>
      <c r="BB73" s="1" t="s">
        <v>430</v>
      </c>
    </row>
    <row r="74" spans="2:54">
      <c r="B74" t="s">
        <v>1345</v>
      </c>
      <c r="C74">
        <v>2</v>
      </c>
      <c r="D74" s="1" t="str">
        <f>VLOOKUP(B:B,'4店'!$B:$B,1,0)</f>
        <v>Y4020-WB+Y4024+Y4028</v>
      </c>
      <c r="E74" t="s">
        <v>1538</v>
      </c>
      <c r="F74">
        <v>2</v>
      </c>
      <c r="G74" s="1" t="str">
        <f>VLOOKUP(E:E,'4店'!$B:$B,1,0)</f>
        <v>Y4066-OR+Y4068</v>
      </c>
      <c r="H74" t="s">
        <v>1553</v>
      </c>
      <c r="I74">
        <v>13</v>
      </c>
      <c r="J74" s="1" t="str">
        <f>VLOOKUP(H:H,'4店'!$B:$B,1,0)</f>
        <v>Y4072-BL+Y4073+Y4074</v>
      </c>
      <c r="K74" t="s">
        <v>1509</v>
      </c>
      <c r="L74">
        <v>1295</v>
      </c>
      <c r="M74">
        <v>0</v>
      </c>
      <c r="N74">
        <v>0</v>
      </c>
      <c r="O74">
        <v>0</v>
      </c>
      <c r="P74">
        <v>0</v>
      </c>
      <c r="Q74" s="31">
        <v>0</v>
      </c>
      <c r="R74" s="31">
        <v>0</v>
      </c>
      <c r="S74" s="1" t="str">
        <f>VLOOKUP(K:K,'4店'!$B:$B,1,0)</f>
        <v>Y4058-BL+Y4059+Y4060</v>
      </c>
      <c r="T74" t="s">
        <v>1509</v>
      </c>
      <c r="U74">
        <v>3459</v>
      </c>
      <c r="V74">
        <v>0</v>
      </c>
      <c r="W74">
        <v>0</v>
      </c>
      <c r="X74">
        <v>0</v>
      </c>
      <c r="Y74">
        <v>0</v>
      </c>
      <c r="Z74" s="31">
        <v>0</v>
      </c>
      <c r="AA74" s="31">
        <v>0</v>
      </c>
      <c r="AB74" s="1" t="str">
        <f>VLOOKUP(T:T,'4店'!$B:$B,1,0)</f>
        <v>Y4058-BL+Y4059+Y4060</v>
      </c>
      <c r="AC74" t="s">
        <v>1518</v>
      </c>
      <c r="AD74">
        <v>889</v>
      </c>
      <c r="AE74">
        <v>21</v>
      </c>
      <c r="AF74">
        <v>8.02</v>
      </c>
      <c r="AG74">
        <v>0</v>
      </c>
      <c r="AH74">
        <v>0</v>
      </c>
      <c r="AI74" s="31">
        <v>0</v>
      </c>
      <c r="AJ74" s="31">
        <v>0</v>
      </c>
      <c r="AK74" s="1" t="str">
        <f>VLOOKUP(AC:AC,'4店'!$B:$B,1,0)</f>
        <v>Y4058-WI+Y4059+Y4060</v>
      </c>
      <c r="AL74" t="s">
        <v>1505</v>
      </c>
      <c r="AM74" s="102">
        <v>12.99</v>
      </c>
      <c r="AN74" s="1">
        <f t="shared" si="3"/>
        <v>88.9815</v>
      </c>
      <c r="AP74" t="s">
        <v>1558</v>
      </c>
      <c r="AQ74" s="102">
        <v>34.97</v>
      </c>
      <c r="AR74" s="1">
        <f t="shared" si="4"/>
        <v>239.5445</v>
      </c>
      <c r="AT74" s="45" t="s">
        <v>1465</v>
      </c>
      <c r="AU74" s="44">
        <v>698.7</v>
      </c>
      <c r="AV74" s="35"/>
      <c r="AW74" s="43" t="s">
        <v>1460</v>
      </c>
      <c r="AX74" s="44">
        <v>275</v>
      </c>
      <c r="AZ74" s="47" t="s">
        <v>1456</v>
      </c>
      <c r="BA74" s="48">
        <v>4.595</v>
      </c>
      <c r="BB74" s="1" t="s">
        <v>430</v>
      </c>
    </row>
    <row r="75" spans="2:54">
      <c r="B75" t="s">
        <v>1354</v>
      </c>
      <c r="C75">
        <v>2</v>
      </c>
      <c r="D75" s="1" t="str">
        <f>VLOOKUP(B:B,'4店'!$B:$B,1,0)</f>
        <v>Y4021-OR+Y4025+Y4029</v>
      </c>
      <c r="E75" t="s">
        <v>1411</v>
      </c>
      <c r="F75">
        <v>1</v>
      </c>
      <c r="G75" s="1" t="str">
        <f>VLOOKUP(E:E,'4店'!$B:$B,1,0)</f>
        <v>Y4036-BL</v>
      </c>
      <c r="H75" t="s">
        <v>1529</v>
      </c>
      <c r="I75">
        <v>12</v>
      </c>
      <c r="J75" s="1" t="str">
        <f>VLOOKUP(H:H,'4店'!$B:$B,1,0)</f>
        <v>Y4061-WI+Y4062</v>
      </c>
      <c r="K75" t="s">
        <v>1507</v>
      </c>
      <c r="L75">
        <v>1209</v>
      </c>
      <c r="M75">
        <v>11</v>
      </c>
      <c r="N75">
        <v>4.64</v>
      </c>
      <c r="O75">
        <v>0</v>
      </c>
      <c r="P75">
        <v>0</v>
      </c>
      <c r="Q75" s="31">
        <v>0</v>
      </c>
      <c r="R75" s="31">
        <v>0</v>
      </c>
      <c r="S75" s="1" t="str">
        <f>VLOOKUP(K:K,'4店'!$B:$B,1,0)</f>
        <v>Y4055-WI+Y4056+Y4057</v>
      </c>
      <c r="T75" t="s">
        <v>1507</v>
      </c>
      <c r="U75">
        <v>2415</v>
      </c>
      <c r="V75">
        <v>23</v>
      </c>
      <c r="W75">
        <v>9.49</v>
      </c>
      <c r="X75">
        <v>0</v>
      </c>
      <c r="Y75">
        <v>0</v>
      </c>
      <c r="Z75" s="31">
        <v>0</v>
      </c>
      <c r="AA75" s="31">
        <v>0</v>
      </c>
      <c r="AB75" s="1" t="str">
        <f>VLOOKUP(T:T,'4店'!$B:$B,1,0)</f>
        <v>Y4055-WI+Y4056+Y4057</v>
      </c>
      <c r="AC75" t="s">
        <v>1509</v>
      </c>
      <c r="AD75">
        <v>5968</v>
      </c>
      <c r="AE75">
        <v>3</v>
      </c>
      <c r="AF75">
        <v>1.07</v>
      </c>
      <c r="AG75">
        <v>0</v>
      </c>
      <c r="AH75">
        <v>0</v>
      </c>
      <c r="AI75" s="31">
        <v>0</v>
      </c>
      <c r="AJ75" s="31">
        <v>0</v>
      </c>
      <c r="AK75" s="1" t="str">
        <f>VLOOKUP(AC:AC,'4店'!$B:$B,1,0)</f>
        <v>Y4058-BL+Y4059+Y4060</v>
      </c>
      <c r="AL75" t="s">
        <v>1514</v>
      </c>
      <c r="AM75" s="102">
        <v>12.99</v>
      </c>
      <c r="AN75" s="1">
        <f t="shared" si="3"/>
        <v>88.9815</v>
      </c>
      <c r="AP75" t="s">
        <v>1575</v>
      </c>
      <c r="AQ75" s="102">
        <v>38.97</v>
      </c>
      <c r="AR75" s="1">
        <f t="shared" si="4"/>
        <v>266.9445</v>
      </c>
      <c r="AT75" s="45" t="s">
        <v>1468</v>
      </c>
      <c r="AU75" s="44">
        <v>438.4</v>
      </c>
      <c r="AV75" s="35"/>
      <c r="AW75" s="43" t="s">
        <v>1462</v>
      </c>
      <c r="AX75" s="44">
        <v>1068.6</v>
      </c>
      <c r="AZ75" s="47" t="s">
        <v>1460</v>
      </c>
      <c r="BA75" s="48">
        <v>5.613</v>
      </c>
      <c r="BB75" s="1" t="s">
        <v>430</v>
      </c>
    </row>
    <row r="76" spans="2:54">
      <c r="B76" t="s">
        <v>1460</v>
      </c>
      <c r="C76">
        <v>2</v>
      </c>
      <c r="D76" s="1" t="str">
        <f>VLOOKUP(B:B,'4店'!$B:$B,1,0)</f>
        <v>Y4041-WB+Y4044</v>
      </c>
      <c r="E76" t="s">
        <v>1494</v>
      </c>
      <c r="F76">
        <v>1</v>
      </c>
      <c r="G76" s="1" t="str">
        <f>VLOOKUP(E:E,'4店'!$B:$B,1,0)</f>
        <v>Y4063-WI+Y4064+Y4065</v>
      </c>
      <c r="H76" t="s">
        <v>1545</v>
      </c>
      <c r="I76">
        <v>5</v>
      </c>
      <c r="J76" s="1" t="str">
        <f>VLOOKUP(H:H,'4店'!$B:$B,1,0)</f>
        <v>Y4069-DB+Y4070+Y4071</v>
      </c>
      <c r="K76" t="s">
        <v>1505</v>
      </c>
      <c r="L76">
        <v>937</v>
      </c>
      <c r="M76">
        <v>18</v>
      </c>
      <c r="N76">
        <v>6.71</v>
      </c>
      <c r="O76">
        <v>25.98</v>
      </c>
      <c r="P76">
        <v>2</v>
      </c>
      <c r="Q76" s="31">
        <v>0.258275596612779</v>
      </c>
      <c r="R76" s="31">
        <v>0.111111111111111</v>
      </c>
      <c r="S76" s="1" t="str">
        <f>VLOOKUP(K:K,'4店'!$B:$B,1,0)</f>
        <v>Y4055-OR+Y4056+Y4057</v>
      </c>
      <c r="T76" t="s">
        <v>1505</v>
      </c>
      <c r="U76">
        <v>2463</v>
      </c>
      <c r="V76">
        <v>30</v>
      </c>
      <c r="W76">
        <v>11.59</v>
      </c>
      <c r="X76">
        <v>25.98</v>
      </c>
      <c r="Y76">
        <v>2</v>
      </c>
      <c r="Z76" s="31">
        <v>0.446112394149346</v>
      </c>
      <c r="AA76" s="31">
        <v>0.0666666666666667</v>
      </c>
      <c r="AB76" s="1" t="str">
        <f>VLOOKUP(T:T,'4店'!$B:$B,1,0)</f>
        <v>Y4055-OR+Y4056+Y4057</v>
      </c>
      <c r="AC76" t="s">
        <v>1507</v>
      </c>
      <c r="AD76">
        <v>5203</v>
      </c>
      <c r="AE76">
        <v>57</v>
      </c>
      <c r="AF76">
        <v>22.7</v>
      </c>
      <c r="AG76">
        <v>0</v>
      </c>
      <c r="AH76">
        <v>0</v>
      </c>
      <c r="AI76" s="31">
        <v>0</v>
      </c>
      <c r="AJ76" s="31">
        <v>0</v>
      </c>
      <c r="AK76" s="1" t="str">
        <f>VLOOKUP(AC:AC,'4店'!$B:$B,1,0)</f>
        <v>Y4055-WI+Y4056+Y4057</v>
      </c>
      <c r="AL76" t="s">
        <v>1527</v>
      </c>
      <c r="AM76" s="102">
        <v>12.99</v>
      </c>
      <c r="AN76" s="1">
        <f t="shared" ref="AN76:AN94" si="5">AM76*$AS$1</f>
        <v>88.9815</v>
      </c>
      <c r="AP76" t="s">
        <v>1612</v>
      </c>
      <c r="AQ76" s="102">
        <v>36.97</v>
      </c>
      <c r="AR76" s="1">
        <f t="shared" si="4"/>
        <v>253.2445</v>
      </c>
      <c r="AT76" s="45" t="s">
        <v>1470</v>
      </c>
      <c r="AU76" s="44">
        <v>575.4</v>
      </c>
      <c r="AV76" s="35"/>
      <c r="AW76" s="43" t="s">
        <v>1465</v>
      </c>
      <c r="AX76" s="44">
        <v>739.8</v>
      </c>
      <c r="AZ76" s="47" t="s">
        <v>1520</v>
      </c>
      <c r="BA76" s="48">
        <v>1.822</v>
      </c>
      <c r="BB76" s="1" t="s">
        <v>430</v>
      </c>
    </row>
    <row r="77" spans="2:54">
      <c r="B77" t="s">
        <v>1472</v>
      </c>
      <c r="C77">
        <v>2</v>
      </c>
      <c r="D77" s="1" t="str">
        <f>VLOOKUP(B:B,'4店'!$B:$B,1,0)</f>
        <v>Y4050-WI+Y4051+Y4052</v>
      </c>
      <c r="E77" t="s">
        <v>1520</v>
      </c>
      <c r="F77">
        <v>1</v>
      </c>
      <c r="G77" s="1" t="str">
        <f>VLOOKUP(E:E,'4店'!$B:$B,1,0)</f>
        <v>Y4061-BL+Y4062</v>
      </c>
      <c r="H77" t="s">
        <v>1551</v>
      </c>
      <c r="I77">
        <v>4</v>
      </c>
      <c r="J77" s="1" t="str">
        <f>VLOOKUP(H:H,'4店'!$B:$B,1,0)</f>
        <v>Y4069-WI+Y4070+Y4071</v>
      </c>
      <c r="K77" t="s">
        <v>1498</v>
      </c>
      <c r="L77">
        <v>1694</v>
      </c>
      <c r="M77">
        <v>4</v>
      </c>
      <c r="N77">
        <v>1.51</v>
      </c>
      <c r="O77">
        <v>0</v>
      </c>
      <c r="P77">
        <v>0</v>
      </c>
      <c r="Q77" s="31">
        <v>0</v>
      </c>
      <c r="R77" s="31">
        <v>0</v>
      </c>
      <c r="S77" s="1" t="str">
        <f>VLOOKUP(K:K,'4店'!$B:$B,1,0)</f>
        <v>Y4055-BL+Y4056+Y4057</v>
      </c>
      <c r="T77" t="s">
        <v>1498</v>
      </c>
      <c r="U77">
        <v>3609</v>
      </c>
      <c r="V77">
        <v>9</v>
      </c>
      <c r="W77">
        <v>3.33</v>
      </c>
      <c r="X77">
        <v>0</v>
      </c>
      <c r="Y77">
        <v>0</v>
      </c>
      <c r="Z77" s="31">
        <v>0</v>
      </c>
      <c r="AA77" s="31">
        <v>0</v>
      </c>
      <c r="AB77" s="1" t="str">
        <f>VLOOKUP(T:T,'4店'!$B:$B,1,0)</f>
        <v>Y4055-BL+Y4056+Y4057</v>
      </c>
      <c r="AC77" t="s">
        <v>1505</v>
      </c>
      <c r="AD77">
        <v>4600</v>
      </c>
      <c r="AE77">
        <v>54</v>
      </c>
      <c r="AF77">
        <v>21.29</v>
      </c>
      <c r="AG77">
        <v>51.96</v>
      </c>
      <c r="AH77">
        <v>4</v>
      </c>
      <c r="AI77" s="31">
        <v>0.409738260200154</v>
      </c>
      <c r="AJ77" s="31">
        <v>0.0740740740740741</v>
      </c>
      <c r="AK77" s="1" t="str">
        <f>VLOOKUP(AC:AC,'4店'!$B:$B,1,0)</f>
        <v>Y4055-OR+Y4056+Y4057</v>
      </c>
      <c r="AL77" t="s">
        <v>1525</v>
      </c>
      <c r="AM77" s="102">
        <v>12.99</v>
      </c>
      <c r="AN77" s="1">
        <f t="shared" si="5"/>
        <v>88.9815</v>
      </c>
      <c r="AP77" t="s">
        <v>1605</v>
      </c>
      <c r="AQ77" s="102">
        <v>38.97</v>
      </c>
      <c r="AR77" s="1">
        <f t="shared" si="4"/>
        <v>266.9445</v>
      </c>
      <c r="AT77" s="45" t="s">
        <v>1472</v>
      </c>
      <c r="AU77" s="44">
        <v>780.9</v>
      </c>
      <c r="AV77" s="35"/>
      <c r="AW77" s="43" t="s">
        <v>1468</v>
      </c>
      <c r="AX77" s="44">
        <v>465.8</v>
      </c>
      <c r="AZ77" s="47" t="s">
        <v>1529</v>
      </c>
      <c r="BA77" s="48">
        <v>1.825</v>
      </c>
      <c r="BB77" s="1" t="s">
        <v>430</v>
      </c>
    </row>
    <row r="78" spans="2:54">
      <c r="B78" t="s">
        <v>1498</v>
      </c>
      <c r="C78">
        <v>2</v>
      </c>
      <c r="D78" s="1" t="str">
        <f>VLOOKUP(B:B,'4店'!$B:$B,1,0)</f>
        <v>Y4055-BL+Y4056+Y4057</v>
      </c>
      <c r="E78" t="s">
        <v>1573</v>
      </c>
      <c r="F78">
        <v>11</v>
      </c>
      <c r="G78" s="1" t="str">
        <f>VLOOKUP(E:E,'4店'!$B:$B,1,0)</f>
        <v>Y4084-OR+Y4085+Y4086</v>
      </c>
      <c r="H78" t="s">
        <v>1556</v>
      </c>
      <c r="I78">
        <v>6</v>
      </c>
      <c r="J78" s="1" t="str">
        <f>VLOOKUP(H:H,'4店'!$B:$B,1,0)</f>
        <v>Y4072-DB+Y4073+Y4074</v>
      </c>
      <c r="K78" t="s">
        <v>1503</v>
      </c>
      <c r="L78">
        <v>465</v>
      </c>
      <c r="M78">
        <v>7</v>
      </c>
      <c r="N78">
        <v>2.77</v>
      </c>
      <c r="O78">
        <v>0</v>
      </c>
      <c r="P78">
        <v>0</v>
      </c>
      <c r="Q78" s="31">
        <v>0</v>
      </c>
      <c r="R78" s="31">
        <v>0</v>
      </c>
      <c r="S78" s="1" t="str">
        <f>VLOOKUP(K:K,'4店'!$B:$B,1,0)</f>
        <v>Y4055-GW+Y4056+Y4057</v>
      </c>
      <c r="T78" t="s">
        <v>1503</v>
      </c>
      <c r="U78">
        <v>1122</v>
      </c>
      <c r="V78">
        <v>15</v>
      </c>
      <c r="W78">
        <v>5.72</v>
      </c>
      <c r="X78">
        <v>10.99</v>
      </c>
      <c r="Y78">
        <v>1</v>
      </c>
      <c r="Z78" s="31">
        <v>0.520473157415833</v>
      </c>
      <c r="AA78" s="31">
        <v>0.0666666666666667</v>
      </c>
      <c r="AB78" s="1" t="str">
        <f>VLOOKUP(T:T,'4店'!$B:$B,1,0)</f>
        <v>Y4055-GW+Y4056+Y4057</v>
      </c>
      <c r="AC78" t="s">
        <v>1498</v>
      </c>
      <c r="AD78">
        <v>6903</v>
      </c>
      <c r="AE78">
        <v>18</v>
      </c>
      <c r="AF78">
        <v>6.89</v>
      </c>
      <c r="AG78">
        <v>0</v>
      </c>
      <c r="AH78">
        <v>0</v>
      </c>
      <c r="AI78" s="31">
        <v>0</v>
      </c>
      <c r="AJ78" s="31">
        <v>0</v>
      </c>
      <c r="AK78" s="1" t="str">
        <f>VLOOKUP(AC:AC,'4店'!$B:$B,1,0)</f>
        <v>Y4055-BL+Y4056+Y4057</v>
      </c>
      <c r="AL78" t="s">
        <v>1538</v>
      </c>
      <c r="AM78" s="102">
        <v>12.99</v>
      </c>
      <c r="AN78" s="1">
        <f t="shared" si="5"/>
        <v>88.9815</v>
      </c>
      <c r="AP78" t="s">
        <v>1345</v>
      </c>
      <c r="AQ78" s="102">
        <v>25.98</v>
      </c>
      <c r="AR78" s="1">
        <f t="shared" si="4"/>
        <v>177.963</v>
      </c>
      <c r="AT78" s="45" t="s">
        <v>1474</v>
      </c>
      <c r="AU78" s="44">
        <v>876.8</v>
      </c>
      <c r="AV78" s="35"/>
      <c r="AW78" s="43" t="s">
        <v>1470</v>
      </c>
      <c r="AX78" s="44">
        <v>794.6</v>
      </c>
      <c r="AZ78" s="47" t="s">
        <v>1527</v>
      </c>
      <c r="BA78" s="48">
        <v>1.825</v>
      </c>
      <c r="BB78" s="1" t="s">
        <v>430</v>
      </c>
    </row>
    <row r="79" spans="2:54">
      <c r="B79" t="s">
        <v>1608</v>
      </c>
      <c r="C79">
        <v>2</v>
      </c>
      <c r="D79" s="1" t="str">
        <f>VLOOKUP(B:B,'4店'!$B:$B,1,0)</f>
        <v>Y4075-GW+Y4076+Y4077</v>
      </c>
      <c r="E79" t="s">
        <v>1503</v>
      </c>
      <c r="F79">
        <v>1</v>
      </c>
      <c r="G79" s="1" t="str">
        <f>VLOOKUP(E:E,'4店'!$B:$B,1,0)</f>
        <v>Y4055-GW+Y4056+Y4057</v>
      </c>
      <c r="H79" t="s">
        <v>1542</v>
      </c>
      <c r="I79">
        <v>17</v>
      </c>
      <c r="J79" s="1" t="str">
        <f>VLOOKUP(H:H,'4店'!$B:$B,1,0)</f>
        <v>Y4069-BL+Y4070+Y4071</v>
      </c>
      <c r="K79" t="s">
        <v>1501</v>
      </c>
      <c r="L79">
        <v>213</v>
      </c>
      <c r="M79">
        <v>3</v>
      </c>
      <c r="N79">
        <v>1.14</v>
      </c>
      <c r="O79">
        <v>12.99</v>
      </c>
      <c r="P79">
        <v>1</v>
      </c>
      <c r="Q79" s="31">
        <v>0.0877598152424942</v>
      </c>
      <c r="R79" s="31">
        <v>0.333333333333333</v>
      </c>
      <c r="S79" s="1" t="str">
        <f>VLOOKUP(K:K,'4店'!$B:$B,1,0)</f>
        <v>Y4055-DB+Y4056+Y4057</v>
      </c>
      <c r="T79" t="s">
        <v>1501</v>
      </c>
      <c r="U79">
        <v>447</v>
      </c>
      <c r="V79">
        <v>4</v>
      </c>
      <c r="W79">
        <v>1.48</v>
      </c>
      <c r="X79">
        <v>12.99</v>
      </c>
      <c r="Y79">
        <v>1</v>
      </c>
      <c r="Z79" s="31">
        <v>0.113933795227098</v>
      </c>
      <c r="AA79" s="31">
        <v>0.25</v>
      </c>
      <c r="AB79" s="1" t="str">
        <f>VLOOKUP(T:T,'4店'!$B:$B,1,0)</f>
        <v>Y4055-DB+Y4056+Y4057</v>
      </c>
      <c r="AC79" t="s">
        <v>1503</v>
      </c>
      <c r="AD79">
        <v>2281</v>
      </c>
      <c r="AE79">
        <v>34</v>
      </c>
      <c r="AF79">
        <v>12.84</v>
      </c>
      <c r="AG79">
        <v>36.97</v>
      </c>
      <c r="AH79">
        <v>3</v>
      </c>
      <c r="AI79" s="31">
        <v>0.347308628617798</v>
      </c>
      <c r="AJ79" s="31">
        <v>0.0882352941176471</v>
      </c>
      <c r="AK79" s="1" t="str">
        <f>VLOOKUP(AC:AC,'4店'!$B:$B,1,0)</f>
        <v>Y4055-GW+Y4056+Y4057</v>
      </c>
      <c r="AL79" t="s">
        <v>1534</v>
      </c>
      <c r="AM79" s="102">
        <v>12.99</v>
      </c>
      <c r="AN79" s="1">
        <f t="shared" si="5"/>
        <v>88.9815</v>
      </c>
      <c r="AP79" t="s">
        <v>1381</v>
      </c>
      <c r="AQ79" s="102">
        <v>25.98</v>
      </c>
      <c r="AR79" s="1">
        <f t="shared" si="4"/>
        <v>177.963</v>
      </c>
      <c r="AT79" s="45" t="s">
        <v>1477</v>
      </c>
      <c r="AU79" s="44">
        <v>1082.3</v>
      </c>
      <c r="AV79" s="35"/>
      <c r="AW79" s="43" t="s">
        <v>1472</v>
      </c>
      <c r="AX79" s="44">
        <v>794.6</v>
      </c>
      <c r="AZ79" s="47" t="s">
        <v>1525</v>
      </c>
      <c r="BA79" s="48">
        <v>1.814</v>
      </c>
      <c r="BB79" s="1" t="s">
        <v>430</v>
      </c>
    </row>
    <row r="80" spans="2:54">
      <c r="B80" t="s">
        <v>1350</v>
      </c>
      <c r="C80">
        <v>1</v>
      </c>
      <c r="D80" s="1" t="str">
        <f>VLOOKUP(B:B,'4店'!$B:$B,1,0)</f>
        <v>Y4021-DB+Y4025+Y4029</v>
      </c>
      <c r="E80" t="s">
        <v>1575</v>
      </c>
      <c r="F80">
        <v>3</v>
      </c>
      <c r="G80" s="1" t="str">
        <f>VLOOKUP(E:E,'4店'!$B:$B,1,0)</f>
        <v>Y4084-WI+Y4085+Y4086</v>
      </c>
      <c r="H80" t="s">
        <v>1527</v>
      </c>
      <c r="I80">
        <v>6</v>
      </c>
      <c r="J80" s="1" t="str">
        <f>VLOOKUP(H:H,'4店'!$B:$B,1,0)</f>
        <v>Y4061-OR+Y4062</v>
      </c>
      <c r="K80" t="s">
        <v>1540</v>
      </c>
      <c r="L80">
        <v>56</v>
      </c>
      <c r="M80">
        <v>0</v>
      </c>
      <c r="N80">
        <v>0</v>
      </c>
      <c r="O80">
        <v>0</v>
      </c>
      <c r="P80">
        <v>0</v>
      </c>
      <c r="Q80" s="31">
        <v>0</v>
      </c>
      <c r="R80" s="31">
        <v>0</v>
      </c>
      <c r="S80" s="1" t="str">
        <f>VLOOKUP(K:K,'4店'!$B:$B,1,0)</f>
        <v>Y4066-WI+Y4068</v>
      </c>
      <c r="T80" t="s">
        <v>1540</v>
      </c>
      <c r="U80">
        <v>99</v>
      </c>
      <c r="V80">
        <v>1</v>
      </c>
      <c r="W80">
        <v>0.18</v>
      </c>
      <c r="X80">
        <v>0</v>
      </c>
      <c r="Y80">
        <v>0</v>
      </c>
      <c r="Z80" s="31">
        <v>0</v>
      </c>
      <c r="AA80" s="31">
        <v>0</v>
      </c>
      <c r="AB80" s="1" t="str">
        <f>VLOOKUP(T:T,'4店'!$B:$B,1,0)</f>
        <v>Y4066-WI+Y4068</v>
      </c>
      <c r="AC80" t="s">
        <v>1501</v>
      </c>
      <c r="AD80">
        <v>1177</v>
      </c>
      <c r="AE80">
        <v>11</v>
      </c>
      <c r="AF80">
        <v>4.28</v>
      </c>
      <c r="AG80">
        <v>12.99</v>
      </c>
      <c r="AH80">
        <v>1</v>
      </c>
      <c r="AI80" s="31">
        <v>0.329484218629715</v>
      </c>
      <c r="AJ80" s="31">
        <v>0.0909090909090909</v>
      </c>
      <c r="AK80" s="1" t="str">
        <f>VLOOKUP(AC:AC,'4店'!$B:$B,1,0)</f>
        <v>Y4055-DB+Y4056+Y4057</v>
      </c>
      <c r="AL80" t="s">
        <v>1545</v>
      </c>
      <c r="AM80" s="102">
        <v>12.99</v>
      </c>
      <c r="AN80" s="1">
        <f t="shared" si="5"/>
        <v>88.9815</v>
      </c>
      <c r="AP80" t="s">
        <v>1387</v>
      </c>
      <c r="AQ80" s="102">
        <v>25.98</v>
      </c>
      <c r="AR80" s="1">
        <f t="shared" si="4"/>
        <v>177.963</v>
      </c>
      <c r="AT80" s="45" t="s">
        <v>1479</v>
      </c>
      <c r="AU80" s="44">
        <v>753.5</v>
      </c>
      <c r="AV80" s="35"/>
      <c r="AW80" s="43" t="s">
        <v>1474</v>
      </c>
      <c r="AX80" s="44">
        <v>959</v>
      </c>
      <c r="AZ80" s="47" t="s">
        <v>1523</v>
      </c>
      <c r="BA80" s="48">
        <v>1.82</v>
      </c>
      <c r="BB80" s="1" t="s">
        <v>430</v>
      </c>
    </row>
    <row r="81" spans="2:54">
      <c r="B81" t="s">
        <v>1397</v>
      </c>
      <c r="C81">
        <v>1</v>
      </c>
      <c r="D81" s="1" t="str">
        <f>VLOOKUP(B:B,'4店'!$B:$B,1,0)</f>
        <v>Y4035-GR</v>
      </c>
      <c r="E81" t="s">
        <v>1566</v>
      </c>
      <c r="F81">
        <v>14</v>
      </c>
      <c r="G81" s="1" t="str">
        <f>VLOOKUP(E:E,'4店'!$B:$B,1,0)</f>
        <v>Y4084-BL+Y4085+Y4086</v>
      </c>
      <c r="H81" t="s">
        <v>1356</v>
      </c>
      <c r="I81">
        <v>2</v>
      </c>
      <c r="J81" s="1" t="str">
        <f>VLOOKUP(H:H,'4店'!$B:$B,1,0)</f>
        <v>Y4021-WB+Y4025+Y4029</v>
      </c>
      <c r="K81" t="s">
        <v>1534</v>
      </c>
      <c r="L81">
        <v>81</v>
      </c>
      <c r="M81">
        <v>0</v>
      </c>
      <c r="N81">
        <v>0</v>
      </c>
      <c r="O81">
        <v>0</v>
      </c>
      <c r="P81">
        <v>0</v>
      </c>
      <c r="Q81" s="31">
        <v>0</v>
      </c>
      <c r="R81" s="31">
        <v>0</v>
      </c>
      <c r="S81" s="1" t="str">
        <f>VLOOKUP(K:K,'4店'!$B:$B,1,0)</f>
        <v>Y4066-DB+Y4068</v>
      </c>
      <c r="T81" t="s">
        <v>1534</v>
      </c>
      <c r="U81">
        <v>150</v>
      </c>
      <c r="V81">
        <v>1</v>
      </c>
      <c r="W81">
        <v>0.39</v>
      </c>
      <c r="X81">
        <v>0</v>
      </c>
      <c r="Y81">
        <v>0</v>
      </c>
      <c r="Z81" s="31">
        <v>0</v>
      </c>
      <c r="AA81" s="31">
        <v>0</v>
      </c>
      <c r="AB81" s="1" t="str">
        <f>VLOOKUP(T:T,'4店'!$B:$B,1,0)</f>
        <v>Y4066-DB+Y4068</v>
      </c>
      <c r="AC81" t="s">
        <v>1540</v>
      </c>
      <c r="AD81">
        <v>171</v>
      </c>
      <c r="AE81">
        <v>2</v>
      </c>
      <c r="AF81">
        <v>0.36</v>
      </c>
      <c r="AG81">
        <v>0</v>
      </c>
      <c r="AH81">
        <v>0</v>
      </c>
      <c r="AI81" s="31">
        <v>0</v>
      </c>
      <c r="AJ81" s="31">
        <v>0</v>
      </c>
      <c r="AK81" s="1" t="str">
        <f>VLOOKUP(AC:AC,'4店'!$B:$B,1,0)</f>
        <v>Y4066-WI+Y4068</v>
      </c>
      <c r="AL81" t="s">
        <v>1547</v>
      </c>
      <c r="AM81" s="102">
        <v>12.99</v>
      </c>
      <c r="AN81" s="1">
        <f t="shared" si="5"/>
        <v>88.9815</v>
      </c>
      <c r="AP81" t="s">
        <v>1460</v>
      </c>
      <c r="AQ81" s="102">
        <v>25.98</v>
      </c>
      <c r="AR81" s="1">
        <f t="shared" si="4"/>
        <v>177.963</v>
      </c>
      <c r="AT81" s="45" t="s">
        <v>1481</v>
      </c>
      <c r="AU81" s="44">
        <v>1096</v>
      </c>
      <c r="AV81" s="35"/>
      <c r="AW81" s="43" t="s">
        <v>1477</v>
      </c>
      <c r="AX81" s="44">
        <v>1041.2</v>
      </c>
      <c r="AZ81" s="47" t="s">
        <v>1512</v>
      </c>
      <c r="BA81" s="48">
        <v>1.822</v>
      </c>
      <c r="BB81" s="1" t="s">
        <v>430</v>
      </c>
    </row>
    <row r="82" spans="2:54">
      <c r="B82" t="s">
        <v>1416</v>
      </c>
      <c r="C82">
        <v>1</v>
      </c>
      <c r="D82" s="1" t="str">
        <f>VLOOKUP(B:B,'4店'!$B:$B,1,0)</f>
        <v>Y4036-OR</v>
      </c>
      <c r="E82" t="s">
        <v>1313</v>
      </c>
      <c r="F82">
        <v>1</v>
      </c>
      <c r="G82" s="1" t="str">
        <f>VLOOKUP(E:E,'4店'!$B:$B,1,0)</f>
        <v>Y4012-GW+Y4015+Y4018</v>
      </c>
      <c r="H82" t="s">
        <v>1549</v>
      </c>
      <c r="I82">
        <v>5</v>
      </c>
      <c r="J82" s="1" t="str">
        <f>VLOOKUP(H:H,'4店'!$B:$B,1,0)</f>
        <v>Y4069-OR+Y4070+Y4071</v>
      </c>
      <c r="K82" t="s">
        <v>1538</v>
      </c>
      <c r="L82">
        <v>60</v>
      </c>
      <c r="M82">
        <v>0</v>
      </c>
      <c r="N82">
        <v>0</v>
      </c>
      <c r="O82">
        <v>0</v>
      </c>
      <c r="P82">
        <v>0</v>
      </c>
      <c r="Q82" s="31">
        <v>0</v>
      </c>
      <c r="R82" s="31">
        <v>0</v>
      </c>
      <c r="S82" s="1" t="str">
        <f>VLOOKUP(K:K,'4店'!$B:$B,1,0)</f>
        <v>Y4066-OR+Y4068</v>
      </c>
      <c r="T82" t="s">
        <v>1538</v>
      </c>
      <c r="U82">
        <v>120</v>
      </c>
      <c r="V82">
        <v>1</v>
      </c>
      <c r="W82">
        <v>0.18</v>
      </c>
      <c r="X82">
        <v>0</v>
      </c>
      <c r="Y82">
        <v>0</v>
      </c>
      <c r="Z82" s="31">
        <v>0</v>
      </c>
      <c r="AA82" s="31">
        <v>0</v>
      </c>
      <c r="AB82" s="1" t="str">
        <f>VLOOKUP(T:T,'4店'!$B:$B,1,0)</f>
        <v>Y4066-OR+Y4068</v>
      </c>
      <c r="AC82" t="s">
        <v>1534</v>
      </c>
      <c r="AD82">
        <v>201</v>
      </c>
      <c r="AE82">
        <v>2</v>
      </c>
      <c r="AF82">
        <v>0.78</v>
      </c>
      <c r="AG82">
        <v>0</v>
      </c>
      <c r="AH82">
        <v>0</v>
      </c>
      <c r="AI82" s="31">
        <v>0</v>
      </c>
      <c r="AJ82" s="31">
        <v>0</v>
      </c>
      <c r="AK82" s="1" t="str">
        <f>VLOOKUP(AC:AC,'4店'!$B:$B,1,0)</f>
        <v>Y4066-DB+Y4068</v>
      </c>
      <c r="AL82" t="s">
        <v>1549</v>
      </c>
      <c r="AM82" s="102">
        <v>12.99</v>
      </c>
      <c r="AN82" s="1">
        <f t="shared" si="5"/>
        <v>88.9815</v>
      </c>
      <c r="AP82" t="s">
        <v>1479</v>
      </c>
      <c r="AQ82" s="102">
        <v>25.98</v>
      </c>
      <c r="AR82" s="1">
        <f t="shared" si="4"/>
        <v>177.963</v>
      </c>
      <c r="AT82" s="45" t="s">
        <v>1483</v>
      </c>
      <c r="AU82" s="44">
        <v>780.9</v>
      </c>
      <c r="AV82" s="35"/>
      <c r="AW82" s="43" t="s">
        <v>1479</v>
      </c>
      <c r="AX82" s="44">
        <v>506.9</v>
      </c>
      <c r="AZ82" s="47" t="s">
        <v>1514</v>
      </c>
      <c r="BA82" s="48">
        <v>1.77</v>
      </c>
      <c r="BB82" s="1" t="s">
        <v>430</v>
      </c>
    </row>
    <row r="83" spans="2:54">
      <c r="B83" t="s">
        <v>1456</v>
      </c>
      <c r="C83">
        <v>1</v>
      </c>
      <c r="D83" s="1" t="str">
        <f>VLOOKUP(B:B,'4店'!$B:$B,1,0)</f>
        <v>Y4041-OR+Y4044</v>
      </c>
      <c r="E83" t="s">
        <v>1562</v>
      </c>
      <c r="F83">
        <v>4</v>
      </c>
      <c r="G83" s="1" t="str">
        <f>VLOOKUP(E:E,'4店'!$B:$B,1,0)</f>
        <v>Y4072-OR+Y4073+Y4074</v>
      </c>
      <c r="H83" t="s">
        <v>1341</v>
      </c>
      <c r="I83">
        <v>4</v>
      </c>
      <c r="J83" s="1" t="str">
        <f>VLOOKUP(H:H,'4店'!$B:$B,1,0)</f>
        <v>Y4020-GW+Y4024+Y4028</v>
      </c>
      <c r="K83" t="s">
        <v>1536</v>
      </c>
      <c r="L83">
        <v>752</v>
      </c>
      <c r="M83">
        <v>4</v>
      </c>
      <c r="N83">
        <v>0.83</v>
      </c>
      <c r="O83">
        <v>12.99</v>
      </c>
      <c r="P83">
        <v>1</v>
      </c>
      <c r="Q83" s="31">
        <v>0.0638953040800616</v>
      </c>
      <c r="R83" s="31">
        <v>0.25</v>
      </c>
      <c r="S83" s="1" t="str">
        <f>VLOOKUP(K:K,'4店'!$B:$B,1,0)</f>
        <v>Y4066-GW+Y4068</v>
      </c>
      <c r="T83" t="s">
        <v>1536</v>
      </c>
      <c r="U83">
        <v>1143</v>
      </c>
      <c r="V83">
        <v>8</v>
      </c>
      <c r="W83">
        <v>1.76</v>
      </c>
      <c r="X83">
        <v>12.99</v>
      </c>
      <c r="Y83">
        <v>1</v>
      </c>
      <c r="Z83" s="31">
        <v>0.13548883756736</v>
      </c>
      <c r="AA83" s="31">
        <v>0.125</v>
      </c>
      <c r="AB83" s="1" t="str">
        <f>VLOOKUP(T:T,'4店'!$B:$B,1,0)</f>
        <v>Y4066-GW+Y4068</v>
      </c>
      <c r="AC83" t="s">
        <v>1538</v>
      </c>
      <c r="AD83">
        <v>208</v>
      </c>
      <c r="AE83">
        <v>1</v>
      </c>
      <c r="AF83">
        <v>0.18</v>
      </c>
      <c r="AG83">
        <v>0</v>
      </c>
      <c r="AH83">
        <v>0</v>
      </c>
      <c r="AI83" s="31">
        <v>0</v>
      </c>
      <c r="AJ83" s="31">
        <v>0</v>
      </c>
      <c r="AK83" s="1" t="str">
        <f>VLOOKUP(AC:AC,'4店'!$B:$B,1,0)</f>
        <v>Y4066-OR+Y4068</v>
      </c>
      <c r="AL83" t="s">
        <v>1558</v>
      </c>
      <c r="AM83" s="102">
        <v>12.99</v>
      </c>
      <c r="AN83" s="1">
        <f t="shared" si="5"/>
        <v>88.9815</v>
      </c>
      <c r="AP83" t="s">
        <v>1472</v>
      </c>
      <c r="AQ83" s="102">
        <v>25.98</v>
      </c>
      <c r="AR83" s="1">
        <f t="shared" si="4"/>
        <v>177.963</v>
      </c>
      <c r="AT83" s="45" t="s">
        <v>1485</v>
      </c>
      <c r="AU83" s="44">
        <v>1301.5</v>
      </c>
      <c r="AV83" s="35"/>
      <c r="AW83" s="43" t="s">
        <v>1481</v>
      </c>
      <c r="AX83" s="44">
        <v>520.6</v>
      </c>
      <c r="AZ83" s="47" t="s">
        <v>1516</v>
      </c>
      <c r="BA83" s="48">
        <v>1.825</v>
      </c>
      <c r="BB83" s="1" t="s">
        <v>430</v>
      </c>
    </row>
    <row r="84" spans="2:54">
      <c r="B84" t="s">
        <v>1446</v>
      </c>
      <c r="C84">
        <v>1</v>
      </c>
      <c r="D84" s="1" t="str">
        <f>VLOOKUP(B:B,'4店'!$B:$B,1,0)</f>
        <v>Y4040-WI+Y4043</v>
      </c>
      <c r="E84" t="s">
        <v>1588</v>
      </c>
      <c r="F84">
        <v>5</v>
      </c>
      <c r="G84" s="1" t="str">
        <f>VLOOKUP(E:E,'4店'!$B:$B,1,0)</f>
        <v>Y4081-WI+Y4082+Y4083</v>
      </c>
      <c r="H84" t="s">
        <v>1516</v>
      </c>
      <c r="I84">
        <v>1</v>
      </c>
      <c r="J84" s="1" t="str">
        <f>VLOOKUP(H:H,'4店'!$B:$B,1,0)</f>
        <v>Y4058-OR+Y4059+Y4060</v>
      </c>
      <c r="K84" t="s">
        <v>1531</v>
      </c>
      <c r="L84">
        <v>230</v>
      </c>
      <c r="M84">
        <v>0</v>
      </c>
      <c r="N84">
        <v>0</v>
      </c>
      <c r="O84">
        <v>0</v>
      </c>
      <c r="P84">
        <v>0</v>
      </c>
      <c r="Q84" s="31">
        <v>0</v>
      </c>
      <c r="R84" s="31">
        <v>0</v>
      </c>
      <c r="S84" s="1" t="str">
        <f>VLOOKUP(K:K,'4店'!$B:$B,1,0)</f>
        <v>Y4066-BL+Y4068</v>
      </c>
      <c r="T84" t="s">
        <v>1531</v>
      </c>
      <c r="U84">
        <v>484</v>
      </c>
      <c r="V84">
        <v>1</v>
      </c>
      <c r="W84">
        <v>0.43</v>
      </c>
      <c r="X84">
        <v>0</v>
      </c>
      <c r="Y84">
        <v>0</v>
      </c>
      <c r="Z84" s="31">
        <v>0</v>
      </c>
      <c r="AA84" s="31">
        <v>0</v>
      </c>
      <c r="AB84" s="1" t="str">
        <f>VLOOKUP(T:T,'4店'!$B:$B,1,0)</f>
        <v>Y4066-BL+Y4068</v>
      </c>
      <c r="AC84" t="s">
        <v>1536</v>
      </c>
      <c r="AD84">
        <v>1363</v>
      </c>
      <c r="AE84">
        <v>12</v>
      </c>
      <c r="AF84">
        <v>2.48</v>
      </c>
      <c r="AG84">
        <v>25.98</v>
      </c>
      <c r="AH84">
        <v>2</v>
      </c>
      <c r="AI84" s="31">
        <v>0.0954580446497306</v>
      </c>
      <c r="AJ84" s="31">
        <v>0.166666666666667</v>
      </c>
      <c r="AK84" s="1" t="str">
        <f>VLOOKUP(AC:AC,'4店'!$B:$B,1,0)</f>
        <v>Y4066-GW+Y4068</v>
      </c>
      <c r="AL84" t="s">
        <v>1562</v>
      </c>
      <c r="AM84" s="102">
        <v>12.99</v>
      </c>
      <c r="AN84" s="1">
        <f t="shared" si="5"/>
        <v>88.9815</v>
      </c>
      <c r="AP84" t="s">
        <v>1492</v>
      </c>
      <c r="AQ84" s="102">
        <v>25.98</v>
      </c>
      <c r="AR84" s="1">
        <f t="shared" si="4"/>
        <v>177.963</v>
      </c>
      <c r="AT84" s="45" t="s">
        <v>1488</v>
      </c>
      <c r="AU84" s="44">
        <v>301.4</v>
      </c>
      <c r="AV84" s="35"/>
      <c r="AW84" s="43" t="s">
        <v>1483</v>
      </c>
      <c r="AX84" s="44">
        <v>109.6</v>
      </c>
      <c r="AZ84" s="47" t="s">
        <v>1518</v>
      </c>
      <c r="BA84" s="48">
        <v>1.77</v>
      </c>
      <c r="BB84" s="1" t="s">
        <v>430</v>
      </c>
    </row>
    <row r="85" spans="2:54">
      <c r="B85" t="s">
        <v>1451</v>
      </c>
      <c r="C85">
        <v>1</v>
      </c>
      <c r="D85" s="1" t="str">
        <f>VLOOKUP(B:B,'4店'!$B:$B,1,0)</f>
        <v>Y4041-DB+Y4044</v>
      </c>
      <c r="E85" t="s">
        <v>1569</v>
      </c>
      <c r="F85">
        <v>9</v>
      </c>
      <c r="G85" s="1" t="str">
        <f>VLOOKUP(E:E,'4店'!$B:$B,1,0)</f>
        <v>Y4084-DB+Y4085+Y4086</v>
      </c>
      <c r="H85" t="s">
        <v>1514</v>
      </c>
      <c r="I85">
        <v>2</v>
      </c>
      <c r="J85" s="1" t="str">
        <f>VLOOKUP(H:H,'4店'!$B:$B,1,0)</f>
        <v>Y4058-GW+Y4059+Y4060</v>
      </c>
      <c r="K85" t="s">
        <v>1434</v>
      </c>
      <c r="L85">
        <v>45</v>
      </c>
      <c r="M85">
        <v>0</v>
      </c>
      <c r="N85">
        <v>0</v>
      </c>
      <c r="O85">
        <v>0</v>
      </c>
      <c r="P85">
        <v>0</v>
      </c>
      <c r="Q85" s="31">
        <v>0</v>
      </c>
      <c r="R85" s="31">
        <v>0</v>
      </c>
      <c r="S85" s="1" t="str">
        <f>VLOOKUP(K:K,'4店'!$B:$B,1,0)</f>
        <v>Y4040-BL+Y4043</v>
      </c>
      <c r="T85" t="s">
        <v>1434</v>
      </c>
      <c r="U85">
        <v>107</v>
      </c>
      <c r="V85">
        <v>2</v>
      </c>
      <c r="W85">
        <v>0.78</v>
      </c>
      <c r="X85">
        <v>12.99</v>
      </c>
      <c r="Y85">
        <v>1</v>
      </c>
      <c r="Z85" s="31">
        <v>0.0600461893764434</v>
      </c>
      <c r="AA85" s="31">
        <v>0.5</v>
      </c>
      <c r="AB85" s="1" t="str">
        <f>VLOOKUP(T:T,'4店'!$B:$B,1,0)</f>
        <v>Y4040-BL+Y4043</v>
      </c>
      <c r="AC85" t="s">
        <v>1531</v>
      </c>
      <c r="AD85">
        <v>1010</v>
      </c>
      <c r="AE85">
        <v>3</v>
      </c>
      <c r="AF85">
        <v>0.91</v>
      </c>
      <c r="AG85">
        <v>0</v>
      </c>
      <c r="AH85">
        <v>0</v>
      </c>
      <c r="AI85" s="31">
        <v>0</v>
      </c>
      <c r="AJ85" s="31">
        <v>0</v>
      </c>
      <c r="AK85" s="1" t="str">
        <f>VLOOKUP(AC:AC,'4店'!$B:$B,1,0)</f>
        <v>Y4066-BL+Y4068</v>
      </c>
      <c r="AL85" t="s">
        <v>1584</v>
      </c>
      <c r="AM85" s="102">
        <v>12.99</v>
      </c>
      <c r="AN85" s="1">
        <f t="shared" si="5"/>
        <v>88.9815</v>
      </c>
      <c r="AP85" t="s">
        <v>1514</v>
      </c>
      <c r="AQ85" s="102">
        <v>25.98</v>
      </c>
      <c r="AR85" s="1">
        <f t="shared" si="4"/>
        <v>177.963</v>
      </c>
      <c r="AT85" s="45" t="s">
        <v>1490</v>
      </c>
      <c r="AU85" s="44">
        <v>411</v>
      </c>
      <c r="AV85" s="35"/>
      <c r="AW85" s="43" t="s">
        <v>1485</v>
      </c>
      <c r="AX85" s="44">
        <v>1356.3</v>
      </c>
      <c r="AZ85" s="47" t="s">
        <v>1509</v>
      </c>
      <c r="BA85" s="48">
        <v>1.063</v>
      </c>
      <c r="BB85" s="1" t="s">
        <v>430</v>
      </c>
    </row>
    <row r="86" spans="2:54">
      <c r="B86" t="s">
        <v>1505</v>
      </c>
      <c r="C86">
        <v>1</v>
      </c>
      <c r="D86" s="1" t="str">
        <f>VLOOKUP(B:B,'4店'!$B:$B,1,0)</f>
        <v>Y4055-OR+Y4056+Y4057</v>
      </c>
      <c r="E86" t="s">
        <v>1581</v>
      </c>
      <c r="F86">
        <v>8</v>
      </c>
      <c r="G86" s="1" t="str">
        <f>VLOOKUP(E:E,'4店'!$B:$B,1,0)</f>
        <v>Y4081-DB+Y4082+Y4083</v>
      </c>
      <c r="H86" t="s">
        <v>1409</v>
      </c>
      <c r="I86">
        <v>1</v>
      </c>
      <c r="J86" s="1" t="str">
        <f>VLOOKUP(H:H,'4店'!$B:$B,1,0)</f>
        <v>Y4037-GR</v>
      </c>
      <c r="K86" t="s">
        <v>1553</v>
      </c>
      <c r="L86">
        <v>1035</v>
      </c>
      <c r="M86">
        <v>2</v>
      </c>
      <c r="N86">
        <v>0.75</v>
      </c>
      <c r="O86">
        <v>0</v>
      </c>
      <c r="P86">
        <v>0</v>
      </c>
      <c r="Q86" s="31">
        <v>0</v>
      </c>
      <c r="R86" s="31">
        <v>0</v>
      </c>
      <c r="S86" s="1" t="str">
        <f>VLOOKUP(K:K,'4店'!$B:$B,1,0)</f>
        <v>Y4072-BL+Y4073+Y4074</v>
      </c>
      <c r="T86" t="s">
        <v>1553</v>
      </c>
      <c r="U86">
        <v>1763</v>
      </c>
      <c r="V86">
        <v>5</v>
      </c>
      <c r="W86">
        <v>1.93</v>
      </c>
      <c r="X86">
        <v>10.99</v>
      </c>
      <c r="Y86">
        <v>1</v>
      </c>
      <c r="Z86" s="31">
        <v>0.175614194722475</v>
      </c>
      <c r="AA86" s="31">
        <v>0.2</v>
      </c>
      <c r="AB86" s="1" t="str">
        <f>VLOOKUP(T:T,'4店'!$B:$B,1,0)</f>
        <v>Y4072-BL+Y4073+Y4074</v>
      </c>
      <c r="AC86" t="s">
        <v>1434</v>
      </c>
      <c r="AD86">
        <v>543</v>
      </c>
      <c r="AE86">
        <v>3</v>
      </c>
      <c r="AF86">
        <v>1.15</v>
      </c>
      <c r="AG86">
        <v>12.99</v>
      </c>
      <c r="AH86">
        <v>1</v>
      </c>
      <c r="AI86" s="31">
        <v>0.0885296381832179</v>
      </c>
      <c r="AJ86" s="31">
        <v>0.333333333333333</v>
      </c>
      <c r="AK86" s="1" t="str">
        <f>VLOOKUP(AC:AC,'4店'!$B:$B,1,0)</f>
        <v>Y4040-BL+Y4043</v>
      </c>
      <c r="AL86" t="s">
        <v>1588</v>
      </c>
      <c r="AM86" s="102">
        <v>12.99</v>
      </c>
      <c r="AN86" s="1">
        <f t="shared" si="5"/>
        <v>88.9815</v>
      </c>
      <c r="AP86" t="s">
        <v>1527</v>
      </c>
      <c r="AQ86" s="102">
        <v>25.98</v>
      </c>
      <c r="AR86" s="1">
        <f t="shared" si="4"/>
        <v>177.963</v>
      </c>
      <c r="AT86" s="45" t="s">
        <v>1492</v>
      </c>
      <c r="AU86" s="44">
        <v>287.7</v>
      </c>
      <c r="AV86" s="35"/>
      <c r="AW86" s="43" t="s">
        <v>1488</v>
      </c>
      <c r="AX86" s="44">
        <v>205.5</v>
      </c>
      <c r="AZ86" s="47" t="s">
        <v>1507</v>
      </c>
      <c r="BA86" s="48">
        <v>1.77</v>
      </c>
      <c r="BB86" s="1" t="s">
        <v>430</v>
      </c>
    </row>
    <row r="87" spans="2:54">
      <c r="B87" t="s">
        <v>1525</v>
      </c>
      <c r="C87">
        <v>1</v>
      </c>
      <c r="D87" s="1" t="str">
        <f>VLOOKUP(B:B,'4店'!$B:$B,1,0)</f>
        <v>Y4061-GW+Y4062</v>
      </c>
      <c r="E87" t="s">
        <v>1593</v>
      </c>
      <c r="F87">
        <v>5</v>
      </c>
      <c r="G87" s="1" t="str">
        <f>VLOOKUP(E:E,'4店'!$B:$B,1,0)</f>
        <v>Y4078-DB+Y4079+Y4080</v>
      </c>
      <c r="H87" t="s">
        <v>1509</v>
      </c>
      <c r="I87">
        <v>10</v>
      </c>
      <c r="J87" s="1" t="str">
        <f>VLOOKUP(H:H,'4店'!$B:$B,1,0)</f>
        <v>Y4058-BL+Y4059+Y4060</v>
      </c>
      <c r="K87" t="s">
        <v>1562</v>
      </c>
      <c r="L87">
        <v>460</v>
      </c>
      <c r="M87">
        <v>4</v>
      </c>
      <c r="N87">
        <v>1.59</v>
      </c>
      <c r="O87">
        <v>0</v>
      </c>
      <c r="P87">
        <v>0</v>
      </c>
      <c r="Q87" s="31">
        <v>0</v>
      </c>
      <c r="R87" s="31">
        <v>0</v>
      </c>
      <c r="S87" s="1" t="str">
        <f>VLOOKUP(K:K,'4店'!$B:$B,1,0)</f>
        <v>Y4072-OR+Y4073+Y4074</v>
      </c>
      <c r="T87" t="s">
        <v>1562</v>
      </c>
      <c r="U87">
        <v>963</v>
      </c>
      <c r="V87">
        <v>7</v>
      </c>
      <c r="W87">
        <v>2.76</v>
      </c>
      <c r="X87">
        <v>12.99</v>
      </c>
      <c r="Y87">
        <v>1</v>
      </c>
      <c r="Z87" s="31">
        <v>0.212471131639723</v>
      </c>
      <c r="AA87" s="31">
        <v>0.142857142857143</v>
      </c>
      <c r="AB87" s="1" t="str">
        <f>VLOOKUP(T:T,'4店'!$B:$B,1,0)</f>
        <v>Y4072-OR+Y4073+Y4074</v>
      </c>
      <c r="AC87" t="s">
        <v>1553</v>
      </c>
      <c r="AD87">
        <v>3466</v>
      </c>
      <c r="AE87">
        <v>9</v>
      </c>
      <c r="AF87">
        <v>3.48</v>
      </c>
      <c r="AG87">
        <v>10.99</v>
      </c>
      <c r="AH87">
        <v>1</v>
      </c>
      <c r="AI87" s="31">
        <v>0.316651501364877</v>
      </c>
      <c r="AJ87" s="31">
        <v>0.111111111111111</v>
      </c>
      <c r="AK87" s="1" t="str">
        <f>VLOOKUP(AC:AC,'4店'!$B:$B,1,0)</f>
        <v>Y4072-BL+Y4073+Y4074</v>
      </c>
      <c r="AL87" t="s">
        <v>1593</v>
      </c>
      <c r="AM87" s="102">
        <v>12.99</v>
      </c>
      <c r="AN87" s="1">
        <f t="shared" si="5"/>
        <v>88.9815</v>
      </c>
      <c r="AP87" t="s">
        <v>1538</v>
      </c>
      <c r="AQ87" s="102">
        <v>25.98</v>
      </c>
      <c r="AR87" s="1">
        <f t="shared" si="4"/>
        <v>177.963</v>
      </c>
      <c r="AT87" s="45" t="s">
        <v>1494</v>
      </c>
      <c r="AU87" s="44">
        <v>301.4</v>
      </c>
      <c r="AV87" s="35"/>
      <c r="AW87" s="43" t="s">
        <v>1490</v>
      </c>
      <c r="AX87" s="44">
        <v>424.7</v>
      </c>
      <c r="AZ87" s="47" t="s">
        <v>1505</v>
      </c>
      <c r="BA87" s="48">
        <v>1.822</v>
      </c>
      <c r="BB87" s="1" t="s">
        <v>430</v>
      </c>
    </row>
    <row r="88" spans="2:54">
      <c r="B88" t="s">
        <v>1534</v>
      </c>
      <c r="C88">
        <v>1</v>
      </c>
      <c r="D88" s="1" t="str">
        <f>VLOOKUP(B:B,'4店'!$B:$B,1,0)</f>
        <v>Y4066-DB+Y4068</v>
      </c>
      <c r="E88" t="s">
        <v>1590</v>
      </c>
      <c r="F88">
        <v>7</v>
      </c>
      <c r="G88" s="1" t="str">
        <f>VLOOKUP(E:E,'4店'!$B:$B,1,0)</f>
        <v>Y4078-BL+Y4079+Y4080</v>
      </c>
      <c r="H88" t="s">
        <v>1503</v>
      </c>
      <c r="I88">
        <v>2</v>
      </c>
      <c r="J88" s="1" t="str">
        <f>VLOOKUP(H:H,'4店'!$B:$B,1,0)</f>
        <v>Y4055-GW+Y4056+Y4057</v>
      </c>
      <c r="K88" t="s">
        <v>1547</v>
      </c>
      <c r="L88">
        <v>408</v>
      </c>
      <c r="M88">
        <v>7</v>
      </c>
      <c r="N88">
        <v>3.07</v>
      </c>
      <c r="O88">
        <v>12.99</v>
      </c>
      <c r="P88">
        <v>1</v>
      </c>
      <c r="Q88" s="31">
        <v>0.236335642802156</v>
      </c>
      <c r="R88" s="31">
        <v>0.142857142857143</v>
      </c>
      <c r="S88" s="1" t="str">
        <f>VLOOKUP(K:K,'4店'!$B:$B,1,0)</f>
        <v>Y4069-GW+Y4070+Y4071</v>
      </c>
      <c r="T88" t="s">
        <v>1547</v>
      </c>
      <c r="U88">
        <v>982</v>
      </c>
      <c r="V88">
        <v>17</v>
      </c>
      <c r="W88">
        <v>7.51</v>
      </c>
      <c r="X88">
        <v>12.99</v>
      </c>
      <c r="Y88">
        <v>1</v>
      </c>
      <c r="Z88" s="31">
        <v>0.578137028483449</v>
      </c>
      <c r="AA88" s="31">
        <v>0.0588235294117647</v>
      </c>
      <c r="AB88" s="1" t="str">
        <f>VLOOKUP(T:T,'4店'!$B:$B,1,0)</f>
        <v>Y4069-GW+Y4070+Y4071</v>
      </c>
      <c r="AC88" t="s">
        <v>1562</v>
      </c>
      <c r="AD88">
        <v>1982</v>
      </c>
      <c r="AE88">
        <v>17</v>
      </c>
      <c r="AF88">
        <v>6.43</v>
      </c>
      <c r="AG88">
        <v>12.99</v>
      </c>
      <c r="AH88">
        <v>1</v>
      </c>
      <c r="AI88" s="31">
        <v>0.494996150885296</v>
      </c>
      <c r="AJ88" s="31">
        <v>0.0588235294117647</v>
      </c>
      <c r="AK88" s="1" t="str">
        <f>VLOOKUP(AC:AC,'4店'!$B:$B,1,0)</f>
        <v>Y4072-OR+Y4073+Y4074</v>
      </c>
      <c r="AL88" t="s">
        <v>1597</v>
      </c>
      <c r="AM88" s="102">
        <v>38.97</v>
      </c>
      <c r="AN88" s="1">
        <f t="shared" si="5"/>
        <v>266.9445</v>
      </c>
      <c r="AP88" t="s">
        <v>1560</v>
      </c>
      <c r="AQ88" s="102">
        <v>23.98</v>
      </c>
      <c r="AR88" s="1">
        <f t="shared" si="4"/>
        <v>164.263</v>
      </c>
      <c r="AT88" s="45" t="s">
        <v>1496</v>
      </c>
      <c r="AU88" s="44">
        <v>1123.4</v>
      </c>
      <c r="AV88" s="35"/>
      <c r="AW88" s="43" t="s">
        <v>1492</v>
      </c>
      <c r="AX88" s="44">
        <v>315.1</v>
      </c>
      <c r="AZ88" s="47" t="s">
        <v>1498</v>
      </c>
      <c r="BA88" s="48">
        <v>1.825</v>
      </c>
      <c r="BB88" s="1" t="s">
        <v>430</v>
      </c>
    </row>
    <row r="89" spans="2:54">
      <c r="B89" t="s">
        <v>1545</v>
      </c>
      <c r="C89">
        <v>1</v>
      </c>
      <c r="D89" s="1" t="str">
        <f>VLOOKUP(B:B,'4店'!$B:$B,1,0)</f>
        <v>Y4069-DB+Y4070+Y4071</v>
      </c>
      <c r="E89" t="s">
        <v>1597</v>
      </c>
      <c r="F89">
        <v>13</v>
      </c>
      <c r="G89" s="1" t="str">
        <f>VLOOKUP(E:E,'4店'!$B:$B,1,0)</f>
        <v>Y4078-OR+Y4079+Y4080</v>
      </c>
      <c r="H89" t="s">
        <v>1492</v>
      </c>
      <c r="I89">
        <v>3</v>
      </c>
      <c r="J89" s="1" t="str">
        <f>VLOOKUP(H:H,'4店'!$B:$B,1,0)</f>
        <v>Y4063-OR+Y4064+Y4065</v>
      </c>
      <c r="K89" t="s">
        <v>1542</v>
      </c>
      <c r="L89">
        <v>304</v>
      </c>
      <c r="M89">
        <v>2</v>
      </c>
      <c r="N89">
        <v>0.91</v>
      </c>
      <c r="O89">
        <v>0</v>
      </c>
      <c r="P89">
        <v>0</v>
      </c>
      <c r="Q89" s="31">
        <v>0</v>
      </c>
      <c r="R89" s="31">
        <v>0</v>
      </c>
      <c r="S89" s="1" t="str">
        <f>VLOOKUP(K:K,'4店'!$B:$B,1,0)</f>
        <v>Y4069-BL+Y4070+Y4071</v>
      </c>
      <c r="T89" t="s">
        <v>1542</v>
      </c>
      <c r="U89">
        <v>963</v>
      </c>
      <c r="V89">
        <v>10</v>
      </c>
      <c r="W89">
        <v>5.32</v>
      </c>
      <c r="X89">
        <v>0</v>
      </c>
      <c r="Y89">
        <v>0</v>
      </c>
      <c r="Z89" s="31">
        <v>0</v>
      </c>
      <c r="AA89" s="31">
        <v>0</v>
      </c>
      <c r="AB89" s="1" t="str">
        <f>VLOOKUP(T:T,'4店'!$B:$B,1,0)</f>
        <v>Y4069-BL+Y4070+Y4071</v>
      </c>
      <c r="AC89" t="s">
        <v>1547</v>
      </c>
      <c r="AD89">
        <v>2259</v>
      </c>
      <c r="AE89">
        <v>31</v>
      </c>
      <c r="AF89">
        <v>13.55</v>
      </c>
      <c r="AG89">
        <v>25.98</v>
      </c>
      <c r="AH89">
        <v>2</v>
      </c>
      <c r="AI89" s="31">
        <v>0.521555042340262</v>
      </c>
      <c r="AJ89" s="31">
        <v>0.0645161290322581</v>
      </c>
      <c r="AK89" s="1" t="str">
        <f>VLOOKUP(AC:AC,'4店'!$B:$B,1,0)</f>
        <v>Y4069-GW+Y4070+Y4071</v>
      </c>
      <c r="AL89" t="s">
        <v>1595</v>
      </c>
      <c r="AM89" s="102">
        <v>12.99</v>
      </c>
      <c r="AN89" s="1">
        <f t="shared" si="5"/>
        <v>88.9815</v>
      </c>
      <c r="AP89" t="s">
        <v>1595</v>
      </c>
      <c r="AQ89" s="102">
        <v>25.98</v>
      </c>
      <c r="AR89" s="1">
        <f t="shared" si="4"/>
        <v>177.963</v>
      </c>
      <c r="AT89" s="45" t="s">
        <v>1498</v>
      </c>
      <c r="AU89" s="44">
        <v>342.5</v>
      </c>
      <c r="AV89" s="35"/>
      <c r="AW89" s="43" t="s">
        <v>1494</v>
      </c>
      <c r="AX89" s="44">
        <v>342.5</v>
      </c>
      <c r="AZ89" s="47" t="s">
        <v>1503</v>
      </c>
      <c r="BA89" s="48">
        <v>1.77</v>
      </c>
      <c r="BB89" s="1" t="s">
        <v>430</v>
      </c>
    </row>
    <row r="90" spans="2:54">
      <c r="B90" t="s">
        <v>1547</v>
      </c>
      <c r="C90">
        <v>1</v>
      </c>
      <c r="D90" s="1" t="str">
        <f>VLOOKUP(B:B,'4店'!$B:$B,1,0)</f>
        <v>Y4069-GW+Y4070+Y4071</v>
      </c>
      <c r="E90" t="s">
        <v>1578</v>
      </c>
      <c r="F90">
        <v>25</v>
      </c>
      <c r="G90" s="1" t="str">
        <f>VLOOKUP(E:E,'4店'!$B:$B,1,0)</f>
        <v>Y4081-BL+Y4082+Y4083</v>
      </c>
      <c r="H90" t="s">
        <v>1411</v>
      </c>
      <c r="I90">
        <v>2</v>
      </c>
      <c r="J90" s="1" t="str">
        <f>VLOOKUP(H:H,'4店'!$B:$B,1,0)</f>
        <v>Y4036-BL</v>
      </c>
      <c r="K90" t="s">
        <v>1551</v>
      </c>
      <c r="L90">
        <v>309</v>
      </c>
      <c r="M90">
        <v>4</v>
      </c>
      <c r="N90">
        <v>1.71</v>
      </c>
      <c r="O90">
        <v>0</v>
      </c>
      <c r="P90">
        <v>0</v>
      </c>
      <c r="Q90" s="31">
        <v>0</v>
      </c>
      <c r="R90" s="31">
        <v>0</v>
      </c>
      <c r="S90" s="1" t="str">
        <f>VLOOKUP(K:K,'4店'!$B:$B,1,0)</f>
        <v>Y4069-WI+Y4070+Y4071</v>
      </c>
      <c r="T90" t="s">
        <v>1551</v>
      </c>
      <c r="U90">
        <v>728</v>
      </c>
      <c r="V90">
        <v>7</v>
      </c>
      <c r="W90">
        <v>2.81</v>
      </c>
      <c r="X90">
        <v>0</v>
      </c>
      <c r="Y90">
        <v>0</v>
      </c>
      <c r="Z90" s="31">
        <v>0</v>
      </c>
      <c r="AA90" s="31">
        <v>0</v>
      </c>
      <c r="AB90" s="1" t="str">
        <f>VLOOKUP(T:T,'4店'!$B:$B,1,0)</f>
        <v>Y4069-WI+Y4070+Y4071</v>
      </c>
      <c r="AC90" t="s">
        <v>1542</v>
      </c>
      <c r="AD90">
        <v>1830</v>
      </c>
      <c r="AE90">
        <v>17</v>
      </c>
      <c r="AF90">
        <v>8.99</v>
      </c>
      <c r="AG90">
        <v>0</v>
      </c>
      <c r="AH90">
        <v>0</v>
      </c>
      <c r="AI90" s="31">
        <v>0</v>
      </c>
      <c r="AJ90" s="31">
        <v>0</v>
      </c>
      <c r="AK90" s="1" t="str">
        <f>VLOOKUP(AC:AC,'4店'!$B:$B,1,0)</f>
        <v>Y4069-BL+Y4070+Y4071</v>
      </c>
      <c r="AL90" t="s">
        <v>1612</v>
      </c>
      <c r="AM90" s="102">
        <v>12.99</v>
      </c>
      <c r="AN90" s="1">
        <f t="shared" si="5"/>
        <v>88.9815</v>
      </c>
      <c r="AP90" t="s">
        <v>1610</v>
      </c>
      <c r="AQ90" s="102">
        <v>25.98</v>
      </c>
      <c r="AR90" s="1">
        <f t="shared" si="4"/>
        <v>177.963</v>
      </c>
      <c r="AT90" s="45" t="s">
        <v>1501</v>
      </c>
      <c r="AU90" s="44">
        <v>506.9</v>
      </c>
      <c r="AV90" s="35"/>
      <c r="AW90" s="43" t="s">
        <v>1496</v>
      </c>
      <c r="AX90" s="44">
        <v>876.8</v>
      </c>
      <c r="AZ90" s="47" t="s">
        <v>1501</v>
      </c>
      <c r="BA90" s="48">
        <v>1.823</v>
      </c>
      <c r="BB90" s="1" t="s">
        <v>430</v>
      </c>
    </row>
    <row r="91" spans="2:54">
      <c r="B91" t="s">
        <v>1595</v>
      </c>
      <c r="C91">
        <v>1</v>
      </c>
      <c r="D91" s="1" t="str">
        <f>VLOOKUP(B:B,'4店'!$B:$B,1,0)</f>
        <v>Y4078-GW+Y4079+Y4080</v>
      </c>
      <c r="E91" t="s">
        <v>1586</v>
      </c>
      <c r="F91">
        <v>9</v>
      </c>
      <c r="G91" s="1" t="str">
        <f>VLOOKUP(E:E,'4店'!$B:$B,1,0)</f>
        <v>Y4081-OR+Y4082+Y4083</v>
      </c>
      <c r="H91" t="s">
        <v>1460</v>
      </c>
      <c r="I91">
        <v>3</v>
      </c>
      <c r="J91" s="1" t="str">
        <f>VLOOKUP(H:H,'4店'!$B:$B,1,0)</f>
        <v>Y4041-WB+Y4044</v>
      </c>
      <c r="K91" t="s">
        <v>1560</v>
      </c>
      <c r="L91">
        <v>338</v>
      </c>
      <c r="M91">
        <v>1</v>
      </c>
      <c r="N91">
        <v>0.27</v>
      </c>
      <c r="O91">
        <v>0</v>
      </c>
      <c r="P91">
        <v>0</v>
      </c>
      <c r="Q91" s="31">
        <v>0</v>
      </c>
      <c r="R91" s="31">
        <v>0</v>
      </c>
      <c r="S91" s="1" t="str">
        <f>VLOOKUP(K:K,'4店'!$B:$B,1,0)</f>
        <v>Y4072-GW+Y4073+Y4074</v>
      </c>
      <c r="T91" t="s">
        <v>1560</v>
      </c>
      <c r="U91">
        <v>591</v>
      </c>
      <c r="V91">
        <v>2</v>
      </c>
      <c r="W91">
        <v>0.66</v>
      </c>
      <c r="X91">
        <v>0</v>
      </c>
      <c r="Y91">
        <v>0</v>
      </c>
      <c r="Z91" s="31">
        <v>0</v>
      </c>
      <c r="AA91" s="31">
        <v>0</v>
      </c>
      <c r="AB91" s="1" t="str">
        <f>VLOOKUP(T:T,'4店'!$B:$B,1,0)</f>
        <v>Y4072-GW+Y4073+Y4074</v>
      </c>
      <c r="AC91" t="s">
        <v>1551</v>
      </c>
      <c r="AD91">
        <v>1573</v>
      </c>
      <c r="AE91">
        <v>18</v>
      </c>
      <c r="AF91">
        <v>7.31</v>
      </c>
      <c r="AG91">
        <v>25.98</v>
      </c>
      <c r="AH91">
        <v>2</v>
      </c>
      <c r="AI91" s="31">
        <v>0.281370284834488</v>
      </c>
      <c r="AJ91" s="31">
        <v>0.111111111111111</v>
      </c>
      <c r="AK91" s="1" t="str">
        <f>VLOOKUP(AC:AC,'4店'!$B:$B,1,0)</f>
        <v>Y4069-WI+Y4070+Y4071</v>
      </c>
      <c r="AL91" t="s">
        <v>1629</v>
      </c>
      <c r="AM91" s="102">
        <v>12.99</v>
      </c>
      <c r="AN91" s="1">
        <f t="shared" si="5"/>
        <v>88.9815</v>
      </c>
      <c r="AP91" t="s">
        <v>1608</v>
      </c>
      <c r="AQ91" s="102">
        <v>25.98</v>
      </c>
      <c r="AR91" s="1">
        <f t="shared" si="4"/>
        <v>177.963</v>
      </c>
      <c r="AT91" s="45" t="s">
        <v>1503</v>
      </c>
      <c r="AU91" s="44">
        <v>301.4</v>
      </c>
      <c r="AV91" s="35"/>
      <c r="AW91" s="43" t="s">
        <v>1498</v>
      </c>
      <c r="AX91" s="44">
        <v>369.9</v>
      </c>
      <c r="AZ91" s="47" t="s">
        <v>1462</v>
      </c>
      <c r="BA91" s="48">
        <v>4.455</v>
      </c>
      <c r="BB91" s="1" t="s">
        <v>430</v>
      </c>
    </row>
    <row r="92" spans="2:54">
      <c r="B92" t="s">
        <v>1629</v>
      </c>
      <c r="C92">
        <v>1</v>
      </c>
      <c r="D92" s="1" t="str">
        <f>VLOOKUP(B:B,'4店'!$B:$B,1,0)</f>
        <v>Y4089-BL+Y4090</v>
      </c>
      <c r="E92" t="s">
        <v>1584</v>
      </c>
      <c r="F92">
        <v>4</v>
      </c>
      <c r="G92" s="1" t="str">
        <f>VLOOKUP(E:E,'4店'!$B:$B,1,0)</f>
        <v>Y4081-GW+Y4082+Y4083</v>
      </c>
      <c r="H92" t="s">
        <v>1488</v>
      </c>
      <c r="I92">
        <v>3</v>
      </c>
      <c r="J92" s="1" t="str">
        <f>VLOOKUP(H:H,'4店'!$B:$B,1,0)</f>
        <v>Y4063-DB+Y4064+Y4065</v>
      </c>
      <c r="K92" t="s">
        <v>1549</v>
      </c>
      <c r="L92">
        <v>617</v>
      </c>
      <c r="M92">
        <v>13</v>
      </c>
      <c r="N92">
        <v>5.99</v>
      </c>
      <c r="O92">
        <v>0</v>
      </c>
      <c r="P92">
        <v>0</v>
      </c>
      <c r="Q92" s="31">
        <v>0</v>
      </c>
      <c r="R92" s="31">
        <v>0</v>
      </c>
      <c r="S92" s="1" t="str">
        <f>VLOOKUP(K:K,'4店'!$B:$B,1,0)</f>
        <v>Y4069-OR+Y4070+Y4071</v>
      </c>
      <c r="T92" t="s">
        <v>1549</v>
      </c>
      <c r="U92">
        <v>1523</v>
      </c>
      <c r="V92">
        <v>40</v>
      </c>
      <c r="W92">
        <v>19.17</v>
      </c>
      <c r="X92">
        <v>25.98</v>
      </c>
      <c r="Y92">
        <v>2</v>
      </c>
      <c r="Z92" s="31">
        <v>0.737875288683603</v>
      </c>
      <c r="AA92" s="31">
        <v>0.05</v>
      </c>
      <c r="AB92" s="1" t="str">
        <f>VLOOKUP(T:T,'4店'!$B:$B,1,0)</f>
        <v>Y4069-OR+Y4070+Y4071</v>
      </c>
      <c r="AC92" t="s">
        <v>1560</v>
      </c>
      <c r="AD92">
        <v>1065</v>
      </c>
      <c r="AE92">
        <v>5</v>
      </c>
      <c r="AF92">
        <v>1.61</v>
      </c>
      <c r="AG92">
        <v>0</v>
      </c>
      <c r="AH92">
        <v>0</v>
      </c>
      <c r="AI92" s="31">
        <v>0</v>
      </c>
      <c r="AJ92" s="31">
        <v>0</v>
      </c>
      <c r="AK92" s="1" t="str">
        <f>VLOOKUP(AC:AC,'4店'!$B:$B,1,0)</f>
        <v>Y4072-GW+Y4073+Y4074</v>
      </c>
      <c r="AN92" s="1">
        <f t="shared" si="5"/>
        <v>0</v>
      </c>
      <c r="AP92" t="s">
        <v>1313</v>
      </c>
      <c r="AQ92" s="102">
        <v>12.99</v>
      </c>
      <c r="AR92" s="1">
        <f t="shared" si="4"/>
        <v>88.9815</v>
      </c>
      <c r="AT92" s="45" t="s">
        <v>1505</v>
      </c>
      <c r="AU92" s="44">
        <v>657.6</v>
      </c>
      <c r="AV92" s="35"/>
      <c r="AW92" s="43" t="s">
        <v>1501</v>
      </c>
      <c r="AX92" s="44">
        <v>561.7</v>
      </c>
      <c r="AZ92" s="47" t="s">
        <v>1465</v>
      </c>
      <c r="BA92" s="48">
        <v>4.778</v>
      </c>
      <c r="BB92" s="1" t="s">
        <v>430</v>
      </c>
    </row>
    <row r="93" spans="2:54">
      <c r="B93" t="s">
        <v>439</v>
      </c>
      <c r="C93">
        <v>345</v>
      </c>
      <c r="E93" t="s">
        <v>1599</v>
      </c>
      <c r="F93">
        <v>1</v>
      </c>
      <c r="G93" s="1" t="str">
        <f>VLOOKUP(E:E,'4店'!$B:$B,1,0)</f>
        <v>Y4078-WI+Y4079+Y4080</v>
      </c>
      <c r="H93" t="s">
        <v>1494</v>
      </c>
      <c r="I93">
        <v>4</v>
      </c>
      <c r="J93" s="1" t="str">
        <f>VLOOKUP(H:H,'4店'!$B:$B,1,0)</f>
        <v>Y4063-WI+Y4064+Y4065</v>
      </c>
      <c r="K93" t="s">
        <v>1558</v>
      </c>
      <c r="L93">
        <v>641</v>
      </c>
      <c r="M93">
        <v>5</v>
      </c>
      <c r="N93">
        <v>1.87</v>
      </c>
      <c r="O93">
        <v>0</v>
      </c>
      <c r="P93">
        <v>0</v>
      </c>
      <c r="Q93" s="31">
        <v>0</v>
      </c>
      <c r="R93" s="31">
        <v>0</v>
      </c>
      <c r="S93" s="1" t="str">
        <f>VLOOKUP(K:K,'4店'!$B:$B,1,0)</f>
        <v>Y4072-WI+Y4073+Y4074</v>
      </c>
      <c r="T93" t="s">
        <v>1558</v>
      </c>
      <c r="U93">
        <v>1437</v>
      </c>
      <c r="V93">
        <v>10</v>
      </c>
      <c r="W93">
        <v>3.79</v>
      </c>
      <c r="X93">
        <v>21.98</v>
      </c>
      <c r="Y93">
        <v>2</v>
      </c>
      <c r="Z93" s="31">
        <v>0.172429481346679</v>
      </c>
      <c r="AA93" s="31">
        <v>0.2</v>
      </c>
      <c r="AB93" s="1" t="str">
        <f>VLOOKUP(T:T,'4店'!$B:$B,1,0)</f>
        <v>Y4072-WI+Y4073+Y4074</v>
      </c>
      <c r="AC93" t="s">
        <v>1549</v>
      </c>
      <c r="AD93">
        <v>2847</v>
      </c>
      <c r="AE93">
        <v>70</v>
      </c>
      <c r="AF93">
        <v>32.16</v>
      </c>
      <c r="AG93">
        <v>51.96</v>
      </c>
      <c r="AH93">
        <v>4</v>
      </c>
      <c r="AI93" s="31">
        <v>0.618937644341801</v>
      </c>
      <c r="AJ93" s="31">
        <v>0.0571428571428571</v>
      </c>
      <c r="AK93" s="1" t="str">
        <f>VLOOKUP(AC:AC,'4店'!$B:$B,1,0)</f>
        <v>Y4069-OR+Y4070+Y4071</v>
      </c>
      <c r="AN93" s="1">
        <f t="shared" si="5"/>
        <v>0</v>
      </c>
      <c r="AP93" t="s">
        <v>1350</v>
      </c>
      <c r="AQ93" s="102">
        <v>12.99</v>
      </c>
      <c r="AR93" s="1">
        <f t="shared" si="4"/>
        <v>88.9815</v>
      </c>
      <c r="AT93" s="45" t="s">
        <v>1507</v>
      </c>
      <c r="AU93" s="44">
        <v>178.1</v>
      </c>
      <c r="AV93" s="35"/>
      <c r="AW93" s="43" t="s">
        <v>1503</v>
      </c>
      <c r="AX93" s="44">
        <v>315.1</v>
      </c>
      <c r="AZ93" s="47" t="s">
        <v>1468</v>
      </c>
      <c r="BA93" s="48">
        <v>4.186</v>
      </c>
      <c r="BB93" s="1" t="s">
        <v>430</v>
      </c>
    </row>
    <row r="94" spans="2:54">
      <c r="B94"/>
      <c r="C94"/>
      <c r="E94" t="s">
        <v>1602</v>
      </c>
      <c r="F94">
        <v>5</v>
      </c>
      <c r="G94" s="1" t="str">
        <f>VLOOKUP(E:E,'4店'!$B:$B,1,0)</f>
        <v>Y4075-BL+Y4076+Y4077</v>
      </c>
      <c r="H94" t="s">
        <v>1518</v>
      </c>
      <c r="I94">
        <v>3</v>
      </c>
      <c r="J94" s="1" t="str">
        <f>VLOOKUP(H:H,'4店'!$B:$B,1,0)</f>
        <v>Y4058-WI+Y4059+Y4060</v>
      </c>
      <c r="K94" t="s">
        <v>1556</v>
      </c>
      <c r="L94">
        <v>112</v>
      </c>
      <c r="M94">
        <v>2</v>
      </c>
      <c r="N94">
        <v>0.8</v>
      </c>
      <c r="O94">
        <v>0</v>
      </c>
      <c r="P94">
        <v>0</v>
      </c>
      <c r="Q94" s="31">
        <v>0</v>
      </c>
      <c r="R94" s="31">
        <v>0</v>
      </c>
      <c r="S94" s="1" t="str">
        <f>VLOOKUP(K:K,'4店'!$B:$B,1,0)</f>
        <v>Y4072-DB+Y4073+Y4074</v>
      </c>
      <c r="T94" t="s">
        <v>1556</v>
      </c>
      <c r="U94">
        <v>235</v>
      </c>
      <c r="V94">
        <v>4</v>
      </c>
      <c r="W94">
        <v>1.4</v>
      </c>
      <c r="X94">
        <v>0</v>
      </c>
      <c r="Y94">
        <v>0</v>
      </c>
      <c r="Z94" s="31">
        <v>0</v>
      </c>
      <c r="AA94" s="31">
        <v>0</v>
      </c>
      <c r="AB94" s="1" t="str">
        <f>VLOOKUP(T:T,'4店'!$B:$B,1,0)</f>
        <v>Y4072-DB+Y4073+Y4074</v>
      </c>
      <c r="AC94" t="s">
        <v>1558</v>
      </c>
      <c r="AD94">
        <v>2589</v>
      </c>
      <c r="AE94">
        <v>18</v>
      </c>
      <c r="AF94">
        <v>6.84</v>
      </c>
      <c r="AG94">
        <v>47.96</v>
      </c>
      <c r="AH94">
        <v>4</v>
      </c>
      <c r="AI94" s="31">
        <v>0.142618849040867</v>
      </c>
      <c r="AJ94" s="31">
        <v>0.222222222222222</v>
      </c>
      <c r="AK94" s="1" t="str">
        <f>VLOOKUP(AC:AC,'4店'!$B:$B,1,0)</f>
        <v>Y4072-WI+Y4073+Y4074</v>
      </c>
      <c r="AN94" s="1">
        <f t="shared" si="5"/>
        <v>0</v>
      </c>
      <c r="AP94" t="s">
        <v>1356</v>
      </c>
      <c r="AQ94" s="102">
        <v>12.99</v>
      </c>
      <c r="AR94" s="1">
        <f t="shared" si="4"/>
        <v>88.9815</v>
      </c>
      <c r="AT94" s="45" t="s">
        <v>1509</v>
      </c>
      <c r="AU94" s="44">
        <v>452.1</v>
      </c>
      <c r="AV94" s="35"/>
      <c r="AW94" s="43" t="s">
        <v>1505</v>
      </c>
      <c r="AX94" s="44">
        <v>657.6</v>
      </c>
      <c r="AZ94" s="47" t="s">
        <v>1470</v>
      </c>
      <c r="BA94" s="48">
        <v>5.533</v>
      </c>
      <c r="BB94" s="1" t="s">
        <v>430</v>
      </c>
    </row>
    <row r="95" spans="2:54">
      <c r="B95"/>
      <c r="C95"/>
      <c r="E95" t="s">
        <v>1558</v>
      </c>
      <c r="F95">
        <v>3</v>
      </c>
      <c r="G95" s="1" t="str">
        <f>VLOOKUP(E:E,'4店'!$B:$B,1,0)</f>
        <v>Y4072-WI+Y4073+Y4074</v>
      </c>
      <c r="H95" t="s">
        <v>1352</v>
      </c>
      <c r="I95">
        <v>1</v>
      </c>
      <c r="J95" s="1" t="str">
        <f>VLOOKUP(H:H,'4店'!$B:$B,1,0)</f>
        <v>Y4021-GW+Y4025+Y4029</v>
      </c>
      <c r="K95" t="s">
        <v>1545</v>
      </c>
      <c r="L95">
        <v>185</v>
      </c>
      <c r="M95">
        <v>1</v>
      </c>
      <c r="N95">
        <v>0.35</v>
      </c>
      <c r="O95">
        <v>0</v>
      </c>
      <c r="P95">
        <v>0</v>
      </c>
      <c r="Q95" s="31">
        <v>0</v>
      </c>
      <c r="R95" s="31">
        <v>0</v>
      </c>
      <c r="S95" s="1" t="str">
        <f>VLOOKUP(K:K,'4店'!$B:$B,1,0)</f>
        <v>Y4069-DB+Y4070+Y4071</v>
      </c>
      <c r="T95" t="s">
        <v>1545</v>
      </c>
      <c r="U95">
        <v>507</v>
      </c>
      <c r="V95">
        <v>3</v>
      </c>
      <c r="W95">
        <v>1.47</v>
      </c>
      <c r="X95">
        <v>12.99</v>
      </c>
      <c r="Y95">
        <v>1</v>
      </c>
      <c r="Z95" s="31">
        <v>0.113163972286374</v>
      </c>
      <c r="AA95" s="31">
        <v>0.333333333333333</v>
      </c>
      <c r="AB95" s="1" t="str">
        <f>VLOOKUP(T:T,'4店'!$B:$B,1,0)</f>
        <v>Y4069-DB+Y4070+Y4071</v>
      </c>
      <c r="AC95" t="s">
        <v>1556</v>
      </c>
      <c r="AD95">
        <v>517</v>
      </c>
      <c r="AE95">
        <v>7</v>
      </c>
      <c r="AF95">
        <v>2.2</v>
      </c>
      <c r="AG95">
        <v>0</v>
      </c>
      <c r="AH95">
        <v>0</v>
      </c>
      <c r="AI95" s="31">
        <v>0</v>
      </c>
      <c r="AJ95" s="31">
        <v>0</v>
      </c>
      <c r="AK95" s="1" t="str">
        <f>VLOOKUP(AC:AC,'4店'!$B:$B,1,0)</f>
        <v>Y4072-DB+Y4073+Y4074</v>
      </c>
      <c r="AN95" s="1">
        <f>AM95*$AS$1</f>
        <v>0</v>
      </c>
      <c r="AP95" t="s">
        <v>1407</v>
      </c>
      <c r="AQ95" s="102">
        <v>15.99</v>
      </c>
      <c r="AR95" s="1">
        <f t="shared" si="4"/>
        <v>109.5315</v>
      </c>
      <c r="AT95" s="45" t="s">
        <v>1512</v>
      </c>
      <c r="AU95" s="44">
        <v>602.8</v>
      </c>
      <c r="AV95" s="35"/>
      <c r="AW95" s="43" t="s">
        <v>1507</v>
      </c>
      <c r="AX95" s="44">
        <v>191.8</v>
      </c>
      <c r="AZ95" s="47" t="s">
        <v>1472</v>
      </c>
      <c r="BA95" s="48">
        <v>4.807</v>
      </c>
      <c r="BB95" s="1" t="s">
        <v>430</v>
      </c>
    </row>
    <row r="96" spans="2:54">
      <c r="B96"/>
      <c r="C96"/>
      <c r="E96" t="s">
        <v>1560</v>
      </c>
      <c r="F96">
        <v>2</v>
      </c>
      <c r="G96" s="1" t="str">
        <f>VLOOKUP(E:E,'4店'!$B:$B,1,0)</f>
        <v>Y4072-GW+Y4073+Y4074</v>
      </c>
      <c r="H96" t="s">
        <v>1400</v>
      </c>
      <c r="I96">
        <v>1</v>
      </c>
      <c r="J96" s="1" t="str">
        <f>VLOOKUP(H:H,'4店'!$B:$B,1,0)</f>
        <v>Y4035-PU</v>
      </c>
      <c r="K96" t="s">
        <v>1581</v>
      </c>
      <c r="L96">
        <v>491</v>
      </c>
      <c r="M96">
        <v>9</v>
      </c>
      <c r="N96">
        <v>3.35</v>
      </c>
      <c r="O96">
        <v>12.99</v>
      </c>
      <c r="P96">
        <v>1</v>
      </c>
      <c r="Q96" s="31">
        <v>0.257890685142417</v>
      </c>
      <c r="R96" s="31">
        <v>0.111111111111111</v>
      </c>
      <c r="S96" s="1" t="str">
        <f>VLOOKUP(K:K,'4店'!$B:$B,1,0)</f>
        <v>Y4081-DB+Y4082+Y4083</v>
      </c>
      <c r="T96" t="s">
        <v>1581</v>
      </c>
      <c r="U96">
        <v>635</v>
      </c>
      <c r="V96">
        <v>16</v>
      </c>
      <c r="W96">
        <v>6.53</v>
      </c>
      <c r="X96">
        <v>25.98</v>
      </c>
      <c r="Y96">
        <v>2</v>
      </c>
      <c r="Z96" s="31">
        <v>0.251347190146266</v>
      </c>
      <c r="AA96" s="31">
        <v>0.125</v>
      </c>
      <c r="AB96" s="1" t="str">
        <f>VLOOKUP(T:T,'4店'!$B:$B,1,0)</f>
        <v>Y4081-DB+Y4082+Y4083</v>
      </c>
      <c r="AC96" t="s">
        <v>1545</v>
      </c>
      <c r="AD96">
        <v>1249</v>
      </c>
      <c r="AE96">
        <v>14</v>
      </c>
      <c r="AF96">
        <v>5.91</v>
      </c>
      <c r="AG96">
        <v>12.99</v>
      </c>
      <c r="AH96">
        <v>1</v>
      </c>
      <c r="AI96" s="31">
        <v>0.454965357967667</v>
      </c>
      <c r="AJ96" s="31">
        <v>0.0714285714285714</v>
      </c>
      <c r="AK96" s="1" t="str">
        <f>VLOOKUP(AC:AC,'4店'!$B:$B,1,0)</f>
        <v>Y4069-DB+Y4070+Y4071</v>
      </c>
      <c r="AN96" s="1">
        <f>AM96*$AS$1</f>
        <v>0</v>
      </c>
      <c r="AP96" t="s">
        <v>1397</v>
      </c>
      <c r="AQ96" s="102">
        <v>12.99</v>
      </c>
      <c r="AR96" s="1">
        <f t="shared" si="4"/>
        <v>88.9815</v>
      </c>
      <c r="AT96" s="45" t="s">
        <v>1514</v>
      </c>
      <c r="AU96" s="44">
        <v>246.6</v>
      </c>
      <c r="AV96" s="35"/>
      <c r="AW96" s="43" t="s">
        <v>1509</v>
      </c>
      <c r="AX96" s="44">
        <v>534.3</v>
      </c>
      <c r="AZ96" s="47" t="s">
        <v>1474</v>
      </c>
      <c r="BA96" s="48">
        <v>5.582</v>
      </c>
      <c r="BB96" s="1" t="s">
        <v>430</v>
      </c>
    </row>
    <row r="97" spans="5:54">
      <c r="E97" t="s">
        <v>1571</v>
      </c>
      <c r="F97">
        <v>5</v>
      </c>
      <c r="G97" s="1" t="str">
        <f>VLOOKUP(E:E,'4店'!$B:$B,1,0)</f>
        <v>Y4084-GW+Y4085+Y4086</v>
      </c>
      <c r="H97" t="s">
        <v>1520</v>
      </c>
      <c r="I97">
        <v>6</v>
      </c>
      <c r="J97" s="1" t="str">
        <f>VLOOKUP(H:H,'4店'!$B:$B,1,0)</f>
        <v>Y4061-BL+Y4062</v>
      </c>
      <c r="K97" t="s">
        <v>1578</v>
      </c>
      <c r="L97">
        <v>578</v>
      </c>
      <c r="M97">
        <v>6</v>
      </c>
      <c r="N97">
        <v>2.57</v>
      </c>
      <c r="O97">
        <v>0</v>
      </c>
      <c r="P97">
        <v>0</v>
      </c>
      <c r="Q97" s="31">
        <v>0</v>
      </c>
      <c r="R97" s="31">
        <v>0</v>
      </c>
      <c r="S97" s="1" t="str">
        <f>VLOOKUP(K:K,'4店'!$B:$B,1,0)</f>
        <v>Y4081-BL+Y4082+Y4083</v>
      </c>
      <c r="T97" t="s">
        <v>1578</v>
      </c>
      <c r="U97">
        <v>983</v>
      </c>
      <c r="V97">
        <v>16</v>
      </c>
      <c r="W97">
        <v>7.06</v>
      </c>
      <c r="X97">
        <v>23.98</v>
      </c>
      <c r="Y97">
        <v>2</v>
      </c>
      <c r="Z97" s="31">
        <v>0.29441201000834</v>
      </c>
      <c r="AA97" s="31">
        <v>0.125</v>
      </c>
      <c r="AB97" s="1" t="str">
        <f>VLOOKUP(T:T,'4店'!$B:$B,1,0)</f>
        <v>Y4081-BL+Y4082+Y4083</v>
      </c>
      <c r="AC97" t="s">
        <v>1581</v>
      </c>
      <c r="AD97">
        <v>920</v>
      </c>
      <c r="AE97">
        <v>25</v>
      </c>
      <c r="AF97">
        <v>10.26</v>
      </c>
      <c r="AG97">
        <v>25.98</v>
      </c>
      <c r="AH97">
        <v>2</v>
      </c>
      <c r="AI97" s="31">
        <v>0.394919168591224</v>
      </c>
      <c r="AJ97" s="31">
        <v>0.08</v>
      </c>
      <c r="AK97" s="1" t="str">
        <f>VLOOKUP(AC:AC,'4店'!$B:$B,1,0)</f>
        <v>Y4081-DB+Y4082+Y4083</v>
      </c>
      <c r="AN97" s="1">
        <f>AM97*$AS$1</f>
        <v>0</v>
      </c>
      <c r="AP97" t="s">
        <v>1411</v>
      </c>
      <c r="AQ97" s="102">
        <v>12.99</v>
      </c>
      <c r="AR97" s="1">
        <f t="shared" si="4"/>
        <v>88.9815</v>
      </c>
      <c r="AT97" s="45" t="s">
        <v>1516</v>
      </c>
      <c r="AU97" s="44">
        <v>589.1</v>
      </c>
      <c r="AV97" s="35"/>
      <c r="AW97" s="43" t="s">
        <v>1512</v>
      </c>
      <c r="AX97" s="44">
        <v>589.1</v>
      </c>
      <c r="AZ97" s="47" t="s">
        <v>1477</v>
      </c>
      <c r="BA97" s="48">
        <v>4.939</v>
      </c>
      <c r="BB97" s="1" t="s">
        <v>430</v>
      </c>
    </row>
    <row r="98" spans="5:54">
      <c r="E98" t="s">
        <v>1612</v>
      </c>
      <c r="F98">
        <v>3</v>
      </c>
      <c r="G98" s="1" t="str">
        <f>VLOOKUP(E:E,'4店'!$B:$B,1,0)</f>
        <v>Y4075-WI+Y4076+Y4077</v>
      </c>
      <c r="H98" t="s">
        <v>1560</v>
      </c>
      <c r="I98">
        <v>2</v>
      </c>
      <c r="J98" s="1" t="str">
        <f>VLOOKUP(H:H,'4店'!$B:$B,1,0)</f>
        <v>Y4072-GW+Y4073+Y4074</v>
      </c>
      <c r="K98" t="s">
        <v>1586</v>
      </c>
      <c r="L98">
        <v>2433</v>
      </c>
      <c r="M98">
        <v>18</v>
      </c>
      <c r="N98">
        <v>7.98</v>
      </c>
      <c r="O98">
        <v>0</v>
      </c>
      <c r="P98">
        <v>0</v>
      </c>
      <c r="Q98" s="31">
        <v>0</v>
      </c>
      <c r="R98" s="31">
        <v>0</v>
      </c>
      <c r="S98" s="1" t="str">
        <f>VLOOKUP(K:K,'4店'!$B:$B,1,0)</f>
        <v>Y4081-OR+Y4082+Y4083</v>
      </c>
      <c r="T98" t="s">
        <v>1586</v>
      </c>
      <c r="U98">
        <v>2734</v>
      </c>
      <c r="V98">
        <v>29</v>
      </c>
      <c r="W98">
        <v>13.28</v>
      </c>
      <c r="X98">
        <v>56.95</v>
      </c>
      <c r="Y98">
        <v>5</v>
      </c>
      <c r="Z98" s="31">
        <v>0.233187006145742</v>
      </c>
      <c r="AA98" s="31">
        <v>0.172413793103448</v>
      </c>
      <c r="AB98" s="1" t="str">
        <f>VLOOKUP(T:T,'4店'!$B:$B,1,0)</f>
        <v>Y4081-OR+Y4082+Y4083</v>
      </c>
      <c r="AC98" t="s">
        <v>1578</v>
      </c>
      <c r="AD98">
        <v>1333</v>
      </c>
      <c r="AE98">
        <v>29</v>
      </c>
      <c r="AF98">
        <v>12.79</v>
      </c>
      <c r="AG98">
        <v>49.96</v>
      </c>
      <c r="AH98">
        <v>4</v>
      </c>
      <c r="AI98" s="31">
        <v>0.256004803843074</v>
      </c>
      <c r="AJ98" s="31">
        <v>0.137931034482759</v>
      </c>
      <c r="AK98" s="1" t="str">
        <f>VLOOKUP(AC:AC,'4店'!$B:$B,1,0)</f>
        <v>Y4081-BL+Y4082+Y4083</v>
      </c>
      <c r="AN98" s="1">
        <f>AM98*$AS$1</f>
        <v>0</v>
      </c>
      <c r="AP98" t="s">
        <v>1416</v>
      </c>
      <c r="AQ98" s="102">
        <v>12.99</v>
      </c>
      <c r="AR98" s="1">
        <f t="shared" si="4"/>
        <v>88.9815</v>
      </c>
      <c r="AT98" s="45" t="s">
        <v>1518</v>
      </c>
      <c r="AU98" s="44">
        <v>287.7</v>
      </c>
      <c r="AV98" s="35"/>
      <c r="AW98" s="43" t="s">
        <v>1514</v>
      </c>
      <c r="AX98" s="44">
        <v>260.3</v>
      </c>
      <c r="AZ98" s="47" t="s">
        <v>1479</v>
      </c>
      <c r="BA98" s="48">
        <v>4.687</v>
      </c>
      <c r="BB98" s="1" t="s">
        <v>430</v>
      </c>
    </row>
    <row r="99" spans="5:54">
      <c r="E99" t="s">
        <v>1610</v>
      </c>
      <c r="F99">
        <v>2</v>
      </c>
      <c r="G99" s="1" t="str">
        <f>VLOOKUP(E:E,'4店'!$B:$B,1,0)</f>
        <v>Y4075-OR+Y4076+Y4077</v>
      </c>
      <c r="H99" t="s">
        <v>1573</v>
      </c>
      <c r="I99">
        <v>17</v>
      </c>
      <c r="J99" s="1" t="str">
        <f>VLOOKUP(H:H,'4店'!$B:$B,1,0)</f>
        <v>Y4084-OR+Y4085+Y4086</v>
      </c>
      <c r="K99" t="s">
        <v>1584</v>
      </c>
      <c r="L99">
        <v>453</v>
      </c>
      <c r="M99">
        <v>10</v>
      </c>
      <c r="N99">
        <v>3.81</v>
      </c>
      <c r="O99">
        <v>12.99</v>
      </c>
      <c r="P99">
        <v>1</v>
      </c>
      <c r="Q99" s="31">
        <v>0.293302540415704</v>
      </c>
      <c r="R99" s="31">
        <v>0.1</v>
      </c>
      <c r="S99" s="1" t="str">
        <f>VLOOKUP(K:K,'4店'!$B:$B,1,0)</f>
        <v>Y4081-GW+Y4082+Y4083</v>
      </c>
      <c r="T99" t="s">
        <v>1584</v>
      </c>
      <c r="U99">
        <v>606</v>
      </c>
      <c r="V99">
        <v>17</v>
      </c>
      <c r="W99">
        <v>6.96</v>
      </c>
      <c r="X99">
        <v>12.99</v>
      </c>
      <c r="Y99">
        <v>1</v>
      </c>
      <c r="Z99" s="31">
        <v>0.535796766743649</v>
      </c>
      <c r="AA99" s="31">
        <v>0.0588235294117647</v>
      </c>
      <c r="AB99" s="1" t="str">
        <f>VLOOKUP(T:T,'4店'!$B:$B,1,0)</f>
        <v>Y4081-GW+Y4082+Y4083</v>
      </c>
      <c r="AC99" t="s">
        <v>1586</v>
      </c>
      <c r="AD99">
        <v>3421</v>
      </c>
      <c r="AE99">
        <v>37</v>
      </c>
      <c r="AF99">
        <v>16.59</v>
      </c>
      <c r="AG99">
        <v>82.93</v>
      </c>
      <c r="AH99">
        <v>7</v>
      </c>
      <c r="AI99" s="31">
        <v>0.200048233449897</v>
      </c>
      <c r="AJ99" s="31">
        <v>0.189189189189189</v>
      </c>
      <c r="AK99" s="1" t="str">
        <f>VLOOKUP(AC:AC,'4店'!$B:$B,1,0)</f>
        <v>Y4081-OR+Y4082+Y4083</v>
      </c>
      <c r="AN99" s="1">
        <f>AM99*$AS$1</f>
        <v>0</v>
      </c>
      <c r="AP99" t="s">
        <v>1420</v>
      </c>
      <c r="AQ99" s="102">
        <v>12.99</v>
      </c>
      <c r="AR99" s="1">
        <f t="shared" si="4"/>
        <v>88.9815</v>
      </c>
      <c r="AT99" s="45" t="s">
        <v>1520</v>
      </c>
      <c r="AU99" s="44">
        <v>253</v>
      </c>
      <c r="AV99" s="35"/>
      <c r="AW99" s="43" t="s">
        <v>1516</v>
      </c>
      <c r="AX99" s="44">
        <v>602.8</v>
      </c>
      <c r="AZ99" s="47" t="s">
        <v>1481</v>
      </c>
      <c r="BA99" s="48">
        <v>4.502</v>
      </c>
      <c r="BB99" s="1" t="s">
        <v>430</v>
      </c>
    </row>
    <row r="100" spans="5:54">
      <c r="E100" t="s">
        <v>1356</v>
      </c>
      <c r="F100">
        <v>1</v>
      </c>
      <c r="G100" s="1" t="str">
        <f>VLOOKUP(E:E,'4店'!$B:$B,1,0)</f>
        <v>Y4021-WB+Y4025+Y4029</v>
      </c>
      <c r="H100" t="s">
        <v>1575</v>
      </c>
      <c r="I100">
        <v>10</v>
      </c>
      <c r="J100" s="1" t="str">
        <f>VLOOKUP(H:H,'4店'!$B:$B,1,0)</f>
        <v>Y4084-WI+Y4085+Y4086</v>
      </c>
      <c r="K100" t="s">
        <v>1588</v>
      </c>
      <c r="L100">
        <v>1137</v>
      </c>
      <c r="M100">
        <v>15</v>
      </c>
      <c r="N100">
        <v>6.67</v>
      </c>
      <c r="O100">
        <v>0</v>
      </c>
      <c r="P100">
        <v>0</v>
      </c>
      <c r="Q100" s="31">
        <v>0</v>
      </c>
      <c r="R100" s="31">
        <v>0</v>
      </c>
      <c r="S100" s="1" t="str">
        <f>VLOOKUP(K:K,'4店'!$B:$B,1,0)</f>
        <v>Y4081-WI+Y4082+Y4083</v>
      </c>
      <c r="T100" t="s">
        <v>1588</v>
      </c>
      <c r="U100">
        <v>1452</v>
      </c>
      <c r="V100">
        <v>31</v>
      </c>
      <c r="W100">
        <v>13.83</v>
      </c>
      <c r="X100">
        <v>34.97</v>
      </c>
      <c r="Y100">
        <v>3</v>
      </c>
      <c r="Z100" s="31">
        <v>0.395481841578496</v>
      </c>
      <c r="AA100" s="31">
        <v>0.0967741935483871</v>
      </c>
      <c r="AB100" s="1" t="str">
        <f>VLOOKUP(T:T,'4店'!$B:$B,1,0)</f>
        <v>Y4081-WI+Y4082+Y4083</v>
      </c>
      <c r="AC100" t="s">
        <v>1584</v>
      </c>
      <c r="AD100">
        <v>904</v>
      </c>
      <c r="AE100">
        <v>27</v>
      </c>
      <c r="AF100">
        <v>10.91</v>
      </c>
      <c r="AG100">
        <v>12.99</v>
      </c>
      <c r="AH100">
        <v>1</v>
      </c>
      <c r="AI100" s="31">
        <v>0.839876828329484</v>
      </c>
      <c r="AJ100" s="31">
        <v>0.037037037037037</v>
      </c>
      <c r="AK100" s="1" t="str">
        <f>VLOOKUP(AC:AC,'4店'!$B:$B,1,0)</f>
        <v>Y4081-GW+Y4082+Y4083</v>
      </c>
      <c r="AN100" s="1">
        <f>AM100*$AS$1</f>
        <v>0</v>
      </c>
      <c r="AP100" t="s">
        <v>1456</v>
      </c>
      <c r="AQ100" s="102">
        <v>12.99</v>
      </c>
      <c r="AR100" s="1">
        <f t="shared" si="4"/>
        <v>88.9815</v>
      </c>
      <c r="AT100" s="45" t="s">
        <v>1523</v>
      </c>
      <c r="AU100" s="44">
        <v>220</v>
      </c>
      <c r="AV100" s="35"/>
      <c r="AW100" s="43" t="s">
        <v>1518</v>
      </c>
      <c r="AX100" s="44">
        <v>315.1</v>
      </c>
      <c r="AZ100" s="47" t="s">
        <v>1483</v>
      </c>
      <c r="BA100" s="48">
        <v>3.92</v>
      </c>
      <c r="BB100" s="1" t="s">
        <v>430</v>
      </c>
    </row>
    <row r="101" spans="5:54">
      <c r="E101" t="s">
        <v>1407</v>
      </c>
      <c r="F101">
        <v>1</v>
      </c>
      <c r="G101" s="1" t="str">
        <f>VLOOKUP(E:E,'4店'!$B:$B,1,0)</f>
        <v>Y4037-GO</v>
      </c>
      <c r="H101" t="s">
        <v>1566</v>
      </c>
      <c r="I101">
        <v>33</v>
      </c>
      <c r="J101" s="1" t="str">
        <f>VLOOKUP(H:H,'4店'!$B:$B,1,0)</f>
        <v>Y4084-BL+Y4085+Y4086</v>
      </c>
      <c r="K101" t="s">
        <v>1590</v>
      </c>
      <c r="L101">
        <v>668</v>
      </c>
      <c r="M101">
        <v>3</v>
      </c>
      <c r="N101">
        <v>1.14</v>
      </c>
      <c r="O101">
        <v>0</v>
      </c>
      <c r="P101">
        <v>0</v>
      </c>
      <c r="Q101" s="31">
        <v>0</v>
      </c>
      <c r="R101" s="31">
        <v>0</v>
      </c>
      <c r="S101" s="1" t="str">
        <f>VLOOKUP(K:K,'4店'!$B:$B,1,0)</f>
        <v>Y4078-BL+Y4079+Y4080</v>
      </c>
      <c r="T101" t="s">
        <v>1590</v>
      </c>
      <c r="U101">
        <v>1143</v>
      </c>
      <c r="V101">
        <v>11</v>
      </c>
      <c r="W101">
        <v>3.97</v>
      </c>
      <c r="X101">
        <v>10.99</v>
      </c>
      <c r="Y101">
        <v>1</v>
      </c>
      <c r="Z101" s="31">
        <v>0.361237488626024</v>
      </c>
      <c r="AA101" s="31">
        <v>0.0909090909090909</v>
      </c>
      <c r="AB101" s="1" t="str">
        <f>VLOOKUP(T:T,'4店'!$B:$B,1,0)</f>
        <v>Y4078-BL+Y4079+Y4080</v>
      </c>
      <c r="AC101" t="s">
        <v>1588</v>
      </c>
      <c r="AD101">
        <v>2154</v>
      </c>
      <c r="AE101">
        <v>50</v>
      </c>
      <c r="AF101">
        <v>21.79</v>
      </c>
      <c r="AG101">
        <v>47.96</v>
      </c>
      <c r="AH101">
        <v>4</v>
      </c>
      <c r="AI101" s="31">
        <v>0.454336947456214</v>
      </c>
      <c r="AJ101" s="31">
        <v>0.08</v>
      </c>
      <c r="AK101" s="1" t="str">
        <f>VLOOKUP(AC:AC,'4店'!$B:$B,1,0)</f>
        <v>Y4081-WI+Y4082+Y4083</v>
      </c>
      <c r="AN101" s="1">
        <f>AM101*$AS$1</f>
        <v>0</v>
      </c>
      <c r="AP101" t="s">
        <v>1453</v>
      </c>
      <c r="AQ101" s="102">
        <v>12.99</v>
      </c>
      <c r="AR101" s="1">
        <f t="shared" si="4"/>
        <v>88.9815</v>
      </c>
      <c r="AT101" s="45" t="s">
        <v>1525</v>
      </c>
      <c r="AU101" s="44">
        <v>363</v>
      </c>
      <c r="AV101" s="35"/>
      <c r="AW101" s="43" t="s">
        <v>1520</v>
      </c>
      <c r="AX101" s="44">
        <v>319</v>
      </c>
      <c r="AZ101" s="47" t="s">
        <v>1485</v>
      </c>
      <c r="BA101" s="48">
        <v>3.005</v>
      </c>
      <c r="BB101" s="1" t="s">
        <v>430</v>
      </c>
    </row>
    <row r="102" spans="5:54">
      <c r="E102" t="s">
        <v>1420</v>
      </c>
      <c r="F102">
        <v>1</v>
      </c>
      <c r="G102" s="1" t="str">
        <f>VLOOKUP(E:E,'4店'!$B:$B,1,0)</f>
        <v>Y4021-WI+Y4025+Y4029</v>
      </c>
      <c r="H102" t="s">
        <v>1588</v>
      </c>
      <c r="I102">
        <v>8</v>
      </c>
      <c r="J102" s="1" t="str">
        <f>VLOOKUP(H:H,'4店'!$B:$B,1,0)</f>
        <v>Y4081-WI+Y4082+Y4083</v>
      </c>
      <c r="K102" t="s">
        <v>1597</v>
      </c>
      <c r="L102">
        <v>3409</v>
      </c>
      <c r="M102">
        <v>30</v>
      </c>
      <c r="N102">
        <v>11.55</v>
      </c>
      <c r="O102">
        <v>0</v>
      </c>
      <c r="P102">
        <v>0</v>
      </c>
      <c r="Q102" s="31">
        <v>0</v>
      </c>
      <c r="R102" s="31">
        <v>0</v>
      </c>
      <c r="S102" s="1" t="str">
        <f>VLOOKUP(K:K,'4店'!$B:$B,1,0)</f>
        <v>Y4078-OR+Y4079+Y4080</v>
      </c>
      <c r="T102" t="s">
        <v>1597</v>
      </c>
      <c r="U102">
        <v>9810</v>
      </c>
      <c r="V102">
        <v>95</v>
      </c>
      <c r="W102">
        <v>37.43</v>
      </c>
      <c r="X102">
        <v>142.89</v>
      </c>
      <c r="Y102">
        <v>11</v>
      </c>
      <c r="Z102" s="31">
        <v>0.261949751557142</v>
      </c>
      <c r="AA102" s="31">
        <v>0.115789473684211</v>
      </c>
      <c r="AB102" s="1" t="str">
        <f>VLOOKUP(T:T,'4店'!$B:$B,1,0)</f>
        <v>Y4078-OR+Y4079+Y4080</v>
      </c>
      <c r="AC102" t="s">
        <v>1590</v>
      </c>
      <c r="AD102">
        <v>1721</v>
      </c>
      <c r="AE102">
        <v>18</v>
      </c>
      <c r="AF102">
        <v>6.35</v>
      </c>
      <c r="AG102">
        <v>49.96</v>
      </c>
      <c r="AH102">
        <v>4</v>
      </c>
      <c r="AI102" s="31">
        <v>0.127101681345076</v>
      </c>
      <c r="AJ102" s="31">
        <v>0.222222222222222</v>
      </c>
      <c r="AK102" s="1" t="str">
        <f>VLOOKUP(AC:AC,'4店'!$B:$B,1,0)</f>
        <v>Y4078-BL+Y4079+Y4080</v>
      </c>
      <c r="AN102" s="1">
        <f>AM102*$AS$1</f>
        <v>0</v>
      </c>
      <c r="AP102" t="s">
        <v>1451</v>
      </c>
      <c r="AQ102" s="102">
        <v>12.99</v>
      </c>
      <c r="AR102" s="1">
        <f>AQ102*$AS$1</f>
        <v>88.9815</v>
      </c>
      <c r="AT102" s="45" t="s">
        <v>1527</v>
      </c>
      <c r="AU102" s="44">
        <v>341</v>
      </c>
      <c r="AV102" s="35"/>
      <c r="AW102" s="43" t="s">
        <v>1523</v>
      </c>
      <c r="AX102" s="44">
        <v>231</v>
      </c>
      <c r="AZ102" s="47" t="s">
        <v>1490</v>
      </c>
      <c r="BA102" s="48">
        <v>2.013</v>
      </c>
      <c r="BB102" s="1" t="s">
        <v>430</v>
      </c>
    </row>
    <row r="103" spans="5:54">
      <c r="E103" t="s">
        <v>1501</v>
      </c>
      <c r="F103">
        <v>1</v>
      </c>
      <c r="G103" s="1" t="str">
        <f>VLOOKUP(E:E,'4店'!$B:$B,1,0)</f>
        <v>Y4055-DB+Y4056+Y4057</v>
      </c>
      <c r="H103" t="s">
        <v>1569</v>
      </c>
      <c r="I103">
        <v>22</v>
      </c>
      <c r="J103" s="1" t="str">
        <f>VLOOKUP(H:H,'4店'!$B:$B,1,0)</f>
        <v>Y4084-DB+Y4085+Y4086</v>
      </c>
      <c r="K103" t="s">
        <v>1593</v>
      </c>
      <c r="L103">
        <v>3013</v>
      </c>
      <c r="M103">
        <v>37</v>
      </c>
      <c r="N103">
        <v>13.61</v>
      </c>
      <c r="O103">
        <v>12.66</v>
      </c>
      <c r="P103">
        <v>1</v>
      </c>
      <c r="Q103" s="31">
        <v>1.07503949447077</v>
      </c>
      <c r="R103" s="31">
        <v>0.027027027027027</v>
      </c>
      <c r="S103" s="1" t="str">
        <f>VLOOKUP(K:K,'4店'!$B:$B,1,0)</f>
        <v>Y4078-DB+Y4079+Y4080</v>
      </c>
      <c r="T103" t="s">
        <v>1593</v>
      </c>
      <c r="U103">
        <v>4004</v>
      </c>
      <c r="V103">
        <v>62</v>
      </c>
      <c r="W103">
        <v>24.06</v>
      </c>
      <c r="X103">
        <v>38.64</v>
      </c>
      <c r="Y103">
        <v>3</v>
      </c>
      <c r="Z103" s="31">
        <v>0.622670807453416</v>
      </c>
      <c r="AA103" s="31">
        <v>0.0483870967741936</v>
      </c>
      <c r="AB103" s="1" t="str">
        <f>VLOOKUP(T:T,'4店'!$B:$B,1,0)</f>
        <v>Y4078-DB+Y4079+Y4080</v>
      </c>
      <c r="AC103" t="s">
        <v>1597</v>
      </c>
      <c r="AD103">
        <v>11450</v>
      </c>
      <c r="AE103">
        <v>127</v>
      </c>
      <c r="AF103">
        <v>51.93</v>
      </c>
      <c r="AG103">
        <v>168.87</v>
      </c>
      <c r="AH103">
        <v>13</v>
      </c>
      <c r="AI103" s="31">
        <v>0.307514656244448</v>
      </c>
      <c r="AJ103" s="31">
        <v>0.102362204724409</v>
      </c>
      <c r="AK103" s="1" t="str">
        <f>VLOOKUP(AC:AC,'4店'!$B:$B,1,0)</f>
        <v>Y4078-OR+Y4079+Y4080</v>
      </c>
      <c r="AN103" s="1">
        <f t="shared" ref="AN103:AN134" si="6">AM103*$AS$1</f>
        <v>0</v>
      </c>
      <c r="AP103" t="s">
        <v>1494</v>
      </c>
      <c r="AQ103" s="102">
        <v>12.99</v>
      </c>
      <c r="AR103" s="1">
        <f>AQ103*$AS$1</f>
        <v>88.9815</v>
      </c>
      <c r="AT103" s="45" t="s">
        <v>1529</v>
      </c>
      <c r="AU103" s="44">
        <v>77</v>
      </c>
      <c r="AV103" s="35"/>
      <c r="AW103" s="43" t="s">
        <v>1525</v>
      </c>
      <c r="AX103" s="44">
        <v>220</v>
      </c>
      <c r="AZ103" s="47" t="s">
        <v>1488</v>
      </c>
      <c r="BA103" s="48">
        <v>2.045</v>
      </c>
      <c r="BB103" s="1" t="s">
        <v>430</v>
      </c>
    </row>
    <row r="104" spans="5:54">
      <c r="E104" t="s">
        <v>1595</v>
      </c>
      <c r="F104">
        <v>2</v>
      </c>
      <c r="G104" s="1" t="str">
        <f>VLOOKUP(E:E,'4店'!$B:$B,1,0)</f>
        <v>Y4078-GW+Y4079+Y4080</v>
      </c>
      <c r="H104" t="s">
        <v>1581</v>
      </c>
      <c r="I104">
        <v>9</v>
      </c>
      <c r="J104" s="1" t="str">
        <f>VLOOKUP(H:H,'4店'!$B:$B,1,0)</f>
        <v>Y4081-DB+Y4082+Y4083</v>
      </c>
      <c r="K104" t="s">
        <v>1599</v>
      </c>
      <c r="L104">
        <v>344</v>
      </c>
      <c r="M104">
        <v>7</v>
      </c>
      <c r="N104">
        <v>3.04</v>
      </c>
      <c r="O104">
        <v>0</v>
      </c>
      <c r="P104">
        <v>0</v>
      </c>
      <c r="Q104" s="31">
        <v>0</v>
      </c>
      <c r="R104" s="31">
        <v>0</v>
      </c>
      <c r="S104" s="1" t="str">
        <f>VLOOKUP(K:K,'4店'!$B:$B,1,0)</f>
        <v>Y4078-WI+Y4079+Y4080</v>
      </c>
      <c r="T104" t="s">
        <v>1599</v>
      </c>
      <c r="U104">
        <v>717</v>
      </c>
      <c r="V104">
        <v>12</v>
      </c>
      <c r="W104">
        <v>5.25</v>
      </c>
      <c r="X104">
        <v>0</v>
      </c>
      <c r="Y104">
        <v>0</v>
      </c>
      <c r="Z104" s="31">
        <v>0</v>
      </c>
      <c r="AA104" s="31">
        <v>0</v>
      </c>
      <c r="AB104" s="1" t="str">
        <f>VLOOKUP(T:T,'4店'!$B:$B,1,0)</f>
        <v>Y4078-WI+Y4079+Y4080</v>
      </c>
      <c r="AC104" t="s">
        <v>1593</v>
      </c>
      <c r="AD104">
        <v>6744</v>
      </c>
      <c r="AE104">
        <v>104</v>
      </c>
      <c r="AF104">
        <v>41.46</v>
      </c>
      <c r="AG104">
        <v>116.58</v>
      </c>
      <c r="AH104">
        <v>9</v>
      </c>
      <c r="AI104" s="31">
        <v>0.355635615028307</v>
      </c>
      <c r="AJ104" s="31">
        <v>0.0865384615384615</v>
      </c>
      <c r="AK104" s="1" t="str">
        <f>VLOOKUP(AC:AC,'4店'!$B:$B,1,0)</f>
        <v>Y4078-DB+Y4079+Y4080</v>
      </c>
      <c r="AN104" s="1">
        <f t="shared" si="6"/>
        <v>0</v>
      </c>
      <c r="AP104" t="s">
        <v>1501</v>
      </c>
      <c r="AQ104" s="102">
        <v>12.99</v>
      </c>
      <c r="AR104" s="1">
        <f>AQ104*$AS$1</f>
        <v>88.9815</v>
      </c>
      <c r="AT104" s="45" t="s">
        <v>1531</v>
      </c>
      <c r="AU104" s="44">
        <v>363</v>
      </c>
      <c r="AV104" s="35"/>
      <c r="AW104" s="43" t="s">
        <v>1527</v>
      </c>
      <c r="AX104" s="44">
        <v>396</v>
      </c>
      <c r="AZ104" s="47" t="s">
        <v>1492</v>
      </c>
      <c r="BA104" s="48">
        <v>2.035</v>
      </c>
      <c r="BB104" s="1" t="s">
        <v>430</v>
      </c>
    </row>
    <row r="105" spans="5:54">
      <c r="E105" t="s">
        <v>1605</v>
      </c>
      <c r="F105">
        <v>3</v>
      </c>
      <c r="G105" s="1" t="str">
        <f>VLOOKUP(E:E,'4店'!$B:$B,1,0)</f>
        <v>Y4075-DB+Y4076+Y4077</v>
      </c>
      <c r="H105" t="s">
        <v>1593</v>
      </c>
      <c r="I105">
        <v>9</v>
      </c>
      <c r="J105" s="1" t="str">
        <f>VLOOKUP(H:H,'4店'!$B:$B,1,0)</f>
        <v>Y4078-DB+Y4079+Y4080</v>
      </c>
      <c r="K105" t="s">
        <v>1595</v>
      </c>
      <c r="L105">
        <v>401</v>
      </c>
      <c r="M105">
        <v>7</v>
      </c>
      <c r="N105">
        <v>2.13</v>
      </c>
      <c r="O105">
        <v>0</v>
      </c>
      <c r="P105">
        <v>0</v>
      </c>
      <c r="Q105" s="31">
        <v>0</v>
      </c>
      <c r="R105" s="31">
        <v>0</v>
      </c>
      <c r="S105" s="1" t="str">
        <f>VLOOKUP(K:K,'4店'!$B:$B,1,0)</f>
        <v>Y4078-GW+Y4079+Y4080</v>
      </c>
      <c r="T105" t="s">
        <v>1595</v>
      </c>
      <c r="U105">
        <v>606</v>
      </c>
      <c r="V105">
        <v>16</v>
      </c>
      <c r="W105">
        <v>5.94</v>
      </c>
      <c r="X105">
        <v>12.99</v>
      </c>
      <c r="Y105">
        <v>1</v>
      </c>
      <c r="Z105" s="31">
        <v>0.457274826789838</v>
      </c>
      <c r="AA105" s="31">
        <v>0.0625</v>
      </c>
      <c r="AB105" s="1" t="str">
        <f>VLOOKUP(T:T,'4店'!$B:$B,1,0)</f>
        <v>Y4078-GW+Y4079+Y4080</v>
      </c>
      <c r="AC105" t="s">
        <v>1599</v>
      </c>
      <c r="AD105">
        <v>1970</v>
      </c>
      <c r="AE105">
        <v>24</v>
      </c>
      <c r="AF105">
        <v>11.13</v>
      </c>
      <c r="AG105">
        <v>12.99</v>
      </c>
      <c r="AH105">
        <v>1</v>
      </c>
      <c r="AI105" s="31">
        <v>0.856812933025404</v>
      </c>
      <c r="AJ105" s="31">
        <v>0.0416666666666667</v>
      </c>
      <c r="AK105" s="1" t="str">
        <f>VLOOKUP(AC:AC,'4店'!$B:$B,1,0)</f>
        <v>Y4078-WI+Y4079+Y4080</v>
      </c>
      <c r="AN105" s="1">
        <f t="shared" si="6"/>
        <v>0</v>
      </c>
      <c r="AP105" t="s">
        <v>1503</v>
      </c>
      <c r="AQ105" s="102">
        <v>10.99</v>
      </c>
      <c r="AR105" s="1">
        <f>AQ105*$AS$1</f>
        <v>75.2815</v>
      </c>
      <c r="AT105" s="45" t="s">
        <v>1534</v>
      </c>
      <c r="AU105" s="44">
        <v>418</v>
      </c>
      <c r="AV105" s="35"/>
      <c r="AW105" s="43" t="s">
        <v>1529</v>
      </c>
      <c r="AX105" s="44">
        <v>132</v>
      </c>
      <c r="AZ105" s="47" t="s">
        <v>1494</v>
      </c>
      <c r="BA105" s="48">
        <v>2.028</v>
      </c>
      <c r="BB105" s="1" t="s">
        <v>430</v>
      </c>
    </row>
    <row r="106" spans="5:54">
      <c r="E106" t="s">
        <v>1523</v>
      </c>
      <c r="F106">
        <v>3</v>
      </c>
      <c r="G106" s="1" t="str">
        <f>VLOOKUP(E:E,'4店'!$B:$B,1,0)</f>
        <v>Y4061-DB+Y4062</v>
      </c>
      <c r="H106" t="s">
        <v>1590</v>
      </c>
      <c r="I106">
        <v>16</v>
      </c>
      <c r="J106" s="1" t="str">
        <f>VLOOKUP(H:H,'4店'!$B:$B,1,0)</f>
        <v>Y4078-BL+Y4079+Y4080</v>
      </c>
      <c r="K106" t="s">
        <v>1571</v>
      </c>
      <c r="L106">
        <v>737</v>
      </c>
      <c r="M106">
        <v>20</v>
      </c>
      <c r="N106">
        <v>8.48</v>
      </c>
      <c r="O106">
        <v>0</v>
      </c>
      <c r="P106">
        <v>0</v>
      </c>
      <c r="Q106" s="31">
        <v>0</v>
      </c>
      <c r="R106" s="31">
        <v>0</v>
      </c>
      <c r="S106" s="1" t="str">
        <f>VLOOKUP(K:K,'4店'!$B:$B,1,0)</f>
        <v>Y4084-GW+Y4085+Y4086</v>
      </c>
      <c r="T106" t="s">
        <v>1571</v>
      </c>
      <c r="U106">
        <v>1383</v>
      </c>
      <c r="V106">
        <v>43</v>
      </c>
      <c r="W106">
        <v>18.21</v>
      </c>
      <c r="X106">
        <v>12.99</v>
      </c>
      <c r="Y106">
        <v>1</v>
      </c>
      <c r="Z106" s="31">
        <v>1.40184757505774</v>
      </c>
      <c r="AA106" s="31">
        <v>0.0232558139534884</v>
      </c>
      <c r="AB106" s="1" t="str">
        <f>VLOOKUP(T:T,'4店'!$B:$B,1,0)</f>
        <v>Y4084-GW+Y4085+Y4086</v>
      </c>
      <c r="AC106" t="s">
        <v>1595</v>
      </c>
      <c r="AD106">
        <v>926</v>
      </c>
      <c r="AE106">
        <v>23</v>
      </c>
      <c r="AF106">
        <v>9.02</v>
      </c>
      <c r="AG106">
        <v>25.98</v>
      </c>
      <c r="AH106">
        <v>2</v>
      </c>
      <c r="AI106" s="31">
        <v>0.347190146266359</v>
      </c>
      <c r="AJ106" s="31">
        <v>0.0869565217391304</v>
      </c>
      <c r="AK106" s="1" t="str">
        <f>VLOOKUP(AC:AC,'4店'!$B:$B,1,0)</f>
        <v>Y4078-GW+Y4079+Y4080</v>
      </c>
      <c r="AN106" s="1">
        <f t="shared" si="6"/>
        <v>0</v>
      </c>
      <c r="AP106" t="s">
        <v>1505</v>
      </c>
      <c r="AQ106" s="102">
        <v>12.99</v>
      </c>
      <c r="AR106" s="1">
        <f>AQ106*$AS$1</f>
        <v>88.9815</v>
      </c>
      <c r="AT106" s="45" t="s">
        <v>1536</v>
      </c>
      <c r="AU106" s="44">
        <v>209</v>
      </c>
      <c r="AV106" s="35"/>
      <c r="AW106" s="43" t="s">
        <v>1531</v>
      </c>
      <c r="AX106" s="44">
        <v>385</v>
      </c>
      <c r="AZ106" s="47" t="s">
        <v>1540</v>
      </c>
      <c r="BA106" s="48">
        <v>3.123</v>
      </c>
      <c r="BB106" s="1" t="s">
        <v>430</v>
      </c>
    </row>
    <row r="107" spans="5:54">
      <c r="E107" t="s">
        <v>1460</v>
      </c>
      <c r="F107">
        <v>2</v>
      </c>
      <c r="G107" s="1" t="str">
        <f>VLOOKUP(E:E,'4店'!$B:$B,1,0)</f>
        <v>Y4041-WB+Y4044</v>
      </c>
      <c r="H107" t="s">
        <v>1597</v>
      </c>
      <c r="I107">
        <v>15</v>
      </c>
      <c r="J107" s="1" t="str">
        <f>VLOOKUP(H:H,'4店'!$B:$B,1,0)</f>
        <v>Y4078-OR+Y4079+Y4080</v>
      </c>
      <c r="K107" t="s">
        <v>1566</v>
      </c>
      <c r="L107">
        <v>1149</v>
      </c>
      <c r="M107">
        <v>10</v>
      </c>
      <c r="N107">
        <v>3.22</v>
      </c>
      <c r="O107">
        <v>0</v>
      </c>
      <c r="P107">
        <v>0</v>
      </c>
      <c r="Q107" s="31">
        <v>0</v>
      </c>
      <c r="R107" s="31">
        <v>0</v>
      </c>
      <c r="S107" s="1" t="str">
        <f>VLOOKUP(K:K,'4店'!$B:$B,1,0)</f>
        <v>Y4084-BL+Y4085+Y4086</v>
      </c>
      <c r="T107" t="s">
        <v>1566</v>
      </c>
      <c r="U107">
        <v>2749</v>
      </c>
      <c r="V107">
        <v>36</v>
      </c>
      <c r="W107">
        <v>15.01</v>
      </c>
      <c r="X107">
        <v>12.99</v>
      </c>
      <c r="Y107">
        <v>1</v>
      </c>
      <c r="Z107" s="31">
        <v>1.15550423402617</v>
      </c>
      <c r="AA107" s="31">
        <v>0.0277777777777778</v>
      </c>
      <c r="AB107" s="1" t="str">
        <f>VLOOKUP(T:T,'4店'!$B:$B,1,0)</f>
        <v>Y4084-BL+Y4085+Y4086</v>
      </c>
      <c r="AC107" t="s">
        <v>1571</v>
      </c>
      <c r="AD107">
        <v>4344</v>
      </c>
      <c r="AE107">
        <v>86</v>
      </c>
      <c r="AF107">
        <v>37.21</v>
      </c>
      <c r="AG107">
        <v>51.96</v>
      </c>
      <c r="AH107">
        <v>4</v>
      </c>
      <c r="AI107" s="31">
        <v>0.71612779060816</v>
      </c>
      <c r="AJ107" s="31">
        <v>0.0465116279069767</v>
      </c>
      <c r="AK107" s="1" t="str">
        <f>VLOOKUP(AC:AC,'4店'!$B:$B,1,0)</f>
        <v>Y4084-GW+Y4085+Y4086</v>
      </c>
      <c r="AN107" s="1">
        <f t="shared" si="6"/>
        <v>0</v>
      </c>
      <c r="AP107" t="s">
        <v>1516</v>
      </c>
      <c r="AQ107" s="102">
        <v>12.99</v>
      </c>
      <c r="AR107" s="1">
        <f>AQ107*$AS$1</f>
        <v>88.9815</v>
      </c>
      <c r="AT107" s="45" t="s">
        <v>1538</v>
      </c>
      <c r="AU107" s="44">
        <v>275</v>
      </c>
      <c r="AV107" s="35"/>
      <c r="AW107" s="43" t="s">
        <v>1534</v>
      </c>
      <c r="AX107" s="44">
        <v>429</v>
      </c>
      <c r="AZ107" s="47" t="s">
        <v>1534</v>
      </c>
      <c r="BA107" s="48">
        <v>3.488</v>
      </c>
      <c r="BB107" s="1" t="s">
        <v>430</v>
      </c>
    </row>
    <row r="108" spans="5:54">
      <c r="E108" t="s">
        <v>1472</v>
      </c>
      <c r="F108">
        <v>2</v>
      </c>
      <c r="G108" s="1" t="str">
        <f>VLOOKUP(E:E,'4店'!$B:$B,1,0)</f>
        <v>Y4050-WI+Y4051+Y4052</v>
      </c>
      <c r="H108" t="s">
        <v>1578</v>
      </c>
      <c r="I108">
        <v>30</v>
      </c>
      <c r="J108" s="1" t="str">
        <f>VLOOKUP(H:H,'4店'!$B:$B,1,0)</f>
        <v>Y4081-BL+Y4082+Y4083</v>
      </c>
      <c r="K108" t="s">
        <v>1569</v>
      </c>
      <c r="L108">
        <v>2506</v>
      </c>
      <c r="M108">
        <v>27</v>
      </c>
      <c r="N108">
        <v>9.48</v>
      </c>
      <c r="O108">
        <v>25.98</v>
      </c>
      <c r="P108">
        <v>2</v>
      </c>
      <c r="Q108" s="31">
        <v>0.364896073903002</v>
      </c>
      <c r="R108" s="31">
        <v>0.0740740740740741</v>
      </c>
      <c r="S108" s="1" t="str">
        <f>VLOOKUP(K:K,'4店'!$B:$B,1,0)</f>
        <v>Y4084-DB+Y4085+Y4086</v>
      </c>
      <c r="T108" t="s">
        <v>1569</v>
      </c>
      <c r="U108">
        <v>5122</v>
      </c>
      <c r="V108">
        <v>54</v>
      </c>
      <c r="W108">
        <v>20.64</v>
      </c>
      <c r="X108">
        <v>116.25</v>
      </c>
      <c r="Y108">
        <v>8</v>
      </c>
      <c r="Z108" s="31">
        <v>0.177548387096774</v>
      </c>
      <c r="AA108" s="31">
        <v>0.148148148148148</v>
      </c>
      <c r="AB108" s="1" t="str">
        <f>VLOOKUP(T:T,'4店'!$B:$B,1,0)</f>
        <v>Y4084-DB+Y4085+Y4086</v>
      </c>
      <c r="AC108" t="s">
        <v>1566</v>
      </c>
      <c r="AD108">
        <v>6352</v>
      </c>
      <c r="AE108">
        <v>75</v>
      </c>
      <c r="AF108">
        <v>32.28</v>
      </c>
      <c r="AG108">
        <v>64.95</v>
      </c>
      <c r="AH108">
        <v>5</v>
      </c>
      <c r="AI108" s="31">
        <v>0.496997690531178</v>
      </c>
      <c r="AJ108" s="31">
        <v>0.0666666666666667</v>
      </c>
      <c r="AK108" s="1" t="str">
        <f>VLOOKUP(AC:AC,'4店'!$B:$B,1,0)</f>
        <v>Y4084-BL+Y4085+Y4086</v>
      </c>
      <c r="AN108" s="1">
        <f t="shared" si="6"/>
        <v>0</v>
      </c>
      <c r="AP108" t="s">
        <v>1518</v>
      </c>
      <c r="AQ108" s="102">
        <v>10.99</v>
      </c>
      <c r="AR108" s="1">
        <f>AQ108*$AS$1</f>
        <v>75.2815</v>
      </c>
      <c r="AT108" s="45" t="s">
        <v>1540</v>
      </c>
      <c r="AU108" s="44">
        <v>264</v>
      </c>
      <c r="AV108" s="35"/>
      <c r="AW108" s="43" t="s">
        <v>1536</v>
      </c>
      <c r="AX108" s="44">
        <v>209</v>
      </c>
      <c r="AZ108" s="47" t="s">
        <v>1538</v>
      </c>
      <c r="BA108" s="48">
        <v>3.488</v>
      </c>
      <c r="BB108" s="1" t="s">
        <v>430</v>
      </c>
    </row>
    <row r="109" spans="5:54">
      <c r="E109" t="s">
        <v>1608</v>
      </c>
      <c r="F109">
        <v>2</v>
      </c>
      <c r="G109" s="1" t="str">
        <f>VLOOKUP(E:E,'4店'!$B:$B,1,0)</f>
        <v>Y4075-GW+Y4076+Y4077</v>
      </c>
      <c r="H109" t="s">
        <v>1586</v>
      </c>
      <c r="I109">
        <v>11</v>
      </c>
      <c r="J109" s="1" t="str">
        <f>VLOOKUP(H:H,'4店'!$B:$B,1,0)</f>
        <v>Y4081-OR+Y4082+Y4083</v>
      </c>
      <c r="K109" t="s">
        <v>1573</v>
      </c>
      <c r="L109">
        <v>2136</v>
      </c>
      <c r="M109">
        <v>34</v>
      </c>
      <c r="N109">
        <v>11.21</v>
      </c>
      <c r="O109">
        <v>25.98</v>
      </c>
      <c r="P109">
        <v>2</v>
      </c>
      <c r="Q109" s="31">
        <v>0.431485758275597</v>
      </c>
      <c r="R109" s="31">
        <v>0.0588235294117647</v>
      </c>
      <c r="S109" s="1" t="str">
        <f>VLOOKUP(K:K,'4店'!$B:$B,1,0)</f>
        <v>Y4084-OR+Y4085+Y4086</v>
      </c>
      <c r="T109" t="s">
        <v>1573</v>
      </c>
      <c r="U109">
        <v>3806</v>
      </c>
      <c r="V109">
        <v>55</v>
      </c>
      <c r="W109">
        <v>19.68</v>
      </c>
      <c r="X109">
        <v>38.97</v>
      </c>
      <c r="Y109">
        <v>3</v>
      </c>
      <c r="Z109" s="31">
        <v>0.505003849114704</v>
      </c>
      <c r="AA109" s="31">
        <v>0.0545454545454545</v>
      </c>
      <c r="AB109" s="1" t="str">
        <f>VLOOKUP(T:T,'4店'!$B:$B,1,0)</f>
        <v>Y4084-OR+Y4085+Y4086</v>
      </c>
      <c r="AC109" t="s">
        <v>1569</v>
      </c>
      <c r="AD109">
        <v>11617</v>
      </c>
      <c r="AE109">
        <v>162</v>
      </c>
      <c r="AF109">
        <v>69.34</v>
      </c>
      <c r="AG109">
        <v>181.2</v>
      </c>
      <c r="AH109">
        <v>13</v>
      </c>
      <c r="AI109" s="31">
        <v>0.382671081677704</v>
      </c>
      <c r="AJ109" s="31">
        <v>0.0802469135802469</v>
      </c>
      <c r="AK109" s="1" t="str">
        <f>VLOOKUP(AC:AC,'4店'!$B:$B,1,0)</f>
        <v>Y4084-DB+Y4085+Y4086</v>
      </c>
      <c r="AN109" s="1">
        <f t="shared" si="6"/>
        <v>0</v>
      </c>
      <c r="AP109" t="s">
        <v>1520</v>
      </c>
      <c r="AQ109" s="102">
        <v>12.99</v>
      </c>
      <c r="AR109" s="1">
        <f>AQ109*$AS$1</f>
        <v>88.9815</v>
      </c>
      <c r="AT109" s="45" t="s">
        <v>1542</v>
      </c>
      <c r="AU109" s="44">
        <v>301.4</v>
      </c>
      <c r="AV109" s="35"/>
      <c r="AW109" s="43" t="s">
        <v>1538</v>
      </c>
      <c r="AX109" s="44">
        <v>286</v>
      </c>
      <c r="AZ109" s="47" t="s">
        <v>1536</v>
      </c>
      <c r="BA109" s="48">
        <v>3.123</v>
      </c>
      <c r="BB109" s="1" t="s">
        <v>430</v>
      </c>
    </row>
    <row r="110" spans="5:54">
      <c r="E110" t="s">
        <v>1397</v>
      </c>
      <c r="F110">
        <v>1</v>
      </c>
      <c r="G110" s="1" t="str">
        <f>VLOOKUP(E:E,'4店'!$B:$B,1,0)</f>
        <v>Y4035-GR</v>
      </c>
      <c r="H110" t="s">
        <v>1599</v>
      </c>
      <c r="I110">
        <v>5</v>
      </c>
      <c r="J110" s="1" t="str">
        <f>VLOOKUP(H:H,'4店'!$B:$B,1,0)</f>
        <v>Y4078-WI+Y4079+Y4080</v>
      </c>
      <c r="K110" t="s">
        <v>1575</v>
      </c>
      <c r="L110">
        <v>1075</v>
      </c>
      <c r="M110">
        <v>15</v>
      </c>
      <c r="N110">
        <v>5.82</v>
      </c>
      <c r="O110">
        <v>0</v>
      </c>
      <c r="P110">
        <v>0</v>
      </c>
      <c r="Q110" s="31">
        <v>0</v>
      </c>
      <c r="R110" s="31">
        <v>0</v>
      </c>
      <c r="S110" s="1" t="str">
        <f>VLOOKUP(K:K,'4店'!$B:$B,1,0)</f>
        <v>Y4084-WI+Y4085+Y4086</v>
      </c>
      <c r="T110" t="s">
        <v>1575</v>
      </c>
      <c r="U110">
        <v>2150</v>
      </c>
      <c r="V110">
        <v>43</v>
      </c>
      <c r="W110">
        <v>16.57</v>
      </c>
      <c r="X110">
        <v>0</v>
      </c>
      <c r="Y110">
        <v>0</v>
      </c>
      <c r="Z110" s="31">
        <v>0</v>
      </c>
      <c r="AA110" s="31">
        <v>0</v>
      </c>
      <c r="AB110" s="1" t="str">
        <f>VLOOKUP(T:T,'4店'!$B:$B,1,0)</f>
        <v>Y4084-WI+Y4085+Y4086</v>
      </c>
      <c r="AC110" t="s">
        <v>1573</v>
      </c>
      <c r="AD110">
        <v>8310</v>
      </c>
      <c r="AE110">
        <v>118</v>
      </c>
      <c r="AF110">
        <v>46.71</v>
      </c>
      <c r="AG110">
        <v>116.91</v>
      </c>
      <c r="AH110">
        <v>9</v>
      </c>
      <c r="AI110" s="31">
        <v>0.399538106235566</v>
      </c>
      <c r="AJ110" s="31">
        <v>0.076271186440678</v>
      </c>
      <c r="AK110" s="1" t="str">
        <f>VLOOKUP(AC:AC,'4店'!$B:$B,1,0)</f>
        <v>Y4084-OR+Y4085+Y4086</v>
      </c>
      <c r="AN110" s="1">
        <f t="shared" si="6"/>
        <v>0</v>
      </c>
      <c r="AP110" t="s">
        <v>1525</v>
      </c>
      <c r="AQ110" s="102">
        <v>12.99</v>
      </c>
      <c r="AR110" s="1">
        <f>AQ110*$AS$1</f>
        <v>88.9815</v>
      </c>
      <c r="AT110" s="45" t="s">
        <v>1545</v>
      </c>
      <c r="AU110" s="44">
        <v>479.5</v>
      </c>
      <c r="AV110" s="35"/>
      <c r="AW110" s="43" t="s">
        <v>1540</v>
      </c>
      <c r="AX110" s="44">
        <v>264</v>
      </c>
      <c r="AZ110" s="47" t="s">
        <v>1531</v>
      </c>
      <c r="BA110" s="48">
        <v>3.617</v>
      </c>
      <c r="BB110" s="1" t="s">
        <v>430</v>
      </c>
    </row>
    <row r="111" spans="5:54">
      <c r="E111" t="s">
        <v>1416</v>
      </c>
      <c r="F111">
        <v>1</v>
      </c>
      <c r="G111" s="1" t="str">
        <f>VLOOKUP(E:E,'4店'!$B:$B,1,0)</f>
        <v>Y4036-OR</v>
      </c>
      <c r="H111" t="s">
        <v>1584</v>
      </c>
      <c r="I111">
        <v>5</v>
      </c>
      <c r="J111" s="1" t="str">
        <f>VLOOKUP(H:H,'4店'!$B:$B,1,0)</f>
        <v>Y4081-GW+Y4082+Y4083</v>
      </c>
      <c r="K111" t="s">
        <v>1602</v>
      </c>
      <c r="L111">
        <v>253</v>
      </c>
      <c r="M111">
        <v>3</v>
      </c>
      <c r="N111">
        <v>1.58</v>
      </c>
      <c r="O111">
        <v>12.99</v>
      </c>
      <c r="P111">
        <v>1</v>
      </c>
      <c r="Q111" s="31">
        <v>0.121632024634334</v>
      </c>
      <c r="R111" s="31">
        <v>0.333333333333333</v>
      </c>
      <c r="S111" s="1" t="str">
        <f>VLOOKUP(K:K,'4店'!$B:$B,1,0)</f>
        <v>Y4075-BL+Y4076+Y4077</v>
      </c>
      <c r="T111" t="s">
        <v>1602</v>
      </c>
      <c r="U111">
        <v>728</v>
      </c>
      <c r="V111">
        <v>8</v>
      </c>
      <c r="W111">
        <v>4.09</v>
      </c>
      <c r="X111">
        <v>25.98</v>
      </c>
      <c r="Y111">
        <v>2</v>
      </c>
      <c r="Z111" s="31">
        <v>0.157428791377983</v>
      </c>
      <c r="AA111" s="31">
        <v>0.25</v>
      </c>
      <c r="AB111" s="1" t="str">
        <f>VLOOKUP(T:T,'4店'!$B:$B,1,0)</f>
        <v>Y4075-BL+Y4076+Y4077</v>
      </c>
      <c r="AC111" t="s">
        <v>1575</v>
      </c>
      <c r="AD111">
        <v>3243</v>
      </c>
      <c r="AE111">
        <v>70</v>
      </c>
      <c r="AF111">
        <v>28.28</v>
      </c>
      <c r="AG111">
        <v>0</v>
      </c>
      <c r="AH111">
        <v>0</v>
      </c>
      <c r="AI111" s="31">
        <v>0</v>
      </c>
      <c r="AJ111" s="31">
        <v>0</v>
      </c>
      <c r="AK111" s="1" t="str">
        <f>VLOOKUP(AC:AC,'4店'!$B:$B,1,0)</f>
        <v>Y4084-WI+Y4085+Y4086</v>
      </c>
      <c r="AN111" s="1">
        <f t="shared" si="6"/>
        <v>0</v>
      </c>
      <c r="AP111" t="s">
        <v>1534</v>
      </c>
      <c r="AQ111" s="102">
        <v>12.99</v>
      </c>
      <c r="AR111" s="1">
        <f>AQ111*$AS$1</f>
        <v>88.9815</v>
      </c>
      <c r="AT111" s="45" t="s">
        <v>1547</v>
      </c>
      <c r="AU111" s="44">
        <v>315.1</v>
      </c>
      <c r="AV111" s="35"/>
      <c r="AW111" s="43" t="s">
        <v>1542</v>
      </c>
      <c r="AX111" s="44">
        <v>369.9</v>
      </c>
      <c r="AZ111" s="47" t="s">
        <v>1545</v>
      </c>
      <c r="BA111" s="48">
        <v>5.245</v>
      </c>
      <c r="BB111" s="1" t="s">
        <v>430</v>
      </c>
    </row>
    <row r="112" spans="5:54">
      <c r="E112" t="s">
        <v>1505</v>
      </c>
      <c r="F112">
        <v>1</v>
      </c>
      <c r="G112" s="1" t="str">
        <f>VLOOKUP(E:E,'4店'!$B:$B,1,0)</f>
        <v>Y4055-OR+Y4056+Y4057</v>
      </c>
      <c r="H112" t="s">
        <v>1602</v>
      </c>
      <c r="I112">
        <v>6</v>
      </c>
      <c r="J112" s="1" t="str">
        <f>VLOOKUP(H:H,'4店'!$B:$B,1,0)</f>
        <v>Y4075-BL+Y4076+Y4077</v>
      </c>
      <c r="K112" t="s">
        <v>1612</v>
      </c>
      <c r="L112">
        <v>178</v>
      </c>
      <c r="M112">
        <v>0</v>
      </c>
      <c r="N112">
        <v>0</v>
      </c>
      <c r="O112">
        <v>0</v>
      </c>
      <c r="P112">
        <v>0</v>
      </c>
      <c r="Q112" s="31">
        <v>0</v>
      </c>
      <c r="R112" s="31">
        <v>0</v>
      </c>
      <c r="S112" s="1" t="str">
        <f>VLOOKUP(K:K,'4店'!$B:$B,1,0)</f>
        <v>Y4075-WI+Y4076+Y4077</v>
      </c>
      <c r="T112" t="s">
        <v>1612</v>
      </c>
      <c r="U112">
        <v>258</v>
      </c>
      <c r="V112">
        <v>3</v>
      </c>
      <c r="W112">
        <v>1.47</v>
      </c>
      <c r="X112">
        <v>12.99</v>
      </c>
      <c r="Y112">
        <v>1</v>
      </c>
      <c r="Z112" s="31">
        <v>0.113163972286374</v>
      </c>
      <c r="AA112" s="31">
        <v>0.333333333333333</v>
      </c>
      <c r="AB112" s="1" t="str">
        <f>VLOOKUP(T:T,'4店'!$B:$B,1,0)</f>
        <v>Y4075-WI+Y4076+Y4077</v>
      </c>
      <c r="AC112" t="s">
        <v>1602</v>
      </c>
      <c r="AD112">
        <v>1648</v>
      </c>
      <c r="AE112">
        <v>20</v>
      </c>
      <c r="AF112">
        <v>10.17</v>
      </c>
      <c r="AG112">
        <v>25.98</v>
      </c>
      <c r="AH112">
        <v>2</v>
      </c>
      <c r="AI112" s="31">
        <v>0.391454965357968</v>
      </c>
      <c r="AJ112" s="31">
        <v>0.1</v>
      </c>
      <c r="AK112" s="1" t="str">
        <f>VLOOKUP(AC:AC,'4店'!$B:$B,1,0)</f>
        <v>Y4075-BL+Y4076+Y4077</v>
      </c>
      <c r="AN112" s="1">
        <f t="shared" si="6"/>
        <v>0</v>
      </c>
      <c r="AP112" t="s">
        <v>1545</v>
      </c>
      <c r="AQ112" s="102">
        <v>12.99</v>
      </c>
      <c r="AR112" s="1">
        <f>AQ112*$AS$1</f>
        <v>88.9815</v>
      </c>
      <c r="AT112" s="45" t="s">
        <v>1549</v>
      </c>
      <c r="AU112" s="44">
        <v>465.8</v>
      </c>
      <c r="AV112" s="35"/>
      <c r="AW112" s="43" t="s">
        <v>1545</v>
      </c>
      <c r="AX112" s="44">
        <v>534.3</v>
      </c>
      <c r="AZ112" s="47" t="s">
        <v>1547</v>
      </c>
      <c r="BA112" s="48">
        <v>4.984</v>
      </c>
      <c r="BB112" s="1" t="s">
        <v>430</v>
      </c>
    </row>
    <row r="113" spans="5:54">
      <c r="E113" t="s">
        <v>1525</v>
      </c>
      <c r="F113">
        <v>1</v>
      </c>
      <c r="G113" s="1" t="str">
        <f>VLOOKUP(E:E,'4店'!$B:$B,1,0)</f>
        <v>Y4061-GW+Y4062</v>
      </c>
      <c r="H113" t="s">
        <v>1395</v>
      </c>
      <c r="I113">
        <v>3</v>
      </c>
      <c r="J113" s="1" t="str">
        <f>VLOOKUP(H:H,'4店'!$B:$B,1,0)</f>
        <v>Y4033-OR</v>
      </c>
      <c r="K113" t="s">
        <v>1608</v>
      </c>
      <c r="L113">
        <v>186</v>
      </c>
      <c r="M113">
        <v>8</v>
      </c>
      <c r="N113">
        <v>3.3</v>
      </c>
      <c r="O113">
        <v>0</v>
      </c>
      <c r="P113">
        <v>0</v>
      </c>
      <c r="Q113" s="31">
        <v>0</v>
      </c>
      <c r="R113" s="31">
        <v>0</v>
      </c>
      <c r="S113" s="1" t="str">
        <f>VLOOKUP(K:K,'4店'!$B:$B,1,0)</f>
        <v>Y4075-GW+Y4076+Y4077</v>
      </c>
      <c r="T113" t="s">
        <v>1608</v>
      </c>
      <c r="U113">
        <v>275</v>
      </c>
      <c r="V113">
        <v>11</v>
      </c>
      <c r="W113">
        <v>4.7</v>
      </c>
      <c r="X113">
        <v>0</v>
      </c>
      <c r="Y113">
        <v>0</v>
      </c>
      <c r="Z113" s="31">
        <v>0</v>
      </c>
      <c r="AA113" s="31">
        <v>0</v>
      </c>
      <c r="AB113" s="1" t="str">
        <f>VLOOKUP(T:T,'4店'!$B:$B,1,0)</f>
        <v>Y4075-GW+Y4076+Y4077</v>
      </c>
      <c r="AC113" t="s">
        <v>1612</v>
      </c>
      <c r="AD113">
        <v>311</v>
      </c>
      <c r="AE113">
        <v>4</v>
      </c>
      <c r="AF113">
        <v>2.02</v>
      </c>
      <c r="AG113">
        <v>12.99</v>
      </c>
      <c r="AH113">
        <v>1</v>
      </c>
      <c r="AI113" s="31">
        <v>0.155504234026174</v>
      </c>
      <c r="AJ113" s="31">
        <v>0.25</v>
      </c>
      <c r="AK113" s="1" t="str">
        <f>VLOOKUP(AC:AC,'4店'!$B:$B,1,0)</f>
        <v>Y4075-WI+Y4076+Y4077</v>
      </c>
      <c r="AN113" s="1">
        <f t="shared" si="6"/>
        <v>0</v>
      </c>
      <c r="AP113" t="s">
        <v>1547</v>
      </c>
      <c r="AQ113" s="102">
        <v>12.99</v>
      </c>
      <c r="AR113" s="1">
        <f>AQ113*$AS$1</f>
        <v>88.9815</v>
      </c>
      <c r="AT113" s="45" t="s">
        <v>1551</v>
      </c>
      <c r="AU113" s="44">
        <v>328.8</v>
      </c>
      <c r="AV113" s="35"/>
      <c r="AW113" s="43" t="s">
        <v>1547</v>
      </c>
      <c r="AX113" s="44">
        <v>315.1</v>
      </c>
      <c r="AZ113" s="47" t="s">
        <v>1549</v>
      </c>
      <c r="BA113" s="48">
        <v>5.285</v>
      </c>
      <c r="BB113" s="1" t="s">
        <v>430</v>
      </c>
    </row>
    <row r="114" spans="5:54">
      <c r="E114" t="s">
        <v>1534</v>
      </c>
      <c r="F114">
        <v>1</v>
      </c>
      <c r="G114" s="1" t="str">
        <f>VLOOKUP(E:E,'4店'!$B:$B,1,0)</f>
        <v>Y4066-DB+Y4068</v>
      </c>
      <c r="H114" t="s">
        <v>1501</v>
      </c>
      <c r="I114">
        <v>3</v>
      </c>
      <c r="J114" s="1" t="str">
        <f>VLOOKUP(H:H,'4店'!$B:$B,1,0)</f>
        <v>Y4055-DB+Y4056+Y4057</v>
      </c>
      <c r="K114" t="s">
        <v>1610</v>
      </c>
      <c r="L114">
        <v>226</v>
      </c>
      <c r="M114">
        <v>7</v>
      </c>
      <c r="N114">
        <v>3</v>
      </c>
      <c r="O114">
        <v>0</v>
      </c>
      <c r="P114">
        <v>0</v>
      </c>
      <c r="Q114" s="31">
        <v>0</v>
      </c>
      <c r="R114" s="31">
        <v>0</v>
      </c>
      <c r="S114" s="1" t="str">
        <f>VLOOKUP(K:K,'4店'!$B:$B,1,0)</f>
        <v>Y4075-OR+Y4076+Y4077</v>
      </c>
      <c r="T114" t="s">
        <v>1610</v>
      </c>
      <c r="U114">
        <v>406</v>
      </c>
      <c r="V114">
        <v>11</v>
      </c>
      <c r="W114">
        <v>4.99</v>
      </c>
      <c r="X114">
        <v>0</v>
      </c>
      <c r="Y114">
        <v>0</v>
      </c>
      <c r="Z114" s="31">
        <v>0</v>
      </c>
      <c r="AA114" s="31">
        <v>0</v>
      </c>
      <c r="AB114" s="1" t="str">
        <f>VLOOKUP(T:T,'4店'!$B:$B,1,0)</f>
        <v>Y4075-OR+Y4076+Y4077</v>
      </c>
      <c r="AC114" t="s">
        <v>1608</v>
      </c>
      <c r="AD114">
        <v>415</v>
      </c>
      <c r="AE114">
        <v>13</v>
      </c>
      <c r="AF114">
        <v>5.65</v>
      </c>
      <c r="AG114">
        <v>0</v>
      </c>
      <c r="AH114">
        <v>0</v>
      </c>
      <c r="AI114" s="31">
        <v>0</v>
      </c>
      <c r="AJ114" s="31">
        <v>0</v>
      </c>
      <c r="AK114" s="1" t="str">
        <f>VLOOKUP(AC:AC,'4店'!$B:$B,1,0)</f>
        <v>Y4075-GW+Y4076+Y4077</v>
      </c>
      <c r="AN114" s="1">
        <f t="shared" si="6"/>
        <v>0</v>
      </c>
      <c r="AP114" t="s">
        <v>1599</v>
      </c>
      <c r="AQ114" s="102">
        <v>10.99</v>
      </c>
      <c r="AR114" s="1">
        <f t="shared" ref="AR108:AR139" si="7">AQ114*$AS$1</f>
        <v>75.2815</v>
      </c>
      <c r="AT114" s="45" t="s">
        <v>1553</v>
      </c>
      <c r="AU114" s="44">
        <v>849.4</v>
      </c>
      <c r="AV114" s="35"/>
      <c r="AW114" s="43" t="s">
        <v>1549</v>
      </c>
      <c r="AX114" s="44">
        <v>520.6</v>
      </c>
      <c r="AZ114" s="47" t="s">
        <v>1551</v>
      </c>
      <c r="BA114" s="48">
        <v>4.09</v>
      </c>
      <c r="BB114" s="1" t="s">
        <v>430</v>
      </c>
    </row>
    <row r="115" spans="5:54">
      <c r="E115" t="s">
        <v>1547</v>
      </c>
      <c r="F115">
        <v>1</v>
      </c>
      <c r="G115" s="1" t="str">
        <f>VLOOKUP(E:E,'4店'!$B:$B,1,0)</f>
        <v>Y4069-GW+Y4070+Y4071</v>
      </c>
      <c r="H115" t="s">
        <v>1571</v>
      </c>
      <c r="I115">
        <v>6</v>
      </c>
      <c r="J115" s="1" t="str">
        <f>VLOOKUP(H:H,'4店'!$B:$B,1,0)</f>
        <v>Y4084-GW+Y4085+Y4086</v>
      </c>
      <c r="K115" t="s">
        <v>1605</v>
      </c>
      <c r="L115">
        <v>366</v>
      </c>
      <c r="M115">
        <v>8</v>
      </c>
      <c r="N115">
        <v>3.88</v>
      </c>
      <c r="O115">
        <v>90.93</v>
      </c>
      <c r="P115">
        <v>7</v>
      </c>
      <c r="Q115" s="31">
        <v>0.0426701858572528</v>
      </c>
      <c r="R115" s="31">
        <v>0.875</v>
      </c>
      <c r="S115" s="1" t="str">
        <f>VLOOKUP(K:K,'4店'!$B:$B,1,0)</f>
        <v>Y4075-DB+Y4076+Y4077</v>
      </c>
      <c r="T115" t="s">
        <v>1605</v>
      </c>
      <c r="U115">
        <v>600</v>
      </c>
      <c r="V115">
        <v>20</v>
      </c>
      <c r="W115">
        <v>9.57</v>
      </c>
      <c r="X115">
        <v>116.91</v>
      </c>
      <c r="Y115">
        <v>9</v>
      </c>
      <c r="Z115" s="31">
        <v>0.0818578393636131</v>
      </c>
      <c r="AA115" s="31">
        <v>0.45</v>
      </c>
      <c r="AB115" s="1" t="str">
        <f>VLOOKUP(T:T,'4店'!$B:$B,1,0)</f>
        <v>Y4075-DB+Y4076+Y4077</v>
      </c>
      <c r="AC115" t="s">
        <v>1610</v>
      </c>
      <c r="AD115">
        <v>516</v>
      </c>
      <c r="AE115">
        <v>12</v>
      </c>
      <c r="AF115">
        <v>5.54</v>
      </c>
      <c r="AG115">
        <v>0</v>
      </c>
      <c r="AH115">
        <v>0</v>
      </c>
      <c r="AI115" s="31">
        <v>0</v>
      </c>
      <c r="AJ115" s="31">
        <v>0</v>
      </c>
      <c r="AK115" s="1" t="str">
        <f>VLOOKUP(AC:AC,'4店'!$B:$B,1,0)</f>
        <v>Y4075-OR+Y4076+Y4077</v>
      </c>
      <c r="AN115" s="1">
        <f t="shared" si="6"/>
        <v>0</v>
      </c>
      <c r="AP115" t="s">
        <v>1629</v>
      </c>
      <c r="AQ115" s="102">
        <v>12.99</v>
      </c>
      <c r="AR115" s="1">
        <f t="shared" si="7"/>
        <v>88.9815</v>
      </c>
      <c r="AT115" s="45" t="s">
        <v>1556</v>
      </c>
      <c r="AU115" s="44">
        <v>493.2</v>
      </c>
      <c r="AV115" s="35"/>
      <c r="AW115" s="43" t="s">
        <v>1551</v>
      </c>
      <c r="AX115" s="44">
        <v>205.5</v>
      </c>
      <c r="AZ115" s="47" t="s">
        <v>1542</v>
      </c>
      <c r="BA115" s="48">
        <v>5.911</v>
      </c>
      <c r="BB115" s="1" t="s">
        <v>430</v>
      </c>
    </row>
    <row r="116" spans="5:54">
      <c r="E116" t="s">
        <v>1629</v>
      </c>
      <c r="F116">
        <v>1</v>
      </c>
      <c r="G116" s="1" t="str">
        <f>VLOOKUP(E:E,'4店'!$B:$B,1,0)</f>
        <v>Y4089-BL+Y4090</v>
      </c>
      <c r="H116" t="s">
        <v>1612</v>
      </c>
      <c r="I116">
        <v>3</v>
      </c>
      <c r="J116" s="1" t="str">
        <f>VLOOKUP(H:H,'4店'!$B:$B,1,0)</f>
        <v>Y4075-WI+Y4076+Y4077</v>
      </c>
      <c r="K116" t="s">
        <v>1432</v>
      </c>
      <c r="L116">
        <v>1</v>
      </c>
      <c r="M116">
        <v>0</v>
      </c>
      <c r="N116">
        <v>0</v>
      </c>
      <c r="O116">
        <v>0</v>
      </c>
      <c r="P116">
        <v>0</v>
      </c>
      <c r="Q116" s="31">
        <v>0</v>
      </c>
      <c r="R116" s="31">
        <v>0</v>
      </c>
      <c r="S116" s="1" t="str">
        <f>VLOOKUP(K:K,'4店'!$B:$B,1,0)</f>
        <v>Y4038-OR</v>
      </c>
      <c r="T116" t="s">
        <v>1432</v>
      </c>
      <c r="U116">
        <v>1</v>
      </c>
      <c r="V116">
        <v>0</v>
      </c>
      <c r="W116">
        <v>0</v>
      </c>
      <c r="X116">
        <v>0</v>
      </c>
      <c r="Y116">
        <v>0</v>
      </c>
      <c r="Z116" s="31">
        <v>0</v>
      </c>
      <c r="AA116" s="31">
        <v>0</v>
      </c>
      <c r="AB116" s="1" t="str">
        <f>VLOOKUP(T:T,'4店'!$B:$B,1,0)</f>
        <v>Y4038-OR</v>
      </c>
      <c r="AC116" t="s">
        <v>1605</v>
      </c>
      <c r="AD116">
        <v>774</v>
      </c>
      <c r="AE116">
        <v>30</v>
      </c>
      <c r="AF116">
        <v>14.97</v>
      </c>
      <c r="AG116">
        <v>129.9</v>
      </c>
      <c r="AH116">
        <v>10</v>
      </c>
      <c r="AI116" s="31">
        <v>0.115242494226328</v>
      </c>
      <c r="AJ116" s="31">
        <v>0.333333333333333</v>
      </c>
      <c r="AK116" s="1" t="str">
        <f>VLOOKUP(AC:AC,'4店'!$B:$B,1,0)</f>
        <v>Y4075-DB+Y4076+Y4077</v>
      </c>
      <c r="AN116" s="1">
        <f t="shared" si="6"/>
        <v>0</v>
      </c>
      <c r="AR116" s="1">
        <f t="shared" si="7"/>
        <v>0</v>
      </c>
      <c r="AT116" s="45" t="s">
        <v>1558</v>
      </c>
      <c r="AU116" s="44">
        <v>424.7</v>
      </c>
      <c r="AV116" s="35"/>
      <c r="AW116" s="43" t="s">
        <v>1553</v>
      </c>
      <c r="AX116" s="44">
        <v>931.6</v>
      </c>
      <c r="AZ116" s="47" t="s">
        <v>1558</v>
      </c>
      <c r="BA116" s="48">
        <v>3.222</v>
      </c>
      <c r="BB116" s="1" t="s">
        <v>430</v>
      </c>
    </row>
    <row r="117" spans="5:54">
      <c r="E117" t="s">
        <v>439</v>
      </c>
      <c r="F117">
        <v>806</v>
      </c>
      <c r="H117" t="s">
        <v>1610</v>
      </c>
      <c r="I117">
        <v>2</v>
      </c>
      <c r="J117" s="1" t="str">
        <f>VLOOKUP(H:H,'4店'!$B:$B,1,0)</f>
        <v>Y4075-OR+Y4076+Y4077</v>
      </c>
      <c r="K117" t="s">
        <v>439</v>
      </c>
      <c r="L117">
        <v>146955</v>
      </c>
      <c r="M117">
        <v>1535</v>
      </c>
      <c r="N117">
        <v>611.47</v>
      </c>
      <c r="O117">
        <v>1947.95</v>
      </c>
      <c r="P117">
        <v>122</v>
      </c>
      <c r="Q117" s="31">
        <v>0.313904360994892</v>
      </c>
      <c r="R117" s="31">
        <v>0.0794788273615635</v>
      </c>
      <c r="T117" t="s">
        <v>439</v>
      </c>
      <c r="U117">
        <v>291286</v>
      </c>
      <c r="V117">
        <v>3127</v>
      </c>
      <c r="W117">
        <v>1256.17</v>
      </c>
      <c r="X117">
        <v>4373.26</v>
      </c>
      <c r="Y117">
        <v>303</v>
      </c>
      <c r="Z117" s="31">
        <v>0.287238810406882</v>
      </c>
      <c r="AA117" s="31">
        <v>0.0968979852894148</v>
      </c>
      <c r="AC117" t="s">
        <v>439</v>
      </c>
      <c r="AD117">
        <v>562644</v>
      </c>
      <c r="AE117">
        <v>6283</v>
      </c>
      <c r="AF117">
        <v>2514</v>
      </c>
      <c r="AG117">
        <v>8945.96999999999</v>
      </c>
      <c r="AH117">
        <v>643</v>
      </c>
      <c r="AI117" s="31">
        <v>0.28102039242251</v>
      </c>
      <c r="AJ117" s="31">
        <v>0.102339646665606</v>
      </c>
      <c r="AK117" s="1"/>
      <c r="AN117" s="1">
        <f t="shared" si="6"/>
        <v>0</v>
      </c>
      <c r="AR117" s="1">
        <f t="shared" si="7"/>
        <v>0</v>
      </c>
      <c r="AT117" s="45" t="s">
        <v>1562</v>
      </c>
      <c r="AU117" s="44">
        <v>575.4</v>
      </c>
      <c r="AV117" s="35"/>
      <c r="AW117" s="43" t="s">
        <v>1556</v>
      </c>
      <c r="AX117" s="44">
        <v>561.7</v>
      </c>
      <c r="AZ117" s="47" t="s">
        <v>1562</v>
      </c>
      <c r="BA117" s="48">
        <v>4.103</v>
      </c>
      <c r="BB117" s="1" t="s">
        <v>430</v>
      </c>
    </row>
    <row r="118" spans="8:54">
      <c r="H118" t="s">
        <v>1407</v>
      </c>
      <c r="I118">
        <v>1</v>
      </c>
      <c r="J118" s="1" t="str">
        <f>VLOOKUP(H:H,'4店'!$B:$B,1,0)</f>
        <v>Y4037-GO</v>
      </c>
      <c r="AC118"/>
      <c r="AD118"/>
      <c r="AE118"/>
      <c r="AF118"/>
      <c r="AG118"/>
      <c r="AH118"/>
      <c r="AI118"/>
      <c r="AJ118"/>
      <c r="AK118"/>
      <c r="AN118" s="1">
        <f t="shared" si="6"/>
        <v>0</v>
      </c>
      <c r="AR118" s="1">
        <f t="shared" si="7"/>
        <v>0</v>
      </c>
      <c r="AT118" s="45" t="s">
        <v>1560</v>
      </c>
      <c r="AU118" s="44">
        <v>452.1</v>
      </c>
      <c r="AV118" s="35"/>
      <c r="AW118" s="43" t="s">
        <v>1558</v>
      </c>
      <c r="AX118" s="44">
        <v>452.1</v>
      </c>
      <c r="AZ118" s="47" t="s">
        <v>1553</v>
      </c>
      <c r="BA118" s="48">
        <v>3.914</v>
      </c>
      <c r="BB118" s="1" t="s">
        <v>430</v>
      </c>
    </row>
    <row r="119" spans="8:54">
      <c r="H119" t="s">
        <v>1414</v>
      </c>
      <c r="I119">
        <v>1</v>
      </c>
      <c r="J119" s="1" t="str">
        <f>VLOOKUP(H:H,'4店'!$B:$B,1,0)</f>
        <v>Y4036-DB</v>
      </c>
      <c r="AC119"/>
      <c r="AD119"/>
      <c r="AE119"/>
      <c r="AF119"/>
      <c r="AG119"/>
      <c r="AH119"/>
      <c r="AI119"/>
      <c r="AJ119"/>
      <c r="AK119"/>
      <c r="AN119" s="1">
        <f t="shared" si="6"/>
        <v>0</v>
      </c>
      <c r="AR119" s="1">
        <f t="shared" si="7"/>
        <v>0</v>
      </c>
      <c r="AT119" s="45" t="s">
        <v>1564</v>
      </c>
      <c r="AU119" s="44">
        <v>220</v>
      </c>
      <c r="AV119" s="35"/>
      <c r="AW119" s="43" t="s">
        <v>1560</v>
      </c>
      <c r="AX119" s="44">
        <v>479.5</v>
      </c>
      <c r="AZ119" s="47" t="s">
        <v>1560</v>
      </c>
      <c r="BA119" s="48">
        <v>3.474</v>
      </c>
      <c r="BB119" s="1" t="s">
        <v>430</v>
      </c>
    </row>
    <row r="120" spans="8:54">
      <c r="H120" t="s">
        <v>1420</v>
      </c>
      <c r="I120">
        <v>1</v>
      </c>
      <c r="J120" s="1" t="str">
        <f>VLOOKUP(H:H,'4店'!$B:$B,1,0)</f>
        <v>Y4021-WI+Y4025+Y4029</v>
      </c>
      <c r="AC120"/>
      <c r="AD120"/>
      <c r="AE120"/>
      <c r="AF120"/>
      <c r="AG120"/>
      <c r="AH120"/>
      <c r="AI120"/>
      <c r="AJ120"/>
      <c r="AK120"/>
      <c r="AN120" s="1">
        <f t="shared" si="6"/>
        <v>0</v>
      </c>
      <c r="AR120" s="1">
        <f t="shared" si="7"/>
        <v>0</v>
      </c>
      <c r="AT120" s="45" t="s">
        <v>1566</v>
      </c>
      <c r="AU120" s="44">
        <v>972.7</v>
      </c>
      <c r="AV120" s="35"/>
      <c r="AW120" s="43" t="s">
        <v>1562</v>
      </c>
      <c r="AX120" s="44">
        <v>630.2</v>
      </c>
      <c r="AZ120" s="47" t="s">
        <v>1556</v>
      </c>
      <c r="BA120" s="48">
        <v>4.103</v>
      </c>
      <c r="BB120" s="1" t="s">
        <v>430</v>
      </c>
    </row>
    <row r="121" spans="8:54">
      <c r="H121" t="s">
        <v>1595</v>
      </c>
      <c r="I121">
        <v>2</v>
      </c>
      <c r="J121" s="1" t="str">
        <f>VLOOKUP(H:H,'4店'!$B:$B,1,0)</f>
        <v>Y4078-GW+Y4079+Y4080</v>
      </c>
      <c r="AC121"/>
      <c r="AD121"/>
      <c r="AE121"/>
      <c r="AF121"/>
      <c r="AG121"/>
      <c r="AH121"/>
      <c r="AI121"/>
      <c r="AJ121"/>
      <c r="AK121"/>
      <c r="AN121" s="1">
        <f t="shared" si="6"/>
        <v>0</v>
      </c>
      <c r="AR121" s="1">
        <f t="shared" si="7"/>
        <v>0</v>
      </c>
      <c r="AT121" s="45" t="s">
        <v>1569</v>
      </c>
      <c r="AU121" s="44">
        <v>452.1</v>
      </c>
      <c r="AV121" s="35"/>
      <c r="AW121" s="43" t="s">
        <v>1566</v>
      </c>
      <c r="AX121" s="44">
        <v>1342.6</v>
      </c>
      <c r="AZ121" s="47" t="s">
        <v>1602</v>
      </c>
      <c r="BA121" s="48">
        <v>2.487</v>
      </c>
      <c r="BB121" s="1" t="s">
        <v>430</v>
      </c>
    </row>
    <row r="122" spans="8:54">
      <c r="H122" t="s">
        <v>1605</v>
      </c>
      <c r="I122">
        <v>3</v>
      </c>
      <c r="J122" s="1" t="str">
        <f>VLOOKUP(H:H,'4店'!$B:$B,1,0)</f>
        <v>Y4075-DB+Y4076+Y4077</v>
      </c>
      <c r="AC122"/>
      <c r="AD122"/>
      <c r="AE122"/>
      <c r="AF122"/>
      <c r="AG122"/>
      <c r="AH122"/>
      <c r="AI122"/>
      <c r="AJ122"/>
      <c r="AK122"/>
      <c r="AN122" s="1">
        <f t="shared" si="6"/>
        <v>0</v>
      </c>
      <c r="AR122" s="1">
        <f t="shared" si="7"/>
        <v>0</v>
      </c>
      <c r="AT122" s="45" t="s">
        <v>1571</v>
      </c>
      <c r="AU122" s="44">
        <v>369.9</v>
      </c>
      <c r="AV122" s="35"/>
      <c r="AW122" s="43" t="s">
        <v>1569</v>
      </c>
      <c r="AX122" s="44">
        <v>671.3</v>
      </c>
      <c r="AZ122" s="47" t="s">
        <v>1610</v>
      </c>
      <c r="BA122" s="48">
        <v>2.487</v>
      </c>
      <c r="BB122" s="1" t="s">
        <v>430</v>
      </c>
    </row>
    <row r="123" spans="8:54">
      <c r="H123" t="s">
        <v>1608</v>
      </c>
      <c r="I123">
        <v>2</v>
      </c>
      <c r="J123" s="1" t="str">
        <f>VLOOKUP(H:H,'4店'!$B:$B,1,0)</f>
        <v>Y4075-GW+Y4076+Y4077</v>
      </c>
      <c r="AN123" s="1">
        <f t="shared" si="6"/>
        <v>0</v>
      </c>
      <c r="AR123" s="1">
        <f t="shared" si="7"/>
        <v>0</v>
      </c>
      <c r="AT123" s="45" t="s">
        <v>1573</v>
      </c>
      <c r="AU123" s="44">
        <v>534.3</v>
      </c>
      <c r="AW123" s="43" t="s">
        <v>1571</v>
      </c>
      <c r="AX123" s="44">
        <v>411</v>
      </c>
      <c r="AZ123" s="47" t="s">
        <v>1605</v>
      </c>
      <c r="BA123" s="48">
        <v>2.487</v>
      </c>
      <c r="BB123" s="1" t="s">
        <v>430</v>
      </c>
    </row>
    <row r="124" spans="8:54">
      <c r="H124" t="s">
        <v>1397</v>
      </c>
      <c r="I124">
        <v>1</v>
      </c>
      <c r="J124" s="1" t="str">
        <f>VLOOKUP(H:H,'4店'!$B:$B,1,0)</f>
        <v>Y4035-GR</v>
      </c>
      <c r="AN124" s="1">
        <f t="shared" si="6"/>
        <v>0</v>
      </c>
      <c r="AR124" s="1">
        <f t="shared" si="7"/>
        <v>0</v>
      </c>
      <c r="AT124" s="45" t="s">
        <v>1575</v>
      </c>
      <c r="AU124" s="44">
        <v>315.1</v>
      </c>
      <c r="AW124" s="43" t="s">
        <v>1573</v>
      </c>
      <c r="AX124" s="44">
        <v>671.3</v>
      </c>
      <c r="AZ124" s="47" t="s">
        <v>1612</v>
      </c>
      <c r="BA124" s="48">
        <v>2.487</v>
      </c>
      <c r="BB124" s="1" t="s">
        <v>430</v>
      </c>
    </row>
    <row r="125" spans="8:54">
      <c r="H125" t="s">
        <v>1416</v>
      </c>
      <c r="I125">
        <v>1</v>
      </c>
      <c r="J125" s="1" t="str">
        <f>VLOOKUP(H:H,'4店'!$B:$B,1,0)</f>
        <v>Y4036-OR</v>
      </c>
      <c r="AN125" s="1">
        <f t="shared" si="6"/>
        <v>0</v>
      </c>
      <c r="AR125" s="1">
        <f t="shared" si="7"/>
        <v>0</v>
      </c>
      <c r="AT125" s="45" t="s">
        <v>1578</v>
      </c>
      <c r="AU125" s="44">
        <v>493.2</v>
      </c>
      <c r="AW125" s="43" t="s">
        <v>1575</v>
      </c>
      <c r="AX125" s="44">
        <v>383.6</v>
      </c>
      <c r="AZ125" s="47" t="s">
        <v>1608</v>
      </c>
      <c r="BA125" s="48">
        <v>2.487</v>
      </c>
      <c r="BB125" s="1" t="s">
        <v>430</v>
      </c>
    </row>
    <row r="126" spans="8:54">
      <c r="H126" t="s">
        <v>1505</v>
      </c>
      <c r="I126">
        <v>1</v>
      </c>
      <c r="J126" s="1" t="str">
        <f>VLOOKUP(H:H,'4店'!$B:$B,1,0)</f>
        <v>Y4055-OR+Y4056+Y4057</v>
      </c>
      <c r="AN126" s="1">
        <f t="shared" si="6"/>
        <v>0</v>
      </c>
      <c r="AR126" s="1">
        <f t="shared" si="7"/>
        <v>0</v>
      </c>
      <c r="AT126" s="45" t="s">
        <v>1581</v>
      </c>
      <c r="AU126" s="44">
        <v>602.8</v>
      </c>
      <c r="AW126" s="43" t="s">
        <v>1578</v>
      </c>
      <c r="AX126" s="44">
        <v>685</v>
      </c>
      <c r="AZ126" s="47" t="s">
        <v>1595</v>
      </c>
      <c r="BA126" s="48">
        <v>2.487</v>
      </c>
      <c r="BB126" s="1" t="s">
        <v>430</v>
      </c>
    </row>
    <row r="127" spans="8:54">
      <c r="H127" t="s">
        <v>1534</v>
      </c>
      <c r="I127">
        <v>1</v>
      </c>
      <c r="J127" s="1" t="str">
        <f>VLOOKUP(H:H,'4店'!$B:$B,1,0)</f>
        <v>Y4066-DB+Y4068</v>
      </c>
      <c r="AN127" s="1">
        <f t="shared" si="6"/>
        <v>0</v>
      </c>
      <c r="AR127" s="1">
        <f t="shared" si="7"/>
        <v>0</v>
      </c>
      <c r="AT127" s="45" t="s">
        <v>1584</v>
      </c>
      <c r="AU127" s="44">
        <v>383.6</v>
      </c>
      <c r="AW127" s="43" t="s">
        <v>1581</v>
      </c>
      <c r="AX127" s="44">
        <v>671.3</v>
      </c>
      <c r="AZ127" s="47" t="s">
        <v>1597</v>
      </c>
      <c r="BA127" s="48">
        <v>2.487</v>
      </c>
      <c r="BB127" s="1" t="s">
        <v>430</v>
      </c>
    </row>
    <row r="128" spans="8:54">
      <c r="H128" t="s">
        <v>1547</v>
      </c>
      <c r="I128">
        <v>1</v>
      </c>
      <c r="J128" s="1" t="str">
        <f>VLOOKUP(H:H,'4店'!$B:$B,1,0)</f>
        <v>Y4069-GW+Y4070+Y4071</v>
      </c>
      <c r="AN128" s="1">
        <f t="shared" si="6"/>
        <v>0</v>
      </c>
      <c r="AR128" s="1">
        <f t="shared" si="7"/>
        <v>0</v>
      </c>
      <c r="AT128" s="45" t="s">
        <v>1586</v>
      </c>
      <c r="AU128" s="44">
        <v>602.8</v>
      </c>
      <c r="AW128" s="43" t="s">
        <v>1584</v>
      </c>
      <c r="AX128" s="44">
        <v>411</v>
      </c>
      <c r="AZ128" s="47" t="s">
        <v>1593</v>
      </c>
      <c r="BA128" s="48">
        <v>2.487</v>
      </c>
      <c r="BB128" s="1" t="s">
        <v>430</v>
      </c>
    </row>
    <row r="129" spans="8:54">
      <c r="H129" t="s">
        <v>1629</v>
      </c>
      <c r="I129">
        <v>1</v>
      </c>
      <c r="J129" s="1" t="str">
        <f>VLOOKUP(H:H,'4店'!$B:$B,1,0)</f>
        <v>Y4089-BL+Y4090</v>
      </c>
      <c r="AN129" s="1">
        <f t="shared" si="6"/>
        <v>0</v>
      </c>
      <c r="AR129" s="1">
        <f t="shared" si="7"/>
        <v>0</v>
      </c>
      <c r="AT129" s="45" t="s">
        <v>1588</v>
      </c>
      <c r="AU129" s="44">
        <v>315.1</v>
      </c>
      <c r="AW129" s="43" t="s">
        <v>1586</v>
      </c>
      <c r="AX129" s="44">
        <v>685</v>
      </c>
      <c r="AZ129" s="47" t="s">
        <v>1590</v>
      </c>
      <c r="BA129" s="48">
        <v>2.487</v>
      </c>
      <c r="BB129" s="1" t="s">
        <v>430</v>
      </c>
    </row>
    <row r="130" spans="8:54">
      <c r="H130" t="s">
        <v>439</v>
      </c>
      <c r="I130">
        <v>1590</v>
      </c>
      <c r="AN130" s="1">
        <f t="shared" si="6"/>
        <v>0</v>
      </c>
      <c r="AR130" s="1">
        <f t="shared" si="7"/>
        <v>0</v>
      </c>
      <c r="AT130" s="45" t="s">
        <v>1590</v>
      </c>
      <c r="AU130" s="44">
        <v>548</v>
      </c>
      <c r="AW130" s="43" t="s">
        <v>1588</v>
      </c>
      <c r="AX130" s="44">
        <v>397.3</v>
      </c>
      <c r="AZ130" s="47" t="s">
        <v>1599</v>
      </c>
      <c r="BA130" s="48">
        <v>2.487</v>
      </c>
      <c r="BB130" s="1" t="s">
        <v>430</v>
      </c>
    </row>
    <row r="131" spans="40:54">
      <c r="AN131" s="1">
        <f t="shared" si="6"/>
        <v>0</v>
      </c>
      <c r="AR131" s="1">
        <f t="shared" si="7"/>
        <v>0</v>
      </c>
      <c r="AT131" s="45" t="s">
        <v>1593</v>
      </c>
      <c r="AU131" s="44">
        <v>561.7</v>
      </c>
      <c r="AW131" s="43" t="s">
        <v>1590</v>
      </c>
      <c r="AX131" s="44">
        <v>685</v>
      </c>
      <c r="AZ131" s="47" t="s">
        <v>1575</v>
      </c>
      <c r="BA131" s="48">
        <v>2.487</v>
      </c>
      <c r="BB131" s="1" t="s">
        <v>430</v>
      </c>
    </row>
    <row r="132" spans="40:54">
      <c r="AN132" s="1">
        <f t="shared" si="6"/>
        <v>0</v>
      </c>
      <c r="AR132" s="1">
        <f t="shared" si="7"/>
        <v>0</v>
      </c>
      <c r="AT132" s="45" t="s">
        <v>1595</v>
      </c>
      <c r="AU132" s="44">
        <v>397.3</v>
      </c>
      <c r="AW132" s="43" t="s">
        <v>1593</v>
      </c>
      <c r="AX132" s="44">
        <v>685</v>
      </c>
      <c r="AZ132" s="47" t="s">
        <v>1566</v>
      </c>
      <c r="BA132" s="48">
        <v>2.487</v>
      </c>
      <c r="BB132" s="1" t="s">
        <v>430</v>
      </c>
    </row>
    <row r="133" spans="40:54">
      <c r="AN133" s="1">
        <f t="shared" si="6"/>
        <v>0</v>
      </c>
      <c r="AR133" s="1">
        <f t="shared" si="7"/>
        <v>0</v>
      </c>
      <c r="AT133" s="45" t="s">
        <v>1597</v>
      </c>
      <c r="AU133" s="44">
        <v>1219.3</v>
      </c>
      <c r="AW133" s="43" t="s">
        <v>1595</v>
      </c>
      <c r="AX133" s="44">
        <v>411</v>
      </c>
      <c r="AZ133" s="47" t="s">
        <v>1573</v>
      </c>
      <c r="BA133" s="48">
        <v>2.487</v>
      </c>
      <c r="BB133" s="1" t="s">
        <v>430</v>
      </c>
    </row>
    <row r="134" spans="40:54">
      <c r="AN134" s="1">
        <f t="shared" si="6"/>
        <v>0</v>
      </c>
      <c r="AR134" s="1">
        <f t="shared" si="7"/>
        <v>0</v>
      </c>
      <c r="AT134" s="45" t="s">
        <v>1599</v>
      </c>
      <c r="AU134" s="44">
        <v>356.2</v>
      </c>
      <c r="AW134" s="43" t="s">
        <v>1597</v>
      </c>
      <c r="AX134" s="44">
        <v>1315.2</v>
      </c>
      <c r="AZ134" s="47" t="s">
        <v>1569</v>
      </c>
      <c r="BA134" s="48">
        <v>2.487</v>
      </c>
      <c r="BB134" s="1" t="s">
        <v>430</v>
      </c>
    </row>
    <row r="135" spans="40:54">
      <c r="AN135" s="1">
        <f t="shared" ref="AN135:AN164" si="8">AM135*$AS$1</f>
        <v>0</v>
      </c>
      <c r="AR135" s="1">
        <f t="shared" si="7"/>
        <v>0</v>
      </c>
      <c r="AT135" s="45" t="s">
        <v>1602</v>
      </c>
      <c r="AU135" s="44">
        <v>643.9</v>
      </c>
      <c r="AW135" s="43" t="s">
        <v>1599</v>
      </c>
      <c r="AX135" s="44">
        <v>411</v>
      </c>
      <c r="AZ135" s="47" t="s">
        <v>1571</v>
      </c>
      <c r="BA135" s="48">
        <v>2.487</v>
      </c>
      <c r="BB135" s="1" t="s">
        <v>430</v>
      </c>
    </row>
    <row r="136" spans="40:54">
      <c r="AN136" s="1">
        <f t="shared" si="8"/>
        <v>0</v>
      </c>
      <c r="AR136" s="1">
        <f t="shared" si="7"/>
        <v>0</v>
      </c>
      <c r="AT136" s="45" t="s">
        <v>1605</v>
      </c>
      <c r="AU136" s="44">
        <v>1219.3</v>
      </c>
      <c r="AW136" s="43" t="s">
        <v>1602</v>
      </c>
      <c r="AX136" s="44">
        <v>685</v>
      </c>
      <c r="AZ136" s="47" t="s">
        <v>1588</v>
      </c>
      <c r="BA136" s="48">
        <v>2.487</v>
      </c>
      <c r="BB136" s="1" t="s">
        <v>430</v>
      </c>
    </row>
    <row r="137" spans="40:54">
      <c r="AN137" s="1">
        <f t="shared" si="8"/>
        <v>0</v>
      </c>
      <c r="AR137" s="1">
        <f t="shared" si="7"/>
        <v>0</v>
      </c>
      <c r="AT137" s="45" t="s">
        <v>1608</v>
      </c>
      <c r="AU137" s="44">
        <v>411</v>
      </c>
      <c r="AW137" s="43" t="s">
        <v>1605</v>
      </c>
      <c r="AX137" s="44">
        <v>1233</v>
      </c>
      <c r="AZ137" s="47" t="s">
        <v>1581</v>
      </c>
      <c r="BA137" s="48">
        <v>2.487</v>
      </c>
      <c r="BB137" s="1" t="s">
        <v>430</v>
      </c>
    </row>
    <row r="138" spans="40:54">
      <c r="AN138" s="1">
        <f t="shared" si="8"/>
        <v>0</v>
      </c>
      <c r="AR138" s="1">
        <f t="shared" si="7"/>
        <v>0</v>
      </c>
      <c r="AT138" s="45" t="s">
        <v>1610</v>
      </c>
      <c r="AU138" s="44">
        <v>548</v>
      </c>
      <c r="AW138" s="43" t="s">
        <v>1608</v>
      </c>
      <c r="AX138" s="44">
        <v>411</v>
      </c>
      <c r="AZ138" s="47" t="s">
        <v>1578</v>
      </c>
      <c r="BA138" s="48">
        <v>2.487</v>
      </c>
      <c r="BB138" s="1" t="s">
        <v>430</v>
      </c>
    </row>
    <row r="139" spans="40:54">
      <c r="AN139" s="1">
        <f t="shared" si="8"/>
        <v>0</v>
      </c>
      <c r="AR139" s="1">
        <f t="shared" si="7"/>
        <v>0</v>
      </c>
      <c r="AT139" s="45" t="s">
        <v>1612</v>
      </c>
      <c r="AU139" s="44">
        <v>397.3</v>
      </c>
      <c r="AW139" s="43" t="s">
        <v>1610</v>
      </c>
      <c r="AX139" s="44">
        <v>698.7</v>
      </c>
      <c r="AZ139" s="47" t="s">
        <v>1586</v>
      </c>
      <c r="BA139" s="48">
        <v>2.487</v>
      </c>
      <c r="BB139" s="1" t="s">
        <v>430</v>
      </c>
    </row>
    <row r="140" spans="40:54">
      <c r="AN140" s="1">
        <f t="shared" si="8"/>
        <v>0</v>
      </c>
      <c r="AR140" s="1">
        <f t="shared" ref="AR140:AR171" si="9">AQ140*$AS$1</f>
        <v>0</v>
      </c>
      <c r="AT140" s="45" t="s">
        <v>1614</v>
      </c>
      <c r="AU140" s="44">
        <v>660</v>
      </c>
      <c r="AW140" s="43" t="s">
        <v>1612</v>
      </c>
      <c r="AX140" s="44">
        <v>411</v>
      </c>
      <c r="AZ140" s="47" t="s">
        <v>1584</v>
      </c>
      <c r="BA140" s="48">
        <v>2.487</v>
      </c>
      <c r="BB140" s="1" t="s">
        <v>430</v>
      </c>
    </row>
    <row r="141" spans="40:54">
      <c r="AN141" s="1">
        <f t="shared" si="8"/>
        <v>0</v>
      </c>
      <c r="AR141" s="1">
        <f t="shared" si="9"/>
        <v>0</v>
      </c>
      <c r="AT141" s="45" t="s">
        <v>1617</v>
      </c>
      <c r="AU141" s="44">
        <v>330</v>
      </c>
      <c r="AZ141" t="s">
        <v>1432</v>
      </c>
      <c r="BA141">
        <v>4.538</v>
      </c>
      <c r="BB141" s="1" t="s">
        <v>430</v>
      </c>
    </row>
    <row r="142" spans="40:54">
      <c r="AN142" s="1">
        <f t="shared" si="8"/>
        <v>0</v>
      </c>
      <c r="AR142" s="1">
        <f t="shared" si="9"/>
        <v>0</v>
      </c>
      <c r="AT142" s="45" t="s">
        <v>1620</v>
      </c>
      <c r="AU142" s="44">
        <v>440</v>
      </c>
      <c r="AZ142" t="s">
        <v>1496</v>
      </c>
      <c r="BA142">
        <v>4.162</v>
      </c>
      <c r="BB142" s="1" t="s">
        <v>430</v>
      </c>
    </row>
    <row r="143" spans="40:54">
      <c r="AN143" s="1">
        <f t="shared" si="8"/>
        <v>0</v>
      </c>
      <c r="AR143" s="1">
        <f t="shared" si="9"/>
        <v>0</v>
      </c>
      <c r="AT143" s="45" t="s">
        <v>1623</v>
      </c>
      <c r="AU143" s="44">
        <v>660</v>
      </c>
      <c r="AZ143" t="s">
        <v>1614</v>
      </c>
      <c r="BA143">
        <v>1.566</v>
      </c>
      <c r="BB143" s="1" t="s">
        <v>430</v>
      </c>
    </row>
    <row r="144" spans="40:54">
      <c r="AN144" s="1">
        <f t="shared" si="8"/>
        <v>0</v>
      </c>
      <c r="AR144" s="1">
        <f t="shared" si="9"/>
        <v>0</v>
      </c>
      <c r="AT144" s="45" t="s">
        <v>1626</v>
      </c>
      <c r="AU144" s="44">
        <v>440</v>
      </c>
      <c r="AZ144" s="48" t="s">
        <v>1617</v>
      </c>
      <c r="BA144">
        <v>1.566</v>
      </c>
      <c r="BB144" s="1" t="s">
        <v>430</v>
      </c>
    </row>
    <row r="145" spans="40:54">
      <c r="AN145" s="1">
        <f t="shared" si="8"/>
        <v>0</v>
      </c>
      <c r="AR145" s="1">
        <f t="shared" si="9"/>
        <v>0</v>
      </c>
      <c r="AT145" s="45" t="s">
        <v>1629</v>
      </c>
      <c r="AU145" s="44">
        <v>330</v>
      </c>
      <c r="AZ145" t="s">
        <v>1620</v>
      </c>
      <c r="BA145">
        <v>1.566</v>
      </c>
      <c r="BB145" s="1" t="s">
        <v>430</v>
      </c>
    </row>
    <row r="146" spans="40:54">
      <c r="AN146" s="1">
        <f t="shared" si="8"/>
        <v>0</v>
      </c>
      <c r="AR146" s="1">
        <f t="shared" si="9"/>
        <v>0</v>
      </c>
      <c r="AT146" s="45" t="s">
        <v>1632</v>
      </c>
      <c r="AU146" s="44">
        <v>330</v>
      </c>
      <c r="AZ146" t="s">
        <v>1623</v>
      </c>
      <c r="BA146">
        <v>1.566</v>
      </c>
      <c r="BB146" s="1" t="s">
        <v>430</v>
      </c>
    </row>
    <row r="147" spans="40:54">
      <c r="AN147" s="1">
        <f t="shared" si="8"/>
        <v>0</v>
      </c>
      <c r="AR147" s="1">
        <f t="shared" si="9"/>
        <v>0</v>
      </c>
      <c r="AT147" s="45" t="s">
        <v>1635</v>
      </c>
      <c r="AU147" s="44">
        <v>220</v>
      </c>
      <c r="AZ147" t="s">
        <v>1626</v>
      </c>
      <c r="BA147">
        <v>0.996</v>
      </c>
      <c r="BB147" s="1" t="s">
        <v>430</v>
      </c>
    </row>
    <row r="148" spans="40:54">
      <c r="AN148" s="1">
        <f t="shared" si="8"/>
        <v>0</v>
      </c>
      <c r="AR148" s="1">
        <f t="shared" si="9"/>
        <v>0</v>
      </c>
      <c r="AT148" s="45" t="s">
        <v>1638</v>
      </c>
      <c r="AU148" s="44">
        <v>330</v>
      </c>
      <c r="AZ148" t="s">
        <v>1629</v>
      </c>
      <c r="BA148">
        <v>1.566</v>
      </c>
      <c r="BB148" s="1" t="s">
        <v>430</v>
      </c>
    </row>
    <row r="149" spans="40:54">
      <c r="AN149" s="1">
        <f t="shared" si="8"/>
        <v>0</v>
      </c>
      <c r="AR149" s="1">
        <f t="shared" si="9"/>
        <v>0</v>
      </c>
      <c r="AT149" s="45" t="s">
        <v>1641</v>
      </c>
      <c r="AU149" s="44">
        <v>220</v>
      </c>
      <c r="AZ149" t="s">
        <v>1632</v>
      </c>
      <c r="BA149">
        <v>1.566</v>
      </c>
      <c r="BB149" s="1" t="s">
        <v>430</v>
      </c>
    </row>
    <row r="150" spans="40:54">
      <c r="AN150" s="1">
        <f t="shared" si="8"/>
        <v>0</v>
      </c>
      <c r="AR150" s="1">
        <f t="shared" si="9"/>
        <v>0</v>
      </c>
      <c r="AZ150" t="s">
        <v>1635</v>
      </c>
      <c r="BA150">
        <v>1.566</v>
      </c>
      <c r="BB150" s="1" t="s">
        <v>430</v>
      </c>
    </row>
    <row r="151" spans="40:54">
      <c r="AN151" s="1">
        <f t="shared" si="8"/>
        <v>0</v>
      </c>
      <c r="AR151" s="1">
        <f t="shared" si="9"/>
        <v>0</v>
      </c>
      <c r="AZ151" t="s">
        <v>1638</v>
      </c>
      <c r="BA151">
        <v>1.566</v>
      </c>
      <c r="BB151" s="1" t="s">
        <v>430</v>
      </c>
    </row>
    <row r="152" spans="40:54">
      <c r="AN152" s="1">
        <f t="shared" si="8"/>
        <v>0</v>
      </c>
      <c r="AR152" s="1">
        <f t="shared" si="9"/>
        <v>0</v>
      </c>
      <c r="AZ152" t="s">
        <v>1641</v>
      </c>
      <c r="BA152">
        <v>1.566</v>
      </c>
      <c r="BB152" s="1" t="s">
        <v>430</v>
      </c>
    </row>
    <row r="153" spans="40:53">
      <c r="AN153" s="1">
        <f t="shared" si="8"/>
        <v>0</v>
      </c>
      <c r="AR153" s="1">
        <f t="shared" si="9"/>
        <v>0</v>
      </c>
      <c r="AZ153" s="1"/>
      <c r="BA153" s="1"/>
    </row>
    <row r="154" spans="40:53">
      <c r="AN154" s="1">
        <f t="shared" si="8"/>
        <v>0</v>
      </c>
      <c r="AR154" s="1">
        <f t="shared" si="9"/>
        <v>0</v>
      </c>
      <c r="AZ154" s="1"/>
      <c r="BA154" s="1"/>
    </row>
    <row r="155" spans="40:53">
      <c r="AN155" s="1">
        <f t="shared" si="8"/>
        <v>0</v>
      </c>
      <c r="AR155" s="1">
        <f t="shared" si="9"/>
        <v>0</v>
      </c>
      <c r="AZ155" s="1"/>
      <c r="BA155" s="1"/>
    </row>
    <row r="156" spans="40:53">
      <c r="AN156" s="1">
        <f t="shared" si="8"/>
        <v>0</v>
      </c>
      <c r="AR156" s="1">
        <f t="shared" si="9"/>
        <v>0</v>
      </c>
      <c r="AZ156" s="1"/>
      <c r="BA156" s="1"/>
    </row>
    <row r="157" spans="40:53">
      <c r="AN157" s="1">
        <f t="shared" si="8"/>
        <v>0</v>
      </c>
      <c r="AR157" s="1">
        <f t="shared" si="9"/>
        <v>0</v>
      </c>
      <c r="AZ157" s="1"/>
      <c r="BA157" s="1"/>
    </row>
    <row r="158" spans="40:53">
      <c r="AN158" s="1">
        <f t="shared" si="8"/>
        <v>0</v>
      </c>
      <c r="AR158" s="1">
        <f t="shared" si="9"/>
        <v>0</v>
      </c>
      <c r="AZ158" s="1"/>
      <c r="BA158" s="1"/>
    </row>
    <row r="159" spans="40:53">
      <c r="AN159" s="1">
        <f t="shared" si="8"/>
        <v>0</v>
      </c>
      <c r="AR159" s="1">
        <f t="shared" si="9"/>
        <v>0</v>
      </c>
      <c r="AZ159" s="1"/>
      <c r="BA159" s="1"/>
    </row>
    <row r="160" spans="40:53">
      <c r="AN160" s="1">
        <f t="shared" si="8"/>
        <v>0</v>
      </c>
      <c r="AR160" s="1">
        <f t="shared" si="9"/>
        <v>0</v>
      </c>
      <c r="AZ160" s="1"/>
      <c r="BA160" s="1"/>
    </row>
    <row r="161" spans="40:53">
      <c r="AN161" s="1">
        <f t="shared" si="8"/>
        <v>0</v>
      </c>
      <c r="AR161" s="1">
        <f t="shared" si="9"/>
        <v>0</v>
      </c>
      <c r="AZ161" s="1"/>
      <c r="BA161" s="1"/>
    </row>
    <row r="162" spans="40:53">
      <c r="AN162" s="1">
        <f t="shared" si="8"/>
        <v>0</v>
      </c>
      <c r="AR162" s="1">
        <f t="shared" si="9"/>
        <v>0</v>
      </c>
      <c r="AZ162" s="1"/>
      <c r="BA162" s="1"/>
    </row>
    <row r="163" spans="40:53">
      <c r="AN163" s="1">
        <f t="shared" si="8"/>
        <v>0</v>
      </c>
      <c r="AR163" s="1">
        <f t="shared" si="9"/>
        <v>0</v>
      </c>
      <c r="AZ163"/>
      <c r="BA163"/>
    </row>
    <row r="164" spans="40:53">
      <c r="AN164" s="1">
        <f t="shared" si="8"/>
        <v>0</v>
      </c>
      <c r="AR164" s="1">
        <f t="shared" si="9"/>
        <v>0</v>
      </c>
      <c r="AZ164"/>
      <c r="BA164"/>
    </row>
    <row r="165" spans="44:53">
      <c r="AR165" s="1">
        <f t="shared" si="9"/>
        <v>0</v>
      </c>
      <c r="AZ165"/>
      <c r="BA165"/>
    </row>
    <row r="166" spans="44:53">
      <c r="AR166" s="1">
        <f t="shared" si="9"/>
        <v>0</v>
      </c>
      <c r="AZ166"/>
      <c r="BA166"/>
    </row>
    <row r="167" spans="44:53">
      <c r="AR167" s="1">
        <f t="shared" si="9"/>
        <v>0</v>
      </c>
      <c r="AZ167"/>
      <c r="BA167"/>
    </row>
    <row r="168" spans="44:53">
      <c r="AR168" s="1">
        <f t="shared" si="9"/>
        <v>0</v>
      </c>
      <c r="AZ168"/>
      <c r="BA168"/>
    </row>
    <row r="169" spans="44:53">
      <c r="AR169" s="1">
        <f t="shared" si="9"/>
        <v>0</v>
      </c>
      <c r="AZ169"/>
      <c r="BA169"/>
    </row>
    <row r="170" spans="44:53">
      <c r="AR170" s="1">
        <f t="shared" si="9"/>
        <v>0</v>
      </c>
      <c r="AZ170"/>
      <c r="BA170"/>
    </row>
    <row r="171" spans="44:53">
      <c r="AR171" s="1">
        <f t="shared" si="9"/>
        <v>0</v>
      </c>
      <c r="AZ171"/>
      <c r="BA171"/>
    </row>
    <row r="172" spans="44:53">
      <c r="AR172" s="1">
        <f t="shared" ref="AR172:AR190" si="10">AQ172*$AS$1</f>
        <v>0</v>
      </c>
      <c r="AZ172"/>
      <c r="BA172"/>
    </row>
    <row r="173" spans="44:53">
      <c r="AR173" s="1">
        <f t="shared" si="10"/>
        <v>0</v>
      </c>
      <c r="AZ173"/>
      <c r="BA173"/>
    </row>
    <row r="174" spans="44:53">
      <c r="AR174" s="1">
        <f t="shared" si="10"/>
        <v>0</v>
      </c>
      <c r="AZ174"/>
      <c r="BA174"/>
    </row>
    <row r="175" spans="44:53">
      <c r="AR175" s="1">
        <f t="shared" si="10"/>
        <v>0</v>
      </c>
      <c r="AZ175"/>
      <c r="BA175"/>
    </row>
    <row r="176" spans="44:53">
      <c r="AR176" s="1">
        <f t="shared" si="10"/>
        <v>0</v>
      </c>
      <c r="AZ176"/>
      <c r="BA176"/>
    </row>
    <row r="177" spans="44:53">
      <c r="AR177" s="1">
        <f t="shared" si="10"/>
        <v>0</v>
      </c>
      <c r="AZ177"/>
      <c r="BA177"/>
    </row>
    <row r="178" spans="44:53">
      <c r="AR178" s="1">
        <f t="shared" si="10"/>
        <v>0</v>
      </c>
      <c r="AZ178"/>
      <c r="BA178"/>
    </row>
    <row r="179" spans="44:53">
      <c r="AR179" s="1">
        <f t="shared" si="10"/>
        <v>0</v>
      </c>
      <c r="AZ179"/>
      <c r="BA179"/>
    </row>
    <row r="180" spans="44:53">
      <c r="AR180" s="1">
        <f t="shared" si="10"/>
        <v>0</v>
      </c>
      <c r="AZ180"/>
      <c r="BA180"/>
    </row>
    <row r="181" spans="44:53">
      <c r="AR181" s="1">
        <f t="shared" si="10"/>
        <v>0</v>
      </c>
      <c r="AZ181"/>
      <c r="BA181"/>
    </row>
    <row r="182" spans="44:53">
      <c r="AR182" s="1">
        <f t="shared" si="10"/>
        <v>0</v>
      </c>
      <c r="AZ182"/>
      <c r="BA182"/>
    </row>
    <row r="183" spans="44:53">
      <c r="AR183" s="1">
        <f t="shared" si="10"/>
        <v>0</v>
      </c>
      <c r="AZ183"/>
      <c r="BA183"/>
    </row>
    <row r="184" spans="44:53">
      <c r="AR184" s="1">
        <f t="shared" si="10"/>
        <v>0</v>
      </c>
      <c r="AZ184"/>
      <c r="BA184"/>
    </row>
    <row r="185" spans="44:53">
      <c r="AR185" s="1">
        <f t="shared" si="10"/>
        <v>0</v>
      </c>
      <c r="AZ185"/>
      <c r="BA185"/>
    </row>
    <row r="186" spans="44:53">
      <c r="AR186" s="1">
        <f t="shared" si="10"/>
        <v>0</v>
      </c>
      <c r="AZ186"/>
      <c r="BA186"/>
    </row>
    <row r="187" spans="44:53">
      <c r="AR187" s="1">
        <f t="shared" si="10"/>
        <v>0</v>
      </c>
      <c r="AZ187"/>
      <c r="BA187"/>
    </row>
    <row r="188" spans="44:53">
      <c r="AR188" s="1">
        <f t="shared" si="10"/>
        <v>0</v>
      </c>
      <c r="AZ188"/>
      <c r="BA188"/>
    </row>
    <row r="189" spans="44:53">
      <c r="AR189" s="1">
        <f t="shared" si="10"/>
        <v>0</v>
      </c>
      <c r="AZ189"/>
      <c r="BA189"/>
    </row>
    <row r="190" spans="44:53">
      <c r="AR190" s="1">
        <f t="shared" si="10"/>
        <v>0</v>
      </c>
      <c r="AZ190"/>
      <c r="BA190"/>
    </row>
    <row r="191" spans="52:53">
      <c r="AZ191"/>
      <c r="BA191"/>
    </row>
    <row r="192" spans="52:53">
      <c r="AZ192"/>
      <c r="BA192"/>
    </row>
    <row r="193" spans="52:53">
      <c r="AZ193"/>
      <c r="BA193"/>
    </row>
    <row r="194" spans="52:53">
      <c r="AZ194"/>
      <c r="BA194"/>
    </row>
    <row r="195" spans="52:53">
      <c r="AZ195"/>
      <c r="BA195"/>
    </row>
    <row r="196" spans="52:53">
      <c r="AZ196"/>
      <c r="BA196"/>
    </row>
    <row r="197" spans="52:53">
      <c r="AZ197"/>
      <c r="BA197"/>
    </row>
    <row r="198" spans="52:53">
      <c r="AZ198"/>
      <c r="BA198"/>
    </row>
    <row r="199" spans="52:53">
      <c r="AZ199"/>
      <c r="BA199"/>
    </row>
    <row r="200" spans="52:53">
      <c r="AZ200"/>
      <c r="BA200"/>
    </row>
    <row r="201" spans="52:53">
      <c r="AZ201"/>
      <c r="BA201"/>
    </row>
    <row r="202" spans="52:53">
      <c r="AZ202"/>
      <c r="BA202"/>
    </row>
    <row r="203" spans="52:53">
      <c r="AZ203"/>
      <c r="BA203"/>
    </row>
    <row r="204" spans="52:53">
      <c r="AZ204"/>
      <c r="BA204"/>
    </row>
  </sheetData>
  <autoFilter ref="B1:BB190">
    <extLst/>
  </autoFilter>
  <conditionalFormatting sqref="AZ2">
    <cfRule type="duplicateValues" dxfId="988" priority="87"/>
  </conditionalFormatting>
  <conditionalFormatting sqref="AT3">
    <cfRule type="duplicateValues" dxfId="984" priority="2"/>
    <cfRule type="duplicateValues" dxfId="984" priority="1"/>
  </conditionalFormatting>
  <conditionalFormatting sqref="AW3">
    <cfRule type="duplicateValues" dxfId="984" priority="4"/>
    <cfRule type="duplicateValues" dxfId="984" priority="3"/>
  </conditionalFormatting>
  <conditionalFormatting sqref="AZ4">
    <cfRule type="duplicateValues" dxfId="988" priority="86"/>
  </conditionalFormatting>
  <conditionalFormatting sqref="AZ5">
    <cfRule type="duplicateValues" dxfId="988" priority="85"/>
  </conditionalFormatting>
  <conditionalFormatting sqref="AZ6">
    <cfRule type="duplicateValues" dxfId="988" priority="84"/>
  </conditionalFormatting>
  <conditionalFormatting sqref="AZ7">
    <cfRule type="duplicateValues" dxfId="988" priority="83"/>
  </conditionalFormatting>
  <conditionalFormatting sqref="AZ8">
    <cfRule type="duplicateValues" dxfId="988" priority="82"/>
  </conditionalFormatting>
  <conditionalFormatting sqref="AZ9">
    <cfRule type="duplicateValues" dxfId="988" priority="81"/>
  </conditionalFormatting>
  <conditionalFormatting sqref="AZ10">
    <cfRule type="duplicateValues" dxfId="988" priority="80"/>
  </conditionalFormatting>
  <conditionalFormatting sqref="AZ11">
    <cfRule type="duplicateValues" dxfId="988" priority="79"/>
  </conditionalFormatting>
  <conditionalFormatting sqref="AZ12">
    <cfRule type="duplicateValues" dxfId="988" priority="78"/>
  </conditionalFormatting>
  <conditionalFormatting sqref="AZ13">
    <cfRule type="duplicateValues" dxfId="988" priority="77"/>
  </conditionalFormatting>
  <conditionalFormatting sqref="AZ14">
    <cfRule type="duplicateValues" dxfId="988" priority="76"/>
  </conditionalFormatting>
  <conditionalFormatting sqref="AZ15">
    <cfRule type="duplicateValues" dxfId="988" priority="75"/>
  </conditionalFormatting>
  <conditionalFormatting sqref="AZ17">
    <cfRule type="duplicateValues" dxfId="988" priority="74"/>
  </conditionalFormatting>
  <conditionalFormatting sqref="AZ18">
    <cfRule type="duplicateValues" dxfId="988" priority="73"/>
  </conditionalFormatting>
  <conditionalFormatting sqref="AZ19">
    <cfRule type="duplicateValues" dxfId="988" priority="72"/>
  </conditionalFormatting>
  <conditionalFormatting sqref="AZ20">
    <cfRule type="duplicateValues" dxfId="988" priority="71"/>
  </conditionalFormatting>
  <conditionalFormatting sqref="AZ21">
    <cfRule type="duplicateValues" dxfId="988" priority="70"/>
  </conditionalFormatting>
  <conditionalFormatting sqref="AZ22">
    <cfRule type="duplicateValues" dxfId="988" priority="69"/>
  </conditionalFormatting>
  <conditionalFormatting sqref="AZ23">
    <cfRule type="duplicateValues" dxfId="988" priority="68"/>
  </conditionalFormatting>
  <conditionalFormatting sqref="AZ24">
    <cfRule type="duplicateValues" dxfId="988" priority="67"/>
  </conditionalFormatting>
  <conditionalFormatting sqref="AZ25">
    <cfRule type="duplicateValues" dxfId="988" priority="66"/>
  </conditionalFormatting>
  <conditionalFormatting sqref="AZ26">
    <cfRule type="duplicateValues" dxfId="988" priority="65"/>
  </conditionalFormatting>
  <conditionalFormatting sqref="AZ27">
    <cfRule type="duplicateValues" dxfId="988" priority="64"/>
  </conditionalFormatting>
  <conditionalFormatting sqref="AZ28">
    <cfRule type="duplicateValues" dxfId="988" priority="63"/>
  </conditionalFormatting>
  <conditionalFormatting sqref="AZ29">
    <cfRule type="duplicateValues" dxfId="988" priority="62"/>
  </conditionalFormatting>
  <conditionalFormatting sqref="AZ30">
    <cfRule type="duplicateValues" dxfId="988" priority="61"/>
  </conditionalFormatting>
  <conditionalFormatting sqref="AZ31">
    <cfRule type="duplicateValues" dxfId="988" priority="60"/>
  </conditionalFormatting>
  <conditionalFormatting sqref="AZ32">
    <cfRule type="duplicateValues" dxfId="988" priority="59"/>
  </conditionalFormatting>
  <conditionalFormatting sqref="AZ33">
    <cfRule type="duplicateValues" dxfId="988" priority="58"/>
  </conditionalFormatting>
  <conditionalFormatting sqref="AZ34">
    <cfRule type="duplicateValues" dxfId="988" priority="57"/>
  </conditionalFormatting>
  <conditionalFormatting sqref="AZ35">
    <cfRule type="duplicateValues" dxfId="988" priority="56"/>
  </conditionalFormatting>
  <conditionalFormatting sqref="AZ36">
    <cfRule type="duplicateValues" dxfId="988" priority="55"/>
  </conditionalFormatting>
  <conditionalFormatting sqref="AZ37">
    <cfRule type="duplicateValues" dxfId="988" priority="54"/>
  </conditionalFormatting>
  <conditionalFormatting sqref="AZ38">
    <cfRule type="duplicateValues" dxfId="988" priority="53"/>
  </conditionalFormatting>
  <conditionalFormatting sqref="AZ49">
    <cfRule type="duplicateValues" dxfId="984" priority="6"/>
    <cfRule type="duplicateValues" dxfId="984" priority="5"/>
  </conditionalFormatting>
  <conditionalFormatting sqref="AZ56">
    <cfRule type="duplicateValues" dxfId="984" priority="50"/>
    <cfRule type="duplicateValues" dxfId="984" priority="42"/>
  </conditionalFormatting>
  <conditionalFormatting sqref="AZ59">
    <cfRule type="duplicateValues" dxfId="984" priority="48"/>
    <cfRule type="duplicateValues" dxfId="984" priority="40"/>
  </conditionalFormatting>
  <conditionalFormatting sqref="AZ70">
    <cfRule type="duplicateValues" dxfId="984" priority="34"/>
    <cfRule type="duplicateValues" dxfId="984" priority="20"/>
  </conditionalFormatting>
  <conditionalFormatting sqref="AZ71">
    <cfRule type="duplicateValues" dxfId="984" priority="33"/>
    <cfRule type="duplicateValues" dxfId="984" priority="19"/>
  </conditionalFormatting>
  <conditionalFormatting sqref="AZ72">
    <cfRule type="duplicateValues" dxfId="984" priority="32"/>
    <cfRule type="duplicateValues" dxfId="984" priority="18"/>
  </conditionalFormatting>
  <conditionalFormatting sqref="AZ73">
    <cfRule type="duplicateValues" dxfId="984" priority="31"/>
    <cfRule type="duplicateValues" dxfId="984" priority="17"/>
  </conditionalFormatting>
  <conditionalFormatting sqref="AZ74">
    <cfRule type="duplicateValues" dxfId="984" priority="30"/>
    <cfRule type="duplicateValues" dxfId="984" priority="16"/>
  </conditionalFormatting>
  <conditionalFormatting sqref="AZ75">
    <cfRule type="duplicateValues" dxfId="984" priority="29"/>
    <cfRule type="duplicateValues" dxfId="984" priority="15"/>
  </conditionalFormatting>
  <conditionalFormatting sqref="AZ76">
    <cfRule type="duplicateValues" dxfId="984" priority="28"/>
    <cfRule type="duplicateValues" dxfId="984" priority="14"/>
  </conditionalFormatting>
  <conditionalFormatting sqref="AZ77">
    <cfRule type="duplicateValues" dxfId="984" priority="27"/>
    <cfRule type="duplicateValues" dxfId="984" priority="13"/>
  </conditionalFormatting>
  <conditionalFormatting sqref="AZ78">
    <cfRule type="duplicateValues" dxfId="984" priority="26"/>
    <cfRule type="duplicateValues" dxfId="984" priority="12"/>
  </conditionalFormatting>
  <conditionalFormatting sqref="AZ79">
    <cfRule type="duplicateValues" dxfId="984" priority="25"/>
    <cfRule type="duplicateValues" dxfId="984" priority="11"/>
  </conditionalFormatting>
  <conditionalFormatting sqref="AZ80">
    <cfRule type="duplicateValues" dxfId="984" priority="24"/>
    <cfRule type="duplicateValues" dxfId="984" priority="10"/>
  </conditionalFormatting>
  <conditionalFormatting sqref="AZ81">
    <cfRule type="duplicateValues" dxfId="984" priority="23"/>
    <cfRule type="duplicateValues" dxfId="984" priority="9"/>
  </conditionalFormatting>
  <conditionalFormatting sqref="AZ82">
    <cfRule type="duplicateValues" dxfId="984" priority="22"/>
    <cfRule type="duplicateValues" dxfId="984" priority="8"/>
  </conditionalFormatting>
  <conditionalFormatting sqref="AZ83">
    <cfRule type="duplicateValues" dxfId="984" priority="21"/>
    <cfRule type="duplicateValues" dxfId="984" priority="7"/>
  </conditionalFormatting>
  <conditionalFormatting sqref="AZ144">
    <cfRule type="duplicateValues" dxfId="988" priority="97"/>
    <cfRule type="duplicateValues" dxfId="984" priority="96"/>
  </conditionalFormatting>
  <conditionalFormatting sqref="AZ57:AZ58">
    <cfRule type="duplicateValues" dxfId="984" priority="49"/>
    <cfRule type="duplicateValues" dxfId="984" priority="41"/>
  </conditionalFormatting>
  <conditionalFormatting sqref="AZ60:AZ61">
    <cfRule type="duplicateValues" dxfId="984" priority="47"/>
    <cfRule type="duplicateValues" dxfId="984" priority="39"/>
  </conditionalFormatting>
  <conditionalFormatting sqref="AZ62:AZ63">
    <cfRule type="duplicateValues" dxfId="984" priority="46"/>
    <cfRule type="duplicateValues" dxfId="984" priority="38"/>
  </conditionalFormatting>
  <conditionalFormatting sqref="AZ64:AZ65">
    <cfRule type="duplicateValues" dxfId="984" priority="45"/>
    <cfRule type="duplicateValues" dxfId="984" priority="37"/>
  </conditionalFormatting>
  <conditionalFormatting sqref="AZ66:AZ67">
    <cfRule type="duplicateValues" dxfId="984" priority="44"/>
    <cfRule type="duplicateValues" dxfId="984" priority="36"/>
  </conditionalFormatting>
  <conditionalFormatting sqref="AZ68:AZ69">
    <cfRule type="duplicateValues" dxfId="984" priority="43"/>
    <cfRule type="duplicateValues" dxfId="984" priority="35"/>
  </conditionalFormatting>
  <conditionalFormatting sqref="AZ1 AZ205:AZ591316">
    <cfRule type="duplicateValues" dxfId="984" priority="417"/>
  </conditionalFormatting>
  <conditionalFormatting sqref="AZ2:AZ48 AZ84:AZ140 AZ50:AZ55">
    <cfRule type="duplicateValues" dxfId="984" priority="51"/>
  </conditionalFormatting>
  <conditionalFormatting sqref="AZ39:AZ48 AZ50:AZ55 AZ16">
    <cfRule type="duplicateValues" dxfId="984" priority="52"/>
  </conditionalFormatting>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FFFF00"/>
  </sheetPr>
  <dimension ref="A1:AN69"/>
  <sheetViews>
    <sheetView workbookViewId="0">
      <pane ySplit="3" topLeftCell="A4" activePane="bottomLeft" state="frozen"/>
      <selection/>
      <selection pane="bottomLeft" activeCell="M8" sqref="M8"/>
    </sheetView>
  </sheetViews>
  <sheetFormatPr defaultColWidth="9" defaultRowHeight="25" customHeight="1"/>
  <cols>
    <col min="1" max="1" width="5.22935779816514" customWidth="1"/>
    <col min="2" max="2" width="11.9633027522936" customWidth="1"/>
    <col min="3" max="3" width="17.8807339449541" customWidth="1"/>
    <col min="4" max="4" width="13.5779816513761" style="104" customWidth="1"/>
    <col min="5" max="5" width="11.5045871559633" customWidth="1"/>
    <col min="6" max="10" width="9" hidden="1" customWidth="1"/>
    <col min="11" max="11" width="9" customWidth="1"/>
    <col min="12" max="12" width="9" style="103" customWidth="1"/>
    <col min="13" max="13" width="10.0917431192661" customWidth="1"/>
    <col min="14" max="14" width="8.09174311926606" customWidth="1"/>
    <col min="22" max="22" width="9.96330275229358" customWidth="1"/>
    <col min="23" max="24" width="12.8807339449541" customWidth="1"/>
    <col min="27" max="27" width="9.44036697247706"/>
    <col min="30" max="30" width="10.3761467889908" customWidth="1"/>
    <col min="31" max="31" width="10.348623853211" customWidth="1"/>
    <col min="32" max="32" width="10.0917431192661" customWidth="1"/>
    <col min="35" max="36" width="10.7155963302752" customWidth="1"/>
    <col min="37" max="37" width="10.4495412844037"/>
    <col min="38" max="38" width="11.7798165137615"/>
    <col min="39" max="39" width="10.4954128440367"/>
  </cols>
  <sheetData>
    <row r="1" s="1" customFormat="1" ht="150" customHeight="1" spans="2:37">
      <c r="B1" s="35">
        <f>COUNTA(B4:B1043861)</f>
        <v>66</v>
      </c>
      <c r="C1" s="51" t="s">
        <v>0</v>
      </c>
      <c r="D1" s="147"/>
      <c r="K1" s="35">
        <f>SUM(K4:K1044134)</f>
        <v>764</v>
      </c>
      <c r="L1" s="156"/>
      <c r="M1" s="36"/>
      <c r="T1" s="66" t="s">
        <v>1</v>
      </c>
      <c r="W1" s="67" t="s">
        <v>2</v>
      </c>
      <c r="X1" s="68" t="s">
        <v>3</v>
      </c>
      <c r="Y1" s="84" t="s">
        <v>4</v>
      </c>
      <c r="Z1" s="85"/>
      <c r="AA1" s="85"/>
      <c r="AB1" s="85"/>
      <c r="AC1" s="85"/>
      <c r="AD1" s="86"/>
      <c r="AE1" s="85"/>
      <c r="AF1" s="85"/>
      <c r="AG1" s="93" t="s">
        <v>587</v>
      </c>
      <c r="AH1" s="93"/>
      <c r="AI1" s="94" t="s">
        <v>6</v>
      </c>
      <c r="AJ1" s="94" t="s">
        <v>7</v>
      </c>
      <c r="AK1" s="95" t="s">
        <v>8</v>
      </c>
    </row>
    <row r="2" s="1" customFormat="1" ht="51.6" spans="1:40">
      <c r="A2" s="37" t="s">
        <v>9</v>
      </c>
      <c r="B2" s="37" t="s">
        <v>10</v>
      </c>
      <c r="C2" s="37" t="s">
        <v>11</v>
      </c>
      <c r="D2" s="122"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88" t="s">
        <v>30</v>
      </c>
      <c r="W2" s="73" t="s">
        <v>458</v>
      </c>
      <c r="X2" s="74" t="s">
        <v>32</v>
      </c>
      <c r="Y2" s="38" t="s">
        <v>33</v>
      </c>
      <c r="Z2" s="38" t="s">
        <v>34</v>
      </c>
      <c r="AA2" s="38" t="s">
        <v>35</v>
      </c>
      <c r="AB2" s="87" t="s">
        <v>36</v>
      </c>
      <c r="AC2" s="88" t="s">
        <v>37</v>
      </c>
      <c r="AD2" s="88" t="s">
        <v>38</v>
      </c>
      <c r="AE2" s="38" t="s">
        <v>39</v>
      </c>
      <c r="AF2" s="38" t="s">
        <v>40</v>
      </c>
      <c r="AG2" s="96" t="s">
        <v>41</v>
      </c>
      <c r="AH2" s="96" t="s">
        <v>42</v>
      </c>
      <c r="AI2" s="97" t="s">
        <v>43</v>
      </c>
      <c r="AJ2" s="97" t="s">
        <v>44</v>
      </c>
      <c r="AK2" s="38" t="s">
        <v>45</v>
      </c>
      <c r="AL2" s="38" t="s">
        <v>46</v>
      </c>
      <c r="AM2" s="24">
        <v>45200</v>
      </c>
      <c r="AN2" s="24" t="s">
        <v>47</v>
      </c>
    </row>
    <row r="3" s="49" customFormat="1" ht="20" customHeight="1" spans="2:38">
      <c r="B3" s="40" t="s">
        <v>48</v>
      </c>
      <c r="C3" s="54"/>
      <c r="D3" s="154"/>
      <c r="E3" s="56"/>
      <c r="F3" s="57"/>
      <c r="G3" s="57"/>
      <c r="H3" s="57"/>
      <c r="I3" s="57"/>
      <c r="J3" s="57"/>
      <c r="K3" s="57">
        <f>SUM(K4:K1044124)</f>
        <v>764</v>
      </c>
      <c r="L3" s="41"/>
      <c r="M3" s="57">
        <f t="shared" ref="M3:R3" si="0">SUM(M4:M1044124)</f>
        <v>20026.611</v>
      </c>
      <c r="N3" s="57">
        <f t="shared" si="0"/>
        <v>41</v>
      </c>
      <c r="O3" s="57">
        <f t="shared" si="0"/>
        <v>82</v>
      </c>
      <c r="P3" s="57">
        <f t="shared" si="0"/>
        <v>156</v>
      </c>
      <c r="Q3" s="57">
        <f t="shared" si="0"/>
        <v>40</v>
      </c>
      <c r="R3" s="57">
        <f t="shared" si="0"/>
        <v>1</v>
      </c>
      <c r="S3" s="75"/>
      <c r="T3" s="76"/>
      <c r="U3" s="77"/>
      <c r="V3" s="78"/>
      <c r="W3" s="76"/>
      <c r="X3" s="76"/>
      <c r="Y3" s="57">
        <f>SUM(Y4:Y1044124)</f>
        <v>98.86</v>
      </c>
      <c r="Z3" s="57">
        <f>SUM(Z4:Z1044124)</f>
        <v>214.24</v>
      </c>
      <c r="AA3" s="57">
        <f>SUM(AA4:AA1044124)</f>
        <v>341.93</v>
      </c>
      <c r="AB3" s="89"/>
      <c r="AC3" s="89"/>
      <c r="AD3" s="90"/>
      <c r="AE3" s="89"/>
      <c r="AF3" s="89"/>
      <c r="AG3" s="89"/>
      <c r="AH3" s="98"/>
      <c r="AI3" s="98"/>
      <c r="AJ3" s="89"/>
      <c r="AK3" s="41">
        <f>SUM(AK4:AK1043705)</f>
        <v>730.4</v>
      </c>
      <c r="AL3" s="57">
        <f>SUM(AL4:AL1044124)</f>
        <v>1451.1</v>
      </c>
    </row>
    <row r="4" customHeight="1" spans="1:40">
      <c r="A4" s="58" t="str">
        <f>INDEX('[1]5店'!$A:$A,MATCH(B:B,'[1]5店'!$B:$B,0))</f>
        <v>美珠</v>
      </c>
      <c r="B4" s="43" t="s">
        <v>1649</v>
      </c>
      <c r="C4" s="43" t="s">
        <v>1650</v>
      </c>
      <c r="D4" s="59"/>
      <c r="E4" s="43" t="s">
        <v>1651</v>
      </c>
      <c r="F4" s="43">
        <v>1</v>
      </c>
      <c r="G4" s="43">
        <v>0</v>
      </c>
      <c r="H4" s="43">
        <v>0</v>
      </c>
      <c r="I4" s="43">
        <v>0</v>
      </c>
      <c r="J4" s="43">
        <v>0</v>
      </c>
      <c r="K4" s="63">
        <f t="shared" ref="K4:K56" si="1">F4+G4+H4+I4+J4</f>
        <v>1</v>
      </c>
      <c r="L4" s="64">
        <f>IFERROR(VLOOKUP($B:$B,'[1]5店'!$B:$L,11,FALSE),0)</f>
        <v>12.4</v>
      </c>
      <c r="M4" s="44">
        <f>K4*L4</f>
        <v>12.4</v>
      </c>
      <c r="N4" s="65">
        <f>IFERROR(VLOOKUP(B:B,'5店辅助表'!B:C,2,FALSE),0)</f>
        <v>0</v>
      </c>
      <c r="O4" s="65">
        <f>IFERROR(VLOOKUP(B:B,'5店辅助表'!E:F,2,FALSE),0)</f>
        <v>0</v>
      </c>
      <c r="P4" s="65">
        <f>IFERROR(VLOOKUP(B:B,'5店辅助表'!H:I,2,FALSE),0)</f>
        <v>0</v>
      </c>
      <c r="Q4" s="65">
        <f>IFERROR(VLOOKUP(B:B,'[1]5店'!$B:$P,13,FALSE),0)</f>
        <v>0</v>
      </c>
      <c r="R4" s="79">
        <f t="shared" ref="R4:R56" si="2">N4-Q4</f>
        <v>0</v>
      </c>
      <c r="S4" s="80" t="str">
        <f t="shared" ref="S4:S56" si="3">IFERROR(K4/((N4/7+O4/15+P4/30)/3),"-")</f>
        <v>-</v>
      </c>
      <c r="T4" s="44" t="str">
        <f t="shared" ref="T4:T56" si="4">IFERROR(S4/30,"-")</f>
        <v>-</v>
      </c>
      <c r="U4" s="44" t="str">
        <f>IFERROR(VLOOKUP(B:B,'[1]5店'!$B:$T,19,0),"-")</f>
        <v>-</v>
      </c>
      <c r="V4" s="81" t="str">
        <f t="shared" ref="V4:V56" si="5">IFERROR(T4-U4,"-")</f>
        <v>-</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有库存无销量</v>
      </c>
      <c r="X4" s="83" t="str">
        <f>_xlfn.IFS(AND(D4&lt;&gt;0,D4-$AM$2&gt;=0,K4&gt;0,D4&lt;&gt;0),"本月刚到货",AND(T4="-",K4&gt;0),"有库存无销量",AND(T4="-",K4=0),"无库存无销量",AND(T4&lt;=0.5,K4=0),"无库存有销量",T4&lt;=0.5,"库存过低",T4&lt;=1.5,"正常",T4&gt;1.5,"库存过高")</f>
        <v>有库存无销量</v>
      </c>
      <c r="Y4" s="44">
        <f>IFERROR(SUMIF('5店辅助表'!K:K,B:B,'5店辅助表'!N:N),0)</f>
        <v>0</v>
      </c>
      <c r="Z4" s="44">
        <f>IFERROR(SUMIF('5店辅助表'!T:T,B:B,'5店辅助表'!W:W),0)</f>
        <v>0</v>
      </c>
      <c r="AA4" s="44">
        <f>IFERROR(SUMIF('5店辅助表'!AC:AC,B:B,'5店辅助表'!AF:AF),0)</f>
        <v>0</v>
      </c>
      <c r="AB4" s="91" t="str">
        <f>IFERROR(SUMIF('5店辅助表'!K:K,B:B,'5店辅助表'!N:N)/SUMIF('5店辅助表'!K:K,B:B,'5店辅助表'!O:O),"-")</f>
        <v>-</v>
      </c>
      <c r="AC4" s="91" t="str">
        <f>IFERROR(VLOOKUP(B:B,'[1]5店'!$B:$AB,27,FALSE),"-")</f>
        <v>-</v>
      </c>
      <c r="AD4" s="92" t="str">
        <f t="shared" ref="AD4:AD56" si="6">IFERROR(AB4-AC4,"-")</f>
        <v>-</v>
      </c>
      <c r="AE4" s="91" t="str">
        <f>IFERROR(SUMIF('5店辅助表'!T:T,B:B,'5店辅助表'!W:W)/SUMIF('5店辅助表'!T:T,B:B,'5店辅助表'!X:X),"-")</f>
        <v>-</v>
      </c>
      <c r="AF4" s="91" t="str">
        <f>IFERROR(SUMIF('5店辅助表'!AC:AC,B:B,'5店辅助表'!AF:AF)/SUMIF('5店辅助表'!AC:AC,B:B,'5店辅助表'!AG:AG),"-")</f>
        <v>-</v>
      </c>
      <c r="AG4" s="99">
        <f>IFERROR(AK4/((SUMIF('5店辅助表'!AT:AT,B:B,'5店辅助表'!AU:AU)+M4)/2),"-")</f>
        <v>0</v>
      </c>
      <c r="AH4" s="99">
        <f>IFERROR(AL4/((SUMIF('5店辅助表'!AW:AW,B:B,'5店辅助表'!AX:AX)+M4)/2),"-")</f>
        <v>0</v>
      </c>
      <c r="AI4" s="100" t="str">
        <f>IFERROR((SUMIF('5店辅助表'!AP:AP,B:B,'5店辅助表'!AR:AR)-SUMIF('5店辅助表'!AP:AP,B:B,'5店辅助表'!AR:AR)*0.15-(L4+IFERROR(VLOOKUP(B:B,'5店辅助表'!AZ:BA,2,0),0))*O4-IF(AN:AN="US",6.85,4.9)*(Z4+3.28*O4))/SUMIF('5店辅助表'!AP:AP,B:B,'5店辅助表'!AR:AR),"-")</f>
        <v>-</v>
      </c>
      <c r="AJ4" s="100" t="str">
        <f t="shared" ref="AJ4:AJ56" si="7">IFERROR(AH4*AI4,"-")</f>
        <v>-</v>
      </c>
      <c r="AK4" s="101">
        <f t="shared" ref="AK4:AK56" si="8">N4*$L4</f>
        <v>0</v>
      </c>
      <c r="AL4" s="101">
        <f t="shared" ref="AL4:AL56" si="9">O4*$L4</f>
        <v>0</v>
      </c>
      <c r="AM4" s="1" t="str">
        <f>VLOOKUP(B:B,'5店辅助表'!AZ:AZ,1,FALSE)</f>
        <v>Y03809-SB5</v>
      </c>
      <c r="AN4" t="str">
        <f>VLOOKUP(B:B,'5店辅助表'!AZ:BB,3,FALSE)</f>
        <v>US</v>
      </c>
    </row>
    <row r="5" customHeight="1" spans="1:40">
      <c r="A5" s="58" t="str">
        <f>INDEX('[1]5店'!$A:$A,MATCH(B:B,'[1]5店'!$B:$B,0))</f>
        <v>美珠</v>
      </c>
      <c r="B5" s="43" t="s">
        <v>1652</v>
      </c>
      <c r="C5" s="43" t="s">
        <v>1653</v>
      </c>
      <c r="D5" s="59"/>
      <c r="E5" s="43" t="s">
        <v>1654</v>
      </c>
      <c r="F5" s="43">
        <v>0</v>
      </c>
      <c r="G5" s="43">
        <v>0</v>
      </c>
      <c r="H5" s="43">
        <v>0</v>
      </c>
      <c r="I5" s="43">
        <v>1</v>
      </c>
      <c r="J5" s="43">
        <v>0</v>
      </c>
      <c r="K5" s="63">
        <f t="shared" si="1"/>
        <v>1</v>
      </c>
      <c r="L5" s="64">
        <f>IFERROR(VLOOKUP($B:$B,'[1]5店'!$B:$L,11,FALSE),0)</f>
        <v>9.65</v>
      </c>
      <c r="M5" s="44">
        <f t="shared" ref="M5:M36" si="10">K5*L5</f>
        <v>9.65</v>
      </c>
      <c r="N5" s="65">
        <f>IFERROR(VLOOKUP(B:B,'5店辅助表'!B:C,2,FALSE),0)</f>
        <v>0</v>
      </c>
      <c r="O5" s="65">
        <f>IFERROR(VLOOKUP(B:B,'5店辅助表'!E:F,2,FALSE),0)</f>
        <v>0</v>
      </c>
      <c r="P5" s="65">
        <f>IFERROR(VLOOKUP(B:B,'5店辅助表'!H:I,2,FALSE),0)</f>
        <v>0</v>
      </c>
      <c r="Q5" s="65">
        <f>IFERROR(VLOOKUP(B:B,'[1]5店'!$B:$P,13,FALSE),0)</f>
        <v>0</v>
      </c>
      <c r="R5" s="79">
        <f t="shared" si="2"/>
        <v>0</v>
      </c>
      <c r="S5" s="80" t="str">
        <f t="shared" si="3"/>
        <v>-</v>
      </c>
      <c r="T5" s="44" t="str">
        <f t="shared" si="4"/>
        <v>-</v>
      </c>
      <c r="U5" s="44" t="str">
        <f>IFERROR(VLOOKUP(B:B,'[1]5店'!$B:$T,19,0),"-")</f>
        <v>-</v>
      </c>
      <c r="V5" s="81" t="str">
        <f t="shared" si="5"/>
        <v>-</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有库存无销量</v>
      </c>
      <c r="X5" s="83" t="str">
        <f>_xlfn.IFS(AND(D5&lt;&gt;0,D5-$AM$2&gt;=0,K5&gt;0,D5&lt;&gt;0),"本月刚到货",AND(T5="-",K5&gt;0),"有库存无销量",AND(T5="-",K5=0),"无库存无销量",AND(T5&lt;=0.5,K5=0),"无库存有销量",T5&lt;=0.5,"库存过低",T5&lt;=1.5,"正常",T5&gt;1.5,"库存过高")</f>
        <v>有库存无销量</v>
      </c>
      <c r="Y5" s="44">
        <f>IFERROR(SUMIF('5店辅助表'!K:K,B:B,'5店辅助表'!N:N),0)</f>
        <v>0</v>
      </c>
      <c r="Z5" s="44">
        <f>IFERROR(SUMIF('5店辅助表'!T:T,B:B,'5店辅助表'!W:W),0)</f>
        <v>0</v>
      </c>
      <c r="AA5" s="44">
        <f>IFERROR(SUMIF('5店辅助表'!AC:AC,B:B,'5店辅助表'!AF:AF),0)</f>
        <v>0</v>
      </c>
      <c r="AB5" s="91" t="str">
        <f>IFERROR(SUMIF('5店辅助表'!K:K,B:B,'5店辅助表'!N:N)/SUMIF('5店辅助表'!K:K,B:B,'5店辅助表'!O:O),"-")</f>
        <v>-</v>
      </c>
      <c r="AC5" s="91" t="str">
        <f>IFERROR(VLOOKUP(B:B,'[1]5店'!$B:$AB,27,FALSE),"-")</f>
        <v>-</v>
      </c>
      <c r="AD5" s="92" t="str">
        <f t="shared" si="6"/>
        <v>-</v>
      </c>
      <c r="AE5" s="91" t="str">
        <f>IFERROR(SUMIF('5店辅助表'!T:T,B:B,'5店辅助表'!W:W)/SUMIF('5店辅助表'!T:T,B:B,'5店辅助表'!X:X),"-")</f>
        <v>-</v>
      </c>
      <c r="AF5" s="91" t="str">
        <f>IFERROR(SUMIF('5店辅助表'!AC:AC,B:B,'5店辅助表'!AF:AF)/SUMIF('5店辅助表'!AC:AC,B:B,'5店辅助表'!AG:AG),"-")</f>
        <v>-</v>
      </c>
      <c r="AG5" s="99">
        <f>IFERROR(AK5/((SUMIF('5店辅助表'!AT:AT,B:B,'5店辅助表'!AU:AU)+M5)/2),"-")</f>
        <v>0</v>
      </c>
      <c r="AH5" s="99">
        <f>IFERROR(AL5/((SUMIF('5店辅助表'!AW:AW,B:B,'5店辅助表'!AX:AX)+M5)/2),"-")</f>
        <v>0</v>
      </c>
      <c r="AI5" s="100" t="str">
        <f>IFERROR((SUMIF('5店辅助表'!AP:AP,B:B,'5店辅助表'!AR:AR)-SUMIF('5店辅助表'!AP:AP,B:B,'5店辅助表'!AR:AR)*0.15-(L5+IFERROR(VLOOKUP(B:B,'5店辅助表'!AZ:BA,2,0),0))*O5-IF(AN:AN="US",6.85,4.9)*(Z5+3.28*O5))/SUMIF('5店辅助表'!AP:AP,B:B,'5店辅助表'!AR:AR),"-")</f>
        <v>-</v>
      </c>
      <c r="AJ5" s="100" t="str">
        <f t="shared" si="7"/>
        <v>-</v>
      </c>
      <c r="AK5" s="101">
        <f t="shared" si="8"/>
        <v>0</v>
      </c>
      <c r="AL5" s="101">
        <f t="shared" si="9"/>
        <v>0</v>
      </c>
      <c r="AM5" s="1" t="str">
        <f>VLOOKUP(B:B,'5店辅助表'!AZ:AZ,1,FALSE)</f>
        <v>Y5014-BU</v>
      </c>
      <c r="AN5" t="str">
        <f>VLOOKUP(B:B,'5店辅助表'!AZ:BB,3,FALSE)</f>
        <v>US</v>
      </c>
    </row>
    <row r="6" customHeight="1" spans="1:40">
      <c r="A6" s="58" t="str">
        <f>INDEX('[1]5店'!$A:$A,MATCH(B:B,'[1]5店'!$B:$B,0))</f>
        <v>美珠</v>
      </c>
      <c r="B6" s="43" t="s">
        <v>1655</v>
      </c>
      <c r="C6" s="43" t="s">
        <v>1656</v>
      </c>
      <c r="D6" s="59"/>
      <c r="E6" s="43" t="s">
        <v>1657</v>
      </c>
      <c r="F6" s="43">
        <v>1</v>
      </c>
      <c r="G6" s="43">
        <v>0</v>
      </c>
      <c r="H6" s="43">
        <v>0</v>
      </c>
      <c r="I6" s="43">
        <v>0</v>
      </c>
      <c r="J6" s="43">
        <v>0</v>
      </c>
      <c r="K6" s="63">
        <f t="shared" si="1"/>
        <v>1</v>
      </c>
      <c r="L6" s="64">
        <f>IFERROR(VLOOKUP($B:$B,'[1]5店'!$B:$L,11,FALSE),0)</f>
        <v>9.65</v>
      </c>
      <c r="M6" s="44">
        <f t="shared" si="10"/>
        <v>9.65</v>
      </c>
      <c r="N6" s="65">
        <f>IFERROR(VLOOKUP(B:B,'5店辅助表'!B:C,2,FALSE),0)</f>
        <v>0</v>
      </c>
      <c r="O6" s="65">
        <f>IFERROR(VLOOKUP(B:B,'5店辅助表'!E:F,2,FALSE),0)</f>
        <v>0</v>
      </c>
      <c r="P6" s="65">
        <f>IFERROR(VLOOKUP(B:B,'5店辅助表'!H:I,2,FALSE),0)</f>
        <v>0</v>
      </c>
      <c r="Q6" s="65">
        <f>IFERROR(VLOOKUP(B:B,'[1]5店'!$B:$P,13,FALSE),0)</f>
        <v>0</v>
      </c>
      <c r="R6" s="79">
        <f t="shared" si="2"/>
        <v>0</v>
      </c>
      <c r="S6" s="80" t="str">
        <f t="shared" si="3"/>
        <v>-</v>
      </c>
      <c r="T6" s="44" t="str">
        <f t="shared" si="4"/>
        <v>-</v>
      </c>
      <c r="U6" s="44" t="str">
        <f>IFERROR(VLOOKUP(B:B,'[1]5店'!$B:$T,19,0),"-")</f>
        <v>-</v>
      </c>
      <c r="V6" s="81" t="str">
        <f t="shared" si="5"/>
        <v>-</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有库存无销量</v>
      </c>
      <c r="X6" s="83" t="str">
        <f>_xlfn.IFS(AND(D6&lt;&gt;0,D6-$AM$2&gt;=0,K6&gt;0,D6&lt;&gt;0),"本月刚到货",AND(T6="-",K6&gt;0),"有库存无销量",AND(T6="-",K6=0),"无库存无销量",AND(T6&lt;=0.5,K6=0),"无库存有销量",T6&lt;=0.5,"库存过低",T6&lt;=1.5,"正常",T6&gt;1.5,"库存过高")</f>
        <v>有库存无销量</v>
      </c>
      <c r="Y6" s="44">
        <f>IFERROR(SUMIF('5店辅助表'!K:K,B:B,'5店辅助表'!N:N),0)</f>
        <v>0</v>
      </c>
      <c r="Z6" s="44">
        <f>IFERROR(SUMIF('5店辅助表'!T:T,B:B,'5店辅助表'!W:W),0)</f>
        <v>0</v>
      </c>
      <c r="AA6" s="44">
        <f>IFERROR(SUMIF('5店辅助表'!AC:AC,B:B,'5店辅助表'!AF:AF),0)</f>
        <v>0</v>
      </c>
      <c r="AB6" s="91" t="str">
        <f>IFERROR(SUMIF('5店辅助表'!K:K,B:B,'5店辅助表'!N:N)/SUMIF('5店辅助表'!K:K,B:B,'5店辅助表'!O:O),"-")</f>
        <v>-</v>
      </c>
      <c r="AC6" s="91" t="str">
        <f>IFERROR(VLOOKUP(B:B,'[1]5店'!$B:$AB,27,FALSE),"-")</f>
        <v>-</v>
      </c>
      <c r="AD6" s="92" t="str">
        <f t="shared" si="6"/>
        <v>-</v>
      </c>
      <c r="AE6" s="91" t="str">
        <f>IFERROR(SUMIF('5店辅助表'!T:T,B:B,'5店辅助表'!W:W)/SUMIF('5店辅助表'!T:T,B:B,'5店辅助表'!X:X),"-")</f>
        <v>-</v>
      </c>
      <c r="AF6" s="91" t="str">
        <f>IFERROR(SUMIF('5店辅助表'!AC:AC,B:B,'5店辅助表'!AF:AF)/SUMIF('5店辅助表'!AC:AC,B:B,'5店辅助表'!AG:AG),"-")</f>
        <v>-</v>
      </c>
      <c r="AG6" s="99">
        <f>IFERROR(AK6/((SUMIF('5店辅助表'!AT:AT,B:B,'5店辅助表'!AU:AU)+M6)/2),"-")</f>
        <v>0</v>
      </c>
      <c r="AH6" s="99">
        <f>IFERROR(AL6/((SUMIF('5店辅助表'!AW:AW,B:B,'5店辅助表'!AX:AX)+M6)/2),"-")</f>
        <v>0</v>
      </c>
      <c r="AI6" s="100" t="str">
        <f>IFERROR((SUMIF('5店辅助表'!AP:AP,B:B,'5店辅助表'!AR:AR)-SUMIF('5店辅助表'!AP:AP,B:B,'5店辅助表'!AR:AR)*0.15-(L6+IFERROR(VLOOKUP(B:B,'5店辅助表'!AZ:BA,2,0),0))*O6-IF(AN:AN="US",6.85,4.9)*(Z6+3.28*O6))/SUMIF('5店辅助表'!AP:AP,B:B,'5店辅助表'!AR:AR),"-")</f>
        <v>-</v>
      </c>
      <c r="AJ6" s="100" t="str">
        <f t="shared" si="7"/>
        <v>-</v>
      </c>
      <c r="AK6" s="101">
        <f t="shared" si="8"/>
        <v>0</v>
      </c>
      <c r="AL6" s="101">
        <f t="shared" si="9"/>
        <v>0</v>
      </c>
      <c r="AM6" s="1" t="str">
        <f>VLOOKUP(B:B,'5店辅助表'!AZ:AZ,1,FALSE)</f>
        <v>Y5014-PI</v>
      </c>
      <c r="AN6" t="str">
        <f>VLOOKUP(B:B,'5店辅助表'!AZ:BB,3,FALSE)</f>
        <v>US</v>
      </c>
    </row>
    <row r="7" customHeight="1" spans="1:40">
      <c r="A7" s="58" t="str">
        <f>INDEX('[1]5店'!$A:$A,MATCH(B:B,'[1]5店'!$B:$B,0))</f>
        <v>美珠</v>
      </c>
      <c r="B7" s="43" t="s">
        <v>1658</v>
      </c>
      <c r="C7" s="43" t="s">
        <v>1659</v>
      </c>
      <c r="D7" s="59"/>
      <c r="E7" s="43" t="s">
        <v>1660</v>
      </c>
      <c r="F7" s="43">
        <v>1</v>
      </c>
      <c r="G7" s="43">
        <v>0</v>
      </c>
      <c r="H7" s="43">
        <v>0</v>
      </c>
      <c r="I7" s="43">
        <v>0</v>
      </c>
      <c r="J7" s="43">
        <v>0</v>
      </c>
      <c r="K7" s="63">
        <f t="shared" si="1"/>
        <v>1</v>
      </c>
      <c r="L7" s="64">
        <f>IFERROR(VLOOKUP($B:$B,'[1]5店'!$B:$L,11,FALSE),0)</f>
        <v>9.65</v>
      </c>
      <c r="M7" s="44">
        <f t="shared" si="10"/>
        <v>9.65</v>
      </c>
      <c r="N7" s="65">
        <f>IFERROR(VLOOKUP(B:B,'5店辅助表'!B:C,2,FALSE),0)</f>
        <v>0</v>
      </c>
      <c r="O7" s="65">
        <f>IFERROR(VLOOKUP(B:B,'5店辅助表'!E:F,2,FALSE),0)</f>
        <v>0</v>
      </c>
      <c r="P7" s="65">
        <f>IFERROR(VLOOKUP(B:B,'5店辅助表'!H:I,2,FALSE),0)</f>
        <v>0</v>
      </c>
      <c r="Q7" s="65">
        <f>IFERROR(VLOOKUP(B:B,'[1]5店'!$B:$P,13,FALSE),0)</f>
        <v>0</v>
      </c>
      <c r="R7" s="79">
        <f t="shared" si="2"/>
        <v>0</v>
      </c>
      <c r="S7" s="80" t="str">
        <f t="shared" si="3"/>
        <v>-</v>
      </c>
      <c r="T7" s="44" t="str">
        <f t="shared" si="4"/>
        <v>-</v>
      </c>
      <c r="U7" s="44">
        <f>IFERROR(VLOOKUP(B:B,'[1]5店'!$B:$T,19,0),"-")</f>
        <v>3</v>
      </c>
      <c r="V7" s="81" t="str">
        <f t="shared" si="5"/>
        <v>-</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有库存无销量</v>
      </c>
      <c r="X7" s="83" t="str">
        <f>_xlfn.IFS(AND(D7&lt;&gt;0,D7-$AM$2&gt;=0,K7&gt;0,D7&lt;&gt;0),"本月刚到货",AND(T7="-",K7&gt;0),"有库存无销量",AND(T7="-",K7=0),"无库存无销量",AND(T7&lt;=0.5,K7=0),"无库存有销量",T7&lt;=0.5,"库存过低",T7&lt;=1.5,"正常",T7&gt;1.5,"库存过高")</f>
        <v>有库存无销量</v>
      </c>
      <c r="Y7" s="44">
        <f>IFERROR(SUMIF('5店辅助表'!K:K,B:B,'5店辅助表'!N:N),0)</f>
        <v>0.94</v>
      </c>
      <c r="Z7" s="44">
        <f>IFERROR(SUMIF('5店辅助表'!T:T,B:B,'5店辅助表'!W:W),0)</f>
        <v>2.88</v>
      </c>
      <c r="AA7" s="44">
        <f>IFERROR(SUMIF('5店辅助表'!AC:AC,B:B,'5店辅助表'!AF:AF),0)</f>
        <v>5.48</v>
      </c>
      <c r="AB7" s="91" t="str">
        <f>IFERROR(SUMIF('5店辅助表'!K:K,B:B,'5店辅助表'!N:N)/SUMIF('5店辅助表'!K:K,B:B,'5店辅助表'!O:O),"-")</f>
        <v>-</v>
      </c>
      <c r="AC7" s="91" t="str">
        <f>IFERROR(VLOOKUP(B:B,'[1]5店'!$B:$AB,27,FALSE),"-")</f>
        <v>-</v>
      </c>
      <c r="AD7" s="92" t="str">
        <f t="shared" si="6"/>
        <v>-</v>
      </c>
      <c r="AE7" s="91" t="str">
        <f>IFERROR(SUMIF('5店辅助表'!T:T,B:B,'5店辅助表'!W:W)/SUMIF('5店辅助表'!T:T,B:B,'5店辅助表'!X:X),"-")</f>
        <v>-</v>
      </c>
      <c r="AF7" s="91" t="str">
        <f>IFERROR(SUMIF('5店辅助表'!AC:AC,B:B,'5店辅助表'!AF:AF)/SUMIF('5店辅助表'!AC:AC,B:B,'5店辅助表'!AG:AG),"-")</f>
        <v>-</v>
      </c>
      <c r="AG7" s="99">
        <f>IFERROR(AK7/((SUMIF('5店辅助表'!AT:AT,B:B,'5店辅助表'!AU:AU)+M7)/2),"-")</f>
        <v>0</v>
      </c>
      <c r="AH7" s="99">
        <f>IFERROR(AL7/((SUMIF('5店辅助表'!AW:AW,B:B,'5店辅助表'!AX:AX)+M7)/2),"-")</f>
        <v>0</v>
      </c>
      <c r="AI7" s="100" t="str">
        <f>IFERROR((SUMIF('5店辅助表'!AP:AP,B:B,'5店辅助表'!AR:AR)-SUMIF('5店辅助表'!AP:AP,B:B,'5店辅助表'!AR:AR)*0.15-(L7+IFERROR(VLOOKUP(B:B,'5店辅助表'!AZ:BA,2,0),0))*O7-IF(AN:AN="US",6.85,4.9)*(Z7+3.28*O7))/SUMIF('5店辅助表'!AP:AP,B:B,'5店辅助表'!AR:AR),"-")</f>
        <v>-</v>
      </c>
      <c r="AJ7" s="100" t="str">
        <f t="shared" si="7"/>
        <v>-</v>
      </c>
      <c r="AK7" s="101">
        <f t="shared" si="8"/>
        <v>0</v>
      </c>
      <c r="AL7" s="101">
        <f t="shared" si="9"/>
        <v>0</v>
      </c>
      <c r="AM7" s="1" t="str">
        <f>VLOOKUP(B:B,'5店辅助表'!AZ:AZ,1,FALSE)</f>
        <v>Y5015-PI</v>
      </c>
      <c r="AN7" t="str">
        <f>VLOOKUP(B:B,'5店辅助表'!AZ:BB,3,FALSE)</f>
        <v>US</v>
      </c>
    </row>
    <row r="8" customHeight="1" spans="1:40">
      <c r="A8" s="58" t="str">
        <f>INDEX('[1]5店'!$A:$A,MATCH(B:B,'[1]5店'!$B:$B,0))</f>
        <v>美珠</v>
      </c>
      <c r="B8" s="43" t="s">
        <v>1661</v>
      </c>
      <c r="C8" s="43" t="s">
        <v>1662</v>
      </c>
      <c r="D8" s="59"/>
      <c r="E8" s="43" t="s">
        <v>1663</v>
      </c>
      <c r="F8" s="43">
        <v>1</v>
      </c>
      <c r="G8" s="43">
        <v>0</v>
      </c>
      <c r="H8" s="43">
        <v>0</v>
      </c>
      <c r="I8" s="43">
        <v>0</v>
      </c>
      <c r="J8" s="43">
        <v>0</v>
      </c>
      <c r="K8" s="63">
        <f t="shared" si="1"/>
        <v>1</v>
      </c>
      <c r="L8" s="64">
        <f>IFERROR(VLOOKUP($B:$B,'[1]5店'!$B:$L,11,FALSE),0)</f>
        <v>6.95</v>
      </c>
      <c r="M8" s="44">
        <f t="shared" si="10"/>
        <v>6.95</v>
      </c>
      <c r="N8" s="65">
        <f>IFERROR(VLOOKUP(B:B,'5店辅助表'!B:C,2,FALSE),0)</f>
        <v>0</v>
      </c>
      <c r="O8" s="65">
        <f>IFERROR(VLOOKUP(B:B,'5店辅助表'!E:F,2,FALSE),0)</f>
        <v>0</v>
      </c>
      <c r="P8" s="65">
        <f>IFERROR(VLOOKUP(B:B,'5店辅助表'!H:I,2,FALSE),0)</f>
        <v>0</v>
      </c>
      <c r="Q8" s="65">
        <f>IFERROR(VLOOKUP(B:B,'[1]5店'!$B:$P,13,FALSE),0)</f>
        <v>0</v>
      </c>
      <c r="R8" s="79">
        <f t="shared" si="2"/>
        <v>0</v>
      </c>
      <c r="S8" s="80" t="str">
        <f t="shared" si="3"/>
        <v>-</v>
      </c>
      <c r="T8" s="44" t="str">
        <f t="shared" si="4"/>
        <v>-</v>
      </c>
      <c r="U8" s="44" t="str">
        <f>IFERROR(VLOOKUP(B:B,'[1]5店'!$B:$T,19,0),"-")</f>
        <v>-</v>
      </c>
      <c r="V8" s="81" t="str">
        <f t="shared" si="5"/>
        <v>-</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有库存无销量</v>
      </c>
      <c r="X8" s="83" t="str">
        <f>_xlfn.IFS(AND(D8&lt;&gt;0,D8-$AM$2&gt;=0,K8&gt;0,D8&lt;&gt;0),"本月刚到货",AND(T8="-",K8&gt;0),"有库存无销量",AND(T8="-",K8=0),"无库存无销量",AND(T8&lt;=0.5,K8=0),"无库存有销量",T8&lt;=0.5,"库存过低",T8&lt;=1.5,"正常",T8&gt;1.5,"库存过高")</f>
        <v>有库存无销量</v>
      </c>
      <c r="Y8" s="44">
        <f>IFERROR(SUMIF('5店辅助表'!K:K,B:B,'5店辅助表'!N:N),0)</f>
        <v>0</v>
      </c>
      <c r="Z8" s="44">
        <f>IFERROR(SUMIF('5店辅助表'!T:T,B:B,'5店辅助表'!W:W),0)</f>
        <v>0</v>
      </c>
      <c r="AA8" s="44">
        <f>IFERROR(SUMIF('5店辅助表'!AC:AC,B:B,'5店辅助表'!AF:AF),0)</f>
        <v>0</v>
      </c>
      <c r="AB8" s="91" t="str">
        <f>IFERROR(SUMIF('5店辅助表'!K:K,B:B,'5店辅助表'!N:N)/SUMIF('5店辅助表'!K:K,B:B,'5店辅助表'!O:O),"-")</f>
        <v>-</v>
      </c>
      <c r="AC8" s="91" t="str">
        <f>IFERROR(VLOOKUP(B:B,'[1]5店'!$B:$AB,27,FALSE),"-")</f>
        <v>-</v>
      </c>
      <c r="AD8" s="92" t="str">
        <f t="shared" si="6"/>
        <v>-</v>
      </c>
      <c r="AE8" s="91" t="str">
        <f>IFERROR(SUMIF('5店辅助表'!T:T,B:B,'5店辅助表'!W:W)/SUMIF('5店辅助表'!T:T,B:B,'5店辅助表'!X:X),"-")</f>
        <v>-</v>
      </c>
      <c r="AF8" s="91" t="str">
        <f>IFERROR(SUMIF('5店辅助表'!AC:AC,B:B,'5店辅助表'!AF:AF)/SUMIF('5店辅助表'!AC:AC,B:B,'5店辅助表'!AG:AG),"-")</f>
        <v>-</v>
      </c>
      <c r="AG8" s="99">
        <f>IFERROR(AK8/((SUMIF('5店辅助表'!AT:AT,B:B,'5店辅助表'!AU:AU)+M8)/2),"-")</f>
        <v>0</v>
      </c>
      <c r="AH8" s="99">
        <f>IFERROR(AL8/((SUMIF('5店辅助表'!AW:AW,B:B,'5店辅助表'!AX:AX)+M8)/2),"-")</f>
        <v>0</v>
      </c>
      <c r="AI8" s="100" t="str">
        <f>IFERROR((SUMIF('5店辅助表'!AP:AP,B:B,'5店辅助表'!AR:AR)-SUMIF('5店辅助表'!AP:AP,B:B,'5店辅助表'!AR:AR)*0.15-(L8+IFERROR(VLOOKUP(B:B,'5店辅助表'!AZ:BA,2,0),0))*O8-IF(AN:AN="US",6.85,4.9)*(Z8+3.28*O8))/SUMIF('5店辅助表'!AP:AP,B:B,'5店辅助表'!AR:AR),"-")</f>
        <v>-</v>
      </c>
      <c r="AJ8" s="100" t="str">
        <f t="shared" si="7"/>
        <v>-</v>
      </c>
      <c r="AK8" s="101">
        <f t="shared" si="8"/>
        <v>0</v>
      </c>
      <c r="AL8" s="101">
        <f t="shared" si="9"/>
        <v>0</v>
      </c>
      <c r="AM8" s="1" t="str">
        <f>VLOOKUP(B:B,'5店辅助表'!AZ:AZ,1,FALSE)</f>
        <v>Y5016-BU</v>
      </c>
      <c r="AN8" t="str">
        <f>VLOOKUP(B:B,'5店辅助表'!AZ:BB,3,FALSE)</f>
        <v>US</v>
      </c>
    </row>
    <row r="9" customHeight="1" spans="1:40">
      <c r="A9" s="58" t="str">
        <f>INDEX('[1]5店'!$A:$A,MATCH(B:B,'[1]5店'!$B:$B,0))</f>
        <v>美珠</v>
      </c>
      <c r="B9" s="45" t="s">
        <v>1664</v>
      </c>
      <c r="C9" s="45" t="s">
        <v>1665</v>
      </c>
      <c r="D9" s="59"/>
      <c r="E9" s="45" t="s">
        <v>1666</v>
      </c>
      <c r="F9" s="45">
        <v>0</v>
      </c>
      <c r="G9" s="45">
        <v>0</v>
      </c>
      <c r="H9" s="45">
        <v>0</v>
      </c>
      <c r="I9" s="45">
        <v>2</v>
      </c>
      <c r="J9" s="45">
        <v>0</v>
      </c>
      <c r="K9" s="63">
        <f t="shared" si="1"/>
        <v>2</v>
      </c>
      <c r="L9" s="64">
        <f>IFERROR(VLOOKUP($B:$B,'[1]5店'!$B:$L,11,FALSE),0)</f>
        <v>8.6</v>
      </c>
      <c r="M9" s="44">
        <f t="shared" si="10"/>
        <v>17.2</v>
      </c>
      <c r="N9" s="65">
        <f>IFERROR(VLOOKUP(B:B,'5店辅助表'!B:C,2,FALSE),0)</f>
        <v>0</v>
      </c>
      <c r="O9" s="65">
        <f>IFERROR(VLOOKUP(B:B,'5店辅助表'!E:F,2,FALSE),0)</f>
        <v>0</v>
      </c>
      <c r="P9" s="65">
        <f>IFERROR(VLOOKUP(B:B,'5店辅助表'!H:I,2,FALSE),0)</f>
        <v>0</v>
      </c>
      <c r="Q9" s="65">
        <f>IFERROR(VLOOKUP(B:B,'[1]5店'!$B:$P,13,FALSE),0)</f>
        <v>0</v>
      </c>
      <c r="R9" s="79">
        <f t="shared" si="2"/>
        <v>0</v>
      </c>
      <c r="S9" s="80" t="str">
        <f t="shared" si="3"/>
        <v>-</v>
      </c>
      <c r="T9" s="44" t="str">
        <f t="shared" si="4"/>
        <v>-</v>
      </c>
      <c r="U9" s="44" t="str">
        <f>IFERROR(VLOOKUP(B:B,'[1]5店'!$B:$T,19,0),"-")</f>
        <v>-</v>
      </c>
      <c r="V9" s="81" t="str">
        <f t="shared" si="5"/>
        <v>-</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有库存无销量</v>
      </c>
      <c r="X9" s="83" t="str">
        <f>_xlfn.IFS(AND(D9&lt;&gt;0,D9-$AM$2&gt;=0,K9&gt;0,D9&lt;&gt;0),"本月刚到货",AND(T9="-",K9&gt;0),"有库存无销量",AND(T9="-",K9=0),"无库存无销量",AND(T9&lt;=0.5,K9=0),"无库存有销量",T9&lt;=0.5,"库存过低",T9&lt;=1.5,"正常",T9&gt;1.5,"库存过高")</f>
        <v>有库存无销量</v>
      </c>
      <c r="Y9" s="44">
        <f>IFERROR(SUMIF('5店辅助表'!K:K,B:B,'5店辅助表'!N:N),0)</f>
        <v>0</v>
      </c>
      <c r="Z9" s="44">
        <f>IFERROR(SUMIF('5店辅助表'!T:T,B:B,'5店辅助表'!W:W),0)</f>
        <v>0.2</v>
      </c>
      <c r="AA9" s="44">
        <f>IFERROR(SUMIF('5店辅助表'!AC:AC,B:B,'5店辅助表'!AF:AF),0)</f>
        <v>0.2</v>
      </c>
      <c r="AB9" s="91" t="str">
        <f>IFERROR(SUMIF('5店辅助表'!K:K,B:B,'5店辅助表'!N:N)/SUMIF('5店辅助表'!K:K,B:B,'5店辅助表'!O:O),"-")</f>
        <v>-</v>
      </c>
      <c r="AC9" s="91" t="str">
        <f>IFERROR(VLOOKUP(B:B,'[1]5店'!$B:$AB,27,FALSE),"-")</f>
        <v>-</v>
      </c>
      <c r="AD9" s="92" t="str">
        <f t="shared" si="6"/>
        <v>-</v>
      </c>
      <c r="AE9" s="91" t="str">
        <f>IFERROR(SUMIF('5店辅助表'!T:T,B:B,'5店辅助表'!W:W)/SUMIF('5店辅助表'!T:T,B:B,'5店辅助表'!X:X),"-")</f>
        <v>-</v>
      </c>
      <c r="AF9" s="91" t="str">
        <f>IFERROR(SUMIF('5店辅助表'!AC:AC,B:B,'5店辅助表'!AF:AF)/SUMIF('5店辅助表'!AC:AC,B:B,'5店辅助表'!AG:AG),"-")</f>
        <v>-</v>
      </c>
      <c r="AG9" s="99">
        <f>IFERROR(AK9/((SUMIF('5店辅助表'!AT:AT,B:B,'5店辅助表'!AU:AU)+M9)/2),"-")</f>
        <v>0</v>
      </c>
      <c r="AH9" s="99">
        <f>IFERROR(AL9/((SUMIF('5店辅助表'!AW:AW,B:B,'5店辅助表'!AX:AX)+M9)/2),"-")</f>
        <v>0</v>
      </c>
      <c r="AI9" s="100" t="str">
        <f>IFERROR((SUMIF('5店辅助表'!AP:AP,B:B,'5店辅助表'!AR:AR)-SUMIF('5店辅助表'!AP:AP,B:B,'5店辅助表'!AR:AR)*0.15-(L9+IFERROR(VLOOKUP(B:B,'5店辅助表'!AZ:BA,2,0),0))*O9-IF(AN:AN="US",6.85,4.9)*(Z9+3.28*O9))/SUMIF('5店辅助表'!AP:AP,B:B,'5店辅助表'!AR:AR),"-")</f>
        <v>-</v>
      </c>
      <c r="AJ9" s="100" t="str">
        <f t="shared" si="7"/>
        <v>-</v>
      </c>
      <c r="AK9" s="101">
        <f t="shared" si="8"/>
        <v>0</v>
      </c>
      <c r="AL9" s="101">
        <f t="shared" si="9"/>
        <v>0</v>
      </c>
      <c r="AM9" s="1" t="str">
        <f>VLOOKUP(B:B,'5店辅助表'!AZ:AZ,1,FALSE)</f>
        <v>Y5019-BL</v>
      </c>
      <c r="AN9" t="str">
        <f>VLOOKUP(B:B,'5店辅助表'!AZ:BB,3,FALSE)</f>
        <v>US</v>
      </c>
    </row>
    <row r="10" customHeight="1" spans="1:40">
      <c r="A10" s="58" t="str">
        <f>INDEX('[1]5店'!$A:$A,MATCH(B:B,'[1]5店'!$B:$B,0))</f>
        <v>美珠</v>
      </c>
      <c r="B10" s="45" t="s">
        <v>1667</v>
      </c>
      <c r="C10" s="45" t="s">
        <v>1668</v>
      </c>
      <c r="D10" s="59"/>
      <c r="E10" s="45" t="s">
        <v>1669</v>
      </c>
      <c r="F10" s="45">
        <v>1</v>
      </c>
      <c r="G10" s="45">
        <v>0</v>
      </c>
      <c r="H10" s="45">
        <v>0</v>
      </c>
      <c r="I10" s="45">
        <v>0</v>
      </c>
      <c r="J10" s="45">
        <v>0</v>
      </c>
      <c r="K10" s="63">
        <f t="shared" si="1"/>
        <v>1</v>
      </c>
      <c r="L10" s="64">
        <f>IFERROR(VLOOKUP($B:$B,'[1]5店'!$B:$L,11,FALSE),0)</f>
        <v>8.6</v>
      </c>
      <c r="M10" s="44">
        <f t="shared" si="10"/>
        <v>8.6</v>
      </c>
      <c r="N10" s="65">
        <f>IFERROR(VLOOKUP(B:B,'5店辅助表'!B:C,2,FALSE),0)</f>
        <v>0</v>
      </c>
      <c r="O10" s="65">
        <f>IFERROR(VLOOKUP(B:B,'5店辅助表'!E:F,2,FALSE),0)</f>
        <v>0</v>
      </c>
      <c r="P10" s="65">
        <f>IFERROR(VLOOKUP(B:B,'5店辅助表'!H:I,2,FALSE),0)</f>
        <v>0</v>
      </c>
      <c r="Q10" s="65">
        <f>IFERROR(VLOOKUP(B:B,'[1]5店'!$B:$P,13,FALSE),0)</f>
        <v>0</v>
      </c>
      <c r="R10" s="79">
        <f t="shared" si="2"/>
        <v>0</v>
      </c>
      <c r="S10" s="80" t="str">
        <f t="shared" si="3"/>
        <v>-</v>
      </c>
      <c r="T10" s="44" t="str">
        <f t="shared" si="4"/>
        <v>-</v>
      </c>
      <c r="U10" s="44" t="str">
        <f>IFERROR(VLOOKUP(B:B,'[1]5店'!$B:$T,19,0),"-")</f>
        <v>-</v>
      </c>
      <c r="V10" s="81" t="str">
        <f t="shared" si="5"/>
        <v>-</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有库存无销量</v>
      </c>
      <c r="X10" s="83" t="str">
        <f>_xlfn.IFS(AND(D10&lt;&gt;0,D10-$AM$2&gt;=0,K10&gt;0,D10&lt;&gt;0),"本月刚到货",AND(T10="-",K10&gt;0),"有库存无销量",AND(T10="-",K10=0),"无库存无销量",AND(T10&lt;=0.5,K10=0),"无库存有销量",T10&lt;=0.5,"库存过低",T10&lt;=1.5,"正常",T10&gt;1.5,"库存过高")</f>
        <v>有库存无销量</v>
      </c>
      <c r="Y10" s="44">
        <f>IFERROR(SUMIF('5店辅助表'!K:K,B:B,'5店辅助表'!N:N),0)</f>
        <v>0</v>
      </c>
      <c r="Z10" s="44">
        <f>IFERROR(SUMIF('5店辅助表'!T:T,B:B,'5店辅助表'!W:W),0)</f>
        <v>0</v>
      </c>
      <c r="AA10" s="44">
        <f>IFERROR(SUMIF('5店辅助表'!AC:AC,B:B,'5店辅助表'!AF:AF),0)</f>
        <v>0</v>
      </c>
      <c r="AB10" s="91" t="str">
        <f>IFERROR(SUMIF('5店辅助表'!K:K,B:B,'5店辅助表'!N:N)/SUMIF('5店辅助表'!K:K,B:B,'5店辅助表'!O:O),"-")</f>
        <v>-</v>
      </c>
      <c r="AC10" s="91" t="str">
        <f>IFERROR(VLOOKUP(B:B,'[1]5店'!$B:$AB,27,FALSE),"-")</f>
        <v>-</v>
      </c>
      <c r="AD10" s="92" t="str">
        <f t="shared" si="6"/>
        <v>-</v>
      </c>
      <c r="AE10" s="91" t="str">
        <f>IFERROR(SUMIF('5店辅助表'!T:T,B:B,'5店辅助表'!W:W)/SUMIF('5店辅助表'!T:T,B:B,'5店辅助表'!X:X),"-")</f>
        <v>-</v>
      </c>
      <c r="AF10" s="91" t="str">
        <f>IFERROR(SUMIF('5店辅助表'!AC:AC,B:B,'5店辅助表'!AF:AF)/SUMIF('5店辅助表'!AC:AC,B:B,'5店辅助表'!AG:AG),"-")</f>
        <v>-</v>
      </c>
      <c r="AG10" s="99">
        <f>IFERROR(AK10/((SUMIF('5店辅助表'!AT:AT,B:B,'5店辅助表'!AU:AU)+M10)/2),"-")</f>
        <v>0</v>
      </c>
      <c r="AH10" s="99">
        <f>IFERROR(AL10/((SUMIF('5店辅助表'!AW:AW,B:B,'5店辅助表'!AX:AX)+M10)/2),"-")</f>
        <v>0</v>
      </c>
      <c r="AI10" s="100" t="str">
        <f>IFERROR((SUMIF('5店辅助表'!AP:AP,B:B,'5店辅助表'!AR:AR)-SUMIF('5店辅助表'!AP:AP,B:B,'5店辅助表'!AR:AR)*0.15-(L10+IFERROR(VLOOKUP(B:B,'5店辅助表'!AZ:BA,2,0),0))*O10-IF(AN:AN="US",6.85,4.9)*(Z10+3.28*O10))/SUMIF('5店辅助表'!AP:AP,B:B,'5店辅助表'!AR:AR),"-")</f>
        <v>-</v>
      </c>
      <c r="AJ10" s="100" t="str">
        <f t="shared" si="7"/>
        <v>-</v>
      </c>
      <c r="AK10" s="101">
        <f t="shared" si="8"/>
        <v>0</v>
      </c>
      <c r="AL10" s="101">
        <f t="shared" si="9"/>
        <v>0</v>
      </c>
      <c r="AM10" s="1" t="str">
        <f>VLOOKUP(B:B,'5店辅助表'!AZ:AZ,1,FALSE)</f>
        <v>Y5019-GR</v>
      </c>
      <c r="AN10" t="str">
        <f>VLOOKUP(B:B,'5店辅助表'!AZ:BB,3,FALSE)</f>
        <v>US</v>
      </c>
    </row>
    <row r="11" customHeight="1" spans="1:40">
      <c r="A11" s="58" t="str">
        <f>INDEX('[1]5店'!$A:$A,MATCH(B:B,'[1]5店'!$B:$B,0))</f>
        <v>美珠</v>
      </c>
      <c r="B11" s="45" t="s">
        <v>1670</v>
      </c>
      <c r="C11" s="45" t="s">
        <v>1671</v>
      </c>
      <c r="D11" s="59"/>
      <c r="E11" s="45" t="s">
        <v>1672</v>
      </c>
      <c r="F11" s="45">
        <v>2</v>
      </c>
      <c r="G11" s="45">
        <v>0</v>
      </c>
      <c r="H11" s="45">
        <v>0</v>
      </c>
      <c r="I11" s="45">
        <v>0</v>
      </c>
      <c r="J11" s="45">
        <v>0</v>
      </c>
      <c r="K11" s="63">
        <f t="shared" si="1"/>
        <v>2</v>
      </c>
      <c r="L11" s="64">
        <f>IFERROR(VLOOKUP($B:$B,'[1]5店'!$B:$L,11,FALSE),0)</f>
        <v>7.4</v>
      </c>
      <c r="M11" s="44">
        <f t="shared" si="10"/>
        <v>14.8</v>
      </c>
      <c r="N11" s="65">
        <f>IFERROR(VLOOKUP(B:B,'5店辅助表'!B:C,2,FALSE),0)</f>
        <v>0</v>
      </c>
      <c r="O11" s="65">
        <f>IFERROR(VLOOKUP(B:B,'5店辅助表'!E:F,2,FALSE),0)</f>
        <v>0</v>
      </c>
      <c r="P11" s="65">
        <f>IFERROR(VLOOKUP(B:B,'5店辅助表'!H:I,2,FALSE),0)</f>
        <v>0</v>
      </c>
      <c r="Q11" s="65">
        <f>IFERROR(VLOOKUP(B:B,'[1]5店'!$B:$P,13,FALSE),0)</f>
        <v>0</v>
      </c>
      <c r="R11" s="79">
        <f t="shared" si="2"/>
        <v>0</v>
      </c>
      <c r="S11" s="80" t="str">
        <f t="shared" si="3"/>
        <v>-</v>
      </c>
      <c r="T11" s="44" t="str">
        <f t="shared" si="4"/>
        <v>-</v>
      </c>
      <c r="U11" s="44" t="str">
        <f>IFERROR(VLOOKUP(B:B,'[1]5店'!$B:$T,19,0),"-")</f>
        <v>-</v>
      </c>
      <c r="V11" s="81" t="str">
        <f t="shared" si="5"/>
        <v>-</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有库存无销量</v>
      </c>
      <c r="X11" s="83" t="str">
        <f>_xlfn.IFS(AND(D11&lt;&gt;0,D11-$AM$2&gt;=0,K11&gt;0,D11&lt;&gt;0),"本月刚到货",AND(T11="-",K11&gt;0),"有库存无销量",AND(T11="-",K11=0),"无库存无销量",AND(T11&lt;=0.5,K11=0),"无库存有销量",T11&lt;=0.5,"库存过低",T11&lt;=1.5,"正常",T11&gt;1.5,"库存过高")</f>
        <v>有库存无销量</v>
      </c>
      <c r="Y11" s="44">
        <f>IFERROR(SUMIF('5店辅助表'!K:K,B:B,'5店辅助表'!N:N),0)</f>
        <v>0.8</v>
      </c>
      <c r="Z11" s="44">
        <f>IFERROR(SUMIF('5店辅助表'!T:T,B:B,'5店辅助表'!W:W),0)</f>
        <v>0.8</v>
      </c>
      <c r="AA11" s="44">
        <f>IFERROR(SUMIF('5店辅助表'!AC:AC,B:B,'5店辅助表'!AF:AF),0)</f>
        <v>1.22</v>
      </c>
      <c r="AB11" s="91" t="str">
        <f>IFERROR(SUMIF('5店辅助表'!K:K,B:B,'5店辅助表'!N:N)/SUMIF('5店辅助表'!K:K,B:B,'5店辅助表'!O:O),"-")</f>
        <v>-</v>
      </c>
      <c r="AC11" s="91" t="str">
        <f>IFERROR(VLOOKUP(B:B,'[1]5店'!$B:$AB,27,FALSE),"-")</f>
        <v>-</v>
      </c>
      <c r="AD11" s="92" t="str">
        <f t="shared" si="6"/>
        <v>-</v>
      </c>
      <c r="AE11" s="91" t="str">
        <f>IFERROR(SUMIF('5店辅助表'!T:T,B:B,'5店辅助表'!W:W)/SUMIF('5店辅助表'!T:T,B:B,'5店辅助表'!X:X),"-")</f>
        <v>-</v>
      </c>
      <c r="AF11" s="91" t="str">
        <f>IFERROR(SUMIF('5店辅助表'!AC:AC,B:B,'5店辅助表'!AF:AF)/SUMIF('5店辅助表'!AC:AC,B:B,'5店辅助表'!AG:AG),"-")</f>
        <v>-</v>
      </c>
      <c r="AG11" s="99">
        <f>IFERROR(AK11/((SUMIF('5店辅助表'!AT:AT,B:B,'5店辅助表'!AU:AU)+M11)/2),"-")</f>
        <v>0</v>
      </c>
      <c r="AH11" s="99">
        <f>IFERROR(AL11/((SUMIF('5店辅助表'!AW:AW,B:B,'5店辅助表'!AX:AX)+M11)/2),"-")</f>
        <v>0</v>
      </c>
      <c r="AI11" s="100" t="str">
        <f>IFERROR((SUMIF('5店辅助表'!AP:AP,B:B,'5店辅助表'!AR:AR)-SUMIF('5店辅助表'!AP:AP,B:B,'5店辅助表'!AR:AR)*0.15-(L11+IFERROR(VLOOKUP(B:B,'5店辅助表'!AZ:BA,2,0),0))*O11-IF(AN:AN="US",6.85,4.9)*(Z11+3.28*O11))/SUMIF('5店辅助表'!AP:AP,B:B,'5店辅助表'!AR:AR),"-")</f>
        <v>-</v>
      </c>
      <c r="AJ11" s="100" t="str">
        <f t="shared" si="7"/>
        <v>-</v>
      </c>
      <c r="AK11" s="101">
        <f t="shared" si="8"/>
        <v>0</v>
      </c>
      <c r="AL11" s="101">
        <f t="shared" si="9"/>
        <v>0</v>
      </c>
      <c r="AM11" s="1" t="str">
        <f>VLOOKUP(B:B,'5店辅助表'!AZ:AZ,1,FALSE)</f>
        <v>Y5021-BL</v>
      </c>
      <c r="AN11" t="str">
        <f>VLOOKUP(B:B,'5店辅助表'!AZ:BB,3,FALSE)</f>
        <v>US</v>
      </c>
    </row>
    <row r="12" customHeight="1" spans="1:40">
      <c r="A12" s="58" t="str">
        <f>INDEX('[1]5店'!$A:$A,MATCH(B:B,'[1]5店'!$B:$B,0))</f>
        <v>美珠</v>
      </c>
      <c r="B12" s="45" t="s">
        <v>1673</v>
      </c>
      <c r="C12" s="45" t="s">
        <v>1674</v>
      </c>
      <c r="D12" s="59"/>
      <c r="E12" s="45" t="s">
        <v>1675</v>
      </c>
      <c r="F12" s="45">
        <v>1</v>
      </c>
      <c r="G12" s="45">
        <v>0</v>
      </c>
      <c r="H12" s="45">
        <v>0</v>
      </c>
      <c r="I12" s="45">
        <v>0</v>
      </c>
      <c r="J12" s="45">
        <v>0</v>
      </c>
      <c r="K12" s="63">
        <f t="shared" si="1"/>
        <v>1</v>
      </c>
      <c r="L12" s="64">
        <f>IFERROR(VLOOKUP($B:$B,'[1]5店'!$B:$L,11,FALSE),0)</f>
        <v>7.1</v>
      </c>
      <c r="M12" s="44">
        <f t="shared" si="10"/>
        <v>7.1</v>
      </c>
      <c r="N12" s="65">
        <f>IFERROR(VLOOKUP(B:B,'5店辅助表'!B:C,2,FALSE),0)</f>
        <v>0</v>
      </c>
      <c r="O12" s="65">
        <f>IFERROR(VLOOKUP(B:B,'5店辅助表'!E:F,2,FALSE),0)</f>
        <v>0</v>
      </c>
      <c r="P12" s="65">
        <f>IFERROR(VLOOKUP(B:B,'5店辅助表'!H:I,2,FALSE),0)</f>
        <v>0</v>
      </c>
      <c r="Q12" s="65">
        <f>IFERROR(VLOOKUP(B:B,'[1]5店'!$B:$P,13,FALSE),0)</f>
        <v>0</v>
      </c>
      <c r="R12" s="79">
        <f t="shared" si="2"/>
        <v>0</v>
      </c>
      <c r="S12" s="80" t="str">
        <f t="shared" si="3"/>
        <v>-</v>
      </c>
      <c r="T12" s="44" t="str">
        <f t="shared" si="4"/>
        <v>-</v>
      </c>
      <c r="U12" s="44" t="str">
        <f>IFERROR(VLOOKUP(B:B,'[1]5店'!$B:$T,19,0),"-")</f>
        <v>-</v>
      </c>
      <c r="V12" s="81" t="str">
        <f t="shared" si="5"/>
        <v>-</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有库存无销量</v>
      </c>
      <c r="X12" s="83" t="str">
        <f>_xlfn.IFS(AND(D12&lt;&gt;0,D12-$AM$2&gt;=0,K12&gt;0,D12&lt;&gt;0),"本月刚到货",AND(T12="-",K12&gt;0),"有库存无销量",AND(T12="-",K12=0),"无库存无销量",AND(T12&lt;=0.5,K12=0),"无库存有销量",T12&lt;=0.5,"库存过低",T12&lt;=1.5,"正常",T12&gt;1.5,"库存过高")</f>
        <v>有库存无销量</v>
      </c>
      <c r="Y12" s="44">
        <f>IFERROR(SUMIF('5店辅助表'!K:K,B:B,'5店辅助表'!N:N),0)</f>
        <v>0</v>
      </c>
      <c r="Z12" s="44">
        <f>IFERROR(SUMIF('5店辅助表'!T:T,B:B,'5店辅助表'!W:W),0)</f>
        <v>0</v>
      </c>
      <c r="AA12" s="44">
        <f>IFERROR(SUMIF('5店辅助表'!AC:AC,B:B,'5店辅助表'!AF:AF),0)</f>
        <v>0</v>
      </c>
      <c r="AB12" s="91" t="str">
        <f>IFERROR(SUMIF('5店辅助表'!K:K,B:B,'5店辅助表'!N:N)/SUMIF('5店辅助表'!K:K,B:B,'5店辅助表'!O:O),"-")</f>
        <v>-</v>
      </c>
      <c r="AC12" s="91" t="str">
        <f>IFERROR(VLOOKUP(B:B,'[1]5店'!$B:$AB,27,FALSE),"-")</f>
        <v>-</v>
      </c>
      <c r="AD12" s="92" t="str">
        <f t="shared" si="6"/>
        <v>-</v>
      </c>
      <c r="AE12" s="91" t="str">
        <f>IFERROR(SUMIF('5店辅助表'!T:T,B:B,'5店辅助表'!W:W)/SUMIF('5店辅助表'!T:T,B:B,'5店辅助表'!X:X),"-")</f>
        <v>-</v>
      </c>
      <c r="AF12" s="91" t="str">
        <f>IFERROR(SUMIF('5店辅助表'!AC:AC,B:B,'5店辅助表'!AF:AF)/SUMIF('5店辅助表'!AC:AC,B:B,'5店辅助表'!AG:AG),"-")</f>
        <v>-</v>
      </c>
      <c r="AG12" s="99">
        <f>IFERROR(AK12/((SUMIF('5店辅助表'!AT:AT,B:B,'5店辅助表'!AU:AU)+M12)/2),"-")</f>
        <v>0</v>
      </c>
      <c r="AH12" s="99">
        <f>IFERROR(AL12/((SUMIF('5店辅助表'!AW:AW,B:B,'5店辅助表'!AX:AX)+M12)/2),"-")</f>
        <v>0</v>
      </c>
      <c r="AI12" s="100" t="str">
        <f>IFERROR((SUMIF('5店辅助表'!AP:AP,B:B,'5店辅助表'!AR:AR)-SUMIF('5店辅助表'!AP:AP,B:B,'5店辅助表'!AR:AR)*0.15-(L12+IFERROR(VLOOKUP(B:B,'5店辅助表'!AZ:BA,2,0),0))*O12-IF(AN:AN="US",6.85,4.9)*(Z12+3.28*O12))/SUMIF('5店辅助表'!AP:AP,B:B,'5店辅助表'!AR:AR),"-")</f>
        <v>-</v>
      </c>
      <c r="AJ12" s="100" t="str">
        <f t="shared" si="7"/>
        <v>-</v>
      </c>
      <c r="AK12" s="101">
        <f t="shared" si="8"/>
        <v>0</v>
      </c>
      <c r="AL12" s="101">
        <f t="shared" si="9"/>
        <v>0</v>
      </c>
      <c r="AM12" s="1" t="str">
        <f>VLOOKUP(B:B,'5店辅助表'!AZ:AZ,1,FALSE)</f>
        <v>Y5021-BU</v>
      </c>
      <c r="AN12" t="str">
        <f>VLOOKUP(B:B,'5店辅助表'!AZ:BB,3,FALSE)</f>
        <v>US</v>
      </c>
    </row>
    <row r="13" customHeight="1" spans="1:40">
      <c r="A13" s="58" t="str">
        <f>INDEX('[1]5店'!$A:$A,MATCH(B:B,'[1]5店'!$B:$B,0))</f>
        <v>美珠</v>
      </c>
      <c r="B13" s="45" t="s">
        <v>1676</v>
      </c>
      <c r="C13" s="45" t="s">
        <v>1677</v>
      </c>
      <c r="D13" s="59"/>
      <c r="E13" s="45" t="s">
        <v>1678</v>
      </c>
      <c r="F13" s="45">
        <v>0</v>
      </c>
      <c r="G13" s="45">
        <v>1</v>
      </c>
      <c r="H13" s="45">
        <v>0</v>
      </c>
      <c r="I13" s="45">
        <v>0</v>
      </c>
      <c r="J13" s="45">
        <v>0</v>
      </c>
      <c r="K13" s="63">
        <f t="shared" si="1"/>
        <v>1</v>
      </c>
      <c r="L13" s="64">
        <f>IFERROR(VLOOKUP($B:$B,'[1]5店'!$B:$L,11,FALSE),0)</f>
        <v>9.1</v>
      </c>
      <c r="M13" s="44">
        <f t="shared" si="10"/>
        <v>9.1</v>
      </c>
      <c r="N13" s="65">
        <f>IFERROR(VLOOKUP(B:B,'5店辅助表'!B:C,2,FALSE),0)</f>
        <v>0</v>
      </c>
      <c r="O13" s="65">
        <f>IFERROR(VLOOKUP(B:B,'5店辅助表'!E:F,2,FALSE),0)</f>
        <v>0</v>
      </c>
      <c r="P13" s="65">
        <f>IFERROR(VLOOKUP(B:B,'5店辅助表'!H:I,2,FALSE),0)</f>
        <v>0</v>
      </c>
      <c r="Q13" s="65">
        <f>IFERROR(VLOOKUP(B:B,'[1]5店'!$B:$P,13,FALSE),0)</f>
        <v>0</v>
      </c>
      <c r="R13" s="79">
        <f t="shared" si="2"/>
        <v>0</v>
      </c>
      <c r="S13" s="80" t="str">
        <f t="shared" si="3"/>
        <v>-</v>
      </c>
      <c r="T13" s="44" t="str">
        <f t="shared" si="4"/>
        <v>-</v>
      </c>
      <c r="U13" s="44" t="str">
        <f>IFERROR(VLOOKUP(B:B,'[1]5店'!$B:$T,19,0),"-")</f>
        <v>-</v>
      </c>
      <c r="V13" s="81" t="str">
        <f t="shared" si="5"/>
        <v>-</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有库存无销量</v>
      </c>
      <c r="X13" s="83" t="str">
        <f>_xlfn.IFS(AND(D13&lt;&gt;0,D13-$AM$2&gt;=0,K13&gt;0,D13&lt;&gt;0),"本月刚到货",AND(T13="-",K13&gt;0),"有库存无销量",AND(T13="-",K13=0),"无库存无销量",AND(T13&lt;=0.5,K13=0),"无库存有销量",T13&lt;=0.5,"库存过低",T13&lt;=1.5,"正常",T13&gt;1.5,"库存过高")</f>
        <v>有库存无销量</v>
      </c>
      <c r="Y13" s="44">
        <f>IFERROR(SUMIF('5店辅助表'!K:K,B:B,'5店辅助表'!N:N),0)</f>
        <v>0</v>
      </c>
      <c r="Z13" s="44">
        <f>IFERROR(SUMIF('5店辅助表'!T:T,B:B,'5店辅助表'!W:W),0)</f>
        <v>0</v>
      </c>
      <c r="AA13" s="44">
        <f>IFERROR(SUMIF('5店辅助表'!AC:AC,B:B,'5店辅助表'!AF:AF),0)</f>
        <v>0</v>
      </c>
      <c r="AB13" s="91" t="str">
        <f>IFERROR(SUMIF('5店辅助表'!K:K,B:B,'5店辅助表'!N:N)/SUMIF('5店辅助表'!K:K,B:B,'5店辅助表'!O:O),"-")</f>
        <v>-</v>
      </c>
      <c r="AC13" s="91" t="str">
        <f>IFERROR(VLOOKUP(B:B,'[1]5店'!$B:$AB,27,FALSE),"-")</f>
        <v>-</v>
      </c>
      <c r="AD13" s="92" t="str">
        <f t="shared" si="6"/>
        <v>-</v>
      </c>
      <c r="AE13" s="91" t="str">
        <f>IFERROR(SUMIF('5店辅助表'!T:T,B:B,'5店辅助表'!W:W)/SUMIF('5店辅助表'!T:T,B:B,'5店辅助表'!X:X),"-")</f>
        <v>-</v>
      </c>
      <c r="AF13" s="91" t="str">
        <f>IFERROR(SUMIF('5店辅助表'!AC:AC,B:B,'5店辅助表'!AF:AF)/SUMIF('5店辅助表'!AC:AC,B:B,'5店辅助表'!AG:AG),"-")</f>
        <v>-</v>
      </c>
      <c r="AG13" s="99">
        <f>IFERROR(AK13/((SUMIF('5店辅助表'!AT:AT,B:B,'5店辅助表'!AU:AU)+M13)/2),"-")</f>
        <v>0</v>
      </c>
      <c r="AH13" s="99">
        <f>IFERROR(AL13/((SUMIF('5店辅助表'!AW:AW,B:B,'5店辅助表'!AX:AX)+M13)/2),"-")</f>
        <v>0</v>
      </c>
      <c r="AI13" s="100" t="str">
        <f>IFERROR((SUMIF('5店辅助表'!AP:AP,B:B,'5店辅助表'!AR:AR)-SUMIF('5店辅助表'!AP:AP,B:B,'5店辅助表'!AR:AR)*0.15-(L13+IFERROR(VLOOKUP(B:B,'5店辅助表'!AZ:BA,2,0),0))*O13-IF(AN:AN="US",6.85,4.9)*(Z13+3.28*O13))/SUMIF('5店辅助表'!AP:AP,B:B,'5店辅助表'!AR:AR),"-")</f>
        <v>-</v>
      </c>
      <c r="AJ13" s="100" t="str">
        <f t="shared" si="7"/>
        <v>-</v>
      </c>
      <c r="AK13" s="101">
        <f t="shared" si="8"/>
        <v>0</v>
      </c>
      <c r="AL13" s="101">
        <f t="shared" si="9"/>
        <v>0</v>
      </c>
      <c r="AM13" s="1" t="str">
        <f>VLOOKUP(B:B,'5店辅助表'!AZ:AZ,1,FALSE)</f>
        <v>Y5013-PU</v>
      </c>
      <c r="AN13" t="str">
        <f>VLOOKUP(B:B,'5店辅助表'!AZ:BB,3,FALSE)</f>
        <v>US</v>
      </c>
    </row>
    <row r="14" customHeight="1" spans="1:40">
      <c r="A14" s="58" t="str">
        <f>INDEX('[1]5店'!$A:$A,MATCH(B:B,'[1]5店'!$B:$B,0))</f>
        <v>美珠</v>
      </c>
      <c r="B14" s="45" t="s">
        <v>1679</v>
      </c>
      <c r="C14" s="45" t="s">
        <v>1311</v>
      </c>
      <c r="D14" s="59"/>
      <c r="E14" s="45" t="s">
        <v>1680</v>
      </c>
      <c r="F14" s="45">
        <v>2</v>
      </c>
      <c r="G14" s="45">
        <v>0</v>
      </c>
      <c r="H14" s="45">
        <v>0</v>
      </c>
      <c r="I14" s="45">
        <v>0</v>
      </c>
      <c r="J14" s="45">
        <v>0</v>
      </c>
      <c r="K14" s="63">
        <f t="shared" si="1"/>
        <v>2</v>
      </c>
      <c r="L14" s="64">
        <f>IFERROR(VLOOKUP($B:$B,'[1]5店'!$B:$L,11,FALSE),0)</f>
        <v>13.7</v>
      </c>
      <c r="M14" s="44">
        <f t="shared" si="10"/>
        <v>27.4</v>
      </c>
      <c r="N14" s="65">
        <f>IFERROR(VLOOKUP(B:B,'5店辅助表'!B:C,2,FALSE),0)</f>
        <v>0</v>
      </c>
      <c r="O14" s="65">
        <f>IFERROR(VLOOKUP(B:B,'5店辅助表'!E:F,2,FALSE),0)</f>
        <v>0</v>
      </c>
      <c r="P14" s="65">
        <f>IFERROR(VLOOKUP(B:B,'5店辅助表'!H:I,2,FALSE),0)</f>
        <v>0</v>
      </c>
      <c r="Q14" s="65">
        <f>IFERROR(VLOOKUP(B:B,'[1]5店'!$B:$P,13,FALSE),0)</f>
        <v>0</v>
      </c>
      <c r="R14" s="79">
        <f t="shared" si="2"/>
        <v>0</v>
      </c>
      <c r="S14" s="80" t="str">
        <f t="shared" si="3"/>
        <v>-</v>
      </c>
      <c r="T14" s="44" t="str">
        <f t="shared" si="4"/>
        <v>-</v>
      </c>
      <c r="U14" s="44" t="str">
        <f>IFERROR(VLOOKUP(B:B,'[1]5店'!$B:$T,19,0),"-")</f>
        <v>-</v>
      </c>
      <c r="V14" s="81" t="str">
        <f t="shared" si="5"/>
        <v>-</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有库存无销量</v>
      </c>
      <c r="X14" s="83" t="str">
        <f>_xlfn.IFS(AND(D14&lt;&gt;0,D14-$AM$2&gt;=0,K14&gt;0,D14&lt;&gt;0),"本月刚到货",AND(T14="-",K14&gt;0),"有库存无销量",AND(T14="-",K14=0),"无库存无销量",AND(T14&lt;=0.5,K14=0),"无库存有销量",T14&lt;=0.5,"库存过低",T14&lt;=1.5,"正常",T14&gt;1.5,"库存过高")</f>
        <v>有库存无销量</v>
      </c>
      <c r="Y14" s="44">
        <f>IFERROR(SUMIF('5店辅助表'!K:K,B:B,'5店辅助表'!N:N),0)</f>
        <v>0</v>
      </c>
      <c r="Z14" s="44">
        <f>IFERROR(SUMIF('5店辅助表'!T:T,B:B,'5店辅助表'!W:W),0)</f>
        <v>0</v>
      </c>
      <c r="AA14" s="44">
        <f>IFERROR(SUMIF('5店辅助表'!AC:AC,B:B,'5店辅助表'!AF:AF),0)</f>
        <v>0</v>
      </c>
      <c r="AB14" s="91" t="str">
        <f>IFERROR(SUMIF('5店辅助表'!K:K,B:B,'5店辅助表'!N:N)/SUMIF('5店辅助表'!K:K,B:B,'5店辅助表'!O:O),"-")</f>
        <v>-</v>
      </c>
      <c r="AC14" s="91" t="str">
        <f>IFERROR(VLOOKUP(B:B,'[1]5店'!$B:$AB,27,FALSE),"-")</f>
        <v>-</v>
      </c>
      <c r="AD14" s="92" t="str">
        <f t="shared" si="6"/>
        <v>-</v>
      </c>
      <c r="AE14" s="91" t="str">
        <f>IFERROR(SUMIF('5店辅助表'!T:T,B:B,'5店辅助表'!W:W)/SUMIF('5店辅助表'!T:T,B:B,'5店辅助表'!X:X),"-")</f>
        <v>-</v>
      </c>
      <c r="AF14" s="91" t="str">
        <f>IFERROR(SUMIF('5店辅助表'!AC:AC,B:B,'5店辅助表'!AF:AF)/SUMIF('5店辅助表'!AC:AC,B:B,'5店辅助表'!AG:AG),"-")</f>
        <v>-</v>
      </c>
      <c r="AG14" s="99">
        <f>IFERROR(AK14/((SUMIF('5店辅助表'!AT:AT,B:B,'5店辅助表'!AU:AU)+M14)/2),"-")</f>
        <v>0</v>
      </c>
      <c r="AH14" s="99">
        <f>IFERROR(AL14/((SUMIF('5店辅助表'!AW:AW,B:B,'5店辅助表'!AX:AX)+M14)/2),"-")</f>
        <v>0</v>
      </c>
      <c r="AI14" s="100" t="str">
        <f>IFERROR((SUMIF('5店辅助表'!AP:AP,B:B,'5店辅助表'!AR:AR)-SUMIF('5店辅助表'!AP:AP,B:B,'5店辅助表'!AR:AR)*0.15-(L14+IFERROR(VLOOKUP(B:B,'5店辅助表'!AZ:BA,2,0),0))*O14-IF(AN:AN="US",6.85,4.9)*(Z14+3.28*O14))/SUMIF('5店辅助表'!AP:AP,B:B,'5店辅助表'!AR:AR),"-")</f>
        <v>-</v>
      </c>
      <c r="AJ14" s="100" t="str">
        <f t="shared" si="7"/>
        <v>-</v>
      </c>
      <c r="AK14" s="101">
        <f t="shared" si="8"/>
        <v>0</v>
      </c>
      <c r="AL14" s="101">
        <f t="shared" si="9"/>
        <v>0</v>
      </c>
      <c r="AM14" s="1" t="str">
        <f>VLOOKUP(B:B,'5店辅助表'!AZ:AZ,1,FALSE)</f>
        <v>Y5023-DB</v>
      </c>
      <c r="AN14" t="str">
        <f>VLOOKUP(B:B,'5店辅助表'!AZ:BB,3,FALSE)</f>
        <v>US</v>
      </c>
    </row>
    <row r="15" customHeight="1" spans="1:40">
      <c r="A15" s="58" t="str">
        <f>INDEX('[1]5店'!$A:$A,MATCH(B:B,'[1]5店'!$B:$B,0))</f>
        <v>美珠</v>
      </c>
      <c r="B15" s="45" t="s">
        <v>1681</v>
      </c>
      <c r="C15" s="45" t="s">
        <v>1311</v>
      </c>
      <c r="D15" s="59"/>
      <c r="E15" s="45" t="s">
        <v>1682</v>
      </c>
      <c r="F15" s="45">
        <v>1</v>
      </c>
      <c r="G15" s="45">
        <v>0</v>
      </c>
      <c r="H15" s="45">
        <v>0</v>
      </c>
      <c r="I15" s="45">
        <v>0</v>
      </c>
      <c r="J15" s="45">
        <v>0</v>
      </c>
      <c r="K15" s="63">
        <f t="shared" si="1"/>
        <v>1</v>
      </c>
      <c r="L15" s="64">
        <f>IFERROR(VLOOKUP($B:$B,'[1]5店'!$B:$L,11,FALSE),0)</f>
        <v>13.7</v>
      </c>
      <c r="M15" s="44">
        <f t="shared" si="10"/>
        <v>13.7</v>
      </c>
      <c r="N15" s="65">
        <f>IFERROR(VLOOKUP(B:B,'5店辅助表'!B:C,2,FALSE),0)</f>
        <v>0</v>
      </c>
      <c r="O15" s="65">
        <f>IFERROR(VLOOKUP(B:B,'5店辅助表'!E:F,2,FALSE),0)</f>
        <v>0</v>
      </c>
      <c r="P15" s="65">
        <f>IFERROR(VLOOKUP(B:B,'5店辅助表'!H:I,2,FALSE),0)</f>
        <v>0</v>
      </c>
      <c r="Q15" s="65">
        <f>IFERROR(VLOOKUP(B:B,'[1]5店'!$B:$P,13,FALSE),0)</f>
        <v>0</v>
      </c>
      <c r="R15" s="79">
        <f t="shared" si="2"/>
        <v>0</v>
      </c>
      <c r="S15" s="80" t="str">
        <f t="shared" si="3"/>
        <v>-</v>
      </c>
      <c r="T15" s="44" t="str">
        <f t="shared" si="4"/>
        <v>-</v>
      </c>
      <c r="U15" s="44" t="str">
        <f>IFERROR(VLOOKUP(B:B,'[1]5店'!$B:$T,19,0),"-")</f>
        <v>-</v>
      </c>
      <c r="V15" s="81" t="str">
        <f t="shared" si="5"/>
        <v>-</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有库存无销量</v>
      </c>
      <c r="X15" s="83" t="str">
        <f>_xlfn.IFS(AND(D15&lt;&gt;0,D15-$AM$2&gt;=0,K15&gt;0,D15&lt;&gt;0),"本月刚到货",AND(T15="-",K15&gt;0),"有库存无销量",AND(T15="-",K15=0),"无库存无销量",AND(T15&lt;=0.5,K15=0),"无库存有销量",T15&lt;=0.5,"库存过低",T15&lt;=1.5,"正常",T15&gt;1.5,"库存过高")</f>
        <v>有库存无销量</v>
      </c>
      <c r="Y15" s="44">
        <f>IFERROR(SUMIF('5店辅助表'!K:K,B:B,'5店辅助表'!N:N),0)</f>
        <v>0</v>
      </c>
      <c r="Z15" s="44">
        <f>IFERROR(SUMIF('5店辅助表'!T:T,B:B,'5店辅助表'!W:W),0)</f>
        <v>0</v>
      </c>
      <c r="AA15" s="44">
        <f>IFERROR(SUMIF('5店辅助表'!AC:AC,B:B,'5店辅助表'!AF:AF),0)</f>
        <v>0</v>
      </c>
      <c r="AB15" s="91" t="str">
        <f>IFERROR(SUMIF('5店辅助表'!K:K,B:B,'5店辅助表'!N:N)/SUMIF('5店辅助表'!K:K,B:B,'5店辅助表'!O:O),"-")</f>
        <v>-</v>
      </c>
      <c r="AC15" s="91" t="str">
        <f>IFERROR(VLOOKUP(B:B,'[1]5店'!$B:$AB,27,FALSE),"-")</f>
        <v>-</v>
      </c>
      <c r="AD15" s="92" t="str">
        <f t="shared" si="6"/>
        <v>-</v>
      </c>
      <c r="AE15" s="91" t="str">
        <f>IFERROR(SUMIF('5店辅助表'!T:T,B:B,'5店辅助表'!W:W)/SUMIF('5店辅助表'!T:T,B:B,'5店辅助表'!X:X),"-")</f>
        <v>-</v>
      </c>
      <c r="AF15" s="91" t="str">
        <f>IFERROR(SUMIF('5店辅助表'!AC:AC,B:B,'5店辅助表'!AF:AF)/SUMIF('5店辅助表'!AC:AC,B:B,'5店辅助表'!AG:AG),"-")</f>
        <v>-</v>
      </c>
      <c r="AG15" s="99">
        <f>IFERROR(AK15/((SUMIF('5店辅助表'!AT:AT,B:B,'5店辅助表'!AU:AU)+M15)/2),"-")</f>
        <v>0</v>
      </c>
      <c r="AH15" s="99">
        <f>IFERROR(AL15/((SUMIF('5店辅助表'!AW:AW,B:B,'5店辅助表'!AX:AX)+M15)/2),"-")</f>
        <v>0</v>
      </c>
      <c r="AI15" s="100" t="str">
        <f>IFERROR((SUMIF('5店辅助表'!AP:AP,B:B,'5店辅助表'!AR:AR)-SUMIF('5店辅助表'!AP:AP,B:B,'5店辅助表'!AR:AR)*0.15-(L15+IFERROR(VLOOKUP(B:B,'5店辅助表'!AZ:BA,2,0),0))*O15-IF(AN:AN="US",6.85,4.9)*(Z15+3.28*O15))/SUMIF('5店辅助表'!AP:AP,B:B,'5店辅助表'!AR:AR),"-")</f>
        <v>-</v>
      </c>
      <c r="AJ15" s="100" t="str">
        <f t="shared" si="7"/>
        <v>-</v>
      </c>
      <c r="AK15" s="101">
        <f t="shared" si="8"/>
        <v>0</v>
      </c>
      <c r="AL15" s="101">
        <f t="shared" si="9"/>
        <v>0</v>
      </c>
      <c r="AM15" s="1" t="str">
        <f>VLOOKUP(B:B,'5店辅助表'!AZ:AZ,1,FALSE)</f>
        <v>Y5023-GW</v>
      </c>
      <c r="AN15" t="str">
        <f>VLOOKUP(B:B,'5店辅助表'!AZ:BB,3,FALSE)</f>
        <v>US</v>
      </c>
    </row>
    <row r="16" customHeight="1" spans="1:40">
      <c r="A16" s="58" t="str">
        <f>INDEX('[1]5店'!$A:$A,MATCH(B:B,'[1]5店'!$B:$B,0))</f>
        <v>美珠</v>
      </c>
      <c r="B16" s="45" t="s">
        <v>1683</v>
      </c>
      <c r="C16" s="45" t="s">
        <v>1326</v>
      </c>
      <c r="D16" s="59"/>
      <c r="E16" s="45" t="s">
        <v>1684</v>
      </c>
      <c r="F16" s="45">
        <v>0</v>
      </c>
      <c r="G16" s="45">
        <v>0</v>
      </c>
      <c r="H16" s="45">
        <v>0</v>
      </c>
      <c r="I16" s="45">
        <v>26</v>
      </c>
      <c r="J16" s="45">
        <v>0</v>
      </c>
      <c r="K16" s="63">
        <f t="shared" si="1"/>
        <v>26</v>
      </c>
      <c r="L16" s="64">
        <f>IFERROR(VLOOKUP($B:$B,'[1]5店'!$B:$L,11,FALSE),0)</f>
        <v>13.7</v>
      </c>
      <c r="M16" s="44">
        <f t="shared" si="10"/>
        <v>356.2</v>
      </c>
      <c r="N16" s="65">
        <f>IFERROR(VLOOKUP(B:B,'5店辅助表'!B:C,2,FALSE),0)</f>
        <v>1</v>
      </c>
      <c r="O16" s="65">
        <f>IFERROR(VLOOKUP(B:B,'5店辅助表'!E:F,2,FALSE),0)</f>
        <v>1</v>
      </c>
      <c r="P16" s="65">
        <f>IFERROR(VLOOKUP(B:B,'5店辅助表'!H:I,2,FALSE),0)</f>
        <v>2</v>
      </c>
      <c r="Q16" s="65">
        <f>IFERROR(VLOOKUP(B:B,'[1]5店'!$B:$P,13,FALSE),0)</f>
        <v>0</v>
      </c>
      <c r="R16" s="79">
        <f t="shared" si="2"/>
        <v>1</v>
      </c>
      <c r="S16" s="80">
        <f t="shared" si="3"/>
        <v>282.413793103448</v>
      </c>
      <c r="T16" s="44">
        <f t="shared" si="4"/>
        <v>9.41379310344828</v>
      </c>
      <c r="U16" s="44">
        <f>IFERROR(VLOOKUP(B:B,'[1]5店'!$B:$T,19,0),"-")</f>
        <v>78</v>
      </c>
      <c r="V16" s="81">
        <f t="shared" si="5"/>
        <v>-68.5862068965517</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库存过高</v>
      </c>
      <c r="X16" s="83" t="str">
        <f>_xlfn.IFS(AND(D16&lt;&gt;0,D16-$AM$2&gt;=0,K16&gt;0,D16&lt;&gt;0),"本月刚到货",AND(T16="-",K16&gt;0),"有库存无销量",AND(T16="-",K16=0),"无库存无销量",AND(T16&lt;=0.5,K16=0),"无库存有销量",T16&lt;=0.5,"库存过低",T16&lt;=1.5,"正常",T16&gt;1.5,"库存过高")</f>
        <v>库存过高</v>
      </c>
      <c r="Y16" s="44">
        <f>IFERROR(SUMIF('5店辅助表'!K:K,B:B,'5店辅助表'!N:N),0)</f>
        <v>0</v>
      </c>
      <c r="Z16" s="44">
        <f>IFERROR(SUMIF('5店辅助表'!T:T,B:B,'5店辅助表'!W:W),0)</f>
        <v>0</v>
      </c>
      <c r="AA16" s="44">
        <f>IFERROR(SUMIF('5店辅助表'!AC:AC,B:B,'5店辅助表'!AF:AF),0)</f>
        <v>0</v>
      </c>
      <c r="AB16" s="91" t="str">
        <f>IFERROR(SUMIF('5店辅助表'!K:K,B:B,'5店辅助表'!N:N)/SUMIF('5店辅助表'!K:K,B:B,'5店辅助表'!O:O),"-")</f>
        <v>-</v>
      </c>
      <c r="AC16" s="91" t="str">
        <f>IFERROR(VLOOKUP(B:B,'[1]5店'!$B:$AB,27,FALSE),"-")</f>
        <v>-</v>
      </c>
      <c r="AD16" s="92" t="str">
        <f t="shared" si="6"/>
        <v>-</v>
      </c>
      <c r="AE16" s="91" t="str">
        <f>IFERROR(SUMIF('5店辅助表'!T:T,B:B,'5店辅助表'!W:W)/SUMIF('5店辅助表'!T:T,B:B,'5店辅助表'!X:X),"-")</f>
        <v>-</v>
      </c>
      <c r="AF16" s="91" t="str">
        <f>IFERROR(SUMIF('5店辅助表'!AC:AC,B:B,'5店辅助表'!AF:AF)/SUMIF('5店辅助表'!AC:AC,B:B,'5店辅助表'!AG:AG),"-")</f>
        <v>-</v>
      </c>
      <c r="AG16" s="99">
        <f>IFERROR(AK16/((SUMIF('5店辅助表'!AT:AT,B:B,'5店辅助表'!AU:AU)+M16)/2),"-")</f>
        <v>0.0384615384615385</v>
      </c>
      <c r="AH16" s="99">
        <f>IFERROR(AL16/((SUMIF('5店辅助表'!AW:AW,B:B,'5店辅助表'!AX:AX)+M16)/2),"-")</f>
        <v>0.0377358490566038</v>
      </c>
      <c r="AI16" s="100">
        <f>IFERROR((SUMIF('5店辅助表'!AP:AP,B:B,'5店辅助表'!AR:AR)-SUMIF('5店辅助表'!AP:AP,B:B,'5店辅助表'!AR:AR)*0.15-(L16+IFERROR(VLOOKUP(B:B,'5店辅助表'!AZ:BA,2,0),0))*O16-IF(AN:AN="US",6.85,4.9)*(Z16+3.28*O16))/SUMIF('5店辅助表'!AP:AP,B:B,'5店辅助表'!AR:AR),"-")</f>
        <v>0.28311437737027</v>
      </c>
      <c r="AJ16" s="100">
        <f t="shared" si="7"/>
        <v>0.0106835614101989</v>
      </c>
      <c r="AK16" s="101">
        <f t="shared" si="8"/>
        <v>13.7</v>
      </c>
      <c r="AL16" s="101">
        <f t="shared" si="9"/>
        <v>13.7</v>
      </c>
      <c r="AM16" s="1" t="str">
        <f>VLOOKUP(B:B,'5店辅助表'!AZ:AZ,1,FALSE)</f>
        <v>Y5024-BL</v>
      </c>
      <c r="AN16" t="str">
        <f>VLOOKUP(B:B,'5店辅助表'!AZ:BB,3,FALSE)</f>
        <v>US</v>
      </c>
    </row>
    <row r="17" customHeight="1" spans="1:40">
      <c r="A17" s="58" t="str">
        <f>INDEX('[1]5店'!$A:$A,MATCH(B:B,'[1]5店'!$B:$B,0))</f>
        <v>美珠</v>
      </c>
      <c r="B17" s="45" t="s">
        <v>1685</v>
      </c>
      <c r="C17" s="45" t="s">
        <v>1326</v>
      </c>
      <c r="D17" s="59"/>
      <c r="E17" s="45" t="s">
        <v>1686</v>
      </c>
      <c r="F17" s="45">
        <v>5</v>
      </c>
      <c r="G17" s="45">
        <v>0</v>
      </c>
      <c r="H17" s="45">
        <v>0</v>
      </c>
      <c r="I17" s="45">
        <v>8</v>
      </c>
      <c r="J17" s="45">
        <v>0</v>
      </c>
      <c r="K17" s="63">
        <f t="shared" si="1"/>
        <v>13</v>
      </c>
      <c r="L17" s="64">
        <f>IFERROR(VLOOKUP($B:$B,'[1]5店'!$B:$L,11,FALSE),0)</f>
        <v>13.7</v>
      </c>
      <c r="M17" s="44">
        <f t="shared" si="10"/>
        <v>178.1</v>
      </c>
      <c r="N17" s="65">
        <f>IFERROR(VLOOKUP(B:B,'5店辅助表'!B:C,2,FALSE),0)</f>
        <v>0</v>
      </c>
      <c r="O17" s="65">
        <f>IFERROR(VLOOKUP(B:B,'5店辅助表'!E:F,2,FALSE),0)</f>
        <v>0</v>
      </c>
      <c r="P17" s="65">
        <f>IFERROR(VLOOKUP(B:B,'5店辅助表'!H:I,2,FALSE),0)</f>
        <v>0</v>
      </c>
      <c r="Q17" s="65">
        <f>IFERROR(VLOOKUP(B:B,'[1]5店'!$B:$P,13,FALSE),0)</f>
        <v>0</v>
      </c>
      <c r="R17" s="79">
        <f t="shared" si="2"/>
        <v>0</v>
      </c>
      <c r="S17" s="80" t="str">
        <f t="shared" si="3"/>
        <v>-</v>
      </c>
      <c r="T17" s="44" t="str">
        <f t="shared" si="4"/>
        <v>-</v>
      </c>
      <c r="U17" s="44" t="str">
        <f>IFERROR(VLOOKUP(B:B,'[1]5店'!$B:$T,19,0),"-")</f>
        <v>-</v>
      </c>
      <c r="V17" s="81" t="str">
        <f t="shared" si="5"/>
        <v>-</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有库存无销量</v>
      </c>
      <c r="X17" s="83" t="str">
        <f>_xlfn.IFS(AND(D17&lt;&gt;0,D17-$AM$2&gt;=0,K17&gt;0,D17&lt;&gt;0),"本月刚到货",AND(T17="-",K17&gt;0),"有库存无销量",AND(T17="-",K17=0),"无库存无销量",AND(T17&lt;=0.5,K17=0),"无库存有销量",T17&lt;=0.5,"库存过低",T17&lt;=1.5,"正常",T17&gt;1.5,"库存过高")</f>
        <v>有库存无销量</v>
      </c>
      <c r="Y17" s="44">
        <f>IFERROR(SUMIF('5店辅助表'!K:K,B:B,'5店辅助表'!N:N),0)</f>
        <v>0</v>
      </c>
      <c r="Z17" s="44">
        <f>IFERROR(SUMIF('5店辅助表'!T:T,B:B,'5店辅助表'!W:W),0)</f>
        <v>0</v>
      </c>
      <c r="AA17" s="44">
        <f>IFERROR(SUMIF('5店辅助表'!AC:AC,B:B,'5店辅助表'!AF:AF),0)</f>
        <v>0</v>
      </c>
      <c r="AB17" s="91" t="str">
        <f>IFERROR(SUMIF('5店辅助表'!K:K,B:B,'5店辅助表'!N:N)/SUMIF('5店辅助表'!K:K,B:B,'5店辅助表'!O:O),"-")</f>
        <v>-</v>
      </c>
      <c r="AC17" s="91" t="str">
        <f>IFERROR(VLOOKUP(B:B,'[1]5店'!$B:$AB,27,FALSE),"-")</f>
        <v>-</v>
      </c>
      <c r="AD17" s="92" t="str">
        <f t="shared" si="6"/>
        <v>-</v>
      </c>
      <c r="AE17" s="91" t="str">
        <f>IFERROR(SUMIF('5店辅助表'!T:T,B:B,'5店辅助表'!W:W)/SUMIF('5店辅助表'!T:T,B:B,'5店辅助表'!X:X),"-")</f>
        <v>-</v>
      </c>
      <c r="AF17" s="91" t="str">
        <f>IFERROR(SUMIF('5店辅助表'!AC:AC,B:B,'5店辅助表'!AF:AF)/SUMIF('5店辅助表'!AC:AC,B:B,'5店辅助表'!AG:AG),"-")</f>
        <v>-</v>
      </c>
      <c r="AG17" s="99">
        <f>IFERROR(AK17/((SUMIF('5店辅助表'!AT:AT,B:B,'5店辅助表'!AU:AU)+M17)/2),"-")</f>
        <v>0</v>
      </c>
      <c r="AH17" s="99">
        <f>IFERROR(AL17/((SUMIF('5店辅助表'!AW:AW,B:B,'5店辅助表'!AX:AX)+M17)/2),"-")</f>
        <v>0</v>
      </c>
      <c r="AI17" s="100" t="str">
        <f>IFERROR((SUMIF('5店辅助表'!AP:AP,B:B,'5店辅助表'!AR:AR)-SUMIF('5店辅助表'!AP:AP,B:B,'5店辅助表'!AR:AR)*0.15-(L17+IFERROR(VLOOKUP(B:B,'5店辅助表'!AZ:BA,2,0),0))*O17-IF(AN:AN="US",6.85,4.9)*(Z17+3.28*O17))/SUMIF('5店辅助表'!AP:AP,B:B,'5店辅助表'!AR:AR),"-")</f>
        <v>-</v>
      </c>
      <c r="AJ17" s="100" t="str">
        <f t="shared" si="7"/>
        <v>-</v>
      </c>
      <c r="AK17" s="101">
        <f t="shared" si="8"/>
        <v>0</v>
      </c>
      <c r="AL17" s="101">
        <f t="shared" si="9"/>
        <v>0</v>
      </c>
      <c r="AM17" s="1" t="str">
        <f>VLOOKUP(B:B,'5店辅助表'!AZ:AZ,1,FALSE)</f>
        <v>Y5024-DB</v>
      </c>
      <c r="AN17" t="str">
        <f>VLOOKUP(B:B,'5店辅助表'!AZ:BB,3,FALSE)</f>
        <v>US</v>
      </c>
    </row>
    <row r="18" customHeight="1" spans="1:40">
      <c r="A18" s="58" t="str">
        <f>INDEX('[1]5店'!$A:$A,MATCH(B:B,'[1]5店'!$B:$B,0))</f>
        <v>美珠</v>
      </c>
      <c r="B18" s="45" t="s">
        <v>1687</v>
      </c>
      <c r="C18" s="45" t="s">
        <v>1326</v>
      </c>
      <c r="D18" s="59"/>
      <c r="E18" s="45" t="s">
        <v>1688</v>
      </c>
      <c r="F18" s="45">
        <v>1</v>
      </c>
      <c r="G18" s="45">
        <v>0</v>
      </c>
      <c r="H18" s="45">
        <v>0</v>
      </c>
      <c r="I18" s="45">
        <v>9</v>
      </c>
      <c r="J18" s="45">
        <v>0</v>
      </c>
      <c r="K18" s="63">
        <f t="shared" si="1"/>
        <v>10</v>
      </c>
      <c r="L18" s="64">
        <f>IFERROR(VLOOKUP($B:$B,'[1]5店'!$B:$L,11,FALSE),0)</f>
        <v>13.7</v>
      </c>
      <c r="M18" s="44">
        <f t="shared" si="10"/>
        <v>137</v>
      </c>
      <c r="N18" s="65">
        <f>IFERROR(VLOOKUP(B:B,'5店辅助表'!B:C,2,FALSE),0)</f>
        <v>0</v>
      </c>
      <c r="O18" s="65">
        <f>IFERROR(VLOOKUP(B:B,'5店辅助表'!E:F,2,FALSE),0)</f>
        <v>0</v>
      </c>
      <c r="P18" s="65">
        <f>IFERROR(VLOOKUP(B:B,'5店辅助表'!H:I,2,FALSE),0)</f>
        <v>1</v>
      </c>
      <c r="Q18" s="65">
        <f>IFERROR(VLOOKUP(B:B,'[1]5店'!$B:$P,13,FALSE),0)</f>
        <v>0</v>
      </c>
      <c r="R18" s="79">
        <f t="shared" si="2"/>
        <v>0</v>
      </c>
      <c r="S18" s="80">
        <f t="shared" si="3"/>
        <v>900</v>
      </c>
      <c r="T18" s="44">
        <f t="shared" si="4"/>
        <v>30</v>
      </c>
      <c r="U18" s="44">
        <f>IFERROR(VLOOKUP(B:B,'[1]5店'!$B:$T,19,0),"-")</f>
        <v>10</v>
      </c>
      <c r="V18" s="81">
        <f t="shared" si="5"/>
        <v>20</v>
      </c>
      <c r="W18" s="82" t="str">
        <f>_xlfn.IFS(AND(D18&lt;&gt;0,D18-$AM$2&gt;=0,B18&gt;0,D18&lt;&gt;0),"本月刚到货",AND(IFERROR((K18/(N18/7))/30,"-")="-",K18&gt;0),"有库存无销量",AND(IFERROR((K18/(N18/7))/30,"-")="-",K18=0),"无库存无销量",AND(IFERROR((K18/(N18/7))/30,"-")&lt;=0.5,K18=0),"无库存有销量",IFERROR((K18/(N18/7))/30,"-")&lt;=0.5,"库存过低",IFERROR((K18/(N18/7))/30,"-")&lt;=1.5,"正常",IFERROR((K18/(N18/7))/30,"-")&gt;1.5,"库存过高")</f>
        <v>有库存无销量</v>
      </c>
      <c r="X18" s="83" t="str">
        <f>_xlfn.IFS(AND(D18&lt;&gt;0,D18-$AM$2&gt;=0,K18&gt;0,D18&lt;&gt;0),"本月刚到货",AND(T18="-",K18&gt;0),"有库存无销量",AND(T18="-",K18=0),"无库存无销量",AND(T18&lt;=0.5,K18=0),"无库存有销量",T18&lt;=0.5,"库存过低",T18&lt;=1.5,"正常",T18&gt;1.5,"库存过高")</f>
        <v>库存过高</v>
      </c>
      <c r="Y18" s="44">
        <f>IFERROR(SUMIF('5店辅助表'!K:K,B:B,'5店辅助表'!N:N),0)</f>
        <v>0</v>
      </c>
      <c r="Z18" s="44">
        <f>IFERROR(SUMIF('5店辅助表'!T:T,B:B,'5店辅助表'!W:W),0)</f>
        <v>0</v>
      </c>
      <c r="AA18" s="44">
        <f>IFERROR(SUMIF('5店辅助表'!AC:AC,B:B,'5店辅助表'!AF:AF),0)</f>
        <v>0</v>
      </c>
      <c r="AB18" s="91" t="str">
        <f>IFERROR(SUMIF('5店辅助表'!K:K,B:B,'5店辅助表'!N:N)/SUMIF('5店辅助表'!K:K,B:B,'5店辅助表'!O:O),"-")</f>
        <v>-</v>
      </c>
      <c r="AC18" s="91" t="str">
        <f>IFERROR(VLOOKUP(B:B,'[1]5店'!$B:$AB,27,FALSE),"-")</f>
        <v>-</v>
      </c>
      <c r="AD18" s="92" t="str">
        <f t="shared" si="6"/>
        <v>-</v>
      </c>
      <c r="AE18" s="91" t="str">
        <f>IFERROR(SUMIF('5店辅助表'!T:T,B:B,'5店辅助表'!W:W)/SUMIF('5店辅助表'!T:T,B:B,'5店辅助表'!X:X),"-")</f>
        <v>-</v>
      </c>
      <c r="AF18" s="91" t="str">
        <f>IFERROR(SUMIF('5店辅助表'!AC:AC,B:B,'5店辅助表'!AF:AF)/SUMIF('5店辅助表'!AC:AC,B:B,'5店辅助表'!AG:AG),"-")</f>
        <v>-</v>
      </c>
      <c r="AG18" s="99">
        <f>IFERROR(AK18/((SUMIF('5店辅助表'!AT:AT,B:B,'5店辅助表'!AU:AU)+M18)/2),"-")</f>
        <v>0</v>
      </c>
      <c r="AH18" s="99">
        <f>IFERROR(AL18/((SUMIF('5店辅助表'!AW:AW,B:B,'5店辅助表'!AX:AX)+M18)/2),"-")</f>
        <v>0</v>
      </c>
      <c r="AI18" s="100" t="str">
        <f>IFERROR((SUMIF('5店辅助表'!AP:AP,B:B,'5店辅助表'!AR:AR)-SUMIF('5店辅助表'!AP:AP,B:B,'5店辅助表'!AR:AR)*0.15-(L18+IFERROR(VLOOKUP(B:B,'5店辅助表'!AZ:BA,2,0),0))*O18-IF(AN:AN="US",6.85,4.9)*(Z18+3.28*O18))/SUMIF('5店辅助表'!AP:AP,B:B,'5店辅助表'!AR:AR),"-")</f>
        <v>-</v>
      </c>
      <c r="AJ18" s="100" t="str">
        <f t="shared" si="7"/>
        <v>-</v>
      </c>
      <c r="AK18" s="101">
        <f t="shared" si="8"/>
        <v>0</v>
      </c>
      <c r="AL18" s="101">
        <f t="shared" si="9"/>
        <v>0</v>
      </c>
      <c r="AM18" s="1" t="str">
        <f>VLOOKUP(B:B,'5店辅助表'!AZ:AZ,1,FALSE)</f>
        <v>Y5024-GW</v>
      </c>
      <c r="AN18" t="str">
        <f>VLOOKUP(B:B,'5店辅助表'!AZ:BB,3,FALSE)</f>
        <v>US</v>
      </c>
    </row>
    <row r="19" customHeight="1" spans="1:40">
      <c r="A19" s="58" t="str">
        <f>INDEX('[1]5店'!$A:$A,MATCH(B:B,'[1]5店'!$B:$B,0))</f>
        <v>美珠</v>
      </c>
      <c r="B19" s="45" t="s">
        <v>1689</v>
      </c>
      <c r="C19" s="45" t="s">
        <v>1690</v>
      </c>
      <c r="D19" s="59"/>
      <c r="E19" s="45" t="s">
        <v>1691</v>
      </c>
      <c r="F19" s="45">
        <v>1</v>
      </c>
      <c r="G19" s="45">
        <v>0</v>
      </c>
      <c r="H19" s="45">
        <v>0</v>
      </c>
      <c r="I19" s="45">
        <v>0</v>
      </c>
      <c r="J19" s="45">
        <v>0</v>
      </c>
      <c r="K19" s="63">
        <f t="shared" si="1"/>
        <v>1</v>
      </c>
      <c r="L19" s="64">
        <f>IFERROR(VLOOKUP($B:$B,'[1]5店'!$B:$L,11,FALSE),0)</f>
        <v>13.7</v>
      </c>
      <c r="M19" s="44">
        <f t="shared" si="10"/>
        <v>13.7</v>
      </c>
      <c r="N19" s="65">
        <f>IFERROR(VLOOKUP(B:B,'5店辅助表'!B:C,2,FALSE),0)</f>
        <v>0</v>
      </c>
      <c r="O19" s="65">
        <f>IFERROR(VLOOKUP(B:B,'5店辅助表'!E:F,2,FALSE),0)</f>
        <v>0</v>
      </c>
      <c r="P19" s="65">
        <f>IFERROR(VLOOKUP(B:B,'5店辅助表'!H:I,2,FALSE),0)</f>
        <v>3</v>
      </c>
      <c r="Q19" s="65">
        <f>IFERROR(VLOOKUP(B:B,'[1]5店'!$B:$P,13,FALSE),0)</f>
        <v>0</v>
      </c>
      <c r="R19" s="79">
        <f t="shared" si="2"/>
        <v>0</v>
      </c>
      <c r="S19" s="80">
        <f t="shared" si="3"/>
        <v>30</v>
      </c>
      <c r="T19" s="44">
        <f t="shared" si="4"/>
        <v>1</v>
      </c>
      <c r="U19" s="44">
        <f>IFERROR(VLOOKUP(B:B,'[1]5店'!$B:$T,19,0),"-")</f>
        <v>0.6</v>
      </c>
      <c r="V19" s="81">
        <f t="shared" si="5"/>
        <v>0.4</v>
      </c>
      <c r="W19" s="82" t="str">
        <f>_xlfn.IFS(AND(D19&lt;&gt;0,D19-$AM$2&gt;=0,B19&gt;0,D19&lt;&gt;0),"本月刚到货",AND(IFERROR((K19/(N19/7))/30,"-")="-",K19&gt;0),"有库存无销量",AND(IFERROR((K19/(N19/7))/30,"-")="-",K19=0),"无库存无销量",AND(IFERROR((K19/(N19/7))/30,"-")&lt;=0.5,K19=0),"无库存有销量",IFERROR((K19/(N19/7))/30,"-")&lt;=0.5,"库存过低",IFERROR((K19/(N19/7))/30,"-")&lt;=1.5,"正常",IFERROR((K19/(N19/7))/30,"-")&gt;1.5,"库存过高")</f>
        <v>有库存无销量</v>
      </c>
      <c r="X19" s="83" t="str">
        <f>_xlfn.IFS(AND(D19&lt;&gt;0,D19-$AM$2&gt;=0,K19&gt;0,D19&lt;&gt;0),"本月刚到货",AND(T19="-",K19&gt;0),"有库存无销量",AND(T19="-",K19=0),"无库存无销量",AND(T19&lt;=0.5,K19=0),"无库存有销量",T19&lt;=0.5,"库存过低",T19&lt;=1.5,"正常",T19&gt;1.5,"库存过高")</f>
        <v>正常</v>
      </c>
      <c r="Y19" s="44">
        <f>IFERROR(SUMIF('5店辅助表'!K:K,B:B,'5店辅助表'!N:N),0)</f>
        <v>2.2</v>
      </c>
      <c r="Z19" s="44">
        <f>IFERROR(SUMIF('5店辅助表'!T:T,B:B,'5店辅助表'!W:W),0)</f>
        <v>4.14</v>
      </c>
      <c r="AA19" s="44">
        <f>IFERROR(SUMIF('5店辅助表'!AC:AC,B:B,'5店辅助表'!AF:AF),0)</f>
        <v>9.04</v>
      </c>
      <c r="AB19" s="91" t="str">
        <f>IFERROR(SUMIF('5店辅助表'!K:K,B:B,'5店辅助表'!N:N)/SUMIF('5店辅助表'!K:K,B:B,'5店辅助表'!O:O),"-")</f>
        <v>-</v>
      </c>
      <c r="AC19" s="91" t="str">
        <f>IFERROR(VLOOKUP(B:B,'[1]5店'!$B:$AB,27,FALSE),"-")</f>
        <v>-</v>
      </c>
      <c r="AD19" s="92" t="str">
        <f t="shared" si="6"/>
        <v>-</v>
      </c>
      <c r="AE19" s="91" t="str">
        <f>IFERROR(SUMIF('5店辅助表'!T:T,B:B,'5店辅助表'!W:W)/SUMIF('5店辅助表'!T:T,B:B,'5店辅助表'!X:X),"-")</f>
        <v>-</v>
      </c>
      <c r="AF19" s="91">
        <f>IFERROR(SUMIF('5店辅助表'!AC:AC,B:B,'5店辅助表'!AF:AF)/SUMIF('5店辅助表'!AC:AC,B:B,'5店辅助表'!AG:AG),"-")</f>
        <v>0.75396163469558</v>
      </c>
      <c r="AG19" s="99">
        <f>IFERROR(AK19/((SUMIF('5店辅助表'!AT:AT,B:B,'5店辅助表'!AU:AU)+M19)/2),"-")</f>
        <v>0</v>
      </c>
      <c r="AH19" s="99">
        <f>IFERROR(AL19/((SUMIF('5店辅助表'!AW:AW,B:B,'5店辅助表'!AX:AX)+M19)/2),"-")</f>
        <v>0</v>
      </c>
      <c r="AI19" s="100" t="str">
        <f>IFERROR((SUMIF('5店辅助表'!AP:AP,B:B,'5店辅助表'!AR:AR)-SUMIF('5店辅助表'!AP:AP,B:B,'5店辅助表'!AR:AR)*0.15-(L19+IFERROR(VLOOKUP(B:B,'5店辅助表'!AZ:BA,2,0),0))*O19-IF(AN:AN="US",6.85,4.9)*(Z19+3.28*O19))/SUMIF('5店辅助表'!AP:AP,B:B,'5店辅助表'!AR:AR),"-")</f>
        <v>-</v>
      </c>
      <c r="AJ19" s="100" t="str">
        <f t="shared" si="7"/>
        <v>-</v>
      </c>
      <c r="AK19" s="101">
        <f t="shared" si="8"/>
        <v>0</v>
      </c>
      <c r="AL19" s="101">
        <f t="shared" si="9"/>
        <v>0</v>
      </c>
      <c r="AM19" s="1" t="str">
        <f>VLOOKUP(B:B,'5店辅助表'!AZ:AZ,1,FALSE)</f>
        <v>Y5030-WI</v>
      </c>
      <c r="AN19" t="str">
        <f>VLOOKUP(B:B,'5店辅助表'!AZ:BB,3,FALSE)</f>
        <v>US</v>
      </c>
    </row>
    <row r="20" customHeight="1" spans="1:40">
      <c r="A20" s="58" t="str">
        <f>INDEX('[1]5店'!$A:$A,MATCH(B:B,'[1]5店'!$B:$B,0))</f>
        <v>美珠</v>
      </c>
      <c r="B20" s="45" t="s">
        <v>1692</v>
      </c>
      <c r="C20" s="45" t="s">
        <v>1693</v>
      </c>
      <c r="D20" s="59"/>
      <c r="E20" s="45" t="s">
        <v>1694</v>
      </c>
      <c r="F20" s="45">
        <v>6</v>
      </c>
      <c r="G20" s="45">
        <v>0</v>
      </c>
      <c r="H20" s="45">
        <v>0</v>
      </c>
      <c r="I20" s="45">
        <v>0</v>
      </c>
      <c r="J20" s="45">
        <v>0</v>
      </c>
      <c r="K20" s="63">
        <f t="shared" si="1"/>
        <v>6</v>
      </c>
      <c r="L20" s="64">
        <f>IFERROR(VLOOKUP($B:$B,'[1]5店'!$B:$L,11,FALSE),0)</f>
        <v>8.5</v>
      </c>
      <c r="M20" s="44">
        <f t="shared" si="10"/>
        <v>51</v>
      </c>
      <c r="N20" s="65">
        <f>IFERROR(VLOOKUP(B:B,'5店辅助表'!B:C,2,FALSE),0)</f>
        <v>0</v>
      </c>
      <c r="O20" s="65">
        <f>IFERROR(VLOOKUP(B:B,'5店辅助表'!E:F,2,FALSE),0)</f>
        <v>0</v>
      </c>
      <c r="P20" s="65">
        <f>IFERROR(VLOOKUP(B:B,'5店辅助表'!H:I,2,FALSE),0)</f>
        <v>0</v>
      </c>
      <c r="Q20" s="65">
        <f>IFERROR(VLOOKUP(B:B,'[1]5店'!$B:$P,13,FALSE),0)</f>
        <v>0</v>
      </c>
      <c r="R20" s="79">
        <f t="shared" si="2"/>
        <v>0</v>
      </c>
      <c r="S20" s="80" t="str">
        <f t="shared" si="3"/>
        <v>-</v>
      </c>
      <c r="T20" s="44" t="str">
        <f t="shared" si="4"/>
        <v>-</v>
      </c>
      <c r="U20" s="44" t="str">
        <f>IFERROR(VLOOKUP(B:B,'[1]5店'!$B:$T,19,0),"-")</f>
        <v>-</v>
      </c>
      <c r="V20" s="81" t="str">
        <f t="shared" si="5"/>
        <v>-</v>
      </c>
      <c r="W20" s="82" t="str">
        <f>_xlfn.IFS(AND(D20&lt;&gt;0,D20-$AM$2&gt;=0,B20&gt;0,D20&lt;&gt;0),"本月刚到货",AND(IFERROR((K20/(N20/7))/30,"-")="-",K20&gt;0),"有库存无销量",AND(IFERROR((K20/(N20/7))/30,"-")="-",K20=0),"无库存无销量",AND(IFERROR((K20/(N20/7))/30,"-")&lt;=0.5,K20=0),"无库存有销量",IFERROR((K20/(N20/7))/30,"-")&lt;=0.5,"库存过低",IFERROR((K20/(N20/7))/30,"-")&lt;=1.5,"正常",IFERROR((K20/(N20/7))/30,"-")&gt;1.5,"库存过高")</f>
        <v>有库存无销量</v>
      </c>
      <c r="X20" s="83" t="str">
        <f>_xlfn.IFS(AND(D20&lt;&gt;0,D20-$AM$2&gt;=0,K20&gt;0,D20&lt;&gt;0),"本月刚到货",AND(T20="-",K20&gt;0),"有库存无销量",AND(T20="-",K20=0),"无库存无销量",AND(T20&lt;=0.5,K20=0),"无库存有销量",T20&lt;=0.5,"库存过低",T20&lt;=1.5,"正常",T20&gt;1.5,"库存过高")</f>
        <v>有库存无销量</v>
      </c>
      <c r="Y20" s="44">
        <f>IFERROR(SUMIF('5店辅助表'!K:K,B:B,'5店辅助表'!N:N),0)</f>
        <v>0</v>
      </c>
      <c r="Z20" s="44">
        <f>IFERROR(SUMIF('5店辅助表'!T:T,B:B,'5店辅助表'!W:W),0)</f>
        <v>0</v>
      </c>
      <c r="AA20" s="44">
        <f>IFERROR(SUMIF('5店辅助表'!AC:AC,B:B,'5店辅助表'!AF:AF),0)</f>
        <v>0</v>
      </c>
      <c r="AB20" s="91" t="str">
        <f>IFERROR(SUMIF('5店辅助表'!K:K,B:B,'5店辅助表'!N:N)/SUMIF('5店辅助表'!K:K,B:B,'5店辅助表'!O:O),"-")</f>
        <v>-</v>
      </c>
      <c r="AC20" s="91" t="str">
        <f>IFERROR(VLOOKUP(B:B,'[1]5店'!$B:$AB,27,FALSE),"-")</f>
        <v>-</v>
      </c>
      <c r="AD20" s="92" t="str">
        <f t="shared" si="6"/>
        <v>-</v>
      </c>
      <c r="AE20" s="91" t="str">
        <f>IFERROR(SUMIF('5店辅助表'!T:T,B:B,'5店辅助表'!W:W)/SUMIF('5店辅助表'!T:T,B:B,'5店辅助表'!X:X),"-")</f>
        <v>-</v>
      </c>
      <c r="AF20" s="91" t="str">
        <f>IFERROR(SUMIF('5店辅助表'!AC:AC,B:B,'5店辅助表'!AF:AF)/SUMIF('5店辅助表'!AC:AC,B:B,'5店辅助表'!AG:AG),"-")</f>
        <v>-</v>
      </c>
      <c r="AG20" s="99">
        <f>IFERROR(AK20/((SUMIF('5店辅助表'!AT:AT,B:B,'5店辅助表'!AU:AU)+M20)/2),"-")</f>
        <v>0</v>
      </c>
      <c r="AH20" s="99">
        <f>IFERROR(AL20/((SUMIF('5店辅助表'!AW:AW,B:B,'5店辅助表'!AX:AX)+M20)/2),"-")</f>
        <v>0</v>
      </c>
      <c r="AI20" s="100" t="str">
        <f>IFERROR((SUMIF('5店辅助表'!AP:AP,B:B,'5店辅助表'!AR:AR)-SUMIF('5店辅助表'!AP:AP,B:B,'5店辅助表'!AR:AR)*0.15-(L20+IFERROR(VLOOKUP(B:B,'5店辅助表'!AZ:BA,2,0),0))*O20-IF(AN:AN="US",6.85,4.9)*(Z20+3.28*O20))/SUMIF('5店辅助表'!AP:AP,B:B,'5店辅助表'!AR:AR),"-")</f>
        <v>-</v>
      </c>
      <c r="AJ20" s="100" t="str">
        <f t="shared" si="7"/>
        <v>-</v>
      </c>
      <c r="AK20" s="101">
        <f t="shared" si="8"/>
        <v>0</v>
      </c>
      <c r="AL20" s="101">
        <f t="shared" si="9"/>
        <v>0</v>
      </c>
      <c r="AM20" s="1" t="str">
        <f>VLOOKUP(B:B,'5店辅助表'!AZ:AZ,1,FALSE)</f>
        <v>Y5033-BL</v>
      </c>
      <c r="AN20" t="str">
        <f>VLOOKUP(B:B,'5店辅助表'!AZ:BB,3,FALSE)</f>
        <v>US</v>
      </c>
    </row>
    <row r="21" customHeight="1" spans="1:40">
      <c r="A21" s="58" t="str">
        <f>INDEX('[1]5店'!$A:$A,MATCH(B:B,'[1]5店'!$B:$B,0))</f>
        <v>美珠</v>
      </c>
      <c r="B21" s="45" t="s">
        <v>1695</v>
      </c>
      <c r="C21" s="45" t="s">
        <v>1693</v>
      </c>
      <c r="D21" s="59"/>
      <c r="E21" s="45" t="s">
        <v>1696</v>
      </c>
      <c r="F21" s="45">
        <v>3</v>
      </c>
      <c r="G21" s="45">
        <v>0</v>
      </c>
      <c r="H21" s="45">
        <v>0</v>
      </c>
      <c r="I21" s="45">
        <v>5</v>
      </c>
      <c r="J21" s="45">
        <v>0</v>
      </c>
      <c r="K21" s="63">
        <f t="shared" si="1"/>
        <v>8</v>
      </c>
      <c r="L21" s="64">
        <f>IFERROR(VLOOKUP($B:$B,'[1]5店'!$B:$L,11,FALSE),0)</f>
        <v>8.5</v>
      </c>
      <c r="M21" s="44">
        <f t="shared" si="10"/>
        <v>68</v>
      </c>
      <c r="N21" s="65">
        <f>IFERROR(VLOOKUP(B:B,'5店辅助表'!B:C,2,FALSE),0)</f>
        <v>0</v>
      </c>
      <c r="O21" s="65">
        <f>IFERROR(VLOOKUP(B:B,'5店辅助表'!E:F,2,FALSE),0)</f>
        <v>0</v>
      </c>
      <c r="P21" s="65">
        <f>IFERROR(VLOOKUP(B:B,'5店辅助表'!H:I,2,FALSE),0)</f>
        <v>1</v>
      </c>
      <c r="Q21" s="65">
        <f>IFERROR(VLOOKUP(B:B,'[1]5店'!$B:$P,13,FALSE),0)</f>
        <v>0</v>
      </c>
      <c r="R21" s="79">
        <f t="shared" si="2"/>
        <v>0</v>
      </c>
      <c r="S21" s="80">
        <f t="shared" si="3"/>
        <v>720</v>
      </c>
      <c r="T21" s="44">
        <f t="shared" si="4"/>
        <v>24</v>
      </c>
      <c r="U21" s="44">
        <f>IFERROR(VLOOKUP(B:B,'[1]5店'!$B:$T,19,0),"-")</f>
        <v>24</v>
      </c>
      <c r="V21" s="81">
        <f t="shared" si="5"/>
        <v>0</v>
      </c>
      <c r="W21" s="82" t="str">
        <f>_xlfn.IFS(AND(D21&lt;&gt;0,D21-$AM$2&gt;=0,B21&gt;0,D21&lt;&gt;0),"本月刚到货",AND(IFERROR((K21/(N21/7))/30,"-")="-",K21&gt;0),"有库存无销量",AND(IFERROR((K21/(N21/7))/30,"-")="-",K21=0),"无库存无销量",AND(IFERROR((K21/(N21/7))/30,"-")&lt;=0.5,K21=0),"无库存有销量",IFERROR((K21/(N21/7))/30,"-")&lt;=0.5,"库存过低",IFERROR((K21/(N21/7))/30,"-")&lt;=1.5,"正常",IFERROR((K21/(N21/7))/30,"-")&gt;1.5,"库存过高")</f>
        <v>有库存无销量</v>
      </c>
      <c r="X21" s="83" t="str">
        <f>_xlfn.IFS(AND(D21&lt;&gt;0,D21-$AM$2&gt;=0,K21&gt;0,D21&lt;&gt;0),"本月刚到货",AND(T21="-",K21&gt;0),"有库存无销量",AND(T21="-",K21=0),"无库存无销量",AND(T21&lt;=0.5,K21=0),"无库存有销量",T21&lt;=0.5,"库存过低",T21&lt;=1.5,"正常",T21&gt;1.5,"库存过高")</f>
        <v>库存过高</v>
      </c>
      <c r="Y21" s="44">
        <f>IFERROR(SUMIF('5店辅助表'!K:K,B:B,'5店辅助表'!N:N),0)</f>
        <v>0.5</v>
      </c>
      <c r="Z21" s="44">
        <f>IFERROR(SUMIF('5店辅助表'!T:T,B:B,'5店辅助表'!W:W),0)</f>
        <v>5.61</v>
      </c>
      <c r="AA21" s="44">
        <f>IFERROR(SUMIF('5店辅助表'!AC:AC,B:B,'5店辅助表'!AF:AF),0)</f>
        <v>10.59</v>
      </c>
      <c r="AB21" s="91" t="str">
        <f>IFERROR(SUMIF('5店辅助表'!K:K,B:B,'5店辅助表'!N:N)/SUMIF('5店辅助表'!K:K,B:B,'5店辅助表'!O:O),"-")</f>
        <v>-</v>
      </c>
      <c r="AC21" s="91" t="str">
        <f>IFERROR(VLOOKUP(B:B,'[1]5店'!$B:$AB,27,FALSE),"-")</f>
        <v>-</v>
      </c>
      <c r="AD21" s="92" t="str">
        <f t="shared" si="6"/>
        <v>-</v>
      </c>
      <c r="AE21" s="91" t="str">
        <f>IFERROR(SUMIF('5店辅助表'!T:T,B:B,'5店辅助表'!W:W)/SUMIF('5店辅助表'!T:T,B:B,'5店辅助表'!X:X),"-")</f>
        <v>-</v>
      </c>
      <c r="AF21" s="91" t="str">
        <f>IFERROR(SUMIF('5店辅助表'!AC:AC,B:B,'5店辅助表'!AF:AF)/SUMIF('5店辅助表'!AC:AC,B:B,'5店辅助表'!AG:AG),"-")</f>
        <v>-</v>
      </c>
      <c r="AG21" s="99">
        <f>IFERROR(AK21/((SUMIF('5店辅助表'!AT:AT,B:B,'5店辅助表'!AU:AU)+M21)/2),"-")</f>
        <v>0</v>
      </c>
      <c r="AH21" s="99">
        <f>IFERROR(AL21/((SUMIF('5店辅助表'!AW:AW,B:B,'5店辅助表'!AX:AX)+M21)/2),"-")</f>
        <v>0</v>
      </c>
      <c r="AI21" s="100" t="str">
        <f>IFERROR((SUMIF('5店辅助表'!AP:AP,B:B,'5店辅助表'!AR:AR)-SUMIF('5店辅助表'!AP:AP,B:B,'5店辅助表'!AR:AR)*0.15-(L21+IFERROR(VLOOKUP(B:B,'5店辅助表'!AZ:BA,2,0),0))*O21-IF(AN:AN="US",6.85,4.9)*(Z21+3.28*O21))/SUMIF('5店辅助表'!AP:AP,B:B,'5店辅助表'!AR:AR),"-")</f>
        <v>-</v>
      </c>
      <c r="AJ21" s="100" t="str">
        <f t="shared" si="7"/>
        <v>-</v>
      </c>
      <c r="AK21" s="101">
        <f t="shared" si="8"/>
        <v>0</v>
      </c>
      <c r="AL21" s="101">
        <f t="shared" si="9"/>
        <v>0</v>
      </c>
      <c r="AM21" s="1" t="str">
        <f>VLOOKUP(B:B,'5店辅助表'!AZ:AZ,1,FALSE)</f>
        <v>Y5033-BU</v>
      </c>
      <c r="AN21" t="str">
        <f>VLOOKUP(B:B,'5店辅助表'!AZ:BB,3,FALSE)</f>
        <v>US</v>
      </c>
    </row>
    <row r="22" customHeight="1" spans="1:40">
      <c r="A22" s="58" t="str">
        <f>INDEX('[1]5店'!$A:$A,MATCH(B:B,'[1]5店'!$B:$B,0))</f>
        <v>美珠</v>
      </c>
      <c r="B22" s="45" t="s">
        <v>1697</v>
      </c>
      <c r="C22" s="45" t="s">
        <v>1698</v>
      </c>
      <c r="D22" s="59"/>
      <c r="E22" s="45" t="s">
        <v>1699</v>
      </c>
      <c r="F22" s="45">
        <v>2</v>
      </c>
      <c r="G22" s="45">
        <v>0</v>
      </c>
      <c r="H22" s="45">
        <v>0</v>
      </c>
      <c r="I22" s="45">
        <v>0</v>
      </c>
      <c r="J22" s="45">
        <v>0</v>
      </c>
      <c r="K22" s="63">
        <f t="shared" si="1"/>
        <v>2</v>
      </c>
      <c r="L22" s="64">
        <f>IFERROR(VLOOKUP($B:$B,'[1]5店'!$B:$L,11,FALSE),0)</f>
        <v>9.3</v>
      </c>
      <c r="M22" s="44">
        <f t="shared" si="10"/>
        <v>18.6</v>
      </c>
      <c r="N22" s="65">
        <f>IFERROR(VLOOKUP(B:B,'5店辅助表'!B:C,2,FALSE),0)</f>
        <v>0</v>
      </c>
      <c r="O22" s="65">
        <f>IFERROR(VLOOKUP(B:B,'5店辅助表'!E:F,2,FALSE),0)</f>
        <v>0</v>
      </c>
      <c r="P22" s="65">
        <f>IFERROR(VLOOKUP(B:B,'5店辅助表'!H:I,2,FALSE),0)</f>
        <v>1</v>
      </c>
      <c r="Q22" s="65">
        <f>IFERROR(VLOOKUP(B:B,'[1]5店'!$B:$P,13,FALSE),0)</f>
        <v>0</v>
      </c>
      <c r="R22" s="79">
        <f t="shared" si="2"/>
        <v>0</v>
      </c>
      <c r="S22" s="80">
        <f t="shared" si="3"/>
        <v>180</v>
      </c>
      <c r="T22" s="44">
        <f t="shared" si="4"/>
        <v>6</v>
      </c>
      <c r="U22" s="44">
        <f>IFERROR(VLOOKUP(B:B,'[1]5店'!$B:$T,19,0),"-")</f>
        <v>3</v>
      </c>
      <c r="V22" s="81">
        <f t="shared" si="5"/>
        <v>3</v>
      </c>
      <c r="W22" s="82" t="str">
        <f>_xlfn.IFS(AND(D22&lt;&gt;0,D22-$AM$2&gt;=0,B22&gt;0,D22&lt;&gt;0),"本月刚到货",AND(IFERROR((K22/(N22/7))/30,"-")="-",K22&gt;0),"有库存无销量",AND(IFERROR((K22/(N22/7))/30,"-")="-",K22=0),"无库存无销量",AND(IFERROR((K22/(N22/7))/30,"-")&lt;=0.5,K22=0),"无库存有销量",IFERROR((K22/(N22/7))/30,"-")&lt;=0.5,"库存过低",IFERROR((K22/(N22/7))/30,"-")&lt;=1.5,"正常",IFERROR((K22/(N22/7))/30,"-")&gt;1.5,"库存过高")</f>
        <v>有库存无销量</v>
      </c>
      <c r="X22" s="83" t="str">
        <f>_xlfn.IFS(AND(D22&lt;&gt;0,D22-$AM$2&gt;=0,K22&gt;0,D22&lt;&gt;0),"本月刚到货",AND(T22="-",K22&gt;0),"有库存无销量",AND(T22="-",K22=0),"无库存无销量",AND(T22&lt;=0.5,K22=0),"无库存有销量",T22&lt;=0.5,"库存过低",T22&lt;=1.5,"正常",T22&gt;1.5,"库存过高")</f>
        <v>库存过高</v>
      </c>
      <c r="Y22" s="44">
        <f>IFERROR(SUMIF('5店辅助表'!K:K,B:B,'5店辅助表'!N:N),0)</f>
        <v>0</v>
      </c>
      <c r="Z22" s="44">
        <f>IFERROR(SUMIF('5店辅助表'!T:T,B:B,'5店辅助表'!W:W),0)</f>
        <v>0</v>
      </c>
      <c r="AA22" s="44">
        <f>IFERROR(SUMIF('5店辅助表'!AC:AC,B:B,'5店辅助表'!AF:AF),0)</f>
        <v>0</v>
      </c>
      <c r="AB22" s="91" t="str">
        <f>IFERROR(SUMIF('5店辅助表'!K:K,B:B,'5店辅助表'!N:N)/SUMIF('5店辅助表'!K:K,B:B,'5店辅助表'!O:O),"-")</f>
        <v>-</v>
      </c>
      <c r="AC22" s="91" t="str">
        <f>IFERROR(VLOOKUP(B:B,'[1]5店'!$B:$AB,27,FALSE),"-")</f>
        <v>-</v>
      </c>
      <c r="AD22" s="92" t="str">
        <f t="shared" si="6"/>
        <v>-</v>
      </c>
      <c r="AE22" s="91" t="str">
        <f>IFERROR(SUMIF('5店辅助表'!T:T,B:B,'5店辅助表'!W:W)/SUMIF('5店辅助表'!T:T,B:B,'5店辅助表'!X:X),"-")</f>
        <v>-</v>
      </c>
      <c r="AF22" s="91" t="str">
        <f>IFERROR(SUMIF('5店辅助表'!AC:AC,B:B,'5店辅助表'!AF:AF)/SUMIF('5店辅助表'!AC:AC,B:B,'5店辅助表'!AG:AG),"-")</f>
        <v>-</v>
      </c>
      <c r="AG22" s="99">
        <f>IFERROR(AK22/((SUMIF('5店辅助表'!AT:AT,B:B,'5店辅助表'!AU:AU)+M22)/2),"-")</f>
        <v>0</v>
      </c>
      <c r="AH22" s="99">
        <f>IFERROR(AL22/((SUMIF('5店辅助表'!AW:AW,B:B,'5店辅助表'!AX:AX)+M22)/2),"-")</f>
        <v>0</v>
      </c>
      <c r="AI22" s="100" t="str">
        <f>IFERROR((SUMIF('5店辅助表'!AP:AP,B:B,'5店辅助表'!AR:AR)-SUMIF('5店辅助表'!AP:AP,B:B,'5店辅助表'!AR:AR)*0.15-(L22+IFERROR(VLOOKUP(B:B,'5店辅助表'!AZ:BA,2,0),0))*O22-IF(AN:AN="US",6.85,4.9)*(Z22+3.28*O22))/SUMIF('5店辅助表'!AP:AP,B:B,'5店辅助表'!AR:AR),"-")</f>
        <v>-</v>
      </c>
      <c r="AJ22" s="100" t="str">
        <f t="shared" si="7"/>
        <v>-</v>
      </c>
      <c r="AK22" s="101">
        <f t="shared" si="8"/>
        <v>0</v>
      </c>
      <c r="AL22" s="101">
        <f t="shared" si="9"/>
        <v>0</v>
      </c>
      <c r="AM22" s="1" t="str">
        <f>VLOOKUP(B:B,'5店辅助表'!AZ:AZ,1,FALSE)</f>
        <v>Y5043-GR</v>
      </c>
      <c r="AN22" t="str">
        <f>VLOOKUP(B:B,'5店辅助表'!AZ:BB,3,FALSE)</f>
        <v>US</v>
      </c>
    </row>
    <row r="23" customHeight="1" spans="1:40">
      <c r="A23" s="58" t="str">
        <f>INDEX('[1]5店'!$A:$A,MATCH(B:B,'[1]5店'!$B:$B,0))</f>
        <v>美珠</v>
      </c>
      <c r="B23" s="45" t="s">
        <v>1700</v>
      </c>
      <c r="C23" s="45" t="s">
        <v>1698</v>
      </c>
      <c r="D23" s="59"/>
      <c r="E23" s="45" t="s">
        <v>1701</v>
      </c>
      <c r="F23" s="45">
        <v>0</v>
      </c>
      <c r="G23" s="45">
        <v>1</v>
      </c>
      <c r="H23" s="45">
        <v>0</v>
      </c>
      <c r="I23" s="45">
        <v>0</v>
      </c>
      <c r="J23" s="45">
        <v>0</v>
      </c>
      <c r="K23" s="63">
        <f t="shared" si="1"/>
        <v>1</v>
      </c>
      <c r="L23" s="64">
        <f>IFERROR(VLOOKUP($B:$B,'[1]5店'!$B:$L,11,FALSE),0)</f>
        <v>9.3</v>
      </c>
      <c r="M23" s="44">
        <f t="shared" si="10"/>
        <v>9.3</v>
      </c>
      <c r="N23" s="65">
        <f>IFERROR(VLOOKUP(B:B,'5店辅助表'!B:C,2,FALSE),0)</f>
        <v>0</v>
      </c>
      <c r="O23" s="65">
        <f>IFERROR(VLOOKUP(B:B,'5店辅助表'!E:F,2,FALSE),0)</f>
        <v>0</v>
      </c>
      <c r="P23" s="65">
        <f>IFERROR(VLOOKUP(B:B,'5店辅助表'!H:I,2,FALSE),0)</f>
        <v>1</v>
      </c>
      <c r="Q23" s="65">
        <f>IFERROR(VLOOKUP(B:B,'[1]5店'!$B:$P,13,FALSE),0)</f>
        <v>0</v>
      </c>
      <c r="R23" s="79">
        <f t="shared" si="2"/>
        <v>0</v>
      </c>
      <c r="S23" s="80">
        <f t="shared" si="3"/>
        <v>90</v>
      </c>
      <c r="T23" s="44">
        <f t="shared" si="4"/>
        <v>3</v>
      </c>
      <c r="U23" s="44">
        <f>IFERROR(VLOOKUP(B:B,'[1]5店'!$B:$T,19,0),"-")</f>
        <v>3</v>
      </c>
      <c r="V23" s="81">
        <f t="shared" si="5"/>
        <v>0</v>
      </c>
      <c r="W23" s="82" t="str">
        <f>_xlfn.IFS(AND(D23&lt;&gt;0,D23-$AM$2&gt;=0,B23&gt;0,D23&lt;&gt;0),"本月刚到货",AND(IFERROR((K23/(N23/7))/30,"-")="-",K23&gt;0),"有库存无销量",AND(IFERROR((K23/(N23/7))/30,"-")="-",K23=0),"无库存无销量",AND(IFERROR((K23/(N23/7))/30,"-")&lt;=0.5,K23=0),"无库存有销量",IFERROR((K23/(N23/7))/30,"-")&lt;=0.5,"库存过低",IFERROR((K23/(N23/7))/30,"-")&lt;=1.5,"正常",IFERROR((K23/(N23/7))/30,"-")&gt;1.5,"库存过高")</f>
        <v>有库存无销量</v>
      </c>
      <c r="X23" s="83" t="str">
        <f>_xlfn.IFS(AND(D23&lt;&gt;0,D23-$AM$2&gt;=0,K23&gt;0,D23&lt;&gt;0),"本月刚到货",AND(T23="-",K23&gt;0),"有库存无销量",AND(T23="-",K23=0),"无库存无销量",AND(T23&lt;=0.5,K23=0),"无库存有销量",T23&lt;=0.5,"库存过低",T23&lt;=1.5,"正常",T23&gt;1.5,"库存过高")</f>
        <v>库存过高</v>
      </c>
      <c r="Y23" s="44">
        <f>IFERROR(SUMIF('5店辅助表'!K:K,B:B,'5店辅助表'!N:N),0)</f>
        <v>0</v>
      </c>
      <c r="Z23" s="44">
        <f>IFERROR(SUMIF('5店辅助表'!T:T,B:B,'5店辅助表'!W:W),0)</f>
        <v>0</v>
      </c>
      <c r="AA23" s="44">
        <f>IFERROR(SUMIF('5店辅助表'!AC:AC,B:B,'5店辅助表'!AF:AF),0)</f>
        <v>0</v>
      </c>
      <c r="AB23" s="91" t="str">
        <f>IFERROR(SUMIF('5店辅助表'!K:K,B:B,'5店辅助表'!N:N)/SUMIF('5店辅助表'!K:K,B:B,'5店辅助表'!O:O),"-")</f>
        <v>-</v>
      </c>
      <c r="AC23" s="91" t="str">
        <f>IFERROR(VLOOKUP(B:B,'[1]5店'!$B:$AB,27,FALSE),"-")</f>
        <v>-</v>
      </c>
      <c r="AD23" s="92" t="str">
        <f t="shared" si="6"/>
        <v>-</v>
      </c>
      <c r="AE23" s="91" t="str">
        <f>IFERROR(SUMIF('5店辅助表'!T:T,B:B,'5店辅助表'!W:W)/SUMIF('5店辅助表'!T:T,B:B,'5店辅助表'!X:X),"-")</f>
        <v>-</v>
      </c>
      <c r="AF23" s="91" t="str">
        <f>IFERROR(SUMIF('5店辅助表'!AC:AC,B:B,'5店辅助表'!AF:AF)/SUMIF('5店辅助表'!AC:AC,B:B,'5店辅助表'!AG:AG),"-")</f>
        <v>-</v>
      </c>
      <c r="AG23" s="99">
        <f>IFERROR(AK23/((SUMIF('5店辅助表'!AT:AT,B:B,'5店辅助表'!AU:AU)+M23)/2),"-")</f>
        <v>0</v>
      </c>
      <c r="AH23" s="99">
        <f>IFERROR(AL23/((SUMIF('5店辅助表'!AW:AW,B:B,'5店辅助表'!AX:AX)+M23)/2),"-")</f>
        <v>0</v>
      </c>
      <c r="AI23" s="100" t="str">
        <f>IFERROR((SUMIF('5店辅助表'!AP:AP,B:B,'5店辅助表'!AR:AR)-SUMIF('5店辅助表'!AP:AP,B:B,'5店辅助表'!AR:AR)*0.15-(L23+IFERROR(VLOOKUP(B:B,'5店辅助表'!AZ:BA,2,0),0))*O23-IF(AN:AN="US",6.85,4.9)*(Z23+3.28*O23))/SUMIF('5店辅助表'!AP:AP,B:B,'5店辅助表'!AR:AR),"-")</f>
        <v>-</v>
      </c>
      <c r="AJ23" s="100" t="str">
        <f t="shared" si="7"/>
        <v>-</v>
      </c>
      <c r="AK23" s="101">
        <f t="shared" si="8"/>
        <v>0</v>
      </c>
      <c r="AL23" s="101">
        <f t="shared" si="9"/>
        <v>0</v>
      </c>
      <c r="AM23" s="1" t="str">
        <f>VLOOKUP(B:B,'5店辅助表'!AZ:AZ,1,FALSE)</f>
        <v>Y5043-PI</v>
      </c>
      <c r="AN23" t="str">
        <f>VLOOKUP(B:B,'5店辅助表'!AZ:BB,3,FALSE)</f>
        <v>US</v>
      </c>
    </row>
    <row r="24" customHeight="1" spans="1:40">
      <c r="A24" s="58" t="str">
        <f>INDEX('[1]5店'!$A:$A,MATCH(B:B,'[1]5店'!$B:$B,0))</f>
        <v>美珠</v>
      </c>
      <c r="B24" s="45" t="s">
        <v>1702</v>
      </c>
      <c r="C24" s="45" t="s">
        <v>1698</v>
      </c>
      <c r="D24" s="59"/>
      <c r="E24" s="45" t="s">
        <v>1703</v>
      </c>
      <c r="F24" s="45">
        <v>1</v>
      </c>
      <c r="G24" s="45">
        <v>0</v>
      </c>
      <c r="H24" s="45">
        <v>0</v>
      </c>
      <c r="I24" s="45">
        <v>0</v>
      </c>
      <c r="J24" s="45">
        <v>0</v>
      </c>
      <c r="K24" s="63">
        <f t="shared" si="1"/>
        <v>1</v>
      </c>
      <c r="L24" s="64">
        <f>IFERROR(VLOOKUP($B:$B,'[1]5店'!$B:$L,11,FALSE),0)</f>
        <v>9.3</v>
      </c>
      <c r="M24" s="44">
        <f t="shared" si="10"/>
        <v>9.3</v>
      </c>
      <c r="N24" s="65">
        <f>IFERROR(VLOOKUP(B:B,'5店辅助表'!B:C,2,FALSE),0)</f>
        <v>0</v>
      </c>
      <c r="O24" s="65">
        <f>IFERROR(VLOOKUP(B:B,'5店辅助表'!E:F,2,FALSE),0)</f>
        <v>0</v>
      </c>
      <c r="P24" s="65">
        <f>IFERROR(VLOOKUP(B:B,'5店辅助表'!H:I,2,FALSE),0)</f>
        <v>0</v>
      </c>
      <c r="Q24" s="65">
        <f>IFERROR(VLOOKUP(B:B,'[1]5店'!$B:$P,13,FALSE),0)</f>
        <v>0</v>
      </c>
      <c r="R24" s="79">
        <f t="shared" si="2"/>
        <v>0</v>
      </c>
      <c r="S24" s="80" t="str">
        <f t="shared" si="3"/>
        <v>-</v>
      </c>
      <c r="T24" s="44" t="str">
        <f t="shared" si="4"/>
        <v>-</v>
      </c>
      <c r="U24" s="44" t="str">
        <f>IFERROR(VLOOKUP(B:B,'[1]5店'!$B:$T,19,0),"-")</f>
        <v>-</v>
      </c>
      <c r="V24" s="81" t="str">
        <f t="shared" si="5"/>
        <v>-</v>
      </c>
      <c r="W24" s="82" t="str">
        <f>_xlfn.IFS(AND(D24&lt;&gt;0,D24-$AM$2&gt;=0,B24&gt;0,D24&lt;&gt;0),"本月刚到货",AND(IFERROR((K24/(N24/7))/30,"-")="-",K24&gt;0),"有库存无销量",AND(IFERROR((K24/(N24/7))/30,"-")="-",K24=0),"无库存无销量",AND(IFERROR((K24/(N24/7))/30,"-")&lt;=0.5,K24=0),"无库存有销量",IFERROR((K24/(N24/7))/30,"-")&lt;=0.5,"库存过低",IFERROR((K24/(N24/7))/30,"-")&lt;=1.5,"正常",IFERROR((K24/(N24/7))/30,"-")&gt;1.5,"库存过高")</f>
        <v>有库存无销量</v>
      </c>
      <c r="X24" s="83" t="str">
        <f>_xlfn.IFS(AND(D24&lt;&gt;0,D24-$AM$2&gt;=0,K24&gt;0,D24&lt;&gt;0),"本月刚到货",AND(T24="-",K24&gt;0),"有库存无销量",AND(T24="-",K24=0),"无库存无销量",AND(T24&lt;=0.5,K24=0),"无库存有销量",T24&lt;=0.5,"库存过低",T24&lt;=1.5,"正常",T24&gt;1.5,"库存过高")</f>
        <v>有库存无销量</v>
      </c>
      <c r="Y24" s="44">
        <f>IFERROR(SUMIF('5店辅助表'!K:K,B:B,'5店辅助表'!N:N),0)</f>
        <v>0</v>
      </c>
      <c r="Z24" s="44">
        <f>IFERROR(SUMIF('5店辅助表'!T:T,B:B,'5店辅助表'!W:W),0)</f>
        <v>0</v>
      </c>
      <c r="AA24" s="44">
        <f>IFERROR(SUMIF('5店辅助表'!AC:AC,B:B,'5店辅助表'!AF:AF),0)</f>
        <v>0</v>
      </c>
      <c r="AB24" s="91" t="str">
        <f>IFERROR(SUMIF('5店辅助表'!K:K,B:B,'5店辅助表'!N:N)/SUMIF('5店辅助表'!K:K,B:B,'5店辅助表'!O:O),"-")</f>
        <v>-</v>
      </c>
      <c r="AC24" s="91" t="str">
        <f>IFERROR(VLOOKUP(B:B,'[1]5店'!$B:$AB,27,FALSE),"-")</f>
        <v>-</v>
      </c>
      <c r="AD24" s="92" t="str">
        <f t="shared" si="6"/>
        <v>-</v>
      </c>
      <c r="AE24" s="91" t="str">
        <f>IFERROR(SUMIF('5店辅助表'!T:T,B:B,'5店辅助表'!W:W)/SUMIF('5店辅助表'!T:T,B:B,'5店辅助表'!X:X),"-")</f>
        <v>-</v>
      </c>
      <c r="AF24" s="91" t="str">
        <f>IFERROR(SUMIF('5店辅助表'!AC:AC,B:B,'5店辅助表'!AF:AF)/SUMIF('5店辅助表'!AC:AC,B:B,'5店辅助表'!AG:AG),"-")</f>
        <v>-</v>
      </c>
      <c r="AG24" s="99">
        <f>IFERROR(AK24/((SUMIF('5店辅助表'!AT:AT,B:B,'5店辅助表'!AU:AU)+M24)/2),"-")</f>
        <v>0</v>
      </c>
      <c r="AH24" s="99">
        <f>IFERROR(AL24/((SUMIF('5店辅助表'!AW:AW,B:B,'5店辅助表'!AX:AX)+M24)/2),"-")</f>
        <v>0</v>
      </c>
      <c r="AI24" s="100" t="str">
        <f>IFERROR((SUMIF('5店辅助表'!AP:AP,B:B,'5店辅助表'!AR:AR)-SUMIF('5店辅助表'!AP:AP,B:B,'5店辅助表'!AR:AR)*0.15-(L24+IFERROR(VLOOKUP(B:B,'5店辅助表'!AZ:BA,2,0),0))*O24-IF(AN:AN="US",6.85,4.9)*(Z24+3.28*O24))/SUMIF('5店辅助表'!AP:AP,B:B,'5店辅助表'!AR:AR),"-")</f>
        <v>-</v>
      </c>
      <c r="AJ24" s="100" t="str">
        <f t="shared" si="7"/>
        <v>-</v>
      </c>
      <c r="AK24" s="101">
        <f t="shared" si="8"/>
        <v>0</v>
      </c>
      <c r="AL24" s="101">
        <f t="shared" si="9"/>
        <v>0</v>
      </c>
      <c r="AM24" s="1" t="str">
        <f>VLOOKUP(B:B,'5店辅助表'!AZ:AZ,1,FALSE)</f>
        <v>Y5043-PU</v>
      </c>
      <c r="AN24" t="str">
        <f>VLOOKUP(B:B,'5店辅助表'!AZ:BB,3,FALSE)</f>
        <v>US</v>
      </c>
    </row>
    <row r="25" customHeight="1" spans="1:40">
      <c r="A25" s="58" t="str">
        <f>INDEX('[1]5店'!$A:$A,MATCH(B:B,'[1]5店'!$B:$B,0))</f>
        <v>美珠</v>
      </c>
      <c r="B25" s="45" t="s">
        <v>1704</v>
      </c>
      <c r="C25" s="45" t="s">
        <v>1705</v>
      </c>
      <c r="D25" s="59"/>
      <c r="E25" s="45" t="s">
        <v>1706</v>
      </c>
      <c r="F25" s="45">
        <v>2</v>
      </c>
      <c r="G25" s="45">
        <v>0</v>
      </c>
      <c r="H25" s="45">
        <v>0</v>
      </c>
      <c r="I25" s="45">
        <v>0</v>
      </c>
      <c r="J25" s="45">
        <v>0</v>
      </c>
      <c r="K25" s="63">
        <f t="shared" si="1"/>
        <v>2</v>
      </c>
      <c r="L25" s="64">
        <f>IFERROR(VLOOKUP($B:$B,'[1]5店'!$B:$L,11,FALSE),0)</f>
        <v>9.3</v>
      </c>
      <c r="M25" s="44">
        <f t="shared" si="10"/>
        <v>18.6</v>
      </c>
      <c r="N25" s="65">
        <f>IFERROR(VLOOKUP(B:B,'5店辅助表'!B:C,2,FALSE),0)</f>
        <v>0</v>
      </c>
      <c r="O25" s="65">
        <f>IFERROR(VLOOKUP(B:B,'5店辅助表'!E:F,2,FALSE),0)</f>
        <v>0</v>
      </c>
      <c r="P25" s="65">
        <f>IFERROR(VLOOKUP(B:B,'5店辅助表'!H:I,2,FALSE),0)</f>
        <v>0</v>
      </c>
      <c r="Q25" s="65">
        <f>IFERROR(VLOOKUP(B:B,'[1]5店'!$B:$P,13,FALSE),0)</f>
        <v>0</v>
      </c>
      <c r="R25" s="79">
        <f t="shared" si="2"/>
        <v>0</v>
      </c>
      <c r="S25" s="80" t="str">
        <f t="shared" si="3"/>
        <v>-</v>
      </c>
      <c r="T25" s="44" t="str">
        <f t="shared" si="4"/>
        <v>-</v>
      </c>
      <c r="U25" s="44" t="str">
        <f>IFERROR(VLOOKUP(B:B,'[1]5店'!$B:$T,19,0),"-")</f>
        <v>-</v>
      </c>
      <c r="V25" s="81" t="str">
        <f t="shared" si="5"/>
        <v>-</v>
      </c>
      <c r="W25" s="82" t="str">
        <f>_xlfn.IFS(AND(D25&lt;&gt;0,D25-$AM$2&gt;=0,B25&gt;0,D25&lt;&gt;0),"本月刚到货",AND(IFERROR((K25/(N25/7))/30,"-")="-",K25&gt;0),"有库存无销量",AND(IFERROR((K25/(N25/7))/30,"-")="-",K25=0),"无库存无销量",AND(IFERROR((K25/(N25/7))/30,"-")&lt;=0.5,K25=0),"无库存有销量",IFERROR((K25/(N25/7))/30,"-")&lt;=0.5,"库存过低",IFERROR((K25/(N25/7))/30,"-")&lt;=1.5,"正常",IFERROR((K25/(N25/7))/30,"-")&gt;1.5,"库存过高")</f>
        <v>有库存无销量</v>
      </c>
      <c r="X25" s="83" t="str">
        <f>_xlfn.IFS(AND(D25&lt;&gt;0,D25-$AM$2&gt;=0,K25&gt;0,D25&lt;&gt;0),"本月刚到货",AND(T25="-",K25&gt;0),"有库存无销量",AND(T25="-",K25=0),"无库存无销量",AND(T25&lt;=0.5,K25=0),"无库存有销量",T25&lt;=0.5,"库存过低",T25&lt;=1.5,"正常",T25&gt;1.5,"库存过高")</f>
        <v>有库存无销量</v>
      </c>
      <c r="Y25" s="44">
        <f>IFERROR(SUMIF('5店辅助表'!K:K,B:B,'5店辅助表'!N:N),0)</f>
        <v>0</v>
      </c>
      <c r="Z25" s="44">
        <f>IFERROR(SUMIF('5店辅助表'!T:T,B:B,'5店辅助表'!W:W),0)</f>
        <v>0</v>
      </c>
      <c r="AA25" s="44">
        <f>IFERROR(SUMIF('5店辅助表'!AC:AC,B:B,'5店辅助表'!AF:AF),0)</f>
        <v>0</v>
      </c>
      <c r="AB25" s="91" t="str">
        <f>IFERROR(SUMIF('5店辅助表'!K:K,B:B,'5店辅助表'!N:N)/SUMIF('5店辅助表'!K:K,B:B,'5店辅助表'!O:O),"-")</f>
        <v>-</v>
      </c>
      <c r="AC25" s="91" t="str">
        <f>IFERROR(VLOOKUP(B:B,'[1]5店'!$B:$AB,27,FALSE),"-")</f>
        <v>-</v>
      </c>
      <c r="AD25" s="92" t="str">
        <f t="shared" si="6"/>
        <v>-</v>
      </c>
      <c r="AE25" s="91" t="str">
        <f>IFERROR(SUMIF('5店辅助表'!T:T,B:B,'5店辅助表'!W:W)/SUMIF('5店辅助表'!T:T,B:B,'5店辅助表'!X:X),"-")</f>
        <v>-</v>
      </c>
      <c r="AF25" s="91" t="str">
        <f>IFERROR(SUMIF('5店辅助表'!AC:AC,B:B,'5店辅助表'!AF:AF)/SUMIF('5店辅助表'!AC:AC,B:B,'5店辅助表'!AG:AG),"-")</f>
        <v>-</v>
      </c>
      <c r="AG25" s="99">
        <f>IFERROR(AK25/((SUMIF('5店辅助表'!AT:AT,B:B,'5店辅助表'!AU:AU)+M25)/2),"-")</f>
        <v>0</v>
      </c>
      <c r="AH25" s="99">
        <f>IFERROR(AL25/((SUMIF('5店辅助表'!AW:AW,B:B,'5店辅助表'!AX:AX)+M25)/2),"-")</f>
        <v>0</v>
      </c>
      <c r="AI25" s="100" t="str">
        <f>IFERROR((SUMIF('5店辅助表'!AP:AP,B:B,'5店辅助表'!AR:AR)-SUMIF('5店辅助表'!AP:AP,B:B,'5店辅助表'!AR:AR)*0.15-(L25+IFERROR(VLOOKUP(B:B,'5店辅助表'!AZ:BA,2,0),0))*O25-IF(AN:AN="US",6.85,4.9)*(Z25+3.28*O25))/SUMIF('5店辅助表'!AP:AP,B:B,'5店辅助表'!AR:AR),"-")</f>
        <v>-</v>
      </c>
      <c r="AJ25" s="100" t="str">
        <f t="shared" si="7"/>
        <v>-</v>
      </c>
      <c r="AK25" s="101">
        <f t="shared" si="8"/>
        <v>0</v>
      </c>
      <c r="AL25" s="101">
        <f t="shared" si="9"/>
        <v>0</v>
      </c>
      <c r="AM25" s="1" t="str">
        <f>VLOOKUP(B:B,'5店辅助表'!AZ:AZ,1,FALSE)</f>
        <v>Y5044-PI</v>
      </c>
      <c r="AN25" t="str">
        <f>VLOOKUP(B:B,'5店辅助表'!AZ:BB,3,FALSE)</f>
        <v>US</v>
      </c>
    </row>
    <row r="26" customHeight="1" spans="1:40">
      <c r="A26" s="58" t="s">
        <v>1431</v>
      </c>
      <c r="B26" s="45" t="s">
        <v>1707</v>
      </c>
      <c r="C26" s="45" t="s">
        <v>1705</v>
      </c>
      <c r="D26" s="59"/>
      <c r="E26" s="45" t="s">
        <v>1708</v>
      </c>
      <c r="F26" s="45">
        <v>1</v>
      </c>
      <c r="G26" s="45">
        <v>0</v>
      </c>
      <c r="H26" s="45">
        <v>0</v>
      </c>
      <c r="I26" s="45">
        <v>0</v>
      </c>
      <c r="J26" s="45">
        <v>0</v>
      </c>
      <c r="K26" s="63">
        <f t="shared" si="1"/>
        <v>1</v>
      </c>
      <c r="L26" s="64">
        <v>9.3</v>
      </c>
      <c r="M26" s="44">
        <f t="shared" si="10"/>
        <v>9.3</v>
      </c>
      <c r="N26" s="65">
        <f>IFERROR(VLOOKUP(B:B,'5店辅助表'!B:C,2,FALSE),0)</f>
        <v>0</v>
      </c>
      <c r="O26" s="65">
        <f>IFERROR(VLOOKUP(B:B,'5店辅助表'!E:F,2,FALSE),0)</f>
        <v>0</v>
      </c>
      <c r="P26" s="65">
        <f>IFERROR(VLOOKUP(B:B,'5店辅助表'!H:I,2,FALSE),0)</f>
        <v>1</v>
      </c>
      <c r="Q26" s="65">
        <f>IFERROR(VLOOKUP(B:B,'[1]5店'!$B:$P,13,FALSE),0)</f>
        <v>0</v>
      </c>
      <c r="R26" s="79">
        <f t="shared" si="2"/>
        <v>0</v>
      </c>
      <c r="S26" s="80">
        <f t="shared" si="3"/>
        <v>90</v>
      </c>
      <c r="T26" s="44">
        <f t="shared" si="4"/>
        <v>3</v>
      </c>
      <c r="U26" s="44" t="str">
        <f>IFERROR(VLOOKUP(B:B,'[1]5店'!$B:$T,19,0),"-")</f>
        <v>-</v>
      </c>
      <c r="V26" s="81" t="str">
        <f t="shared" si="5"/>
        <v>-</v>
      </c>
      <c r="W26" s="82" t="str">
        <f>_xlfn.IFS(AND(D26&lt;&gt;0,D26-$AM$2&gt;=0,B26&gt;0,D26&lt;&gt;0),"本月刚到货",AND(IFERROR((K26/(N26/7))/30,"-")="-",K26&gt;0),"有库存无销量",AND(IFERROR((K26/(N26/7))/30,"-")="-",K26=0),"无库存无销量",AND(IFERROR((K26/(N26/7))/30,"-")&lt;=0.5,K26=0),"无库存有销量",IFERROR((K26/(N26/7))/30,"-")&lt;=0.5,"库存过低",IFERROR((K26/(N26/7))/30,"-")&lt;=1.5,"正常",IFERROR((K26/(N26/7))/30,"-")&gt;1.5,"库存过高")</f>
        <v>有库存无销量</v>
      </c>
      <c r="X26" s="83" t="str">
        <f>_xlfn.IFS(AND(D26&lt;&gt;0,D26-$AM$2&gt;=0,K26&gt;0,D26&lt;&gt;0),"本月刚到货",AND(T26="-",K26&gt;0),"有库存无销量",AND(T26="-",K26=0),"无库存无销量",AND(T26&lt;=0.5,K26=0),"无库存有销量",T26&lt;=0.5,"库存过低",T26&lt;=1.5,"正常",T26&gt;1.5,"库存过高")</f>
        <v>库存过高</v>
      </c>
      <c r="Y26" s="44">
        <f>IFERROR(SUMIF('5店辅助表'!K:K,B:B,'5店辅助表'!N:N),0)</f>
        <v>0.2</v>
      </c>
      <c r="Z26" s="44">
        <f>IFERROR(SUMIF('5店辅助表'!T:T,B:B,'5店辅助表'!W:W),0)</f>
        <v>0.2</v>
      </c>
      <c r="AA26" s="44">
        <f>IFERROR(SUMIF('5店辅助表'!AC:AC,B:B,'5店辅助表'!AF:AF),0)</f>
        <v>0.8</v>
      </c>
      <c r="AB26" s="91" t="str">
        <f>IFERROR(SUMIF('5店辅助表'!K:K,B:B,'5店辅助表'!N:N)/SUMIF('5店辅助表'!K:K,B:B,'5店辅助表'!O:O),"-")</f>
        <v>-</v>
      </c>
      <c r="AC26" s="91" t="str">
        <f>IFERROR(VLOOKUP(B:B,'[1]5店'!$B:$AB,27,FALSE),"-")</f>
        <v>-</v>
      </c>
      <c r="AD26" s="92" t="str">
        <f t="shared" si="6"/>
        <v>-</v>
      </c>
      <c r="AE26" s="91" t="str">
        <f>IFERROR(SUMIF('5店辅助表'!T:T,B:B,'5店辅助表'!W:W)/SUMIF('5店辅助表'!T:T,B:B,'5店辅助表'!X:X),"-")</f>
        <v>-</v>
      </c>
      <c r="AF26" s="91" t="str">
        <f>IFERROR(SUMIF('5店辅助表'!AC:AC,B:B,'5店辅助表'!AF:AF)/SUMIF('5店辅助表'!AC:AC,B:B,'5店辅助表'!AG:AG),"-")</f>
        <v>-</v>
      </c>
      <c r="AG26" s="99">
        <f>IFERROR(AK26/((SUMIF('5店辅助表'!AT:AT,B:B,'5店辅助表'!AU:AU)+M26)/2),"-")</f>
        <v>0</v>
      </c>
      <c r="AH26" s="99">
        <f>IFERROR(AL26/((SUMIF('5店辅助表'!AW:AW,B:B,'5店辅助表'!AX:AX)+M26)/2),"-")</f>
        <v>0</v>
      </c>
      <c r="AI26" s="100" t="str">
        <f>IFERROR((SUMIF('5店辅助表'!AP:AP,B:B,'5店辅助表'!AR:AR)-SUMIF('5店辅助表'!AP:AP,B:B,'5店辅助表'!AR:AR)*0.15-(L26+IFERROR(VLOOKUP(B:B,'5店辅助表'!AZ:BA,2,0),0))*O26-IF(AN:AN="US",6.85,4.9)*(Z26+3.28*O26))/SUMIF('5店辅助表'!AP:AP,B:B,'5店辅助表'!AR:AR),"-")</f>
        <v>-</v>
      </c>
      <c r="AJ26" s="100" t="str">
        <f t="shared" si="7"/>
        <v>-</v>
      </c>
      <c r="AK26" s="101">
        <f t="shared" si="8"/>
        <v>0</v>
      </c>
      <c r="AL26" s="101">
        <f t="shared" si="9"/>
        <v>0</v>
      </c>
      <c r="AM26" s="1" t="str">
        <f>VLOOKUP(B:B,'5店辅助表'!AZ:AZ,1,FALSE)</f>
        <v>Y5044-PU</v>
      </c>
      <c r="AN26" t="str">
        <f>VLOOKUP(B:B,'5店辅助表'!AZ:BB,3,FALSE)</f>
        <v>US</v>
      </c>
    </row>
    <row r="27" customHeight="1" spans="1:40">
      <c r="A27" s="58" t="str">
        <f>INDEX('[1]5店'!$A:$A,MATCH(B:B,'[1]5店'!$B:$B,0))</f>
        <v>美珠</v>
      </c>
      <c r="B27" s="45" t="s">
        <v>1709</v>
      </c>
      <c r="C27" s="45" t="s">
        <v>1710</v>
      </c>
      <c r="D27" s="59"/>
      <c r="E27" s="45" t="s">
        <v>1711</v>
      </c>
      <c r="F27" s="45">
        <v>2</v>
      </c>
      <c r="G27" s="45">
        <v>0</v>
      </c>
      <c r="H27" s="45">
        <v>0</v>
      </c>
      <c r="I27" s="45">
        <v>0</v>
      </c>
      <c r="J27" s="45">
        <v>0</v>
      </c>
      <c r="K27" s="63">
        <f t="shared" si="1"/>
        <v>2</v>
      </c>
      <c r="L27" s="64">
        <f>IFERROR(VLOOKUP($B:$B,'[1]5店'!$B:$L,11,FALSE),0)</f>
        <v>9.3</v>
      </c>
      <c r="M27" s="44">
        <f t="shared" si="10"/>
        <v>18.6</v>
      </c>
      <c r="N27" s="65">
        <f>IFERROR(VLOOKUP(B:B,'5店辅助表'!B:C,2,FALSE),0)</f>
        <v>0</v>
      </c>
      <c r="O27" s="65">
        <f>IFERROR(VLOOKUP(B:B,'5店辅助表'!E:F,2,FALSE),0)</f>
        <v>0</v>
      </c>
      <c r="P27" s="65">
        <f>IFERROR(VLOOKUP(B:B,'5店辅助表'!H:I,2,FALSE),0)</f>
        <v>0</v>
      </c>
      <c r="Q27" s="65">
        <f>IFERROR(VLOOKUP(B:B,'[1]5店'!$B:$P,13,FALSE),0)</f>
        <v>0</v>
      </c>
      <c r="R27" s="79">
        <f t="shared" si="2"/>
        <v>0</v>
      </c>
      <c r="S27" s="80" t="str">
        <f t="shared" si="3"/>
        <v>-</v>
      </c>
      <c r="T27" s="44" t="str">
        <f t="shared" si="4"/>
        <v>-</v>
      </c>
      <c r="U27" s="44" t="str">
        <f>IFERROR(VLOOKUP(B:B,'[1]5店'!$B:$T,19,0),"-")</f>
        <v>-</v>
      </c>
      <c r="V27" s="81" t="str">
        <f t="shared" si="5"/>
        <v>-</v>
      </c>
      <c r="W27" s="82" t="str">
        <f>_xlfn.IFS(AND(D27&lt;&gt;0,D27-$AM$2&gt;=0,B27&gt;0,D27&lt;&gt;0),"本月刚到货",AND(IFERROR((K27/(N27/7))/30,"-")="-",K27&gt;0),"有库存无销量",AND(IFERROR((K27/(N27/7))/30,"-")="-",K27=0),"无库存无销量",AND(IFERROR((K27/(N27/7))/30,"-")&lt;=0.5,K27=0),"无库存有销量",IFERROR((K27/(N27/7))/30,"-")&lt;=0.5,"库存过低",IFERROR((K27/(N27/7))/30,"-")&lt;=1.5,"正常",IFERROR((K27/(N27/7))/30,"-")&gt;1.5,"库存过高")</f>
        <v>有库存无销量</v>
      </c>
      <c r="X27" s="83" t="str">
        <f>_xlfn.IFS(AND(D27&lt;&gt;0,D27-$AM$2&gt;=0,K27&gt;0,D27&lt;&gt;0),"本月刚到货",AND(T27="-",K27&gt;0),"有库存无销量",AND(T27="-",K27=0),"无库存无销量",AND(T27&lt;=0.5,K27=0),"无库存有销量",T27&lt;=0.5,"库存过低",T27&lt;=1.5,"正常",T27&gt;1.5,"库存过高")</f>
        <v>有库存无销量</v>
      </c>
      <c r="Y27" s="44">
        <f>IFERROR(SUMIF('5店辅助表'!K:K,B:B,'5店辅助表'!N:N),0)</f>
        <v>0</v>
      </c>
      <c r="Z27" s="44">
        <f>IFERROR(SUMIF('5店辅助表'!T:T,B:B,'5店辅助表'!W:W),0)</f>
        <v>0</v>
      </c>
      <c r="AA27" s="44">
        <f>IFERROR(SUMIF('5店辅助表'!AC:AC,B:B,'5店辅助表'!AF:AF),0)</f>
        <v>0</v>
      </c>
      <c r="AB27" s="91" t="str">
        <f>IFERROR(SUMIF('5店辅助表'!K:K,B:B,'5店辅助表'!N:N)/SUMIF('5店辅助表'!K:K,B:B,'5店辅助表'!O:O),"-")</f>
        <v>-</v>
      </c>
      <c r="AC27" s="91" t="str">
        <f>IFERROR(VLOOKUP(B:B,'[1]5店'!$B:$AB,27,FALSE),"-")</f>
        <v>-</v>
      </c>
      <c r="AD27" s="92" t="str">
        <f t="shared" si="6"/>
        <v>-</v>
      </c>
      <c r="AE27" s="91" t="str">
        <f>IFERROR(SUMIF('5店辅助表'!T:T,B:B,'5店辅助表'!W:W)/SUMIF('5店辅助表'!T:T,B:B,'5店辅助表'!X:X),"-")</f>
        <v>-</v>
      </c>
      <c r="AF27" s="91" t="str">
        <f>IFERROR(SUMIF('5店辅助表'!AC:AC,B:B,'5店辅助表'!AF:AF)/SUMIF('5店辅助表'!AC:AC,B:B,'5店辅助表'!AG:AG),"-")</f>
        <v>-</v>
      </c>
      <c r="AG27" s="99">
        <f>IFERROR(AK27/((SUMIF('5店辅助表'!AT:AT,B:B,'5店辅助表'!AU:AU)+M27)/2),"-")</f>
        <v>0</v>
      </c>
      <c r="AH27" s="99">
        <f>IFERROR(AL27/((SUMIF('5店辅助表'!AW:AW,B:B,'5店辅助表'!AX:AX)+M27)/2),"-")</f>
        <v>0</v>
      </c>
      <c r="AI27" s="100" t="str">
        <f>IFERROR((SUMIF('5店辅助表'!AP:AP,B:B,'5店辅助表'!AR:AR)-SUMIF('5店辅助表'!AP:AP,B:B,'5店辅助表'!AR:AR)*0.15-(L27+IFERROR(VLOOKUP(B:B,'5店辅助表'!AZ:BA,2,0),0))*O27-IF(AN:AN="US",6.85,4.9)*(Z27+3.28*O27))/SUMIF('5店辅助表'!AP:AP,B:B,'5店辅助表'!AR:AR),"-")</f>
        <v>-</v>
      </c>
      <c r="AJ27" s="100" t="str">
        <f t="shared" si="7"/>
        <v>-</v>
      </c>
      <c r="AK27" s="101">
        <f t="shared" si="8"/>
        <v>0</v>
      </c>
      <c r="AL27" s="101">
        <f t="shared" si="9"/>
        <v>0</v>
      </c>
      <c r="AM27" s="1" t="str">
        <f>VLOOKUP(B:B,'5店辅助表'!AZ:AZ,1,FALSE)</f>
        <v>Y5042-GR5</v>
      </c>
      <c r="AN27" t="str">
        <f>VLOOKUP(B:B,'5店辅助表'!AZ:BB,3,FALSE)</f>
        <v>US</v>
      </c>
    </row>
    <row r="28" customHeight="1" spans="1:40">
      <c r="A28" s="58" t="str">
        <f>INDEX('[1]5店'!$A:$A,MATCH(B:B,'[1]5店'!$B:$B,0))</f>
        <v>美珠</v>
      </c>
      <c r="B28" s="45" t="s">
        <v>1712</v>
      </c>
      <c r="C28" s="45" t="s">
        <v>1710</v>
      </c>
      <c r="D28" s="59"/>
      <c r="E28" s="45" t="s">
        <v>1713</v>
      </c>
      <c r="F28" s="45">
        <v>1</v>
      </c>
      <c r="G28" s="45">
        <v>0</v>
      </c>
      <c r="H28" s="45">
        <v>0</v>
      </c>
      <c r="I28" s="45">
        <v>1</v>
      </c>
      <c r="J28" s="45">
        <v>0</v>
      </c>
      <c r="K28" s="63">
        <f t="shared" si="1"/>
        <v>2</v>
      </c>
      <c r="L28" s="64">
        <f>IFERROR(VLOOKUP($B:$B,'[1]5店'!$B:$L,11,FALSE),0)</f>
        <v>9.3</v>
      </c>
      <c r="M28" s="44">
        <f t="shared" si="10"/>
        <v>18.6</v>
      </c>
      <c r="N28" s="65">
        <f>IFERROR(VLOOKUP(B:B,'5店辅助表'!B:C,2,FALSE),0)</f>
        <v>0</v>
      </c>
      <c r="O28" s="65">
        <f>IFERROR(VLOOKUP(B:B,'5店辅助表'!E:F,2,FALSE),0)</f>
        <v>0</v>
      </c>
      <c r="P28" s="65">
        <f>IFERROR(VLOOKUP(B:B,'5店辅助表'!H:I,2,FALSE),0)</f>
        <v>0</v>
      </c>
      <c r="Q28" s="65">
        <f>IFERROR(VLOOKUP(B:B,'[1]5店'!$B:$P,13,FALSE),0)</f>
        <v>0</v>
      </c>
      <c r="R28" s="79">
        <f t="shared" si="2"/>
        <v>0</v>
      </c>
      <c r="S28" s="80" t="str">
        <f t="shared" si="3"/>
        <v>-</v>
      </c>
      <c r="T28" s="44" t="str">
        <f t="shared" si="4"/>
        <v>-</v>
      </c>
      <c r="U28" s="44" t="str">
        <f>IFERROR(VLOOKUP(B:B,'[1]5店'!$B:$T,19,0),"-")</f>
        <v>-</v>
      </c>
      <c r="V28" s="81" t="str">
        <f t="shared" si="5"/>
        <v>-</v>
      </c>
      <c r="W28" s="82" t="str">
        <f>_xlfn.IFS(AND(D28&lt;&gt;0,D28-$AM$2&gt;=0,B28&gt;0,D28&lt;&gt;0),"本月刚到货",AND(IFERROR((K28/(N28/7))/30,"-")="-",K28&gt;0),"有库存无销量",AND(IFERROR((K28/(N28/7))/30,"-")="-",K28=0),"无库存无销量",AND(IFERROR((K28/(N28/7))/30,"-")&lt;=0.5,K28=0),"无库存有销量",IFERROR((K28/(N28/7))/30,"-")&lt;=0.5,"库存过低",IFERROR((K28/(N28/7))/30,"-")&lt;=1.5,"正常",IFERROR((K28/(N28/7))/30,"-")&gt;1.5,"库存过高")</f>
        <v>有库存无销量</v>
      </c>
      <c r="X28" s="83" t="str">
        <f>_xlfn.IFS(AND(D28&lt;&gt;0,D28-$AM$2&gt;=0,K28&gt;0,D28&lt;&gt;0),"本月刚到货",AND(T28="-",K28&gt;0),"有库存无销量",AND(T28="-",K28=0),"无库存无销量",AND(T28&lt;=0.5,K28=0),"无库存有销量",T28&lt;=0.5,"库存过低",T28&lt;=1.5,"正常",T28&gt;1.5,"库存过高")</f>
        <v>有库存无销量</v>
      </c>
      <c r="Y28" s="44">
        <f>IFERROR(SUMIF('5店辅助表'!K:K,B:B,'5店辅助表'!N:N),0)</f>
        <v>0</v>
      </c>
      <c r="Z28" s="44">
        <f>IFERROR(SUMIF('5店辅助表'!T:T,B:B,'5店辅助表'!W:W),0)</f>
        <v>0</v>
      </c>
      <c r="AA28" s="44">
        <f>IFERROR(SUMIF('5店辅助表'!AC:AC,B:B,'5店辅助表'!AF:AF),0)</f>
        <v>0</v>
      </c>
      <c r="AB28" s="91" t="str">
        <f>IFERROR(SUMIF('5店辅助表'!K:K,B:B,'5店辅助表'!N:N)/SUMIF('5店辅助表'!K:K,B:B,'5店辅助表'!O:O),"-")</f>
        <v>-</v>
      </c>
      <c r="AC28" s="91" t="str">
        <f>IFERROR(VLOOKUP(B:B,'[1]5店'!$B:$AB,27,FALSE),"-")</f>
        <v>-</v>
      </c>
      <c r="AD28" s="92" t="str">
        <f t="shared" si="6"/>
        <v>-</v>
      </c>
      <c r="AE28" s="91" t="str">
        <f>IFERROR(SUMIF('5店辅助表'!T:T,B:B,'5店辅助表'!W:W)/SUMIF('5店辅助表'!T:T,B:B,'5店辅助表'!X:X),"-")</f>
        <v>-</v>
      </c>
      <c r="AF28" s="91" t="str">
        <f>IFERROR(SUMIF('5店辅助表'!AC:AC,B:B,'5店辅助表'!AF:AF)/SUMIF('5店辅助表'!AC:AC,B:B,'5店辅助表'!AG:AG),"-")</f>
        <v>-</v>
      </c>
      <c r="AG28" s="99">
        <f>IFERROR(AK28/((SUMIF('5店辅助表'!AT:AT,B:B,'5店辅助表'!AU:AU)+M28)/2),"-")</f>
        <v>0</v>
      </c>
      <c r="AH28" s="99">
        <f>IFERROR(AL28/((SUMIF('5店辅助表'!AW:AW,B:B,'5店辅助表'!AX:AX)+M28)/2),"-")</f>
        <v>0</v>
      </c>
      <c r="AI28" s="100" t="str">
        <f>IFERROR((SUMIF('5店辅助表'!AP:AP,B:B,'5店辅助表'!AR:AR)-SUMIF('5店辅助表'!AP:AP,B:B,'5店辅助表'!AR:AR)*0.15-(L28+IFERROR(VLOOKUP(B:B,'5店辅助表'!AZ:BA,2,0),0))*O28-IF(AN:AN="US",6.85,4.9)*(Z28+3.28*O28))/SUMIF('5店辅助表'!AP:AP,B:B,'5店辅助表'!AR:AR),"-")</f>
        <v>-</v>
      </c>
      <c r="AJ28" s="100" t="str">
        <f t="shared" si="7"/>
        <v>-</v>
      </c>
      <c r="AK28" s="101">
        <f t="shared" si="8"/>
        <v>0</v>
      </c>
      <c r="AL28" s="101">
        <f t="shared" si="9"/>
        <v>0</v>
      </c>
      <c r="AM28" s="1" t="str">
        <f>VLOOKUP(B:B,'5店辅助表'!AZ:AZ,1,FALSE)</f>
        <v>Y5042-PU5</v>
      </c>
      <c r="AN28" t="str">
        <f>VLOOKUP(B:B,'5店辅助表'!AZ:BB,3,FALSE)</f>
        <v>US</v>
      </c>
    </row>
    <row r="29" customHeight="1" spans="1:40">
      <c r="A29" s="58" t="str">
        <f>INDEX('[1]5店'!$A:$A,MATCH(B:B,'[1]5店'!$B:$B,0))</f>
        <v>美珠</v>
      </c>
      <c r="B29" s="45" t="s">
        <v>1714</v>
      </c>
      <c r="C29" s="45" t="s">
        <v>1337</v>
      </c>
      <c r="D29" s="59"/>
      <c r="E29" s="45" t="s">
        <v>1715</v>
      </c>
      <c r="F29" s="45">
        <v>1</v>
      </c>
      <c r="G29" s="45">
        <v>0</v>
      </c>
      <c r="H29" s="45">
        <v>0</v>
      </c>
      <c r="I29" s="45">
        <v>0</v>
      </c>
      <c r="J29" s="45">
        <v>0</v>
      </c>
      <c r="K29" s="63">
        <f t="shared" si="1"/>
        <v>1</v>
      </c>
      <c r="L29" s="64">
        <f>IFERROR(VLOOKUP($B:$B,'[1]5店'!$B:$L,11,FALSE),0)</f>
        <v>13.7</v>
      </c>
      <c r="M29" s="44">
        <f t="shared" si="10"/>
        <v>13.7</v>
      </c>
      <c r="N29" s="65">
        <f>IFERROR(VLOOKUP(B:B,'5店辅助表'!B:C,2,FALSE),0)</f>
        <v>0</v>
      </c>
      <c r="O29" s="65">
        <f>IFERROR(VLOOKUP(B:B,'5店辅助表'!E:F,2,FALSE),0)</f>
        <v>0</v>
      </c>
      <c r="P29" s="65">
        <f>IFERROR(VLOOKUP(B:B,'5店辅助表'!H:I,2,FALSE),0)</f>
        <v>0</v>
      </c>
      <c r="Q29" s="65">
        <f>IFERROR(VLOOKUP(B:B,'[1]5店'!$B:$P,13,FALSE),0)</f>
        <v>0</v>
      </c>
      <c r="R29" s="79">
        <f t="shared" si="2"/>
        <v>0</v>
      </c>
      <c r="S29" s="80" t="str">
        <f t="shared" si="3"/>
        <v>-</v>
      </c>
      <c r="T29" s="44" t="str">
        <f t="shared" si="4"/>
        <v>-</v>
      </c>
      <c r="U29" s="44" t="str">
        <f>IFERROR(VLOOKUP(B:B,'[1]5店'!$B:$T,19,0),"-")</f>
        <v>-</v>
      </c>
      <c r="V29" s="81" t="str">
        <f t="shared" si="5"/>
        <v>-</v>
      </c>
      <c r="W29" s="82" t="str">
        <f>_xlfn.IFS(AND(D29&lt;&gt;0,D29-$AM$2&gt;=0,B29&gt;0,D29&lt;&gt;0),"本月刚到货",AND(IFERROR((K29/(N29/7))/30,"-")="-",K29&gt;0),"有库存无销量",AND(IFERROR((K29/(N29/7))/30,"-")="-",K29=0),"无库存无销量",AND(IFERROR((K29/(N29/7))/30,"-")&lt;=0.5,K29=0),"无库存有销量",IFERROR((K29/(N29/7))/30,"-")&lt;=0.5,"库存过低",IFERROR((K29/(N29/7))/30,"-")&lt;=1.5,"正常",IFERROR((K29/(N29/7))/30,"-")&gt;1.5,"库存过高")</f>
        <v>有库存无销量</v>
      </c>
      <c r="X29" s="83" t="str">
        <f>_xlfn.IFS(AND(D29&lt;&gt;0,D29-$AM$2&gt;=0,K29&gt;0,D29&lt;&gt;0),"本月刚到货",AND(T29="-",K29&gt;0),"有库存无销量",AND(T29="-",K29=0),"无库存无销量",AND(T29&lt;=0.5,K29=0),"无库存有销量",T29&lt;=0.5,"库存过低",T29&lt;=1.5,"正常",T29&gt;1.5,"库存过高")</f>
        <v>有库存无销量</v>
      </c>
      <c r="Y29" s="44">
        <f>IFERROR(SUMIF('5店辅助表'!K:K,B:B,'5店辅助表'!N:N),0)</f>
        <v>0</v>
      </c>
      <c r="Z29" s="44">
        <f>IFERROR(SUMIF('5店辅助表'!T:T,B:B,'5店辅助表'!W:W),0)</f>
        <v>0</v>
      </c>
      <c r="AA29" s="44">
        <f>IFERROR(SUMIF('5店辅助表'!AC:AC,B:B,'5店辅助表'!AF:AF),0)</f>
        <v>0</v>
      </c>
      <c r="AB29" s="91" t="str">
        <f>IFERROR(SUMIF('5店辅助表'!K:K,B:B,'5店辅助表'!N:N)/SUMIF('5店辅助表'!K:K,B:B,'5店辅助表'!O:O),"-")</f>
        <v>-</v>
      </c>
      <c r="AC29" s="91" t="str">
        <f>IFERROR(VLOOKUP(B:B,'[1]5店'!$B:$AB,27,FALSE),"-")</f>
        <v>-</v>
      </c>
      <c r="AD29" s="92" t="str">
        <f t="shared" si="6"/>
        <v>-</v>
      </c>
      <c r="AE29" s="91" t="str">
        <f>IFERROR(SUMIF('5店辅助表'!T:T,B:B,'5店辅助表'!W:W)/SUMIF('5店辅助表'!T:T,B:B,'5店辅助表'!X:X),"-")</f>
        <v>-</v>
      </c>
      <c r="AF29" s="91" t="str">
        <f>IFERROR(SUMIF('5店辅助表'!AC:AC,B:B,'5店辅助表'!AF:AF)/SUMIF('5店辅助表'!AC:AC,B:B,'5店辅助表'!AG:AG),"-")</f>
        <v>-</v>
      </c>
      <c r="AG29" s="99">
        <f>IFERROR(AK29/((SUMIF('5店辅助表'!AT:AT,B:B,'5店辅助表'!AU:AU)+M29)/2),"-")</f>
        <v>0</v>
      </c>
      <c r="AH29" s="99">
        <f>IFERROR(AL29/((SUMIF('5店辅助表'!AW:AW,B:B,'5店辅助表'!AX:AX)+M29)/2),"-")</f>
        <v>0</v>
      </c>
      <c r="AI29" s="100" t="str">
        <f>IFERROR((SUMIF('5店辅助表'!AP:AP,B:B,'5店辅助表'!AR:AR)-SUMIF('5店辅助表'!AP:AP,B:B,'5店辅助表'!AR:AR)*0.15-(L29+IFERROR(VLOOKUP(B:B,'5店辅助表'!AZ:BA,2,0),0))*O29-IF(AN:AN="US",6.85,4.9)*(Z29+3.28*O29))/SUMIF('5店辅助表'!AP:AP,B:B,'5店辅助表'!AR:AR),"-")</f>
        <v>-</v>
      </c>
      <c r="AJ29" s="100" t="str">
        <f t="shared" si="7"/>
        <v>-</v>
      </c>
      <c r="AK29" s="101">
        <f t="shared" si="8"/>
        <v>0</v>
      </c>
      <c r="AL29" s="101">
        <f t="shared" si="9"/>
        <v>0</v>
      </c>
      <c r="AM29" s="1" t="str">
        <f>VLOOKUP(B:B,'5店辅助表'!AZ:AZ,1,FALSE)</f>
        <v>Y5045-OR</v>
      </c>
      <c r="AN29" t="str">
        <f>VLOOKUP(B:B,'5店辅助表'!AZ:BB,3,FALSE)</f>
        <v>US</v>
      </c>
    </row>
    <row r="30" customHeight="1" spans="1:40">
      <c r="A30" s="58" t="str">
        <f>INDEX('[1]5店'!$A:$A,MATCH(B:B,'[1]5店'!$B:$B,0))</f>
        <v>美珠</v>
      </c>
      <c r="B30" s="45" t="s">
        <v>1716</v>
      </c>
      <c r="C30" s="45" t="s">
        <v>1421</v>
      </c>
      <c r="D30" s="59"/>
      <c r="E30" s="45" t="s">
        <v>1717</v>
      </c>
      <c r="F30" s="45">
        <v>1</v>
      </c>
      <c r="G30" s="45">
        <v>0</v>
      </c>
      <c r="H30" s="45">
        <v>0</v>
      </c>
      <c r="I30" s="45">
        <v>0</v>
      </c>
      <c r="J30" s="45">
        <v>0</v>
      </c>
      <c r="K30" s="63">
        <f t="shared" si="1"/>
        <v>1</v>
      </c>
      <c r="L30" s="64">
        <f>IFERROR(VLOOKUP($B:$B,'[1]5店'!$B:$L,11,FALSE),0)</f>
        <v>13.7</v>
      </c>
      <c r="M30" s="44">
        <f t="shared" si="10"/>
        <v>13.7</v>
      </c>
      <c r="N30" s="65">
        <f>IFERROR(VLOOKUP(B:B,'5店辅助表'!B:C,2,FALSE),0)</f>
        <v>0</v>
      </c>
      <c r="O30" s="65">
        <f>IFERROR(VLOOKUP(B:B,'5店辅助表'!E:F,2,FALSE),0)</f>
        <v>0</v>
      </c>
      <c r="P30" s="65">
        <f>IFERROR(VLOOKUP(B:B,'5店辅助表'!H:I,2,FALSE),0)</f>
        <v>0</v>
      </c>
      <c r="Q30" s="65">
        <f>IFERROR(VLOOKUP(B:B,'[1]5店'!$B:$P,13,FALSE),0)</f>
        <v>0</v>
      </c>
      <c r="R30" s="79">
        <f t="shared" si="2"/>
        <v>0</v>
      </c>
      <c r="S30" s="80" t="str">
        <f t="shared" si="3"/>
        <v>-</v>
      </c>
      <c r="T30" s="44" t="str">
        <f t="shared" si="4"/>
        <v>-</v>
      </c>
      <c r="U30" s="44" t="str">
        <f>IFERROR(VLOOKUP(B:B,'[1]5店'!$B:$T,19,0),"-")</f>
        <v>-</v>
      </c>
      <c r="V30" s="81" t="str">
        <f t="shared" si="5"/>
        <v>-</v>
      </c>
      <c r="W30" s="82" t="str">
        <f>_xlfn.IFS(AND(D30&lt;&gt;0,D30-$AM$2&gt;=0,B30&gt;0,D30&lt;&gt;0),"本月刚到货",AND(IFERROR((K30/(N30/7))/30,"-")="-",K30&gt;0),"有库存无销量",AND(IFERROR((K30/(N30/7))/30,"-")="-",K30=0),"无库存无销量",AND(IFERROR((K30/(N30/7))/30,"-")&lt;=0.5,K30=0),"无库存有销量",IFERROR((K30/(N30/7))/30,"-")&lt;=0.5,"库存过低",IFERROR((K30/(N30/7))/30,"-")&lt;=1.5,"正常",IFERROR((K30/(N30/7))/30,"-")&gt;1.5,"库存过高")</f>
        <v>有库存无销量</v>
      </c>
      <c r="X30" s="83" t="str">
        <f>_xlfn.IFS(AND(D30&lt;&gt;0,D30-$AM$2&gt;=0,K30&gt;0,D30&lt;&gt;0),"本月刚到货",AND(T30="-",K30&gt;0),"有库存无销量",AND(T30="-",K30=0),"无库存无销量",AND(T30&lt;=0.5,K30=0),"无库存有销量",T30&lt;=0.5,"库存过低",T30&lt;=1.5,"正常",T30&gt;1.5,"库存过高")</f>
        <v>有库存无销量</v>
      </c>
      <c r="Y30" s="44">
        <f>IFERROR(SUMIF('5店辅助表'!K:K,B:B,'5店辅助表'!N:N),0)</f>
        <v>0</v>
      </c>
      <c r="Z30" s="44">
        <f>IFERROR(SUMIF('5店辅助表'!T:T,B:B,'5店辅助表'!W:W),0)</f>
        <v>0</v>
      </c>
      <c r="AA30" s="44">
        <f>IFERROR(SUMIF('5店辅助表'!AC:AC,B:B,'5店辅助表'!AF:AF),0)</f>
        <v>0</v>
      </c>
      <c r="AB30" s="91" t="str">
        <f>IFERROR(SUMIF('5店辅助表'!K:K,B:B,'5店辅助表'!N:N)/SUMIF('5店辅助表'!K:K,B:B,'5店辅助表'!O:O),"-")</f>
        <v>-</v>
      </c>
      <c r="AC30" s="91" t="str">
        <f>IFERROR(VLOOKUP(B:B,'[1]5店'!$B:$AB,27,FALSE),"-")</f>
        <v>-</v>
      </c>
      <c r="AD30" s="92" t="str">
        <f t="shared" si="6"/>
        <v>-</v>
      </c>
      <c r="AE30" s="91" t="str">
        <f>IFERROR(SUMIF('5店辅助表'!T:T,B:B,'5店辅助表'!W:W)/SUMIF('5店辅助表'!T:T,B:B,'5店辅助表'!X:X),"-")</f>
        <v>-</v>
      </c>
      <c r="AF30" s="91" t="str">
        <f>IFERROR(SUMIF('5店辅助表'!AC:AC,B:B,'5店辅助表'!AF:AF)/SUMIF('5店辅助表'!AC:AC,B:B,'5店辅助表'!AG:AG),"-")</f>
        <v>-</v>
      </c>
      <c r="AG30" s="99">
        <f>IFERROR(AK30/((SUMIF('5店辅助表'!AT:AT,B:B,'5店辅助表'!AU:AU)+M30)/2),"-")</f>
        <v>0</v>
      </c>
      <c r="AH30" s="99">
        <f>IFERROR(AL30/((SUMIF('5店辅助表'!AW:AW,B:B,'5店辅助表'!AX:AX)+M30)/2),"-")</f>
        <v>0</v>
      </c>
      <c r="AI30" s="100" t="str">
        <f>IFERROR((SUMIF('5店辅助表'!AP:AP,B:B,'5店辅助表'!AR:AR)-SUMIF('5店辅助表'!AP:AP,B:B,'5店辅助表'!AR:AR)*0.15-(L30+IFERROR(VLOOKUP(B:B,'5店辅助表'!AZ:BA,2,0),0))*O30-IF(AN:AN="US",6.85,4.9)*(Z30+3.28*O30))/SUMIF('5店辅助表'!AP:AP,B:B,'5店辅助表'!AR:AR),"-")</f>
        <v>-</v>
      </c>
      <c r="AJ30" s="100" t="str">
        <f t="shared" si="7"/>
        <v>-</v>
      </c>
      <c r="AK30" s="101">
        <f t="shared" si="8"/>
        <v>0</v>
      </c>
      <c r="AL30" s="101">
        <f t="shared" si="9"/>
        <v>0</v>
      </c>
      <c r="AM30" s="1" t="str">
        <f>VLOOKUP(B:B,'5店辅助表'!AZ:AZ,1,FALSE)</f>
        <v>Y5046-DB</v>
      </c>
      <c r="AN30" t="str">
        <f>VLOOKUP(B:B,'5店辅助表'!AZ:BB,3,FALSE)</f>
        <v>US</v>
      </c>
    </row>
    <row r="31" customHeight="1" spans="1:40">
      <c r="A31" s="58" t="str">
        <f>INDEX('[1]5店'!$A:$A,MATCH(B:B,'[1]5店'!$B:$B,0))</f>
        <v>美珠</v>
      </c>
      <c r="B31" s="45" t="s">
        <v>1718</v>
      </c>
      <c r="C31" s="45" t="s">
        <v>1719</v>
      </c>
      <c r="D31" s="59"/>
      <c r="E31" s="45" t="s">
        <v>1720</v>
      </c>
      <c r="F31" s="45">
        <v>3</v>
      </c>
      <c r="G31" s="45">
        <v>0</v>
      </c>
      <c r="H31" s="45">
        <v>0</v>
      </c>
      <c r="I31" s="45">
        <v>10</v>
      </c>
      <c r="J31" s="45">
        <v>0</v>
      </c>
      <c r="K31" s="63">
        <f t="shared" si="1"/>
        <v>13</v>
      </c>
      <c r="L31" s="64">
        <f>IFERROR(VLOOKUP($B:$B,'[1]5店'!$B:$L,11,FALSE),0)</f>
        <v>35</v>
      </c>
      <c r="M31" s="44">
        <f t="shared" si="10"/>
        <v>455</v>
      </c>
      <c r="N31" s="65">
        <f>IFERROR(VLOOKUP(B:B,'5店辅助表'!B:C,2,FALSE),0)</f>
        <v>1</v>
      </c>
      <c r="O31" s="65">
        <f>IFERROR(VLOOKUP(B:B,'5店辅助表'!E:F,2,FALSE),0)</f>
        <v>1</v>
      </c>
      <c r="P31" s="65">
        <f>IFERROR(VLOOKUP(B:B,'5店辅助表'!H:I,2,FALSE),0)</f>
        <v>1</v>
      </c>
      <c r="Q31" s="65">
        <f>IFERROR(VLOOKUP(B:B,'[1]5店'!$B:$P,13,FALSE),0)</f>
        <v>0</v>
      </c>
      <c r="R31" s="79">
        <f t="shared" si="2"/>
        <v>1</v>
      </c>
      <c r="S31" s="80">
        <f t="shared" si="3"/>
        <v>160.588235294118</v>
      </c>
      <c r="T31" s="44">
        <f t="shared" si="4"/>
        <v>5.35294117647059</v>
      </c>
      <c r="U31" s="44" t="str">
        <f>IFERROR(VLOOKUP(B:B,'[1]5店'!$B:$T,19,0),"-")</f>
        <v>-</v>
      </c>
      <c r="V31" s="81" t="str">
        <f t="shared" si="5"/>
        <v>-</v>
      </c>
      <c r="W31" s="82" t="str">
        <f>_xlfn.IFS(AND(D31&lt;&gt;0,D31-$AM$2&gt;=0,B31&gt;0,D31&lt;&gt;0),"本月刚到货",AND(IFERROR((K31/(N31/7))/30,"-")="-",K31&gt;0),"有库存无销量",AND(IFERROR((K31/(N31/7))/30,"-")="-",K31=0),"无库存无销量",AND(IFERROR((K31/(N31/7))/30,"-")&lt;=0.5,K31=0),"无库存有销量",IFERROR((K31/(N31/7))/30,"-")&lt;=0.5,"库存过低",IFERROR((K31/(N31/7))/30,"-")&lt;=1.5,"正常",IFERROR((K31/(N31/7))/30,"-")&gt;1.5,"库存过高")</f>
        <v>库存过高</v>
      </c>
      <c r="X31" s="83" t="str">
        <f>_xlfn.IFS(AND(D31&lt;&gt;0,D31-$AM$2&gt;=0,K31&gt;0,D31&lt;&gt;0),"本月刚到货",AND(T31="-",K31&gt;0),"有库存无销量",AND(T31="-",K31=0),"无库存无销量",AND(T31&lt;=0.5,K31=0),"无库存有销量",T31&lt;=0.5,"库存过低",T31&lt;=1.5,"正常",T31&gt;1.5,"库存过高")</f>
        <v>库存过高</v>
      </c>
      <c r="Y31" s="44">
        <f>IFERROR(SUMIF('5店辅助表'!K:K,B:B,'5店辅助表'!N:N),0)</f>
        <v>0</v>
      </c>
      <c r="Z31" s="44">
        <f>IFERROR(SUMIF('5店辅助表'!T:T,B:B,'5店辅助表'!W:W),0)</f>
        <v>0</v>
      </c>
      <c r="AA31" s="44">
        <f>IFERROR(SUMIF('5店辅助表'!AC:AC,B:B,'5店辅助表'!AF:AF),0)</f>
        <v>0.4</v>
      </c>
      <c r="AB31" s="91" t="str">
        <f>IFERROR(SUMIF('5店辅助表'!K:K,B:B,'5店辅助表'!N:N)/SUMIF('5店辅助表'!K:K,B:B,'5店辅助表'!O:O),"-")</f>
        <v>-</v>
      </c>
      <c r="AC31" s="91" t="str">
        <f>IFERROR(VLOOKUP(B:B,'[1]5店'!$B:$AB,27,FALSE),"-")</f>
        <v>-</v>
      </c>
      <c r="AD31" s="92" t="str">
        <f t="shared" si="6"/>
        <v>-</v>
      </c>
      <c r="AE31" s="91" t="str">
        <f>IFERROR(SUMIF('5店辅助表'!T:T,B:B,'5店辅助表'!W:W)/SUMIF('5店辅助表'!T:T,B:B,'5店辅助表'!X:X),"-")</f>
        <v>-</v>
      </c>
      <c r="AF31" s="91" t="str">
        <f>IFERROR(SUMIF('5店辅助表'!AC:AC,B:B,'5店辅助表'!AF:AF)/SUMIF('5店辅助表'!AC:AC,B:B,'5店辅助表'!AG:AG),"-")</f>
        <v>-</v>
      </c>
      <c r="AG31" s="99">
        <f>IFERROR(AK31/((SUMIF('5店辅助表'!AT:AT,B:B,'5店辅助表'!AU:AU)+M31)/2),"-")</f>
        <v>0.0740740740740741</v>
      </c>
      <c r="AH31" s="99">
        <f>IFERROR(AL31/((SUMIF('5店辅助表'!AW:AW,B:B,'5店辅助表'!AX:AX)+M31)/2),"-")</f>
        <v>0.0740740740740741</v>
      </c>
      <c r="AI31" s="100">
        <f>IFERROR((SUMIF('5店辅助表'!AP:AP,B:B,'5店辅助表'!AR:AR)-SUMIF('5店辅助表'!AP:AP,B:B,'5店辅助表'!AR:AR)*0.15-(L31+IFERROR(VLOOKUP(B:B,'5店辅助表'!AZ:BA,2,0),0))*O31-IF(AN:AN="US",6.85,4.9)*(Z31+3.28*O31))/SUMIF('5店辅助表'!AP:AP,B:B,'5店辅助表'!AR:AR),"-")</f>
        <v>0.331257760039182</v>
      </c>
      <c r="AJ31" s="100">
        <f t="shared" si="7"/>
        <v>0.0245376118547542</v>
      </c>
      <c r="AK31" s="101">
        <f t="shared" si="8"/>
        <v>35</v>
      </c>
      <c r="AL31" s="101">
        <f t="shared" si="9"/>
        <v>35</v>
      </c>
      <c r="AM31" s="1" t="str">
        <f>VLOOKUP(B:B,'5店辅助表'!AZ:AZ,1,FALSE)</f>
        <v>Y5060-BL</v>
      </c>
      <c r="AN31" t="str">
        <f>VLOOKUP(B:B,'5店辅助表'!AZ:BB,3,FALSE)</f>
        <v>US</v>
      </c>
    </row>
    <row r="32" customHeight="1" spans="1:40">
      <c r="A32" s="58" t="str">
        <f>INDEX('[1]5店'!$A:$A,MATCH(B:B,'[1]5店'!$B:$B,0))</f>
        <v>美珠</v>
      </c>
      <c r="B32" s="45" t="s">
        <v>1721</v>
      </c>
      <c r="C32" s="45" t="s">
        <v>1722</v>
      </c>
      <c r="D32" s="59"/>
      <c r="E32" s="45" t="s">
        <v>1723</v>
      </c>
      <c r="F32" s="45">
        <v>1</v>
      </c>
      <c r="G32" s="45">
        <v>0</v>
      </c>
      <c r="H32" s="45">
        <v>0</v>
      </c>
      <c r="I32" s="45">
        <v>0</v>
      </c>
      <c r="J32" s="45">
        <v>0</v>
      </c>
      <c r="K32" s="63">
        <f t="shared" si="1"/>
        <v>1</v>
      </c>
      <c r="L32" s="64">
        <f>IFERROR(VLOOKUP($B:$B,'[1]5店'!$B:$L,11,FALSE),0)</f>
        <v>12</v>
      </c>
      <c r="M32" s="44">
        <f t="shared" si="10"/>
        <v>12</v>
      </c>
      <c r="N32" s="65">
        <f>IFERROR(VLOOKUP(B:B,'5店辅助表'!B:C,2,FALSE),0)</f>
        <v>0</v>
      </c>
      <c r="O32" s="65">
        <f>IFERROR(VLOOKUP(B:B,'5店辅助表'!E:F,2,FALSE),0)</f>
        <v>0</v>
      </c>
      <c r="P32" s="65">
        <f>IFERROR(VLOOKUP(B:B,'5店辅助表'!H:I,2,FALSE),0)</f>
        <v>0</v>
      </c>
      <c r="Q32" s="65">
        <f>IFERROR(VLOOKUP(B:B,'[1]5店'!$B:$P,13,FALSE),0)</f>
        <v>0</v>
      </c>
      <c r="R32" s="79">
        <f t="shared" si="2"/>
        <v>0</v>
      </c>
      <c r="S32" s="80" t="str">
        <f t="shared" si="3"/>
        <v>-</v>
      </c>
      <c r="T32" s="44" t="str">
        <f t="shared" si="4"/>
        <v>-</v>
      </c>
      <c r="U32" s="44" t="str">
        <f>IFERROR(VLOOKUP(B:B,'[1]5店'!$B:$T,19,0),"-")</f>
        <v>-</v>
      </c>
      <c r="V32" s="81" t="str">
        <f t="shared" si="5"/>
        <v>-</v>
      </c>
      <c r="W32" s="82" t="str">
        <f>_xlfn.IFS(AND(D32&lt;&gt;0,D32-$AM$2&gt;=0,B32&gt;0,D32&lt;&gt;0),"本月刚到货",AND(IFERROR((K32/(N32/7))/30,"-")="-",K32&gt;0),"有库存无销量",AND(IFERROR((K32/(N32/7))/30,"-")="-",K32=0),"无库存无销量",AND(IFERROR((K32/(N32/7))/30,"-")&lt;=0.5,K32=0),"无库存有销量",IFERROR((K32/(N32/7))/30,"-")&lt;=0.5,"库存过低",IFERROR((K32/(N32/7))/30,"-")&lt;=1.5,"正常",IFERROR((K32/(N32/7))/30,"-")&gt;1.5,"库存过高")</f>
        <v>有库存无销量</v>
      </c>
      <c r="X32" s="83" t="str">
        <f>_xlfn.IFS(AND(D32&lt;&gt;0,D32-$AM$2&gt;=0,K32&gt;0,D32&lt;&gt;0),"本月刚到货",AND(T32="-",K32&gt;0),"有库存无销量",AND(T32="-",K32=0),"无库存无销量",AND(T32&lt;=0.5,K32=0),"无库存有销量",T32&lt;=0.5,"库存过低",T32&lt;=1.5,"正常",T32&gt;1.5,"库存过高")</f>
        <v>有库存无销量</v>
      </c>
      <c r="Y32" s="44">
        <f>IFERROR(SUMIF('5店辅助表'!K:K,B:B,'5店辅助表'!N:N),0)</f>
        <v>0</v>
      </c>
      <c r="Z32" s="44">
        <f>IFERROR(SUMIF('5店辅助表'!T:T,B:B,'5店辅助表'!W:W),0)</f>
        <v>0</v>
      </c>
      <c r="AA32" s="44">
        <f>IFERROR(SUMIF('5店辅助表'!AC:AC,B:B,'5店辅助表'!AF:AF),0)</f>
        <v>0</v>
      </c>
      <c r="AB32" s="91" t="str">
        <f>IFERROR(SUMIF('5店辅助表'!K:K,B:B,'5店辅助表'!N:N)/SUMIF('5店辅助表'!K:K,B:B,'5店辅助表'!O:O),"-")</f>
        <v>-</v>
      </c>
      <c r="AC32" s="91" t="str">
        <f>IFERROR(VLOOKUP(B:B,'[1]5店'!$B:$AB,27,FALSE),"-")</f>
        <v>-</v>
      </c>
      <c r="AD32" s="92" t="str">
        <f t="shared" si="6"/>
        <v>-</v>
      </c>
      <c r="AE32" s="91" t="str">
        <f>IFERROR(SUMIF('5店辅助表'!T:T,B:B,'5店辅助表'!W:W)/SUMIF('5店辅助表'!T:T,B:B,'5店辅助表'!X:X),"-")</f>
        <v>-</v>
      </c>
      <c r="AF32" s="91" t="str">
        <f>IFERROR(SUMIF('5店辅助表'!AC:AC,B:B,'5店辅助表'!AF:AF)/SUMIF('5店辅助表'!AC:AC,B:B,'5店辅助表'!AG:AG),"-")</f>
        <v>-</v>
      </c>
      <c r="AG32" s="99">
        <f>IFERROR(AK32/((SUMIF('5店辅助表'!AT:AT,B:B,'5店辅助表'!AU:AU)+M32)/2),"-")</f>
        <v>0</v>
      </c>
      <c r="AH32" s="99">
        <f>IFERROR(AL32/((SUMIF('5店辅助表'!AW:AW,B:B,'5店辅助表'!AX:AX)+M32)/2),"-")</f>
        <v>0</v>
      </c>
      <c r="AI32" s="100" t="str">
        <f>IFERROR((SUMIF('5店辅助表'!AP:AP,B:B,'5店辅助表'!AR:AR)-SUMIF('5店辅助表'!AP:AP,B:B,'5店辅助表'!AR:AR)*0.15-(L32+IFERROR(VLOOKUP(B:B,'5店辅助表'!AZ:BA,2,0),0))*O32-IF(AN:AN="US",6.85,4.9)*(Z32+3.28*O32))/SUMIF('5店辅助表'!AP:AP,B:B,'5店辅助表'!AR:AR),"-")</f>
        <v>-</v>
      </c>
      <c r="AJ32" s="100" t="str">
        <f t="shared" si="7"/>
        <v>-</v>
      </c>
      <c r="AK32" s="101">
        <f t="shared" si="8"/>
        <v>0</v>
      </c>
      <c r="AL32" s="101">
        <f t="shared" si="9"/>
        <v>0</v>
      </c>
      <c r="AM32" s="1" t="str">
        <f>VLOOKUP(B:B,'5店辅助表'!AZ:AZ,1,FALSE)</f>
        <v>Y5058-GR</v>
      </c>
      <c r="AN32" t="str">
        <f>VLOOKUP(B:B,'5店辅助表'!AZ:BB,3,FALSE)</f>
        <v>US</v>
      </c>
    </row>
    <row r="33" customHeight="1" spans="1:40">
      <c r="A33" s="58" t="str">
        <f>INDEX('[1]5店'!$A:$A,MATCH(B:B,'[1]5店'!$B:$B,0))</f>
        <v>美珠</v>
      </c>
      <c r="B33" s="45" t="s">
        <v>1724</v>
      </c>
      <c r="C33" s="45" t="s">
        <v>1725</v>
      </c>
      <c r="D33" s="59"/>
      <c r="E33" s="45" t="s">
        <v>1726</v>
      </c>
      <c r="F33" s="45">
        <v>7</v>
      </c>
      <c r="G33" s="45">
        <v>0</v>
      </c>
      <c r="H33" s="45">
        <v>0</v>
      </c>
      <c r="I33" s="45">
        <v>0</v>
      </c>
      <c r="J33" s="45">
        <v>0</v>
      </c>
      <c r="K33" s="63">
        <f t="shared" si="1"/>
        <v>7</v>
      </c>
      <c r="L33" s="64">
        <f>IFERROR(VLOOKUP($B:$B,'[1]5店'!$B:$L,11,FALSE),0)</f>
        <v>12</v>
      </c>
      <c r="M33" s="44">
        <f t="shared" si="10"/>
        <v>84</v>
      </c>
      <c r="N33" s="65">
        <f>IFERROR(VLOOKUP(B:B,'5店辅助表'!B:C,2,FALSE),0)</f>
        <v>0</v>
      </c>
      <c r="O33" s="65">
        <f>IFERROR(VLOOKUP(B:B,'5店辅助表'!E:F,2,FALSE),0)</f>
        <v>0</v>
      </c>
      <c r="P33" s="65">
        <f>IFERROR(VLOOKUP(B:B,'5店辅助表'!H:I,2,FALSE),0)</f>
        <v>0</v>
      </c>
      <c r="Q33" s="65">
        <f>IFERROR(VLOOKUP(B:B,'[1]5店'!$B:$P,13,FALSE),0)</f>
        <v>0</v>
      </c>
      <c r="R33" s="79">
        <f t="shared" si="2"/>
        <v>0</v>
      </c>
      <c r="S33" s="80" t="str">
        <f t="shared" si="3"/>
        <v>-</v>
      </c>
      <c r="T33" s="44" t="str">
        <f t="shared" si="4"/>
        <v>-</v>
      </c>
      <c r="U33" s="44" t="str">
        <f>IFERROR(VLOOKUP(B:B,'[1]5店'!$B:$T,19,0),"-")</f>
        <v>-</v>
      </c>
      <c r="V33" s="81" t="str">
        <f t="shared" si="5"/>
        <v>-</v>
      </c>
      <c r="W33" s="82" t="str">
        <f>_xlfn.IFS(AND(D33&lt;&gt;0,D33-$AM$2&gt;=0,B33&gt;0,D33&lt;&gt;0),"本月刚到货",AND(IFERROR((K33/(N33/7))/30,"-")="-",K33&gt;0),"有库存无销量",AND(IFERROR((K33/(N33/7))/30,"-")="-",K33=0),"无库存无销量",AND(IFERROR((K33/(N33/7))/30,"-")&lt;=0.5,K33=0),"无库存有销量",IFERROR((K33/(N33/7))/30,"-")&lt;=0.5,"库存过低",IFERROR((K33/(N33/7))/30,"-")&lt;=1.5,"正常",IFERROR((K33/(N33/7))/30,"-")&gt;1.5,"库存过高")</f>
        <v>有库存无销量</v>
      </c>
      <c r="X33" s="83" t="str">
        <f>_xlfn.IFS(AND(D33&lt;&gt;0,D33-$AM$2&gt;=0,K33&gt;0,D33&lt;&gt;0),"本月刚到货",AND(T33="-",K33&gt;0),"有库存无销量",AND(T33="-",K33=0),"无库存无销量",AND(T33&lt;=0.5,K33=0),"无库存有销量",T33&lt;=0.5,"库存过低",T33&lt;=1.5,"正常",T33&gt;1.5,"库存过高")</f>
        <v>有库存无销量</v>
      </c>
      <c r="Y33" s="44">
        <f>IFERROR(SUMIF('5店辅助表'!K:K,B:B,'5店辅助表'!N:N),0)</f>
        <v>0</v>
      </c>
      <c r="Z33" s="44">
        <f>IFERROR(SUMIF('5店辅助表'!T:T,B:B,'5店辅助表'!W:W),0)</f>
        <v>0</v>
      </c>
      <c r="AA33" s="44">
        <f>IFERROR(SUMIF('5店辅助表'!AC:AC,B:B,'5店辅助表'!AF:AF),0)</f>
        <v>0</v>
      </c>
      <c r="AB33" s="91" t="str">
        <f>IFERROR(SUMIF('5店辅助表'!K:K,B:B,'5店辅助表'!N:N)/SUMIF('5店辅助表'!K:K,B:B,'5店辅助表'!O:O),"-")</f>
        <v>-</v>
      </c>
      <c r="AC33" s="91" t="str">
        <f>IFERROR(VLOOKUP(B:B,'[1]5店'!$B:$AB,27,FALSE),"-")</f>
        <v>-</v>
      </c>
      <c r="AD33" s="92" t="str">
        <f t="shared" si="6"/>
        <v>-</v>
      </c>
      <c r="AE33" s="91" t="str">
        <f>IFERROR(SUMIF('5店辅助表'!T:T,B:B,'5店辅助表'!W:W)/SUMIF('5店辅助表'!T:T,B:B,'5店辅助表'!X:X),"-")</f>
        <v>-</v>
      </c>
      <c r="AF33" s="91" t="str">
        <f>IFERROR(SUMIF('5店辅助表'!AC:AC,B:B,'5店辅助表'!AF:AF)/SUMIF('5店辅助表'!AC:AC,B:B,'5店辅助表'!AG:AG),"-")</f>
        <v>-</v>
      </c>
      <c r="AG33" s="99">
        <f>IFERROR(AK33/((SUMIF('5店辅助表'!AT:AT,B:B,'5店辅助表'!AU:AU)+M33)/2),"-")</f>
        <v>0</v>
      </c>
      <c r="AH33" s="99">
        <f>IFERROR(AL33/((SUMIF('5店辅助表'!AW:AW,B:B,'5店辅助表'!AX:AX)+M33)/2),"-")</f>
        <v>0</v>
      </c>
      <c r="AI33" s="100" t="str">
        <f>IFERROR((SUMIF('5店辅助表'!AP:AP,B:B,'5店辅助表'!AR:AR)-SUMIF('5店辅助表'!AP:AP,B:B,'5店辅助表'!AR:AR)*0.15-(L33+IFERROR(VLOOKUP(B:B,'5店辅助表'!AZ:BA,2,0),0))*O33-IF(AN:AN="US",6.85,4.9)*(Z33+3.28*O33))/SUMIF('5店辅助表'!AP:AP,B:B,'5店辅助表'!AR:AR),"-")</f>
        <v>-</v>
      </c>
      <c r="AJ33" s="100" t="str">
        <f t="shared" si="7"/>
        <v>-</v>
      </c>
      <c r="AK33" s="101">
        <f t="shared" si="8"/>
        <v>0</v>
      </c>
      <c r="AL33" s="101">
        <f t="shared" si="9"/>
        <v>0</v>
      </c>
      <c r="AM33" s="1" t="str">
        <f>VLOOKUP(B:B,'5店辅助表'!AZ:AZ,1,FALSE)</f>
        <v>Y5059-BL</v>
      </c>
      <c r="AN33" t="str">
        <f>VLOOKUP(B:B,'5店辅助表'!AZ:BB,3,FALSE)</f>
        <v>US</v>
      </c>
    </row>
    <row r="34" customHeight="1" spans="1:40">
      <c r="A34" s="58" t="str">
        <f>INDEX('[1]5店'!$A:$A,MATCH(B:B,'[1]5店'!$B:$B,0))</f>
        <v>美珠</v>
      </c>
      <c r="B34" s="45" t="s">
        <v>1727</v>
      </c>
      <c r="C34" s="45" t="s">
        <v>1725</v>
      </c>
      <c r="D34" s="59"/>
      <c r="E34" s="45" t="s">
        <v>1728</v>
      </c>
      <c r="F34" s="45">
        <v>1</v>
      </c>
      <c r="G34" s="45">
        <v>0</v>
      </c>
      <c r="H34" s="45">
        <v>0</v>
      </c>
      <c r="I34" s="45">
        <v>2</v>
      </c>
      <c r="J34" s="45">
        <v>0</v>
      </c>
      <c r="K34" s="63">
        <f t="shared" si="1"/>
        <v>3</v>
      </c>
      <c r="L34" s="64">
        <f>IFERROR(VLOOKUP($B:$B,'[1]5店'!$B:$L,11,FALSE),0)</f>
        <v>12</v>
      </c>
      <c r="M34" s="44">
        <f t="shared" si="10"/>
        <v>36</v>
      </c>
      <c r="N34" s="65">
        <f>IFERROR(VLOOKUP(B:B,'5店辅助表'!B:C,2,FALSE),0)</f>
        <v>0</v>
      </c>
      <c r="O34" s="65">
        <f>IFERROR(VLOOKUP(B:B,'5店辅助表'!E:F,2,FALSE),0)</f>
        <v>0</v>
      </c>
      <c r="P34" s="65">
        <f>IFERROR(VLOOKUP(B:B,'5店辅助表'!H:I,2,FALSE),0)</f>
        <v>0</v>
      </c>
      <c r="Q34" s="65">
        <f>IFERROR(VLOOKUP(B:B,'[1]5店'!$B:$P,13,FALSE),0)</f>
        <v>0</v>
      </c>
      <c r="R34" s="79">
        <f t="shared" si="2"/>
        <v>0</v>
      </c>
      <c r="S34" s="80" t="str">
        <f t="shared" si="3"/>
        <v>-</v>
      </c>
      <c r="T34" s="44" t="str">
        <f t="shared" si="4"/>
        <v>-</v>
      </c>
      <c r="U34" s="44" t="str">
        <f>IFERROR(VLOOKUP(B:B,'[1]5店'!$B:$T,19,0),"-")</f>
        <v>-</v>
      </c>
      <c r="V34" s="81" t="str">
        <f t="shared" si="5"/>
        <v>-</v>
      </c>
      <c r="W34" s="82" t="str">
        <f>_xlfn.IFS(AND(D34&lt;&gt;0,D34-$AM$2&gt;=0,B34&gt;0,D34&lt;&gt;0),"本月刚到货",AND(IFERROR((K34/(N34/7))/30,"-")="-",K34&gt;0),"有库存无销量",AND(IFERROR((K34/(N34/7))/30,"-")="-",K34=0),"无库存无销量",AND(IFERROR((K34/(N34/7))/30,"-")&lt;=0.5,K34=0),"无库存有销量",IFERROR((K34/(N34/7))/30,"-")&lt;=0.5,"库存过低",IFERROR((K34/(N34/7))/30,"-")&lt;=1.5,"正常",IFERROR((K34/(N34/7))/30,"-")&gt;1.5,"库存过高")</f>
        <v>有库存无销量</v>
      </c>
      <c r="X34" s="83" t="str">
        <f>_xlfn.IFS(AND(D34&lt;&gt;0,D34-$AM$2&gt;=0,K34&gt;0,D34&lt;&gt;0),"本月刚到货",AND(T34="-",K34&gt;0),"有库存无销量",AND(T34="-",K34=0),"无库存无销量",AND(T34&lt;=0.5,K34=0),"无库存有销量",T34&lt;=0.5,"库存过低",T34&lt;=1.5,"正常",T34&gt;1.5,"库存过高")</f>
        <v>有库存无销量</v>
      </c>
      <c r="Y34" s="44">
        <f>IFERROR(SUMIF('5店辅助表'!K:K,B:B,'5店辅助表'!N:N),0)</f>
        <v>0</v>
      </c>
      <c r="Z34" s="44">
        <f>IFERROR(SUMIF('5店辅助表'!T:T,B:B,'5店辅助表'!W:W),0)</f>
        <v>0</v>
      </c>
      <c r="AA34" s="44">
        <f>IFERROR(SUMIF('5店辅助表'!AC:AC,B:B,'5店辅助表'!AF:AF),0)</f>
        <v>0</v>
      </c>
      <c r="AB34" s="91" t="str">
        <f>IFERROR(SUMIF('5店辅助表'!K:K,B:B,'5店辅助表'!N:N)/SUMIF('5店辅助表'!K:K,B:B,'5店辅助表'!O:O),"-")</f>
        <v>-</v>
      </c>
      <c r="AC34" s="91" t="str">
        <f>IFERROR(VLOOKUP(B:B,'[1]5店'!$B:$AB,27,FALSE),"-")</f>
        <v>-</v>
      </c>
      <c r="AD34" s="92" t="str">
        <f t="shared" si="6"/>
        <v>-</v>
      </c>
      <c r="AE34" s="91" t="str">
        <f>IFERROR(SUMIF('5店辅助表'!T:T,B:B,'5店辅助表'!W:W)/SUMIF('5店辅助表'!T:T,B:B,'5店辅助表'!X:X),"-")</f>
        <v>-</v>
      </c>
      <c r="AF34" s="91" t="str">
        <f>IFERROR(SUMIF('5店辅助表'!AC:AC,B:B,'5店辅助表'!AF:AF)/SUMIF('5店辅助表'!AC:AC,B:B,'5店辅助表'!AG:AG),"-")</f>
        <v>-</v>
      </c>
      <c r="AG34" s="99">
        <f>IFERROR(AK34/((SUMIF('5店辅助表'!AT:AT,B:B,'5店辅助表'!AU:AU)+M34)/2),"-")</f>
        <v>0</v>
      </c>
      <c r="AH34" s="99">
        <f>IFERROR(AL34/((SUMIF('5店辅助表'!AW:AW,B:B,'5店辅助表'!AX:AX)+M34)/2),"-")</f>
        <v>0</v>
      </c>
      <c r="AI34" s="100" t="str">
        <f>IFERROR((SUMIF('5店辅助表'!AP:AP,B:B,'5店辅助表'!AR:AR)-SUMIF('5店辅助表'!AP:AP,B:B,'5店辅助表'!AR:AR)*0.15-(L34+IFERROR(VLOOKUP(B:B,'5店辅助表'!AZ:BA,2,0),0))*O34-IF(AN:AN="US",6.85,4.9)*(Z34+3.28*O34))/SUMIF('5店辅助表'!AP:AP,B:B,'5店辅助表'!AR:AR),"-")</f>
        <v>-</v>
      </c>
      <c r="AJ34" s="100" t="str">
        <f t="shared" si="7"/>
        <v>-</v>
      </c>
      <c r="AK34" s="101">
        <f t="shared" si="8"/>
        <v>0</v>
      </c>
      <c r="AL34" s="101">
        <f t="shared" si="9"/>
        <v>0</v>
      </c>
      <c r="AM34" s="1" t="str">
        <f>VLOOKUP(B:B,'5店辅助表'!AZ:AZ,1,FALSE)</f>
        <v>Y5059-GR</v>
      </c>
      <c r="AN34" t="str">
        <f>VLOOKUP(B:B,'5店辅助表'!AZ:BB,3,FALSE)</f>
        <v>US</v>
      </c>
    </row>
    <row r="35" customHeight="1" spans="1:40">
      <c r="A35" s="58" t="str">
        <f>INDEX('[1]5店'!$A:$A,MATCH(B:B,'[1]5店'!$B:$B,0))</f>
        <v>美珠</v>
      </c>
      <c r="B35" s="45" t="s">
        <v>1729</v>
      </c>
      <c r="C35" s="45" t="s">
        <v>1722</v>
      </c>
      <c r="D35" s="59"/>
      <c r="E35" s="45" t="s">
        <v>1723</v>
      </c>
      <c r="F35" s="45">
        <v>3</v>
      </c>
      <c r="G35" s="45">
        <v>0</v>
      </c>
      <c r="H35" s="45">
        <v>0</v>
      </c>
      <c r="I35" s="45">
        <v>0</v>
      </c>
      <c r="J35" s="45">
        <v>0</v>
      </c>
      <c r="K35" s="63">
        <f t="shared" si="1"/>
        <v>3</v>
      </c>
      <c r="L35" s="64">
        <f>IFERROR(VLOOKUP($B:$B,'[1]5店'!$B:$L,11,FALSE),0)</f>
        <v>12</v>
      </c>
      <c r="M35" s="44">
        <f t="shared" si="10"/>
        <v>36</v>
      </c>
      <c r="N35" s="65">
        <f>IFERROR(VLOOKUP(B:B,'5店辅助表'!B:C,2,FALSE),0)</f>
        <v>1</v>
      </c>
      <c r="O35" s="65">
        <f>IFERROR(VLOOKUP(B:B,'5店辅助表'!E:F,2,FALSE),0)</f>
        <v>1</v>
      </c>
      <c r="P35" s="65">
        <f>IFERROR(VLOOKUP(B:B,'5店辅助表'!H:I,2,FALSE),0)</f>
        <v>1</v>
      </c>
      <c r="Q35" s="65">
        <f>IFERROR(VLOOKUP(B:B,'[1]5店'!$B:$P,13,FALSE),0)</f>
        <v>0</v>
      </c>
      <c r="R35" s="79">
        <f t="shared" si="2"/>
        <v>1</v>
      </c>
      <c r="S35" s="80">
        <f t="shared" si="3"/>
        <v>37.0588235294118</v>
      </c>
      <c r="T35" s="44">
        <f t="shared" si="4"/>
        <v>1.23529411764706</v>
      </c>
      <c r="U35" s="44" t="str">
        <f>IFERROR(VLOOKUP(B:B,'[1]5店'!$B:$T,19,0),"-")</f>
        <v>-</v>
      </c>
      <c r="V35" s="81" t="str">
        <f t="shared" si="5"/>
        <v>-</v>
      </c>
      <c r="W35" s="82" t="str">
        <f>_xlfn.IFS(AND(D35&lt;&gt;0,D35-$AM$2&gt;=0,B35&gt;0,D35&lt;&gt;0),"本月刚到货",AND(IFERROR((K35/(N35/7))/30,"-")="-",K35&gt;0),"有库存无销量",AND(IFERROR((K35/(N35/7))/30,"-")="-",K35=0),"无库存无销量",AND(IFERROR((K35/(N35/7))/30,"-")&lt;=0.5,K35=0),"无库存有销量",IFERROR((K35/(N35/7))/30,"-")&lt;=0.5,"库存过低",IFERROR((K35/(N35/7))/30,"-")&lt;=1.5,"正常",IFERROR((K35/(N35/7))/30,"-")&gt;1.5,"库存过高")</f>
        <v>正常</v>
      </c>
      <c r="X35" s="83" t="str">
        <f>_xlfn.IFS(AND(D35&lt;&gt;0,D35-$AM$2&gt;=0,K35&gt;0,D35&lt;&gt;0),"本月刚到货",AND(T35="-",K35&gt;0),"有库存无销量",AND(T35="-",K35=0),"无库存无销量",AND(T35&lt;=0.5,K35=0),"无库存有销量",T35&lt;=0.5,"库存过低",T35&lt;=1.5,"正常",T35&gt;1.5,"库存过高")</f>
        <v>正常</v>
      </c>
      <c r="Y35" s="44">
        <f>IFERROR(SUMIF('5店辅助表'!K:K,B:B,'5店辅助表'!N:N),0)</f>
        <v>0</v>
      </c>
      <c r="Z35" s="44">
        <f>IFERROR(SUMIF('5店辅助表'!T:T,B:B,'5店辅助表'!W:W),0)</f>
        <v>0</v>
      </c>
      <c r="AA35" s="44">
        <f>IFERROR(SUMIF('5店辅助表'!AC:AC,B:B,'5店辅助表'!AF:AF),0)</f>
        <v>0</v>
      </c>
      <c r="AB35" s="91" t="str">
        <f>IFERROR(SUMIF('5店辅助表'!K:K,B:B,'5店辅助表'!N:N)/SUMIF('5店辅助表'!K:K,B:B,'5店辅助表'!O:O),"-")</f>
        <v>-</v>
      </c>
      <c r="AC35" s="91" t="str">
        <f>IFERROR(VLOOKUP(B:B,'[1]5店'!$B:$AB,27,FALSE),"-")</f>
        <v>-</v>
      </c>
      <c r="AD35" s="92" t="str">
        <f t="shared" si="6"/>
        <v>-</v>
      </c>
      <c r="AE35" s="91" t="str">
        <f>IFERROR(SUMIF('5店辅助表'!T:T,B:B,'5店辅助表'!W:W)/SUMIF('5店辅助表'!T:T,B:B,'5店辅助表'!X:X),"-")</f>
        <v>-</v>
      </c>
      <c r="AF35" s="91" t="str">
        <f>IFERROR(SUMIF('5店辅助表'!AC:AC,B:B,'5店辅助表'!AF:AF)/SUMIF('5店辅助表'!AC:AC,B:B,'5店辅助表'!AG:AG),"-")</f>
        <v>-</v>
      </c>
      <c r="AG35" s="99">
        <f>IFERROR(AK35/((SUMIF('5店辅助表'!AT:AT,B:B,'5店辅助表'!AU:AU)+M35)/2),"-")</f>
        <v>0.285714285714286</v>
      </c>
      <c r="AH35" s="99">
        <f>IFERROR(AL35/((SUMIF('5店辅助表'!AW:AW,B:B,'5店辅助表'!AX:AX)+M35)/2),"-")</f>
        <v>0.2</v>
      </c>
      <c r="AI35" s="100">
        <f>IFERROR((SUMIF('5店辅助表'!AP:AP,B:B,'5店辅助表'!AR:AR)-SUMIF('5店辅助表'!AP:AP,B:B,'5店辅助表'!AR:AR)*0.15-(L35+IFERROR(VLOOKUP(B:B,'5店辅助表'!AZ:BA,2,0),0))*O35-IF(AN:AN="US",6.85,4.9)*(Z35+3.28*O35))/SUMIF('5店辅助表'!AP:AP,B:B,'5店辅助表'!AR:AR),"-")</f>
        <v>0.289005289754425</v>
      </c>
      <c r="AJ35" s="100">
        <f t="shared" si="7"/>
        <v>0.0578010579508851</v>
      </c>
      <c r="AK35" s="101">
        <f t="shared" si="8"/>
        <v>12</v>
      </c>
      <c r="AL35" s="101">
        <f t="shared" si="9"/>
        <v>12</v>
      </c>
      <c r="AM35" s="1" t="str">
        <f>VLOOKUP(B:B,'5店辅助表'!AZ:AZ,1,FALSE)</f>
        <v>Y5058-DB</v>
      </c>
      <c r="AN35" t="str">
        <f>VLOOKUP(B:B,'5店辅助表'!AZ:BB,3,FALSE)</f>
        <v>US</v>
      </c>
    </row>
    <row r="36" customHeight="1" spans="1:40">
      <c r="A36" s="58" t="str">
        <f>INDEX('[1]5店'!$A:$A,MATCH(B:B,'[1]5店'!$B:$B,0))</f>
        <v>美珠</v>
      </c>
      <c r="B36" s="45" t="s">
        <v>1730</v>
      </c>
      <c r="C36" s="45" t="s">
        <v>1719</v>
      </c>
      <c r="D36" s="59"/>
      <c r="E36" s="45" t="s">
        <v>1720</v>
      </c>
      <c r="F36" s="45">
        <v>1</v>
      </c>
      <c r="G36" s="45">
        <v>0</v>
      </c>
      <c r="H36" s="45">
        <v>0</v>
      </c>
      <c r="I36" s="45">
        <v>8</v>
      </c>
      <c r="J36" s="45">
        <v>0</v>
      </c>
      <c r="K36" s="63">
        <f t="shared" si="1"/>
        <v>9</v>
      </c>
      <c r="L36" s="64">
        <f>IFERROR(VLOOKUP($B:$B,'[1]5店'!$B:$L,11,FALSE),0)</f>
        <v>35</v>
      </c>
      <c r="M36" s="44">
        <f t="shared" si="10"/>
        <v>315</v>
      </c>
      <c r="N36" s="65">
        <f>IFERROR(VLOOKUP(B:B,'5店辅助表'!B:C,2,FALSE),0)</f>
        <v>0</v>
      </c>
      <c r="O36" s="65">
        <f>IFERROR(VLOOKUP(B:B,'5店辅助表'!E:F,2,FALSE),0)</f>
        <v>0</v>
      </c>
      <c r="P36" s="65">
        <f>IFERROR(VLOOKUP(B:B,'5店辅助表'!H:I,2,FALSE),0)</f>
        <v>0</v>
      </c>
      <c r="Q36" s="65">
        <f>IFERROR(VLOOKUP(B:B,'[1]5店'!$B:$P,13,FALSE),0)</f>
        <v>0</v>
      </c>
      <c r="R36" s="79">
        <f t="shared" si="2"/>
        <v>0</v>
      </c>
      <c r="S36" s="80" t="str">
        <f t="shared" si="3"/>
        <v>-</v>
      </c>
      <c r="T36" s="44" t="str">
        <f t="shared" si="4"/>
        <v>-</v>
      </c>
      <c r="U36" s="44" t="str">
        <f>IFERROR(VLOOKUP(B:B,'[1]5店'!$B:$T,19,0),"-")</f>
        <v>-</v>
      </c>
      <c r="V36" s="81" t="str">
        <f t="shared" si="5"/>
        <v>-</v>
      </c>
      <c r="W36" s="82" t="str">
        <f>_xlfn.IFS(AND(D36&lt;&gt;0,D36-$AM$2&gt;=0,B36&gt;0,D36&lt;&gt;0),"本月刚到货",AND(IFERROR((K36/(N36/7))/30,"-")="-",K36&gt;0),"有库存无销量",AND(IFERROR((K36/(N36/7))/30,"-")="-",K36=0),"无库存无销量",AND(IFERROR((K36/(N36/7))/30,"-")&lt;=0.5,K36=0),"无库存有销量",IFERROR((K36/(N36/7))/30,"-")&lt;=0.5,"库存过低",IFERROR((K36/(N36/7))/30,"-")&lt;=1.5,"正常",IFERROR((K36/(N36/7))/30,"-")&gt;1.5,"库存过高")</f>
        <v>有库存无销量</v>
      </c>
      <c r="X36" s="83" t="str">
        <f>_xlfn.IFS(AND(D36&lt;&gt;0,D36-$AM$2&gt;=0,K36&gt;0,D36&lt;&gt;0),"本月刚到货",AND(T36="-",K36&gt;0),"有库存无销量",AND(T36="-",K36=0),"无库存无销量",AND(T36&lt;=0.5,K36=0),"无库存有销量",T36&lt;=0.5,"库存过低",T36&lt;=1.5,"正常",T36&gt;1.5,"库存过高")</f>
        <v>有库存无销量</v>
      </c>
      <c r="Y36" s="44">
        <f>IFERROR(SUMIF('5店辅助表'!K:K,B:B,'5店辅助表'!N:N),0)</f>
        <v>0</v>
      </c>
      <c r="Z36" s="44">
        <f>IFERROR(SUMIF('5店辅助表'!T:T,B:B,'5店辅助表'!W:W),0)</f>
        <v>0</v>
      </c>
      <c r="AA36" s="44">
        <f>IFERROR(SUMIF('5店辅助表'!AC:AC,B:B,'5店辅助表'!AF:AF),0)</f>
        <v>0</v>
      </c>
      <c r="AB36" s="91" t="str">
        <f>IFERROR(SUMIF('5店辅助表'!K:K,B:B,'5店辅助表'!N:N)/SUMIF('5店辅助表'!K:K,B:B,'5店辅助表'!O:O),"-")</f>
        <v>-</v>
      </c>
      <c r="AC36" s="91" t="str">
        <f>IFERROR(VLOOKUP(B:B,'[1]5店'!$B:$AB,27,FALSE),"-")</f>
        <v>-</v>
      </c>
      <c r="AD36" s="92" t="str">
        <f t="shared" si="6"/>
        <v>-</v>
      </c>
      <c r="AE36" s="91" t="str">
        <f>IFERROR(SUMIF('5店辅助表'!T:T,B:B,'5店辅助表'!W:W)/SUMIF('5店辅助表'!T:T,B:B,'5店辅助表'!X:X),"-")</f>
        <v>-</v>
      </c>
      <c r="AF36" s="91" t="str">
        <f>IFERROR(SUMIF('5店辅助表'!AC:AC,B:B,'5店辅助表'!AF:AF)/SUMIF('5店辅助表'!AC:AC,B:B,'5店辅助表'!AG:AG),"-")</f>
        <v>-</v>
      </c>
      <c r="AG36" s="99">
        <f>IFERROR(AK36/((SUMIF('5店辅助表'!AT:AT,B:B,'5店辅助表'!AU:AU)+M36)/2),"-")</f>
        <v>0</v>
      </c>
      <c r="AH36" s="99">
        <f>IFERROR(AL36/((SUMIF('5店辅助表'!AW:AW,B:B,'5店辅助表'!AX:AX)+M36)/2),"-")</f>
        <v>0</v>
      </c>
      <c r="AI36" s="100" t="str">
        <f>IFERROR((SUMIF('5店辅助表'!AP:AP,B:B,'5店辅助表'!AR:AR)-SUMIF('5店辅助表'!AP:AP,B:B,'5店辅助表'!AR:AR)*0.15-(L36+IFERROR(VLOOKUP(B:B,'5店辅助表'!AZ:BA,2,0),0))*O36-IF(AN:AN="US",6.85,4.9)*(Z36+3.28*O36))/SUMIF('5店辅助表'!AP:AP,B:B,'5店辅助表'!AR:AR),"-")</f>
        <v>-</v>
      </c>
      <c r="AJ36" s="100" t="str">
        <f t="shared" si="7"/>
        <v>-</v>
      </c>
      <c r="AK36" s="101">
        <f t="shared" si="8"/>
        <v>0</v>
      </c>
      <c r="AL36" s="101">
        <f t="shared" si="9"/>
        <v>0</v>
      </c>
      <c r="AM36" s="1" t="str">
        <f>VLOOKUP(B:B,'5店辅助表'!AZ:AZ,1,FALSE)</f>
        <v>Y5060-GR</v>
      </c>
      <c r="AN36" t="str">
        <f>VLOOKUP(B:B,'5店辅助表'!AZ:BB,3,FALSE)</f>
        <v>US</v>
      </c>
    </row>
    <row r="37" customHeight="1" spans="1:40">
      <c r="A37" s="58" t="str">
        <f>INDEX('[1]5店'!$A:$A,MATCH(B:B,'[1]5店'!$B:$B,0))</f>
        <v>美珠</v>
      </c>
      <c r="B37" s="45" t="s">
        <v>1731</v>
      </c>
      <c r="C37" s="45" t="s">
        <v>1719</v>
      </c>
      <c r="D37" s="59"/>
      <c r="E37" s="45" t="s">
        <v>1720</v>
      </c>
      <c r="F37" s="45">
        <v>0</v>
      </c>
      <c r="G37" s="45">
        <v>0</v>
      </c>
      <c r="H37" s="45">
        <v>0</v>
      </c>
      <c r="I37" s="45">
        <v>8</v>
      </c>
      <c r="J37" s="45">
        <v>0</v>
      </c>
      <c r="K37" s="63">
        <f t="shared" si="1"/>
        <v>8</v>
      </c>
      <c r="L37" s="64">
        <f>IFERROR(VLOOKUP($B:$B,'[1]5店'!$B:$L,11,FALSE),0)</f>
        <v>35</v>
      </c>
      <c r="M37" s="44">
        <f t="shared" ref="M37:M69" si="11">K37*L37</f>
        <v>280</v>
      </c>
      <c r="N37" s="65">
        <f>IFERROR(VLOOKUP(B:B,'5店辅助表'!B:C,2,FALSE),0)</f>
        <v>0</v>
      </c>
      <c r="O37" s="65">
        <f>IFERROR(VLOOKUP(B:B,'5店辅助表'!E:F,2,FALSE),0)</f>
        <v>0</v>
      </c>
      <c r="P37" s="65">
        <f>IFERROR(VLOOKUP(B:B,'5店辅助表'!H:I,2,FALSE),0)</f>
        <v>0</v>
      </c>
      <c r="Q37" s="65">
        <f>IFERROR(VLOOKUP(B:B,'[1]5店'!$B:$P,13,FALSE),0)</f>
        <v>0</v>
      </c>
      <c r="R37" s="79">
        <f t="shared" si="2"/>
        <v>0</v>
      </c>
      <c r="S37" s="80" t="str">
        <f t="shared" si="3"/>
        <v>-</v>
      </c>
      <c r="T37" s="44" t="str">
        <f t="shared" si="4"/>
        <v>-</v>
      </c>
      <c r="U37" s="44" t="str">
        <f>IFERROR(VLOOKUP(B:B,'[1]5店'!$B:$T,19,0),"-")</f>
        <v>-</v>
      </c>
      <c r="V37" s="81" t="str">
        <f t="shared" si="5"/>
        <v>-</v>
      </c>
      <c r="W37" s="82" t="str">
        <f>_xlfn.IFS(AND(D37&lt;&gt;0,D37-$AM$2&gt;=0,B37&gt;0,D37&lt;&gt;0),"本月刚到货",AND(IFERROR((K37/(N37/7))/30,"-")="-",K37&gt;0),"有库存无销量",AND(IFERROR((K37/(N37/7))/30,"-")="-",K37=0),"无库存无销量",AND(IFERROR((K37/(N37/7))/30,"-")&lt;=0.5,K37=0),"无库存有销量",IFERROR((K37/(N37/7))/30,"-")&lt;=0.5,"库存过低",IFERROR((K37/(N37/7))/30,"-")&lt;=1.5,"正常",IFERROR((K37/(N37/7))/30,"-")&gt;1.5,"库存过高")</f>
        <v>有库存无销量</v>
      </c>
      <c r="X37" s="83" t="str">
        <f>_xlfn.IFS(AND(D37&lt;&gt;0,D37-$AM$2&gt;=0,K37&gt;0,D37&lt;&gt;0),"本月刚到货",AND(T37="-",K37&gt;0),"有库存无销量",AND(T37="-",K37=0),"无库存无销量",AND(T37&lt;=0.5,K37=0),"无库存有销量",T37&lt;=0.5,"库存过低",T37&lt;=1.5,"正常",T37&gt;1.5,"库存过高")</f>
        <v>有库存无销量</v>
      </c>
      <c r="Y37" s="44">
        <f>IFERROR(SUMIF('5店辅助表'!K:K,B:B,'5店辅助表'!N:N),0)</f>
        <v>0</v>
      </c>
      <c r="Z37" s="44">
        <f>IFERROR(SUMIF('5店辅助表'!T:T,B:B,'5店辅助表'!W:W),0)</f>
        <v>0</v>
      </c>
      <c r="AA37" s="44">
        <f>IFERROR(SUMIF('5店辅助表'!AC:AC,B:B,'5店辅助表'!AF:AF),0)</f>
        <v>0</v>
      </c>
      <c r="AB37" s="91" t="str">
        <f>IFERROR(SUMIF('5店辅助表'!K:K,B:B,'5店辅助表'!N:N)/SUMIF('5店辅助表'!K:K,B:B,'5店辅助表'!O:O),"-")</f>
        <v>-</v>
      </c>
      <c r="AC37" s="91" t="str">
        <f>IFERROR(VLOOKUP(B:B,'[1]5店'!$B:$AB,27,FALSE),"-")</f>
        <v>-</v>
      </c>
      <c r="AD37" s="92" t="str">
        <f t="shared" si="6"/>
        <v>-</v>
      </c>
      <c r="AE37" s="91" t="str">
        <f>IFERROR(SUMIF('5店辅助表'!T:T,B:B,'5店辅助表'!W:W)/SUMIF('5店辅助表'!T:T,B:B,'5店辅助表'!X:X),"-")</f>
        <v>-</v>
      </c>
      <c r="AF37" s="91" t="str">
        <f>IFERROR(SUMIF('5店辅助表'!AC:AC,B:B,'5店辅助表'!AF:AF)/SUMIF('5店辅助表'!AC:AC,B:B,'5店辅助表'!AG:AG),"-")</f>
        <v>-</v>
      </c>
      <c r="AG37" s="99">
        <f>IFERROR(AK37/((SUMIF('5店辅助表'!AT:AT,B:B,'5店辅助表'!AU:AU)+M37)/2),"-")</f>
        <v>0</v>
      </c>
      <c r="AH37" s="99">
        <f>IFERROR(AL37/((SUMIF('5店辅助表'!AW:AW,B:B,'5店辅助表'!AX:AX)+M37)/2),"-")</f>
        <v>0</v>
      </c>
      <c r="AI37" s="100" t="str">
        <f>IFERROR((SUMIF('5店辅助表'!AP:AP,B:B,'5店辅助表'!AR:AR)-SUMIF('5店辅助表'!AP:AP,B:B,'5店辅助表'!AR:AR)*0.15-(L37+IFERROR(VLOOKUP(B:B,'5店辅助表'!AZ:BA,2,0),0))*O37-IF(AN:AN="US",6.85,4.9)*(Z37+3.28*O37))/SUMIF('5店辅助表'!AP:AP,B:B,'5店辅助表'!AR:AR),"-")</f>
        <v>-</v>
      </c>
      <c r="AJ37" s="100" t="str">
        <f t="shared" si="7"/>
        <v>-</v>
      </c>
      <c r="AK37" s="101">
        <f t="shared" si="8"/>
        <v>0</v>
      </c>
      <c r="AL37" s="101">
        <f t="shared" si="9"/>
        <v>0</v>
      </c>
      <c r="AM37" s="1" t="str">
        <f>VLOOKUP(B:B,'5店辅助表'!AZ:AZ,1,FALSE)</f>
        <v>Y5060-PU</v>
      </c>
      <c r="AN37" t="str">
        <f>VLOOKUP(B:B,'5店辅助表'!AZ:BB,3,FALSE)</f>
        <v>US</v>
      </c>
    </row>
    <row r="38" customHeight="1" spans="1:40">
      <c r="A38" s="58" t="str">
        <f>INDEX('[1]5店'!$A:$A,MATCH(B:B,'[1]5店'!$B:$B,0))</f>
        <v>美珠</v>
      </c>
      <c r="B38" s="45" t="s">
        <v>1732</v>
      </c>
      <c r="C38" s="45" t="s">
        <v>1722</v>
      </c>
      <c r="D38" s="59"/>
      <c r="E38" s="45" t="s">
        <v>1723</v>
      </c>
      <c r="F38" s="45">
        <v>5</v>
      </c>
      <c r="G38" s="45">
        <v>0</v>
      </c>
      <c r="H38" s="45">
        <v>0</v>
      </c>
      <c r="I38" s="45">
        <v>0</v>
      </c>
      <c r="J38" s="45">
        <v>0</v>
      </c>
      <c r="K38" s="63">
        <f t="shared" si="1"/>
        <v>5</v>
      </c>
      <c r="L38" s="64">
        <f>IFERROR(VLOOKUP($B:$B,'[1]5店'!$B:$L,11,FALSE),0)</f>
        <v>12</v>
      </c>
      <c r="M38" s="44">
        <f t="shared" si="11"/>
        <v>60</v>
      </c>
      <c r="N38" s="65">
        <f>IFERROR(VLOOKUP(B:B,'5店辅助表'!B:C,2,FALSE),0)</f>
        <v>0</v>
      </c>
      <c r="O38" s="65">
        <f>IFERROR(VLOOKUP(B:B,'5店辅助表'!E:F,2,FALSE),0)</f>
        <v>0</v>
      </c>
      <c r="P38" s="65">
        <f>IFERROR(VLOOKUP(B:B,'5店辅助表'!H:I,2,FALSE),0)</f>
        <v>2</v>
      </c>
      <c r="Q38" s="65">
        <f>IFERROR(VLOOKUP(B:B,'[1]5店'!$B:$P,13,FALSE),0)</f>
        <v>0</v>
      </c>
      <c r="R38" s="79">
        <f t="shared" si="2"/>
        <v>0</v>
      </c>
      <c r="S38" s="80">
        <f t="shared" si="3"/>
        <v>225</v>
      </c>
      <c r="T38" s="44">
        <f t="shared" si="4"/>
        <v>7.5</v>
      </c>
      <c r="U38" s="44">
        <f>IFERROR(VLOOKUP(B:B,'[1]5店'!$B:$T,19,0),"-")</f>
        <v>3.75</v>
      </c>
      <c r="V38" s="81">
        <f t="shared" si="5"/>
        <v>3.75</v>
      </c>
      <c r="W38" s="82" t="str">
        <f>_xlfn.IFS(AND(D38&lt;&gt;0,D38-$AM$2&gt;=0,B38&gt;0,D38&lt;&gt;0),"本月刚到货",AND(IFERROR((K38/(N38/7))/30,"-")="-",K38&gt;0),"有库存无销量",AND(IFERROR((K38/(N38/7))/30,"-")="-",K38=0),"无库存无销量",AND(IFERROR((K38/(N38/7))/30,"-")&lt;=0.5,K38=0),"无库存有销量",IFERROR((K38/(N38/7))/30,"-")&lt;=0.5,"库存过低",IFERROR((K38/(N38/7))/30,"-")&lt;=1.5,"正常",IFERROR((K38/(N38/7))/30,"-")&gt;1.5,"库存过高")</f>
        <v>有库存无销量</v>
      </c>
      <c r="X38" s="83" t="str">
        <f>_xlfn.IFS(AND(D38&lt;&gt;0,D38-$AM$2&gt;=0,K38&gt;0,D38&lt;&gt;0),"本月刚到货",AND(T38="-",K38&gt;0),"有库存无销量",AND(T38="-",K38=0),"无库存无销量",AND(T38&lt;=0.5,K38=0),"无库存有销量",T38&lt;=0.5,"库存过低",T38&lt;=1.5,"正常",T38&gt;1.5,"库存过高")</f>
        <v>库存过高</v>
      </c>
      <c r="Y38" s="44">
        <f>IFERROR(SUMIF('5店辅助表'!K:K,B:B,'5店辅助表'!N:N),0)</f>
        <v>0.74</v>
      </c>
      <c r="Z38" s="44">
        <f>IFERROR(SUMIF('5店辅助表'!T:T,B:B,'5店辅助表'!W:W),0)</f>
        <v>1.3</v>
      </c>
      <c r="AA38" s="44">
        <f>IFERROR(SUMIF('5店辅助表'!AC:AC,B:B,'5店辅助表'!AF:AF),0)</f>
        <v>2.14</v>
      </c>
      <c r="AB38" s="91" t="str">
        <f>IFERROR(SUMIF('5店辅助表'!K:K,B:B,'5店辅助表'!N:N)/SUMIF('5店辅助表'!K:K,B:B,'5店辅助表'!O:O),"-")</f>
        <v>-</v>
      </c>
      <c r="AC38" s="91" t="str">
        <f>IFERROR(VLOOKUP(B:B,'[1]5店'!$B:$AB,27,FALSE),"-")</f>
        <v>-</v>
      </c>
      <c r="AD38" s="92" t="str">
        <f t="shared" si="6"/>
        <v>-</v>
      </c>
      <c r="AE38" s="91">
        <f>IFERROR(SUMIF('5店辅助表'!T:T,B:B,'5店辅助表'!W:W)/SUMIF('5店辅助表'!T:T,B:B,'5店辅助表'!X:X),"-")</f>
        <v>0.131578947368421</v>
      </c>
      <c r="AF38" s="91">
        <f>IFERROR(SUMIF('5店辅助表'!AC:AC,B:B,'5店辅助表'!AF:AF)/SUMIF('5店辅助表'!AC:AC,B:B,'5店辅助表'!AG:AG),"-")</f>
        <v>0.071667782987274</v>
      </c>
      <c r="AG38" s="99">
        <f>IFERROR(AK38/((SUMIF('5店辅助表'!AT:AT,B:B,'5店辅助表'!AU:AU)+M38)/2),"-")</f>
        <v>0</v>
      </c>
      <c r="AH38" s="99">
        <f>IFERROR(AL38/((SUMIF('5店辅助表'!AW:AW,B:B,'5店辅助表'!AX:AX)+M38)/2),"-")</f>
        <v>0</v>
      </c>
      <c r="AI38" s="100" t="str">
        <f>IFERROR((SUMIF('5店辅助表'!AP:AP,B:B,'5店辅助表'!AR:AR)-SUMIF('5店辅助表'!AP:AP,B:B,'5店辅助表'!AR:AR)*0.15-(L38+IFERROR(VLOOKUP(B:B,'5店辅助表'!AZ:BA,2,0),0))*O38-IF(AN:AN="US",6.85,4.9)*(Z38+3.28*O38))/SUMIF('5店辅助表'!AP:AP,B:B,'5店辅助表'!AR:AR),"-")</f>
        <v>-</v>
      </c>
      <c r="AJ38" s="100" t="str">
        <f t="shared" si="7"/>
        <v>-</v>
      </c>
      <c r="AK38" s="101">
        <f t="shared" si="8"/>
        <v>0</v>
      </c>
      <c r="AL38" s="101">
        <f t="shared" si="9"/>
        <v>0</v>
      </c>
      <c r="AM38" s="1" t="str">
        <f>VLOOKUP(B:B,'5店辅助表'!AZ:AZ,1,FALSE)</f>
        <v>Y5058-BL</v>
      </c>
      <c r="AN38" t="str">
        <f>VLOOKUP(B:B,'5店辅助表'!AZ:BB,3,FALSE)</f>
        <v>US</v>
      </c>
    </row>
    <row r="39" customHeight="1" spans="1:40">
      <c r="A39" s="58" t="str">
        <f>INDEX('[1]5店'!$A:$A,MATCH(B:B,'[1]5店'!$B:$B,0))</f>
        <v>秀青</v>
      </c>
      <c r="B39" s="117" t="s">
        <v>1733</v>
      </c>
      <c r="C39" s="45" t="s">
        <v>1734</v>
      </c>
      <c r="D39" s="59">
        <f>VLOOKUP(B:B,'[1]5店'!$B:$L,3,0)</f>
        <v>45125</v>
      </c>
      <c r="E39" s="45" t="s">
        <v>1735</v>
      </c>
      <c r="F39" s="45">
        <v>27</v>
      </c>
      <c r="G39" s="45">
        <v>0</v>
      </c>
      <c r="H39" s="45">
        <v>0</v>
      </c>
      <c r="I39" s="45">
        <v>0</v>
      </c>
      <c r="J39" s="45">
        <v>0</v>
      </c>
      <c r="K39" s="63">
        <f t="shared" si="1"/>
        <v>27</v>
      </c>
      <c r="L39" s="64">
        <f>IFERROR(VLOOKUP($B:$B,'[1]5店'!$B:$L,11,FALSE),0)</f>
        <v>31.063</v>
      </c>
      <c r="M39" s="44">
        <f t="shared" si="11"/>
        <v>838.701</v>
      </c>
      <c r="N39" s="65">
        <f>IFERROR(VLOOKUP(B:B,'5店辅助表'!B:C,2,FALSE),0)</f>
        <v>0</v>
      </c>
      <c r="O39" s="65">
        <f>IFERROR(VLOOKUP(B:B,'5店辅助表'!E:F,2,FALSE),0)</f>
        <v>0</v>
      </c>
      <c r="P39" s="65">
        <f>IFERROR(VLOOKUP(B:B,'5店辅助表'!H:I,2,FALSE),0)</f>
        <v>0</v>
      </c>
      <c r="Q39" s="65">
        <f>IFERROR(VLOOKUP(B:B,'[1]5店'!$B:$P,13,FALSE),0)</f>
        <v>0</v>
      </c>
      <c r="R39" s="79">
        <f t="shared" si="2"/>
        <v>0</v>
      </c>
      <c r="S39" s="80" t="str">
        <f t="shared" si="3"/>
        <v>-</v>
      </c>
      <c r="T39" s="44" t="str">
        <f t="shared" si="4"/>
        <v>-</v>
      </c>
      <c r="U39" s="44" t="str">
        <f>IFERROR(VLOOKUP(B:B,'[1]5店'!$B:$T,19,0),"-")</f>
        <v>-</v>
      </c>
      <c r="V39" s="81" t="str">
        <f t="shared" si="5"/>
        <v>-</v>
      </c>
      <c r="W39" s="82" t="str">
        <f>_xlfn.IFS(AND(D39&lt;&gt;0,D39-$AM$2&gt;=0,B39&gt;0,D39&lt;&gt;0),"本月刚到货",AND(IFERROR((K39/(N39/7))/30,"-")="-",K39&gt;0),"有库存无销量",AND(IFERROR((K39/(N39/7))/30,"-")="-",K39=0),"无库存无销量",AND(IFERROR((K39/(N39/7))/30,"-")&lt;=0.5,K39=0),"无库存有销量",IFERROR((K39/(N39/7))/30,"-")&lt;=0.5,"库存过低",IFERROR((K39/(N39/7))/30,"-")&lt;=1.5,"正常",IFERROR((K39/(N39/7))/30,"-")&gt;1.5,"库存过高")</f>
        <v>有库存无销量</v>
      </c>
      <c r="X39" s="83" t="str">
        <f>_xlfn.IFS(AND(D39&lt;&gt;0,D39-$AM$2&gt;=0,K39&gt;0,D39&lt;&gt;0),"本月刚到货",AND(T39="-",K39&gt;0),"有库存无销量",AND(T39="-",K39=0),"无库存无销量",AND(T39&lt;=0.5,K39=0),"无库存有销量",T39&lt;=0.5,"库存过低",T39&lt;=1.5,"正常",T39&gt;1.5,"库存过高")</f>
        <v>有库存无销量</v>
      </c>
      <c r="Y39" s="44">
        <f>IFERROR(SUMIF('5店辅助表'!K:K,B:B,'5店辅助表'!N:N),0)</f>
        <v>0</v>
      </c>
      <c r="Z39" s="44">
        <f>IFERROR(SUMIF('5店辅助表'!T:T,B:B,'5店辅助表'!W:W),0)</f>
        <v>0</v>
      </c>
      <c r="AA39" s="44">
        <f>IFERROR(SUMIF('5店辅助表'!AC:AC,B:B,'5店辅助表'!AF:AF),0)</f>
        <v>0</v>
      </c>
      <c r="AB39" s="91" t="str">
        <f>IFERROR(SUMIF('5店辅助表'!K:K,B:B,'5店辅助表'!N:N)/SUMIF('5店辅助表'!K:K,B:B,'5店辅助表'!O:O),"-")</f>
        <v>-</v>
      </c>
      <c r="AC39" s="91" t="str">
        <f>IFERROR(VLOOKUP(B:B,'[1]5店'!$B:$AB,27,FALSE),"-")</f>
        <v>-</v>
      </c>
      <c r="AD39" s="92" t="str">
        <f t="shared" si="6"/>
        <v>-</v>
      </c>
      <c r="AE39" s="91" t="str">
        <f>IFERROR(SUMIF('5店辅助表'!T:T,B:B,'5店辅助表'!W:W)/SUMIF('5店辅助表'!T:T,B:B,'5店辅助表'!X:X),"-")</f>
        <v>-</v>
      </c>
      <c r="AF39" s="91" t="str">
        <f>IFERROR(SUMIF('5店辅助表'!AC:AC,B:B,'5店辅助表'!AF:AF)/SUMIF('5店辅助表'!AC:AC,B:B,'5店辅助表'!AG:AG),"-")</f>
        <v>-</v>
      </c>
      <c r="AG39" s="99">
        <f>IFERROR(AK39/((SUMIF('5店辅助表'!AT:AT,B:B,'5店辅助表'!AU:AU)+M39)/2),"-")</f>
        <v>0</v>
      </c>
      <c r="AH39" s="99">
        <f>IFERROR(AL39/((SUMIF('5店辅助表'!AW:AW,B:B,'5店辅助表'!AX:AX)+M39)/2),"-")</f>
        <v>0</v>
      </c>
      <c r="AI39" s="100" t="str">
        <f>IFERROR((SUMIF('5店辅助表'!AP:AP,B:B,'5店辅助表'!AR:AR)-SUMIF('5店辅助表'!AP:AP,B:B,'5店辅助表'!AR:AR)*0.15-(L39+IFERROR(VLOOKUP(B:B,'5店辅助表'!AZ:BA,2,0),0))*O39-IF(AN:AN="US",6.85,4.9)*(Z39+3.28*O39))/SUMIF('5店辅助表'!AP:AP,B:B,'5店辅助表'!AR:AR),"-")</f>
        <v>-</v>
      </c>
      <c r="AJ39" s="100" t="str">
        <f t="shared" si="7"/>
        <v>-</v>
      </c>
      <c r="AK39" s="101">
        <f t="shared" si="8"/>
        <v>0</v>
      </c>
      <c r="AL39" s="101">
        <f t="shared" si="9"/>
        <v>0</v>
      </c>
      <c r="AM39" s="1" t="str">
        <f>VLOOKUP(B:B,'5店辅助表'!AZ:AZ,1,FALSE)</f>
        <v>Y5063-RE</v>
      </c>
      <c r="AN39" t="str">
        <f>VLOOKUP(B:B,'5店辅助表'!AZ:BB,3,FALSE)</f>
        <v>US</v>
      </c>
    </row>
    <row r="40" customHeight="1" spans="1:40">
      <c r="A40" s="58" t="str">
        <f>INDEX('[1]5店'!$A:$A,MATCH(B:B,'[1]5店'!$B:$B,0))</f>
        <v>秀青</v>
      </c>
      <c r="B40" s="117" t="s">
        <v>1736</v>
      </c>
      <c r="C40" s="45" t="s">
        <v>1737</v>
      </c>
      <c r="D40" s="59">
        <f>VLOOKUP(B:B,'[1]5店'!$B:$L,3,0)</f>
        <v>45125</v>
      </c>
      <c r="E40" s="45" t="s">
        <v>1738</v>
      </c>
      <c r="F40" s="45">
        <v>38</v>
      </c>
      <c r="G40" s="45">
        <v>0</v>
      </c>
      <c r="H40" s="45">
        <v>0</v>
      </c>
      <c r="I40" s="45">
        <v>0</v>
      </c>
      <c r="J40" s="45">
        <v>0</v>
      </c>
      <c r="K40" s="63">
        <f t="shared" si="1"/>
        <v>38</v>
      </c>
      <c r="L40" s="64">
        <f>IFERROR(VLOOKUP($B:$B,'[1]5店'!$B:$L,11,FALSE),0)</f>
        <v>32.063</v>
      </c>
      <c r="M40" s="44">
        <f t="shared" si="11"/>
        <v>1218.394</v>
      </c>
      <c r="N40" s="65">
        <f>IFERROR(VLOOKUP(B:B,'5店辅助表'!B:C,2,FALSE),0)</f>
        <v>0</v>
      </c>
      <c r="O40" s="65">
        <f>IFERROR(VLOOKUP(B:B,'5店辅助表'!E:F,2,FALSE),0)</f>
        <v>0</v>
      </c>
      <c r="P40" s="65">
        <f>IFERROR(VLOOKUP(B:B,'5店辅助表'!H:I,2,FALSE),0)</f>
        <v>0</v>
      </c>
      <c r="Q40" s="65">
        <f>IFERROR(VLOOKUP(B:B,'[1]5店'!$B:$P,13,FALSE),0)</f>
        <v>0</v>
      </c>
      <c r="R40" s="79">
        <f t="shared" si="2"/>
        <v>0</v>
      </c>
      <c r="S40" s="80" t="str">
        <f t="shared" si="3"/>
        <v>-</v>
      </c>
      <c r="T40" s="44" t="str">
        <f t="shared" si="4"/>
        <v>-</v>
      </c>
      <c r="U40" s="44" t="str">
        <f>IFERROR(VLOOKUP(B:B,'[1]5店'!$B:$T,19,0),"-")</f>
        <v>-</v>
      </c>
      <c r="V40" s="81" t="str">
        <f t="shared" si="5"/>
        <v>-</v>
      </c>
      <c r="W40" s="82" t="str">
        <f>_xlfn.IFS(AND(D40&lt;&gt;0,D40-$AM$2&gt;=0,B40&gt;0,D40&lt;&gt;0),"本月刚到货",AND(IFERROR((K40/(N40/7))/30,"-")="-",K40&gt;0),"有库存无销量",AND(IFERROR((K40/(N40/7))/30,"-")="-",K40=0),"无库存无销量",AND(IFERROR((K40/(N40/7))/30,"-")&lt;=0.5,K40=0),"无库存有销量",IFERROR((K40/(N40/7))/30,"-")&lt;=0.5,"库存过低",IFERROR((K40/(N40/7))/30,"-")&lt;=1.5,"正常",IFERROR((K40/(N40/7))/30,"-")&gt;1.5,"库存过高")</f>
        <v>有库存无销量</v>
      </c>
      <c r="X40" s="83" t="str">
        <f>_xlfn.IFS(AND(D40&lt;&gt;0,D40-$AM$2&gt;=0,K40&gt;0,D40&lt;&gt;0),"本月刚到货",AND(T40="-",K40&gt;0),"有库存无销量",AND(T40="-",K40=0),"无库存无销量",AND(T40&lt;=0.5,K40=0),"无库存有销量",T40&lt;=0.5,"库存过低",T40&lt;=1.5,"正常",T40&gt;1.5,"库存过高")</f>
        <v>有库存无销量</v>
      </c>
      <c r="Y40" s="44">
        <f>IFERROR(SUMIF('5店辅助表'!K:K,B:B,'5店辅助表'!N:N),0)</f>
        <v>0</v>
      </c>
      <c r="Z40" s="44">
        <f>IFERROR(SUMIF('5店辅助表'!T:T,B:B,'5店辅助表'!W:W),0)</f>
        <v>0</v>
      </c>
      <c r="AA40" s="44">
        <f>IFERROR(SUMIF('5店辅助表'!AC:AC,B:B,'5店辅助表'!AF:AF),0)</f>
        <v>0</v>
      </c>
      <c r="AB40" s="91" t="str">
        <f>IFERROR(SUMIF('5店辅助表'!K:K,B:B,'5店辅助表'!N:N)/SUMIF('5店辅助表'!K:K,B:B,'5店辅助表'!O:O),"-")</f>
        <v>-</v>
      </c>
      <c r="AC40" s="91" t="str">
        <f>IFERROR(VLOOKUP(B:B,'[1]5店'!$B:$AB,27,FALSE),"-")</f>
        <v>-</v>
      </c>
      <c r="AD40" s="92" t="str">
        <f t="shared" si="6"/>
        <v>-</v>
      </c>
      <c r="AE40" s="91" t="str">
        <f>IFERROR(SUMIF('5店辅助表'!T:T,B:B,'5店辅助表'!W:W)/SUMIF('5店辅助表'!T:T,B:B,'5店辅助表'!X:X),"-")</f>
        <v>-</v>
      </c>
      <c r="AF40" s="91" t="str">
        <f>IFERROR(SUMIF('5店辅助表'!AC:AC,B:B,'5店辅助表'!AF:AF)/SUMIF('5店辅助表'!AC:AC,B:B,'5店辅助表'!AG:AG),"-")</f>
        <v>-</v>
      </c>
      <c r="AG40" s="99">
        <f>IFERROR(AK40/((SUMIF('5店辅助表'!AT:AT,B:B,'5店辅助表'!AU:AU)+M40)/2),"-")</f>
        <v>0</v>
      </c>
      <c r="AH40" s="99">
        <f>IFERROR(AL40/((SUMIF('5店辅助表'!AW:AW,B:B,'5店辅助表'!AX:AX)+M40)/2),"-")</f>
        <v>0</v>
      </c>
      <c r="AI40" s="100" t="str">
        <f>IFERROR((SUMIF('5店辅助表'!AP:AP,B:B,'5店辅助表'!AR:AR)-SUMIF('5店辅助表'!AP:AP,B:B,'5店辅助表'!AR:AR)*0.15-(L40+IFERROR(VLOOKUP(B:B,'5店辅助表'!AZ:BA,2,0),0))*O40-IF(AN:AN="US",6.85,4.9)*(Z40+3.28*O40))/SUMIF('5店辅助表'!AP:AP,B:B,'5店辅助表'!AR:AR),"-")</f>
        <v>-</v>
      </c>
      <c r="AJ40" s="100" t="str">
        <f t="shared" si="7"/>
        <v>-</v>
      </c>
      <c r="AK40" s="101">
        <f t="shared" si="8"/>
        <v>0</v>
      </c>
      <c r="AL40" s="101">
        <f t="shared" si="9"/>
        <v>0</v>
      </c>
      <c r="AM40" s="1" t="str">
        <f>VLOOKUP(B:B,'5店辅助表'!AZ:AZ,1,FALSE)</f>
        <v>Y5064-BL</v>
      </c>
      <c r="AN40" t="str">
        <f>VLOOKUP(B:B,'5店辅助表'!AZ:BB,3,FALSE)</f>
        <v>US</v>
      </c>
    </row>
    <row r="41" customHeight="1" spans="1:40">
      <c r="A41" s="58" t="str">
        <f>INDEX('[1]5店'!$A:$A,MATCH(B:B,'[1]5店'!$B:$B,0))</f>
        <v>秀青</v>
      </c>
      <c r="B41" s="117" t="s">
        <v>1739</v>
      </c>
      <c r="C41" s="45" t="s">
        <v>1737</v>
      </c>
      <c r="D41" s="59">
        <f>VLOOKUP(B:B,'[1]5店'!$B:$L,3,0)</f>
        <v>45125</v>
      </c>
      <c r="E41" s="45" t="s">
        <v>1740</v>
      </c>
      <c r="F41" s="45">
        <v>36</v>
      </c>
      <c r="G41" s="45">
        <v>0</v>
      </c>
      <c r="H41" s="45">
        <v>0</v>
      </c>
      <c r="I41" s="45">
        <v>0</v>
      </c>
      <c r="J41" s="45">
        <v>0</v>
      </c>
      <c r="K41" s="63">
        <f t="shared" si="1"/>
        <v>36</v>
      </c>
      <c r="L41" s="64">
        <f>IFERROR(VLOOKUP($B:$B,'[1]5店'!$B:$L,11,FALSE),0)</f>
        <v>32</v>
      </c>
      <c r="M41" s="44">
        <f t="shared" si="11"/>
        <v>1152</v>
      </c>
      <c r="N41" s="65">
        <f>IFERROR(VLOOKUP(B:B,'5店辅助表'!B:C,2,FALSE),0)</f>
        <v>0</v>
      </c>
      <c r="O41" s="65">
        <f>IFERROR(VLOOKUP(B:B,'5店辅助表'!E:F,2,FALSE),0)</f>
        <v>0</v>
      </c>
      <c r="P41" s="65">
        <f>IFERROR(VLOOKUP(B:B,'5店辅助表'!H:I,2,FALSE),0)</f>
        <v>0</v>
      </c>
      <c r="Q41" s="65">
        <f>IFERROR(VLOOKUP(B:B,'[1]5店'!$B:$P,13,FALSE),0)</f>
        <v>0</v>
      </c>
      <c r="R41" s="79">
        <f t="shared" si="2"/>
        <v>0</v>
      </c>
      <c r="S41" s="80" t="str">
        <f t="shared" si="3"/>
        <v>-</v>
      </c>
      <c r="T41" s="44" t="str">
        <f t="shared" si="4"/>
        <v>-</v>
      </c>
      <c r="U41" s="44" t="str">
        <f>IFERROR(VLOOKUP(B:B,'[1]5店'!$B:$T,19,0),"-")</f>
        <v>-</v>
      </c>
      <c r="V41" s="81" t="str">
        <f t="shared" si="5"/>
        <v>-</v>
      </c>
      <c r="W41" s="82" t="str">
        <f>_xlfn.IFS(AND(D41&lt;&gt;0,D41-$AM$2&gt;=0,B41&gt;0,D41&lt;&gt;0),"本月刚到货",AND(IFERROR((K41/(N41/7))/30,"-")="-",K41&gt;0),"有库存无销量",AND(IFERROR((K41/(N41/7))/30,"-")="-",K41=0),"无库存无销量",AND(IFERROR((K41/(N41/7))/30,"-")&lt;=0.5,K41=0),"无库存有销量",IFERROR((K41/(N41/7))/30,"-")&lt;=0.5,"库存过低",IFERROR((K41/(N41/7))/30,"-")&lt;=1.5,"正常",IFERROR((K41/(N41/7))/30,"-")&gt;1.5,"库存过高")</f>
        <v>有库存无销量</v>
      </c>
      <c r="X41" s="83" t="str">
        <f>_xlfn.IFS(AND(D41&lt;&gt;0,D41-$AM$2&gt;=0,K41&gt;0,D41&lt;&gt;0),"本月刚到货",AND(T41="-",K41&gt;0),"有库存无销量",AND(T41="-",K41=0),"无库存无销量",AND(T41&lt;=0.5,K41=0),"无库存有销量",T41&lt;=0.5,"库存过低",T41&lt;=1.5,"正常",T41&gt;1.5,"库存过高")</f>
        <v>有库存无销量</v>
      </c>
      <c r="Y41" s="44">
        <f>IFERROR(SUMIF('5店辅助表'!K:K,B:B,'5店辅助表'!N:N),0)</f>
        <v>0</v>
      </c>
      <c r="Z41" s="44">
        <f>IFERROR(SUMIF('5店辅助表'!T:T,B:B,'5店辅助表'!W:W),0)</f>
        <v>0</v>
      </c>
      <c r="AA41" s="44">
        <f>IFERROR(SUMIF('5店辅助表'!AC:AC,B:B,'5店辅助表'!AF:AF),0)</f>
        <v>0</v>
      </c>
      <c r="AB41" s="91" t="str">
        <f>IFERROR(SUMIF('5店辅助表'!K:K,B:B,'5店辅助表'!N:N)/SUMIF('5店辅助表'!K:K,B:B,'5店辅助表'!O:O),"-")</f>
        <v>-</v>
      </c>
      <c r="AC41" s="91" t="str">
        <f>IFERROR(VLOOKUP(B:B,'[1]5店'!$B:$AB,27,FALSE),"-")</f>
        <v>-</v>
      </c>
      <c r="AD41" s="92" t="str">
        <f t="shared" si="6"/>
        <v>-</v>
      </c>
      <c r="AE41" s="91" t="str">
        <f>IFERROR(SUMIF('5店辅助表'!T:T,B:B,'5店辅助表'!W:W)/SUMIF('5店辅助表'!T:T,B:B,'5店辅助表'!X:X),"-")</f>
        <v>-</v>
      </c>
      <c r="AF41" s="91" t="str">
        <f>IFERROR(SUMIF('5店辅助表'!AC:AC,B:B,'5店辅助表'!AF:AF)/SUMIF('5店辅助表'!AC:AC,B:B,'5店辅助表'!AG:AG),"-")</f>
        <v>-</v>
      </c>
      <c r="AG41" s="99">
        <f>IFERROR(AK41/((SUMIF('5店辅助表'!AT:AT,B:B,'5店辅助表'!AU:AU)+M41)/2),"-")</f>
        <v>0</v>
      </c>
      <c r="AH41" s="99">
        <f>IFERROR(AL41/((SUMIF('5店辅助表'!AW:AW,B:B,'5店辅助表'!AX:AX)+M41)/2),"-")</f>
        <v>0</v>
      </c>
      <c r="AI41" s="100" t="str">
        <f>IFERROR((SUMIF('5店辅助表'!AP:AP,B:B,'5店辅助表'!AR:AR)-SUMIF('5店辅助表'!AP:AP,B:B,'5店辅助表'!AR:AR)*0.15-(L41+IFERROR(VLOOKUP(B:B,'5店辅助表'!AZ:BA,2,0),0))*O41-IF(AN:AN="US",6.85,4.9)*(Z41+3.28*O41))/SUMIF('5店辅助表'!AP:AP,B:B,'5店辅助表'!AR:AR),"-")</f>
        <v>-</v>
      </c>
      <c r="AJ41" s="100" t="str">
        <f t="shared" si="7"/>
        <v>-</v>
      </c>
      <c r="AK41" s="101">
        <f t="shared" si="8"/>
        <v>0</v>
      </c>
      <c r="AL41" s="101">
        <f t="shared" si="9"/>
        <v>0</v>
      </c>
      <c r="AM41" s="1" t="str">
        <f>VLOOKUP(B:B,'5店辅助表'!AZ:AZ,1,FALSE)</f>
        <v>Y5064-RE</v>
      </c>
      <c r="AN41" t="str">
        <f>VLOOKUP(B:B,'5店辅助表'!AZ:BB,3,FALSE)</f>
        <v>US</v>
      </c>
    </row>
    <row r="42" customHeight="1" spans="1:40">
      <c r="A42" s="58" t="str">
        <f>INDEX('[1]5店'!$A:$A,MATCH(B:B,'[1]5店'!$B:$B,0))</f>
        <v>秀青</v>
      </c>
      <c r="B42" s="117" t="s">
        <v>1741</v>
      </c>
      <c r="C42" s="45" t="s">
        <v>1742</v>
      </c>
      <c r="D42" s="59">
        <f>VLOOKUP(B:B,'[1]5店'!$B:$L,3,0)</f>
        <v>45125</v>
      </c>
      <c r="E42" s="45" t="s">
        <v>1743</v>
      </c>
      <c r="F42" s="45">
        <v>0</v>
      </c>
      <c r="G42" s="45">
        <v>1</v>
      </c>
      <c r="H42" s="45">
        <v>0</v>
      </c>
      <c r="I42" s="45">
        <v>0</v>
      </c>
      <c r="J42" s="45">
        <v>0</v>
      </c>
      <c r="K42" s="63">
        <f t="shared" si="1"/>
        <v>1</v>
      </c>
      <c r="L42" s="64">
        <f>IFERROR(VLOOKUP($B:$B,'[1]5店'!$B:$L,11,FALSE),0)</f>
        <v>34.063</v>
      </c>
      <c r="M42" s="44">
        <f t="shared" si="11"/>
        <v>34.063</v>
      </c>
      <c r="N42" s="65">
        <f>IFERROR(VLOOKUP(B:B,'5店辅助表'!B:C,2,FALSE),0)</f>
        <v>0</v>
      </c>
      <c r="O42" s="65">
        <f>IFERROR(VLOOKUP(B:B,'5店辅助表'!E:F,2,FALSE),0)</f>
        <v>0</v>
      </c>
      <c r="P42" s="65">
        <f>IFERROR(VLOOKUP(B:B,'5店辅助表'!H:I,2,FALSE),0)</f>
        <v>0</v>
      </c>
      <c r="Q42" s="65">
        <f>IFERROR(VLOOKUP(B:B,'[1]5店'!$B:$P,13,FALSE),0)</f>
        <v>0</v>
      </c>
      <c r="R42" s="79">
        <f t="shared" si="2"/>
        <v>0</v>
      </c>
      <c r="S42" s="80" t="str">
        <f t="shared" si="3"/>
        <v>-</v>
      </c>
      <c r="T42" s="44" t="str">
        <f t="shared" si="4"/>
        <v>-</v>
      </c>
      <c r="U42" s="44" t="str">
        <f>IFERROR(VLOOKUP(B:B,'[1]5店'!$B:$T,19,0),"-")</f>
        <v>-</v>
      </c>
      <c r="V42" s="81" t="str">
        <f t="shared" si="5"/>
        <v>-</v>
      </c>
      <c r="W42" s="82" t="str">
        <f>_xlfn.IFS(AND(D42&lt;&gt;0,D42-$AM$2&gt;=0,B42&gt;0,D42&lt;&gt;0),"本月刚到货",AND(IFERROR((K42/(N42/7))/30,"-")="-",K42&gt;0),"有库存无销量",AND(IFERROR((K42/(N42/7))/30,"-")="-",K42=0),"无库存无销量",AND(IFERROR((K42/(N42/7))/30,"-")&lt;=0.5,K42=0),"无库存有销量",IFERROR((K42/(N42/7))/30,"-")&lt;=0.5,"库存过低",IFERROR((K42/(N42/7))/30,"-")&lt;=1.5,"正常",IFERROR((K42/(N42/7))/30,"-")&gt;1.5,"库存过高")</f>
        <v>有库存无销量</v>
      </c>
      <c r="X42" s="83" t="str">
        <f>_xlfn.IFS(AND(D42&lt;&gt;0,D42-$AM$2&gt;=0,K42&gt;0,D42&lt;&gt;0),"本月刚到货",AND(T42="-",K42&gt;0),"有库存无销量",AND(T42="-",K42=0),"无库存无销量",AND(T42&lt;=0.5,K42=0),"无库存有销量",T42&lt;=0.5,"库存过低",T42&lt;=1.5,"正常",T42&gt;1.5,"库存过高")</f>
        <v>有库存无销量</v>
      </c>
      <c r="Y42" s="44">
        <f>IFERROR(SUMIF('5店辅助表'!K:K,B:B,'5店辅助表'!N:N),0)</f>
        <v>0</v>
      </c>
      <c r="Z42" s="44">
        <f>IFERROR(SUMIF('5店辅助表'!T:T,B:B,'5店辅助表'!W:W),0)</f>
        <v>0</v>
      </c>
      <c r="AA42" s="44">
        <f>IFERROR(SUMIF('5店辅助表'!AC:AC,B:B,'5店辅助表'!AF:AF),0)</f>
        <v>0</v>
      </c>
      <c r="AB42" s="91" t="str">
        <f>IFERROR(SUMIF('5店辅助表'!K:K,B:B,'5店辅助表'!N:N)/SUMIF('5店辅助表'!K:K,B:B,'5店辅助表'!O:O),"-")</f>
        <v>-</v>
      </c>
      <c r="AC42" s="91" t="str">
        <f>IFERROR(VLOOKUP(B:B,'[1]5店'!$B:$AB,27,FALSE),"-")</f>
        <v>-</v>
      </c>
      <c r="AD42" s="92" t="str">
        <f t="shared" si="6"/>
        <v>-</v>
      </c>
      <c r="AE42" s="91" t="str">
        <f>IFERROR(SUMIF('5店辅助表'!T:T,B:B,'5店辅助表'!W:W)/SUMIF('5店辅助表'!T:T,B:B,'5店辅助表'!X:X),"-")</f>
        <v>-</v>
      </c>
      <c r="AF42" s="91" t="str">
        <f>IFERROR(SUMIF('5店辅助表'!AC:AC,B:B,'5店辅助表'!AF:AF)/SUMIF('5店辅助表'!AC:AC,B:B,'5店辅助表'!AG:AG),"-")</f>
        <v>-</v>
      </c>
      <c r="AG42" s="99">
        <f>IFERROR(AK42/((SUMIF('5店辅助表'!AT:AT,B:B,'5店辅助表'!AU:AU)+M42)/2),"-")</f>
        <v>0</v>
      </c>
      <c r="AH42" s="99">
        <f>IFERROR(AL42/((SUMIF('5店辅助表'!AW:AW,B:B,'5店辅助表'!AX:AX)+M42)/2),"-")</f>
        <v>0</v>
      </c>
      <c r="AI42" s="100" t="str">
        <f>IFERROR((SUMIF('5店辅助表'!AP:AP,B:B,'5店辅助表'!AR:AR)-SUMIF('5店辅助表'!AP:AP,B:B,'5店辅助表'!AR:AR)*0.15-(L42+IFERROR(VLOOKUP(B:B,'5店辅助表'!AZ:BA,2,0),0))*O42-IF(AN:AN="US",6.85,4.9)*(Z42+3.28*O42))/SUMIF('5店辅助表'!AP:AP,B:B,'5店辅助表'!AR:AR),"-")</f>
        <v>-</v>
      </c>
      <c r="AJ42" s="100" t="str">
        <f t="shared" si="7"/>
        <v>-</v>
      </c>
      <c r="AK42" s="101">
        <f t="shared" si="8"/>
        <v>0</v>
      </c>
      <c r="AL42" s="101">
        <f t="shared" si="9"/>
        <v>0</v>
      </c>
      <c r="AM42" s="1" t="str">
        <f>VLOOKUP(B:B,'5店辅助表'!AZ:AZ,1,FALSE)</f>
        <v>Y5065-BL</v>
      </c>
      <c r="AN42" t="str">
        <f>VLOOKUP(B:B,'5店辅助表'!AZ:BB,3,FALSE)</f>
        <v>US</v>
      </c>
    </row>
    <row r="43" customHeight="1" spans="1:40">
      <c r="A43" s="58" t="str">
        <f>INDEX('[1]5店'!$A:$A,MATCH(B:B,'[1]5店'!$B:$B,0))</f>
        <v>秀青</v>
      </c>
      <c r="B43" s="117" t="s">
        <v>1744</v>
      </c>
      <c r="C43" s="45" t="s">
        <v>1742</v>
      </c>
      <c r="D43" s="59">
        <f>VLOOKUP(B:B,'[1]5店'!$B:$L,3,0)</f>
        <v>45125</v>
      </c>
      <c r="E43" s="45" t="s">
        <v>1745</v>
      </c>
      <c r="F43" s="45">
        <v>16</v>
      </c>
      <c r="G43" s="45">
        <v>0</v>
      </c>
      <c r="H43" s="45">
        <v>0</v>
      </c>
      <c r="I43" s="45">
        <v>0</v>
      </c>
      <c r="J43" s="45">
        <v>0</v>
      </c>
      <c r="K43" s="63">
        <f t="shared" si="1"/>
        <v>16</v>
      </c>
      <c r="L43" s="64">
        <f>IFERROR(VLOOKUP($B:$B,'[1]5店'!$B:$L,11,FALSE),0)</f>
        <v>34.063</v>
      </c>
      <c r="M43" s="44">
        <f t="shared" si="11"/>
        <v>545.008</v>
      </c>
      <c r="N43" s="65">
        <f>IFERROR(VLOOKUP(B:B,'5店辅助表'!B:C,2,FALSE),0)</f>
        <v>0</v>
      </c>
      <c r="O43" s="65">
        <f>IFERROR(VLOOKUP(B:B,'5店辅助表'!E:F,2,FALSE),0)</f>
        <v>0</v>
      </c>
      <c r="P43" s="65">
        <f>IFERROR(VLOOKUP(B:B,'5店辅助表'!H:I,2,FALSE),0)</f>
        <v>0</v>
      </c>
      <c r="Q43" s="65">
        <f>IFERROR(VLOOKUP(B:B,'[1]5店'!$B:$P,13,FALSE),0)</f>
        <v>0</v>
      </c>
      <c r="R43" s="79">
        <f t="shared" si="2"/>
        <v>0</v>
      </c>
      <c r="S43" s="80" t="str">
        <f t="shared" si="3"/>
        <v>-</v>
      </c>
      <c r="T43" s="44" t="str">
        <f t="shared" si="4"/>
        <v>-</v>
      </c>
      <c r="U43" s="44" t="str">
        <f>IFERROR(VLOOKUP(B:B,'[1]5店'!$B:$T,19,0),"-")</f>
        <v>-</v>
      </c>
      <c r="V43" s="81" t="str">
        <f t="shared" si="5"/>
        <v>-</v>
      </c>
      <c r="W43" s="82" t="str">
        <f>_xlfn.IFS(AND(D43&lt;&gt;0,D43-$AM$2&gt;=0,B43&gt;0,D43&lt;&gt;0),"本月刚到货",AND(IFERROR((K43/(N43/7))/30,"-")="-",K43&gt;0),"有库存无销量",AND(IFERROR((K43/(N43/7))/30,"-")="-",K43=0),"无库存无销量",AND(IFERROR((K43/(N43/7))/30,"-")&lt;=0.5,K43=0),"无库存有销量",IFERROR((K43/(N43/7))/30,"-")&lt;=0.5,"库存过低",IFERROR((K43/(N43/7))/30,"-")&lt;=1.5,"正常",IFERROR((K43/(N43/7))/30,"-")&gt;1.5,"库存过高")</f>
        <v>有库存无销量</v>
      </c>
      <c r="X43" s="83" t="str">
        <f>_xlfn.IFS(AND(D43&lt;&gt;0,D43-$AM$2&gt;=0,K43&gt;0,D43&lt;&gt;0),"本月刚到货",AND(T43="-",K43&gt;0),"有库存无销量",AND(T43="-",K43=0),"无库存无销量",AND(T43&lt;=0.5,K43=0),"无库存有销量",T43&lt;=0.5,"库存过低",T43&lt;=1.5,"正常",T43&gt;1.5,"库存过高")</f>
        <v>有库存无销量</v>
      </c>
      <c r="Y43" s="44">
        <f>IFERROR(SUMIF('5店辅助表'!K:K,B:B,'5店辅助表'!N:N),0)</f>
        <v>0</v>
      </c>
      <c r="Z43" s="44">
        <f>IFERROR(SUMIF('5店辅助表'!T:T,B:B,'5店辅助表'!W:W),0)</f>
        <v>0</v>
      </c>
      <c r="AA43" s="44">
        <f>IFERROR(SUMIF('5店辅助表'!AC:AC,B:B,'5店辅助表'!AF:AF),0)</f>
        <v>0</v>
      </c>
      <c r="AB43" s="91" t="str">
        <f>IFERROR(SUMIF('5店辅助表'!K:K,B:B,'5店辅助表'!N:N)/SUMIF('5店辅助表'!K:K,B:B,'5店辅助表'!O:O),"-")</f>
        <v>-</v>
      </c>
      <c r="AC43" s="91" t="str">
        <f>IFERROR(VLOOKUP(B:B,'[1]5店'!$B:$AB,27,FALSE),"-")</f>
        <v>-</v>
      </c>
      <c r="AD43" s="92" t="str">
        <f t="shared" si="6"/>
        <v>-</v>
      </c>
      <c r="AE43" s="91" t="str">
        <f>IFERROR(SUMIF('5店辅助表'!T:T,B:B,'5店辅助表'!W:W)/SUMIF('5店辅助表'!T:T,B:B,'5店辅助表'!X:X),"-")</f>
        <v>-</v>
      </c>
      <c r="AF43" s="91" t="str">
        <f>IFERROR(SUMIF('5店辅助表'!AC:AC,B:B,'5店辅助表'!AF:AF)/SUMIF('5店辅助表'!AC:AC,B:B,'5店辅助表'!AG:AG),"-")</f>
        <v>-</v>
      </c>
      <c r="AG43" s="99">
        <f>IFERROR(AK43/((SUMIF('5店辅助表'!AT:AT,B:B,'5店辅助表'!AU:AU)+M43)/2),"-")</f>
        <v>0</v>
      </c>
      <c r="AH43" s="99">
        <f>IFERROR(AL43/((SUMIF('5店辅助表'!AW:AW,B:B,'5店辅助表'!AX:AX)+M43)/2),"-")</f>
        <v>0</v>
      </c>
      <c r="AI43" s="100" t="str">
        <f>IFERROR((SUMIF('5店辅助表'!AP:AP,B:B,'5店辅助表'!AR:AR)-SUMIF('5店辅助表'!AP:AP,B:B,'5店辅助表'!AR:AR)*0.15-(L43+IFERROR(VLOOKUP(B:B,'5店辅助表'!AZ:BA,2,0),0))*O43-IF(AN:AN="US",6.85,4.9)*(Z43+3.28*O43))/SUMIF('5店辅助表'!AP:AP,B:B,'5店辅助表'!AR:AR),"-")</f>
        <v>-</v>
      </c>
      <c r="AJ43" s="100" t="str">
        <f t="shared" si="7"/>
        <v>-</v>
      </c>
      <c r="AK43" s="101">
        <f t="shared" si="8"/>
        <v>0</v>
      </c>
      <c r="AL43" s="101">
        <f t="shared" si="9"/>
        <v>0</v>
      </c>
      <c r="AM43" s="1" t="str">
        <f>VLOOKUP(B:B,'5店辅助表'!AZ:AZ,1,FALSE)</f>
        <v>Y5065-RE</v>
      </c>
      <c r="AN43" t="str">
        <f>VLOOKUP(B:B,'5店辅助表'!AZ:BB,3,FALSE)</f>
        <v>US</v>
      </c>
    </row>
    <row r="44" customHeight="1" spans="1:40">
      <c r="A44" s="58" t="str">
        <f>INDEX('[1]5店'!$A:$A,MATCH(B:B,'[1]5店'!$B:$B,0))</f>
        <v>秀青</v>
      </c>
      <c r="B44" s="117" t="s">
        <v>1746</v>
      </c>
      <c r="C44" s="45" t="s">
        <v>1747</v>
      </c>
      <c r="D44" s="59">
        <f>VLOOKUP(B:B,'[1]5店'!$B:$L,3,0)</f>
        <v>45125</v>
      </c>
      <c r="E44" s="45" t="s">
        <v>1748</v>
      </c>
      <c r="F44" s="45">
        <v>17</v>
      </c>
      <c r="G44" s="45">
        <v>0</v>
      </c>
      <c r="H44" s="45">
        <v>1</v>
      </c>
      <c r="I44" s="45">
        <v>0</v>
      </c>
      <c r="J44" s="45">
        <v>0</v>
      </c>
      <c r="K44" s="63">
        <f t="shared" si="1"/>
        <v>18</v>
      </c>
      <c r="L44" s="64">
        <f>IFERROR(VLOOKUP($B:$B,'[1]5店'!$B:$L,11,FALSE),0)</f>
        <v>34.063</v>
      </c>
      <c r="M44" s="44">
        <f t="shared" si="11"/>
        <v>613.134</v>
      </c>
      <c r="N44" s="65">
        <f>IFERROR(VLOOKUP(B:B,'5店辅助表'!B:C,2,FALSE),0)</f>
        <v>0</v>
      </c>
      <c r="O44" s="65">
        <f>IFERROR(VLOOKUP(B:B,'5店辅助表'!E:F,2,FALSE),0)</f>
        <v>0</v>
      </c>
      <c r="P44" s="65">
        <f>IFERROR(VLOOKUP(B:B,'5店辅助表'!H:I,2,FALSE),0)</f>
        <v>0</v>
      </c>
      <c r="Q44" s="65">
        <f>IFERROR(VLOOKUP(B:B,'[1]5店'!$B:$P,13,FALSE),0)</f>
        <v>0</v>
      </c>
      <c r="R44" s="79">
        <f t="shared" si="2"/>
        <v>0</v>
      </c>
      <c r="S44" s="80" t="str">
        <f t="shared" si="3"/>
        <v>-</v>
      </c>
      <c r="T44" s="44" t="str">
        <f t="shared" si="4"/>
        <v>-</v>
      </c>
      <c r="U44" s="44">
        <f>IFERROR(VLOOKUP(B:B,'[1]5店'!$B:$T,19,0),"-")</f>
        <v>54</v>
      </c>
      <c r="V44" s="81" t="str">
        <f t="shared" si="5"/>
        <v>-</v>
      </c>
      <c r="W44" s="82" t="str">
        <f>_xlfn.IFS(AND(D44&lt;&gt;0,D44-$AM$2&gt;=0,B44&gt;0,D44&lt;&gt;0),"本月刚到货",AND(IFERROR((K44/(N44/7))/30,"-")="-",K44&gt;0),"有库存无销量",AND(IFERROR((K44/(N44/7))/30,"-")="-",K44=0),"无库存无销量",AND(IFERROR((K44/(N44/7))/30,"-")&lt;=0.5,K44=0),"无库存有销量",IFERROR((K44/(N44/7))/30,"-")&lt;=0.5,"库存过低",IFERROR((K44/(N44/7))/30,"-")&lt;=1.5,"正常",IFERROR((K44/(N44/7))/30,"-")&gt;1.5,"库存过高")</f>
        <v>有库存无销量</v>
      </c>
      <c r="X44" s="83" t="str">
        <f>_xlfn.IFS(AND(D44&lt;&gt;0,D44-$AM$2&gt;=0,K44&gt;0,D44&lt;&gt;0),"本月刚到货",AND(T44="-",K44&gt;0),"有库存无销量",AND(T44="-",K44=0),"无库存无销量",AND(T44&lt;=0.5,K44=0),"无库存有销量",T44&lt;=0.5,"库存过低",T44&lt;=1.5,"正常",T44&gt;1.5,"库存过高")</f>
        <v>有库存无销量</v>
      </c>
      <c r="Y44" s="44">
        <f>IFERROR(SUMIF('5店辅助表'!K:K,B:B,'5店辅助表'!N:N),0)</f>
        <v>0</v>
      </c>
      <c r="Z44" s="44">
        <f>IFERROR(SUMIF('5店辅助表'!T:T,B:B,'5店辅助表'!W:W),0)</f>
        <v>0</v>
      </c>
      <c r="AA44" s="44">
        <f>IFERROR(SUMIF('5店辅助表'!AC:AC,B:B,'5店辅助表'!AF:AF),0)</f>
        <v>0</v>
      </c>
      <c r="AB44" s="91" t="str">
        <f>IFERROR(SUMIF('5店辅助表'!K:K,B:B,'5店辅助表'!N:N)/SUMIF('5店辅助表'!K:K,B:B,'5店辅助表'!O:O),"-")</f>
        <v>-</v>
      </c>
      <c r="AC44" s="91" t="str">
        <f>IFERROR(VLOOKUP(B:B,'[1]5店'!$B:$AB,27,FALSE),"-")</f>
        <v>-</v>
      </c>
      <c r="AD44" s="92" t="str">
        <f t="shared" si="6"/>
        <v>-</v>
      </c>
      <c r="AE44" s="91" t="str">
        <f>IFERROR(SUMIF('5店辅助表'!T:T,B:B,'5店辅助表'!W:W)/SUMIF('5店辅助表'!T:T,B:B,'5店辅助表'!X:X),"-")</f>
        <v>-</v>
      </c>
      <c r="AF44" s="91" t="str">
        <f>IFERROR(SUMIF('5店辅助表'!AC:AC,B:B,'5店辅助表'!AF:AF)/SUMIF('5店辅助表'!AC:AC,B:B,'5店辅助表'!AG:AG),"-")</f>
        <v>-</v>
      </c>
      <c r="AG44" s="99">
        <f>IFERROR(AK44/((SUMIF('5店辅助表'!AT:AT,B:B,'5店辅助表'!AU:AU)+M44)/2),"-")</f>
        <v>0</v>
      </c>
      <c r="AH44" s="99">
        <f>IFERROR(AL44/((SUMIF('5店辅助表'!AW:AW,B:B,'5店辅助表'!AX:AX)+M44)/2),"-")</f>
        <v>0</v>
      </c>
      <c r="AI44" s="100" t="str">
        <f>IFERROR((SUMIF('5店辅助表'!AP:AP,B:B,'5店辅助表'!AR:AR)-SUMIF('5店辅助表'!AP:AP,B:B,'5店辅助表'!AR:AR)*0.15-(L44+IFERROR(VLOOKUP(B:B,'5店辅助表'!AZ:BA,2,0),0))*O44-IF(AN:AN="US",6.85,4.9)*(Z44+3.28*O44))/SUMIF('5店辅助表'!AP:AP,B:B,'5店辅助表'!AR:AR),"-")</f>
        <v>-</v>
      </c>
      <c r="AJ44" s="100" t="str">
        <f t="shared" si="7"/>
        <v>-</v>
      </c>
      <c r="AK44" s="101">
        <f t="shared" si="8"/>
        <v>0</v>
      </c>
      <c r="AL44" s="101">
        <f t="shared" si="9"/>
        <v>0</v>
      </c>
      <c r="AM44" s="1" t="str">
        <f>VLOOKUP(B:B,'5店辅助表'!AZ:AZ,1,FALSE)</f>
        <v>Y5066-BL</v>
      </c>
      <c r="AN44" t="str">
        <f>VLOOKUP(B:B,'5店辅助表'!AZ:BB,3,FALSE)</f>
        <v>US</v>
      </c>
    </row>
    <row r="45" customHeight="1" spans="1:40">
      <c r="A45" s="58" t="str">
        <f>INDEX('[1]5店'!$A:$A,MATCH(B:B,'[1]5店'!$B:$B,0))</f>
        <v>秀青</v>
      </c>
      <c r="B45" s="117" t="s">
        <v>1749</v>
      </c>
      <c r="C45" s="45" t="s">
        <v>1734</v>
      </c>
      <c r="D45" s="59">
        <f>VLOOKUP(B:B,'[1]5店'!$B:$L,3,0)</f>
        <v>45125</v>
      </c>
      <c r="E45" s="45" t="s">
        <v>1750</v>
      </c>
      <c r="F45" s="45">
        <v>28</v>
      </c>
      <c r="G45" s="45">
        <v>1</v>
      </c>
      <c r="H45" s="45">
        <v>1</v>
      </c>
      <c r="I45" s="45">
        <v>0</v>
      </c>
      <c r="J45" s="45">
        <v>0</v>
      </c>
      <c r="K45" s="63">
        <f t="shared" si="1"/>
        <v>30</v>
      </c>
      <c r="L45" s="64">
        <f>IFERROR(VLOOKUP($B:$B,'[1]5店'!$B:$L,11,FALSE),0)</f>
        <v>31.053</v>
      </c>
      <c r="M45" s="44">
        <f t="shared" si="11"/>
        <v>931.59</v>
      </c>
      <c r="N45" s="65">
        <f>IFERROR(VLOOKUP(B:B,'5店辅助表'!B:C,2,FALSE),0)</f>
        <v>0</v>
      </c>
      <c r="O45" s="65">
        <f>IFERROR(VLOOKUP(B:B,'5店辅助表'!E:F,2,FALSE),0)</f>
        <v>0</v>
      </c>
      <c r="P45" s="65">
        <f>IFERROR(VLOOKUP(B:B,'5店辅助表'!H:I,2,FALSE),0)</f>
        <v>0</v>
      </c>
      <c r="Q45" s="65">
        <f>IFERROR(VLOOKUP(B:B,'[1]5店'!$B:$P,13,FALSE),0)</f>
        <v>0</v>
      </c>
      <c r="R45" s="79">
        <f t="shared" si="2"/>
        <v>0</v>
      </c>
      <c r="S45" s="80" t="str">
        <f t="shared" si="3"/>
        <v>-</v>
      </c>
      <c r="T45" s="44" t="str">
        <f t="shared" si="4"/>
        <v>-</v>
      </c>
      <c r="U45" s="44">
        <f>IFERROR(VLOOKUP(B:B,'[1]5店'!$B:$T,19,0),"-")</f>
        <v>87</v>
      </c>
      <c r="V45" s="81" t="str">
        <f t="shared" si="5"/>
        <v>-</v>
      </c>
      <c r="W45" s="82" t="str">
        <f>_xlfn.IFS(AND(D45&lt;&gt;0,D45-$AM$2&gt;=0,B45&gt;0,D45&lt;&gt;0),"本月刚到货",AND(IFERROR((K45/(N45/7))/30,"-")="-",K45&gt;0),"有库存无销量",AND(IFERROR((K45/(N45/7))/30,"-")="-",K45=0),"无库存无销量",AND(IFERROR((K45/(N45/7))/30,"-")&lt;=0.5,K45=0),"无库存有销量",IFERROR((K45/(N45/7))/30,"-")&lt;=0.5,"库存过低",IFERROR((K45/(N45/7))/30,"-")&lt;=1.5,"正常",IFERROR((K45/(N45/7))/30,"-")&gt;1.5,"库存过高")</f>
        <v>有库存无销量</v>
      </c>
      <c r="X45" s="83" t="str">
        <f>_xlfn.IFS(AND(D45&lt;&gt;0,D45-$AM$2&gt;=0,K45&gt;0,D45&lt;&gt;0),"本月刚到货",AND(T45="-",K45&gt;0),"有库存无销量",AND(T45="-",K45=0),"无库存无销量",AND(T45&lt;=0.5,K45=0),"无库存有销量",T45&lt;=0.5,"库存过低",T45&lt;=1.5,"正常",T45&gt;1.5,"库存过高")</f>
        <v>有库存无销量</v>
      </c>
      <c r="Y45" s="44">
        <f>IFERROR(SUMIF('5店辅助表'!K:K,B:B,'5店辅助表'!N:N),0)</f>
        <v>0</v>
      </c>
      <c r="Z45" s="44">
        <f>IFERROR(SUMIF('5店辅助表'!T:T,B:B,'5店辅助表'!W:W),0)</f>
        <v>0</v>
      </c>
      <c r="AA45" s="44">
        <f>IFERROR(SUMIF('5店辅助表'!AC:AC,B:B,'5店辅助表'!AF:AF),0)</f>
        <v>0</v>
      </c>
      <c r="AB45" s="91" t="str">
        <f>IFERROR(SUMIF('5店辅助表'!K:K,B:B,'5店辅助表'!N:N)/SUMIF('5店辅助表'!K:K,B:B,'5店辅助表'!O:O),"-")</f>
        <v>-</v>
      </c>
      <c r="AC45" s="91" t="str">
        <f>IFERROR(VLOOKUP(B:B,'[1]5店'!$B:$AB,27,FALSE),"-")</f>
        <v>-</v>
      </c>
      <c r="AD45" s="92" t="str">
        <f t="shared" si="6"/>
        <v>-</v>
      </c>
      <c r="AE45" s="91" t="str">
        <f>IFERROR(SUMIF('5店辅助表'!T:T,B:B,'5店辅助表'!W:W)/SUMIF('5店辅助表'!T:T,B:B,'5店辅助表'!X:X),"-")</f>
        <v>-</v>
      </c>
      <c r="AF45" s="91" t="str">
        <f>IFERROR(SUMIF('5店辅助表'!AC:AC,B:B,'5店辅助表'!AF:AF)/SUMIF('5店辅助表'!AC:AC,B:B,'5店辅助表'!AG:AG),"-")</f>
        <v>-</v>
      </c>
      <c r="AG45" s="99">
        <f>IFERROR(AK45/((SUMIF('5店辅助表'!AT:AT,B:B,'5店辅助表'!AU:AU)+M45)/2),"-")</f>
        <v>0</v>
      </c>
      <c r="AH45" s="99">
        <f>IFERROR(AL45/((SUMIF('5店辅助表'!AW:AW,B:B,'5店辅助表'!AX:AX)+M45)/2),"-")</f>
        <v>0</v>
      </c>
      <c r="AI45" s="100" t="str">
        <f>IFERROR((SUMIF('5店辅助表'!AP:AP,B:B,'5店辅助表'!AR:AR)-SUMIF('5店辅助表'!AP:AP,B:B,'5店辅助表'!AR:AR)*0.15-(L45+IFERROR(VLOOKUP(B:B,'5店辅助表'!AZ:BA,2,0),0))*O45-IF(AN:AN="US",6.85,4.9)*(Z45+3.28*O45))/SUMIF('5店辅助表'!AP:AP,B:B,'5店辅助表'!AR:AR),"-")</f>
        <v>-</v>
      </c>
      <c r="AJ45" s="100" t="str">
        <f t="shared" si="7"/>
        <v>-</v>
      </c>
      <c r="AK45" s="101">
        <f t="shared" si="8"/>
        <v>0</v>
      </c>
      <c r="AL45" s="101">
        <f t="shared" si="9"/>
        <v>0</v>
      </c>
      <c r="AM45" s="1" t="str">
        <f>VLOOKUP(B:B,'5店辅助表'!AZ:AZ,1,FALSE)</f>
        <v>Y5063-BL</v>
      </c>
      <c r="AN45" t="str">
        <f>VLOOKUP(B:B,'5店辅助表'!AZ:BB,3,FALSE)</f>
        <v>US</v>
      </c>
    </row>
    <row r="46" customHeight="1" spans="1:40">
      <c r="A46" s="58" t="str">
        <f>INDEX('[1]5店'!$A:$A,MATCH(B:B,'[1]5店'!$B:$B,0))</f>
        <v>秀青</v>
      </c>
      <c r="B46" s="45" t="s">
        <v>1751</v>
      </c>
      <c r="C46" s="45" t="s">
        <v>1752</v>
      </c>
      <c r="D46" s="59">
        <f>VLOOKUP(B:B,'[1]5店'!$B:$L,3,0)</f>
        <v>45125</v>
      </c>
      <c r="E46" s="45" t="s">
        <v>1753</v>
      </c>
      <c r="F46" s="45">
        <v>31</v>
      </c>
      <c r="G46" s="45">
        <v>0</v>
      </c>
      <c r="H46" s="45">
        <v>0</v>
      </c>
      <c r="I46" s="45">
        <v>0</v>
      </c>
      <c r="J46" s="45">
        <v>0</v>
      </c>
      <c r="K46" s="63">
        <f t="shared" si="1"/>
        <v>31</v>
      </c>
      <c r="L46" s="64">
        <f>IFERROR(VLOOKUP($B:$B,'[1]5店'!$B:$L,11,FALSE),0)</f>
        <v>16</v>
      </c>
      <c r="M46" s="44">
        <f t="shared" si="11"/>
        <v>496</v>
      </c>
      <c r="N46" s="65">
        <f>IFERROR(VLOOKUP(B:B,'5店辅助表'!B:C,2,FALSE),0)</f>
        <v>8</v>
      </c>
      <c r="O46" s="65">
        <f>IFERROR(VLOOKUP(B:B,'5店辅助表'!E:F,2,FALSE),0)</f>
        <v>21</v>
      </c>
      <c r="P46" s="65">
        <f>IFERROR(VLOOKUP(B:B,'5店辅助表'!H:I,2,FALSE),0)</f>
        <v>34</v>
      </c>
      <c r="Q46" s="65">
        <f>IFERROR(VLOOKUP(B:B,'[1]5店'!$B:$P,13,FALSE),0)</f>
        <v>13</v>
      </c>
      <c r="R46" s="79">
        <f t="shared" si="2"/>
        <v>-5</v>
      </c>
      <c r="S46" s="80">
        <f t="shared" si="3"/>
        <v>25.2979274611399</v>
      </c>
      <c r="T46" s="44">
        <f t="shared" si="4"/>
        <v>0.843264248704663</v>
      </c>
      <c r="U46" s="44">
        <f>IFERROR(VLOOKUP(B:B,'[1]5店'!$B:$T,19,0),"-")</f>
        <v>1.11191335740072</v>
      </c>
      <c r="V46" s="81">
        <f t="shared" si="5"/>
        <v>-0.268649108696057</v>
      </c>
      <c r="W46" s="82" t="str">
        <f>_xlfn.IFS(AND(D46&lt;&gt;0,D46-$AM$2&gt;=0,B46&gt;0,D46&lt;&gt;0),"本月刚到货",AND(IFERROR((K46/(N46/7))/30,"-")="-",K46&gt;0),"有库存无销量",AND(IFERROR((K46/(N46/7))/30,"-")="-",K46=0),"无库存无销量",AND(IFERROR((K46/(N46/7))/30,"-")&lt;=0.5,K46=0),"无库存有销量",IFERROR((K46/(N46/7))/30,"-")&lt;=0.5,"库存过低",IFERROR((K46/(N46/7))/30,"-")&lt;=1.5,"正常",IFERROR((K46/(N46/7))/30,"-")&gt;1.5,"库存过高")</f>
        <v>正常</v>
      </c>
      <c r="X46" s="83" t="str">
        <f>_xlfn.IFS(AND(D46&lt;&gt;0,D46-$AM$2&gt;=0,K46&gt;0,D46&lt;&gt;0),"本月刚到货",AND(T46="-",K46&gt;0),"有库存无销量",AND(T46="-",K46=0),"无库存无销量",AND(T46&lt;=0.5,K46=0),"无库存有销量",T46&lt;=0.5,"库存过低",T46&lt;=1.5,"正常",T46&gt;1.5,"库存过高")</f>
        <v>正常</v>
      </c>
      <c r="Y46" s="44">
        <f>IFERROR(SUMIF('5店辅助表'!K:K,B:B,'5店辅助表'!N:N),0)</f>
        <v>13.38</v>
      </c>
      <c r="Z46" s="44">
        <f>IFERROR(SUMIF('5店辅助表'!T:T,B:B,'5店辅助表'!W:W),0)</f>
        <v>21.13</v>
      </c>
      <c r="AA46" s="44">
        <f>IFERROR(SUMIF('5店辅助表'!AC:AC,B:B,'5店辅助表'!AF:AF),0)</f>
        <v>31.33</v>
      </c>
      <c r="AB46" s="91">
        <f>IFERROR(SUMIF('5店辅助表'!K:K,B:B,'5店辅助表'!N:N)/SUMIF('5店辅助表'!K:K,B:B,'5店辅助表'!O:O),"-")</f>
        <v>0.582245430809399</v>
      </c>
      <c r="AC46" s="91">
        <f>IFERROR(VLOOKUP(B:B,'[1]5店'!$B:$AB,27,FALSE),"-")</f>
        <v>0.215457325549069</v>
      </c>
      <c r="AD46" s="92">
        <f t="shared" si="6"/>
        <v>0.36678810526033</v>
      </c>
      <c r="AE46" s="91">
        <f>IFERROR(SUMIF('5店辅助表'!T:T,B:B,'5店辅助表'!W:W)/SUMIF('5店辅助表'!T:T,B:B,'5店辅助表'!X:X),"-")</f>
        <v>0.35843935538592</v>
      </c>
      <c r="AF46" s="91">
        <f>IFERROR(SUMIF('5店辅助表'!AC:AC,B:B,'5店辅助表'!AF:AF)/SUMIF('5店辅助表'!AC:AC,B:B,'5店辅助表'!AG:AG),"-")</f>
        <v>0.330067425200169</v>
      </c>
      <c r="AG46" s="99">
        <f>IFERROR(AK46/((SUMIF('5店辅助表'!AT:AT,B:B,'5店辅助表'!AU:AU)+M46)/2),"-")</f>
        <v>0.213333333333333</v>
      </c>
      <c r="AH46" s="99">
        <f>IFERROR(AL46/((SUMIF('5店辅助表'!AW:AW,B:B,'5店辅助表'!AX:AX)+M46)/2),"-")</f>
        <v>0.807692307692308</v>
      </c>
      <c r="AI46" s="100">
        <f>IFERROR((SUMIF('5店辅助表'!AP:AP,B:B,'5店辅助表'!AR:AR)-SUMIF('5店辅助表'!AP:AP,B:B,'5店辅助表'!AR:AR)*0.15-(L46+IFERROR(VLOOKUP(B:B,'5店辅助表'!AZ:BA,2,0),0))*O46-IF(AN:AN="US",6.85,4.9)*(Z46+3.28*O46))/SUMIF('5店辅助表'!AP:AP,B:B,'5店辅助表'!AR:AR),"-")</f>
        <v>0.287310210110944</v>
      </c>
      <c r="AJ46" s="100">
        <f t="shared" si="7"/>
        <v>0.23205824662807</v>
      </c>
      <c r="AK46" s="101">
        <f t="shared" si="8"/>
        <v>128</v>
      </c>
      <c r="AL46" s="101">
        <f t="shared" si="9"/>
        <v>336</v>
      </c>
      <c r="AM46" s="1" t="str">
        <f>VLOOKUP(B:B,'5店辅助表'!AZ:AZ,1,FALSE)</f>
        <v>Y5071</v>
      </c>
      <c r="AN46" t="str">
        <f>VLOOKUP(B:B,'5店辅助表'!AZ:BB,3,FALSE)</f>
        <v>US</v>
      </c>
    </row>
    <row r="47" customHeight="1" spans="1:40">
      <c r="A47" s="58" t="str">
        <f>INDEX('[1]5店'!$A:$A,MATCH(B:B,'[1]5店'!$B:$B,0))</f>
        <v>秀青</v>
      </c>
      <c r="B47" s="45" t="s">
        <v>1754</v>
      </c>
      <c r="C47" s="45" t="s">
        <v>1755</v>
      </c>
      <c r="D47" s="59">
        <f>VLOOKUP(B:B,'[1]5店'!$B:$L,3,0)</f>
        <v>45125</v>
      </c>
      <c r="E47" s="45" t="s">
        <v>1756</v>
      </c>
      <c r="F47" s="45">
        <v>21</v>
      </c>
      <c r="G47" s="45">
        <v>0</v>
      </c>
      <c r="H47" s="45">
        <v>0</v>
      </c>
      <c r="I47" s="45">
        <v>0</v>
      </c>
      <c r="J47" s="45">
        <v>0</v>
      </c>
      <c r="K47" s="63">
        <f t="shared" si="1"/>
        <v>21</v>
      </c>
      <c r="L47" s="64">
        <f>IFERROR(VLOOKUP($B:$B,'[1]5店'!$B:$L,11,FALSE),0)</f>
        <v>16</v>
      </c>
      <c r="M47" s="44">
        <f t="shared" si="11"/>
        <v>336</v>
      </c>
      <c r="N47" s="65">
        <f>IFERROR(VLOOKUP(B:B,'5店辅助表'!B:C,2,FALSE),0)</f>
        <v>1</v>
      </c>
      <c r="O47" s="65">
        <f>IFERROR(VLOOKUP(B:B,'5店辅助表'!E:F,2,FALSE),0)</f>
        <v>2</v>
      </c>
      <c r="P47" s="65">
        <f>IFERROR(VLOOKUP(B:B,'5店辅助表'!H:I,2,FALSE),0)</f>
        <v>6</v>
      </c>
      <c r="Q47" s="65">
        <f>IFERROR(VLOOKUP(B:B,'[1]5店'!$B:$P,13,FALSE),0)</f>
        <v>0</v>
      </c>
      <c r="R47" s="79">
        <f t="shared" si="2"/>
        <v>1</v>
      </c>
      <c r="S47" s="80">
        <f t="shared" si="3"/>
        <v>132.3</v>
      </c>
      <c r="T47" s="44">
        <f t="shared" si="4"/>
        <v>4.41</v>
      </c>
      <c r="U47" s="44">
        <f>IFERROR(VLOOKUP(B:B,'[1]5店'!$B:$T,19,0),"-")</f>
        <v>7.33333333333333</v>
      </c>
      <c r="V47" s="81">
        <f t="shared" si="5"/>
        <v>-2.92333333333333</v>
      </c>
      <c r="W47" s="82" t="str">
        <f>_xlfn.IFS(AND(D47&lt;&gt;0,D47-$AM$2&gt;=0,B47&gt;0,D47&lt;&gt;0),"本月刚到货",AND(IFERROR((K47/(N47/7))/30,"-")="-",K47&gt;0),"有库存无销量",AND(IFERROR((K47/(N47/7))/30,"-")="-",K47=0),"无库存无销量",AND(IFERROR((K47/(N47/7))/30,"-")&lt;=0.5,K47=0),"无库存有销量",IFERROR((K47/(N47/7))/30,"-")&lt;=0.5,"库存过低",IFERROR((K47/(N47/7))/30,"-")&lt;=1.5,"正常",IFERROR((K47/(N47/7))/30,"-")&gt;1.5,"库存过高")</f>
        <v>库存过高</v>
      </c>
      <c r="X47" s="83" t="str">
        <f>_xlfn.IFS(AND(D47&lt;&gt;0,D47-$AM$2&gt;=0,K47&gt;0,D47&lt;&gt;0),"本月刚到货",AND(T47="-",K47&gt;0),"有库存无销量",AND(T47="-",K47=0),"无库存无销量",AND(T47&lt;=0.5,K47=0),"无库存有销量",T47&lt;=0.5,"库存过低",T47&lt;=1.5,"正常",T47&gt;1.5,"库存过高")</f>
        <v>库存过高</v>
      </c>
      <c r="Y47" s="44">
        <f>IFERROR(SUMIF('5店辅助表'!K:K,B:B,'5店辅助表'!N:N),0)</f>
        <v>0</v>
      </c>
      <c r="Z47" s="44">
        <f>IFERROR(SUMIF('5店辅助表'!T:T,B:B,'5店辅助表'!W:W),0)</f>
        <v>0</v>
      </c>
      <c r="AA47" s="44">
        <f>IFERROR(SUMIF('5店辅助表'!AC:AC,B:B,'5店辅助表'!AF:AF),0)</f>
        <v>0</v>
      </c>
      <c r="AB47" s="91" t="str">
        <f>IFERROR(SUMIF('5店辅助表'!K:K,B:B,'5店辅助表'!N:N)/SUMIF('5店辅助表'!K:K,B:B,'5店辅助表'!O:O),"-")</f>
        <v>-</v>
      </c>
      <c r="AC47" s="91" t="str">
        <f>IFERROR(VLOOKUP(B:B,'[1]5店'!$B:$AB,27,FALSE),"-")</f>
        <v>-</v>
      </c>
      <c r="AD47" s="92" t="str">
        <f t="shared" si="6"/>
        <v>-</v>
      </c>
      <c r="AE47" s="91" t="str">
        <f>IFERROR(SUMIF('5店辅助表'!T:T,B:B,'5店辅助表'!W:W)/SUMIF('5店辅助表'!T:T,B:B,'5店辅助表'!X:X),"-")</f>
        <v>-</v>
      </c>
      <c r="AF47" s="91" t="str">
        <f>IFERROR(SUMIF('5店辅助表'!AC:AC,B:B,'5店辅助表'!AF:AF)/SUMIF('5店辅助表'!AC:AC,B:B,'5店辅助表'!AG:AG),"-")</f>
        <v>-</v>
      </c>
      <c r="AG47" s="99">
        <f>IFERROR(AK47/((SUMIF('5店辅助表'!AT:AT,B:B,'5店辅助表'!AU:AU)+M47)/2),"-")</f>
        <v>0.0465116279069767</v>
      </c>
      <c r="AH47" s="99">
        <f>IFERROR(AL47/((SUMIF('5店辅助表'!AW:AW,B:B,'5店辅助表'!AX:AX)+M47)/2),"-")</f>
        <v>0.0851063829787234</v>
      </c>
      <c r="AI47" s="100">
        <f>IFERROR((SUMIF('5店辅助表'!AP:AP,B:B,'5店辅助表'!AR:AR)-SUMIF('5店辅助表'!AP:AP,B:B,'5店辅助表'!AR:AR)*0.15-(L47+IFERROR(VLOOKUP(B:B,'5店辅助表'!AZ:BA,2,0),0))*O47-IF(AN:AN="US",6.85,4.9)*(Z47+3.28*O47))/SUMIF('5店辅助表'!AP:AP,B:B,'5店辅助表'!AR:AR),"-")</f>
        <v>0.330523103285668</v>
      </c>
      <c r="AJ47" s="100">
        <f t="shared" si="7"/>
        <v>0.0281296258115462</v>
      </c>
      <c r="AK47" s="101">
        <f t="shared" si="8"/>
        <v>16</v>
      </c>
      <c r="AL47" s="101">
        <f t="shared" si="9"/>
        <v>32</v>
      </c>
      <c r="AM47" s="1" t="str">
        <f>VLOOKUP(B:B,'5店辅助表'!AZ:AZ,1,FALSE)</f>
        <v>Y5071-PU</v>
      </c>
      <c r="AN47" t="str">
        <f>VLOOKUP(B:B,'5店辅助表'!AZ:BB,3,FALSE)</f>
        <v>US</v>
      </c>
    </row>
    <row r="48" customHeight="1" spans="1:40">
      <c r="A48" s="58" t="str">
        <f>INDEX('[1]5店'!$A:$A,MATCH(B:B,'[1]5店'!$B:$B,0))</f>
        <v>秀青</v>
      </c>
      <c r="B48" s="45" t="s">
        <v>1757</v>
      </c>
      <c r="C48" s="45" t="s">
        <v>1758</v>
      </c>
      <c r="D48" s="59">
        <f>VLOOKUP(B:B,'[1]5店'!$B:$L,3,0)</f>
        <v>45125</v>
      </c>
      <c r="E48" s="45" t="s">
        <v>1759</v>
      </c>
      <c r="F48" s="45">
        <v>20</v>
      </c>
      <c r="G48" s="45">
        <v>0</v>
      </c>
      <c r="H48" s="45">
        <v>0</v>
      </c>
      <c r="I48" s="45">
        <v>0</v>
      </c>
      <c r="J48" s="45">
        <v>0</v>
      </c>
      <c r="K48" s="63">
        <f t="shared" si="1"/>
        <v>20</v>
      </c>
      <c r="L48" s="64">
        <f>IFERROR(VLOOKUP($B:$B,'[1]5店'!$B:$L,11,FALSE),0)</f>
        <v>61</v>
      </c>
      <c r="M48" s="44">
        <f t="shared" si="11"/>
        <v>1220</v>
      </c>
      <c r="N48" s="65">
        <f>IFERROR(VLOOKUP(B:B,'5店辅助表'!B:C,2,FALSE),0)</f>
        <v>0</v>
      </c>
      <c r="O48" s="65">
        <f>IFERROR(VLOOKUP(B:B,'5店辅助表'!E:F,2,FALSE),0)</f>
        <v>0</v>
      </c>
      <c r="P48" s="65">
        <f>IFERROR(VLOOKUP(B:B,'5店辅助表'!H:I,2,FALSE),0)</f>
        <v>0</v>
      </c>
      <c r="Q48" s="65">
        <f>IFERROR(VLOOKUP(B:B,'[1]5店'!$B:$P,13,FALSE),0)</f>
        <v>0</v>
      </c>
      <c r="R48" s="79">
        <f t="shared" si="2"/>
        <v>0</v>
      </c>
      <c r="S48" s="80" t="str">
        <f t="shared" si="3"/>
        <v>-</v>
      </c>
      <c r="T48" s="44" t="str">
        <f t="shared" si="4"/>
        <v>-</v>
      </c>
      <c r="U48" s="44" t="str">
        <f>IFERROR(VLOOKUP(B:B,'[1]5店'!$B:$T,19,0),"-")</f>
        <v>-</v>
      </c>
      <c r="V48" s="81" t="str">
        <f t="shared" si="5"/>
        <v>-</v>
      </c>
      <c r="W48" s="82" t="str">
        <f>_xlfn.IFS(AND(D48&lt;&gt;0,D48-$AM$2&gt;=0,B48&gt;0,D48&lt;&gt;0),"本月刚到货",AND(IFERROR((K48/(N48/7))/30,"-")="-",K48&gt;0),"有库存无销量",AND(IFERROR((K48/(N48/7))/30,"-")="-",K48=0),"无库存无销量",AND(IFERROR((K48/(N48/7))/30,"-")&lt;=0.5,K48=0),"无库存有销量",IFERROR((K48/(N48/7))/30,"-")&lt;=0.5,"库存过低",IFERROR((K48/(N48/7))/30,"-")&lt;=1.5,"正常",IFERROR((K48/(N48/7))/30,"-")&gt;1.5,"库存过高")</f>
        <v>有库存无销量</v>
      </c>
      <c r="X48" s="83" t="str">
        <f>_xlfn.IFS(AND(D48&lt;&gt;0,D48-$AM$2&gt;=0,K48&gt;0,D48&lt;&gt;0),"本月刚到货",AND(T48="-",K48&gt;0),"有库存无销量",AND(T48="-",K48=0),"无库存无销量",AND(T48&lt;=0.5,K48=0),"无库存有销量",T48&lt;=0.5,"库存过低",T48&lt;=1.5,"正常",T48&gt;1.5,"库存过高")</f>
        <v>有库存无销量</v>
      </c>
      <c r="Y48" s="44">
        <f>IFERROR(SUMIF('5店辅助表'!K:K,B:B,'5店辅助表'!N:N),0)</f>
        <v>7.27</v>
      </c>
      <c r="Z48" s="44">
        <f>IFERROR(SUMIF('5店辅助表'!T:T,B:B,'5店辅助表'!W:W),0)</f>
        <v>7.27</v>
      </c>
      <c r="AA48" s="44">
        <f>IFERROR(SUMIF('5店辅助表'!AC:AC,B:B,'5店辅助表'!AF:AF),0)</f>
        <v>9.75</v>
      </c>
      <c r="AB48" s="91" t="str">
        <f>IFERROR(SUMIF('5店辅助表'!K:K,B:B,'5店辅助表'!N:N)/SUMIF('5店辅助表'!K:K,B:B,'5店辅助表'!O:O),"-")</f>
        <v>-</v>
      </c>
      <c r="AC48" s="91" t="str">
        <f>IFERROR(VLOOKUP(B:B,'[1]5店'!$B:$AB,27,FALSE),"-")</f>
        <v>-</v>
      </c>
      <c r="AD48" s="92" t="str">
        <f t="shared" si="6"/>
        <v>-</v>
      </c>
      <c r="AE48" s="91" t="str">
        <f>IFERROR(SUMIF('5店辅助表'!T:T,B:B,'5店辅助表'!W:W)/SUMIF('5店辅助表'!T:T,B:B,'5店辅助表'!X:X),"-")</f>
        <v>-</v>
      </c>
      <c r="AF48" s="91" t="str">
        <f>IFERROR(SUMIF('5店辅助表'!AC:AC,B:B,'5店辅助表'!AF:AF)/SUMIF('5店辅助表'!AC:AC,B:B,'5店辅助表'!AG:AG),"-")</f>
        <v>-</v>
      </c>
      <c r="AG48" s="99">
        <f>IFERROR(AK48/((SUMIF('5店辅助表'!AT:AT,B:B,'5店辅助表'!AU:AU)+M48)/2),"-")</f>
        <v>0</v>
      </c>
      <c r="AH48" s="99">
        <f>IFERROR(AL48/((SUMIF('5店辅助表'!AW:AW,B:B,'5店辅助表'!AX:AX)+M48)/2),"-")</f>
        <v>0</v>
      </c>
      <c r="AI48" s="100" t="str">
        <f>IFERROR((SUMIF('5店辅助表'!AP:AP,B:B,'5店辅助表'!AR:AR)-SUMIF('5店辅助表'!AP:AP,B:B,'5店辅助表'!AR:AR)*0.15-(L48+IFERROR(VLOOKUP(B:B,'5店辅助表'!AZ:BA,2,0),0))*O48-IF(AN:AN="US",6.85,4.9)*(Z48+3.28*O48))/SUMIF('5店辅助表'!AP:AP,B:B,'5店辅助表'!AR:AR),"-")</f>
        <v>-</v>
      </c>
      <c r="AJ48" s="100" t="str">
        <f t="shared" si="7"/>
        <v>-</v>
      </c>
      <c r="AK48" s="101">
        <f t="shared" si="8"/>
        <v>0</v>
      </c>
      <c r="AL48" s="101">
        <f t="shared" si="9"/>
        <v>0</v>
      </c>
      <c r="AM48" s="1" t="str">
        <f>VLOOKUP(B:B,'5店辅助表'!AZ:AZ,1,FALSE)</f>
        <v>Y5072-GR</v>
      </c>
      <c r="AN48" t="str">
        <f>VLOOKUP(B:B,'5店辅助表'!AZ:BB,3,FALSE)</f>
        <v>US</v>
      </c>
    </row>
    <row r="49" customHeight="1" spans="1:40">
      <c r="A49" s="58" t="str">
        <f>INDEX('[1]5店'!$A:$A,MATCH(B:B,'[1]5店'!$B:$B,0))</f>
        <v>秀青</v>
      </c>
      <c r="B49" s="45" t="s">
        <v>1760</v>
      </c>
      <c r="C49" s="45" t="s">
        <v>1758</v>
      </c>
      <c r="D49" s="59">
        <f>VLOOKUP(B:B,'[1]5店'!$B:$L,3,0)</f>
        <v>45125</v>
      </c>
      <c r="E49" s="45" t="s">
        <v>1761</v>
      </c>
      <c r="F49" s="45">
        <v>10</v>
      </c>
      <c r="G49" s="45">
        <v>0</v>
      </c>
      <c r="H49" s="45">
        <v>0</v>
      </c>
      <c r="I49" s="45">
        <v>0</v>
      </c>
      <c r="J49" s="45">
        <v>0</v>
      </c>
      <c r="K49" s="63">
        <f t="shared" si="1"/>
        <v>10</v>
      </c>
      <c r="L49" s="64">
        <f>IFERROR(VLOOKUP($B:$B,'[1]5店'!$B:$L,11,FALSE),0)</f>
        <v>42</v>
      </c>
      <c r="M49" s="44">
        <f t="shared" si="11"/>
        <v>420</v>
      </c>
      <c r="N49" s="65">
        <f>IFERROR(VLOOKUP(B:B,'5店辅助表'!B:C,2,FALSE),0)</f>
        <v>0</v>
      </c>
      <c r="O49" s="65">
        <f>IFERROR(VLOOKUP(B:B,'5店辅助表'!E:F,2,FALSE),0)</f>
        <v>0</v>
      </c>
      <c r="P49" s="65">
        <f>IFERROR(VLOOKUP(B:B,'5店辅助表'!H:I,2,FALSE),0)</f>
        <v>0</v>
      </c>
      <c r="Q49" s="65">
        <f>IFERROR(VLOOKUP(B:B,'[1]5店'!$B:$P,13,FALSE),0)</f>
        <v>0</v>
      </c>
      <c r="R49" s="79">
        <f t="shared" si="2"/>
        <v>0</v>
      </c>
      <c r="S49" s="80" t="str">
        <f t="shared" si="3"/>
        <v>-</v>
      </c>
      <c r="T49" s="44" t="str">
        <f t="shared" si="4"/>
        <v>-</v>
      </c>
      <c r="U49" s="44" t="str">
        <f>IFERROR(VLOOKUP(B:B,'[1]5店'!$B:$T,19,0),"-")</f>
        <v>-</v>
      </c>
      <c r="V49" s="81" t="str">
        <f t="shared" si="5"/>
        <v>-</v>
      </c>
      <c r="W49" s="82" t="str">
        <f>_xlfn.IFS(AND(D49&lt;&gt;0,D49-$AM$2&gt;=0,B49&gt;0,D49&lt;&gt;0),"本月刚到货",AND(IFERROR((K49/(N49/7))/30,"-")="-",K49&gt;0),"有库存无销量",AND(IFERROR((K49/(N49/7))/30,"-")="-",K49=0),"无库存无销量",AND(IFERROR((K49/(N49/7))/30,"-")&lt;=0.5,K49=0),"无库存有销量",IFERROR((K49/(N49/7))/30,"-")&lt;=0.5,"库存过低",IFERROR((K49/(N49/7))/30,"-")&lt;=1.5,"正常",IFERROR((K49/(N49/7))/30,"-")&gt;1.5,"库存过高")</f>
        <v>有库存无销量</v>
      </c>
      <c r="X49" s="83" t="str">
        <f>_xlfn.IFS(AND(D49&lt;&gt;0,D49-$AM$2&gt;=0,K49&gt;0,D49&lt;&gt;0),"本月刚到货",AND(T49="-",K49&gt;0),"有库存无销量",AND(T49="-",K49=0),"无库存无销量",AND(T49&lt;=0.5,K49=0),"无库存有销量",T49&lt;=0.5,"库存过低",T49&lt;=1.5,"正常",T49&gt;1.5,"库存过高")</f>
        <v>有库存无销量</v>
      </c>
      <c r="Y49" s="44">
        <f>IFERROR(SUMIF('5店辅助表'!K:K,B:B,'5店辅助表'!N:N),0)</f>
        <v>0.98</v>
      </c>
      <c r="Z49" s="44">
        <f>IFERROR(SUMIF('5店辅助表'!T:T,B:B,'5店辅助表'!W:W),0)</f>
        <v>0.98</v>
      </c>
      <c r="AA49" s="44">
        <f>IFERROR(SUMIF('5店辅助表'!AC:AC,B:B,'5店辅助表'!AF:AF),0)</f>
        <v>0.98</v>
      </c>
      <c r="AB49" s="91" t="str">
        <f>IFERROR(SUMIF('5店辅助表'!K:K,B:B,'5店辅助表'!N:N)/SUMIF('5店辅助表'!K:K,B:B,'5店辅助表'!O:O),"-")</f>
        <v>-</v>
      </c>
      <c r="AC49" s="91" t="str">
        <f>IFERROR(VLOOKUP(B:B,'[1]5店'!$B:$AB,27,FALSE),"-")</f>
        <v>-</v>
      </c>
      <c r="AD49" s="92" t="str">
        <f t="shared" si="6"/>
        <v>-</v>
      </c>
      <c r="AE49" s="91" t="str">
        <f>IFERROR(SUMIF('5店辅助表'!T:T,B:B,'5店辅助表'!W:W)/SUMIF('5店辅助表'!T:T,B:B,'5店辅助表'!X:X),"-")</f>
        <v>-</v>
      </c>
      <c r="AF49" s="91" t="str">
        <f>IFERROR(SUMIF('5店辅助表'!AC:AC,B:B,'5店辅助表'!AF:AF)/SUMIF('5店辅助表'!AC:AC,B:B,'5店辅助表'!AG:AG),"-")</f>
        <v>-</v>
      </c>
      <c r="AG49" s="99">
        <f>IFERROR(AK49/((SUMIF('5店辅助表'!AT:AT,B:B,'5店辅助表'!AU:AU)+M49)/2),"-")</f>
        <v>0</v>
      </c>
      <c r="AH49" s="99">
        <f>IFERROR(AL49/((SUMIF('5店辅助表'!AW:AW,B:B,'5店辅助表'!AX:AX)+M49)/2),"-")</f>
        <v>0</v>
      </c>
      <c r="AI49" s="100" t="str">
        <f>IFERROR((SUMIF('5店辅助表'!AP:AP,B:B,'5店辅助表'!AR:AR)-SUMIF('5店辅助表'!AP:AP,B:B,'5店辅助表'!AR:AR)*0.15-(L49+IFERROR(VLOOKUP(B:B,'5店辅助表'!AZ:BA,2,0),0))*O49-IF(AN:AN="US",6.85,4.9)*(Z49+3.28*O49))/SUMIF('5店辅助表'!AP:AP,B:B,'5店辅助表'!AR:AR),"-")</f>
        <v>-</v>
      </c>
      <c r="AJ49" s="100" t="str">
        <f t="shared" si="7"/>
        <v>-</v>
      </c>
      <c r="AK49" s="101">
        <f t="shared" si="8"/>
        <v>0</v>
      </c>
      <c r="AL49" s="101">
        <f t="shared" si="9"/>
        <v>0</v>
      </c>
      <c r="AM49" s="1" t="str">
        <f>VLOOKUP(B:B,'5店辅助表'!AZ:AZ,1,FALSE)</f>
        <v>Y5072-RE</v>
      </c>
      <c r="AN49" t="str">
        <f>VLOOKUP(B:B,'5店辅助表'!AZ:BB,3,FALSE)</f>
        <v>US</v>
      </c>
    </row>
    <row r="50" customHeight="1" spans="1:40">
      <c r="A50" s="58" t="str">
        <f>INDEX('[1]5店'!$A:$A,MATCH(B:B,'[1]5店'!$B:$B,0))</f>
        <v>秀青</v>
      </c>
      <c r="B50" s="45" t="s">
        <v>1762</v>
      </c>
      <c r="C50" s="45" t="s">
        <v>1763</v>
      </c>
      <c r="D50" s="59">
        <f>VLOOKUP(B:B,'[1]5店'!$B:$L,3,0)</f>
        <v>45125</v>
      </c>
      <c r="E50" s="45" t="s">
        <v>1764</v>
      </c>
      <c r="F50" s="45">
        <v>17</v>
      </c>
      <c r="G50" s="45">
        <v>1</v>
      </c>
      <c r="H50" s="45">
        <v>0</v>
      </c>
      <c r="I50" s="45">
        <v>0</v>
      </c>
      <c r="J50" s="45">
        <v>0</v>
      </c>
      <c r="K50" s="63">
        <f t="shared" si="1"/>
        <v>18</v>
      </c>
      <c r="L50" s="64">
        <f>IFERROR(VLOOKUP($B:$B,'[1]5店'!$B:$L,11,FALSE),0)</f>
        <v>60</v>
      </c>
      <c r="M50" s="44">
        <f t="shared" si="11"/>
        <v>1080</v>
      </c>
      <c r="N50" s="65">
        <f>IFERROR(VLOOKUP(B:B,'5店辅助表'!B:C,2,FALSE),0)</f>
        <v>0</v>
      </c>
      <c r="O50" s="65">
        <f>IFERROR(VLOOKUP(B:B,'5店辅助表'!E:F,2,FALSE),0)</f>
        <v>0</v>
      </c>
      <c r="P50" s="65">
        <f>IFERROR(VLOOKUP(B:B,'5店辅助表'!H:I,2,FALSE),0)</f>
        <v>3</v>
      </c>
      <c r="Q50" s="65">
        <f>IFERROR(VLOOKUP(B:B,'[1]5店'!$B:$P,13,FALSE),0)</f>
        <v>0</v>
      </c>
      <c r="R50" s="79">
        <f t="shared" si="2"/>
        <v>0</v>
      </c>
      <c r="S50" s="80">
        <f t="shared" si="3"/>
        <v>540</v>
      </c>
      <c r="T50" s="44">
        <f t="shared" si="4"/>
        <v>18</v>
      </c>
      <c r="U50" s="44">
        <f>IFERROR(VLOOKUP(B:B,'[1]5店'!$B:$T,19,0),"-")</f>
        <v>18</v>
      </c>
      <c r="V50" s="81">
        <f t="shared" si="5"/>
        <v>0</v>
      </c>
      <c r="W50" s="82" t="str">
        <f>_xlfn.IFS(AND(D50&lt;&gt;0,D50-$AM$2&gt;=0,B50&gt;0,D50&lt;&gt;0),"本月刚到货",AND(IFERROR((K50/(N50/7))/30,"-")="-",K50&gt;0),"有库存无销量",AND(IFERROR((K50/(N50/7))/30,"-")="-",K50=0),"无库存无销量",AND(IFERROR((K50/(N50/7))/30,"-")&lt;=0.5,K50=0),"无库存有销量",IFERROR((K50/(N50/7))/30,"-")&lt;=0.5,"库存过低",IFERROR((K50/(N50/7))/30,"-")&lt;=1.5,"正常",IFERROR((K50/(N50/7))/30,"-")&gt;1.5,"库存过高")</f>
        <v>有库存无销量</v>
      </c>
      <c r="X50" s="83" t="str">
        <f>_xlfn.IFS(AND(D50&lt;&gt;0,D50-$AM$2&gt;=0,K50&gt;0,D50&lt;&gt;0),"本月刚到货",AND(T50="-",K50&gt;0),"有库存无销量",AND(T50="-",K50=0),"无库存无销量",AND(T50&lt;=0.5,K50=0),"无库存有销量",T50&lt;=0.5,"库存过低",T50&lt;=1.5,"正常",T50&gt;1.5,"库存过高")</f>
        <v>库存过高</v>
      </c>
      <c r="Y50" s="44">
        <f>IFERROR(SUMIF('5店辅助表'!K:K,B:B,'5店辅助表'!N:N),0)</f>
        <v>1.61</v>
      </c>
      <c r="Z50" s="44">
        <f>IFERROR(SUMIF('5店辅助表'!T:T,B:B,'5店辅助表'!W:W),0)</f>
        <v>7.59</v>
      </c>
      <c r="AA50" s="44">
        <f>IFERROR(SUMIF('5店辅助表'!AC:AC,B:B,'5店辅助表'!AF:AF),0)</f>
        <v>12.86</v>
      </c>
      <c r="AB50" s="91" t="str">
        <f>IFERROR(SUMIF('5店辅助表'!K:K,B:B,'5店辅助表'!N:N)/SUMIF('5店辅助表'!K:K,B:B,'5店辅助表'!O:O),"-")</f>
        <v>-</v>
      </c>
      <c r="AC50" s="91" t="str">
        <f>IFERROR(VLOOKUP(B:B,'[1]5店'!$B:$AB,27,FALSE),"-")</f>
        <v>-</v>
      </c>
      <c r="AD50" s="92" t="str">
        <f t="shared" si="6"/>
        <v>-</v>
      </c>
      <c r="AE50" s="91" t="str">
        <f>IFERROR(SUMIF('5店辅助表'!T:T,B:B,'5店辅助表'!W:W)/SUMIF('5店辅助表'!T:T,B:B,'5店辅助表'!X:X),"-")</f>
        <v>-</v>
      </c>
      <c r="AF50" s="91">
        <f>IFERROR(SUMIF('5店辅助表'!AC:AC,B:B,'5店辅助表'!AF:AF)/SUMIF('5店辅助表'!AC:AC,B:B,'5店辅助表'!AG:AG),"-")</f>
        <v>0.559373640713354</v>
      </c>
      <c r="AG50" s="99">
        <f>IFERROR(AK50/((SUMIF('5店辅助表'!AT:AT,B:B,'5店辅助表'!AU:AU)+M50)/2),"-")</f>
        <v>0</v>
      </c>
      <c r="AH50" s="99">
        <f>IFERROR(AL50/((SUMIF('5店辅助表'!AW:AW,B:B,'5店辅助表'!AX:AX)+M50)/2),"-")</f>
        <v>0</v>
      </c>
      <c r="AI50" s="100" t="str">
        <f>IFERROR((SUMIF('5店辅助表'!AP:AP,B:B,'5店辅助表'!AR:AR)-SUMIF('5店辅助表'!AP:AP,B:B,'5店辅助表'!AR:AR)*0.15-(L50+IFERROR(VLOOKUP(B:B,'5店辅助表'!AZ:BA,2,0),0))*O50-IF(AN:AN="US",6.85,4.9)*(Z50+3.28*O50))/SUMIF('5店辅助表'!AP:AP,B:B,'5店辅助表'!AR:AR),"-")</f>
        <v>-</v>
      </c>
      <c r="AJ50" s="100" t="str">
        <f t="shared" si="7"/>
        <v>-</v>
      </c>
      <c r="AK50" s="101">
        <f t="shared" si="8"/>
        <v>0</v>
      </c>
      <c r="AL50" s="101">
        <f t="shared" si="9"/>
        <v>0</v>
      </c>
      <c r="AM50" s="1" t="str">
        <f>VLOOKUP(B:B,'5店辅助表'!AZ:AZ,1,FALSE)</f>
        <v>Y5073</v>
      </c>
      <c r="AN50" t="str">
        <f>VLOOKUP(B:B,'5店辅助表'!AZ:BB,3,FALSE)</f>
        <v>US</v>
      </c>
    </row>
    <row r="51" customHeight="1" spans="1:40">
      <c r="A51" s="58" t="str">
        <f>INDEX('[1]5店'!$A:$A,MATCH(B:B,'[1]5店'!$B:$B,0))</f>
        <v>秀青</v>
      </c>
      <c r="B51" s="45" t="s">
        <v>1765</v>
      </c>
      <c r="C51" s="45" t="s">
        <v>1766</v>
      </c>
      <c r="D51" s="59">
        <f>VLOOKUP(B:B,'[1]5店'!$B:$L,3,0)</f>
        <v>45125</v>
      </c>
      <c r="E51" s="45" t="s">
        <v>1767</v>
      </c>
      <c r="F51" s="45">
        <v>18</v>
      </c>
      <c r="G51" s="45">
        <v>0</v>
      </c>
      <c r="H51" s="45">
        <v>0</v>
      </c>
      <c r="I51" s="45">
        <v>3</v>
      </c>
      <c r="J51" s="45">
        <v>0</v>
      </c>
      <c r="K51" s="63">
        <f t="shared" si="1"/>
        <v>21</v>
      </c>
      <c r="L51" s="64">
        <f>IFERROR(VLOOKUP($B:$B,'[1]5店'!$B:$L,11,FALSE),0)</f>
        <v>16</v>
      </c>
      <c r="M51" s="44">
        <f t="shared" si="11"/>
        <v>336</v>
      </c>
      <c r="N51" s="65">
        <f>IFERROR(VLOOKUP(B:B,'5店辅助表'!B:C,2,FALSE),0)</f>
        <v>18</v>
      </c>
      <c r="O51" s="65">
        <f>IFERROR(VLOOKUP(B:B,'5店辅助表'!E:F,2,FALSE),0)</f>
        <v>28</v>
      </c>
      <c r="P51" s="65">
        <f>IFERROR(VLOOKUP(B:B,'5店辅助表'!H:I,2,FALSE),0)</f>
        <v>42</v>
      </c>
      <c r="Q51" s="65">
        <f>IFERROR(VLOOKUP(B:B,'[1]5店'!$B:$P,13,FALSE),0)</f>
        <v>10</v>
      </c>
      <c r="R51" s="79">
        <f t="shared" si="2"/>
        <v>8</v>
      </c>
      <c r="S51" s="80">
        <f t="shared" si="3"/>
        <v>10.7911908646003</v>
      </c>
      <c r="T51" s="44">
        <f t="shared" si="4"/>
        <v>0.359706362153344</v>
      </c>
      <c r="U51" s="44">
        <f>IFERROR(VLOOKUP(B:B,'[1]5店'!$B:$T,19,0),"-")</f>
        <v>1.00128865979381</v>
      </c>
      <c r="V51" s="81">
        <f t="shared" si="5"/>
        <v>-0.641582297640466</v>
      </c>
      <c r="W51" s="82" t="str">
        <f>_xlfn.IFS(AND(D51&lt;&gt;0,D51-$AM$2&gt;=0,B51&gt;0,D51&lt;&gt;0),"本月刚到货",AND(IFERROR((K51/(N51/7))/30,"-")="-",K51&gt;0),"有库存无销量",AND(IFERROR((K51/(N51/7))/30,"-")="-",K51=0),"无库存无销量",AND(IFERROR((K51/(N51/7))/30,"-")&lt;=0.5,K51=0),"无库存有销量",IFERROR((K51/(N51/7))/30,"-")&lt;=0.5,"库存过低",IFERROR((K51/(N51/7))/30,"-")&lt;=1.5,"正常",IFERROR((K51/(N51/7))/30,"-")&gt;1.5,"库存过高")</f>
        <v>库存过低</v>
      </c>
      <c r="X51" s="83" t="str">
        <f>_xlfn.IFS(AND(D51&lt;&gt;0,D51-$AM$2&gt;=0,K51&gt;0,D51&lt;&gt;0),"本月刚到货",AND(T51="-",K51&gt;0),"有库存无销量",AND(T51="-",K51=0),"无库存无销量",AND(T51&lt;=0.5,K51=0),"无库存有销量",T51&lt;=0.5,"库存过低",T51&lt;=1.5,"正常",T51&gt;1.5,"库存过高")</f>
        <v>库存过低</v>
      </c>
      <c r="Y51" s="44">
        <f>IFERROR(SUMIF('5店辅助表'!K:K,B:B,'5店辅助表'!N:N),0)</f>
        <v>6.02</v>
      </c>
      <c r="Z51" s="44">
        <f>IFERROR(SUMIF('5店辅助表'!T:T,B:B,'5店辅助表'!W:W),0)</f>
        <v>12.1</v>
      </c>
      <c r="AA51" s="44">
        <f>IFERROR(SUMIF('5店辅助表'!AC:AC,B:B,'5店辅助表'!AF:AF),0)</f>
        <v>17.41</v>
      </c>
      <c r="AB51" s="91">
        <f>IFERROR(SUMIF('5店辅助表'!K:K,B:B,'5店辅助表'!N:N)/SUMIF('5店辅助表'!K:K,B:B,'5店辅助表'!O:O),"-")</f>
        <v>0.127434377646063</v>
      </c>
      <c r="AC51" s="91">
        <f>IFERROR(VLOOKUP(B:B,'[1]5店'!$B:$AB,27,FALSE),"-")</f>
        <v>0.232693911592994</v>
      </c>
      <c r="AD51" s="92">
        <f t="shared" si="6"/>
        <v>-0.105259533946931</v>
      </c>
      <c r="AE51" s="91">
        <f>IFERROR(SUMIF('5店辅助表'!T:T,B:B,'5店辅助表'!W:W)/SUMIF('5店辅助表'!T:T,B:B,'5店辅助表'!X:X),"-")</f>
        <v>0.169896096602078</v>
      </c>
      <c r="AF51" s="91">
        <f>IFERROR(SUMIF('5店辅助表'!AC:AC,B:B,'5店辅助表'!AF:AF)/SUMIF('5店辅助表'!AC:AC,B:B,'5店辅助表'!AG:AG),"-")</f>
        <v>0.16242186771154</v>
      </c>
      <c r="AG51" s="99">
        <f>IFERROR(AK51/((SUMIF('5店辅助表'!AT:AT,B:B,'5店辅助表'!AU:AU)+M51)/2),"-")</f>
        <v>0.620689655172414</v>
      </c>
      <c r="AH51" s="99">
        <f>IFERROR(AL51/((SUMIF('5店辅助表'!AW:AW,B:B,'5店辅助表'!AX:AX)+M51)/2),"-")</f>
        <v>2.66666666666667</v>
      </c>
      <c r="AI51" s="100">
        <f>IFERROR((SUMIF('5店辅助表'!AP:AP,B:B,'5店辅助表'!AR:AR)-SUMIF('5店辅助表'!AP:AP,B:B,'5店辅助表'!AR:AR)*0.15-(L51+IFERROR(VLOOKUP(B:B,'5店辅助表'!AZ:BA,2,0),0))*O51-IF(AN:AN="US",6.85,4.9)*(Z51+3.28*O51))/SUMIF('5店辅助表'!AP:AP,B:B,'5店辅助表'!AR:AR),"-")</f>
        <v>0.335119947706722</v>
      </c>
      <c r="AJ51" s="100">
        <f t="shared" si="7"/>
        <v>0.893653193884592</v>
      </c>
      <c r="AK51" s="101">
        <f t="shared" si="8"/>
        <v>288</v>
      </c>
      <c r="AL51" s="101">
        <f t="shared" si="9"/>
        <v>448</v>
      </c>
      <c r="AM51" s="1" t="str">
        <f>VLOOKUP(B:B,'5店辅助表'!AZ:AZ,1,FALSE)</f>
        <v>Y5071-BL</v>
      </c>
      <c r="AN51" t="str">
        <f>VLOOKUP(B:B,'5店辅助表'!AZ:BB,3,FALSE)</f>
        <v>US</v>
      </c>
    </row>
    <row r="52" customHeight="1" spans="1:40">
      <c r="A52" s="58" t="str">
        <f>INDEX('[1]5店'!$A:$A,MATCH(B:B,'[1]5店'!$B:$B,0))</f>
        <v>秀青</v>
      </c>
      <c r="B52" s="45" t="s">
        <v>1768</v>
      </c>
      <c r="C52" s="45" t="s">
        <v>1769</v>
      </c>
      <c r="D52" s="59">
        <f>VLOOKUP(B:B,'[1]5店'!$B:$L,3,0)</f>
        <v>45161</v>
      </c>
      <c r="E52" s="45" t="s">
        <v>1770</v>
      </c>
      <c r="F52" s="45">
        <v>8</v>
      </c>
      <c r="G52" s="45">
        <v>0</v>
      </c>
      <c r="H52" s="45">
        <v>1</v>
      </c>
      <c r="I52" s="45">
        <v>0</v>
      </c>
      <c r="J52" s="45">
        <v>0</v>
      </c>
      <c r="K52" s="63">
        <f t="shared" si="1"/>
        <v>9</v>
      </c>
      <c r="L52" s="64">
        <f>IFERROR(VLOOKUP($B:$B,'[1]5店'!$B:$L,11,FALSE),0)</f>
        <v>30</v>
      </c>
      <c r="M52" s="44">
        <f t="shared" si="11"/>
        <v>270</v>
      </c>
      <c r="N52" s="65">
        <f>IFERROR(VLOOKUP(B:B,'5店辅助表'!B:C,2,FALSE),0)</f>
        <v>2</v>
      </c>
      <c r="O52" s="65">
        <f>IFERROR(VLOOKUP(B:B,'5店辅助表'!E:F,2,FALSE),0)</f>
        <v>6</v>
      </c>
      <c r="P52" s="65">
        <f>IFERROR(VLOOKUP(B:B,'5店辅助表'!H:I,2,FALSE),0)</f>
        <v>15</v>
      </c>
      <c r="Q52" s="65">
        <f>IFERROR(VLOOKUP(B:B,'[1]5店'!$B:$P,13,FALSE),0)</f>
        <v>3</v>
      </c>
      <c r="R52" s="79">
        <f t="shared" si="2"/>
        <v>-1</v>
      </c>
      <c r="S52" s="80">
        <f t="shared" si="3"/>
        <v>22.7710843373494</v>
      </c>
      <c r="T52" s="44">
        <f t="shared" si="4"/>
        <v>0.759036144578313</v>
      </c>
      <c r="U52" s="44">
        <f>IFERROR(VLOOKUP(B:B,'[1]5店'!$B:$T,19,0),"-")</f>
        <v>0.78839590443686</v>
      </c>
      <c r="V52" s="81">
        <f t="shared" si="5"/>
        <v>-0.029359759858547</v>
      </c>
      <c r="W52" s="82" t="str">
        <f>_xlfn.IFS(AND(D52&lt;&gt;0,D52-$AM$2&gt;=0,B52&gt;0,D52&lt;&gt;0),"本月刚到货",AND(IFERROR((K52/(N52/7))/30,"-")="-",K52&gt;0),"有库存无销量",AND(IFERROR((K52/(N52/7))/30,"-")="-",K52=0),"无库存无销量",AND(IFERROR((K52/(N52/7))/30,"-")&lt;=0.5,K52=0),"无库存有销量",IFERROR((K52/(N52/7))/30,"-")&lt;=0.5,"库存过低",IFERROR((K52/(N52/7))/30,"-")&lt;=1.5,"正常",IFERROR((K52/(N52/7))/30,"-")&gt;1.5,"库存过高")</f>
        <v>正常</v>
      </c>
      <c r="X52" s="83" t="str">
        <f>_xlfn.IFS(AND(D52&lt;&gt;0,D52-$AM$2&gt;=0,K52&gt;0,D52&lt;&gt;0),"本月刚到货",AND(T52="-",K52&gt;0),"有库存无销量",AND(T52="-",K52=0),"无库存无销量",AND(T52&lt;=0.5,K52=0),"无库存有销量",T52&lt;=0.5,"库存过低",T52&lt;=1.5,"正常",T52&gt;1.5,"库存过高")</f>
        <v>正常</v>
      </c>
      <c r="Y52" s="44">
        <f>IFERROR(SUMIF('5店辅助表'!K:K,B:B,'5店辅助表'!N:N),0)</f>
        <v>13.67</v>
      </c>
      <c r="Z52" s="44">
        <f>IFERROR(SUMIF('5店辅助表'!T:T,B:B,'5店辅助表'!W:W),0)</f>
        <v>23.46</v>
      </c>
      <c r="AA52" s="44">
        <f>IFERROR(SUMIF('5店辅助表'!AC:AC,B:B,'5店辅助表'!AF:AF),0)</f>
        <v>32.5</v>
      </c>
      <c r="AB52" s="91">
        <f>IFERROR(SUMIF('5店辅助表'!K:K,B:B,'5店辅助表'!N:N)/SUMIF('5店辅助表'!K:K,B:B,'5店辅助表'!O:O),"-")</f>
        <v>0.804590935844614</v>
      </c>
      <c r="AC52" s="91" t="str">
        <f>IFERROR(VLOOKUP(B:B,'[1]5店'!$B:$AB,27,FALSE),"-")</f>
        <v>-</v>
      </c>
      <c r="AD52" s="92" t="str">
        <f t="shared" si="6"/>
        <v>-</v>
      </c>
      <c r="AE52" s="91">
        <f>IFERROR(SUMIF('5店辅助表'!T:T,B:B,'5店辅助表'!W:W)/SUMIF('5店辅助表'!T:T,B:B,'5店辅助表'!X:X),"-")</f>
        <v>0.690406121247793</v>
      </c>
      <c r="AF52" s="91">
        <f>IFERROR(SUMIF('5店辅助表'!AC:AC,B:B,'5店辅助表'!AF:AF)/SUMIF('5店辅助表'!AC:AC,B:B,'5店辅助表'!AG:AG),"-")</f>
        <v>0.478222483814008</v>
      </c>
      <c r="AG52" s="99">
        <f>IFERROR(AK52/((SUMIF('5店辅助表'!AT:AT,B:B,'5店辅助表'!AU:AU)+M52)/2),"-")</f>
        <v>0.2</v>
      </c>
      <c r="AH52" s="99">
        <f>IFERROR(AL52/((SUMIF('5店辅助表'!AW:AW,B:B,'5店辅助表'!AX:AX)+M52)/2),"-")</f>
        <v>0.705882352941177</v>
      </c>
      <c r="AI52" s="100">
        <f>IFERROR((SUMIF('5店辅助表'!AP:AP,B:B,'5店辅助表'!AR:AR)-SUMIF('5店辅助表'!AP:AP,B:B,'5店辅助表'!AR:AR)*0.15-(L52+IFERROR(VLOOKUP(B:B,'5店辅助表'!AZ:BA,2,0),0))*O52-IF(AN:AN="US",6.85,4.9)*(Z52+3.28*O52))/SUMIF('5店辅助表'!AP:AP,B:B,'5店辅助表'!AR:AR),"-")</f>
        <v>0.157780875826484</v>
      </c>
      <c r="AJ52" s="100">
        <f t="shared" si="7"/>
        <v>0.111374735877518</v>
      </c>
      <c r="AK52" s="101">
        <f t="shared" si="8"/>
        <v>60</v>
      </c>
      <c r="AL52" s="101">
        <f t="shared" si="9"/>
        <v>180</v>
      </c>
      <c r="AM52" s="1" t="str">
        <f>VLOOKUP(B:B,'5店辅助表'!AZ:AZ,1,FALSE)</f>
        <v>Y5077-GN</v>
      </c>
      <c r="AN52" t="str">
        <f>VLOOKUP(B:B,'5店辅助表'!AZ:BB,3,FALSE)</f>
        <v>US</v>
      </c>
    </row>
    <row r="53" customHeight="1" spans="1:40">
      <c r="A53" s="58" t="str">
        <f>INDEX('[1]5店'!$A:$A,MATCH(B:B,'[1]5店'!$B:$B,0))</f>
        <v>秀青</v>
      </c>
      <c r="B53" s="45" t="s">
        <v>1771</v>
      </c>
      <c r="C53" s="45" t="s">
        <v>1772</v>
      </c>
      <c r="D53" s="59">
        <f>VLOOKUP(B:B,'[1]5店'!$B:$L,3,0)</f>
        <v>45161</v>
      </c>
      <c r="E53" s="45" t="s">
        <v>1773</v>
      </c>
      <c r="F53" s="45">
        <v>14</v>
      </c>
      <c r="G53" s="45">
        <v>0</v>
      </c>
      <c r="H53" s="45">
        <v>0</v>
      </c>
      <c r="I53" s="45">
        <v>0</v>
      </c>
      <c r="J53" s="45">
        <v>0</v>
      </c>
      <c r="K53" s="63">
        <f t="shared" si="1"/>
        <v>14</v>
      </c>
      <c r="L53" s="64">
        <f>IFERROR(VLOOKUP($B:$B,'[1]5店'!$B:$L,11,FALSE),0)</f>
        <v>30</v>
      </c>
      <c r="M53" s="44">
        <f t="shared" si="11"/>
        <v>420</v>
      </c>
      <c r="N53" s="65">
        <f>IFERROR(VLOOKUP(B:B,'5店辅助表'!B:C,2,FALSE),0)</f>
        <v>0</v>
      </c>
      <c r="O53" s="65">
        <f>IFERROR(VLOOKUP(B:B,'5店辅助表'!E:F,2,FALSE),0)</f>
        <v>0</v>
      </c>
      <c r="P53" s="65">
        <f>IFERROR(VLOOKUP(B:B,'5店辅助表'!H:I,2,FALSE),0)</f>
        <v>1</v>
      </c>
      <c r="Q53" s="65">
        <f>IFERROR(VLOOKUP(B:B,'[1]5店'!$B:$P,13,FALSE),0)</f>
        <v>0</v>
      </c>
      <c r="R53" s="79">
        <f t="shared" si="2"/>
        <v>0</v>
      </c>
      <c r="S53" s="80">
        <f t="shared" si="3"/>
        <v>1260</v>
      </c>
      <c r="T53" s="44">
        <f t="shared" si="4"/>
        <v>42</v>
      </c>
      <c r="U53" s="44">
        <f>IFERROR(VLOOKUP(B:B,'[1]5店'!$B:$T,19,0),"-")</f>
        <v>8.4</v>
      </c>
      <c r="V53" s="81">
        <f t="shared" si="5"/>
        <v>33.6</v>
      </c>
      <c r="W53" s="82" t="str">
        <f>_xlfn.IFS(AND(D53&lt;&gt;0,D53-$AM$2&gt;=0,B53&gt;0,D53&lt;&gt;0),"本月刚到货",AND(IFERROR((K53/(N53/7))/30,"-")="-",K53&gt;0),"有库存无销量",AND(IFERROR((K53/(N53/7))/30,"-")="-",K53=0),"无库存无销量",AND(IFERROR((K53/(N53/7))/30,"-")&lt;=0.5,K53=0),"无库存有销量",IFERROR((K53/(N53/7))/30,"-")&lt;=0.5,"库存过低",IFERROR((K53/(N53/7))/30,"-")&lt;=1.5,"正常",IFERROR((K53/(N53/7))/30,"-")&gt;1.5,"库存过高")</f>
        <v>有库存无销量</v>
      </c>
      <c r="X53" s="83" t="str">
        <f>_xlfn.IFS(AND(D53&lt;&gt;0,D53-$AM$2&gt;=0,K53&gt;0,D53&lt;&gt;0),"本月刚到货",AND(T53="-",K53&gt;0),"有库存无销量",AND(T53="-",K53=0),"无库存无销量",AND(T53&lt;=0.5,K53=0),"无库存有销量",T53&lt;=0.5,"库存过低",T53&lt;=1.5,"正常",T53&gt;1.5,"库存过高")</f>
        <v>库存过高</v>
      </c>
      <c r="Y53" s="44">
        <f>IFERROR(SUMIF('5店辅助表'!K:K,B:B,'5店辅助表'!N:N),0)</f>
        <v>3.4</v>
      </c>
      <c r="Z53" s="44">
        <f>IFERROR(SUMIF('5店辅助表'!T:T,B:B,'5店辅助表'!W:W),0)</f>
        <v>6.02</v>
      </c>
      <c r="AA53" s="44">
        <f>IFERROR(SUMIF('5店辅助表'!AC:AC,B:B,'5店辅助表'!AF:AF),0)</f>
        <v>9.48</v>
      </c>
      <c r="AB53" s="91" t="str">
        <f>IFERROR(SUMIF('5店辅助表'!K:K,B:B,'5店辅助表'!N:N)/SUMIF('5店辅助表'!K:K,B:B,'5店辅助表'!O:O),"-")</f>
        <v>-</v>
      </c>
      <c r="AC53" s="91">
        <f>IFERROR(VLOOKUP(B:B,'[1]5店'!$B:$AB,27,FALSE),"-")</f>
        <v>0.154208357857563</v>
      </c>
      <c r="AD53" s="92" t="str">
        <f t="shared" si="6"/>
        <v>-</v>
      </c>
      <c r="AE53" s="91">
        <f>IFERROR(SUMIF('5店辅助表'!T:T,B:B,'5店辅助表'!W:W)/SUMIF('5店辅助表'!T:T,B:B,'5店辅助表'!X:X),"-")</f>
        <v>0.354326074161271</v>
      </c>
      <c r="AF53" s="91">
        <f>IFERROR(SUMIF('5店辅助表'!AC:AC,B:B,'5店辅助表'!AF:AF)/SUMIF('5店辅助表'!AC:AC,B:B,'5店辅助表'!AG:AG),"-")</f>
        <v>0.557975279576221</v>
      </c>
      <c r="AG53" s="99">
        <f>IFERROR(AK53/((SUMIF('5店辅助表'!AT:AT,B:B,'5店辅助表'!AU:AU)+M53)/2),"-")</f>
        <v>0</v>
      </c>
      <c r="AH53" s="99">
        <f>IFERROR(AL53/((SUMIF('5店辅助表'!AW:AW,B:B,'5店辅助表'!AX:AX)+M53)/2),"-")</f>
        <v>0</v>
      </c>
      <c r="AI53" s="100" t="str">
        <f>IFERROR((SUMIF('5店辅助表'!AP:AP,B:B,'5店辅助表'!AR:AR)-SUMIF('5店辅助表'!AP:AP,B:B,'5店辅助表'!AR:AR)*0.15-(L53+IFERROR(VLOOKUP(B:B,'5店辅助表'!AZ:BA,2,0),0))*O53-IF(AN:AN="US",6.85,4.9)*(Z53+3.28*O53))/SUMIF('5店辅助表'!AP:AP,B:B,'5店辅助表'!AR:AR),"-")</f>
        <v>-</v>
      </c>
      <c r="AJ53" s="100" t="str">
        <f t="shared" si="7"/>
        <v>-</v>
      </c>
      <c r="AK53" s="101">
        <f t="shared" si="8"/>
        <v>0</v>
      </c>
      <c r="AL53" s="101">
        <f t="shared" si="9"/>
        <v>0</v>
      </c>
      <c r="AM53" s="1" t="str">
        <f>VLOOKUP(B:B,'5店辅助表'!AZ:AZ,1,FALSE)</f>
        <v>Y5077-RE</v>
      </c>
      <c r="AN53" t="str">
        <f>VLOOKUP(B:B,'5店辅助表'!AZ:BB,3,FALSE)</f>
        <v>US</v>
      </c>
    </row>
    <row r="54" customHeight="1" spans="1:40">
      <c r="A54" s="58" t="str">
        <f>INDEX('[1]5店'!$A:$A,MATCH(B:B,'[1]5店'!$B:$B,0))</f>
        <v>秀青</v>
      </c>
      <c r="B54" s="45" t="s">
        <v>1774</v>
      </c>
      <c r="C54" s="45" t="s">
        <v>1775</v>
      </c>
      <c r="D54" s="59">
        <f>VLOOKUP(B:B,'[1]5店'!$B:$L,3,0)</f>
        <v>45161</v>
      </c>
      <c r="E54" s="45" t="s">
        <v>1776</v>
      </c>
      <c r="F54" s="45">
        <v>0</v>
      </c>
      <c r="G54" s="45">
        <v>0</v>
      </c>
      <c r="H54" s="45">
        <v>25</v>
      </c>
      <c r="I54" s="45">
        <v>0</v>
      </c>
      <c r="J54" s="45">
        <v>0</v>
      </c>
      <c r="K54" s="63">
        <f t="shared" si="1"/>
        <v>25</v>
      </c>
      <c r="L54" s="64">
        <f>IFERROR(VLOOKUP($B:$B,'[1]5店'!$B:$L,11,FALSE),0)</f>
        <v>13</v>
      </c>
      <c r="M54" s="44">
        <f t="shared" si="11"/>
        <v>325</v>
      </c>
      <c r="N54" s="65">
        <f>IFERROR(VLOOKUP(B:B,'5店辅助表'!B:C,2,FALSE),0)</f>
        <v>0</v>
      </c>
      <c r="O54" s="65">
        <f>IFERROR(VLOOKUP(B:B,'5店辅助表'!E:F,2,FALSE),0)</f>
        <v>0</v>
      </c>
      <c r="P54" s="65">
        <f>IFERROR(VLOOKUP(B:B,'5店辅助表'!H:I,2,FALSE),0)</f>
        <v>8</v>
      </c>
      <c r="Q54" s="65">
        <f>IFERROR(VLOOKUP(B:B,'[1]5店'!$B:$P,13,FALSE),0)</f>
        <v>0</v>
      </c>
      <c r="R54" s="79">
        <f t="shared" si="2"/>
        <v>0</v>
      </c>
      <c r="S54" s="80">
        <f t="shared" si="3"/>
        <v>281.25</v>
      </c>
      <c r="T54" s="44">
        <f t="shared" si="4"/>
        <v>9.375</v>
      </c>
      <c r="U54" s="44">
        <f>IFERROR(VLOOKUP(B:B,'[1]5店'!$B:$T,19,0),"-")</f>
        <v>0</v>
      </c>
      <c r="V54" s="81">
        <f t="shared" si="5"/>
        <v>9.375</v>
      </c>
      <c r="W54" s="82" t="str">
        <f>_xlfn.IFS(AND(D54&lt;&gt;0,D54-$AM$2&gt;=0,B54&gt;0,D54&lt;&gt;0),"本月刚到货",AND(IFERROR((K54/(N54/7))/30,"-")="-",K54&gt;0),"有库存无销量",AND(IFERROR((K54/(N54/7))/30,"-")="-",K54=0),"无库存无销量",AND(IFERROR((K54/(N54/7))/30,"-")&lt;=0.5,K54=0),"无库存有销量",IFERROR((K54/(N54/7))/30,"-")&lt;=0.5,"库存过低",IFERROR((K54/(N54/7))/30,"-")&lt;=1.5,"正常",IFERROR((K54/(N54/7))/30,"-")&gt;1.5,"库存过高")</f>
        <v>有库存无销量</v>
      </c>
      <c r="X54" s="83" t="str">
        <f>_xlfn.IFS(AND(D54&lt;&gt;0,D54-$AM$2&gt;=0,K54&gt;0,D54&lt;&gt;0),"本月刚到货",AND(T54="-",K54&gt;0),"有库存无销量",AND(T54="-",K54=0),"无库存无销量",AND(T54&lt;=0.5,K54=0),"无库存有销量",T54&lt;=0.5,"库存过低",T54&lt;=1.5,"正常",T54&gt;1.5,"库存过高")</f>
        <v>库存过高</v>
      </c>
      <c r="Y54" s="44">
        <f>IFERROR(SUMIF('5店辅助表'!K:K,B:B,'5店辅助表'!N:N),0)</f>
        <v>0</v>
      </c>
      <c r="Z54" s="44">
        <f>IFERROR(SUMIF('5店辅助表'!T:T,B:B,'5店辅助表'!W:W),0)</f>
        <v>0</v>
      </c>
      <c r="AA54" s="44">
        <f>IFERROR(SUMIF('5店辅助表'!AC:AC,B:B,'5店辅助表'!AF:AF),0)</f>
        <v>29.3</v>
      </c>
      <c r="AB54" s="91" t="str">
        <f>IFERROR(SUMIF('5店辅助表'!K:K,B:B,'5店辅助表'!N:N)/SUMIF('5店辅助表'!K:K,B:B,'5店辅助表'!O:O),"-")</f>
        <v>-</v>
      </c>
      <c r="AC54" s="91" t="str">
        <f>IFERROR(VLOOKUP(B:B,'[1]5店'!$B:$AB,27,FALSE),"-")</f>
        <v>-</v>
      </c>
      <c r="AD54" s="92" t="str">
        <f t="shared" si="6"/>
        <v>-</v>
      </c>
      <c r="AE54" s="91" t="str">
        <f>IFERROR(SUMIF('5店辅助表'!T:T,B:B,'5店辅助表'!W:W)/SUMIF('5店辅助表'!T:T,B:B,'5店辅助表'!X:X),"-")</f>
        <v>-</v>
      </c>
      <c r="AF54" s="91">
        <f>IFERROR(SUMIF('5店辅助表'!AC:AC,B:B,'5店辅助表'!AF:AF)/SUMIF('5店辅助表'!AC:AC,B:B,'5店辅助表'!AG:AG),"-")</f>
        <v>0.305462885738115</v>
      </c>
      <c r="AG54" s="99">
        <f>IFERROR(AK54/((SUMIF('5店辅助表'!AT:AT,B:B,'5店辅助表'!AU:AU)+M54)/2),"-")</f>
        <v>0</v>
      </c>
      <c r="AH54" s="99">
        <f>IFERROR(AL54/((SUMIF('5店辅助表'!AW:AW,B:B,'5店辅助表'!AX:AX)+M54)/2),"-")</f>
        <v>0</v>
      </c>
      <c r="AI54" s="100" t="str">
        <f>IFERROR((SUMIF('5店辅助表'!AP:AP,B:B,'5店辅助表'!AR:AR)-SUMIF('5店辅助表'!AP:AP,B:B,'5店辅助表'!AR:AR)*0.15-(L54+IFERROR(VLOOKUP(B:B,'5店辅助表'!AZ:BA,2,0),0))*O54-IF(AN:AN="US",6.85,4.9)*(Z54+3.28*O54))/SUMIF('5店辅助表'!AP:AP,B:B,'5店辅助表'!AR:AR),"-")</f>
        <v>-</v>
      </c>
      <c r="AJ54" s="100" t="str">
        <f t="shared" si="7"/>
        <v>-</v>
      </c>
      <c r="AK54" s="101">
        <f t="shared" si="8"/>
        <v>0</v>
      </c>
      <c r="AL54" s="101">
        <f t="shared" si="9"/>
        <v>0</v>
      </c>
      <c r="AM54" s="1" t="str">
        <f>VLOOKUP(B:B,'5店辅助表'!AZ:AZ,1,FALSE)</f>
        <v>Y5078-1-4</v>
      </c>
      <c r="AN54" t="str">
        <f>VLOOKUP(B:B,'5店辅助表'!AZ:BB,3,FALSE)</f>
        <v>US</v>
      </c>
    </row>
    <row r="55" customHeight="1" spans="1:40">
      <c r="A55" s="58" t="str">
        <f>INDEX('[1]5店'!$A:$A,MATCH(B:B,'[1]5店'!$B:$B,0))</f>
        <v>秀青</v>
      </c>
      <c r="B55" s="45" t="s">
        <v>1777</v>
      </c>
      <c r="C55" s="45" t="s">
        <v>1778</v>
      </c>
      <c r="D55" s="59">
        <f>VLOOKUP(B:B,'[1]5店'!$B:$L,3,0)</f>
        <v>45161</v>
      </c>
      <c r="E55" s="45" t="s">
        <v>1779</v>
      </c>
      <c r="F55" s="45">
        <v>2</v>
      </c>
      <c r="G55" s="45">
        <v>0</v>
      </c>
      <c r="H55" s="45">
        <v>5</v>
      </c>
      <c r="I55" s="45">
        <v>0</v>
      </c>
      <c r="J55" s="45">
        <v>0</v>
      </c>
      <c r="K55" s="63">
        <f t="shared" si="1"/>
        <v>7</v>
      </c>
      <c r="L55" s="64">
        <f>IFERROR(VLOOKUP($B:$B,'[1]5店'!$B:$L,11,FALSE),0)</f>
        <v>13</v>
      </c>
      <c r="M55" s="44">
        <f t="shared" si="11"/>
        <v>91</v>
      </c>
      <c r="N55" s="65">
        <f>IFERROR(VLOOKUP(B:B,'5店辅助表'!B:C,2,FALSE),0)</f>
        <v>2</v>
      </c>
      <c r="O55" s="65">
        <f>IFERROR(VLOOKUP(B:B,'5店辅助表'!E:F,2,FALSE),0)</f>
        <v>9</v>
      </c>
      <c r="P55" s="65">
        <f>IFERROR(VLOOKUP(B:B,'5店辅助表'!H:I,2,FALSE),0)</f>
        <v>14</v>
      </c>
      <c r="Q55" s="65">
        <f>IFERROR(VLOOKUP(B:B,'[1]5店'!$B:$P,13,FALSE),0)</f>
        <v>8</v>
      </c>
      <c r="R55" s="79">
        <f t="shared" si="2"/>
        <v>-6</v>
      </c>
      <c r="S55" s="80">
        <f t="shared" si="3"/>
        <v>15.5281690140845</v>
      </c>
      <c r="T55" s="44">
        <f t="shared" si="4"/>
        <v>0.517605633802817</v>
      </c>
      <c r="U55" s="44">
        <f>IFERROR(VLOOKUP(B:B,'[1]5店'!$B:$T,19,0),"-")</f>
        <v>0.170731707317073</v>
      </c>
      <c r="V55" s="81">
        <f t="shared" si="5"/>
        <v>0.346873926485744</v>
      </c>
      <c r="W55" s="82" t="str">
        <f>_xlfn.IFS(AND(D55&lt;&gt;0,D55-$AM$2&gt;=0,B55&gt;0,D55&lt;&gt;0),"本月刚到货",AND(IFERROR((K55/(N55/7))/30,"-")="-",K55&gt;0),"有库存无销量",AND(IFERROR((K55/(N55/7))/30,"-")="-",K55=0),"无库存无销量",AND(IFERROR((K55/(N55/7))/30,"-")&lt;=0.5,K55=0),"无库存有销量",IFERROR((K55/(N55/7))/30,"-")&lt;=0.5,"库存过低",IFERROR((K55/(N55/7))/30,"-")&lt;=1.5,"正常",IFERROR((K55/(N55/7))/30,"-")&gt;1.5,"库存过高")</f>
        <v>正常</v>
      </c>
      <c r="X55" s="83" t="str">
        <f>_xlfn.IFS(AND(D55&lt;&gt;0,D55-$AM$2&gt;=0,K55&gt;0,D55&lt;&gt;0),"本月刚到货",AND(T55="-",K55&gt;0),"有库存无销量",AND(T55="-",K55=0),"无库存无销量",AND(T55&lt;=0.5,K55=0),"无库存有销量",T55&lt;=0.5,"库存过低",T55&lt;=1.5,"正常",T55&gt;1.5,"库存过高")</f>
        <v>正常</v>
      </c>
      <c r="Y55" s="44">
        <f>IFERROR(SUMIF('5店辅助表'!K:K,B:B,'5店辅助表'!N:N),0)</f>
        <v>0.54</v>
      </c>
      <c r="Z55" s="44">
        <f>IFERROR(SUMIF('5店辅助表'!T:T,B:B,'5店辅助表'!W:W),0)</f>
        <v>32.97</v>
      </c>
      <c r="AA55" s="44">
        <f>IFERROR(SUMIF('5店辅助表'!AC:AC,B:B,'5店辅助表'!AF:AF),0)</f>
        <v>54.76</v>
      </c>
      <c r="AB55" s="91" t="str">
        <f>IFERROR(SUMIF('5店辅助表'!K:K,B:B,'5店辅助表'!N:N)/SUMIF('5店辅助表'!K:K,B:B,'5店辅助表'!O:O),"-")</f>
        <v>-</v>
      </c>
      <c r="AC55" s="91">
        <f>IFERROR(VLOOKUP(B:B,'[1]5店'!$B:$AB,27,FALSE),"-")</f>
        <v>0.497581317764804</v>
      </c>
      <c r="AD55" s="92" t="str">
        <f t="shared" si="6"/>
        <v>-</v>
      </c>
      <c r="AE55" s="91">
        <f>IFERROR(SUMIF('5店辅助表'!T:T,B:B,'5店辅助表'!W:W)/SUMIF('5店辅助表'!T:T,B:B,'5店辅助表'!X:X),"-")</f>
        <v>0.68744787322769</v>
      </c>
      <c r="AF55" s="91">
        <f>IFERROR(SUMIF('5店辅助表'!AC:AC,B:B,'5店辅助表'!AF:AF)/SUMIF('5店辅助表'!AC:AC,B:B,'5店辅助表'!AG:AG),"-")</f>
        <v>0.570892410341952</v>
      </c>
      <c r="AG55" s="99">
        <f>IFERROR(AK55/((SUMIF('5店辅助表'!AT:AT,B:B,'5店辅助表'!AU:AU)+M55)/2),"-")</f>
        <v>0.363636363636364</v>
      </c>
      <c r="AH55" s="99">
        <f>IFERROR(AL55/((SUMIF('5店辅助表'!AW:AW,B:B,'5店辅助表'!AX:AX)+M55)/2),"-")</f>
        <v>1.2</v>
      </c>
      <c r="AI55" s="100">
        <f>IFERROR((SUMIF('5店辅助表'!AP:AP,B:B,'5店辅助表'!AR:AR)-SUMIF('5店辅助表'!AP:AP,B:B,'5店辅助表'!AR:AR)*0.15-(L55+IFERROR(VLOOKUP(B:B,'5店辅助表'!AZ:BA,2,0),0))*O55-IF(AN:AN="US",6.85,4.9)*(Z55+3.28*O55))/SUMIF('5店辅助表'!AP:AP,B:B,'5店辅助表'!AR:AR),"-")</f>
        <v>0.099644371120297</v>
      </c>
      <c r="AJ55" s="100">
        <f t="shared" si="7"/>
        <v>0.119573245344356</v>
      </c>
      <c r="AK55" s="101">
        <f t="shared" si="8"/>
        <v>26</v>
      </c>
      <c r="AL55" s="101">
        <f t="shared" si="9"/>
        <v>117</v>
      </c>
      <c r="AM55" s="1" t="str">
        <f>VLOOKUP(B:B,'5店辅助表'!AZ:AZ,1,FALSE)</f>
        <v>Y5078-5</v>
      </c>
      <c r="AN55" t="str">
        <f>VLOOKUP(B:B,'5店辅助表'!AZ:BB,3,FALSE)</f>
        <v>US</v>
      </c>
    </row>
    <row r="56" customHeight="1" spans="1:40">
      <c r="A56" s="58" t="str">
        <f>INDEX('[1]5店'!$A:$A,MATCH(B:B,'[1]5店'!$B:$B,0))</f>
        <v>秀青</v>
      </c>
      <c r="B56" s="45" t="s">
        <v>1780</v>
      </c>
      <c r="C56" s="45" t="s">
        <v>1781</v>
      </c>
      <c r="D56" s="59">
        <f>VLOOKUP(B:B,'[1]5店'!$B:$L,3,0)</f>
        <v>45169</v>
      </c>
      <c r="E56" s="45" t="s">
        <v>1782</v>
      </c>
      <c r="F56" s="45">
        <v>45</v>
      </c>
      <c r="G56" s="45">
        <v>0</v>
      </c>
      <c r="H56" s="45">
        <v>1</v>
      </c>
      <c r="I56" s="45">
        <v>0</v>
      </c>
      <c r="J56" s="45">
        <v>0</v>
      </c>
      <c r="K56" s="63">
        <f t="shared" si="1"/>
        <v>46</v>
      </c>
      <c r="L56" s="64">
        <f>IFERROR(VLOOKUP($B:$B,'[1]5店'!$B:$L,11,FALSE),0)</f>
        <v>20.95</v>
      </c>
      <c r="M56" s="44">
        <f t="shared" si="11"/>
        <v>963.7</v>
      </c>
      <c r="N56" s="65">
        <f>IFERROR(VLOOKUP(B:B,'5店辅助表'!B:C,2,FALSE),0)</f>
        <v>6</v>
      </c>
      <c r="O56" s="65">
        <f>IFERROR(VLOOKUP(B:B,'5店辅助表'!E:F,2,FALSE),0)</f>
        <v>12</v>
      </c>
      <c r="P56" s="65">
        <f>IFERROR(VLOOKUP(B:B,'5店辅助表'!H:I,2,FALSE),0)</f>
        <v>14</v>
      </c>
      <c r="Q56" s="65">
        <f>IFERROR(VLOOKUP(B:B,'[1]5店'!$B:$P,13,FALSE),0)</f>
        <v>6</v>
      </c>
      <c r="R56" s="79">
        <f t="shared" si="2"/>
        <v>0</v>
      </c>
      <c r="S56" s="80">
        <f t="shared" si="3"/>
        <v>64.9775784753363</v>
      </c>
      <c r="T56" s="44">
        <f t="shared" si="4"/>
        <v>2.16591928251121</v>
      </c>
      <c r="U56" s="44">
        <f>IFERROR(VLOOKUP(B:B,'[1]5店'!$B:$T,19,0),"-")</f>
        <v>2.96083550913838</v>
      </c>
      <c r="V56" s="81">
        <f t="shared" si="5"/>
        <v>-0.79491622662717</v>
      </c>
      <c r="W56" s="82" t="str">
        <f>_xlfn.IFS(AND(D56&lt;&gt;0,D56-$AM$2&gt;=0,B56&gt;0,D56&lt;&gt;0),"本月刚到货",AND(IFERROR((K56/(N56/7))/30,"-")="-",K56&gt;0),"有库存无销量",AND(IFERROR((K56/(N56/7))/30,"-")="-",K56=0),"无库存无销量",AND(IFERROR((K56/(N56/7))/30,"-")&lt;=0.5,K56=0),"无库存有销量",IFERROR((K56/(N56/7))/30,"-")&lt;=0.5,"库存过低",IFERROR((K56/(N56/7))/30,"-")&lt;=1.5,"正常",IFERROR((K56/(N56/7))/30,"-")&gt;1.5,"库存过高")</f>
        <v>库存过高</v>
      </c>
      <c r="X56" s="83" t="str">
        <f>_xlfn.IFS(AND(D56&lt;&gt;0,D56-$AM$2&gt;=0,K56&gt;0,D56&lt;&gt;0),"本月刚到货",AND(T56="-",K56&gt;0),"有库存无销量",AND(T56="-",K56=0),"无库存无销量",AND(T56&lt;=0.5,K56=0),"无库存有销量",T56&lt;=0.5,"库存过低",T56&lt;=1.5,"正常",T56&gt;1.5,"库存过高")</f>
        <v>库存过高</v>
      </c>
      <c r="Y56" s="44">
        <f>IFERROR(SUMIF('5店辅助表'!K:K,B:B,'5店辅助表'!N:N),0)</f>
        <v>27.25</v>
      </c>
      <c r="Z56" s="44">
        <f>IFERROR(SUMIF('5店辅助表'!T:T,B:B,'5店辅助表'!W:W),0)</f>
        <v>68.23</v>
      </c>
      <c r="AA56" s="44">
        <f>IFERROR(SUMIF('5店辅助表'!AC:AC,B:B,'5店辅助表'!AF:AF),0)</f>
        <v>79.43</v>
      </c>
      <c r="AB56" s="91">
        <f>IFERROR(SUMIF('5店辅助表'!K:K,B:B,'5店辅助表'!N:N)/SUMIF('5店辅助表'!K:K,B:B,'5店辅助表'!O:O),"-")</f>
        <v>0.517568850902184</v>
      </c>
      <c r="AC56" s="91">
        <f>IFERROR(VLOOKUP(B:B,'[1]5店'!$B:$AB,27,FALSE),"-")</f>
        <v>0.583760683760684</v>
      </c>
      <c r="AD56" s="92">
        <f t="shared" si="6"/>
        <v>-0.0661918328585001</v>
      </c>
      <c r="AE56" s="91">
        <f>IFERROR(SUMIF('5店辅助表'!T:T,B:B,'5店辅助表'!W:W)/SUMIF('5店辅助表'!T:T,B:B,'5店辅助表'!X:X),"-")</f>
        <v>0.555392755392755</v>
      </c>
      <c r="AF56" s="91">
        <f>IFERROR(SUMIF('5店辅助表'!AC:AC,B:B,'5店辅助表'!AF:AF)/SUMIF('5店辅助表'!AC:AC,B:B,'5店辅助表'!AG:AG),"-")</f>
        <v>0.565740740740741</v>
      </c>
      <c r="AG56" s="99">
        <f>IFERROR(AK56/((SUMIF('5店辅助表'!AT:AT,B:B,'5店辅助表'!AU:AU)+M56)/2),"-")</f>
        <v>0.12</v>
      </c>
      <c r="AH56" s="99">
        <f>IFERROR(AL56/((SUMIF('5店辅助表'!AW:AW,B:B,'5店辅助表'!AX:AX)+M56)/2),"-")</f>
        <v>0.436363636363636</v>
      </c>
      <c r="AI56" s="100">
        <f>IFERROR((SUMIF('5店辅助表'!AP:AP,B:B,'5店辅助表'!AR:AR)-SUMIF('5店辅助表'!AP:AP,B:B,'5店辅助表'!AR:AR)*0.15-(L56+IFERROR(VLOOKUP(B:B,'5店辅助表'!AZ:BA,2,0),0))*O56-IF(AN:AN="US",6.85,4.9)*(Z56+3.28*O56))/SUMIF('5店辅助表'!AP:AP,B:B,'5店辅助表'!AR:AR),"-")</f>
        <v>0.0773008644054873</v>
      </c>
      <c r="AJ56" s="100">
        <f t="shared" si="7"/>
        <v>0.0337312862860308</v>
      </c>
      <c r="AK56" s="101">
        <f t="shared" si="8"/>
        <v>125.7</v>
      </c>
      <c r="AL56" s="101">
        <f t="shared" si="9"/>
        <v>251.4</v>
      </c>
      <c r="AM56" s="1" t="str">
        <f>VLOOKUP(B:B,'5店辅助表'!AZ:AZ,1,FALSE)</f>
        <v>Y5079</v>
      </c>
      <c r="AN56" t="str">
        <f>VLOOKUP(B:B,'5店辅助表'!AZ:BB,3,FALSE)</f>
        <v>US</v>
      </c>
    </row>
    <row r="57" customHeight="1" spans="1:40">
      <c r="A57" s="58" t="str">
        <f>INDEX('[1]5店'!$A:$A,MATCH(B:B,'[1]5店'!$B:$B,0))</f>
        <v>秀青</v>
      </c>
      <c r="B57" s="117" t="s">
        <v>1783</v>
      </c>
      <c r="C57" s="45" t="s">
        <v>1784</v>
      </c>
      <c r="D57" s="59">
        <f>VLOOKUP(B:B,'[1]5店'!$B:$L,3,0)</f>
        <v>45167</v>
      </c>
      <c r="E57" s="45" t="s">
        <v>1785</v>
      </c>
      <c r="F57" s="45">
        <v>36</v>
      </c>
      <c r="G57" s="45">
        <v>0</v>
      </c>
      <c r="H57" s="45">
        <v>0</v>
      </c>
      <c r="I57" s="45">
        <v>0</v>
      </c>
      <c r="J57" s="45">
        <v>0</v>
      </c>
      <c r="K57" s="63">
        <f t="shared" ref="K57:K70" si="12">F57+G57+H57+I57+J57</f>
        <v>36</v>
      </c>
      <c r="L57" s="64">
        <f>IFERROR(VLOOKUP($B:$B,'[1]5店'!$B:$L,11,FALSE),0)</f>
        <v>35.401</v>
      </c>
      <c r="M57" s="44">
        <f t="shared" si="11"/>
        <v>1274.436</v>
      </c>
      <c r="N57" s="65">
        <f>IFERROR(VLOOKUP(B:B,'5店辅助表'!B:C,2,FALSE),0)</f>
        <v>0</v>
      </c>
      <c r="O57" s="65">
        <f>IFERROR(VLOOKUP(B:B,'5店辅助表'!E:F,2,FALSE),0)</f>
        <v>0</v>
      </c>
      <c r="P57" s="65">
        <f>IFERROR(VLOOKUP(B:B,'5店辅助表'!H:I,2,FALSE),0)</f>
        <v>0</v>
      </c>
      <c r="Q57" s="65">
        <f>IFERROR(VLOOKUP(B:B,'[1]5店'!$B:$P,13,FALSE),0)</f>
        <v>0</v>
      </c>
      <c r="R57" s="79">
        <f t="shared" ref="R57:R70" si="13">N57-Q57</f>
        <v>0</v>
      </c>
      <c r="S57" s="80" t="str">
        <f t="shared" ref="S57:S70" si="14">IFERROR(K57/((N57/7+O57/15+P57/30)/3),"-")</f>
        <v>-</v>
      </c>
      <c r="T57" s="44" t="str">
        <f t="shared" ref="T57:T70" si="15">IFERROR(S57/30,"-")</f>
        <v>-</v>
      </c>
      <c r="U57" s="44" t="str">
        <f>IFERROR(VLOOKUP(B:B,'[1]5店'!$B:$T,19,0),"-")</f>
        <v>-</v>
      </c>
      <c r="V57" s="81" t="str">
        <f t="shared" ref="V57:V70" si="16">IFERROR(T57-U57,"-")</f>
        <v>-</v>
      </c>
      <c r="W57" s="82" t="str">
        <f t="shared" ref="W57:W70" si="17">_xlfn.IFS(AND(D57&lt;&gt;0,D57-$AM$2&gt;=0,B57&gt;0,D57&lt;&gt;0),"本月刚到货",AND(IFERROR((K57/(N57/7))/30,"-")="-",K57&gt;0),"有库存无销量",AND(IFERROR((K57/(N57/7))/30,"-")="-",K57=0),"无库存无销量",AND(IFERROR((K57/(N57/7))/30,"-")&lt;=0.5,K57=0),"无库存有销量",IFERROR((K57/(N57/7))/30,"-")&lt;=0.5,"库存过低",IFERROR((K57/(N57/7))/30,"-")&lt;=1.5,"正常",IFERROR((K57/(N57/7))/30,"-")&gt;1.5,"库存过高")</f>
        <v>有库存无销量</v>
      </c>
      <c r="X57" s="83" t="str">
        <f t="shared" ref="X57:X70" si="18">_xlfn.IFS(AND(D57&lt;&gt;0,D57-$AM$2&gt;=0,K57&gt;0,D57&lt;&gt;0),"本月刚到货",AND(T57="-",K57&gt;0),"有库存无销量",AND(T57="-",K57=0),"无库存无销量",AND(T57&lt;=0.5,K57=0),"无库存有销量",T57&lt;=0.5,"库存过低",T57&lt;=1.5,"正常",T57&gt;1.5,"库存过高")</f>
        <v>有库存无销量</v>
      </c>
      <c r="Y57" s="44">
        <f>IFERROR(SUMIF('5店辅助表'!K:K,B:B,'5店辅助表'!N:N),0)</f>
        <v>0</v>
      </c>
      <c r="Z57" s="44">
        <f>IFERROR(SUMIF('5店辅助表'!T:T,B:B,'5店辅助表'!W:W),0)</f>
        <v>0</v>
      </c>
      <c r="AA57" s="44">
        <f>IFERROR(SUMIF('5店辅助表'!AC:AC,B:B,'5店辅助表'!AF:AF),0)</f>
        <v>0</v>
      </c>
      <c r="AB57" s="91" t="str">
        <f>IFERROR(SUMIF('5店辅助表'!K:K,B:B,'5店辅助表'!N:N)/SUMIF('5店辅助表'!K:K,B:B,'5店辅助表'!O:O),"-")</f>
        <v>-</v>
      </c>
      <c r="AC57" s="91" t="str">
        <f>IFERROR(VLOOKUP(B:B,'[1]5店'!$B:$AB,27,FALSE),"-")</f>
        <v>-</v>
      </c>
      <c r="AD57" s="92" t="str">
        <f t="shared" ref="AD57:AD70" si="19">IFERROR(AB57-AC57,"-")</f>
        <v>-</v>
      </c>
      <c r="AE57" s="91" t="str">
        <f>IFERROR(SUMIF('5店辅助表'!T:T,B:B,'5店辅助表'!W:W)/SUMIF('5店辅助表'!T:T,B:B,'5店辅助表'!X:X),"-")</f>
        <v>-</v>
      </c>
      <c r="AF57" s="91" t="str">
        <f>IFERROR(SUMIF('5店辅助表'!AC:AC,B:B,'5店辅助表'!AF:AF)/SUMIF('5店辅助表'!AC:AC,B:B,'5店辅助表'!AG:AG),"-")</f>
        <v>-</v>
      </c>
      <c r="AG57" s="99">
        <f>IFERROR(AK57/((SUMIF('5店辅助表'!AT:AT,B:B,'5店辅助表'!AU:AU)+M57)/2),"-")</f>
        <v>0</v>
      </c>
      <c r="AH57" s="99">
        <f>IFERROR(AL57/((SUMIF('5店辅助表'!AW:AW,B:B,'5店辅助表'!AX:AX)+M57)/2),"-")</f>
        <v>0</v>
      </c>
      <c r="AI57" s="100" t="str">
        <f>IFERROR((SUMIF('5店辅助表'!AP:AP,B:B,'5店辅助表'!AR:AR)-SUMIF('5店辅助表'!AP:AP,B:B,'5店辅助表'!AR:AR)*0.15-(L57+IFERROR(VLOOKUP(B:B,'5店辅助表'!AZ:BA,2,0),0))*O57-IF(AN:AN="US",6.85,4.9)*(Z57+3.28*O57))/SUMIF('5店辅助表'!AP:AP,B:B,'5店辅助表'!AR:AR),"-")</f>
        <v>-</v>
      </c>
      <c r="AJ57" s="100" t="str">
        <f t="shared" ref="AJ57:AJ70" si="20">IFERROR(AH57*AI57,"-")</f>
        <v>-</v>
      </c>
      <c r="AK57" s="101">
        <f t="shared" ref="AK57:AK70" si="21">N57*$L57</f>
        <v>0</v>
      </c>
      <c r="AL57" s="101">
        <f t="shared" ref="AL57:AL70" si="22">O57*$L57</f>
        <v>0</v>
      </c>
      <c r="AM57" s="1" t="str">
        <f>VLOOKUP(B:B,'5店辅助表'!AZ:AZ,1,FALSE)</f>
        <v>Y5067-1</v>
      </c>
      <c r="AN57" t="str">
        <f>VLOOKUP(B:B,'5店辅助表'!AZ:BB,3,FALSE)</f>
        <v>US</v>
      </c>
    </row>
    <row r="58" customHeight="1" spans="1:40">
      <c r="A58" s="58" t="s">
        <v>1786</v>
      </c>
      <c r="B58" s="117" t="s">
        <v>1787</v>
      </c>
      <c r="C58" s="45" t="s">
        <v>1788</v>
      </c>
      <c r="D58" s="155">
        <v>45218</v>
      </c>
      <c r="E58" s="45" t="s">
        <v>1789</v>
      </c>
      <c r="F58" s="45">
        <v>0</v>
      </c>
      <c r="G58" s="45">
        <v>0</v>
      </c>
      <c r="H58" s="45">
        <v>10</v>
      </c>
      <c r="I58" s="45">
        <v>0</v>
      </c>
      <c r="J58" s="45">
        <v>0</v>
      </c>
      <c r="K58" s="63">
        <f t="shared" si="12"/>
        <v>10</v>
      </c>
      <c r="L58" s="64">
        <v>55</v>
      </c>
      <c r="M58" s="44">
        <f t="shared" si="11"/>
        <v>550</v>
      </c>
      <c r="N58" s="65">
        <f>IFERROR(VLOOKUP(B:B,'5店辅助表'!B:C,2,FALSE),0)</f>
        <v>0</v>
      </c>
      <c r="O58" s="65">
        <f>IFERROR(VLOOKUP(B:B,'5店辅助表'!E:F,2,FALSE),0)</f>
        <v>0</v>
      </c>
      <c r="P58" s="65">
        <f>IFERROR(VLOOKUP(B:B,'5店辅助表'!H:I,2,FALSE),0)</f>
        <v>0</v>
      </c>
      <c r="Q58" s="65">
        <f>IFERROR(VLOOKUP(B:B,'[1]5店'!$B:$P,13,FALSE),0)</f>
        <v>0</v>
      </c>
      <c r="R58" s="79">
        <f t="shared" si="13"/>
        <v>0</v>
      </c>
      <c r="S58" s="80" t="str">
        <f t="shared" si="14"/>
        <v>-</v>
      </c>
      <c r="T58" s="44" t="str">
        <f t="shared" si="15"/>
        <v>-</v>
      </c>
      <c r="U58" s="44" t="str">
        <f>IFERROR(VLOOKUP(B:B,'[1]5店'!$B:$T,19,0),"-")</f>
        <v>-</v>
      </c>
      <c r="V58" s="81" t="str">
        <f t="shared" si="16"/>
        <v>-</v>
      </c>
      <c r="W58" s="82" t="str">
        <f t="shared" si="17"/>
        <v>本月刚到货</v>
      </c>
      <c r="X58" s="83" t="str">
        <f t="shared" si="18"/>
        <v>本月刚到货</v>
      </c>
      <c r="Y58" s="44">
        <f>IFERROR(SUMIF('5店辅助表'!K:K,B:B,'5店辅助表'!N:N),0)</f>
        <v>0</v>
      </c>
      <c r="Z58" s="44">
        <f>IFERROR(SUMIF('5店辅助表'!T:T,B:B,'5店辅助表'!W:W),0)</f>
        <v>0</v>
      </c>
      <c r="AA58" s="44">
        <f>IFERROR(SUMIF('5店辅助表'!AC:AC,B:B,'5店辅助表'!AF:AF),0)</f>
        <v>0</v>
      </c>
      <c r="AB58" s="91" t="str">
        <f>IFERROR(SUMIF('5店辅助表'!K:K,B:B,'5店辅助表'!N:N)/SUMIF('5店辅助表'!K:K,B:B,'5店辅助表'!O:O),"-")</f>
        <v>-</v>
      </c>
      <c r="AC58" s="91" t="str">
        <f>IFERROR(VLOOKUP(B:B,'[1]5店'!$B:$AB,27,FALSE),"-")</f>
        <v>-</v>
      </c>
      <c r="AD58" s="92" t="str">
        <f t="shared" si="19"/>
        <v>-</v>
      </c>
      <c r="AE58" s="91" t="str">
        <f>IFERROR(SUMIF('5店辅助表'!T:T,B:B,'5店辅助表'!W:W)/SUMIF('5店辅助表'!T:T,B:B,'5店辅助表'!X:X),"-")</f>
        <v>-</v>
      </c>
      <c r="AF58" s="91" t="str">
        <f>IFERROR(SUMIF('5店辅助表'!AC:AC,B:B,'5店辅助表'!AF:AF)/SUMIF('5店辅助表'!AC:AC,B:B,'5店辅助表'!AG:AG),"-")</f>
        <v>-</v>
      </c>
      <c r="AG58" s="99">
        <f>IFERROR(AK58/((SUMIF('5店辅助表'!AT:AT,B:B,'5店辅助表'!AU:AU)+M58)/2),"-")</f>
        <v>0</v>
      </c>
      <c r="AH58" s="99">
        <f>IFERROR(AL58/((SUMIF('5店辅助表'!AW:AW,B:B,'5店辅助表'!AX:AX)+M58)/2),"-")</f>
        <v>0</v>
      </c>
      <c r="AI58" s="100" t="str">
        <f>IFERROR((SUMIF('5店辅助表'!AP:AP,B:B,'5店辅助表'!AR:AR)-SUMIF('5店辅助表'!AP:AP,B:B,'5店辅助表'!AR:AR)*0.15-(L58+IFERROR(VLOOKUP(B:B,'5店辅助表'!AZ:BA,2,0),0))*O58-IF(AN:AN="US",6.85,4.9)*(Z58+3.28*O58))/SUMIF('5店辅助表'!AP:AP,B:B,'5店辅助表'!AR:AR),"-")</f>
        <v>-</v>
      </c>
      <c r="AJ58" s="100" t="str">
        <f t="shared" si="20"/>
        <v>-</v>
      </c>
      <c r="AK58" s="101">
        <f t="shared" si="21"/>
        <v>0</v>
      </c>
      <c r="AL58" s="101">
        <f t="shared" si="22"/>
        <v>0</v>
      </c>
      <c r="AM58" s="1" t="str">
        <f>VLOOKUP(B:B,'5店辅助表'!AZ:AZ,1,FALSE)</f>
        <v>Y5082</v>
      </c>
      <c r="AN58" t="str">
        <f>VLOOKUP(B:B,'5店辅助表'!AZ:BB,3,FALSE)</f>
        <v>US</v>
      </c>
    </row>
    <row r="59" customHeight="1" spans="1:40">
      <c r="A59" s="58" t="s">
        <v>1786</v>
      </c>
      <c r="B59" s="45" t="s">
        <v>1790</v>
      </c>
      <c r="C59" s="45" t="s">
        <v>1791</v>
      </c>
      <c r="D59" s="155">
        <v>45218</v>
      </c>
      <c r="E59" s="45" t="s">
        <v>1792</v>
      </c>
      <c r="F59" s="45">
        <v>0</v>
      </c>
      <c r="G59" s="45">
        <v>0</v>
      </c>
      <c r="H59" s="45">
        <v>20</v>
      </c>
      <c r="I59" s="45">
        <v>0</v>
      </c>
      <c r="J59" s="45">
        <v>0</v>
      </c>
      <c r="K59" s="63">
        <f t="shared" si="12"/>
        <v>20</v>
      </c>
      <c r="L59" s="64">
        <v>23.401</v>
      </c>
      <c r="M59" s="44">
        <f t="shared" si="11"/>
        <v>468.02</v>
      </c>
      <c r="N59" s="65">
        <f>IFERROR(VLOOKUP(B:B,'5店辅助表'!B:C,2,FALSE),0)</f>
        <v>0</v>
      </c>
      <c r="O59" s="65">
        <f>IFERROR(VLOOKUP(B:B,'5店辅助表'!E:F,2,FALSE),0)</f>
        <v>0</v>
      </c>
      <c r="P59" s="65">
        <f>IFERROR(VLOOKUP(B:B,'5店辅助表'!H:I,2,FALSE),0)</f>
        <v>0</v>
      </c>
      <c r="Q59" s="65">
        <f>IFERROR(VLOOKUP(B:B,'[1]5店'!$B:$P,13,FALSE),0)</f>
        <v>0</v>
      </c>
      <c r="R59" s="79">
        <f t="shared" si="13"/>
        <v>0</v>
      </c>
      <c r="S59" s="80" t="str">
        <f t="shared" si="14"/>
        <v>-</v>
      </c>
      <c r="T59" s="44" t="str">
        <f t="shared" si="15"/>
        <v>-</v>
      </c>
      <c r="U59" s="44" t="str">
        <f>IFERROR(VLOOKUP(B:B,'[1]5店'!$B:$T,19,0),"-")</f>
        <v>-</v>
      </c>
      <c r="V59" s="81" t="str">
        <f t="shared" si="16"/>
        <v>-</v>
      </c>
      <c r="W59" s="82" t="str">
        <f t="shared" si="17"/>
        <v>本月刚到货</v>
      </c>
      <c r="X59" s="83" t="str">
        <f t="shared" si="18"/>
        <v>本月刚到货</v>
      </c>
      <c r="Y59" s="44">
        <f>IFERROR(SUMIF('5店辅助表'!K:K,B:B,'5店辅助表'!N:N),0)</f>
        <v>0</v>
      </c>
      <c r="Z59" s="44">
        <f>IFERROR(SUMIF('5店辅助表'!T:T,B:B,'5店辅助表'!W:W),0)</f>
        <v>0</v>
      </c>
      <c r="AA59" s="44">
        <f>IFERROR(SUMIF('5店辅助表'!AC:AC,B:B,'5店辅助表'!AF:AF),0)</f>
        <v>0</v>
      </c>
      <c r="AB59" s="91" t="str">
        <f>IFERROR(SUMIF('5店辅助表'!K:K,B:B,'5店辅助表'!N:N)/SUMIF('5店辅助表'!K:K,B:B,'5店辅助表'!O:O),"-")</f>
        <v>-</v>
      </c>
      <c r="AC59" s="91" t="str">
        <f>IFERROR(VLOOKUP(B:B,'[1]5店'!$B:$AB,27,FALSE),"-")</f>
        <v>-</v>
      </c>
      <c r="AD59" s="92" t="str">
        <f t="shared" si="19"/>
        <v>-</v>
      </c>
      <c r="AE59" s="91" t="str">
        <f>IFERROR(SUMIF('5店辅助表'!T:T,B:B,'5店辅助表'!W:W)/SUMIF('5店辅助表'!T:T,B:B,'5店辅助表'!X:X),"-")</f>
        <v>-</v>
      </c>
      <c r="AF59" s="91" t="str">
        <f>IFERROR(SUMIF('5店辅助表'!AC:AC,B:B,'5店辅助表'!AF:AF)/SUMIF('5店辅助表'!AC:AC,B:B,'5店辅助表'!AG:AG),"-")</f>
        <v>-</v>
      </c>
      <c r="AG59" s="99">
        <f>IFERROR(AK59/((SUMIF('5店辅助表'!AT:AT,B:B,'5店辅助表'!AU:AU)+M59)/2),"-")</f>
        <v>0</v>
      </c>
      <c r="AH59" s="99">
        <f>IFERROR(AL59/((SUMIF('5店辅助表'!AW:AW,B:B,'5店辅助表'!AX:AX)+M59)/2),"-")</f>
        <v>0</v>
      </c>
      <c r="AI59" s="100" t="str">
        <f>IFERROR((SUMIF('5店辅助表'!AP:AP,B:B,'5店辅助表'!AR:AR)-SUMIF('5店辅助表'!AP:AP,B:B,'5店辅助表'!AR:AR)*0.15-(L59+IFERROR(VLOOKUP(B:B,'5店辅助表'!AZ:BA,2,0),0))*O59-IF(AN:AN="US",6.85,4.9)*(Z59+3.28*O59))/SUMIF('5店辅助表'!AP:AP,B:B,'5店辅助表'!AR:AR),"-")</f>
        <v>-</v>
      </c>
      <c r="AJ59" s="100" t="str">
        <f t="shared" si="20"/>
        <v>-</v>
      </c>
      <c r="AK59" s="101">
        <f t="shared" si="21"/>
        <v>0</v>
      </c>
      <c r="AL59" s="101">
        <f t="shared" si="22"/>
        <v>0</v>
      </c>
      <c r="AM59" s="1" t="str">
        <f>VLOOKUP(B:B,'5店辅助表'!AZ:AZ,1,FALSE)</f>
        <v>Y5083-BL-ZH</v>
      </c>
      <c r="AN59" t="str">
        <f>VLOOKUP(B:B,'5店辅助表'!AZ:BB,3,FALSE)</f>
        <v>US</v>
      </c>
    </row>
    <row r="60" customHeight="1" spans="1:40">
      <c r="A60" s="58" t="s">
        <v>1786</v>
      </c>
      <c r="B60" s="45" t="s">
        <v>1793</v>
      </c>
      <c r="C60" s="45" t="s">
        <v>1794</v>
      </c>
      <c r="D60" s="155">
        <v>45218</v>
      </c>
      <c r="E60" s="45" t="s">
        <v>1795</v>
      </c>
      <c r="F60" s="45">
        <v>15</v>
      </c>
      <c r="G60" s="45">
        <v>0</v>
      </c>
      <c r="H60" s="45">
        <v>15</v>
      </c>
      <c r="I60" s="45">
        <v>0</v>
      </c>
      <c r="J60" s="45">
        <v>0</v>
      </c>
      <c r="K60" s="63">
        <f t="shared" si="12"/>
        <v>30</v>
      </c>
      <c r="L60" s="64">
        <v>29</v>
      </c>
      <c r="M60" s="44">
        <f t="shared" si="11"/>
        <v>870</v>
      </c>
      <c r="N60" s="65">
        <f>IFERROR(VLOOKUP(B:B,'5店辅助表'!B:C,2,FALSE),0)</f>
        <v>0</v>
      </c>
      <c r="O60" s="65">
        <f>IFERROR(VLOOKUP(B:B,'5店辅助表'!E:F,2,FALSE),0)</f>
        <v>0</v>
      </c>
      <c r="P60" s="65">
        <f>IFERROR(VLOOKUP(B:B,'5店辅助表'!H:I,2,FALSE),0)</f>
        <v>0</v>
      </c>
      <c r="Q60" s="65">
        <f>IFERROR(VLOOKUP(B:B,'[1]5店'!$B:$P,13,FALSE),0)</f>
        <v>0</v>
      </c>
      <c r="R60" s="79">
        <f t="shared" si="13"/>
        <v>0</v>
      </c>
      <c r="S60" s="80" t="str">
        <f t="shared" si="14"/>
        <v>-</v>
      </c>
      <c r="T60" s="44" t="str">
        <f t="shared" si="15"/>
        <v>-</v>
      </c>
      <c r="U60" s="44" t="str">
        <f>IFERROR(VLOOKUP(B:B,'[1]5店'!$B:$T,19,0),"-")</f>
        <v>-</v>
      </c>
      <c r="V60" s="81" t="str">
        <f t="shared" si="16"/>
        <v>-</v>
      </c>
      <c r="W60" s="82" t="str">
        <f t="shared" si="17"/>
        <v>本月刚到货</v>
      </c>
      <c r="X60" s="83" t="str">
        <f t="shared" si="18"/>
        <v>本月刚到货</v>
      </c>
      <c r="Y60" s="44">
        <f>IFERROR(SUMIF('5店辅助表'!K:K,B:B,'5店辅助表'!N:N),0)</f>
        <v>1.17</v>
      </c>
      <c r="Z60" s="44">
        <f>IFERROR(SUMIF('5店辅助表'!T:T,B:B,'5店辅助表'!W:W),0)</f>
        <v>1.17</v>
      </c>
      <c r="AA60" s="44">
        <f>IFERROR(SUMIF('5店辅助表'!AC:AC,B:B,'5店辅助表'!AF:AF),0)</f>
        <v>1.17</v>
      </c>
      <c r="AB60" s="91" t="str">
        <f>IFERROR(SUMIF('5店辅助表'!K:K,B:B,'5店辅助表'!N:N)/SUMIF('5店辅助表'!K:K,B:B,'5店辅助表'!O:O),"-")</f>
        <v>-</v>
      </c>
      <c r="AC60" s="91" t="str">
        <f>IFERROR(VLOOKUP(B:B,'[1]5店'!$B:$AB,27,FALSE),"-")</f>
        <v>-</v>
      </c>
      <c r="AD60" s="92" t="str">
        <f t="shared" si="19"/>
        <v>-</v>
      </c>
      <c r="AE60" s="91" t="str">
        <f>IFERROR(SUMIF('5店辅助表'!T:T,B:B,'5店辅助表'!W:W)/SUMIF('5店辅助表'!T:T,B:B,'5店辅助表'!X:X),"-")</f>
        <v>-</v>
      </c>
      <c r="AF60" s="91" t="str">
        <f>IFERROR(SUMIF('5店辅助表'!AC:AC,B:B,'5店辅助表'!AF:AF)/SUMIF('5店辅助表'!AC:AC,B:B,'5店辅助表'!AG:AG),"-")</f>
        <v>-</v>
      </c>
      <c r="AG60" s="99">
        <f>IFERROR(AK60/((SUMIF('5店辅助表'!AT:AT,B:B,'5店辅助表'!AU:AU)+M60)/2),"-")</f>
        <v>0</v>
      </c>
      <c r="AH60" s="99">
        <f>IFERROR(AL60/((SUMIF('5店辅助表'!AW:AW,B:B,'5店辅助表'!AX:AX)+M60)/2),"-")</f>
        <v>0</v>
      </c>
      <c r="AI60" s="100" t="str">
        <f>IFERROR((SUMIF('5店辅助表'!AP:AP,B:B,'5店辅助表'!AR:AR)-SUMIF('5店辅助表'!AP:AP,B:B,'5店辅助表'!AR:AR)*0.15-(L60+IFERROR(VLOOKUP(B:B,'5店辅助表'!AZ:BA,2,0),0))*O60-IF(AN:AN="US",6.85,4.9)*(Z60+3.28*O60))/SUMIF('5店辅助表'!AP:AP,B:B,'5店辅助表'!AR:AR),"-")</f>
        <v>-</v>
      </c>
      <c r="AJ60" s="100" t="str">
        <f t="shared" si="20"/>
        <v>-</v>
      </c>
      <c r="AK60" s="101">
        <f t="shared" si="21"/>
        <v>0</v>
      </c>
      <c r="AL60" s="101">
        <f t="shared" si="22"/>
        <v>0</v>
      </c>
      <c r="AM60" s="1" t="str">
        <f>VLOOKUP(B:B,'5店辅助表'!AZ:AZ,1,FALSE)</f>
        <v>Y5088</v>
      </c>
      <c r="AN60" t="str">
        <f>VLOOKUP(B:B,'5店辅助表'!AZ:BB,3,FALSE)</f>
        <v>US</v>
      </c>
    </row>
    <row r="61" customHeight="1" spans="1:40">
      <c r="A61" s="58" t="s">
        <v>1786</v>
      </c>
      <c r="B61" s="45" t="s">
        <v>1796</v>
      </c>
      <c r="C61" s="45" t="s">
        <v>1797</v>
      </c>
      <c r="D61" s="155">
        <v>45218</v>
      </c>
      <c r="E61" s="45" t="s">
        <v>1798</v>
      </c>
      <c r="F61" s="45">
        <v>10</v>
      </c>
      <c r="G61" s="45">
        <v>0</v>
      </c>
      <c r="H61" s="45">
        <v>10</v>
      </c>
      <c r="I61" s="45">
        <v>0</v>
      </c>
      <c r="J61" s="45">
        <v>0</v>
      </c>
      <c r="K61" s="63">
        <f t="shared" si="12"/>
        <v>20</v>
      </c>
      <c r="L61" s="64">
        <v>11.1</v>
      </c>
      <c r="M61" s="44">
        <f t="shared" si="11"/>
        <v>222</v>
      </c>
      <c r="N61" s="65">
        <f>IFERROR(VLOOKUP(B:B,'5店辅助表'!B:C,2,FALSE),0)</f>
        <v>0</v>
      </c>
      <c r="O61" s="65">
        <f>IFERROR(VLOOKUP(B:B,'5店辅助表'!E:F,2,FALSE),0)</f>
        <v>0</v>
      </c>
      <c r="P61" s="65">
        <f>IFERROR(VLOOKUP(B:B,'5店辅助表'!H:I,2,FALSE),0)</f>
        <v>0</v>
      </c>
      <c r="Q61" s="65">
        <f>IFERROR(VLOOKUP(B:B,'[1]5店'!$B:$P,13,FALSE),0)</f>
        <v>0</v>
      </c>
      <c r="R61" s="79">
        <f t="shared" si="13"/>
        <v>0</v>
      </c>
      <c r="S61" s="80" t="str">
        <f t="shared" si="14"/>
        <v>-</v>
      </c>
      <c r="T61" s="44" t="str">
        <f t="shared" si="15"/>
        <v>-</v>
      </c>
      <c r="U61" s="44" t="str">
        <f>IFERROR(VLOOKUP(B:B,'[1]5店'!$B:$T,19,0),"-")</f>
        <v>-</v>
      </c>
      <c r="V61" s="81" t="str">
        <f t="shared" si="16"/>
        <v>-</v>
      </c>
      <c r="W61" s="82" t="str">
        <f t="shared" si="17"/>
        <v>本月刚到货</v>
      </c>
      <c r="X61" s="83" t="str">
        <f t="shared" si="18"/>
        <v>本月刚到货</v>
      </c>
      <c r="Y61" s="44">
        <f>IFERROR(SUMIF('5店辅助表'!K:K,B:B,'5店辅助表'!N:N),0)</f>
        <v>0.3</v>
      </c>
      <c r="Z61" s="44">
        <f>IFERROR(SUMIF('5店辅助表'!T:T,B:B,'5店辅助表'!W:W),0)</f>
        <v>0.3</v>
      </c>
      <c r="AA61" s="44">
        <f>IFERROR(SUMIF('5店辅助表'!AC:AC,B:B,'5店辅助表'!AF:AF),0)</f>
        <v>0.3</v>
      </c>
      <c r="AB61" s="91" t="str">
        <f>IFERROR(SUMIF('5店辅助表'!K:K,B:B,'5店辅助表'!N:N)/SUMIF('5店辅助表'!K:K,B:B,'5店辅助表'!O:O),"-")</f>
        <v>-</v>
      </c>
      <c r="AC61" s="91" t="str">
        <f>IFERROR(VLOOKUP(B:B,'[1]5店'!$B:$AB,27,FALSE),"-")</f>
        <v>-</v>
      </c>
      <c r="AD61" s="92" t="str">
        <f t="shared" si="19"/>
        <v>-</v>
      </c>
      <c r="AE61" s="91" t="str">
        <f>IFERROR(SUMIF('5店辅助表'!T:T,B:B,'5店辅助表'!W:W)/SUMIF('5店辅助表'!T:T,B:B,'5店辅助表'!X:X),"-")</f>
        <v>-</v>
      </c>
      <c r="AF61" s="91" t="str">
        <f>IFERROR(SUMIF('5店辅助表'!AC:AC,B:B,'5店辅助表'!AF:AF)/SUMIF('5店辅助表'!AC:AC,B:B,'5店辅助表'!AG:AG),"-")</f>
        <v>-</v>
      </c>
      <c r="AG61" s="99">
        <f>IFERROR(AK61/((SUMIF('5店辅助表'!AT:AT,B:B,'5店辅助表'!AU:AU)+M61)/2),"-")</f>
        <v>0</v>
      </c>
      <c r="AH61" s="99">
        <f>IFERROR(AL61/((SUMIF('5店辅助表'!AW:AW,B:B,'5店辅助表'!AX:AX)+M61)/2),"-")</f>
        <v>0</v>
      </c>
      <c r="AI61" s="100" t="str">
        <f>IFERROR((SUMIF('5店辅助表'!AP:AP,B:B,'5店辅助表'!AR:AR)-SUMIF('5店辅助表'!AP:AP,B:B,'5店辅助表'!AR:AR)*0.15-(L61+IFERROR(VLOOKUP(B:B,'5店辅助表'!AZ:BA,2,0),0))*O61-IF(AN:AN="US",6.85,4.9)*(Z61+3.28*O61))/SUMIF('5店辅助表'!AP:AP,B:B,'5店辅助表'!AR:AR),"-")</f>
        <v>-</v>
      </c>
      <c r="AJ61" s="100" t="str">
        <f t="shared" si="20"/>
        <v>-</v>
      </c>
      <c r="AK61" s="101">
        <f t="shared" si="21"/>
        <v>0</v>
      </c>
      <c r="AL61" s="101">
        <f t="shared" si="22"/>
        <v>0</v>
      </c>
      <c r="AM61" s="1" t="str">
        <f>VLOOKUP(B:B,'5店辅助表'!AZ:AZ,1,FALSE)</f>
        <v>Y5089</v>
      </c>
      <c r="AN61" t="str">
        <f>VLOOKUP(B:B,'5店辅助表'!AZ:BB,3,FALSE)</f>
        <v>US</v>
      </c>
    </row>
    <row r="62" customHeight="1" spans="1:40">
      <c r="A62" s="58" t="s">
        <v>1786</v>
      </c>
      <c r="B62" s="45" t="s">
        <v>1799</v>
      </c>
      <c r="C62" s="45" t="s">
        <v>1800</v>
      </c>
      <c r="D62" s="155">
        <v>45218</v>
      </c>
      <c r="E62" s="45" t="s">
        <v>1801</v>
      </c>
      <c r="F62" s="45">
        <v>0</v>
      </c>
      <c r="G62" s="45">
        <v>0</v>
      </c>
      <c r="H62" s="45">
        <v>20</v>
      </c>
      <c r="I62" s="45">
        <v>0</v>
      </c>
      <c r="J62" s="45">
        <v>0</v>
      </c>
      <c r="K62" s="63">
        <f t="shared" si="12"/>
        <v>20</v>
      </c>
      <c r="L62" s="64">
        <v>23.887</v>
      </c>
      <c r="M62" s="44">
        <f t="shared" si="11"/>
        <v>477.74</v>
      </c>
      <c r="N62" s="65">
        <f>IFERROR(VLOOKUP(B:B,'5店辅助表'!B:C,2,FALSE),0)</f>
        <v>0</v>
      </c>
      <c r="O62" s="65">
        <f>IFERROR(VLOOKUP(B:B,'5店辅助表'!E:F,2,FALSE),0)</f>
        <v>0</v>
      </c>
      <c r="P62" s="65">
        <f>IFERROR(VLOOKUP(B:B,'5店辅助表'!H:I,2,FALSE),0)</f>
        <v>0</v>
      </c>
      <c r="Q62" s="65">
        <f>IFERROR(VLOOKUP(B:B,'[1]5店'!$B:$P,13,FALSE),0)</f>
        <v>0</v>
      </c>
      <c r="R62" s="79">
        <f t="shared" si="13"/>
        <v>0</v>
      </c>
      <c r="S62" s="80" t="str">
        <f t="shared" si="14"/>
        <v>-</v>
      </c>
      <c r="T62" s="44" t="str">
        <f t="shared" si="15"/>
        <v>-</v>
      </c>
      <c r="U62" s="44" t="str">
        <f>IFERROR(VLOOKUP(B:B,'[1]5店'!$B:$T,19,0),"-")</f>
        <v>-</v>
      </c>
      <c r="V62" s="81" t="str">
        <f t="shared" si="16"/>
        <v>-</v>
      </c>
      <c r="W62" s="82" t="str">
        <f t="shared" si="17"/>
        <v>本月刚到货</v>
      </c>
      <c r="X62" s="83" t="str">
        <f t="shared" si="18"/>
        <v>本月刚到货</v>
      </c>
      <c r="Y62" s="44">
        <f>IFERROR(SUMIF('5店辅助表'!K:K,B:B,'5店辅助表'!N:N),0)</f>
        <v>3.95</v>
      </c>
      <c r="Z62" s="44">
        <f>IFERROR(SUMIF('5店辅助表'!T:T,B:B,'5店辅助表'!W:W),0)</f>
        <v>3.95</v>
      </c>
      <c r="AA62" s="44">
        <f>IFERROR(SUMIF('5店辅助表'!AC:AC,B:B,'5店辅助表'!AF:AF),0)</f>
        <v>3.95</v>
      </c>
      <c r="AB62" s="91" t="str">
        <f>IFERROR(SUMIF('5店辅助表'!K:K,B:B,'5店辅助表'!N:N)/SUMIF('5店辅助表'!K:K,B:B,'5店辅助表'!O:O),"-")</f>
        <v>-</v>
      </c>
      <c r="AC62" s="91" t="str">
        <f>IFERROR(VLOOKUP(B:B,'[1]5店'!$B:$AB,27,FALSE),"-")</f>
        <v>-</v>
      </c>
      <c r="AD62" s="92" t="str">
        <f t="shared" si="19"/>
        <v>-</v>
      </c>
      <c r="AE62" s="91" t="str">
        <f>IFERROR(SUMIF('5店辅助表'!T:T,B:B,'5店辅助表'!W:W)/SUMIF('5店辅助表'!T:T,B:B,'5店辅助表'!X:X),"-")</f>
        <v>-</v>
      </c>
      <c r="AF62" s="91" t="str">
        <f>IFERROR(SUMIF('5店辅助表'!AC:AC,B:B,'5店辅助表'!AF:AF)/SUMIF('5店辅助表'!AC:AC,B:B,'5店辅助表'!AG:AG),"-")</f>
        <v>-</v>
      </c>
      <c r="AG62" s="99">
        <f>IFERROR(AK62/((SUMIF('5店辅助表'!AT:AT,B:B,'5店辅助表'!AU:AU)+M62)/2),"-")</f>
        <v>0</v>
      </c>
      <c r="AH62" s="99">
        <f>IFERROR(AL62/((SUMIF('5店辅助表'!AW:AW,B:B,'5店辅助表'!AX:AX)+M62)/2),"-")</f>
        <v>0</v>
      </c>
      <c r="AI62" s="100" t="str">
        <f>IFERROR((SUMIF('5店辅助表'!AP:AP,B:B,'5店辅助表'!AR:AR)-SUMIF('5店辅助表'!AP:AP,B:B,'5店辅助表'!AR:AR)*0.15-(L62+IFERROR(VLOOKUP(B:B,'5店辅助表'!AZ:BA,2,0),0))*O62-IF(AN:AN="US",6.85,4.9)*(Z62+3.28*O62))/SUMIF('5店辅助表'!AP:AP,B:B,'5店辅助表'!AR:AR),"-")</f>
        <v>-</v>
      </c>
      <c r="AJ62" s="100" t="str">
        <f t="shared" si="20"/>
        <v>-</v>
      </c>
      <c r="AK62" s="101">
        <f t="shared" si="21"/>
        <v>0</v>
      </c>
      <c r="AL62" s="101">
        <f t="shared" si="22"/>
        <v>0</v>
      </c>
      <c r="AM62" s="1" t="str">
        <f>VLOOKUP(B:B,'5店辅助表'!AZ:AZ,1,FALSE)</f>
        <v>Y5087-BL-Zh</v>
      </c>
      <c r="AN62" t="str">
        <f>VLOOKUP(B:B,'5店辅助表'!AZ:BB,3,FALSE)</f>
        <v>US</v>
      </c>
    </row>
    <row r="63" customHeight="1" spans="1:40">
      <c r="A63" s="58" t="str">
        <f>INDEX('[1]5店'!$A:$A,MATCH(B:B,'[1]5店'!$B:$B,0))</f>
        <v>秀青</v>
      </c>
      <c r="B63" s="45" t="s">
        <v>1802</v>
      </c>
      <c r="C63" s="45" t="s">
        <v>1803</v>
      </c>
      <c r="D63" s="59">
        <f>VLOOKUP(B:B,'[1]5店'!$B:$L,3,0)</f>
        <v>45161</v>
      </c>
      <c r="E63" s="45" t="s">
        <v>1804</v>
      </c>
      <c r="F63" s="45">
        <v>5</v>
      </c>
      <c r="G63" s="45">
        <v>0</v>
      </c>
      <c r="H63" s="45">
        <v>1</v>
      </c>
      <c r="I63" s="45">
        <v>0</v>
      </c>
      <c r="J63" s="45">
        <v>0</v>
      </c>
      <c r="K63" s="63">
        <f t="shared" si="12"/>
        <v>6</v>
      </c>
      <c r="L63" s="64">
        <f>IFERROR(VLOOKUP($B:$B,'[1]5店'!$B:$L,11,FALSE),0)</f>
        <v>26</v>
      </c>
      <c r="M63" s="44">
        <f t="shared" si="11"/>
        <v>156</v>
      </c>
      <c r="N63" s="65">
        <f>IFERROR(VLOOKUP(B:B,'5店辅助表'!B:C,2,FALSE),0)</f>
        <v>1</v>
      </c>
      <c r="O63" s="65">
        <f>IFERROR(VLOOKUP(B:B,'5店辅助表'!E:F,2,FALSE),0)</f>
        <v>1</v>
      </c>
      <c r="P63" s="65">
        <f>IFERROR(VLOOKUP(B:B,'5店辅助表'!H:I,2,FALSE),0)</f>
        <v>5</v>
      </c>
      <c r="Q63" s="65">
        <f>IFERROR(VLOOKUP(B:B,'[1]5店'!$B:$P,13,FALSE),0)</f>
        <v>0</v>
      </c>
      <c r="R63" s="79">
        <f t="shared" si="13"/>
        <v>1</v>
      </c>
      <c r="S63" s="80">
        <f t="shared" si="14"/>
        <v>47.8481012658228</v>
      </c>
      <c r="T63" s="44">
        <f t="shared" si="15"/>
        <v>1.59493670886076</v>
      </c>
      <c r="U63" s="44">
        <f>IFERROR(VLOOKUP(B:B,'[1]5店'!$B:$T,19,0),"-")</f>
        <v>4.2</v>
      </c>
      <c r="V63" s="81">
        <f t="shared" si="16"/>
        <v>-2.60506329113924</v>
      </c>
      <c r="W63" s="82" t="str">
        <f t="shared" si="17"/>
        <v>正常</v>
      </c>
      <c r="X63" s="83" t="str">
        <f t="shared" si="18"/>
        <v>库存过高</v>
      </c>
      <c r="Y63" s="44">
        <f>IFERROR(SUMIF('5店辅助表'!K:K,B:B,'5店辅助表'!N:N),0)</f>
        <v>13.94</v>
      </c>
      <c r="Z63" s="44">
        <f>IFERROR(SUMIF('5店辅助表'!T:T,B:B,'5店辅助表'!W:W),0)</f>
        <v>13.94</v>
      </c>
      <c r="AA63" s="44">
        <f>IFERROR(SUMIF('5店辅助表'!AC:AC,B:B,'5店辅助表'!AF:AF),0)</f>
        <v>28.84</v>
      </c>
      <c r="AB63" s="91">
        <f>IFERROR(SUMIF('5店辅助表'!K:K,B:B,'5店辅助表'!N:N)/SUMIF('5店辅助表'!K:K,B:B,'5店辅助表'!O:O),"-")</f>
        <v>0.788015828151498</v>
      </c>
      <c r="AC63" s="91" t="str">
        <f>IFERROR(VLOOKUP(B:B,'[1]5店'!$B:$AB,27,FALSE),"-")</f>
        <v>-</v>
      </c>
      <c r="AD63" s="92" t="str">
        <f t="shared" si="19"/>
        <v>-</v>
      </c>
      <c r="AE63" s="91">
        <f>IFERROR(SUMIF('5店辅助表'!T:T,B:B,'5店辅助表'!W:W)/SUMIF('5店辅助表'!T:T,B:B,'5店辅助表'!X:X),"-")</f>
        <v>0.788015828151498</v>
      </c>
      <c r="AF63" s="91">
        <f>IFERROR(SUMIF('5店辅助表'!AC:AC,B:B,'5店辅助表'!AF:AF)/SUMIF('5店辅助表'!AC:AC,B:B,'5店辅助表'!AG:AG),"-")</f>
        <v>0.326059920859243</v>
      </c>
      <c r="AG63" s="99">
        <f>IFERROR(AK63/((SUMIF('5店辅助表'!AT:AT,B:B,'5店辅助表'!AU:AU)+M63)/2),"-")</f>
        <v>0.153846153846154</v>
      </c>
      <c r="AH63" s="99">
        <f>IFERROR(AL63/((SUMIF('5店辅助表'!AW:AW,B:B,'5店辅助表'!AX:AX)+M63)/2),"-")</f>
        <v>0.117647058823529</v>
      </c>
      <c r="AI63" s="100">
        <f>IFERROR((SUMIF('5店辅助表'!AP:AP,B:B,'5店辅助表'!AR:AR)-SUMIF('5店辅助表'!AP:AP,B:B,'5店辅助表'!AR:AR)*0.15-(L63+IFERROR(VLOOKUP(B:B,'5店辅助表'!AZ:BA,2,0),0))*O63-IF(AN:AN="US",6.85,4.9)*(Z63+3.28*O63))/SUMIF('5店辅助表'!AP:AP,B:B,'5店辅助表'!AR:AR),"-")</f>
        <v>-0.402742899819684</v>
      </c>
      <c r="AJ63" s="100">
        <f t="shared" si="20"/>
        <v>-0.0473815176258452</v>
      </c>
      <c r="AK63" s="101">
        <f t="shared" si="21"/>
        <v>26</v>
      </c>
      <c r="AL63" s="101">
        <f t="shared" si="22"/>
        <v>26</v>
      </c>
      <c r="AM63" s="1" t="str">
        <f>VLOOKUP(B:B,'5店辅助表'!AZ:AZ,1,FALSE)</f>
        <v>Y5075</v>
      </c>
      <c r="AN63" t="str">
        <f>VLOOKUP(B:B,'5店辅助表'!AZ:BB,3,FALSE)</f>
        <v>US</v>
      </c>
    </row>
    <row r="64" customHeight="1" spans="1:40">
      <c r="A64" s="58" t="s">
        <v>1786</v>
      </c>
      <c r="B64" s="45" t="s">
        <v>1805</v>
      </c>
      <c r="C64" s="45" t="s">
        <v>1806</v>
      </c>
      <c r="D64" s="59">
        <v>45219</v>
      </c>
      <c r="E64" s="45" t="s">
        <v>1807</v>
      </c>
      <c r="F64" s="45">
        <v>10</v>
      </c>
      <c r="G64" s="45">
        <v>0</v>
      </c>
      <c r="H64" s="45">
        <v>10</v>
      </c>
      <c r="I64" s="45">
        <v>0</v>
      </c>
      <c r="J64" s="45">
        <v>0</v>
      </c>
      <c r="K64" s="63">
        <f t="shared" si="12"/>
        <v>20</v>
      </c>
      <c r="L64" s="64">
        <v>32.375</v>
      </c>
      <c r="M64" s="44">
        <f t="shared" si="11"/>
        <v>647.5</v>
      </c>
      <c r="N64" s="65">
        <f>IFERROR(VLOOKUP(B:B,'5店辅助表'!B:C,2,FALSE),0)</f>
        <v>0</v>
      </c>
      <c r="O64" s="65">
        <f>IFERROR(VLOOKUP(B:B,'5店辅助表'!E:F,2,FALSE),0)</f>
        <v>0</v>
      </c>
      <c r="P64" s="65">
        <f>IFERROR(VLOOKUP(B:B,'5店辅助表'!H:I,2,FALSE),0)</f>
        <v>0</v>
      </c>
      <c r="Q64" s="65">
        <f>IFERROR(VLOOKUP(B:B,'[1]5店'!$B:$P,13,FALSE),0)</f>
        <v>0</v>
      </c>
      <c r="R64" s="79">
        <f t="shared" si="13"/>
        <v>0</v>
      </c>
      <c r="S64" s="80" t="str">
        <f t="shared" si="14"/>
        <v>-</v>
      </c>
      <c r="T64" s="44" t="str">
        <f t="shared" si="15"/>
        <v>-</v>
      </c>
      <c r="U64" s="44" t="str">
        <f>IFERROR(VLOOKUP(B:B,'[1]5店'!$B:$T,19,0),"-")</f>
        <v>-</v>
      </c>
      <c r="V64" s="81" t="str">
        <f t="shared" si="16"/>
        <v>-</v>
      </c>
      <c r="W64" s="82" t="str">
        <f t="shared" si="17"/>
        <v>本月刚到货</v>
      </c>
      <c r="X64" s="83" t="str">
        <f t="shared" si="18"/>
        <v>本月刚到货</v>
      </c>
      <c r="Y64" s="44">
        <f>IFERROR(SUMIF('5店辅助表'!K:K,B:B,'5店辅助表'!N:N),0)</f>
        <v>0</v>
      </c>
      <c r="Z64" s="44">
        <f>IFERROR(SUMIF('5店辅助表'!T:T,B:B,'5店辅助表'!W:W),0)</f>
        <v>0</v>
      </c>
      <c r="AA64" s="44">
        <f>IFERROR(SUMIF('5店辅助表'!AC:AC,B:B,'5店辅助表'!AF:AF),0)</f>
        <v>0</v>
      </c>
      <c r="AB64" s="91" t="str">
        <f>IFERROR(SUMIF('5店辅助表'!K:K,B:B,'5店辅助表'!N:N)/SUMIF('5店辅助表'!K:K,B:B,'5店辅助表'!O:O),"-")</f>
        <v>-</v>
      </c>
      <c r="AC64" s="91" t="str">
        <f>IFERROR(VLOOKUP(B:B,'[1]5店'!$B:$AB,27,FALSE),"-")</f>
        <v>-</v>
      </c>
      <c r="AD64" s="92" t="str">
        <f t="shared" si="19"/>
        <v>-</v>
      </c>
      <c r="AE64" s="91" t="str">
        <f>IFERROR(SUMIF('5店辅助表'!T:T,B:B,'5店辅助表'!W:W)/SUMIF('5店辅助表'!T:T,B:B,'5店辅助表'!X:X),"-")</f>
        <v>-</v>
      </c>
      <c r="AF64" s="91" t="str">
        <f>IFERROR(SUMIF('5店辅助表'!AC:AC,B:B,'5店辅助表'!AF:AF)/SUMIF('5店辅助表'!AC:AC,B:B,'5店辅助表'!AG:AG),"-")</f>
        <v>-</v>
      </c>
      <c r="AG64" s="99">
        <f>IFERROR(AK64/((SUMIF('5店辅助表'!AT:AT,B:B,'5店辅助表'!AU:AU)+M64)/2),"-")</f>
        <v>0</v>
      </c>
      <c r="AH64" s="99">
        <f>IFERROR(AL64/((SUMIF('5店辅助表'!AW:AW,B:B,'5店辅助表'!AX:AX)+M64)/2),"-")</f>
        <v>0</v>
      </c>
      <c r="AI64" s="100" t="str">
        <f>IFERROR((SUMIF('5店辅助表'!AP:AP,B:B,'5店辅助表'!AR:AR)-SUMIF('5店辅助表'!AP:AP,B:B,'5店辅助表'!AR:AR)*0.15-(L64+IFERROR(VLOOKUP(B:B,'5店辅助表'!AZ:BA,2,0),0))*O64-IF(AN:AN="US",6.85,4.9)*(Z64+3.28*O64))/SUMIF('5店辅助表'!AP:AP,B:B,'5店辅助表'!AR:AR),"-")</f>
        <v>-</v>
      </c>
      <c r="AJ64" s="100" t="str">
        <f t="shared" si="20"/>
        <v>-</v>
      </c>
      <c r="AK64" s="101">
        <f t="shared" si="21"/>
        <v>0</v>
      </c>
      <c r="AL64" s="101">
        <f t="shared" si="22"/>
        <v>0</v>
      </c>
      <c r="AM64" s="1" t="str">
        <f>VLOOKUP(B:B,'5店辅助表'!AZ:AZ,1,FALSE)</f>
        <v>Y5090</v>
      </c>
      <c r="AN64" t="str">
        <f>VLOOKUP(B:B,'5店辅助表'!AZ:BB,3,FALSE)</f>
        <v>US</v>
      </c>
    </row>
    <row r="65" customHeight="1" spans="1:40">
      <c r="A65" s="58" t="s">
        <v>1786</v>
      </c>
      <c r="B65" s="45" t="s">
        <v>1808</v>
      </c>
      <c r="C65" s="45" t="s">
        <v>1809</v>
      </c>
      <c r="D65" s="155">
        <v>45218</v>
      </c>
      <c r="E65" s="45" t="s">
        <v>1810</v>
      </c>
      <c r="F65" s="45">
        <v>0</v>
      </c>
      <c r="G65" s="45">
        <v>0</v>
      </c>
      <c r="H65" s="45">
        <v>19</v>
      </c>
      <c r="I65" s="45">
        <v>0</v>
      </c>
      <c r="J65" s="45">
        <v>0</v>
      </c>
      <c r="K65" s="63">
        <f t="shared" si="12"/>
        <v>19</v>
      </c>
      <c r="L65" s="64">
        <v>22.675</v>
      </c>
      <c r="M65" s="44">
        <f t="shared" si="11"/>
        <v>430.825</v>
      </c>
      <c r="N65" s="65">
        <f>IFERROR(VLOOKUP(B:B,'5店辅助表'!B:C,2,FALSE),0)</f>
        <v>0</v>
      </c>
      <c r="O65" s="65">
        <f>IFERROR(VLOOKUP(B:B,'5店辅助表'!E:F,2,FALSE),0)</f>
        <v>0</v>
      </c>
      <c r="P65" s="65">
        <f>IFERROR(VLOOKUP(B:B,'5店辅助表'!H:I,2,FALSE),0)</f>
        <v>0</v>
      </c>
      <c r="Q65" s="65">
        <f>IFERROR(VLOOKUP(B:B,'[1]5店'!$B:$P,13,FALSE),0)</f>
        <v>0</v>
      </c>
      <c r="R65" s="79">
        <f t="shared" si="13"/>
        <v>0</v>
      </c>
      <c r="S65" s="80" t="str">
        <f t="shared" si="14"/>
        <v>-</v>
      </c>
      <c r="T65" s="44" t="str">
        <f t="shared" si="15"/>
        <v>-</v>
      </c>
      <c r="U65" s="44" t="str">
        <f>IFERROR(VLOOKUP(B:B,'[1]5店'!$B:$T,19,0),"-")</f>
        <v>-</v>
      </c>
      <c r="V65" s="81" t="str">
        <f t="shared" si="16"/>
        <v>-</v>
      </c>
      <c r="W65" s="82" t="str">
        <f t="shared" si="17"/>
        <v>本月刚到货</v>
      </c>
      <c r="X65" s="83" t="str">
        <f t="shared" si="18"/>
        <v>本月刚到货</v>
      </c>
      <c r="Y65" s="44">
        <f>IFERROR(SUMIF('5店辅助表'!K:K,B:B,'5店辅助表'!N:N),0)</f>
        <v>0</v>
      </c>
      <c r="Z65" s="44">
        <f>IFERROR(SUMIF('5店辅助表'!T:T,B:B,'5店辅助表'!W:W),0)</f>
        <v>0</v>
      </c>
      <c r="AA65" s="44">
        <f>IFERROR(SUMIF('5店辅助表'!AC:AC,B:B,'5店辅助表'!AF:AF),0)</f>
        <v>0</v>
      </c>
      <c r="AB65" s="91" t="str">
        <f>IFERROR(SUMIF('5店辅助表'!K:K,B:B,'5店辅助表'!N:N)/SUMIF('5店辅助表'!K:K,B:B,'5店辅助表'!O:O),"-")</f>
        <v>-</v>
      </c>
      <c r="AC65" s="91" t="str">
        <f>IFERROR(VLOOKUP(B:B,'[1]5店'!$B:$AB,27,FALSE),"-")</f>
        <v>-</v>
      </c>
      <c r="AD65" s="92" t="str">
        <f t="shared" si="19"/>
        <v>-</v>
      </c>
      <c r="AE65" s="91" t="str">
        <f>IFERROR(SUMIF('5店辅助表'!T:T,B:B,'5店辅助表'!W:W)/SUMIF('5店辅助表'!T:T,B:B,'5店辅助表'!X:X),"-")</f>
        <v>-</v>
      </c>
      <c r="AF65" s="91" t="str">
        <f>IFERROR(SUMIF('5店辅助表'!AC:AC,B:B,'5店辅助表'!AF:AF)/SUMIF('5店辅助表'!AC:AC,B:B,'5店辅助表'!AG:AG),"-")</f>
        <v>-</v>
      </c>
      <c r="AG65" s="99">
        <f>IFERROR(AK65/((SUMIF('5店辅助表'!AT:AT,B:B,'5店辅助表'!AU:AU)+M65)/2),"-")</f>
        <v>0</v>
      </c>
      <c r="AH65" s="99">
        <f>IFERROR(AL65/((SUMIF('5店辅助表'!AW:AW,B:B,'5店辅助表'!AX:AX)+M65)/2),"-")</f>
        <v>0</v>
      </c>
      <c r="AI65" s="100" t="str">
        <f>IFERROR((SUMIF('5店辅助表'!AP:AP,B:B,'5店辅助表'!AR:AR)-SUMIF('5店辅助表'!AP:AP,B:B,'5店辅助表'!AR:AR)*0.15-(L65+IFERROR(VLOOKUP(B:B,'5店辅助表'!AZ:BA,2,0),0))*O65-IF(AN:AN="US",6.85,4.9)*(Z65+3.28*O65))/SUMIF('5店辅助表'!AP:AP,B:B,'5店辅助表'!AR:AR),"-")</f>
        <v>-</v>
      </c>
      <c r="AJ65" s="100" t="str">
        <f t="shared" si="20"/>
        <v>-</v>
      </c>
      <c r="AK65" s="101">
        <f t="shared" si="21"/>
        <v>0</v>
      </c>
      <c r="AL65" s="101">
        <f t="shared" si="22"/>
        <v>0</v>
      </c>
      <c r="AM65" s="1" t="str">
        <f>VLOOKUP(B:B,'5店辅助表'!AZ:AZ,1,FALSE)</f>
        <v>Y5091-ZH</v>
      </c>
      <c r="AN65" t="str">
        <f>VLOOKUP(B:B,'5店辅助表'!AZ:BB,3,FALSE)</f>
        <v>US</v>
      </c>
    </row>
    <row r="66" customHeight="1" spans="1:40">
      <c r="A66" s="58" t="s">
        <v>1786</v>
      </c>
      <c r="B66" s="45" t="s">
        <v>1811</v>
      </c>
      <c r="C66" s="45" t="s">
        <v>1812</v>
      </c>
      <c r="D66" s="155">
        <v>45218</v>
      </c>
      <c r="E66" s="45" t="s">
        <v>1813</v>
      </c>
      <c r="F66" s="45">
        <v>9</v>
      </c>
      <c r="G66" s="45">
        <v>0</v>
      </c>
      <c r="H66" s="45">
        <v>9</v>
      </c>
      <c r="I66" s="45">
        <v>0</v>
      </c>
      <c r="J66" s="45">
        <v>0</v>
      </c>
      <c r="K66" s="63">
        <f t="shared" si="12"/>
        <v>18</v>
      </c>
      <c r="L66" s="64">
        <v>4</v>
      </c>
      <c r="M66" s="44">
        <f t="shared" si="11"/>
        <v>72</v>
      </c>
      <c r="N66" s="65">
        <f>IFERROR(VLOOKUP(B:B,'5店辅助表'!B:C,2,FALSE),0)</f>
        <v>0</v>
      </c>
      <c r="O66" s="65">
        <f>IFERROR(VLOOKUP(B:B,'5店辅助表'!E:F,2,FALSE),0)</f>
        <v>0</v>
      </c>
      <c r="P66" s="65">
        <f>IFERROR(VLOOKUP(B:B,'5店辅助表'!H:I,2,FALSE),0)</f>
        <v>0</v>
      </c>
      <c r="Q66" s="65">
        <f>IFERROR(VLOOKUP(B:B,'[1]5店'!$B:$P,13,FALSE),0)</f>
        <v>0</v>
      </c>
      <c r="R66" s="79">
        <f t="shared" si="13"/>
        <v>0</v>
      </c>
      <c r="S66" s="80" t="str">
        <f t="shared" si="14"/>
        <v>-</v>
      </c>
      <c r="T66" s="44" t="str">
        <f t="shared" si="15"/>
        <v>-</v>
      </c>
      <c r="U66" s="44" t="str">
        <f>IFERROR(VLOOKUP(B:B,'[1]5店'!$B:$T,19,0),"-")</f>
        <v>-</v>
      </c>
      <c r="V66" s="81" t="str">
        <f t="shared" si="16"/>
        <v>-</v>
      </c>
      <c r="W66" s="82" t="str">
        <f t="shared" si="17"/>
        <v>本月刚到货</v>
      </c>
      <c r="X66" s="83" t="str">
        <f t="shared" si="18"/>
        <v>本月刚到货</v>
      </c>
      <c r="Y66" s="44">
        <f>IFERROR(SUMIF('5店辅助表'!K:K,B:B,'5店辅助表'!N:N),0)</f>
        <v>0</v>
      </c>
      <c r="Z66" s="44">
        <f>IFERROR(SUMIF('5店辅助表'!T:T,B:B,'5店辅助表'!W:W),0)</f>
        <v>0</v>
      </c>
      <c r="AA66" s="44">
        <f>IFERROR(SUMIF('5店辅助表'!AC:AC,B:B,'5店辅助表'!AF:AF),0)</f>
        <v>0</v>
      </c>
      <c r="AB66" s="91" t="str">
        <f>IFERROR(SUMIF('5店辅助表'!K:K,B:B,'5店辅助表'!N:N)/SUMIF('5店辅助表'!K:K,B:B,'5店辅助表'!O:O),"-")</f>
        <v>-</v>
      </c>
      <c r="AC66" s="91" t="str">
        <f>IFERROR(VLOOKUP(B:B,'[1]5店'!$B:$AB,27,FALSE),"-")</f>
        <v>-</v>
      </c>
      <c r="AD66" s="92" t="str">
        <f t="shared" si="19"/>
        <v>-</v>
      </c>
      <c r="AE66" s="91" t="str">
        <f>IFERROR(SUMIF('5店辅助表'!T:T,B:B,'5店辅助表'!W:W)/SUMIF('5店辅助表'!T:T,B:B,'5店辅助表'!X:X),"-")</f>
        <v>-</v>
      </c>
      <c r="AF66" s="91" t="str">
        <f>IFERROR(SUMIF('5店辅助表'!AC:AC,B:B,'5店辅助表'!AF:AF)/SUMIF('5店辅助表'!AC:AC,B:B,'5店辅助表'!AG:AG),"-")</f>
        <v>-</v>
      </c>
      <c r="AG66" s="99">
        <f>IFERROR(AK66/((SUMIF('5店辅助表'!AT:AT,B:B,'5店辅助表'!AU:AU)+M66)/2),"-")</f>
        <v>0</v>
      </c>
      <c r="AH66" s="99">
        <f>IFERROR(AL66/((SUMIF('5店辅助表'!AW:AW,B:B,'5店辅助表'!AX:AX)+M66)/2),"-")</f>
        <v>0</v>
      </c>
      <c r="AI66" s="100" t="str">
        <f>IFERROR((SUMIF('5店辅助表'!AP:AP,B:B,'5店辅助表'!AR:AR)-SUMIF('5店辅助表'!AP:AP,B:B,'5店辅助表'!AR:AR)*0.15-(L66+IFERROR(VLOOKUP(B:B,'5店辅助表'!AZ:BA,2,0),0))*O66-IF(AN:AN="US",6.85,4.9)*(Z66+3.28*O66))/SUMIF('5店辅助表'!AP:AP,B:B,'5店辅助表'!AR:AR),"-")</f>
        <v>-</v>
      </c>
      <c r="AJ66" s="100" t="str">
        <f t="shared" si="20"/>
        <v>-</v>
      </c>
      <c r="AK66" s="101">
        <f t="shared" si="21"/>
        <v>0</v>
      </c>
      <c r="AL66" s="101">
        <f t="shared" si="22"/>
        <v>0</v>
      </c>
      <c r="AM66" s="1" t="str">
        <f>VLOOKUP(B:B,'5店辅助表'!AZ:AZ,1,FALSE)</f>
        <v>Y5092-1</v>
      </c>
      <c r="AN66" t="str">
        <f>VLOOKUP(B:B,'5店辅助表'!AZ:BB,3,FALSE)</f>
        <v>US</v>
      </c>
    </row>
    <row r="67" customHeight="1" spans="1:40">
      <c r="A67" s="58" t="s">
        <v>1786</v>
      </c>
      <c r="B67" s="45" t="s">
        <v>1814</v>
      </c>
      <c r="C67" s="45" t="s">
        <v>1815</v>
      </c>
      <c r="D67" s="155">
        <v>45218</v>
      </c>
      <c r="E67" s="45" t="s">
        <v>1816</v>
      </c>
      <c r="F67" s="45">
        <v>0</v>
      </c>
      <c r="G67" s="45">
        <v>0</v>
      </c>
      <c r="H67" s="45">
        <v>9</v>
      </c>
      <c r="I67" s="45">
        <v>0</v>
      </c>
      <c r="J67" s="45">
        <v>0</v>
      </c>
      <c r="K67" s="63">
        <f t="shared" si="12"/>
        <v>9</v>
      </c>
      <c r="L67" s="64">
        <v>12</v>
      </c>
      <c r="M67" s="44">
        <f t="shared" si="11"/>
        <v>108</v>
      </c>
      <c r="N67" s="65">
        <f>IFERROR(VLOOKUP(B:B,'5店辅助表'!B:C,2,FALSE),0)</f>
        <v>0</v>
      </c>
      <c r="O67" s="65">
        <f>IFERROR(VLOOKUP(B:B,'5店辅助表'!E:F,2,FALSE),0)</f>
        <v>0</v>
      </c>
      <c r="P67" s="65">
        <f>IFERROR(VLOOKUP(B:B,'5店辅助表'!H:I,2,FALSE),0)</f>
        <v>0</v>
      </c>
      <c r="Q67" s="65">
        <f>IFERROR(VLOOKUP(B:B,'[1]5店'!$B:$P,13,FALSE),0)</f>
        <v>0</v>
      </c>
      <c r="R67" s="79">
        <f t="shared" si="13"/>
        <v>0</v>
      </c>
      <c r="S67" s="80" t="str">
        <f t="shared" si="14"/>
        <v>-</v>
      </c>
      <c r="T67" s="44" t="str">
        <f t="shared" si="15"/>
        <v>-</v>
      </c>
      <c r="U67" s="44" t="str">
        <f>IFERROR(VLOOKUP(B:B,'[1]5店'!$B:$T,19,0),"-")</f>
        <v>-</v>
      </c>
      <c r="V67" s="81" t="str">
        <f t="shared" si="16"/>
        <v>-</v>
      </c>
      <c r="W67" s="82" t="str">
        <f t="shared" si="17"/>
        <v>本月刚到货</v>
      </c>
      <c r="X67" s="83" t="str">
        <f t="shared" si="18"/>
        <v>本月刚到货</v>
      </c>
      <c r="Y67" s="44">
        <f>IFERROR(SUMIF('5店辅助表'!K:K,B:B,'5店辅助表'!N:N),0)</f>
        <v>0</v>
      </c>
      <c r="Z67" s="44">
        <f>IFERROR(SUMIF('5店辅助表'!T:T,B:B,'5店辅助表'!W:W),0)</f>
        <v>0</v>
      </c>
      <c r="AA67" s="44">
        <f>IFERROR(SUMIF('5店辅助表'!AC:AC,B:B,'5店辅助表'!AF:AF),0)</f>
        <v>0</v>
      </c>
      <c r="AB67" s="91" t="str">
        <f>IFERROR(SUMIF('5店辅助表'!K:K,B:B,'5店辅助表'!N:N)/SUMIF('5店辅助表'!K:K,B:B,'5店辅助表'!O:O),"-")</f>
        <v>-</v>
      </c>
      <c r="AC67" s="91" t="str">
        <f>IFERROR(VLOOKUP(B:B,'[1]5店'!$B:$AB,27,FALSE),"-")</f>
        <v>-</v>
      </c>
      <c r="AD67" s="92" t="str">
        <f t="shared" si="19"/>
        <v>-</v>
      </c>
      <c r="AE67" s="91" t="str">
        <f>IFERROR(SUMIF('5店辅助表'!T:T,B:B,'5店辅助表'!W:W)/SUMIF('5店辅助表'!T:T,B:B,'5店辅助表'!X:X),"-")</f>
        <v>-</v>
      </c>
      <c r="AF67" s="91" t="str">
        <f>IFERROR(SUMIF('5店辅助表'!AC:AC,B:B,'5店辅助表'!AF:AF)/SUMIF('5店辅助表'!AC:AC,B:B,'5店辅助表'!AG:AG),"-")</f>
        <v>-</v>
      </c>
      <c r="AG67" s="99">
        <f>IFERROR(AK67/((SUMIF('5店辅助表'!AT:AT,B:B,'5店辅助表'!AU:AU)+M67)/2),"-")</f>
        <v>0</v>
      </c>
      <c r="AH67" s="99">
        <f>IFERROR(AL67/((SUMIF('5店辅助表'!AW:AW,B:B,'5店辅助表'!AX:AX)+M67)/2),"-")</f>
        <v>0</v>
      </c>
      <c r="AI67" s="100" t="str">
        <f>IFERROR((SUMIF('5店辅助表'!AP:AP,B:B,'5店辅助表'!AR:AR)-SUMIF('5店辅助表'!AP:AP,B:B,'5店辅助表'!AR:AR)*0.15-(L67+IFERROR(VLOOKUP(B:B,'5店辅助表'!AZ:BA,2,0),0))*O67-IF(AN:AN="US",6.85,4.9)*(Z67+3.28*O67))/SUMIF('5店辅助表'!AP:AP,B:B,'5店辅助表'!AR:AR),"-")</f>
        <v>-</v>
      </c>
      <c r="AJ67" s="100" t="str">
        <f t="shared" si="20"/>
        <v>-</v>
      </c>
      <c r="AK67" s="101">
        <f t="shared" si="21"/>
        <v>0</v>
      </c>
      <c r="AL67" s="101">
        <f t="shared" si="22"/>
        <v>0</v>
      </c>
      <c r="AM67" s="1" t="str">
        <f>VLOOKUP(B:B,'5店辅助表'!AZ:AZ,1,FALSE)</f>
        <v>Y5092-3</v>
      </c>
      <c r="AN67" t="str">
        <f>VLOOKUP(B:B,'5店辅助表'!AZ:BB,3,FALSE)</f>
        <v>US</v>
      </c>
    </row>
    <row r="68" customHeight="1" spans="1:40">
      <c r="A68" s="58" t="s">
        <v>1786</v>
      </c>
      <c r="B68" s="45" t="s">
        <v>1817</v>
      </c>
      <c r="C68" s="45" t="s">
        <v>1818</v>
      </c>
      <c r="D68" s="59">
        <v>45219</v>
      </c>
      <c r="E68" s="45" t="s">
        <v>1819</v>
      </c>
      <c r="F68" s="45">
        <v>0</v>
      </c>
      <c r="G68" s="45">
        <v>0</v>
      </c>
      <c r="H68" s="45">
        <v>9</v>
      </c>
      <c r="I68" s="45">
        <v>0</v>
      </c>
      <c r="J68" s="45">
        <v>0</v>
      </c>
      <c r="K68" s="63">
        <f t="shared" si="12"/>
        <v>9</v>
      </c>
      <c r="L68" s="64">
        <v>40.8</v>
      </c>
      <c r="M68" s="44">
        <f t="shared" si="11"/>
        <v>367.2</v>
      </c>
      <c r="N68" s="65">
        <f>IFERROR(VLOOKUP(B:B,'5店辅助表'!B:C,2,FALSE),0)</f>
        <v>0</v>
      </c>
      <c r="O68" s="65">
        <f>IFERROR(VLOOKUP(B:B,'5店辅助表'!E:F,2,FALSE),0)</f>
        <v>0</v>
      </c>
      <c r="P68" s="65">
        <f>IFERROR(VLOOKUP(B:B,'5店辅助表'!H:I,2,FALSE),0)</f>
        <v>0</v>
      </c>
      <c r="Q68" s="65">
        <f>IFERROR(VLOOKUP(B:B,'[1]5店'!$B:$P,13,FALSE),0)</f>
        <v>0</v>
      </c>
      <c r="R68" s="79">
        <f t="shared" si="13"/>
        <v>0</v>
      </c>
      <c r="S68" s="80" t="str">
        <f t="shared" si="14"/>
        <v>-</v>
      </c>
      <c r="T68" s="44" t="str">
        <f t="shared" si="15"/>
        <v>-</v>
      </c>
      <c r="U68" s="44" t="str">
        <f>IFERROR(VLOOKUP(B:B,'[1]5店'!$B:$T,19,0),"-")</f>
        <v>-</v>
      </c>
      <c r="V68" s="81" t="str">
        <f t="shared" si="16"/>
        <v>-</v>
      </c>
      <c r="W68" s="82" t="str">
        <f t="shared" si="17"/>
        <v>本月刚到货</v>
      </c>
      <c r="X68" s="83" t="str">
        <f t="shared" si="18"/>
        <v>本月刚到货</v>
      </c>
      <c r="Y68" s="44">
        <f>IFERROR(SUMIF('5店辅助表'!K:K,B:B,'5店辅助表'!N:N),0)</f>
        <v>0</v>
      </c>
      <c r="Z68" s="44">
        <f>IFERROR(SUMIF('5店辅助表'!T:T,B:B,'5店辅助表'!W:W),0)</f>
        <v>0</v>
      </c>
      <c r="AA68" s="44">
        <f>IFERROR(SUMIF('5店辅助表'!AC:AC,B:B,'5店辅助表'!AF:AF),0)</f>
        <v>0</v>
      </c>
      <c r="AB68" s="91" t="str">
        <f>IFERROR(SUMIF('5店辅助表'!K:K,B:B,'5店辅助表'!N:N)/SUMIF('5店辅助表'!K:K,B:B,'5店辅助表'!O:O),"-")</f>
        <v>-</v>
      </c>
      <c r="AC68" s="91" t="str">
        <f>IFERROR(VLOOKUP(B:B,'[1]5店'!$B:$AB,27,FALSE),"-")</f>
        <v>-</v>
      </c>
      <c r="AD68" s="92" t="str">
        <f t="shared" si="19"/>
        <v>-</v>
      </c>
      <c r="AE68" s="91" t="str">
        <f>IFERROR(SUMIF('5店辅助表'!T:T,B:B,'5店辅助表'!W:W)/SUMIF('5店辅助表'!T:T,B:B,'5店辅助表'!X:X),"-")</f>
        <v>-</v>
      </c>
      <c r="AF68" s="91" t="str">
        <f>IFERROR(SUMIF('5店辅助表'!AC:AC,B:B,'5店辅助表'!AF:AF)/SUMIF('5店辅助表'!AC:AC,B:B,'5店辅助表'!AG:AG),"-")</f>
        <v>-</v>
      </c>
      <c r="AG68" s="99">
        <f>IFERROR(AK68/((SUMIF('5店辅助表'!AT:AT,B:B,'5店辅助表'!AU:AU)+M68)/2),"-")</f>
        <v>0</v>
      </c>
      <c r="AH68" s="99">
        <f>IFERROR(AL68/((SUMIF('5店辅助表'!AW:AW,B:B,'5店辅助表'!AX:AX)+M68)/2),"-")</f>
        <v>0</v>
      </c>
      <c r="AI68" s="100" t="str">
        <f>IFERROR((SUMIF('5店辅助表'!AP:AP,B:B,'5店辅助表'!AR:AR)-SUMIF('5店辅助表'!AP:AP,B:B,'5店辅助表'!AR:AR)*0.15-(L68+IFERROR(VLOOKUP(B:B,'5店辅助表'!AZ:BA,2,0),0))*O68-IF(AN:AN="US",6.85,4.9)*(Z68+3.28*O68))/SUMIF('5店辅助表'!AP:AP,B:B,'5店辅助表'!AR:AR),"-")</f>
        <v>-</v>
      </c>
      <c r="AJ68" s="100" t="str">
        <f t="shared" si="20"/>
        <v>-</v>
      </c>
      <c r="AK68" s="101">
        <f t="shared" si="21"/>
        <v>0</v>
      </c>
      <c r="AL68" s="101">
        <f t="shared" si="22"/>
        <v>0</v>
      </c>
      <c r="AM68" s="1" t="str">
        <f>VLOOKUP(B:B,'5店辅助表'!AZ:AZ,1,FALSE)</f>
        <v>Y5093-BL</v>
      </c>
      <c r="AN68" t="str">
        <f>VLOOKUP(B:B,'5店辅助表'!AZ:BB,3,FALSE)</f>
        <v>US</v>
      </c>
    </row>
    <row r="69" customHeight="1" spans="1:40">
      <c r="A69" s="58" t="s">
        <v>1786</v>
      </c>
      <c r="B69" s="45" t="s">
        <v>1820</v>
      </c>
      <c r="C69" s="45" t="s">
        <v>1821</v>
      </c>
      <c r="D69" s="59">
        <v>45219</v>
      </c>
      <c r="E69" s="45" t="s">
        <v>1822</v>
      </c>
      <c r="F69" s="45">
        <v>9</v>
      </c>
      <c r="G69" s="45">
        <v>0</v>
      </c>
      <c r="H69" s="45">
        <v>9</v>
      </c>
      <c r="I69" s="45">
        <v>0</v>
      </c>
      <c r="J69" s="45">
        <v>0</v>
      </c>
      <c r="K69" s="63">
        <f t="shared" si="12"/>
        <v>18</v>
      </c>
      <c r="L69" s="64">
        <v>40.8</v>
      </c>
      <c r="M69" s="44">
        <f t="shared" si="11"/>
        <v>734.4</v>
      </c>
      <c r="N69" s="65">
        <f>IFERROR(VLOOKUP(B:B,'5店辅助表'!B:C,2,FALSE),0)</f>
        <v>0</v>
      </c>
      <c r="O69" s="65">
        <f>IFERROR(VLOOKUP(B:B,'5店辅助表'!E:F,2,FALSE),0)</f>
        <v>0</v>
      </c>
      <c r="P69" s="65">
        <f>IFERROR(VLOOKUP(B:B,'5店辅助表'!H:I,2,FALSE),0)</f>
        <v>0</v>
      </c>
      <c r="Q69" s="65">
        <f>IFERROR(VLOOKUP(B:B,'[1]5店'!$B:$P,13,FALSE),0)</f>
        <v>0</v>
      </c>
      <c r="R69" s="79">
        <f t="shared" si="13"/>
        <v>0</v>
      </c>
      <c r="S69" s="80" t="str">
        <f t="shared" si="14"/>
        <v>-</v>
      </c>
      <c r="T69" s="44" t="str">
        <f t="shared" si="15"/>
        <v>-</v>
      </c>
      <c r="U69" s="44" t="str">
        <f>IFERROR(VLOOKUP(B:B,'[1]5店'!$B:$T,19,0),"-")</f>
        <v>-</v>
      </c>
      <c r="V69" s="81" t="str">
        <f t="shared" si="16"/>
        <v>-</v>
      </c>
      <c r="W69" s="82" t="str">
        <f t="shared" si="17"/>
        <v>本月刚到货</v>
      </c>
      <c r="X69" s="83" t="str">
        <f t="shared" si="18"/>
        <v>本月刚到货</v>
      </c>
      <c r="Y69" s="44">
        <f>IFERROR(SUMIF('5店辅助表'!K:K,B:B,'5店辅助表'!N:N),0)</f>
        <v>0</v>
      </c>
      <c r="Z69" s="44">
        <f>IFERROR(SUMIF('5店辅助表'!T:T,B:B,'5店辅助表'!W:W),0)</f>
        <v>0</v>
      </c>
      <c r="AA69" s="44">
        <f>IFERROR(SUMIF('5店辅助表'!AC:AC,B:B,'5店辅助表'!AF:AF),0)</f>
        <v>0</v>
      </c>
      <c r="AB69" s="91" t="str">
        <f>IFERROR(SUMIF('5店辅助表'!K:K,B:B,'5店辅助表'!N:N)/SUMIF('5店辅助表'!K:K,B:B,'5店辅助表'!O:O),"-")</f>
        <v>-</v>
      </c>
      <c r="AC69" s="91" t="str">
        <f>IFERROR(VLOOKUP(B:B,'[1]5店'!$B:$AB,27,FALSE),"-")</f>
        <v>-</v>
      </c>
      <c r="AD69" s="92" t="str">
        <f t="shared" si="19"/>
        <v>-</v>
      </c>
      <c r="AE69" s="91" t="str">
        <f>IFERROR(SUMIF('5店辅助表'!T:T,B:B,'5店辅助表'!W:W)/SUMIF('5店辅助表'!T:T,B:B,'5店辅助表'!X:X),"-")</f>
        <v>-</v>
      </c>
      <c r="AF69" s="91" t="str">
        <f>IFERROR(SUMIF('5店辅助表'!AC:AC,B:B,'5店辅助表'!AF:AF)/SUMIF('5店辅助表'!AC:AC,B:B,'5店辅助表'!AG:AG),"-")</f>
        <v>-</v>
      </c>
      <c r="AG69" s="99">
        <f>IFERROR(AK69/((SUMIF('5店辅助表'!AT:AT,B:B,'5店辅助表'!AU:AU)+M69)/2),"-")</f>
        <v>0</v>
      </c>
      <c r="AH69" s="99">
        <f>IFERROR(AL69/((SUMIF('5店辅助表'!AW:AW,B:B,'5店辅助表'!AX:AX)+M69)/2),"-")</f>
        <v>0</v>
      </c>
      <c r="AI69" s="100" t="str">
        <f>IFERROR((SUMIF('5店辅助表'!AP:AP,B:B,'5店辅助表'!AR:AR)-SUMIF('5店辅助表'!AP:AP,B:B,'5店辅助表'!AR:AR)*0.15-(L69+IFERROR(VLOOKUP(B:B,'5店辅助表'!AZ:BA,2,0),0))*O69-IF(AN:AN="US",6.85,4.9)*(Z69+3.28*O69))/SUMIF('5店辅助表'!AP:AP,B:B,'5店辅助表'!AR:AR),"-")</f>
        <v>-</v>
      </c>
      <c r="AJ69" s="100" t="str">
        <f t="shared" si="20"/>
        <v>-</v>
      </c>
      <c r="AK69" s="101">
        <f t="shared" si="21"/>
        <v>0</v>
      </c>
      <c r="AL69" s="101">
        <f t="shared" si="22"/>
        <v>0</v>
      </c>
      <c r="AM69" s="1" t="str">
        <f>VLOOKUP(B:B,'5店辅助表'!AZ:AZ,1,FALSE)</f>
        <v>Y5093-MU</v>
      </c>
      <c r="AN69" t="str">
        <f>VLOOKUP(B:B,'5店辅助表'!AZ:BB,3,FALSE)</f>
        <v>US</v>
      </c>
    </row>
  </sheetData>
  <autoFilter ref="A2:AP69">
    <extLst/>
  </autoFilter>
  <mergeCells count="3">
    <mergeCell ref="Y1:AF1"/>
    <mergeCell ref="AG1:AH1"/>
    <mergeCell ref="B3:E3"/>
  </mergeCells>
  <conditionalFormatting sqref="D2">
    <cfRule type="expression" dxfId="987" priority="175">
      <formula>(TODAY()-$D2)&lt;30</formula>
    </cfRule>
  </conditionalFormatting>
  <conditionalFormatting sqref="E2">
    <cfRule type="duplicateValues" dxfId="984" priority="176"/>
  </conditionalFormatting>
  <conditionalFormatting sqref="B3">
    <cfRule type="duplicateValues" dxfId="984" priority="178"/>
    <cfRule type="duplicateValues" dxfId="984" priority="180"/>
  </conditionalFormatting>
  <conditionalFormatting sqref="E3">
    <cfRule type="duplicateValues" dxfId="984" priority="179"/>
  </conditionalFormatting>
  <conditionalFormatting sqref="V3">
    <cfRule type="iconSet" priority="182">
      <iconSet iconSet="3Arrows">
        <cfvo type="percent" val="0"/>
        <cfvo type="num" val="0"/>
        <cfvo type="num" val="0" gte="0"/>
      </iconSet>
    </cfRule>
  </conditionalFormatting>
  <conditionalFormatting sqref="AD3">
    <cfRule type="iconSet" priority="181">
      <iconSet iconSet="3Arrows">
        <cfvo type="percent" val="0"/>
        <cfvo type="num" val="0"/>
        <cfvo type="num" val="0" gte="0"/>
      </iconSet>
    </cfRule>
  </conditionalFormatting>
  <conditionalFormatting sqref="AI3:AJ3">
    <cfRule type="cellIs" dxfId="986" priority="177" operator="lessThan">
      <formula>0</formula>
    </cfRule>
  </conditionalFormatting>
  <conditionalFormatting sqref="B$1:B$1048576">
    <cfRule type="duplicateValues" dxfId="984" priority="1"/>
  </conditionalFormatting>
  <conditionalFormatting sqref="R4:R69">
    <cfRule type="iconSet" priority="157">
      <iconSet iconSet="3Arrows">
        <cfvo type="percent" val="0"/>
        <cfvo type="num" val="0"/>
        <cfvo type="num" val="0" gte="0"/>
      </iconSet>
    </cfRule>
  </conditionalFormatting>
  <conditionalFormatting sqref="V4:V69">
    <cfRule type="iconSet" priority="148">
      <iconSet iconSet="3Arrows">
        <cfvo type="percent" val="0"/>
        <cfvo type="num" val="0"/>
        <cfvo type="num" val="0" gte="0"/>
      </iconSet>
    </cfRule>
  </conditionalFormatting>
  <conditionalFormatting sqref="X4:X1048576">
    <cfRule type="expression" dxfId="985" priority="2">
      <formula>AND($X4="有库存无销量",$K4&gt;2,OR($V4&gt;=0,$V4="-"))</formula>
    </cfRule>
    <cfRule type="expression" dxfId="985" priority="3">
      <formula>AND($X4="库存过高",$K4&gt;2,OR($V4&gt;=0,$V4="-"))</formula>
    </cfRule>
  </conditionalFormatting>
  <conditionalFormatting sqref="Y4:Y69">
    <cfRule type="expression" dxfId="985" priority="4">
      <formula>AND($Y4&gt;3,$AB4=0)</formula>
    </cfRule>
  </conditionalFormatting>
  <conditionalFormatting sqref="AB4:AB69">
    <cfRule type="expression" dxfId="985" priority="5">
      <formula>AND($AB4&gt;30%,$AD4&gt;0,$AB4&lt;&gt;"-")</formula>
    </cfRule>
  </conditionalFormatting>
  <conditionalFormatting sqref="AD4:AD69">
    <cfRule type="iconSet" priority="139">
      <iconSet iconSet="3Arrows">
        <cfvo type="percent" val="0"/>
        <cfvo type="num" val="0"/>
        <cfvo type="num" val="0" gte="0"/>
      </iconSet>
    </cfRule>
  </conditionalFormatting>
  <conditionalFormatting sqref="AI4:AI69">
    <cfRule type="cellIs" dxfId="986" priority="6" operator="lessThan">
      <formula>25%</formula>
    </cfRule>
  </conditionalFormatting>
  <pageMargins left="0.75" right="0.75" top="1" bottom="1" header="0.5" footer="0.5"/>
  <headerFooter/>
  <extLst>
    <ext xmlns:x14="http://schemas.microsoft.com/office/spreadsheetml/2009/9/main" uri="{78C0D931-6437-407d-A8EE-F0AAD7539E65}">
      <x14:conditionalFormattings>
        <x14:conditionalFormatting xmlns:xm="http://schemas.microsoft.com/office/excel/2006/main">
          <x14:cfRule type="iconSet" priority="7" id="{bfe8c0cd-14cc-4ab5-8a1c-a5b112725aa4}">
            <x14:iconSet iconSet="3Arrows" custom="1">
              <x14:cfvo type="percent">
                <xm:f>0</xm:f>
              </x14:cfvo>
              <x14:cfvo type="num">
                <xm:f>0</xm:f>
              </x14:cfvo>
              <x14:cfvo type="num" gte="0">
                <xm:f>0</xm:f>
              </x14:cfvo>
              <x14:cfIcon iconSet="3Arrows" iconId="0"/>
              <x14:cfIcon iconSet="3Arrows" iconId="1"/>
              <x14:cfIcon iconSet="3Arrows" iconId="2"/>
            </x14:iconSet>
          </x14:cfRule>
          <xm:sqref>W4:W69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1:BB192"/>
  <sheetViews>
    <sheetView topLeftCell="Z1" workbookViewId="0">
      <pane ySplit="1" topLeftCell="A2" activePane="bottomLeft" state="frozen"/>
      <selection/>
      <selection pane="bottomLeft" activeCell="M8" sqref="M8"/>
    </sheetView>
  </sheetViews>
  <sheetFormatPr defaultColWidth="9" defaultRowHeight="12.9"/>
  <cols>
    <col min="1" max="1" width="9" style="1"/>
    <col min="2" max="2" width="9.4954128440367" style="1"/>
    <col min="3" max="3" width="16.8256880733945" style="1" customWidth="1"/>
    <col min="4" max="4" width="9" style="1"/>
    <col min="5" max="5" width="9.4954128440367" style="1"/>
    <col min="6" max="6" width="16.8256880733945" style="1" customWidth="1"/>
    <col min="7" max="7" width="9" style="1"/>
    <col min="8" max="8" width="10.4954128440367" style="1"/>
    <col min="9" max="9" width="16.8256880733945" style="1" customWidth="1"/>
    <col min="10" max="10" width="9" style="1"/>
    <col min="11" max="11" width="12.743119266055" style="1"/>
    <col min="12" max="14" width="12.8348623853211" style="1" customWidth="1"/>
    <col min="15" max="15" width="18.9357798165138" style="1" customWidth="1"/>
    <col min="16" max="16" width="20.5596330275229" style="1" customWidth="1"/>
    <col min="17" max="18" width="15.954128440367" style="2" customWidth="1"/>
    <col min="19" max="19" width="9" style="1"/>
    <col min="20" max="20" width="12.743119266055" style="1"/>
    <col min="21" max="23" width="14.2110091743119" style="1" customWidth="1"/>
    <col min="24" max="24" width="20.0642201834862" style="1" customWidth="1"/>
    <col min="25" max="25" width="20.8165137614679" style="1" customWidth="1"/>
    <col min="26" max="27" width="17.3211009174312" style="2" customWidth="1"/>
    <col min="28" max="28" width="9.09174311926606" style="1" customWidth="1"/>
    <col min="29" max="29" width="12.743119266055" style="1"/>
    <col min="30" max="32" width="13.5871559633028" style="1" customWidth="1"/>
    <col min="33" max="33" width="19.5688073394495" style="1" customWidth="1"/>
    <col min="34" max="34" width="19.9357798165138" style="1" customWidth="1"/>
    <col min="35" max="36" width="15.954128440367" style="2" customWidth="1"/>
    <col min="37" max="37" width="10.0917431192661" style="2" customWidth="1"/>
    <col min="40" max="40" width="10.0917431192661" style="2" customWidth="1"/>
    <col min="41" max="41" width="9" style="1"/>
    <col min="44" max="44" width="10.4954128440367"/>
    <col min="45" max="45" width="9" style="1"/>
    <col min="46" max="46" width="11.9633027522936" customWidth="1"/>
    <col min="47" max="47" width="10.0917431192661" customWidth="1"/>
    <col min="48" max="48" width="9" customWidth="1"/>
    <col min="49" max="49" width="11.9633027522936" customWidth="1"/>
    <col min="50" max="50" width="10.0917431192661" customWidth="1"/>
    <col min="51" max="51" width="9" style="1"/>
    <col min="52" max="52" width="17.1284403669725" style="152" customWidth="1"/>
    <col min="53" max="53" width="10.3394495412844" style="152" customWidth="1"/>
    <col min="54" max="16384" width="9" style="1"/>
  </cols>
  <sheetData>
    <row r="1" spans="2:50">
      <c r="B1" t="s">
        <v>408</v>
      </c>
      <c r="C1" t="s">
        <v>409</v>
      </c>
      <c r="E1" t="s">
        <v>408</v>
      </c>
      <c r="F1" t="s">
        <v>409</v>
      </c>
      <c r="H1" t="s">
        <v>408</v>
      </c>
      <c r="I1" t="s">
        <v>409</v>
      </c>
      <c r="K1" t="s">
        <v>410</v>
      </c>
      <c r="L1" t="s">
        <v>411</v>
      </c>
      <c r="M1" t="s">
        <v>412</v>
      </c>
      <c r="N1" t="s">
        <v>413</v>
      </c>
      <c r="O1" t="s">
        <v>414</v>
      </c>
      <c r="P1" t="s">
        <v>415</v>
      </c>
      <c r="Q1" s="31" t="s">
        <v>416</v>
      </c>
      <c r="R1" s="31" t="s">
        <v>417</v>
      </c>
      <c r="T1" t="s">
        <v>410</v>
      </c>
      <c r="U1" t="s">
        <v>411</v>
      </c>
      <c r="V1" t="s">
        <v>412</v>
      </c>
      <c r="W1" t="s">
        <v>413</v>
      </c>
      <c r="X1" t="s">
        <v>414</v>
      </c>
      <c r="Y1" t="s">
        <v>415</v>
      </c>
      <c r="Z1" s="31" t="s">
        <v>418</v>
      </c>
      <c r="AA1" s="31" t="s">
        <v>419</v>
      </c>
      <c r="AC1" t="s">
        <v>410</v>
      </c>
      <c r="AD1" t="s">
        <v>411</v>
      </c>
      <c r="AE1" t="s">
        <v>412</v>
      </c>
      <c r="AF1" t="s">
        <v>413</v>
      </c>
      <c r="AG1" t="s">
        <v>414</v>
      </c>
      <c r="AH1" t="s">
        <v>415</v>
      </c>
      <c r="AI1" s="31" t="s">
        <v>420</v>
      </c>
      <c r="AJ1" s="31" t="s">
        <v>421</v>
      </c>
      <c r="AK1" s="32" t="s">
        <v>422</v>
      </c>
      <c r="AL1" s="29" t="s">
        <v>408</v>
      </c>
      <c r="AM1" s="29" t="s">
        <v>423</v>
      </c>
      <c r="AN1" s="1"/>
      <c r="AO1" s="32" t="s">
        <v>424</v>
      </c>
      <c r="AP1" s="29" t="s">
        <v>408</v>
      </c>
      <c r="AQ1" s="29" t="s">
        <v>423</v>
      </c>
      <c r="AR1" s="1"/>
      <c r="AS1" s="34">
        <v>6.85</v>
      </c>
      <c r="AT1" s="35">
        <v>57</v>
      </c>
      <c r="AU1" s="36"/>
      <c r="AV1" s="35"/>
      <c r="AW1" s="35">
        <v>70</v>
      </c>
      <c r="AX1" s="36"/>
    </row>
    <row r="2" spans="2:50">
      <c r="B2" t="s">
        <v>426</v>
      </c>
      <c r="C2"/>
      <c r="E2" t="s">
        <v>426</v>
      </c>
      <c r="F2"/>
      <c r="H2" t="s">
        <v>426</v>
      </c>
      <c r="I2"/>
      <c r="K2" t="s">
        <v>426</v>
      </c>
      <c r="L2"/>
      <c r="M2"/>
      <c r="N2"/>
      <c r="O2"/>
      <c r="P2"/>
      <c r="Q2" s="31">
        <v>0</v>
      </c>
      <c r="R2" s="31">
        <v>0</v>
      </c>
      <c r="T2" t="s">
        <v>426</v>
      </c>
      <c r="U2"/>
      <c r="V2"/>
      <c r="W2"/>
      <c r="X2"/>
      <c r="Y2"/>
      <c r="Z2" s="31">
        <v>0</v>
      </c>
      <c r="AA2" s="31">
        <v>0</v>
      </c>
      <c r="AB2" s="1" t="e">
        <f>VLOOKUP(T:T,'5店'!$B:$B,1,0)</f>
        <v>#N/A</v>
      </c>
      <c r="AC2" t="s">
        <v>426</v>
      </c>
      <c r="AD2"/>
      <c r="AE2"/>
      <c r="AF2"/>
      <c r="AG2"/>
      <c r="AH2"/>
      <c r="AI2" s="31">
        <v>0</v>
      </c>
      <c r="AJ2" s="31">
        <v>0</v>
      </c>
      <c r="AK2" s="1" t="e">
        <f>VLOOKUP(AC:AC,'5店'!$B:$B,1,0)</f>
        <v>#N/A</v>
      </c>
      <c r="AL2" s="29" t="s">
        <v>1765</v>
      </c>
      <c r="AM2" s="33">
        <v>215.1</v>
      </c>
      <c r="AN2" s="1">
        <f>AM2*$AS$1</f>
        <v>1473.435</v>
      </c>
      <c r="AP2" s="29" t="s">
        <v>1765</v>
      </c>
      <c r="AQ2" s="33">
        <v>215.1</v>
      </c>
      <c r="AR2" s="1">
        <f>AQ2*$AS$1</f>
        <v>1473.435</v>
      </c>
      <c r="AT2" s="37" t="s">
        <v>10</v>
      </c>
      <c r="AU2" s="38" t="s">
        <v>21</v>
      </c>
      <c r="AV2" s="39"/>
      <c r="AW2" s="37" t="s">
        <v>10</v>
      </c>
      <c r="AX2" s="38" t="s">
        <v>21</v>
      </c>
    </row>
    <row r="3" spans="2:53">
      <c r="B3" t="s">
        <v>1751</v>
      </c>
      <c r="C3">
        <v>8</v>
      </c>
      <c r="D3" s="1" t="str">
        <f>VLOOKUP(B:B,'5店'!$B:$B,1,0)</f>
        <v>Y5071</v>
      </c>
      <c r="E3" t="s">
        <v>1751</v>
      </c>
      <c r="F3">
        <v>21</v>
      </c>
      <c r="G3" s="1" t="str">
        <f>VLOOKUP(E:E,'5店'!$B:$B,1,0)</f>
        <v>Y5071</v>
      </c>
      <c r="H3" t="s">
        <v>1751</v>
      </c>
      <c r="I3">
        <v>34</v>
      </c>
      <c r="J3" s="1" t="str">
        <f>VLOOKUP(H:H,'5店'!$B:$B,1,0)</f>
        <v>Y5071</v>
      </c>
      <c r="K3" t="s">
        <v>1652</v>
      </c>
      <c r="L3">
        <v>2</v>
      </c>
      <c r="M3">
        <v>0</v>
      </c>
      <c r="N3">
        <v>0</v>
      </c>
      <c r="O3">
        <v>0</v>
      </c>
      <c r="P3">
        <v>0</v>
      </c>
      <c r="Q3" s="31">
        <v>0</v>
      </c>
      <c r="R3" s="31">
        <v>0</v>
      </c>
      <c r="S3" s="1" t="str">
        <f>VLOOKUP(K:K,'5店'!$B:$B,1,0)</f>
        <v>Y5014-BU</v>
      </c>
      <c r="T3" t="s">
        <v>1652</v>
      </c>
      <c r="U3">
        <v>3</v>
      </c>
      <c r="V3">
        <v>0</v>
      </c>
      <c r="W3">
        <v>0</v>
      </c>
      <c r="X3">
        <v>0</v>
      </c>
      <c r="Y3">
        <v>0</v>
      </c>
      <c r="Z3" s="31">
        <v>0</v>
      </c>
      <c r="AA3" s="31">
        <v>0</v>
      </c>
      <c r="AB3" s="1" t="str">
        <f>VLOOKUP(T:T,'5店'!$B:$B,1,0)</f>
        <v>Y5014-BU</v>
      </c>
      <c r="AC3" t="s">
        <v>1652</v>
      </c>
      <c r="AD3">
        <v>31</v>
      </c>
      <c r="AE3">
        <v>0</v>
      </c>
      <c r="AF3">
        <v>0</v>
      </c>
      <c r="AG3">
        <v>0</v>
      </c>
      <c r="AH3">
        <v>0</v>
      </c>
      <c r="AI3" s="31">
        <v>0</v>
      </c>
      <c r="AJ3" s="31">
        <v>0</v>
      </c>
      <c r="AK3" s="1" t="str">
        <f>VLOOKUP(AC:AC,'5店'!$B:$B,1,0)</f>
        <v>Y5014-BU</v>
      </c>
      <c r="AL3" s="29" t="s">
        <v>1751</v>
      </c>
      <c r="AM3" s="33">
        <v>95.92</v>
      </c>
      <c r="AN3" s="1">
        <f>AM3*$AS$1</f>
        <v>657.052</v>
      </c>
      <c r="AP3" s="29" t="s">
        <v>1780</v>
      </c>
      <c r="AQ3" s="33">
        <v>210.6</v>
      </c>
      <c r="AR3" s="1">
        <f t="shared" ref="AR3:AR12" si="0">AQ3*$AS$1</f>
        <v>1442.61</v>
      </c>
      <c r="AT3" s="40" t="s">
        <v>48</v>
      </c>
      <c r="AU3" s="57">
        <v>15492.904</v>
      </c>
      <c r="AV3" s="42"/>
      <c r="AW3" s="40" t="s">
        <v>48</v>
      </c>
      <c r="AX3" s="57">
        <v>20147.422</v>
      </c>
      <c r="AZ3" s="29" t="s">
        <v>408</v>
      </c>
      <c r="BA3" s="29" t="s">
        <v>1823</v>
      </c>
    </row>
    <row r="4" spans="2:54">
      <c r="B4" t="s">
        <v>1765</v>
      </c>
      <c r="C4">
        <v>18</v>
      </c>
      <c r="D4" s="1" t="str">
        <f>VLOOKUP(B:B,'5店'!$B:$B,1,0)</f>
        <v>Y5071-BL</v>
      </c>
      <c r="E4" t="s">
        <v>1765</v>
      </c>
      <c r="F4">
        <v>28</v>
      </c>
      <c r="G4" s="1" t="str">
        <f>VLOOKUP(E:E,'5店'!$B:$B,1,0)</f>
        <v>Y5071-BL</v>
      </c>
      <c r="H4" t="s">
        <v>1765</v>
      </c>
      <c r="I4">
        <v>42</v>
      </c>
      <c r="J4" s="1" t="str">
        <f>VLOOKUP(H:H,'5店'!$B:$B,1,0)</f>
        <v>Y5071-BL</v>
      </c>
      <c r="K4" t="s">
        <v>1658</v>
      </c>
      <c r="L4">
        <v>463</v>
      </c>
      <c r="M4">
        <v>5</v>
      </c>
      <c r="N4">
        <v>0.94</v>
      </c>
      <c r="O4">
        <v>0</v>
      </c>
      <c r="P4">
        <v>0</v>
      </c>
      <c r="Q4" s="31">
        <v>0</v>
      </c>
      <c r="R4" s="31">
        <v>0</v>
      </c>
      <c r="S4" s="1" t="str">
        <f>VLOOKUP(K:K,'5店'!$B:$B,1,0)</f>
        <v>Y5015-PI</v>
      </c>
      <c r="T4" t="s">
        <v>1658</v>
      </c>
      <c r="U4">
        <v>798</v>
      </c>
      <c r="V4">
        <v>15</v>
      </c>
      <c r="W4">
        <v>2.88</v>
      </c>
      <c r="X4">
        <v>0</v>
      </c>
      <c r="Y4">
        <v>0</v>
      </c>
      <c r="Z4" s="31">
        <v>0</v>
      </c>
      <c r="AA4" s="31">
        <v>0</v>
      </c>
      <c r="AB4" s="1" t="str">
        <f>VLOOKUP(T:T,'5店'!$B:$B,1,0)</f>
        <v>Y5015-PI</v>
      </c>
      <c r="AC4" t="s">
        <v>1658</v>
      </c>
      <c r="AD4">
        <v>1402</v>
      </c>
      <c r="AE4">
        <v>28</v>
      </c>
      <c r="AF4">
        <v>5.48</v>
      </c>
      <c r="AG4">
        <v>0</v>
      </c>
      <c r="AH4">
        <v>0</v>
      </c>
      <c r="AI4" s="31">
        <v>0</v>
      </c>
      <c r="AJ4" s="31">
        <v>0</v>
      </c>
      <c r="AK4" s="1" t="str">
        <f>VLOOKUP(AC:AC,'5店'!$B:$B,1,0)</f>
        <v>Y5015-PI</v>
      </c>
      <c r="AL4" s="29" t="s">
        <v>1780</v>
      </c>
      <c r="AM4" s="33">
        <v>105.3</v>
      </c>
      <c r="AN4" s="1">
        <f>AM4*$AS$1</f>
        <v>721.305</v>
      </c>
      <c r="AP4" s="29" t="s">
        <v>1751</v>
      </c>
      <c r="AQ4" s="33">
        <v>155.15</v>
      </c>
      <c r="AR4" s="1">
        <f t="shared" si="0"/>
        <v>1062.7775</v>
      </c>
      <c r="AT4" s="43" t="s">
        <v>1649</v>
      </c>
      <c r="AU4" s="44">
        <v>12.4</v>
      </c>
      <c r="AV4" s="35"/>
      <c r="AW4" s="43" t="s">
        <v>1649</v>
      </c>
      <c r="AX4" s="44">
        <v>12.4</v>
      </c>
      <c r="AZ4" s="29" t="s">
        <v>1676</v>
      </c>
      <c r="BA4" s="29">
        <v>6.086</v>
      </c>
      <c r="BB4" s="1" t="s">
        <v>430</v>
      </c>
    </row>
    <row r="5" spans="2:54">
      <c r="B5" t="s">
        <v>1777</v>
      </c>
      <c r="C5">
        <v>2</v>
      </c>
      <c r="D5" s="1" t="str">
        <f>VLOOKUP(B:B,'5店'!$B:$B,1,0)</f>
        <v>Y5078-5</v>
      </c>
      <c r="E5" t="s">
        <v>1754</v>
      </c>
      <c r="F5">
        <v>2</v>
      </c>
      <c r="G5" s="1" t="str">
        <f>VLOOKUP(E:E,'5店'!$B:$B,1,0)</f>
        <v>Y5071-PU</v>
      </c>
      <c r="H5" t="s">
        <v>1754</v>
      </c>
      <c r="I5">
        <v>6</v>
      </c>
      <c r="J5" s="1" t="str">
        <f>VLOOKUP(H:H,'5店'!$B:$B,1,0)</f>
        <v>Y5071-PU</v>
      </c>
      <c r="K5" t="s">
        <v>1670</v>
      </c>
      <c r="L5">
        <v>413</v>
      </c>
      <c r="M5">
        <v>2</v>
      </c>
      <c r="N5">
        <v>0.8</v>
      </c>
      <c r="O5">
        <v>0</v>
      </c>
      <c r="P5">
        <v>0</v>
      </c>
      <c r="Q5" s="31">
        <v>0</v>
      </c>
      <c r="R5" s="31">
        <v>0</v>
      </c>
      <c r="S5" s="1" t="str">
        <f>VLOOKUP(K:K,'5店'!$B:$B,1,0)</f>
        <v>Y5021-BL</v>
      </c>
      <c r="T5" t="s">
        <v>1664</v>
      </c>
      <c r="U5">
        <v>89</v>
      </c>
      <c r="V5">
        <v>1</v>
      </c>
      <c r="W5">
        <v>0.2</v>
      </c>
      <c r="X5">
        <v>0</v>
      </c>
      <c r="Y5">
        <v>0</v>
      </c>
      <c r="Z5" s="31">
        <v>0</v>
      </c>
      <c r="AA5" s="31">
        <v>0</v>
      </c>
      <c r="AB5" s="1" t="str">
        <f>VLOOKUP(T:T,'5店'!$B:$B,1,0)</f>
        <v>Y5019-BL</v>
      </c>
      <c r="AC5" t="s">
        <v>1664</v>
      </c>
      <c r="AD5">
        <v>149</v>
      </c>
      <c r="AE5">
        <v>1</v>
      </c>
      <c r="AF5">
        <v>0.2</v>
      </c>
      <c r="AG5">
        <v>0</v>
      </c>
      <c r="AH5">
        <v>0</v>
      </c>
      <c r="AI5" s="31">
        <v>0</v>
      </c>
      <c r="AJ5" s="31">
        <v>0</v>
      </c>
      <c r="AK5" s="1" t="str">
        <f>VLOOKUP(AC:AC,'5店'!$B:$B,1,0)</f>
        <v>Y5019-BL</v>
      </c>
      <c r="AL5" s="29" t="s">
        <v>1768</v>
      </c>
      <c r="AM5" s="33">
        <v>33.98</v>
      </c>
      <c r="AN5" s="1">
        <f>AM5*$AS$1</f>
        <v>232.763</v>
      </c>
      <c r="AP5" s="29" t="s">
        <v>1765</v>
      </c>
      <c r="AQ5" s="33">
        <v>119.9</v>
      </c>
      <c r="AR5" s="1">
        <f t="shared" si="0"/>
        <v>821.315</v>
      </c>
      <c r="AT5" s="43" t="s">
        <v>1652</v>
      </c>
      <c r="AU5" s="44">
        <v>9.65</v>
      </c>
      <c r="AV5" s="35"/>
      <c r="AW5" s="43" t="s">
        <v>1652</v>
      </c>
      <c r="AX5" s="44">
        <v>9.65</v>
      </c>
      <c r="AZ5" s="29" t="s">
        <v>1824</v>
      </c>
      <c r="BA5" s="29">
        <v>5.648</v>
      </c>
      <c r="BB5" s="1" t="s">
        <v>430</v>
      </c>
    </row>
    <row r="6" spans="2:54">
      <c r="B6" t="s">
        <v>1768</v>
      </c>
      <c r="C6">
        <v>2</v>
      </c>
      <c r="D6" s="1" t="str">
        <f>VLOOKUP(B:B,'5店'!$B:$B,1,0)</f>
        <v>Y5077-GN</v>
      </c>
      <c r="E6" t="s">
        <v>1777</v>
      </c>
      <c r="F6">
        <v>9</v>
      </c>
      <c r="G6" s="1" t="str">
        <f>VLOOKUP(E:E,'5店'!$B:$B,1,0)</f>
        <v>Y5078-5</v>
      </c>
      <c r="H6" t="s">
        <v>1802</v>
      </c>
      <c r="I6">
        <v>5</v>
      </c>
      <c r="J6" s="1" t="str">
        <f>VLOOKUP(H:H,'5店'!$B:$B,1,0)</f>
        <v>Y5075</v>
      </c>
      <c r="K6" t="s">
        <v>1709</v>
      </c>
      <c r="L6">
        <v>7</v>
      </c>
      <c r="M6">
        <v>0</v>
      </c>
      <c r="N6">
        <v>0</v>
      </c>
      <c r="O6">
        <v>0</v>
      </c>
      <c r="P6">
        <v>0</v>
      </c>
      <c r="Q6" s="31">
        <v>0</v>
      </c>
      <c r="R6" s="31">
        <v>0</v>
      </c>
      <c r="S6" s="1" t="str">
        <f>VLOOKUP(K:K,'5店'!$B:$B,1,0)</f>
        <v>Y5042-GR5</v>
      </c>
      <c r="T6" t="s">
        <v>1670</v>
      </c>
      <c r="U6">
        <v>1240</v>
      </c>
      <c r="V6">
        <v>2</v>
      </c>
      <c r="W6">
        <v>0.8</v>
      </c>
      <c r="X6">
        <v>0</v>
      </c>
      <c r="Y6">
        <v>0</v>
      </c>
      <c r="Z6" s="31">
        <v>0</v>
      </c>
      <c r="AA6" s="31">
        <v>0</v>
      </c>
      <c r="AB6" s="1" t="str">
        <f>VLOOKUP(T:T,'5店'!$B:$B,1,0)</f>
        <v>Y5021-BL</v>
      </c>
      <c r="AC6" t="s">
        <v>1695</v>
      </c>
      <c r="AD6">
        <v>4170</v>
      </c>
      <c r="AE6">
        <v>25</v>
      </c>
      <c r="AF6">
        <v>10.59</v>
      </c>
      <c r="AG6">
        <v>0</v>
      </c>
      <c r="AH6">
        <v>0</v>
      </c>
      <c r="AI6" s="31">
        <v>0</v>
      </c>
      <c r="AJ6" s="31">
        <v>0</v>
      </c>
      <c r="AK6" s="1" t="str">
        <f>VLOOKUP(AC:AC,'5店'!$B:$B,1,0)</f>
        <v>Y5033-BU</v>
      </c>
      <c r="AL6" s="29" t="s">
        <v>1777</v>
      </c>
      <c r="AM6" s="33">
        <v>23.98</v>
      </c>
      <c r="AN6" s="1">
        <f>AM6*$AS$1</f>
        <v>164.263</v>
      </c>
      <c r="AP6" s="29" t="s">
        <v>1777</v>
      </c>
      <c r="AQ6" s="33">
        <v>107.91</v>
      </c>
      <c r="AR6" s="1">
        <f t="shared" si="0"/>
        <v>739.1835</v>
      </c>
      <c r="AT6" s="43" t="s">
        <v>1655</v>
      </c>
      <c r="AU6" s="44">
        <v>9.65</v>
      </c>
      <c r="AV6" s="35"/>
      <c r="AW6" s="43" t="s">
        <v>1655</v>
      </c>
      <c r="AX6" s="44">
        <v>9.65</v>
      </c>
      <c r="AZ6" s="29" t="s">
        <v>1652</v>
      </c>
      <c r="BA6" s="29">
        <v>5.517</v>
      </c>
      <c r="BB6" s="1" t="s">
        <v>430</v>
      </c>
    </row>
    <row r="7" spans="2:54">
      <c r="B7" t="s">
        <v>1780</v>
      </c>
      <c r="C7">
        <v>6</v>
      </c>
      <c r="D7" s="1" t="str">
        <f>VLOOKUP(B:B,'5店'!$B:$B,1,0)</f>
        <v>Y5079</v>
      </c>
      <c r="E7" t="s">
        <v>1768</v>
      </c>
      <c r="F7">
        <v>6</v>
      </c>
      <c r="G7" s="1" t="str">
        <f>VLOOKUP(E:E,'5店'!$B:$B,1,0)</f>
        <v>Y5077-GN</v>
      </c>
      <c r="H7" t="s">
        <v>1777</v>
      </c>
      <c r="I7">
        <v>14</v>
      </c>
      <c r="J7" s="1" t="str">
        <f>VLOOKUP(H:H,'5店'!$B:$B,1,0)</f>
        <v>Y5078-5</v>
      </c>
      <c r="K7" t="s">
        <v>1695</v>
      </c>
      <c r="L7">
        <v>712</v>
      </c>
      <c r="M7">
        <v>1</v>
      </c>
      <c r="N7">
        <v>0.5</v>
      </c>
      <c r="O7">
        <v>0</v>
      </c>
      <c r="P7">
        <v>0</v>
      </c>
      <c r="Q7" s="31">
        <v>0</v>
      </c>
      <c r="R7" s="31">
        <v>0</v>
      </c>
      <c r="S7" s="1" t="str">
        <f>VLOOKUP(K:K,'5店'!$B:$B,1,0)</f>
        <v>Y5033-BU</v>
      </c>
      <c r="T7" t="s">
        <v>1709</v>
      </c>
      <c r="U7">
        <v>37</v>
      </c>
      <c r="V7">
        <v>0</v>
      </c>
      <c r="W7">
        <v>0</v>
      </c>
      <c r="X7">
        <v>0</v>
      </c>
      <c r="Y7">
        <v>0</v>
      </c>
      <c r="Z7" s="31">
        <v>0</v>
      </c>
      <c r="AA7" s="31">
        <v>0</v>
      </c>
      <c r="AB7" s="1" t="str">
        <f>VLOOKUP(T:T,'5店'!$B:$B,1,0)</f>
        <v>Y5042-GR5</v>
      </c>
      <c r="AC7" t="s">
        <v>1670</v>
      </c>
      <c r="AD7">
        <v>1963</v>
      </c>
      <c r="AE7">
        <v>3</v>
      </c>
      <c r="AF7">
        <v>1.22</v>
      </c>
      <c r="AG7">
        <v>0</v>
      </c>
      <c r="AH7">
        <v>0</v>
      </c>
      <c r="AI7" s="31">
        <v>0</v>
      </c>
      <c r="AJ7" s="31">
        <v>0</v>
      </c>
      <c r="AK7" s="1" t="str">
        <f>VLOOKUP(AC:AC,'5店'!$B:$B,1,0)</f>
        <v>Y5021-BL</v>
      </c>
      <c r="AL7" s="29" t="s">
        <v>1683</v>
      </c>
      <c r="AM7" s="33">
        <v>10.99</v>
      </c>
      <c r="AN7" s="1">
        <f t="shared" ref="AN3:AN33" si="1">AM7*$AS$1</f>
        <v>75.2815</v>
      </c>
      <c r="AP7" s="29" t="s">
        <v>1751</v>
      </c>
      <c r="AQ7" s="33">
        <v>95.92</v>
      </c>
      <c r="AR7" s="1">
        <f t="shared" si="0"/>
        <v>657.052</v>
      </c>
      <c r="AT7" s="43" t="s">
        <v>1658</v>
      </c>
      <c r="AU7" s="44">
        <v>9.65</v>
      </c>
      <c r="AV7" s="35"/>
      <c r="AW7" s="43" t="s">
        <v>1658</v>
      </c>
      <c r="AX7" s="44">
        <v>9.65</v>
      </c>
      <c r="AZ7" s="29" t="s">
        <v>1825</v>
      </c>
      <c r="BA7" s="29">
        <v>5.667</v>
      </c>
      <c r="BB7" s="1" t="s">
        <v>430</v>
      </c>
    </row>
    <row r="8" spans="2:54">
      <c r="B8" t="s">
        <v>1683</v>
      </c>
      <c r="C8">
        <v>1</v>
      </c>
      <c r="D8" s="1" t="str">
        <f>VLOOKUP(B:B,'5店'!$B:$B,1,0)</f>
        <v>Y5024-BL</v>
      </c>
      <c r="E8" t="s">
        <v>1780</v>
      </c>
      <c r="F8">
        <v>12</v>
      </c>
      <c r="G8" s="1" t="str">
        <f>VLOOKUP(E:E,'5店'!$B:$B,1,0)</f>
        <v>Y5079</v>
      </c>
      <c r="H8" t="s">
        <v>1768</v>
      </c>
      <c r="I8">
        <v>15</v>
      </c>
      <c r="J8" s="1" t="str">
        <f>VLOOKUP(H:H,'5店'!$B:$B,1,0)</f>
        <v>Y5077-GN</v>
      </c>
      <c r="K8" t="s">
        <v>1661</v>
      </c>
      <c r="L8">
        <v>11</v>
      </c>
      <c r="M8">
        <v>0</v>
      </c>
      <c r="N8">
        <v>0</v>
      </c>
      <c r="O8">
        <v>0</v>
      </c>
      <c r="P8">
        <v>0</v>
      </c>
      <c r="Q8" s="31">
        <v>0</v>
      </c>
      <c r="R8" s="31">
        <v>0</v>
      </c>
      <c r="S8" s="1" t="str">
        <f>VLOOKUP(K:K,'5店'!$B:$B,1,0)</f>
        <v>Y5016-BU</v>
      </c>
      <c r="T8" t="s">
        <v>1695</v>
      </c>
      <c r="U8">
        <v>1967</v>
      </c>
      <c r="V8">
        <v>13</v>
      </c>
      <c r="W8">
        <v>5.61</v>
      </c>
      <c r="X8">
        <v>0</v>
      </c>
      <c r="Y8">
        <v>0</v>
      </c>
      <c r="Z8" s="31">
        <v>0</v>
      </c>
      <c r="AA8" s="31">
        <v>0</v>
      </c>
      <c r="AB8" s="1" t="str">
        <f>VLOOKUP(T:T,'5店'!$B:$B,1,0)</f>
        <v>Y5033-BU</v>
      </c>
      <c r="AC8" t="s">
        <v>1707</v>
      </c>
      <c r="AD8">
        <v>351</v>
      </c>
      <c r="AE8">
        <v>4</v>
      </c>
      <c r="AF8">
        <v>0.8</v>
      </c>
      <c r="AG8">
        <v>0</v>
      </c>
      <c r="AH8">
        <v>0</v>
      </c>
      <c r="AI8" s="31">
        <v>0</v>
      </c>
      <c r="AJ8" s="31">
        <v>0</v>
      </c>
      <c r="AK8" s="1" t="str">
        <f>VLOOKUP(AC:AC,'5店'!$B:$B,1,0)</f>
        <v>Y5044-PU</v>
      </c>
      <c r="AL8" s="29" t="s">
        <v>1718</v>
      </c>
      <c r="AM8" s="33">
        <v>16.99</v>
      </c>
      <c r="AN8" s="1">
        <f t="shared" si="1"/>
        <v>116.3815</v>
      </c>
      <c r="AP8" s="29" t="s">
        <v>1768</v>
      </c>
      <c r="AQ8" s="33">
        <v>101.94</v>
      </c>
      <c r="AR8" s="1">
        <f t="shared" si="0"/>
        <v>698.289</v>
      </c>
      <c r="AT8" s="43" t="s">
        <v>1661</v>
      </c>
      <c r="AU8" s="44">
        <v>6.95</v>
      </c>
      <c r="AV8" s="35"/>
      <c r="AW8" s="43" t="s">
        <v>1661</v>
      </c>
      <c r="AX8" s="44">
        <v>6.95</v>
      </c>
      <c r="AZ8" s="29" t="s">
        <v>1655</v>
      </c>
      <c r="BA8" s="29">
        <v>5.517</v>
      </c>
      <c r="BB8" s="1" t="s">
        <v>430</v>
      </c>
    </row>
    <row r="9" spans="2:54">
      <c r="B9" t="s">
        <v>1718</v>
      </c>
      <c r="C9">
        <v>1</v>
      </c>
      <c r="D9" s="1" t="str">
        <f>VLOOKUP(B:B,'5店'!$B:$B,1,0)</f>
        <v>Y5060-BL</v>
      </c>
      <c r="E9" t="s">
        <v>1683</v>
      </c>
      <c r="F9">
        <v>1</v>
      </c>
      <c r="G9" s="1" t="str">
        <f>VLOOKUP(E:E,'5店'!$B:$B,1,0)</f>
        <v>Y5024-BL</v>
      </c>
      <c r="H9" t="s">
        <v>1683</v>
      </c>
      <c r="I9">
        <v>2</v>
      </c>
      <c r="J9" s="1" t="str">
        <f>VLOOKUP(H:H,'5店'!$B:$B,1,0)</f>
        <v>Y5024-BL</v>
      </c>
      <c r="K9" t="s">
        <v>1664</v>
      </c>
      <c r="L9">
        <v>30</v>
      </c>
      <c r="M9">
        <v>0</v>
      </c>
      <c r="N9">
        <v>0</v>
      </c>
      <c r="O9">
        <v>0</v>
      </c>
      <c r="P9">
        <v>0</v>
      </c>
      <c r="Q9" s="31">
        <v>0</v>
      </c>
      <c r="R9" s="31">
        <v>0</v>
      </c>
      <c r="S9" s="1" t="str">
        <f>VLOOKUP(K:K,'5店'!$B:$B,1,0)</f>
        <v>Y5019-BL</v>
      </c>
      <c r="T9" t="s">
        <v>1689</v>
      </c>
      <c r="U9">
        <v>857</v>
      </c>
      <c r="V9">
        <v>19</v>
      </c>
      <c r="W9">
        <v>4.14</v>
      </c>
      <c r="X9">
        <v>0</v>
      </c>
      <c r="Y9">
        <v>0</v>
      </c>
      <c r="Z9" s="31">
        <v>0</v>
      </c>
      <c r="AA9" s="31">
        <v>0</v>
      </c>
      <c r="AB9" s="1" t="str">
        <f>VLOOKUP(T:T,'5店'!$B:$B,1,0)</f>
        <v>Y5030-WI</v>
      </c>
      <c r="AC9" t="s">
        <v>1718</v>
      </c>
      <c r="AD9">
        <v>147</v>
      </c>
      <c r="AE9">
        <v>2</v>
      </c>
      <c r="AF9">
        <v>0.4</v>
      </c>
      <c r="AG9">
        <v>0</v>
      </c>
      <c r="AH9">
        <v>0</v>
      </c>
      <c r="AI9" s="31">
        <v>0</v>
      </c>
      <c r="AJ9" s="31">
        <v>0</v>
      </c>
      <c r="AK9" s="1" t="str">
        <f>VLOOKUP(AC:AC,'5店'!$B:$B,1,0)</f>
        <v>Y5060-BL</v>
      </c>
      <c r="AL9" s="29" t="s">
        <v>1729</v>
      </c>
      <c r="AM9" s="33">
        <v>9.88</v>
      </c>
      <c r="AN9" s="1">
        <f t="shared" si="1"/>
        <v>67.678</v>
      </c>
      <c r="AP9" s="29" t="s">
        <v>1754</v>
      </c>
      <c r="AQ9" s="33">
        <v>21.98</v>
      </c>
      <c r="AR9" s="1">
        <f t="shared" si="0"/>
        <v>150.563</v>
      </c>
      <c r="AT9" s="43" t="s">
        <v>1664</v>
      </c>
      <c r="AU9" s="44">
        <v>17.2</v>
      </c>
      <c r="AV9" s="35"/>
      <c r="AW9" s="43" t="s">
        <v>1664</v>
      </c>
      <c r="AX9" s="44">
        <v>17.2</v>
      </c>
      <c r="AZ9" s="29" t="s">
        <v>1826</v>
      </c>
      <c r="BA9" s="29">
        <v>5.466</v>
      </c>
      <c r="BB9" s="1" t="s">
        <v>430</v>
      </c>
    </row>
    <row r="10" spans="2:54">
      <c r="B10" t="s">
        <v>1729</v>
      </c>
      <c r="C10">
        <v>1</v>
      </c>
      <c r="D10" s="1" t="str">
        <f>VLOOKUP(B:B,'5店'!$B:$B,1,0)</f>
        <v>Y5058-DB</v>
      </c>
      <c r="E10" t="s">
        <v>1718</v>
      </c>
      <c r="F10">
        <v>1</v>
      </c>
      <c r="G10" s="1" t="str">
        <f>VLOOKUP(E:E,'5店'!$B:$B,1,0)</f>
        <v>Y5060-BL</v>
      </c>
      <c r="H10" t="s">
        <v>1774</v>
      </c>
      <c r="I10">
        <v>8</v>
      </c>
      <c r="J10" s="1" t="str">
        <f>VLOOKUP(H:H,'5店'!$B:$B,1,0)</f>
        <v>Y5078-1-4</v>
      </c>
      <c r="K10" t="s">
        <v>1751</v>
      </c>
      <c r="L10">
        <v>15035</v>
      </c>
      <c r="M10">
        <v>39</v>
      </c>
      <c r="N10">
        <v>13.38</v>
      </c>
      <c r="O10">
        <v>22.98</v>
      </c>
      <c r="P10">
        <v>2</v>
      </c>
      <c r="Q10" s="31">
        <v>0.5822454308094</v>
      </c>
      <c r="R10" s="31">
        <v>0.0512820512820513</v>
      </c>
      <c r="S10" s="1" t="str">
        <f>VLOOKUP(K:K,'5店'!$B:$B,1,0)</f>
        <v>Y5071</v>
      </c>
      <c r="T10" t="s">
        <v>1661</v>
      </c>
      <c r="U10">
        <v>15</v>
      </c>
      <c r="V10">
        <v>0</v>
      </c>
      <c r="W10">
        <v>0</v>
      </c>
      <c r="X10">
        <v>0</v>
      </c>
      <c r="Y10">
        <v>0</v>
      </c>
      <c r="Z10" s="31">
        <v>0</v>
      </c>
      <c r="AA10" s="31">
        <v>0</v>
      </c>
      <c r="AB10" s="1" t="str">
        <f>VLOOKUP(T:T,'5店'!$B:$B,1,0)</f>
        <v>Y5016-BU</v>
      </c>
      <c r="AC10" t="s">
        <v>1709</v>
      </c>
      <c r="AD10">
        <v>46</v>
      </c>
      <c r="AE10">
        <v>0</v>
      </c>
      <c r="AF10">
        <v>0</v>
      </c>
      <c r="AG10">
        <v>0</v>
      </c>
      <c r="AH10">
        <v>0</v>
      </c>
      <c r="AI10" s="31">
        <v>0</v>
      </c>
      <c r="AJ10" s="31">
        <v>0</v>
      </c>
      <c r="AK10" s="1" t="str">
        <f>VLOOKUP(AC:AC,'5店'!$B:$B,1,0)</f>
        <v>Y5042-GR5</v>
      </c>
      <c r="AL10" s="29" t="s">
        <v>1754</v>
      </c>
      <c r="AM10" s="33">
        <v>10.99</v>
      </c>
      <c r="AN10" s="1">
        <f t="shared" si="1"/>
        <v>75.2815</v>
      </c>
      <c r="AP10" s="29" t="s">
        <v>1683</v>
      </c>
      <c r="AQ10" s="33">
        <v>10.99</v>
      </c>
      <c r="AR10" s="1">
        <f t="shared" si="0"/>
        <v>75.2815</v>
      </c>
      <c r="AT10" s="43" t="s">
        <v>1667</v>
      </c>
      <c r="AU10" s="44">
        <v>8.6</v>
      </c>
      <c r="AV10" s="35"/>
      <c r="AW10" s="43" t="s">
        <v>1667</v>
      </c>
      <c r="AX10" s="44">
        <v>8.6</v>
      </c>
      <c r="AZ10" s="29" t="s">
        <v>1827</v>
      </c>
      <c r="BA10" s="29">
        <v>5.559</v>
      </c>
      <c r="BB10" s="1" t="s">
        <v>430</v>
      </c>
    </row>
    <row r="11" spans="2:54">
      <c r="B11" t="s">
        <v>1754</v>
      </c>
      <c r="C11">
        <v>1</v>
      </c>
      <c r="D11" s="1" t="str">
        <f>VLOOKUP(B:B,'5店'!$B:$B,1,0)</f>
        <v>Y5071-PU</v>
      </c>
      <c r="E11" t="s">
        <v>1729</v>
      </c>
      <c r="F11">
        <v>1</v>
      </c>
      <c r="G11" s="1" t="str">
        <f>VLOOKUP(E:E,'5店'!$B:$B,1,0)</f>
        <v>Y5058-DB</v>
      </c>
      <c r="H11" t="s">
        <v>1780</v>
      </c>
      <c r="I11">
        <v>14</v>
      </c>
      <c r="J11" s="1" t="str">
        <f>VLOOKUP(H:H,'5店'!$B:$B,1,0)</f>
        <v>Y5079</v>
      </c>
      <c r="K11" t="s">
        <v>1757</v>
      </c>
      <c r="L11">
        <v>1541</v>
      </c>
      <c r="M11">
        <v>7</v>
      </c>
      <c r="N11">
        <v>7.27</v>
      </c>
      <c r="O11">
        <v>0</v>
      </c>
      <c r="P11">
        <v>0</v>
      </c>
      <c r="Q11" s="31">
        <v>0</v>
      </c>
      <c r="R11" s="31">
        <v>0</v>
      </c>
      <c r="S11" s="1" t="str">
        <f>VLOOKUP(K:K,'5店'!$B:$B,1,0)</f>
        <v>Y5072-GR</v>
      </c>
      <c r="T11" t="s">
        <v>1751</v>
      </c>
      <c r="U11">
        <v>29303</v>
      </c>
      <c r="V11">
        <v>62</v>
      </c>
      <c r="W11">
        <v>21.13</v>
      </c>
      <c r="X11">
        <v>58.95</v>
      </c>
      <c r="Y11">
        <v>4</v>
      </c>
      <c r="Z11" s="31">
        <v>0.35843935538592</v>
      </c>
      <c r="AA11" s="31">
        <v>0.0645161290322581</v>
      </c>
      <c r="AB11" s="1" t="str">
        <f>VLOOKUP(T:T,'5店'!$B:$B,1,0)</f>
        <v>Y5071</v>
      </c>
      <c r="AC11" t="s">
        <v>1732</v>
      </c>
      <c r="AD11">
        <v>460</v>
      </c>
      <c r="AE11">
        <v>14</v>
      </c>
      <c r="AF11">
        <v>2.14</v>
      </c>
      <c r="AG11">
        <v>29.86</v>
      </c>
      <c r="AH11">
        <v>3</v>
      </c>
      <c r="AI11" s="31">
        <v>0.071667782987274</v>
      </c>
      <c r="AJ11" s="31">
        <v>0.214285714285714</v>
      </c>
      <c r="AK11" s="1" t="str">
        <f>VLOOKUP(AC:AC,'5店'!$B:$B,1,0)</f>
        <v>Y5058-BL</v>
      </c>
      <c r="AL11" s="29" t="s">
        <v>1802</v>
      </c>
      <c r="AM11" s="33">
        <v>17.69</v>
      </c>
      <c r="AN11" s="1">
        <f t="shared" si="1"/>
        <v>121.1765</v>
      </c>
      <c r="AP11" s="29" t="s">
        <v>1718</v>
      </c>
      <c r="AQ11" s="33">
        <v>16.99</v>
      </c>
      <c r="AR11" s="1">
        <f t="shared" si="0"/>
        <v>116.3815</v>
      </c>
      <c r="AT11" s="45" t="s">
        <v>1670</v>
      </c>
      <c r="AU11" s="44">
        <v>14.8</v>
      </c>
      <c r="AV11" s="35"/>
      <c r="AW11" s="43" t="s">
        <v>1670</v>
      </c>
      <c r="AX11" s="44">
        <v>14.8</v>
      </c>
      <c r="AZ11" s="29" t="s">
        <v>1828</v>
      </c>
      <c r="BA11" s="29">
        <v>6.071</v>
      </c>
      <c r="BB11" s="1" t="s">
        <v>430</v>
      </c>
    </row>
    <row r="12" spans="2:54">
      <c r="B12" t="s">
        <v>1802</v>
      </c>
      <c r="C12">
        <v>1</v>
      </c>
      <c r="D12" s="1" t="str">
        <f>VLOOKUP(B:B,'5店'!$B:$B,1,0)</f>
        <v>Y5075</v>
      </c>
      <c r="E12" t="s">
        <v>1802</v>
      </c>
      <c r="F12">
        <v>1</v>
      </c>
      <c r="G12" s="1" t="str">
        <f>VLOOKUP(E:E,'5店'!$B:$B,1,0)</f>
        <v>Y5075</v>
      </c>
      <c r="H12" t="s">
        <v>1771</v>
      </c>
      <c r="I12">
        <v>1</v>
      </c>
      <c r="J12" s="1" t="str">
        <f>VLOOKUP(H:H,'5店'!$B:$B,1,0)</f>
        <v>Y5077-RE</v>
      </c>
      <c r="K12" t="s">
        <v>1762</v>
      </c>
      <c r="L12">
        <v>531</v>
      </c>
      <c r="M12">
        <v>4</v>
      </c>
      <c r="N12">
        <v>1.61</v>
      </c>
      <c r="O12">
        <v>0</v>
      </c>
      <c r="P12">
        <v>0</v>
      </c>
      <c r="Q12" s="31">
        <v>0</v>
      </c>
      <c r="R12" s="31">
        <v>0</v>
      </c>
      <c r="S12" s="1" t="str">
        <f>VLOOKUP(K:K,'5店'!$B:$B,1,0)</f>
        <v>Y5073</v>
      </c>
      <c r="T12" t="s">
        <v>1757</v>
      </c>
      <c r="U12">
        <v>3586</v>
      </c>
      <c r="V12">
        <v>7</v>
      </c>
      <c r="W12">
        <v>7.27</v>
      </c>
      <c r="X12">
        <v>0</v>
      </c>
      <c r="Y12">
        <v>0</v>
      </c>
      <c r="Z12" s="31">
        <v>0</v>
      </c>
      <c r="AA12" s="31">
        <v>0</v>
      </c>
      <c r="AB12" s="1" t="str">
        <f>VLOOKUP(T:T,'5店'!$B:$B,1,0)</f>
        <v>Y5072-GR</v>
      </c>
      <c r="AC12" t="s">
        <v>1689</v>
      </c>
      <c r="AD12">
        <v>1575</v>
      </c>
      <c r="AE12">
        <v>44</v>
      </c>
      <c r="AF12">
        <v>9.04</v>
      </c>
      <c r="AG12">
        <v>11.99</v>
      </c>
      <c r="AH12">
        <v>1</v>
      </c>
      <c r="AI12" s="31">
        <v>0.75396163469558</v>
      </c>
      <c r="AJ12" s="31">
        <v>0.0227272727272727</v>
      </c>
      <c r="AK12" s="1" t="str">
        <f>VLOOKUP(AC:AC,'5店'!$B:$B,1,0)</f>
        <v>Y5030-WI</v>
      </c>
      <c r="AN12" s="1">
        <f t="shared" si="1"/>
        <v>0</v>
      </c>
      <c r="AP12" s="29" t="s">
        <v>1729</v>
      </c>
      <c r="AQ12" s="33">
        <v>9.88</v>
      </c>
      <c r="AR12" s="1">
        <f>AQ12*$AS$1</f>
        <v>67.678</v>
      </c>
      <c r="AT12" s="45" t="s">
        <v>1673</v>
      </c>
      <c r="AU12" s="44">
        <v>7.1</v>
      </c>
      <c r="AV12" s="35"/>
      <c r="AW12" s="43" t="s">
        <v>1673</v>
      </c>
      <c r="AX12" s="44">
        <v>7.1</v>
      </c>
      <c r="AZ12" s="29" t="s">
        <v>1658</v>
      </c>
      <c r="BA12" s="29">
        <v>6.014</v>
      </c>
      <c r="BB12" s="1" t="s">
        <v>430</v>
      </c>
    </row>
    <row r="13" spans="2:54">
      <c r="B13" t="s">
        <v>439</v>
      </c>
      <c r="C13">
        <v>41</v>
      </c>
      <c r="E13" t="s">
        <v>439</v>
      </c>
      <c r="F13">
        <v>82</v>
      </c>
      <c r="H13" t="s">
        <v>1695</v>
      </c>
      <c r="I13">
        <v>1</v>
      </c>
      <c r="J13" s="1" t="str">
        <f>VLOOKUP(H:H,'5店'!$B:$B,1,0)</f>
        <v>Y5033-BU</v>
      </c>
      <c r="K13" t="s">
        <v>1689</v>
      </c>
      <c r="L13">
        <v>298</v>
      </c>
      <c r="M13">
        <v>9</v>
      </c>
      <c r="N13">
        <v>2.2</v>
      </c>
      <c r="O13">
        <v>0</v>
      </c>
      <c r="P13">
        <v>0</v>
      </c>
      <c r="Q13" s="31">
        <v>0</v>
      </c>
      <c r="R13" s="31">
        <v>0</v>
      </c>
      <c r="S13" s="1" t="str">
        <f>VLOOKUP(K:K,'5店'!$B:$B,1,0)</f>
        <v>Y5030-WI</v>
      </c>
      <c r="T13" t="s">
        <v>1762</v>
      </c>
      <c r="U13">
        <v>2562</v>
      </c>
      <c r="V13">
        <v>17</v>
      </c>
      <c r="W13">
        <v>7.59</v>
      </c>
      <c r="X13">
        <v>0</v>
      </c>
      <c r="Y13">
        <v>0</v>
      </c>
      <c r="Z13" s="31">
        <v>0</v>
      </c>
      <c r="AA13" s="31">
        <v>0</v>
      </c>
      <c r="AB13" s="1" t="str">
        <f>VLOOKUP(T:T,'5店'!$B:$B,1,0)</f>
        <v>Y5073</v>
      </c>
      <c r="AC13" t="s">
        <v>1661</v>
      </c>
      <c r="AD13">
        <v>20</v>
      </c>
      <c r="AE13">
        <v>0</v>
      </c>
      <c r="AF13">
        <v>0</v>
      </c>
      <c r="AG13">
        <v>0</v>
      </c>
      <c r="AH13">
        <v>0</v>
      </c>
      <c r="AI13" s="31">
        <v>0</v>
      </c>
      <c r="AJ13" s="31">
        <v>0</v>
      </c>
      <c r="AK13" s="1" t="str">
        <f>VLOOKUP(AC:AC,'5店'!$B:$B,1,0)</f>
        <v>Y5016-BU</v>
      </c>
      <c r="AN13" s="1">
        <f t="shared" si="1"/>
        <v>0</v>
      </c>
      <c r="AP13" s="29" t="s">
        <v>1802</v>
      </c>
      <c r="AQ13" s="33">
        <v>17.69</v>
      </c>
      <c r="AR13" s="1">
        <f>AQ13*$AS$1</f>
        <v>121.1765</v>
      </c>
      <c r="AT13" s="45" t="s">
        <v>1676</v>
      </c>
      <c r="AU13" s="44">
        <v>9.1</v>
      </c>
      <c r="AV13" s="35"/>
      <c r="AW13" s="43" t="s">
        <v>1676</v>
      </c>
      <c r="AX13" s="44">
        <v>9.1</v>
      </c>
      <c r="AZ13" s="29" t="s">
        <v>1829</v>
      </c>
      <c r="BA13" s="153">
        <v>6.093</v>
      </c>
      <c r="BB13" s="1" t="s">
        <v>430</v>
      </c>
    </row>
    <row r="14" spans="2:54">
      <c r="B14"/>
      <c r="C14"/>
      <c r="E14"/>
      <c r="F14"/>
      <c r="H14" t="s">
        <v>1732</v>
      </c>
      <c r="I14">
        <v>2</v>
      </c>
      <c r="J14" s="1" t="str">
        <f>VLOOKUP(H:H,'5店'!$B:$B,1,0)</f>
        <v>Y5058-BL</v>
      </c>
      <c r="K14" t="s">
        <v>1765</v>
      </c>
      <c r="L14">
        <v>2612</v>
      </c>
      <c r="M14">
        <v>18</v>
      </c>
      <c r="N14">
        <v>6.02</v>
      </c>
      <c r="O14">
        <v>47.24</v>
      </c>
      <c r="P14">
        <v>3</v>
      </c>
      <c r="Q14" s="31">
        <v>0.127434377646063</v>
      </c>
      <c r="R14" s="31">
        <v>0.166666666666667</v>
      </c>
      <c r="S14" s="1" t="str">
        <f>VLOOKUP(K:K,'5店'!$B:$B,1,0)</f>
        <v>Y5071-BL</v>
      </c>
      <c r="T14" t="s">
        <v>1765</v>
      </c>
      <c r="U14">
        <v>12062</v>
      </c>
      <c r="V14">
        <v>38</v>
      </c>
      <c r="W14">
        <v>12.1</v>
      </c>
      <c r="X14">
        <v>71.22</v>
      </c>
      <c r="Y14">
        <v>5</v>
      </c>
      <c r="Z14" s="31">
        <v>0.169896096602078</v>
      </c>
      <c r="AA14" s="31">
        <v>0.131578947368421</v>
      </c>
      <c r="AB14" s="1" t="str">
        <f>VLOOKUP(T:T,'5店'!$B:$B,1,0)</f>
        <v>Y5071-BL</v>
      </c>
      <c r="AC14" t="s">
        <v>1751</v>
      </c>
      <c r="AD14">
        <v>57320</v>
      </c>
      <c r="AE14">
        <v>99</v>
      </c>
      <c r="AF14">
        <v>31.33</v>
      </c>
      <c r="AG14">
        <v>94.92</v>
      </c>
      <c r="AH14">
        <v>7</v>
      </c>
      <c r="AI14" s="31">
        <v>0.330067425200169</v>
      </c>
      <c r="AJ14" s="31">
        <v>0.0707070707070707</v>
      </c>
      <c r="AK14" s="1" t="str">
        <f>VLOOKUP(AC:AC,'5店'!$B:$B,1,0)</f>
        <v>Y5071</v>
      </c>
      <c r="AN14" s="1">
        <f t="shared" si="1"/>
        <v>0</v>
      </c>
      <c r="AR14" s="1">
        <f>AQ14*$AS$1</f>
        <v>0</v>
      </c>
      <c r="AT14" s="45" t="s">
        <v>1679</v>
      </c>
      <c r="AU14" s="44">
        <v>27.4</v>
      </c>
      <c r="AV14" s="35"/>
      <c r="AW14" s="43" t="s">
        <v>1679</v>
      </c>
      <c r="AX14" s="44">
        <v>27.4</v>
      </c>
      <c r="AZ14" s="29" t="s">
        <v>1830</v>
      </c>
      <c r="BA14" s="29">
        <v>6.138</v>
      </c>
      <c r="BB14" s="1" t="s">
        <v>430</v>
      </c>
    </row>
    <row r="15" spans="2:54">
      <c r="B15"/>
      <c r="C15"/>
      <c r="E15"/>
      <c r="F15"/>
      <c r="H15" t="s">
        <v>1689</v>
      </c>
      <c r="I15">
        <v>3</v>
      </c>
      <c r="J15" s="1" t="str">
        <f>VLOOKUP(H:H,'5店'!$B:$B,1,0)</f>
        <v>Y5030-WI</v>
      </c>
      <c r="K15" t="s">
        <v>1771</v>
      </c>
      <c r="L15">
        <v>1734</v>
      </c>
      <c r="M15">
        <v>11</v>
      </c>
      <c r="N15">
        <v>3.4</v>
      </c>
      <c r="O15">
        <v>0</v>
      </c>
      <c r="P15">
        <v>0</v>
      </c>
      <c r="Q15" s="31">
        <v>0</v>
      </c>
      <c r="R15" s="31">
        <v>0</v>
      </c>
      <c r="S15" s="1" t="str">
        <f>VLOOKUP(K:K,'5店'!$B:$B,1,0)</f>
        <v>Y5077-RE</v>
      </c>
      <c r="T15" t="s">
        <v>1771</v>
      </c>
      <c r="U15">
        <v>2868</v>
      </c>
      <c r="V15">
        <v>20</v>
      </c>
      <c r="W15">
        <v>6.02</v>
      </c>
      <c r="X15">
        <v>16.99</v>
      </c>
      <c r="Y15">
        <v>1</v>
      </c>
      <c r="Z15" s="31">
        <v>0.354326074161271</v>
      </c>
      <c r="AA15" s="31">
        <v>0.05</v>
      </c>
      <c r="AB15" s="1" t="str">
        <f>VLOOKUP(T:T,'5店'!$B:$B,1,0)</f>
        <v>Y5077-RE</v>
      </c>
      <c r="AC15" t="s">
        <v>1757</v>
      </c>
      <c r="AD15">
        <v>5852</v>
      </c>
      <c r="AE15">
        <v>10</v>
      </c>
      <c r="AF15">
        <v>9.75</v>
      </c>
      <c r="AG15">
        <v>0</v>
      </c>
      <c r="AH15">
        <v>0</v>
      </c>
      <c r="AI15" s="31">
        <v>0</v>
      </c>
      <c r="AJ15" s="31">
        <v>0</v>
      </c>
      <c r="AK15" s="1" t="str">
        <f>VLOOKUP(AC:AC,'5店'!$B:$B,1,0)</f>
        <v>Y5072-GR</v>
      </c>
      <c r="AN15" s="1">
        <f t="shared" si="1"/>
        <v>0</v>
      </c>
      <c r="AR15" s="1">
        <f>AQ15*$AS$1</f>
        <v>0</v>
      </c>
      <c r="AT15" s="45" t="s">
        <v>1681</v>
      </c>
      <c r="AU15" s="44">
        <v>13.7</v>
      </c>
      <c r="AV15" s="35"/>
      <c r="AW15" s="43" t="s">
        <v>1681</v>
      </c>
      <c r="AX15" s="44">
        <v>13.7</v>
      </c>
      <c r="AZ15" s="29" t="s">
        <v>1831</v>
      </c>
      <c r="BA15" s="29">
        <v>5.403</v>
      </c>
      <c r="BB15" s="1" t="s">
        <v>430</v>
      </c>
    </row>
    <row r="16" spans="2:54">
      <c r="B16"/>
      <c r="C16"/>
      <c r="E16"/>
      <c r="F16"/>
      <c r="H16" t="s">
        <v>1700</v>
      </c>
      <c r="I16">
        <v>1</v>
      </c>
      <c r="J16" s="1" t="str">
        <f>VLOOKUP(H:H,'5店'!$B:$B,1,0)</f>
        <v>Y5043-PI</v>
      </c>
      <c r="K16" t="s">
        <v>1768</v>
      </c>
      <c r="L16">
        <v>7559</v>
      </c>
      <c r="M16">
        <v>37</v>
      </c>
      <c r="N16">
        <v>13.67</v>
      </c>
      <c r="O16">
        <v>16.99</v>
      </c>
      <c r="P16">
        <v>1</v>
      </c>
      <c r="Q16" s="31">
        <v>0.804590935844615</v>
      </c>
      <c r="R16" s="31">
        <v>0.027027027027027</v>
      </c>
      <c r="S16" s="1" t="str">
        <f>VLOOKUP(K:K,'5店'!$B:$B,1,0)</f>
        <v>Y5077-GN</v>
      </c>
      <c r="T16" t="s">
        <v>1768</v>
      </c>
      <c r="U16">
        <v>12578</v>
      </c>
      <c r="V16">
        <v>63</v>
      </c>
      <c r="W16">
        <v>23.46</v>
      </c>
      <c r="X16">
        <v>33.98</v>
      </c>
      <c r="Y16">
        <v>2</v>
      </c>
      <c r="Z16" s="31">
        <v>0.690406121247793</v>
      </c>
      <c r="AA16" s="31">
        <v>0.0317460317460317</v>
      </c>
      <c r="AB16" s="1" t="str">
        <f>VLOOKUP(T:T,'5店'!$B:$B,1,0)</f>
        <v>Y5077-GN</v>
      </c>
      <c r="AC16" t="s">
        <v>1762</v>
      </c>
      <c r="AD16">
        <v>4011</v>
      </c>
      <c r="AE16">
        <v>30</v>
      </c>
      <c r="AF16">
        <v>12.86</v>
      </c>
      <c r="AG16">
        <v>22.99</v>
      </c>
      <c r="AH16">
        <v>2</v>
      </c>
      <c r="AI16" s="31">
        <v>0.559373640713354</v>
      </c>
      <c r="AJ16" s="31">
        <v>0.0666666666666667</v>
      </c>
      <c r="AK16" s="1" t="str">
        <f>VLOOKUP(AC:AC,'5店'!$B:$B,1,0)</f>
        <v>Y5073</v>
      </c>
      <c r="AN16" s="1">
        <f t="shared" si="1"/>
        <v>0</v>
      </c>
      <c r="AR16" s="1">
        <f>AQ16*$AS$1</f>
        <v>0</v>
      </c>
      <c r="AT16" s="45" t="s">
        <v>1683</v>
      </c>
      <c r="AU16" s="44">
        <v>356.2</v>
      </c>
      <c r="AV16" s="35"/>
      <c r="AW16" s="43" t="s">
        <v>1832</v>
      </c>
      <c r="AX16" s="44">
        <v>150.7</v>
      </c>
      <c r="AZ16" s="153" t="s">
        <v>1661</v>
      </c>
      <c r="BA16" s="153">
        <v>5.215</v>
      </c>
      <c r="BB16" s="1" t="s">
        <v>430</v>
      </c>
    </row>
    <row r="17" spans="2:54">
      <c r="B17"/>
      <c r="C17"/>
      <c r="E17"/>
      <c r="F17"/>
      <c r="H17" t="s">
        <v>1762</v>
      </c>
      <c r="I17">
        <v>3</v>
      </c>
      <c r="J17" s="1" t="str">
        <f>VLOOKUP(H:H,'5店'!$B:$B,1,0)</f>
        <v>Y5073</v>
      </c>
      <c r="K17" t="s">
        <v>1774</v>
      </c>
      <c r="L17">
        <v>89</v>
      </c>
      <c r="M17">
        <v>0</v>
      </c>
      <c r="N17">
        <v>0</v>
      </c>
      <c r="O17">
        <v>0</v>
      </c>
      <c r="P17">
        <v>0</v>
      </c>
      <c r="Q17" s="31">
        <v>0</v>
      </c>
      <c r="R17" s="31">
        <v>0</v>
      </c>
      <c r="S17" s="1" t="str">
        <f>VLOOKUP(K:K,'5店'!$B:$B,1,0)</f>
        <v>Y5078-1-4</v>
      </c>
      <c r="T17" t="s">
        <v>1774</v>
      </c>
      <c r="U17">
        <v>89</v>
      </c>
      <c r="V17">
        <v>0</v>
      </c>
      <c r="W17">
        <v>0</v>
      </c>
      <c r="X17">
        <v>0</v>
      </c>
      <c r="Y17">
        <v>0</v>
      </c>
      <c r="Z17" s="31">
        <v>0</v>
      </c>
      <c r="AA17" s="31">
        <v>0</v>
      </c>
      <c r="AB17" s="1" t="str">
        <f>VLOOKUP(T:T,'5店'!$B:$B,1,0)</f>
        <v>Y5078-1-4</v>
      </c>
      <c r="AC17" t="s">
        <v>1765</v>
      </c>
      <c r="AD17">
        <v>23914</v>
      </c>
      <c r="AE17">
        <v>63</v>
      </c>
      <c r="AF17">
        <v>17.41</v>
      </c>
      <c r="AG17">
        <v>107.19</v>
      </c>
      <c r="AH17">
        <v>7</v>
      </c>
      <c r="AI17" s="31">
        <v>0.16242186771154</v>
      </c>
      <c r="AJ17" s="31">
        <v>0.111111111111111</v>
      </c>
      <c r="AK17" s="1" t="str">
        <f>VLOOKUP(AC:AC,'5店'!$B:$B,1,0)</f>
        <v>Y5071-BL</v>
      </c>
      <c r="AN17" s="1">
        <f t="shared" si="1"/>
        <v>0</v>
      </c>
      <c r="AR17" s="1">
        <f>AQ17*$AS$1</f>
        <v>0</v>
      </c>
      <c r="AT17" s="45" t="s">
        <v>1685</v>
      </c>
      <c r="AU17" s="44">
        <v>178.1</v>
      </c>
      <c r="AV17" s="35"/>
      <c r="AW17" s="43" t="s">
        <v>1833</v>
      </c>
      <c r="AX17" s="44">
        <v>13.7</v>
      </c>
      <c r="AZ17" s="153" t="s">
        <v>1834</v>
      </c>
      <c r="BA17" s="153">
        <v>5.634</v>
      </c>
      <c r="BB17" s="1" t="s">
        <v>430</v>
      </c>
    </row>
    <row r="18" spans="2:54">
      <c r="B18"/>
      <c r="C18"/>
      <c r="E18"/>
      <c r="F18"/>
      <c r="H18" t="s">
        <v>1833</v>
      </c>
      <c r="I18">
        <v>1</v>
      </c>
      <c r="J18" s="1" t="e">
        <f>VLOOKUP(H:H,'5店'!$B:$B,1,0)</f>
        <v>#N/A</v>
      </c>
      <c r="K18" t="s">
        <v>1718</v>
      </c>
      <c r="L18">
        <v>50</v>
      </c>
      <c r="M18">
        <v>0</v>
      </c>
      <c r="N18">
        <v>0</v>
      </c>
      <c r="O18">
        <v>0</v>
      </c>
      <c r="P18">
        <v>0</v>
      </c>
      <c r="Q18" s="31">
        <v>0</v>
      </c>
      <c r="R18" s="31">
        <v>0</v>
      </c>
      <c r="S18" s="1" t="str">
        <f>VLOOKUP(K:K,'5店'!$B:$B,1,0)</f>
        <v>Y5060-BL</v>
      </c>
      <c r="T18" t="s">
        <v>1802</v>
      </c>
      <c r="U18">
        <v>932</v>
      </c>
      <c r="V18">
        <v>23</v>
      </c>
      <c r="W18">
        <v>13.94</v>
      </c>
      <c r="X18">
        <v>17.69</v>
      </c>
      <c r="Y18">
        <v>1</v>
      </c>
      <c r="Z18" s="31">
        <v>0.788015828151498</v>
      </c>
      <c r="AA18" s="31">
        <v>0.0434782608695652</v>
      </c>
      <c r="AB18" s="1" t="str">
        <f>VLOOKUP(T:T,'5店'!$B:$B,1,0)</f>
        <v>Y5075</v>
      </c>
      <c r="AC18" t="s">
        <v>1771</v>
      </c>
      <c r="AD18">
        <v>4993</v>
      </c>
      <c r="AE18">
        <v>32</v>
      </c>
      <c r="AF18">
        <v>9.48</v>
      </c>
      <c r="AG18">
        <v>16.99</v>
      </c>
      <c r="AH18">
        <v>1</v>
      </c>
      <c r="AI18" s="31">
        <v>0.557975279576221</v>
      </c>
      <c r="AJ18" s="31">
        <v>0.03125</v>
      </c>
      <c r="AK18" s="1" t="str">
        <f>VLOOKUP(AC:AC,'5店'!$B:$B,1,0)</f>
        <v>Y5077-RE</v>
      </c>
      <c r="AN18" s="1">
        <f t="shared" si="1"/>
        <v>0</v>
      </c>
      <c r="AR18" s="1">
        <f>AQ18*$AS$1</f>
        <v>0</v>
      </c>
      <c r="AT18" s="45" t="s">
        <v>1687</v>
      </c>
      <c r="AU18" s="44">
        <v>137</v>
      </c>
      <c r="AV18" s="35"/>
      <c r="AW18" s="43" t="s">
        <v>1683</v>
      </c>
      <c r="AX18" s="44">
        <v>369.9</v>
      </c>
      <c r="AZ18" s="29" t="s">
        <v>1835</v>
      </c>
      <c r="BA18" s="29">
        <v>5.215</v>
      </c>
      <c r="BB18" s="1" t="s">
        <v>430</v>
      </c>
    </row>
    <row r="19" spans="2:54">
      <c r="B19"/>
      <c r="C19"/>
      <c r="E19"/>
      <c r="F19"/>
      <c r="H19" t="s">
        <v>1687</v>
      </c>
      <c r="I19">
        <v>1</v>
      </c>
      <c r="J19" s="1" t="str">
        <f>VLOOKUP(H:H,'5店'!$B:$B,1,0)</f>
        <v>Y5024-GW</v>
      </c>
      <c r="K19" t="s">
        <v>1732</v>
      </c>
      <c r="L19">
        <v>215</v>
      </c>
      <c r="M19">
        <v>5</v>
      </c>
      <c r="N19">
        <v>0.74</v>
      </c>
      <c r="O19">
        <v>0</v>
      </c>
      <c r="P19">
        <v>0</v>
      </c>
      <c r="Q19" s="31">
        <v>0</v>
      </c>
      <c r="R19" s="31">
        <v>0</v>
      </c>
      <c r="S19" s="1" t="str">
        <f>VLOOKUP(K:K,'5店'!$B:$B,1,0)</f>
        <v>Y5058-BL</v>
      </c>
      <c r="T19" t="s">
        <v>1718</v>
      </c>
      <c r="U19">
        <v>84</v>
      </c>
      <c r="V19">
        <v>0</v>
      </c>
      <c r="W19">
        <v>0</v>
      </c>
      <c r="X19">
        <v>0</v>
      </c>
      <c r="Y19">
        <v>0</v>
      </c>
      <c r="Z19" s="31">
        <v>0</v>
      </c>
      <c r="AA19" s="31">
        <v>0</v>
      </c>
      <c r="AB19" s="1" t="str">
        <f>VLOOKUP(T:T,'5店'!$B:$B,1,0)</f>
        <v>Y5060-BL</v>
      </c>
      <c r="AC19" t="s">
        <v>1768</v>
      </c>
      <c r="AD19">
        <v>20308</v>
      </c>
      <c r="AE19">
        <v>89</v>
      </c>
      <c r="AF19">
        <v>32.5</v>
      </c>
      <c r="AG19">
        <v>67.96</v>
      </c>
      <c r="AH19">
        <v>4</v>
      </c>
      <c r="AI19" s="31">
        <v>0.478222483814008</v>
      </c>
      <c r="AJ19" s="31">
        <v>0.0449438202247191</v>
      </c>
      <c r="AK19" s="1" t="str">
        <f>VLOOKUP(AC:AC,'5店'!$B:$B,1,0)</f>
        <v>Y5077-GN</v>
      </c>
      <c r="AN19" s="1">
        <f t="shared" si="1"/>
        <v>0</v>
      </c>
      <c r="AR19" s="1">
        <f>AQ19*$AS$1</f>
        <v>0</v>
      </c>
      <c r="AT19" s="45" t="s">
        <v>1689</v>
      </c>
      <c r="AU19" s="44">
        <v>13.7</v>
      </c>
      <c r="AV19" s="35"/>
      <c r="AW19" s="43" t="s">
        <v>1685</v>
      </c>
      <c r="AX19" s="44">
        <v>178.1</v>
      </c>
      <c r="AZ19" s="153" t="s">
        <v>1836</v>
      </c>
      <c r="BA19" s="153">
        <v>4.809</v>
      </c>
      <c r="BB19" s="1" t="s">
        <v>430</v>
      </c>
    </row>
    <row r="20" spans="2:54">
      <c r="B20"/>
      <c r="C20"/>
      <c r="E20"/>
      <c r="F20"/>
      <c r="H20" t="s">
        <v>1697</v>
      </c>
      <c r="I20">
        <v>1</v>
      </c>
      <c r="J20" s="1" t="str">
        <f>VLOOKUP(H:H,'5店'!$B:$B,1,0)</f>
        <v>Y5043-GR</v>
      </c>
      <c r="K20" t="s">
        <v>1780</v>
      </c>
      <c r="L20">
        <v>33108</v>
      </c>
      <c r="M20">
        <v>41</v>
      </c>
      <c r="N20">
        <v>27.25</v>
      </c>
      <c r="O20">
        <v>52.65</v>
      </c>
      <c r="P20">
        <v>3</v>
      </c>
      <c r="Q20" s="31">
        <v>0.517568850902184</v>
      </c>
      <c r="R20" s="31">
        <v>0.0731707317073171</v>
      </c>
      <c r="S20" s="1" t="str">
        <f>VLOOKUP(K:K,'5店'!$B:$B,1,0)</f>
        <v>Y5079</v>
      </c>
      <c r="T20" t="s">
        <v>1732</v>
      </c>
      <c r="U20">
        <v>328</v>
      </c>
      <c r="V20">
        <v>9</v>
      </c>
      <c r="W20">
        <v>1.3</v>
      </c>
      <c r="X20">
        <v>9.88</v>
      </c>
      <c r="Y20">
        <v>1</v>
      </c>
      <c r="Z20" s="31">
        <v>0.131578947368421</v>
      </c>
      <c r="AA20" s="31">
        <v>0.111111111111111</v>
      </c>
      <c r="AB20" s="1" t="str">
        <f>VLOOKUP(T:T,'5店'!$B:$B,1,0)</f>
        <v>Y5058-BL</v>
      </c>
      <c r="AC20" t="s">
        <v>1774</v>
      </c>
      <c r="AD20">
        <v>17489</v>
      </c>
      <c r="AE20">
        <v>126</v>
      </c>
      <c r="AF20">
        <v>29.3</v>
      </c>
      <c r="AG20">
        <v>95.92</v>
      </c>
      <c r="AH20">
        <v>8</v>
      </c>
      <c r="AI20" s="31">
        <v>0.305462885738115</v>
      </c>
      <c r="AJ20" s="31">
        <v>0.0634920634920635</v>
      </c>
      <c r="AK20" s="1" t="str">
        <f>VLOOKUP(AC:AC,'5店'!$B:$B,1,0)</f>
        <v>Y5078-1-4</v>
      </c>
      <c r="AN20" s="1">
        <f t="shared" si="1"/>
        <v>0</v>
      </c>
      <c r="AR20" s="1">
        <f>AQ20*$AS$1</f>
        <v>0</v>
      </c>
      <c r="AT20" s="45" t="s">
        <v>1692</v>
      </c>
      <c r="AU20" s="44">
        <v>51</v>
      </c>
      <c r="AV20" s="35"/>
      <c r="AW20" s="43" t="s">
        <v>1687</v>
      </c>
      <c r="AX20" s="44">
        <v>137</v>
      </c>
      <c r="AZ20" s="153" t="s">
        <v>1837</v>
      </c>
      <c r="BA20" s="153">
        <v>4.417</v>
      </c>
      <c r="BB20" s="1" t="s">
        <v>430</v>
      </c>
    </row>
    <row r="21" spans="2:54">
      <c r="B21"/>
      <c r="C21"/>
      <c r="E21"/>
      <c r="F21"/>
      <c r="H21" t="s">
        <v>1707</v>
      </c>
      <c r="I21">
        <v>1</v>
      </c>
      <c r="J21" s="1" t="str">
        <f>VLOOKUP(H:H,'5店'!$B:$B,1,0)</f>
        <v>Y5044-PU</v>
      </c>
      <c r="K21" t="s">
        <v>1777</v>
      </c>
      <c r="L21">
        <v>35</v>
      </c>
      <c r="M21">
        <v>2</v>
      </c>
      <c r="N21">
        <v>0.54</v>
      </c>
      <c r="O21">
        <v>0</v>
      </c>
      <c r="P21">
        <v>0</v>
      </c>
      <c r="Q21" s="31">
        <v>0</v>
      </c>
      <c r="R21" s="31">
        <v>0</v>
      </c>
      <c r="S21" s="1" t="str">
        <f>VLOOKUP(K:K,'5店'!$B:$B,1,0)</f>
        <v>Y5078-5</v>
      </c>
      <c r="T21" t="s">
        <v>1780</v>
      </c>
      <c r="U21">
        <v>61947</v>
      </c>
      <c r="V21">
        <v>94</v>
      </c>
      <c r="W21">
        <v>68.23</v>
      </c>
      <c r="X21">
        <v>122.85</v>
      </c>
      <c r="Y21">
        <v>7</v>
      </c>
      <c r="Z21" s="31">
        <v>0.555392755392755</v>
      </c>
      <c r="AA21" s="31">
        <v>0.074468085106383</v>
      </c>
      <c r="AB21" s="1" t="str">
        <f>VLOOKUP(T:T,'5店'!$B:$B,1,0)</f>
        <v>Y5079</v>
      </c>
      <c r="AC21" t="s">
        <v>1802</v>
      </c>
      <c r="AD21">
        <v>8916</v>
      </c>
      <c r="AE21">
        <v>46</v>
      </c>
      <c r="AF21">
        <v>28.84</v>
      </c>
      <c r="AG21">
        <v>88.45</v>
      </c>
      <c r="AH21">
        <v>2</v>
      </c>
      <c r="AI21" s="31">
        <v>0.326059920859243</v>
      </c>
      <c r="AJ21" s="31">
        <v>0.0434782608695652</v>
      </c>
      <c r="AK21" s="1" t="str">
        <f>VLOOKUP(AC:AC,'5店'!$B:$B,1,0)</f>
        <v>Y5075</v>
      </c>
      <c r="AN21" s="1">
        <f t="shared" si="1"/>
        <v>0</v>
      </c>
      <c r="AR21" s="1">
        <f>AQ21*$AS$1</f>
        <v>0</v>
      </c>
      <c r="AT21" s="45" t="s">
        <v>1695</v>
      </c>
      <c r="AU21" s="44">
        <v>68</v>
      </c>
      <c r="AV21" s="35"/>
      <c r="AW21" s="43" t="s">
        <v>1689</v>
      </c>
      <c r="AX21" s="44">
        <v>54.8</v>
      </c>
      <c r="AZ21" s="29" t="s">
        <v>1664</v>
      </c>
      <c r="BA21" s="29">
        <v>5.257</v>
      </c>
      <c r="BB21" s="1" t="s">
        <v>430</v>
      </c>
    </row>
    <row r="22" spans="2:54">
      <c r="B22"/>
      <c r="C22"/>
      <c r="E22"/>
      <c r="F22"/>
      <c r="H22" t="s">
        <v>1718</v>
      </c>
      <c r="I22">
        <v>1</v>
      </c>
      <c r="J22" s="1" t="str">
        <f>VLOOKUP(H:H,'5店'!$B:$B,1,0)</f>
        <v>Y5060-BL</v>
      </c>
      <c r="K22" t="s">
        <v>1760</v>
      </c>
      <c r="L22">
        <v>218</v>
      </c>
      <c r="M22">
        <v>1</v>
      </c>
      <c r="N22">
        <v>0.98</v>
      </c>
      <c r="O22">
        <v>0</v>
      </c>
      <c r="P22">
        <v>0</v>
      </c>
      <c r="Q22" s="31">
        <v>0</v>
      </c>
      <c r="R22" s="31">
        <v>0</v>
      </c>
      <c r="S22" s="1" t="str">
        <f>VLOOKUP(K:K,'5店'!$B:$B,1,0)</f>
        <v>Y5072-RE</v>
      </c>
      <c r="T22" t="s">
        <v>1777</v>
      </c>
      <c r="U22">
        <v>6356</v>
      </c>
      <c r="V22">
        <v>100</v>
      </c>
      <c r="W22">
        <v>32.97</v>
      </c>
      <c r="X22">
        <v>47.96</v>
      </c>
      <c r="Y22">
        <v>4</v>
      </c>
      <c r="Z22" s="31">
        <v>0.68744787322769</v>
      </c>
      <c r="AA22" s="31">
        <v>0.04</v>
      </c>
      <c r="AB22" s="1" t="str">
        <f>VLOOKUP(T:T,'5店'!$B:$B,1,0)</f>
        <v>Y5078-5</v>
      </c>
      <c r="AC22" t="s">
        <v>1780</v>
      </c>
      <c r="AD22">
        <v>70499</v>
      </c>
      <c r="AE22">
        <v>117</v>
      </c>
      <c r="AF22">
        <v>79.43</v>
      </c>
      <c r="AG22">
        <v>140.4</v>
      </c>
      <c r="AH22">
        <v>8</v>
      </c>
      <c r="AI22" s="31">
        <v>0.565740740740741</v>
      </c>
      <c r="AJ22" s="31">
        <v>0.0683760683760684</v>
      </c>
      <c r="AK22" s="1" t="str">
        <f>VLOOKUP(AC:AC,'5店'!$B:$B,1,0)</f>
        <v>Y5079</v>
      </c>
      <c r="AN22" s="1">
        <f t="shared" si="1"/>
        <v>0</v>
      </c>
      <c r="AR22" s="1">
        <f>AQ22*$AS$1</f>
        <v>0</v>
      </c>
      <c r="AT22" s="45" t="s">
        <v>1697</v>
      </c>
      <c r="AU22" s="44">
        <v>9.3</v>
      </c>
      <c r="AV22" s="35"/>
      <c r="AW22" s="43" t="s">
        <v>1692</v>
      </c>
      <c r="AX22" s="44">
        <v>51</v>
      </c>
      <c r="AZ22" s="29" t="s">
        <v>1838</v>
      </c>
      <c r="BA22" s="29">
        <v>6.418</v>
      </c>
      <c r="BB22" s="1" t="s">
        <v>430</v>
      </c>
    </row>
    <row r="23" spans="2:54">
      <c r="B23"/>
      <c r="C23"/>
      <c r="E23"/>
      <c r="F23"/>
      <c r="H23" t="s">
        <v>1729</v>
      </c>
      <c r="I23">
        <v>1</v>
      </c>
      <c r="J23" s="1" t="str">
        <f>VLOOKUP(H:H,'5店'!$B:$B,1,0)</f>
        <v>Y5058-DB</v>
      </c>
      <c r="K23" t="s">
        <v>1707</v>
      </c>
      <c r="L23">
        <v>205</v>
      </c>
      <c r="M23">
        <v>1</v>
      </c>
      <c r="N23">
        <v>0.2</v>
      </c>
      <c r="O23">
        <v>0</v>
      </c>
      <c r="P23">
        <v>0</v>
      </c>
      <c r="Q23" s="31">
        <v>0</v>
      </c>
      <c r="R23" s="31">
        <v>0</v>
      </c>
      <c r="S23" s="1" t="str">
        <f>VLOOKUP(K:K,'5店'!$B:$B,1,0)</f>
        <v>Y5044-PU</v>
      </c>
      <c r="T23" t="s">
        <v>1760</v>
      </c>
      <c r="U23">
        <v>254</v>
      </c>
      <c r="V23">
        <v>1</v>
      </c>
      <c r="W23">
        <v>0.98</v>
      </c>
      <c r="X23">
        <v>0</v>
      </c>
      <c r="Y23">
        <v>0</v>
      </c>
      <c r="Z23" s="31">
        <v>0</v>
      </c>
      <c r="AA23" s="31">
        <v>0</v>
      </c>
      <c r="AB23" s="1" t="str">
        <f>VLOOKUP(T:T,'5店'!$B:$B,1,0)</f>
        <v>Y5072-RE</v>
      </c>
      <c r="AC23" t="s">
        <v>1777</v>
      </c>
      <c r="AD23">
        <v>8724</v>
      </c>
      <c r="AE23">
        <v>172</v>
      </c>
      <c r="AF23">
        <v>54.76</v>
      </c>
      <c r="AG23">
        <v>95.92</v>
      </c>
      <c r="AH23">
        <v>8</v>
      </c>
      <c r="AI23" s="31">
        <v>0.570892410341952</v>
      </c>
      <c r="AJ23" s="31">
        <v>0.0465116279069767</v>
      </c>
      <c r="AK23" s="1" t="str">
        <f>VLOOKUP(AC:AC,'5店'!$B:$B,1,0)</f>
        <v>Y5078-5</v>
      </c>
      <c r="AN23" s="1">
        <f t="shared" si="1"/>
        <v>0</v>
      </c>
      <c r="AR23" s="1">
        <f>AQ23*$AS$1</f>
        <v>0</v>
      </c>
      <c r="AT23" s="45" t="s">
        <v>1700</v>
      </c>
      <c r="AU23" s="44">
        <v>9.3</v>
      </c>
      <c r="AV23" s="35"/>
      <c r="AW23" s="43" t="s">
        <v>1695</v>
      </c>
      <c r="AX23" s="44">
        <v>68</v>
      </c>
      <c r="AZ23" s="29" t="s">
        <v>1667</v>
      </c>
      <c r="BA23" s="29">
        <v>6.498</v>
      </c>
      <c r="BB23" s="1" t="s">
        <v>430</v>
      </c>
    </row>
    <row r="24" spans="2:54">
      <c r="B24"/>
      <c r="C24"/>
      <c r="E24"/>
      <c r="F24"/>
      <c r="H24" t="s">
        <v>439</v>
      </c>
      <c r="I24">
        <v>157</v>
      </c>
      <c r="K24" t="s">
        <v>1802</v>
      </c>
      <c r="L24">
        <v>932</v>
      </c>
      <c r="M24">
        <v>23</v>
      </c>
      <c r="N24">
        <v>13.94</v>
      </c>
      <c r="O24">
        <v>17.69</v>
      </c>
      <c r="P24">
        <v>1</v>
      </c>
      <c r="Q24" s="31">
        <v>0.788015828151498</v>
      </c>
      <c r="R24" s="31">
        <v>0.0434782608695652</v>
      </c>
      <c r="S24" s="1" t="str">
        <f>VLOOKUP(K:K,'5店'!$B:$B,1,0)</f>
        <v>Y5075</v>
      </c>
      <c r="T24" t="s">
        <v>1707</v>
      </c>
      <c r="U24">
        <v>205</v>
      </c>
      <c r="V24">
        <v>1</v>
      </c>
      <c r="W24">
        <v>0.2</v>
      </c>
      <c r="X24">
        <v>0</v>
      </c>
      <c r="Y24">
        <v>0</v>
      </c>
      <c r="Z24" s="31">
        <v>0</v>
      </c>
      <c r="AA24" s="31">
        <v>0</v>
      </c>
      <c r="AB24" s="1" t="str">
        <f>VLOOKUP(T:T,'5店'!$B:$B,1,0)</f>
        <v>Y5044-PU</v>
      </c>
      <c r="AC24" t="s">
        <v>1760</v>
      </c>
      <c r="AD24">
        <v>790</v>
      </c>
      <c r="AE24">
        <v>1</v>
      </c>
      <c r="AF24">
        <v>0.98</v>
      </c>
      <c r="AG24">
        <v>0</v>
      </c>
      <c r="AH24">
        <v>0</v>
      </c>
      <c r="AI24" s="31">
        <v>0</v>
      </c>
      <c r="AJ24" s="31">
        <v>0</v>
      </c>
      <c r="AK24" s="1" t="str">
        <f>VLOOKUP(AC:AC,'5店'!$B:$B,1,0)</f>
        <v>Y5072-RE</v>
      </c>
      <c r="AN24" s="1">
        <f t="shared" si="1"/>
        <v>0</v>
      </c>
      <c r="AR24" s="1">
        <f>AQ24*$AS$1</f>
        <v>0</v>
      </c>
      <c r="AT24" s="45" t="s">
        <v>1702</v>
      </c>
      <c r="AU24" s="44">
        <v>9.3</v>
      </c>
      <c r="AV24" s="35"/>
      <c r="AW24" s="43" t="s">
        <v>1697</v>
      </c>
      <c r="AX24" s="44">
        <v>18.6</v>
      </c>
      <c r="AZ24" s="29" t="s">
        <v>1839</v>
      </c>
      <c r="BA24" s="29">
        <v>6.331</v>
      </c>
      <c r="BB24" s="1" t="s">
        <v>430</v>
      </c>
    </row>
    <row r="25" spans="2:54">
      <c r="B25"/>
      <c r="C25"/>
      <c r="E25"/>
      <c r="F25"/>
      <c r="H25"/>
      <c r="I25"/>
      <c r="K25" t="s">
        <v>1787</v>
      </c>
      <c r="L25">
        <v>73</v>
      </c>
      <c r="M25">
        <v>0</v>
      </c>
      <c r="N25">
        <v>0</v>
      </c>
      <c r="O25">
        <v>0</v>
      </c>
      <c r="P25">
        <v>0</v>
      </c>
      <c r="Q25" s="31">
        <v>0</v>
      </c>
      <c r="R25" s="31">
        <v>0</v>
      </c>
      <c r="S25" s="1" t="str">
        <f>VLOOKUP(K:K,'5店'!$B:$B,1,0)</f>
        <v>Y5082</v>
      </c>
      <c r="T25" t="s">
        <v>1787</v>
      </c>
      <c r="U25">
        <v>73</v>
      </c>
      <c r="V25">
        <v>0</v>
      </c>
      <c r="W25">
        <v>0</v>
      </c>
      <c r="X25">
        <v>0</v>
      </c>
      <c r="Y25">
        <v>0</v>
      </c>
      <c r="Z25" s="31">
        <v>0</v>
      </c>
      <c r="AA25" s="31">
        <v>0</v>
      </c>
      <c r="AB25" s="1" t="str">
        <f>VLOOKUP(T:T,'5店'!$B:$B,1,0)</f>
        <v>Y5082</v>
      </c>
      <c r="AC25" t="s">
        <v>1787</v>
      </c>
      <c r="AD25">
        <v>177</v>
      </c>
      <c r="AE25">
        <v>0</v>
      </c>
      <c r="AF25">
        <v>0</v>
      </c>
      <c r="AG25">
        <v>0</v>
      </c>
      <c r="AH25">
        <v>0</v>
      </c>
      <c r="AI25" s="31">
        <v>0</v>
      </c>
      <c r="AJ25" s="31">
        <v>0</v>
      </c>
      <c r="AK25" s="1" t="str">
        <f>VLOOKUP(AC:AC,'5店'!$B:$B,1,0)</f>
        <v>Y5082</v>
      </c>
      <c r="AN25" s="1">
        <f t="shared" si="1"/>
        <v>0</v>
      </c>
      <c r="AR25" s="1">
        <f>AQ25*$AS$1</f>
        <v>0</v>
      </c>
      <c r="AT25" s="45" t="s">
        <v>1704</v>
      </c>
      <c r="AU25" s="44">
        <v>18.6</v>
      </c>
      <c r="AV25" s="35"/>
      <c r="AW25" s="43" t="s">
        <v>1700</v>
      </c>
      <c r="AX25" s="44">
        <v>9.3</v>
      </c>
      <c r="AZ25" s="29" t="s">
        <v>1840</v>
      </c>
      <c r="BA25" s="29">
        <v>6.325</v>
      </c>
      <c r="BB25" s="1" t="s">
        <v>430</v>
      </c>
    </row>
    <row r="26" spans="2:54">
      <c r="B26"/>
      <c r="C26"/>
      <c r="E26"/>
      <c r="F26"/>
      <c r="H26"/>
      <c r="I26"/>
      <c r="K26" t="s">
        <v>1790</v>
      </c>
      <c r="L26">
        <v>33</v>
      </c>
      <c r="M26">
        <v>0</v>
      </c>
      <c r="N26">
        <v>0</v>
      </c>
      <c r="O26">
        <v>0</v>
      </c>
      <c r="P26">
        <v>0</v>
      </c>
      <c r="Q26" s="31">
        <v>0</v>
      </c>
      <c r="R26" s="31">
        <v>0</v>
      </c>
      <c r="S26" s="1" t="str">
        <f>VLOOKUP(K:K,'5店'!$B:$B,1,0)</f>
        <v>Y5083-BL-ZH</v>
      </c>
      <c r="T26" t="s">
        <v>1790</v>
      </c>
      <c r="U26">
        <v>33</v>
      </c>
      <c r="V26">
        <v>0</v>
      </c>
      <c r="W26">
        <v>0</v>
      </c>
      <c r="X26">
        <v>0</v>
      </c>
      <c r="Y26">
        <v>0</v>
      </c>
      <c r="Z26" s="31">
        <v>0</v>
      </c>
      <c r="AA26" s="31">
        <v>0</v>
      </c>
      <c r="AB26" s="1" t="str">
        <f>VLOOKUP(T:T,'5店'!$B:$B,1,0)</f>
        <v>Y5083-BL-ZH</v>
      </c>
      <c r="AC26" t="s">
        <v>1790</v>
      </c>
      <c r="AD26">
        <v>77</v>
      </c>
      <c r="AE26">
        <v>0</v>
      </c>
      <c r="AF26">
        <v>0</v>
      </c>
      <c r="AG26">
        <v>0</v>
      </c>
      <c r="AH26">
        <v>0</v>
      </c>
      <c r="AI26" s="31">
        <v>0</v>
      </c>
      <c r="AJ26" s="31">
        <v>0</v>
      </c>
      <c r="AK26" s="1" t="str">
        <f>VLOOKUP(AC:AC,'5店'!$B:$B,1,0)</f>
        <v>Y5083-BL-ZH</v>
      </c>
      <c r="AN26" s="1">
        <f t="shared" si="1"/>
        <v>0</v>
      </c>
      <c r="AR26" s="1">
        <f>AQ26*$AS$1</f>
        <v>0</v>
      </c>
      <c r="AT26" s="45" t="s">
        <v>1709</v>
      </c>
      <c r="AU26" s="44">
        <v>18.6</v>
      </c>
      <c r="AV26" s="35"/>
      <c r="AW26" s="43" t="s">
        <v>1702</v>
      </c>
      <c r="AX26" s="44">
        <v>18.6</v>
      </c>
      <c r="AZ26" s="29" t="s">
        <v>1841</v>
      </c>
      <c r="BA26" s="29">
        <v>6.287</v>
      </c>
      <c r="BB26" s="1" t="s">
        <v>430</v>
      </c>
    </row>
    <row r="27" spans="2:54">
      <c r="B27"/>
      <c r="C27"/>
      <c r="E27"/>
      <c r="F27"/>
      <c r="H27"/>
      <c r="I27"/>
      <c r="K27" t="s">
        <v>1799</v>
      </c>
      <c r="L27">
        <v>829</v>
      </c>
      <c r="M27">
        <v>7</v>
      </c>
      <c r="N27">
        <v>3.95</v>
      </c>
      <c r="O27">
        <v>0</v>
      </c>
      <c r="P27">
        <v>0</v>
      </c>
      <c r="Q27" s="31">
        <v>0</v>
      </c>
      <c r="R27" s="31">
        <v>0</v>
      </c>
      <c r="S27" s="1" t="str">
        <f>VLOOKUP(K:K,'5店'!$B:$B,1,0)</f>
        <v>Y5087-BL-Zh</v>
      </c>
      <c r="T27" t="s">
        <v>1799</v>
      </c>
      <c r="U27">
        <v>829</v>
      </c>
      <c r="V27">
        <v>7</v>
      </c>
      <c r="W27">
        <v>3.95</v>
      </c>
      <c r="X27">
        <v>0</v>
      </c>
      <c r="Y27">
        <v>0</v>
      </c>
      <c r="Z27" s="31">
        <v>0</v>
      </c>
      <c r="AA27" s="31">
        <v>0</v>
      </c>
      <c r="AB27" s="1" t="str">
        <f>VLOOKUP(T:T,'5店'!$B:$B,1,0)</f>
        <v>Y5087-BL-Zh</v>
      </c>
      <c r="AC27" t="s">
        <v>1799</v>
      </c>
      <c r="AD27">
        <v>971</v>
      </c>
      <c r="AE27">
        <v>7</v>
      </c>
      <c r="AF27">
        <v>3.95</v>
      </c>
      <c r="AG27">
        <v>0</v>
      </c>
      <c r="AH27">
        <v>0</v>
      </c>
      <c r="AI27" s="31">
        <v>0</v>
      </c>
      <c r="AJ27" s="31">
        <v>0</v>
      </c>
      <c r="AK27" s="1" t="str">
        <f>VLOOKUP(AC:AC,'5店'!$B:$B,1,0)</f>
        <v>Y5087-BL-Zh</v>
      </c>
      <c r="AN27" s="1">
        <f t="shared" si="1"/>
        <v>0</v>
      </c>
      <c r="AR27" s="1">
        <f>AQ27*$AS$1</f>
        <v>0</v>
      </c>
      <c r="AT27" s="45" t="s">
        <v>1712</v>
      </c>
      <c r="AU27" s="44">
        <v>18.6</v>
      </c>
      <c r="AV27" s="35"/>
      <c r="AW27" s="43" t="s">
        <v>1842</v>
      </c>
      <c r="AX27" s="44">
        <v>9.3</v>
      </c>
      <c r="AZ27" s="29" t="s">
        <v>1670</v>
      </c>
      <c r="BA27" s="29">
        <v>5.365</v>
      </c>
      <c r="BB27" s="1" t="s">
        <v>430</v>
      </c>
    </row>
    <row r="28" spans="2:54">
      <c r="B28"/>
      <c r="C28"/>
      <c r="E28"/>
      <c r="F28"/>
      <c r="H28"/>
      <c r="I28"/>
      <c r="K28" t="s">
        <v>1793</v>
      </c>
      <c r="L28">
        <v>276</v>
      </c>
      <c r="M28">
        <v>3</v>
      </c>
      <c r="N28">
        <v>1.17</v>
      </c>
      <c r="O28">
        <v>0</v>
      </c>
      <c r="P28">
        <v>0</v>
      </c>
      <c r="Q28" s="31">
        <v>0</v>
      </c>
      <c r="R28" s="31">
        <v>0</v>
      </c>
      <c r="S28" s="1" t="str">
        <f>VLOOKUP(K:K,'5店'!$B:$B,1,0)</f>
        <v>Y5088</v>
      </c>
      <c r="T28" t="s">
        <v>1793</v>
      </c>
      <c r="U28">
        <v>276</v>
      </c>
      <c r="V28">
        <v>3</v>
      </c>
      <c r="W28">
        <v>1.17</v>
      </c>
      <c r="X28">
        <v>0</v>
      </c>
      <c r="Y28">
        <v>0</v>
      </c>
      <c r="Z28" s="31">
        <v>0</v>
      </c>
      <c r="AA28" s="31">
        <v>0</v>
      </c>
      <c r="AB28" s="1" t="str">
        <f>VLOOKUP(T:T,'5店'!$B:$B,1,0)</f>
        <v>Y5088</v>
      </c>
      <c r="AC28" t="s">
        <v>1793</v>
      </c>
      <c r="AD28">
        <v>510</v>
      </c>
      <c r="AE28">
        <v>3</v>
      </c>
      <c r="AF28">
        <v>1.17</v>
      </c>
      <c r="AG28">
        <v>0</v>
      </c>
      <c r="AH28">
        <v>0</v>
      </c>
      <c r="AI28" s="31">
        <v>0</v>
      </c>
      <c r="AJ28" s="31">
        <v>0</v>
      </c>
      <c r="AK28" s="1" t="str">
        <f>VLOOKUP(AC:AC,'5店'!$B:$B,1,0)</f>
        <v>Y5088</v>
      </c>
      <c r="AN28" s="1">
        <f t="shared" si="1"/>
        <v>0</v>
      </c>
      <c r="AR28" s="1">
        <f>AQ28*$AS$1</f>
        <v>0</v>
      </c>
      <c r="AT28" s="45" t="s">
        <v>1714</v>
      </c>
      <c r="AU28" s="44">
        <v>13.7</v>
      </c>
      <c r="AV28" s="35"/>
      <c r="AW28" s="43" t="s">
        <v>1843</v>
      </c>
      <c r="AX28" s="44">
        <v>9.3</v>
      </c>
      <c r="AZ28" s="29" t="s">
        <v>1673</v>
      </c>
      <c r="BA28" s="29">
        <v>6.478</v>
      </c>
      <c r="BB28" s="1" t="s">
        <v>430</v>
      </c>
    </row>
    <row r="29" spans="2:54">
      <c r="B29"/>
      <c r="C29"/>
      <c r="E29"/>
      <c r="F29"/>
      <c r="H29"/>
      <c r="I29"/>
      <c r="K29" t="s">
        <v>1796</v>
      </c>
      <c r="L29">
        <v>22</v>
      </c>
      <c r="M29">
        <v>1</v>
      </c>
      <c r="N29">
        <v>0.3</v>
      </c>
      <c r="O29">
        <v>0</v>
      </c>
      <c r="P29">
        <v>0</v>
      </c>
      <c r="Q29" s="31">
        <v>0</v>
      </c>
      <c r="R29" s="31">
        <v>0</v>
      </c>
      <c r="S29" s="1" t="str">
        <f>VLOOKUP(K:K,'5店'!$B:$B,1,0)</f>
        <v>Y5089</v>
      </c>
      <c r="T29" t="s">
        <v>1796</v>
      </c>
      <c r="U29">
        <v>22</v>
      </c>
      <c r="V29">
        <v>1</v>
      </c>
      <c r="W29">
        <v>0.3</v>
      </c>
      <c r="X29">
        <v>0</v>
      </c>
      <c r="Y29">
        <v>0</v>
      </c>
      <c r="Z29" s="31">
        <v>0</v>
      </c>
      <c r="AA29" s="31">
        <v>0</v>
      </c>
      <c r="AB29" s="1" t="str">
        <f>VLOOKUP(T:T,'5店'!$B:$B,1,0)</f>
        <v>Y5089</v>
      </c>
      <c r="AC29" t="s">
        <v>1796</v>
      </c>
      <c r="AD29">
        <v>59</v>
      </c>
      <c r="AE29">
        <v>1</v>
      </c>
      <c r="AF29">
        <v>0.3</v>
      </c>
      <c r="AG29">
        <v>0</v>
      </c>
      <c r="AH29">
        <v>0</v>
      </c>
      <c r="AI29" s="31">
        <v>0</v>
      </c>
      <c r="AJ29" s="31">
        <v>0</v>
      </c>
      <c r="AK29" s="1" t="str">
        <f>VLOOKUP(AC:AC,'5店'!$B:$B,1,0)</f>
        <v>Y5089</v>
      </c>
      <c r="AN29" s="1">
        <f t="shared" si="1"/>
        <v>0</v>
      </c>
      <c r="AR29" s="1">
        <f>AQ29*$AS$1</f>
        <v>0</v>
      </c>
      <c r="AT29" s="45" t="s">
        <v>1716</v>
      </c>
      <c r="AU29" s="44">
        <v>13.7</v>
      </c>
      <c r="AV29" s="35"/>
      <c r="AW29" s="43" t="s">
        <v>1704</v>
      </c>
      <c r="AX29" s="44">
        <v>18.6</v>
      </c>
      <c r="AZ29" s="29" t="s">
        <v>1844</v>
      </c>
      <c r="BA29" s="29">
        <v>6.159</v>
      </c>
      <c r="BB29" s="1" t="s">
        <v>430</v>
      </c>
    </row>
    <row r="30" spans="2:54">
      <c r="B30"/>
      <c r="C30"/>
      <c r="E30"/>
      <c r="F30"/>
      <c r="H30"/>
      <c r="I30"/>
      <c r="K30" t="s">
        <v>1808</v>
      </c>
      <c r="L30">
        <v>37</v>
      </c>
      <c r="M30">
        <v>0</v>
      </c>
      <c r="N30">
        <v>0</v>
      </c>
      <c r="O30">
        <v>0</v>
      </c>
      <c r="P30">
        <v>0</v>
      </c>
      <c r="Q30" s="31">
        <v>0</v>
      </c>
      <c r="R30" s="31">
        <v>0</v>
      </c>
      <c r="S30" s="1" t="str">
        <f>VLOOKUP(K:K,'5店'!$B:$B,1,0)</f>
        <v>Y5091-ZH</v>
      </c>
      <c r="T30" t="s">
        <v>1808</v>
      </c>
      <c r="U30">
        <v>37</v>
      </c>
      <c r="V30">
        <v>0</v>
      </c>
      <c r="W30">
        <v>0</v>
      </c>
      <c r="X30">
        <v>0</v>
      </c>
      <c r="Y30">
        <v>0</v>
      </c>
      <c r="Z30" s="31">
        <v>0</v>
      </c>
      <c r="AA30" s="31">
        <v>0</v>
      </c>
      <c r="AB30" s="1" t="str">
        <f>VLOOKUP(T:T,'5店'!$B:$B,1,0)</f>
        <v>Y5091-ZH</v>
      </c>
      <c r="AC30" t="s">
        <v>1808</v>
      </c>
      <c r="AD30">
        <v>37</v>
      </c>
      <c r="AE30">
        <v>0</v>
      </c>
      <c r="AF30">
        <v>0</v>
      </c>
      <c r="AG30">
        <v>0</v>
      </c>
      <c r="AH30">
        <v>0</v>
      </c>
      <c r="AI30" s="31">
        <v>0</v>
      </c>
      <c r="AJ30" s="31">
        <v>0</v>
      </c>
      <c r="AK30" s="1" t="str">
        <f>VLOOKUP(AC:AC,'5店'!$B:$B,1,0)</f>
        <v>Y5091-ZH</v>
      </c>
      <c r="AN30" s="1">
        <f t="shared" si="1"/>
        <v>0</v>
      </c>
      <c r="AR30" s="1">
        <f>AQ30*$AS$1</f>
        <v>0</v>
      </c>
      <c r="AT30" s="45" t="s">
        <v>1718</v>
      </c>
      <c r="AU30" s="44">
        <v>490</v>
      </c>
      <c r="AV30" s="35"/>
      <c r="AW30" s="43" t="s">
        <v>1707</v>
      </c>
      <c r="AX30" s="44">
        <v>18.6</v>
      </c>
      <c r="AZ30" s="29" t="s">
        <v>1845</v>
      </c>
      <c r="BA30" s="29">
        <v>6.356</v>
      </c>
      <c r="BB30" s="1" t="s">
        <v>430</v>
      </c>
    </row>
    <row r="31" spans="2:54">
      <c r="B31"/>
      <c r="C31"/>
      <c r="E31"/>
      <c r="F31"/>
      <c r="H31"/>
      <c r="I31"/>
      <c r="K31" t="s">
        <v>1811</v>
      </c>
      <c r="L31">
        <v>67</v>
      </c>
      <c r="M31">
        <v>0</v>
      </c>
      <c r="N31">
        <v>0</v>
      </c>
      <c r="O31">
        <v>0</v>
      </c>
      <c r="P31">
        <v>0</v>
      </c>
      <c r="Q31" s="31">
        <v>0</v>
      </c>
      <c r="R31" s="31">
        <v>0</v>
      </c>
      <c r="S31" s="1" t="str">
        <f>VLOOKUP(K:K,'5店'!$B:$B,1,0)</f>
        <v>Y5092-1</v>
      </c>
      <c r="T31" t="s">
        <v>1811</v>
      </c>
      <c r="U31">
        <v>67</v>
      </c>
      <c r="V31">
        <v>0</v>
      </c>
      <c r="W31">
        <v>0</v>
      </c>
      <c r="X31">
        <v>0</v>
      </c>
      <c r="Y31">
        <v>0</v>
      </c>
      <c r="Z31" s="31">
        <v>0</v>
      </c>
      <c r="AA31" s="31">
        <v>0</v>
      </c>
      <c r="AB31" s="1" t="str">
        <f>VLOOKUP(T:T,'5店'!$B:$B,1,0)</f>
        <v>Y5092-1</v>
      </c>
      <c r="AC31" t="s">
        <v>1811</v>
      </c>
      <c r="AD31">
        <v>67</v>
      </c>
      <c r="AE31">
        <v>0</v>
      </c>
      <c r="AF31">
        <v>0</v>
      </c>
      <c r="AG31">
        <v>0</v>
      </c>
      <c r="AH31">
        <v>0</v>
      </c>
      <c r="AI31" s="31">
        <v>0</v>
      </c>
      <c r="AJ31" s="31">
        <v>0</v>
      </c>
      <c r="AK31" s="1" t="str">
        <f>VLOOKUP(AC:AC,'5店'!$B:$B,1,0)</f>
        <v>Y5092-1</v>
      </c>
      <c r="AN31" s="1">
        <f t="shared" si="1"/>
        <v>0</v>
      </c>
      <c r="AR31" s="1">
        <f>AQ31*$AS$1</f>
        <v>0</v>
      </c>
      <c r="AT31" s="45" t="s">
        <v>1721</v>
      </c>
      <c r="AU31" s="44">
        <v>12</v>
      </c>
      <c r="AV31" s="35"/>
      <c r="AW31" s="43" t="s">
        <v>1846</v>
      </c>
      <c r="AX31" s="44">
        <v>18.6</v>
      </c>
      <c r="AZ31" s="29" t="s">
        <v>1847</v>
      </c>
      <c r="BA31" s="29">
        <v>6.378</v>
      </c>
      <c r="BB31" s="1" t="s">
        <v>430</v>
      </c>
    </row>
    <row r="32" spans="2:54">
      <c r="B32"/>
      <c r="C32"/>
      <c r="E32"/>
      <c r="F32"/>
      <c r="H32"/>
      <c r="I32"/>
      <c r="K32" t="s">
        <v>439</v>
      </c>
      <c r="L32">
        <v>67137</v>
      </c>
      <c r="M32">
        <v>217</v>
      </c>
      <c r="N32">
        <v>98.86</v>
      </c>
      <c r="O32">
        <v>157.55</v>
      </c>
      <c r="P32">
        <v>10</v>
      </c>
      <c r="Q32" s="31">
        <v>0.627483338622659</v>
      </c>
      <c r="R32" s="31">
        <v>0.0460829493087558</v>
      </c>
      <c r="T32" t="s">
        <v>439</v>
      </c>
      <c r="U32">
        <v>139497</v>
      </c>
      <c r="V32">
        <v>496</v>
      </c>
      <c r="W32">
        <v>214.24</v>
      </c>
      <c r="X32">
        <v>379.52</v>
      </c>
      <c r="Y32">
        <v>25</v>
      </c>
      <c r="Z32" s="31">
        <v>0.564502529510961</v>
      </c>
      <c r="AA32" s="31">
        <v>0.0504032258064516</v>
      </c>
      <c r="AC32" t="s">
        <v>439</v>
      </c>
      <c r="AD32">
        <v>235028</v>
      </c>
      <c r="AE32">
        <v>917</v>
      </c>
      <c r="AF32">
        <v>341.93</v>
      </c>
      <c r="AG32">
        <v>772.59</v>
      </c>
      <c r="AH32">
        <v>51</v>
      </c>
      <c r="AI32" s="31">
        <v>0.442576269431393</v>
      </c>
      <c r="AJ32" s="31">
        <v>0.0556161395856052</v>
      </c>
      <c r="AK32" s="1"/>
      <c r="AN32" s="1">
        <f t="shared" si="1"/>
        <v>0</v>
      </c>
      <c r="AR32" s="1">
        <f>AQ32*$AS$1</f>
        <v>0</v>
      </c>
      <c r="AT32" s="45" t="s">
        <v>1724</v>
      </c>
      <c r="AU32" s="44">
        <v>84</v>
      </c>
      <c r="AV32" s="35"/>
      <c r="AW32" s="43" t="s">
        <v>1709</v>
      </c>
      <c r="AX32" s="44">
        <v>27.9</v>
      </c>
      <c r="AZ32" s="29" t="s">
        <v>1848</v>
      </c>
      <c r="BA32" s="29">
        <v>6.473</v>
      </c>
      <c r="BB32" s="1" t="s">
        <v>430</v>
      </c>
    </row>
    <row r="33" spans="2:54">
      <c r="B33"/>
      <c r="C33"/>
      <c r="E33"/>
      <c r="F33"/>
      <c r="H33"/>
      <c r="I33"/>
      <c r="K33"/>
      <c r="L33"/>
      <c r="M33"/>
      <c r="N33"/>
      <c r="O33"/>
      <c r="P33"/>
      <c r="Q33"/>
      <c r="R33"/>
      <c r="T33"/>
      <c r="U33"/>
      <c r="V33"/>
      <c r="W33"/>
      <c r="X33"/>
      <c r="Y33"/>
      <c r="Z33"/>
      <c r="AA33"/>
      <c r="AC33"/>
      <c r="AD33"/>
      <c r="AE33"/>
      <c r="AF33"/>
      <c r="AG33"/>
      <c r="AH33"/>
      <c r="AI33"/>
      <c r="AJ33"/>
      <c r="AK33" s="1"/>
      <c r="AN33" s="1">
        <f t="shared" si="1"/>
        <v>0</v>
      </c>
      <c r="AR33" s="1">
        <f>AQ33*$AS$1</f>
        <v>0</v>
      </c>
      <c r="AT33" s="45" t="s">
        <v>1727</v>
      </c>
      <c r="AU33" s="44">
        <v>36</v>
      </c>
      <c r="AV33" s="35"/>
      <c r="AW33" s="43" t="s">
        <v>1712</v>
      </c>
      <c r="AX33" s="44">
        <v>18.6</v>
      </c>
      <c r="AZ33" s="29" t="s">
        <v>1833</v>
      </c>
      <c r="BA33" s="29">
        <v>9.056</v>
      </c>
      <c r="BB33" s="1" t="s">
        <v>430</v>
      </c>
    </row>
    <row r="34" spans="2:54">
      <c r="B34"/>
      <c r="C34"/>
      <c r="E34"/>
      <c r="F34"/>
      <c r="H34"/>
      <c r="I34"/>
      <c r="K34"/>
      <c r="L34"/>
      <c r="M34"/>
      <c r="N34"/>
      <c r="O34"/>
      <c r="P34"/>
      <c r="Q34"/>
      <c r="R34"/>
      <c r="T34"/>
      <c r="U34"/>
      <c r="V34"/>
      <c r="W34"/>
      <c r="X34"/>
      <c r="Y34"/>
      <c r="Z34"/>
      <c r="AA34"/>
      <c r="AC34"/>
      <c r="AD34"/>
      <c r="AE34"/>
      <c r="AF34"/>
      <c r="AG34"/>
      <c r="AH34"/>
      <c r="AI34"/>
      <c r="AJ34"/>
      <c r="AK34" s="1"/>
      <c r="AN34" s="1">
        <f t="shared" ref="AN34:AN65" si="2">AM34*$AS$1</f>
        <v>0</v>
      </c>
      <c r="AR34" s="1">
        <f>AQ34*$AS$1</f>
        <v>0</v>
      </c>
      <c r="AT34" s="45" t="s">
        <v>1729</v>
      </c>
      <c r="AU34" s="44">
        <v>48</v>
      </c>
      <c r="AV34" s="35"/>
      <c r="AW34" s="43" t="s">
        <v>1714</v>
      </c>
      <c r="AX34" s="44">
        <v>41.1</v>
      </c>
      <c r="AZ34" s="29" t="s">
        <v>1679</v>
      </c>
      <c r="BA34" s="29">
        <v>7.015</v>
      </c>
      <c r="BB34" s="1" t="s">
        <v>430</v>
      </c>
    </row>
    <row r="35" spans="2:54">
      <c r="B35"/>
      <c r="C35"/>
      <c r="E35"/>
      <c r="F35"/>
      <c r="H35"/>
      <c r="I35"/>
      <c r="K35"/>
      <c r="L35"/>
      <c r="M35"/>
      <c r="N35"/>
      <c r="O35"/>
      <c r="P35"/>
      <c r="Q35"/>
      <c r="R35"/>
      <c r="T35"/>
      <c r="U35"/>
      <c r="V35"/>
      <c r="W35"/>
      <c r="X35"/>
      <c r="Y35"/>
      <c r="Z35"/>
      <c r="AA35"/>
      <c r="AC35"/>
      <c r="AD35"/>
      <c r="AE35"/>
      <c r="AF35"/>
      <c r="AG35"/>
      <c r="AH35"/>
      <c r="AI35"/>
      <c r="AJ35"/>
      <c r="AK35" s="1"/>
      <c r="AN35" s="1">
        <f t="shared" si="2"/>
        <v>0</v>
      </c>
      <c r="AR35" s="1">
        <f>AQ35*$AS$1</f>
        <v>0</v>
      </c>
      <c r="AT35" s="45" t="s">
        <v>1730</v>
      </c>
      <c r="AU35" s="44">
        <v>315</v>
      </c>
      <c r="AV35" s="35"/>
      <c r="AW35" s="43" t="s">
        <v>1716</v>
      </c>
      <c r="AX35" s="44">
        <v>13.7</v>
      </c>
      <c r="AZ35" s="29" t="s">
        <v>1681</v>
      </c>
      <c r="BA35" s="29">
        <v>9.444</v>
      </c>
      <c r="BB35" s="1" t="s">
        <v>430</v>
      </c>
    </row>
    <row r="36" spans="2:54">
      <c r="B36"/>
      <c r="C36"/>
      <c r="E36"/>
      <c r="F36"/>
      <c r="H36"/>
      <c r="I36"/>
      <c r="K36"/>
      <c r="L36"/>
      <c r="M36"/>
      <c r="N36"/>
      <c r="O36"/>
      <c r="P36"/>
      <c r="Q36"/>
      <c r="R36"/>
      <c r="T36"/>
      <c r="U36"/>
      <c r="V36"/>
      <c r="W36"/>
      <c r="X36"/>
      <c r="Y36"/>
      <c r="Z36"/>
      <c r="AA36"/>
      <c r="AC36"/>
      <c r="AD36"/>
      <c r="AE36"/>
      <c r="AF36"/>
      <c r="AG36"/>
      <c r="AH36"/>
      <c r="AI36"/>
      <c r="AJ36"/>
      <c r="AK36" s="1"/>
      <c r="AN36" s="1">
        <f t="shared" si="2"/>
        <v>0</v>
      </c>
      <c r="AR36" s="1">
        <f>AQ36*$AS$1</f>
        <v>0</v>
      </c>
      <c r="AT36" s="45" t="s">
        <v>1731</v>
      </c>
      <c r="AU36" s="44">
        <v>280</v>
      </c>
      <c r="AV36" s="35"/>
      <c r="AW36" s="43" t="s">
        <v>1849</v>
      </c>
      <c r="AX36" s="44">
        <v>13.7</v>
      </c>
      <c r="AZ36" s="29" t="s">
        <v>1850</v>
      </c>
      <c r="BA36" s="29">
        <v>9.617</v>
      </c>
      <c r="BB36" s="1" t="s">
        <v>430</v>
      </c>
    </row>
    <row r="37" spans="2:54">
      <c r="B37"/>
      <c r="C37"/>
      <c r="E37"/>
      <c r="F37"/>
      <c r="H37"/>
      <c r="I37"/>
      <c r="K37"/>
      <c r="L37"/>
      <c r="M37"/>
      <c r="N37"/>
      <c r="O37"/>
      <c r="P37"/>
      <c r="Q37"/>
      <c r="R37"/>
      <c r="T37"/>
      <c r="U37"/>
      <c r="V37"/>
      <c r="W37"/>
      <c r="X37"/>
      <c r="Y37"/>
      <c r="Z37"/>
      <c r="AA37"/>
      <c r="AC37"/>
      <c r="AD37"/>
      <c r="AE37"/>
      <c r="AF37"/>
      <c r="AG37"/>
      <c r="AH37"/>
      <c r="AI37"/>
      <c r="AJ37"/>
      <c r="AK37" s="1"/>
      <c r="AN37" s="1">
        <f t="shared" si="2"/>
        <v>0</v>
      </c>
      <c r="AR37" s="1">
        <f>AQ37*$AS$1</f>
        <v>0</v>
      </c>
      <c r="AT37" s="45" t="s">
        <v>1732</v>
      </c>
      <c r="AU37" s="44">
        <v>60</v>
      </c>
      <c r="AV37" s="35"/>
      <c r="AW37" s="43" t="s">
        <v>1718</v>
      </c>
      <c r="AX37" s="44">
        <v>490</v>
      </c>
      <c r="AZ37" s="29" t="s">
        <v>1683</v>
      </c>
      <c r="BA37" s="29">
        <v>6.508</v>
      </c>
      <c r="BB37" s="1" t="s">
        <v>430</v>
      </c>
    </row>
    <row r="38" spans="2:54">
      <c r="B38"/>
      <c r="C38"/>
      <c r="E38"/>
      <c r="F38"/>
      <c r="H38"/>
      <c r="I38"/>
      <c r="K38"/>
      <c r="L38"/>
      <c r="M38"/>
      <c r="N38"/>
      <c r="O38"/>
      <c r="P38"/>
      <c r="Q38"/>
      <c r="R38"/>
      <c r="T38"/>
      <c r="U38"/>
      <c r="V38"/>
      <c r="W38"/>
      <c r="X38"/>
      <c r="Y38"/>
      <c r="Z38"/>
      <c r="AA38"/>
      <c r="AC38"/>
      <c r="AD38"/>
      <c r="AE38"/>
      <c r="AF38"/>
      <c r="AG38"/>
      <c r="AH38"/>
      <c r="AI38"/>
      <c r="AJ38"/>
      <c r="AK38" s="1"/>
      <c r="AN38" s="1">
        <f t="shared" si="2"/>
        <v>0</v>
      </c>
      <c r="AR38" s="1">
        <f>AQ38*$AS$1</f>
        <v>0</v>
      </c>
      <c r="AT38" s="45" t="s">
        <v>1733</v>
      </c>
      <c r="AU38" s="44">
        <v>838.701</v>
      </c>
      <c r="AV38" s="35"/>
      <c r="AW38" s="43" t="s">
        <v>1721</v>
      </c>
      <c r="AX38" s="44">
        <v>36</v>
      </c>
      <c r="AZ38" s="29" t="s">
        <v>1685</v>
      </c>
      <c r="BA38" s="29">
        <v>6.275</v>
      </c>
      <c r="BB38" s="1" t="s">
        <v>430</v>
      </c>
    </row>
    <row r="39" spans="2:54">
      <c r="B39"/>
      <c r="C39"/>
      <c r="E39"/>
      <c r="F39"/>
      <c r="H39"/>
      <c r="I39"/>
      <c r="K39"/>
      <c r="L39"/>
      <c r="M39"/>
      <c r="N39"/>
      <c r="O39"/>
      <c r="P39"/>
      <c r="Q39"/>
      <c r="R39"/>
      <c r="T39"/>
      <c r="U39"/>
      <c r="V39"/>
      <c r="W39"/>
      <c r="X39"/>
      <c r="Y39"/>
      <c r="Z39"/>
      <c r="AA39"/>
      <c r="AC39"/>
      <c r="AD39"/>
      <c r="AE39"/>
      <c r="AF39"/>
      <c r="AG39"/>
      <c r="AH39"/>
      <c r="AI39"/>
      <c r="AJ39"/>
      <c r="AK39" s="1"/>
      <c r="AN39" s="1">
        <f t="shared" si="2"/>
        <v>0</v>
      </c>
      <c r="AR39" s="1">
        <f>AQ39*$AS$1</f>
        <v>0</v>
      </c>
      <c r="AT39" s="45" t="s">
        <v>1736</v>
      </c>
      <c r="AU39" s="44">
        <v>1218.394</v>
      </c>
      <c r="AV39" s="35"/>
      <c r="AW39" s="43" t="s">
        <v>1724</v>
      </c>
      <c r="AX39" s="44">
        <v>228</v>
      </c>
      <c r="AZ39" s="29" t="s">
        <v>1687</v>
      </c>
      <c r="BA39" s="29">
        <v>6.617</v>
      </c>
      <c r="BB39" s="1" t="s">
        <v>430</v>
      </c>
    </row>
    <row r="40" spans="2:54">
      <c r="B40"/>
      <c r="C40"/>
      <c r="E40"/>
      <c r="F40"/>
      <c r="H40"/>
      <c r="I40"/>
      <c r="K40"/>
      <c r="L40"/>
      <c r="M40"/>
      <c r="N40"/>
      <c r="O40"/>
      <c r="P40"/>
      <c r="Q40"/>
      <c r="R40"/>
      <c r="T40"/>
      <c r="U40"/>
      <c r="V40"/>
      <c r="W40"/>
      <c r="X40"/>
      <c r="Y40"/>
      <c r="Z40"/>
      <c r="AA40"/>
      <c r="AC40"/>
      <c r="AD40"/>
      <c r="AE40"/>
      <c r="AF40"/>
      <c r="AG40"/>
      <c r="AH40"/>
      <c r="AI40"/>
      <c r="AJ40"/>
      <c r="AK40" s="1"/>
      <c r="AN40" s="1">
        <f t="shared" si="2"/>
        <v>0</v>
      </c>
      <c r="AR40" s="1">
        <f>AQ40*$AS$1</f>
        <v>0</v>
      </c>
      <c r="AT40" s="45" t="s">
        <v>1739</v>
      </c>
      <c r="AU40" s="44">
        <v>1152</v>
      </c>
      <c r="AV40" s="35"/>
      <c r="AW40" s="43" t="s">
        <v>1851</v>
      </c>
      <c r="AX40" s="44">
        <v>528</v>
      </c>
      <c r="AZ40" s="29" t="s">
        <v>1852</v>
      </c>
      <c r="BA40" s="29">
        <v>7.388</v>
      </c>
      <c r="BB40" s="1" t="s">
        <v>430</v>
      </c>
    </row>
    <row r="41" spans="2:54">
      <c r="B41"/>
      <c r="C41"/>
      <c r="E41"/>
      <c r="F41"/>
      <c r="H41"/>
      <c r="I41"/>
      <c r="K41"/>
      <c r="L41"/>
      <c r="M41"/>
      <c r="N41"/>
      <c r="O41"/>
      <c r="P41"/>
      <c r="Q41"/>
      <c r="R41"/>
      <c r="T41"/>
      <c r="U41"/>
      <c r="V41"/>
      <c r="W41"/>
      <c r="X41"/>
      <c r="Y41"/>
      <c r="Z41"/>
      <c r="AA41"/>
      <c r="AC41"/>
      <c r="AD41"/>
      <c r="AE41"/>
      <c r="AF41"/>
      <c r="AG41"/>
      <c r="AH41"/>
      <c r="AI41"/>
      <c r="AJ41"/>
      <c r="AK41" s="1"/>
      <c r="AN41" s="1">
        <f t="shared" si="2"/>
        <v>0</v>
      </c>
      <c r="AR41" s="1">
        <f>AQ41*$AS$1</f>
        <v>0</v>
      </c>
      <c r="AT41" s="45" t="s">
        <v>1741</v>
      </c>
      <c r="AU41" s="44">
        <v>34.063</v>
      </c>
      <c r="AV41" s="35"/>
      <c r="AW41" s="43" t="s">
        <v>1727</v>
      </c>
      <c r="AX41" s="44">
        <v>516</v>
      </c>
      <c r="AZ41" s="29" t="s">
        <v>1853</v>
      </c>
      <c r="BA41" s="29">
        <v>8.933</v>
      </c>
      <c r="BB41" s="1" t="s">
        <v>430</v>
      </c>
    </row>
    <row r="42" spans="2:54">
      <c r="B42"/>
      <c r="C42"/>
      <c r="E42"/>
      <c r="F42"/>
      <c r="H42"/>
      <c r="I42"/>
      <c r="K42"/>
      <c r="L42"/>
      <c r="M42"/>
      <c r="N42"/>
      <c r="O42"/>
      <c r="P42"/>
      <c r="Q42"/>
      <c r="R42"/>
      <c r="T42"/>
      <c r="U42"/>
      <c r="V42"/>
      <c r="W42"/>
      <c r="X42"/>
      <c r="Y42"/>
      <c r="Z42"/>
      <c r="AA42"/>
      <c r="AC42"/>
      <c r="AD42"/>
      <c r="AE42"/>
      <c r="AF42"/>
      <c r="AG42"/>
      <c r="AH42"/>
      <c r="AI42"/>
      <c r="AJ42"/>
      <c r="AK42" s="1"/>
      <c r="AN42" s="1">
        <f t="shared" si="2"/>
        <v>0</v>
      </c>
      <c r="AR42" s="1">
        <f>AQ42*$AS$1</f>
        <v>0</v>
      </c>
      <c r="AT42" s="45" t="s">
        <v>1744</v>
      </c>
      <c r="AU42" s="44">
        <v>545.008</v>
      </c>
      <c r="AV42" s="35"/>
      <c r="AW42" s="43" t="s">
        <v>1729</v>
      </c>
      <c r="AX42" s="44">
        <v>84</v>
      </c>
      <c r="AZ42" s="29" t="s">
        <v>1854</v>
      </c>
      <c r="BA42" s="29">
        <v>7.801</v>
      </c>
      <c r="BB42" s="1" t="s">
        <v>430</v>
      </c>
    </row>
    <row r="43" spans="2:54">
      <c r="B43"/>
      <c r="C43"/>
      <c r="E43"/>
      <c r="F43"/>
      <c r="H43"/>
      <c r="I43"/>
      <c r="K43"/>
      <c r="L43"/>
      <c r="M43"/>
      <c r="N43"/>
      <c r="O43"/>
      <c r="P43"/>
      <c r="Q43"/>
      <c r="R43"/>
      <c r="T43"/>
      <c r="U43"/>
      <c r="V43"/>
      <c r="W43"/>
      <c r="X43"/>
      <c r="Y43"/>
      <c r="Z43"/>
      <c r="AA43"/>
      <c r="AC43"/>
      <c r="AD43"/>
      <c r="AE43"/>
      <c r="AF43"/>
      <c r="AG43"/>
      <c r="AH43"/>
      <c r="AI43"/>
      <c r="AJ43"/>
      <c r="AK43" s="1"/>
      <c r="AN43" s="1">
        <f t="shared" si="2"/>
        <v>0</v>
      </c>
      <c r="AR43" s="1">
        <f>AQ43*$AS$1</f>
        <v>0</v>
      </c>
      <c r="AT43" s="45" t="s">
        <v>1746</v>
      </c>
      <c r="AU43" s="44">
        <v>613.134</v>
      </c>
      <c r="AV43" s="35"/>
      <c r="AW43" s="43" t="s">
        <v>1730</v>
      </c>
      <c r="AX43" s="44">
        <v>385</v>
      </c>
      <c r="AZ43" s="29" t="s">
        <v>1855</v>
      </c>
      <c r="BA43" s="29">
        <v>7.99</v>
      </c>
      <c r="BB43" s="1" t="s">
        <v>430</v>
      </c>
    </row>
    <row r="44" spans="2:54">
      <c r="B44"/>
      <c r="C44"/>
      <c r="E44"/>
      <c r="F44"/>
      <c r="H44"/>
      <c r="I44"/>
      <c r="K44"/>
      <c r="L44"/>
      <c r="M44"/>
      <c r="N44"/>
      <c r="O44"/>
      <c r="P44"/>
      <c r="Q44"/>
      <c r="R44"/>
      <c r="T44"/>
      <c r="U44"/>
      <c r="V44"/>
      <c r="W44"/>
      <c r="X44"/>
      <c r="Y44"/>
      <c r="Z44"/>
      <c r="AA44"/>
      <c r="AC44"/>
      <c r="AD44"/>
      <c r="AE44"/>
      <c r="AF44"/>
      <c r="AG44"/>
      <c r="AH44"/>
      <c r="AI44"/>
      <c r="AJ44"/>
      <c r="AK44" s="31"/>
      <c r="AN44" s="1">
        <f t="shared" si="2"/>
        <v>0</v>
      </c>
      <c r="AR44" s="1">
        <f>AQ44*$AS$1</f>
        <v>0</v>
      </c>
      <c r="AT44" s="45" t="s">
        <v>1749</v>
      </c>
      <c r="AU44" s="44">
        <v>900.537</v>
      </c>
      <c r="AV44" s="35"/>
      <c r="AW44" s="43" t="s">
        <v>1731</v>
      </c>
      <c r="AX44" s="44">
        <v>280</v>
      </c>
      <c r="AZ44" s="29" t="s">
        <v>1856</v>
      </c>
      <c r="BA44" s="29">
        <v>7.81</v>
      </c>
      <c r="BB44" s="1" t="s">
        <v>430</v>
      </c>
    </row>
    <row r="45" spans="2:54">
      <c r="B45"/>
      <c r="C45"/>
      <c r="E45"/>
      <c r="F45"/>
      <c r="H45"/>
      <c r="I45"/>
      <c r="K45"/>
      <c r="L45"/>
      <c r="M45"/>
      <c r="N45"/>
      <c r="O45"/>
      <c r="P45"/>
      <c r="Q45"/>
      <c r="R45"/>
      <c r="T45"/>
      <c r="U45"/>
      <c r="V45"/>
      <c r="W45"/>
      <c r="X45"/>
      <c r="Y45"/>
      <c r="Z45"/>
      <c r="AA45"/>
      <c r="AC45"/>
      <c r="AD45"/>
      <c r="AE45"/>
      <c r="AF45"/>
      <c r="AG45"/>
      <c r="AH45"/>
      <c r="AI45"/>
      <c r="AJ45"/>
      <c r="AK45" s="31"/>
      <c r="AN45" s="1">
        <f t="shared" si="2"/>
        <v>0</v>
      </c>
      <c r="AR45" s="1">
        <f>AQ45*$AS$1</f>
        <v>0</v>
      </c>
      <c r="AT45" s="45" t="s">
        <v>1857</v>
      </c>
      <c r="AU45" s="44">
        <v>12.031</v>
      </c>
      <c r="AV45" s="35"/>
      <c r="AW45" s="43" t="s">
        <v>1732</v>
      </c>
      <c r="AX45" s="44">
        <v>84</v>
      </c>
      <c r="AZ45" s="29" t="s">
        <v>1858</v>
      </c>
      <c r="BA45" s="29">
        <v>6.437</v>
      </c>
      <c r="BB45" s="1" t="s">
        <v>430</v>
      </c>
    </row>
    <row r="46" spans="2:54">
      <c r="B46"/>
      <c r="C46"/>
      <c r="E46"/>
      <c r="F46"/>
      <c r="H46"/>
      <c r="I46"/>
      <c r="K46"/>
      <c r="L46"/>
      <c r="M46"/>
      <c r="N46"/>
      <c r="O46"/>
      <c r="P46"/>
      <c r="Q46"/>
      <c r="R46"/>
      <c r="T46"/>
      <c r="U46"/>
      <c r="V46"/>
      <c r="W46"/>
      <c r="X46"/>
      <c r="Y46"/>
      <c r="Z46"/>
      <c r="AA46"/>
      <c r="AC46"/>
      <c r="AD46"/>
      <c r="AE46"/>
      <c r="AF46"/>
      <c r="AG46"/>
      <c r="AH46"/>
      <c r="AI46"/>
      <c r="AJ46"/>
      <c r="AK46" s="31"/>
      <c r="AN46" s="1">
        <f t="shared" si="2"/>
        <v>0</v>
      </c>
      <c r="AR46" s="1">
        <f>AQ46*$AS$1</f>
        <v>0</v>
      </c>
      <c r="AT46" s="45" t="s">
        <v>1859</v>
      </c>
      <c r="AU46" s="44">
        <v>0</v>
      </c>
      <c r="AV46" s="35"/>
      <c r="AW46" s="43" t="s">
        <v>1733</v>
      </c>
      <c r="AX46" s="44">
        <v>807.638</v>
      </c>
      <c r="AZ46" s="29" t="s">
        <v>1689</v>
      </c>
      <c r="BA46" s="29">
        <v>8.061</v>
      </c>
      <c r="BB46" s="1" t="s">
        <v>430</v>
      </c>
    </row>
    <row r="47" spans="2:54">
      <c r="B47"/>
      <c r="C47"/>
      <c r="E47"/>
      <c r="F47"/>
      <c r="H47"/>
      <c r="I47"/>
      <c r="K47"/>
      <c r="L47"/>
      <c r="M47"/>
      <c r="N47"/>
      <c r="O47"/>
      <c r="P47"/>
      <c r="Q47"/>
      <c r="R47"/>
      <c r="T47"/>
      <c r="U47"/>
      <c r="V47"/>
      <c r="W47"/>
      <c r="X47"/>
      <c r="Y47"/>
      <c r="Z47"/>
      <c r="AA47"/>
      <c r="AC47"/>
      <c r="AD47"/>
      <c r="AE47"/>
      <c r="AF47"/>
      <c r="AG47"/>
      <c r="AH47"/>
      <c r="AI47"/>
      <c r="AJ47"/>
      <c r="AK47" s="31"/>
      <c r="AN47" s="1">
        <f t="shared" si="2"/>
        <v>0</v>
      </c>
      <c r="AR47" s="1">
        <f>AQ47*$AS$1</f>
        <v>0</v>
      </c>
      <c r="AT47" s="45" t="s">
        <v>1751</v>
      </c>
      <c r="AU47" s="44">
        <v>704</v>
      </c>
      <c r="AV47" s="35"/>
      <c r="AW47" s="43" t="s">
        <v>1736</v>
      </c>
      <c r="AX47" s="44">
        <v>1218.394</v>
      </c>
      <c r="AZ47" s="29" t="s">
        <v>1692</v>
      </c>
      <c r="BA47" s="29">
        <v>4.205</v>
      </c>
      <c r="BB47" s="1" t="s">
        <v>430</v>
      </c>
    </row>
    <row r="48" spans="2:54">
      <c r="B48"/>
      <c r="C48"/>
      <c r="E48"/>
      <c r="F48"/>
      <c r="H48"/>
      <c r="I48"/>
      <c r="K48"/>
      <c r="L48"/>
      <c r="M48"/>
      <c r="N48"/>
      <c r="O48"/>
      <c r="P48"/>
      <c r="Q48"/>
      <c r="R48"/>
      <c r="T48"/>
      <c r="U48"/>
      <c r="V48"/>
      <c r="W48"/>
      <c r="X48"/>
      <c r="Y48"/>
      <c r="Z48"/>
      <c r="AA48"/>
      <c r="AC48"/>
      <c r="AD48"/>
      <c r="AE48"/>
      <c r="AF48"/>
      <c r="AG48"/>
      <c r="AH48"/>
      <c r="AI48"/>
      <c r="AJ48"/>
      <c r="AK48" s="31"/>
      <c r="AN48" s="1">
        <f t="shared" si="2"/>
        <v>0</v>
      </c>
      <c r="AR48" s="1">
        <f>AQ48*$AS$1</f>
        <v>0</v>
      </c>
      <c r="AT48" s="45" t="s">
        <v>1754</v>
      </c>
      <c r="AU48" s="44">
        <v>352</v>
      </c>
      <c r="AV48" s="35"/>
      <c r="AW48" s="43" t="s">
        <v>1739</v>
      </c>
      <c r="AX48" s="44">
        <v>1152</v>
      </c>
      <c r="AZ48" s="29" t="s">
        <v>1695</v>
      </c>
      <c r="BA48" s="29">
        <v>4.288</v>
      </c>
      <c r="BB48" s="1" t="s">
        <v>430</v>
      </c>
    </row>
    <row r="49" spans="2:54">
      <c r="B49"/>
      <c r="C49"/>
      <c r="E49"/>
      <c r="F49"/>
      <c r="H49"/>
      <c r="I49"/>
      <c r="K49"/>
      <c r="L49"/>
      <c r="M49"/>
      <c r="N49"/>
      <c r="O49"/>
      <c r="P49"/>
      <c r="Q49"/>
      <c r="R49"/>
      <c r="T49"/>
      <c r="U49"/>
      <c r="V49"/>
      <c r="W49"/>
      <c r="X49"/>
      <c r="Y49"/>
      <c r="Z49"/>
      <c r="AA49"/>
      <c r="AC49"/>
      <c r="AD49"/>
      <c r="AE49"/>
      <c r="AF49"/>
      <c r="AG49"/>
      <c r="AH49"/>
      <c r="AI49"/>
      <c r="AJ49"/>
      <c r="AK49" s="31"/>
      <c r="AN49" s="1">
        <f t="shared" si="2"/>
        <v>0</v>
      </c>
      <c r="AR49" s="1">
        <f>AQ49*$AS$1</f>
        <v>0</v>
      </c>
      <c r="AT49" s="45" t="s">
        <v>1757</v>
      </c>
      <c r="AU49" s="44">
        <v>1220</v>
      </c>
      <c r="AV49" s="35"/>
      <c r="AW49" s="43" t="s">
        <v>1741</v>
      </c>
      <c r="AX49" s="44">
        <v>1430.646</v>
      </c>
      <c r="AZ49" s="29" t="s">
        <v>1860</v>
      </c>
      <c r="BA49" s="29">
        <v>4.821</v>
      </c>
      <c r="BB49" s="1" t="s">
        <v>430</v>
      </c>
    </row>
    <row r="50" spans="2:54">
      <c r="B50"/>
      <c r="C50"/>
      <c r="E50"/>
      <c r="F50"/>
      <c r="H50"/>
      <c r="I50"/>
      <c r="K50"/>
      <c r="L50"/>
      <c r="M50"/>
      <c r="N50"/>
      <c r="O50"/>
      <c r="P50"/>
      <c r="Q50"/>
      <c r="R50"/>
      <c r="T50"/>
      <c r="U50"/>
      <c r="V50"/>
      <c r="W50"/>
      <c r="X50"/>
      <c r="Y50"/>
      <c r="Z50"/>
      <c r="AA50"/>
      <c r="AC50"/>
      <c r="AD50"/>
      <c r="AE50"/>
      <c r="AF50"/>
      <c r="AG50"/>
      <c r="AH50"/>
      <c r="AI50"/>
      <c r="AJ50"/>
      <c r="AK50" s="31"/>
      <c r="AN50" s="1">
        <f t="shared" si="2"/>
        <v>0</v>
      </c>
      <c r="AR50" s="1">
        <f>AQ50*$AS$1</f>
        <v>0</v>
      </c>
      <c r="AT50" s="45" t="s">
        <v>1760</v>
      </c>
      <c r="AU50" s="44">
        <v>420</v>
      </c>
      <c r="AV50" s="35"/>
      <c r="AW50" s="43" t="s">
        <v>1744</v>
      </c>
      <c r="AX50" s="44">
        <v>545.008</v>
      </c>
      <c r="AZ50" s="29" t="s">
        <v>1861</v>
      </c>
      <c r="BA50" s="29">
        <v>5.067</v>
      </c>
      <c r="BB50" s="1" t="s">
        <v>430</v>
      </c>
    </row>
    <row r="51" spans="2:54">
      <c r="B51"/>
      <c r="C51"/>
      <c r="E51"/>
      <c r="F51"/>
      <c r="H51"/>
      <c r="I51"/>
      <c r="K51"/>
      <c r="L51"/>
      <c r="M51"/>
      <c r="N51"/>
      <c r="O51"/>
      <c r="P51"/>
      <c r="Q51"/>
      <c r="R51"/>
      <c r="T51"/>
      <c r="U51"/>
      <c r="V51"/>
      <c r="W51"/>
      <c r="X51"/>
      <c r="Y51"/>
      <c r="Z51"/>
      <c r="AA51"/>
      <c r="AC51"/>
      <c r="AD51"/>
      <c r="AE51"/>
      <c r="AF51"/>
      <c r="AG51"/>
      <c r="AH51"/>
      <c r="AI51"/>
      <c r="AJ51"/>
      <c r="AK51" s="31"/>
      <c r="AN51" s="1">
        <f t="shared" si="2"/>
        <v>0</v>
      </c>
      <c r="AR51" s="1">
        <f>AQ51*$AS$1</f>
        <v>0</v>
      </c>
      <c r="AT51" s="45" t="s">
        <v>1762</v>
      </c>
      <c r="AU51" s="44">
        <v>1080</v>
      </c>
      <c r="AV51" s="35"/>
      <c r="AW51" s="43" t="s">
        <v>1746</v>
      </c>
      <c r="AX51" s="44">
        <v>1226.268</v>
      </c>
      <c r="AZ51" s="29" t="s">
        <v>1862</v>
      </c>
      <c r="BA51" s="29">
        <v>5.879</v>
      </c>
      <c r="BB51" s="1" t="s">
        <v>430</v>
      </c>
    </row>
    <row r="52" spans="2:54">
      <c r="B52"/>
      <c r="C52"/>
      <c r="E52"/>
      <c r="F52"/>
      <c r="H52"/>
      <c r="I52"/>
      <c r="K52"/>
      <c r="L52"/>
      <c r="M52"/>
      <c r="N52"/>
      <c r="O52"/>
      <c r="P52"/>
      <c r="Q52"/>
      <c r="R52"/>
      <c r="T52"/>
      <c r="U52"/>
      <c r="V52"/>
      <c r="W52"/>
      <c r="X52"/>
      <c r="Y52"/>
      <c r="Z52"/>
      <c r="AA52"/>
      <c r="AC52"/>
      <c r="AD52"/>
      <c r="AE52"/>
      <c r="AF52"/>
      <c r="AG52"/>
      <c r="AH52"/>
      <c r="AI52"/>
      <c r="AJ52"/>
      <c r="AK52" s="31"/>
      <c r="AN52" s="1">
        <f t="shared" si="2"/>
        <v>0</v>
      </c>
      <c r="AR52" s="1">
        <f>AQ52*$AS$1</f>
        <v>0</v>
      </c>
      <c r="AT52" s="45" t="s">
        <v>1765</v>
      </c>
      <c r="AU52" s="44">
        <v>592</v>
      </c>
      <c r="AV52" s="35"/>
      <c r="AW52" s="43" t="s">
        <v>1749</v>
      </c>
      <c r="AX52" s="44">
        <v>900.537</v>
      </c>
      <c r="AZ52" s="29" t="s">
        <v>1863</v>
      </c>
      <c r="BA52" s="29">
        <v>1.664</v>
      </c>
      <c r="BB52" s="1" t="s">
        <v>430</v>
      </c>
    </row>
    <row r="53" spans="2:54">
      <c r="B53"/>
      <c r="C53"/>
      <c r="E53"/>
      <c r="F53"/>
      <c r="H53"/>
      <c r="I53"/>
      <c r="K53"/>
      <c r="L53"/>
      <c r="M53"/>
      <c r="N53"/>
      <c r="O53"/>
      <c r="P53"/>
      <c r="Q53"/>
      <c r="R53"/>
      <c r="T53"/>
      <c r="U53"/>
      <c r="V53"/>
      <c r="W53"/>
      <c r="X53"/>
      <c r="Y53"/>
      <c r="Z53"/>
      <c r="AA53"/>
      <c r="AC53"/>
      <c r="AD53"/>
      <c r="AE53"/>
      <c r="AF53"/>
      <c r="AG53"/>
      <c r="AH53"/>
      <c r="AI53"/>
      <c r="AJ53"/>
      <c r="AK53" s="31"/>
      <c r="AN53" s="1">
        <f t="shared" si="2"/>
        <v>0</v>
      </c>
      <c r="AR53" s="1">
        <f>AQ53*$AS$1</f>
        <v>0</v>
      </c>
      <c r="AT53" s="45" t="s">
        <v>1864</v>
      </c>
      <c r="AU53" s="44">
        <v>35</v>
      </c>
      <c r="AV53" s="35"/>
      <c r="AW53" s="43" t="s">
        <v>1857</v>
      </c>
      <c r="AX53" s="44">
        <v>24.062</v>
      </c>
      <c r="AZ53" s="153" t="s">
        <v>1846</v>
      </c>
      <c r="BA53" s="153">
        <v>1.664</v>
      </c>
      <c r="BB53" s="1" t="s">
        <v>430</v>
      </c>
    </row>
    <row r="54" spans="2:54">
      <c r="B54"/>
      <c r="C54"/>
      <c r="E54"/>
      <c r="F54"/>
      <c r="H54"/>
      <c r="I54"/>
      <c r="K54"/>
      <c r="L54"/>
      <c r="M54"/>
      <c r="N54"/>
      <c r="O54"/>
      <c r="P54"/>
      <c r="Q54"/>
      <c r="R54"/>
      <c r="T54"/>
      <c r="U54"/>
      <c r="V54"/>
      <c r="W54"/>
      <c r="X54"/>
      <c r="Y54"/>
      <c r="Z54"/>
      <c r="AA54"/>
      <c r="AC54"/>
      <c r="AD54"/>
      <c r="AE54"/>
      <c r="AF54"/>
      <c r="AG54"/>
      <c r="AH54"/>
      <c r="AI54"/>
      <c r="AJ54"/>
      <c r="AK54" s="31"/>
      <c r="AN54" s="1">
        <f t="shared" si="2"/>
        <v>0</v>
      </c>
      <c r="AR54" s="1">
        <f>AQ54*$AS$1</f>
        <v>0</v>
      </c>
      <c r="AT54" s="45" t="s">
        <v>1768</v>
      </c>
      <c r="AU54" s="44">
        <v>330</v>
      </c>
      <c r="AV54" s="35"/>
      <c r="AW54" s="43" t="s">
        <v>1859</v>
      </c>
      <c r="AX54" s="44">
        <v>12.031</v>
      </c>
      <c r="AZ54" s="153" t="s">
        <v>1709</v>
      </c>
      <c r="BA54" s="153">
        <v>1.664</v>
      </c>
      <c r="BB54" s="1" t="s">
        <v>430</v>
      </c>
    </row>
    <row r="55" spans="2:54">
      <c r="B55"/>
      <c r="C55"/>
      <c r="E55"/>
      <c r="F55"/>
      <c r="H55"/>
      <c r="I55"/>
      <c r="K55"/>
      <c r="L55"/>
      <c r="M55"/>
      <c r="N55"/>
      <c r="O55"/>
      <c r="P55"/>
      <c r="Q55"/>
      <c r="R55"/>
      <c r="T55"/>
      <c r="U55"/>
      <c r="V55"/>
      <c r="W55"/>
      <c r="X55"/>
      <c r="Y55"/>
      <c r="Z55"/>
      <c r="AA55"/>
      <c r="AC55"/>
      <c r="AD55"/>
      <c r="AE55"/>
      <c r="AF55"/>
      <c r="AG55"/>
      <c r="AH55"/>
      <c r="AI55"/>
      <c r="AJ55"/>
      <c r="AK55" s="31"/>
      <c r="AN55" s="1">
        <f t="shared" si="2"/>
        <v>0</v>
      </c>
      <c r="AR55" s="1">
        <f>AQ55*$AS$1</f>
        <v>0</v>
      </c>
      <c r="AT55" s="45" t="s">
        <v>1771</v>
      </c>
      <c r="AU55" s="44">
        <v>420</v>
      </c>
      <c r="AV55" s="35"/>
      <c r="AW55" s="43" t="s">
        <v>1751</v>
      </c>
      <c r="AX55" s="44">
        <v>336</v>
      </c>
      <c r="AZ55" s="29" t="s">
        <v>1865</v>
      </c>
      <c r="BA55" s="29">
        <v>1.664</v>
      </c>
      <c r="BB55" s="1" t="s">
        <v>430</v>
      </c>
    </row>
    <row r="56" spans="2:54">
      <c r="B56"/>
      <c r="C56"/>
      <c r="E56"/>
      <c r="F56"/>
      <c r="H56"/>
      <c r="I56"/>
      <c r="K56"/>
      <c r="L56"/>
      <c r="M56"/>
      <c r="N56"/>
      <c r="O56"/>
      <c r="P56"/>
      <c r="Q56"/>
      <c r="R56"/>
      <c r="T56"/>
      <c r="U56"/>
      <c r="V56"/>
      <c r="W56"/>
      <c r="X56"/>
      <c r="Y56"/>
      <c r="Z56"/>
      <c r="AA56"/>
      <c r="AC56"/>
      <c r="AD56"/>
      <c r="AE56"/>
      <c r="AF56"/>
      <c r="AG56"/>
      <c r="AH56"/>
      <c r="AI56"/>
      <c r="AJ56"/>
      <c r="AK56" s="31"/>
      <c r="AN56" s="1">
        <f t="shared" si="2"/>
        <v>0</v>
      </c>
      <c r="AR56" s="1">
        <f>AQ56*$AS$1</f>
        <v>0</v>
      </c>
      <c r="AT56" s="45" t="s">
        <v>1774</v>
      </c>
      <c r="AU56" s="44">
        <v>0</v>
      </c>
      <c r="AV56" s="35"/>
      <c r="AW56" s="43" t="s">
        <v>1754</v>
      </c>
      <c r="AX56" s="44">
        <v>416</v>
      </c>
      <c r="AZ56" s="29" t="s">
        <v>1712</v>
      </c>
      <c r="BA56" s="29">
        <v>1.664</v>
      </c>
      <c r="BB56" s="1" t="s">
        <v>430</v>
      </c>
    </row>
    <row r="57" spans="2:54">
      <c r="B57"/>
      <c r="C57"/>
      <c r="E57"/>
      <c r="F57"/>
      <c r="H57"/>
      <c r="I57"/>
      <c r="K57"/>
      <c r="L57"/>
      <c r="M57"/>
      <c r="N57"/>
      <c r="O57"/>
      <c r="P57"/>
      <c r="Q57"/>
      <c r="R57"/>
      <c r="T57"/>
      <c r="U57"/>
      <c r="V57"/>
      <c r="W57"/>
      <c r="X57"/>
      <c r="Y57"/>
      <c r="Z57"/>
      <c r="AA57"/>
      <c r="AC57"/>
      <c r="AD57"/>
      <c r="AE57"/>
      <c r="AF57"/>
      <c r="AG57"/>
      <c r="AH57"/>
      <c r="AI57"/>
      <c r="AJ57"/>
      <c r="AK57" s="31"/>
      <c r="AN57" s="1">
        <f t="shared" si="2"/>
        <v>0</v>
      </c>
      <c r="AR57" s="1">
        <f>AQ57*$AS$1</f>
        <v>0</v>
      </c>
      <c r="AT57" s="45" t="s">
        <v>1777</v>
      </c>
      <c r="AU57" s="44">
        <v>52</v>
      </c>
      <c r="AV57" s="35"/>
      <c r="AW57" s="43" t="s">
        <v>1757</v>
      </c>
      <c r="AX57" s="44">
        <v>1220</v>
      </c>
      <c r="AZ57" s="153" t="s">
        <v>1866</v>
      </c>
      <c r="BA57" s="153">
        <v>1.077</v>
      </c>
      <c r="BB57" s="1" t="s">
        <v>430</v>
      </c>
    </row>
    <row r="58" spans="2:54">
      <c r="B58"/>
      <c r="C58"/>
      <c r="E58"/>
      <c r="F58"/>
      <c r="H58"/>
      <c r="I58"/>
      <c r="K58"/>
      <c r="L58"/>
      <c r="M58"/>
      <c r="N58"/>
      <c r="O58"/>
      <c r="P58"/>
      <c r="Q58"/>
      <c r="R58"/>
      <c r="T58"/>
      <c r="U58"/>
      <c r="V58"/>
      <c r="W58"/>
      <c r="X58"/>
      <c r="Y58"/>
      <c r="Z58"/>
      <c r="AA58"/>
      <c r="AC58"/>
      <c r="AD58"/>
      <c r="AE58"/>
      <c r="AF58"/>
      <c r="AG58"/>
      <c r="AH58"/>
      <c r="AI58"/>
      <c r="AJ58"/>
      <c r="AK58" s="31"/>
      <c r="AN58" s="1">
        <f t="shared" si="2"/>
        <v>0</v>
      </c>
      <c r="AR58" s="1">
        <f>AQ58*$AS$1</f>
        <v>0</v>
      </c>
      <c r="AT58" s="45" t="s">
        <v>1780</v>
      </c>
      <c r="AU58" s="44">
        <v>1131.3</v>
      </c>
      <c r="AV58" s="35"/>
      <c r="AW58" s="43" t="s">
        <v>1760</v>
      </c>
      <c r="AX58" s="44">
        <v>420</v>
      </c>
      <c r="AZ58" s="29" t="s">
        <v>1867</v>
      </c>
      <c r="BA58" s="29">
        <v>1.664</v>
      </c>
      <c r="BB58" s="1" t="s">
        <v>430</v>
      </c>
    </row>
    <row r="59" spans="2:54">
      <c r="B59"/>
      <c r="C59"/>
      <c r="E59"/>
      <c r="F59"/>
      <c r="H59"/>
      <c r="I59"/>
      <c r="K59"/>
      <c r="L59"/>
      <c r="M59"/>
      <c r="N59"/>
      <c r="O59"/>
      <c r="P59"/>
      <c r="Q59"/>
      <c r="R59"/>
      <c r="T59"/>
      <c r="U59"/>
      <c r="V59"/>
      <c r="W59"/>
      <c r="X59"/>
      <c r="Y59"/>
      <c r="Z59"/>
      <c r="AA59"/>
      <c r="AC59"/>
      <c r="AD59"/>
      <c r="AE59"/>
      <c r="AF59"/>
      <c r="AG59"/>
      <c r="AH59"/>
      <c r="AI59"/>
      <c r="AJ59"/>
      <c r="AK59" s="31"/>
      <c r="AN59" s="1">
        <f t="shared" si="2"/>
        <v>0</v>
      </c>
      <c r="AR59" s="1">
        <f>AQ59*$AS$1</f>
        <v>0</v>
      </c>
      <c r="AT59" s="45" t="s">
        <v>1783</v>
      </c>
      <c r="AU59" s="44">
        <v>1274.436</v>
      </c>
      <c r="AV59" s="35"/>
      <c r="AW59" s="43" t="s">
        <v>1762</v>
      </c>
      <c r="AX59" s="44">
        <v>1200</v>
      </c>
      <c r="AZ59" s="29" t="s">
        <v>1868</v>
      </c>
      <c r="BA59" s="29">
        <v>1.664</v>
      </c>
      <c r="BB59" s="1" t="s">
        <v>430</v>
      </c>
    </row>
    <row r="60" spans="2:54">
      <c r="B60"/>
      <c r="C60"/>
      <c r="E60"/>
      <c r="F60"/>
      <c r="H60"/>
      <c r="I60"/>
      <c r="K60"/>
      <c r="L60"/>
      <c r="M60"/>
      <c r="N60"/>
      <c r="O60"/>
      <c r="P60"/>
      <c r="Q60"/>
      <c r="R60"/>
      <c r="T60"/>
      <c r="U60"/>
      <c r="V60"/>
      <c r="W60"/>
      <c r="X60"/>
      <c r="Y60"/>
      <c r="Z60"/>
      <c r="AA60"/>
      <c r="AC60"/>
      <c r="AD60"/>
      <c r="AE60"/>
      <c r="AF60"/>
      <c r="AG60"/>
      <c r="AH60"/>
      <c r="AI60"/>
      <c r="AJ60"/>
      <c r="AK60" s="31"/>
      <c r="AN60" s="1">
        <f t="shared" si="2"/>
        <v>0</v>
      </c>
      <c r="AR60" s="1">
        <f>AQ60*$AS$1</f>
        <v>0</v>
      </c>
      <c r="AT60" s="45" t="s">
        <v>1802</v>
      </c>
      <c r="AU60" s="44">
        <v>182</v>
      </c>
      <c r="AV60" s="35"/>
      <c r="AW60" s="43" t="s">
        <v>1765</v>
      </c>
      <c r="AX60" s="44">
        <v>0</v>
      </c>
      <c r="AZ60" s="29" t="s">
        <v>1697</v>
      </c>
      <c r="BA60" s="29">
        <v>1.664</v>
      </c>
      <c r="BB60" s="1" t="s">
        <v>430</v>
      </c>
    </row>
    <row r="61" spans="2:54">
      <c r="B61"/>
      <c r="C61"/>
      <c r="E61"/>
      <c r="F61"/>
      <c r="H61"/>
      <c r="I61"/>
      <c r="K61"/>
      <c r="L61"/>
      <c r="M61"/>
      <c r="N61"/>
      <c r="O61"/>
      <c r="P61"/>
      <c r="Q61"/>
      <c r="R61"/>
      <c r="T61"/>
      <c r="U61"/>
      <c r="V61"/>
      <c r="W61"/>
      <c r="X61"/>
      <c r="Y61"/>
      <c r="Z61"/>
      <c r="AA61"/>
      <c r="AC61"/>
      <c r="AD61"/>
      <c r="AE61"/>
      <c r="AF61"/>
      <c r="AG61"/>
      <c r="AH61"/>
      <c r="AI61"/>
      <c r="AJ61"/>
      <c r="AK61" s="31"/>
      <c r="AN61" s="1">
        <f t="shared" si="2"/>
        <v>0</v>
      </c>
      <c r="AR61" s="1">
        <f t="shared" ref="AR61:AR92" si="3">AQ61*$AS$1</f>
        <v>0</v>
      </c>
      <c r="AV61" s="35"/>
      <c r="AW61" s="43" t="s">
        <v>1864</v>
      </c>
      <c r="AX61" s="44">
        <v>105</v>
      </c>
      <c r="AZ61" s="29" t="s">
        <v>1700</v>
      </c>
      <c r="BA61" s="29">
        <v>1.664</v>
      </c>
      <c r="BB61" s="1" t="s">
        <v>430</v>
      </c>
    </row>
    <row r="62" spans="2:54">
      <c r="B62"/>
      <c r="C62"/>
      <c r="E62"/>
      <c r="F62"/>
      <c r="H62"/>
      <c r="I62"/>
      <c r="K62"/>
      <c r="L62"/>
      <c r="M62"/>
      <c r="N62"/>
      <c r="O62"/>
      <c r="P62"/>
      <c r="Q62"/>
      <c r="R62"/>
      <c r="T62"/>
      <c r="U62"/>
      <c r="V62"/>
      <c r="W62"/>
      <c r="X62"/>
      <c r="Y62"/>
      <c r="Z62"/>
      <c r="AA62"/>
      <c r="AC62"/>
      <c r="AD62"/>
      <c r="AE62"/>
      <c r="AF62"/>
      <c r="AG62"/>
      <c r="AH62"/>
      <c r="AI62"/>
      <c r="AJ62"/>
      <c r="AK62" s="31"/>
      <c r="AN62" s="1">
        <f t="shared" si="2"/>
        <v>0</v>
      </c>
      <c r="AR62" s="1">
        <f t="shared" si="3"/>
        <v>0</v>
      </c>
      <c r="AV62" s="35"/>
      <c r="AW62" s="43" t="s">
        <v>1768</v>
      </c>
      <c r="AX62" s="44">
        <v>240</v>
      </c>
      <c r="AZ62" s="29" t="s">
        <v>1702</v>
      </c>
      <c r="BA62" s="29">
        <v>1.664</v>
      </c>
      <c r="BB62" s="1" t="s">
        <v>430</v>
      </c>
    </row>
    <row r="63" spans="2:54">
      <c r="B63"/>
      <c r="C63"/>
      <c r="E63"/>
      <c r="F63"/>
      <c r="H63"/>
      <c r="I63"/>
      <c r="K63"/>
      <c r="L63"/>
      <c r="M63"/>
      <c r="N63"/>
      <c r="O63"/>
      <c r="P63"/>
      <c r="Q63"/>
      <c r="R63"/>
      <c r="T63"/>
      <c r="U63"/>
      <c r="V63"/>
      <c r="W63"/>
      <c r="X63"/>
      <c r="Y63"/>
      <c r="Z63"/>
      <c r="AA63"/>
      <c r="AC63"/>
      <c r="AD63"/>
      <c r="AE63"/>
      <c r="AF63"/>
      <c r="AG63"/>
      <c r="AH63"/>
      <c r="AI63"/>
      <c r="AJ63"/>
      <c r="AK63" s="31"/>
      <c r="AN63" s="1">
        <f t="shared" si="2"/>
        <v>0</v>
      </c>
      <c r="AR63" s="1">
        <f t="shared" si="3"/>
        <v>0</v>
      </c>
      <c r="AV63" s="35"/>
      <c r="AW63" s="43" t="s">
        <v>1771</v>
      </c>
      <c r="AX63" s="44">
        <v>450</v>
      </c>
      <c r="AZ63" s="29" t="s">
        <v>1842</v>
      </c>
      <c r="BA63" s="29">
        <v>1.664</v>
      </c>
      <c r="BB63" s="1" t="s">
        <v>430</v>
      </c>
    </row>
    <row r="64" spans="2:54">
      <c r="B64"/>
      <c r="C64"/>
      <c r="E64"/>
      <c r="F64"/>
      <c r="H64"/>
      <c r="I64"/>
      <c r="K64"/>
      <c r="L64"/>
      <c r="M64"/>
      <c r="N64"/>
      <c r="O64"/>
      <c r="P64"/>
      <c r="Q64"/>
      <c r="R64"/>
      <c r="T64"/>
      <c r="U64"/>
      <c r="V64"/>
      <c r="W64"/>
      <c r="X64"/>
      <c r="Y64"/>
      <c r="Z64"/>
      <c r="AA64"/>
      <c r="AC64"/>
      <c r="AD64"/>
      <c r="AE64"/>
      <c r="AF64"/>
      <c r="AG64"/>
      <c r="AH64"/>
      <c r="AI64"/>
      <c r="AJ64"/>
      <c r="AK64" s="31"/>
      <c r="AN64" s="1">
        <f t="shared" si="2"/>
        <v>0</v>
      </c>
      <c r="AR64" s="1">
        <f t="shared" si="3"/>
        <v>0</v>
      </c>
      <c r="AV64" s="35"/>
      <c r="AW64" s="43" t="s">
        <v>1774</v>
      </c>
      <c r="AX64" s="44">
        <v>104</v>
      </c>
      <c r="AZ64" s="29" t="s">
        <v>1869</v>
      </c>
      <c r="BA64" s="29">
        <v>1.664</v>
      </c>
      <c r="BB64" s="1" t="s">
        <v>430</v>
      </c>
    </row>
    <row r="65" spans="2:54">
      <c r="B65"/>
      <c r="C65"/>
      <c r="E65"/>
      <c r="F65"/>
      <c r="H65"/>
      <c r="I65"/>
      <c r="K65"/>
      <c r="L65"/>
      <c r="M65"/>
      <c r="N65"/>
      <c r="O65"/>
      <c r="P65"/>
      <c r="Q65"/>
      <c r="R65"/>
      <c r="T65"/>
      <c r="U65"/>
      <c r="V65"/>
      <c r="W65"/>
      <c r="X65"/>
      <c r="Y65"/>
      <c r="Z65"/>
      <c r="AA65"/>
      <c r="AC65"/>
      <c r="AD65"/>
      <c r="AE65"/>
      <c r="AF65"/>
      <c r="AG65"/>
      <c r="AH65"/>
      <c r="AI65"/>
      <c r="AJ65"/>
      <c r="AK65" s="31"/>
      <c r="AN65" s="1">
        <f t="shared" si="2"/>
        <v>0</v>
      </c>
      <c r="AR65" s="1">
        <f t="shared" si="3"/>
        <v>0</v>
      </c>
      <c r="AV65" s="35"/>
      <c r="AW65" s="43" t="s">
        <v>1777</v>
      </c>
      <c r="AX65" s="44">
        <v>104</v>
      </c>
      <c r="AZ65" s="29" t="s">
        <v>1843</v>
      </c>
      <c r="BA65" s="29">
        <v>1.664</v>
      </c>
      <c r="BB65" s="1" t="s">
        <v>430</v>
      </c>
    </row>
    <row r="66" spans="2:54">
      <c r="B66"/>
      <c r="C66"/>
      <c r="E66"/>
      <c r="F66"/>
      <c r="H66"/>
      <c r="I66"/>
      <c r="K66"/>
      <c r="L66"/>
      <c r="M66"/>
      <c r="N66"/>
      <c r="O66"/>
      <c r="P66"/>
      <c r="Q66"/>
      <c r="R66"/>
      <c r="T66"/>
      <c r="U66"/>
      <c r="V66"/>
      <c r="W66"/>
      <c r="X66"/>
      <c r="Y66"/>
      <c r="Z66"/>
      <c r="AA66"/>
      <c r="AC66"/>
      <c r="AD66"/>
      <c r="AE66"/>
      <c r="AF66"/>
      <c r="AG66"/>
      <c r="AH66"/>
      <c r="AI66"/>
      <c r="AJ66"/>
      <c r="AK66" s="31"/>
      <c r="AN66" s="1">
        <f t="shared" ref="AN66:AN97" si="4">AM66*$AS$1</f>
        <v>0</v>
      </c>
      <c r="AR66" s="1">
        <f t="shared" si="3"/>
        <v>0</v>
      </c>
      <c r="AV66" s="35"/>
      <c r="AW66" s="43" t="s">
        <v>1780</v>
      </c>
      <c r="AX66" s="44">
        <v>188.55</v>
      </c>
      <c r="AZ66" s="29" t="s">
        <v>1870</v>
      </c>
      <c r="BA66" s="29">
        <v>1.664</v>
      </c>
      <c r="BB66" s="1" t="s">
        <v>430</v>
      </c>
    </row>
    <row r="67" spans="5:54">
      <c r="E67"/>
      <c r="F67"/>
      <c r="H67"/>
      <c r="I67"/>
      <c r="K67"/>
      <c r="L67"/>
      <c r="M67"/>
      <c r="N67"/>
      <c r="O67"/>
      <c r="P67"/>
      <c r="Q67"/>
      <c r="R67"/>
      <c r="T67"/>
      <c r="U67"/>
      <c r="V67"/>
      <c r="W67"/>
      <c r="X67"/>
      <c r="Y67"/>
      <c r="Z67"/>
      <c r="AA67"/>
      <c r="AC67"/>
      <c r="AD67"/>
      <c r="AE67"/>
      <c r="AF67"/>
      <c r="AG67"/>
      <c r="AH67"/>
      <c r="AI67"/>
      <c r="AJ67"/>
      <c r="AK67" s="31"/>
      <c r="AN67" s="1">
        <f t="shared" si="4"/>
        <v>0</v>
      </c>
      <c r="AR67" s="1">
        <f t="shared" si="3"/>
        <v>0</v>
      </c>
      <c r="AV67" s="35"/>
      <c r="AW67" s="43" t="s">
        <v>1783</v>
      </c>
      <c r="AX67" s="44">
        <v>1239.035</v>
      </c>
      <c r="AZ67" s="29" t="s">
        <v>1704</v>
      </c>
      <c r="BA67" s="29">
        <v>1.664</v>
      </c>
      <c r="BB67" s="1" t="s">
        <v>430</v>
      </c>
    </row>
    <row r="68" spans="5:54">
      <c r="E68"/>
      <c r="F68"/>
      <c r="H68"/>
      <c r="I68"/>
      <c r="K68"/>
      <c r="L68"/>
      <c r="M68"/>
      <c r="N68"/>
      <c r="O68"/>
      <c r="P68"/>
      <c r="Q68"/>
      <c r="R68"/>
      <c r="T68"/>
      <c r="U68"/>
      <c r="V68"/>
      <c r="W68"/>
      <c r="X68"/>
      <c r="Y68"/>
      <c r="Z68"/>
      <c r="AA68"/>
      <c r="AC68"/>
      <c r="AD68"/>
      <c r="AE68"/>
      <c r="AF68"/>
      <c r="AG68"/>
      <c r="AH68"/>
      <c r="AI68"/>
      <c r="AJ68"/>
      <c r="AK68" s="31"/>
      <c r="AN68" s="1">
        <f t="shared" si="4"/>
        <v>0</v>
      </c>
      <c r="AR68" s="1">
        <f t="shared" si="3"/>
        <v>0</v>
      </c>
      <c r="AV68" s="35"/>
      <c r="AW68" s="43" t="s">
        <v>1787</v>
      </c>
      <c r="AX68" s="44">
        <v>1045</v>
      </c>
      <c r="AZ68" s="29" t="s">
        <v>1707</v>
      </c>
      <c r="BA68" s="29">
        <v>1.664</v>
      </c>
      <c r="BB68" s="1" t="s">
        <v>430</v>
      </c>
    </row>
    <row r="69" spans="5:54">
      <c r="E69"/>
      <c r="F69"/>
      <c r="H69"/>
      <c r="I69"/>
      <c r="K69"/>
      <c r="L69"/>
      <c r="M69"/>
      <c r="N69"/>
      <c r="O69"/>
      <c r="P69"/>
      <c r="Q69"/>
      <c r="R69"/>
      <c r="T69"/>
      <c r="U69"/>
      <c r="V69"/>
      <c r="W69"/>
      <c r="X69"/>
      <c r="Y69"/>
      <c r="Z69"/>
      <c r="AA69"/>
      <c r="AC69"/>
      <c r="AD69"/>
      <c r="AE69"/>
      <c r="AF69"/>
      <c r="AG69"/>
      <c r="AH69"/>
      <c r="AI69"/>
      <c r="AJ69"/>
      <c r="AK69" s="31"/>
      <c r="AN69" s="1">
        <f t="shared" si="4"/>
        <v>0</v>
      </c>
      <c r="AR69" s="1">
        <f t="shared" si="3"/>
        <v>0</v>
      </c>
      <c r="AV69" s="35"/>
      <c r="AW69" s="43" t="s">
        <v>1790</v>
      </c>
      <c r="AX69" s="44">
        <v>441.598</v>
      </c>
      <c r="AZ69" s="29" t="s">
        <v>1871</v>
      </c>
      <c r="BA69" s="29">
        <v>1.664</v>
      </c>
      <c r="BB69" s="1" t="s">
        <v>430</v>
      </c>
    </row>
    <row r="70" spans="5:54">
      <c r="E70"/>
      <c r="F70"/>
      <c r="H70"/>
      <c r="I70"/>
      <c r="K70"/>
      <c r="L70"/>
      <c r="M70"/>
      <c r="N70"/>
      <c r="O70"/>
      <c r="P70"/>
      <c r="Q70"/>
      <c r="R70"/>
      <c r="T70"/>
      <c r="U70"/>
      <c r="V70"/>
      <c r="W70"/>
      <c r="X70"/>
      <c r="Y70"/>
      <c r="Z70"/>
      <c r="AA70"/>
      <c r="AC70"/>
      <c r="AD70"/>
      <c r="AE70"/>
      <c r="AF70"/>
      <c r="AG70"/>
      <c r="AH70"/>
      <c r="AI70"/>
      <c r="AJ70"/>
      <c r="AK70" s="31"/>
      <c r="AN70" s="1">
        <f t="shared" si="4"/>
        <v>0</v>
      </c>
      <c r="AR70" s="1">
        <f t="shared" si="3"/>
        <v>0</v>
      </c>
      <c r="AV70" s="35"/>
      <c r="AW70" s="43" t="s">
        <v>1793</v>
      </c>
      <c r="AX70" s="44">
        <v>435</v>
      </c>
      <c r="AZ70" s="29" t="s">
        <v>1872</v>
      </c>
      <c r="BA70" s="29">
        <v>2.349</v>
      </c>
      <c r="BB70" s="1" t="s">
        <v>430</v>
      </c>
    </row>
    <row r="71" spans="5:54">
      <c r="E71"/>
      <c r="F71"/>
      <c r="H71"/>
      <c r="I71"/>
      <c r="K71"/>
      <c r="L71"/>
      <c r="M71"/>
      <c r="N71"/>
      <c r="O71"/>
      <c r="P71"/>
      <c r="Q71"/>
      <c r="R71"/>
      <c r="T71"/>
      <c r="U71"/>
      <c r="V71"/>
      <c r="W71"/>
      <c r="X71"/>
      <c r="Y71"/>
      <c r="Z71"/>
      <c r="AA71"/>
      <c r="AC71"/>
      <c r="AD71"/>
      <c r="AE71"/>
      <c r="AF71"/>
      <c r="AG71"/>
      <c r="AH71"/>
      <c r="AI71"/>
      <c r="AJ71"/>
      <c r="AK71" s="31"/>
      <c r="AN71" s="1">
        <f t="shared" si="4"/>
        <v>0</v>
      </c>
      <c r="AR71" s="1">
        <f t="shared" si="3"/>
        <v>0</v>
      </c>
      <c r="AV71" s="35"/>
      <c r="AW71" s="43" t="s">
        <v>1796</v>
      </c>
      <c r="AX71" s="44">
        <v>99.9</v>
      </c>
      <c r="AZ71" s="29" t="s">
        <v>1849</v>
      </c>
      <c r="BA71" s="29">
        <v>2.349</v>
      </c>
      <c r="BB71" s="1" t="s">
        <v>430</v>
      </c>
    </row>
    <row r="72" spans="5:54">
      <c r="E72"/>
      <c r="F72"/>
      <c r="H72"/>
      <c r="I72"/>
      <c r="K72"/>
      <c r="L72"/>
      <c r="M72"/>
      <c r="N72"/>
      <c r="O72"/>
      <c r="P72"/>
      <c r="Q72"/>
      <c r="R72"/>
      <c r="T72"/>
      <c r="U72"/>
      <c r="V72"/>
      <c r="W72"/>
      <c r="X72"/>
      <c r="Y72"/>
      <c r="Z72"/>
      <c r="AA72"/>
      <c r="AC72"/>
      <c r="AD72"/>
      <c r="AE72"/>
      <c r="AF72"/>
      <c r="AG72"/>
      <c r="AH72"/>
      <c r="AI72"/>
      <c r="AJ72"/>
      <c r="AK72" s="31"/>
      <c r="AN72" s="1">
        <f t="shared" si="4"/>
        <v>0</v>
      </c>
      <c r="AR72" s="1">
        <f t="shared" si="3"/>
        <v>0</v>
      </c>
      <c r="AV72" s="35"/>
      <c r="AW72" s="43" t="s">
        <v>1799</v>
      </c>
      <c r="AX72" s="44">
        <v>464.455</v>
      </c>
      <c r="AZ72" s="29" t="s">
        <v>1873</v>
      </c>
      <c r="BA72" s="29">
        <v>2.349</v>
      </c>
      <c r="BB72" s="1" t="s">
        <v>430</v>
      </c>
    </row>
    <row r="73" spans="5:54">
      <c r="E73"/>
      <c r="F73"/>
      <c r="H73"/>
      <c r="I73"/>
      <c r="K73"/>
      <c r="L73"/>
      <c r="M73"/>
      <c r="N73"/>
      <c r="O73"/>
      <c r="P73"/>
      <c r="Q73"/>
      <c r="R73"/>
      <c r="T73"/>
      <c r="U73"/>
      <c r="V73"/>
      <c r="W73"/>
      <c r="X73"/>
      <c r="Y73"/>
      <c r="Z73"/>
      <c r="AA73"/>
      <c r="AC73"/>
      <c r="AD73"/>
      <c r="AE73"/>
      <c r="AF73"/>
      <c r="AG73"/>
      <c r="AH73"/>
      <c r="AI73"/>
      <c r="AJ73"/>
      <c r="AK73" s="31"/>
      <c r="AN73" s="1">
        <f t="shared" si="4"/>
        <v>0</v>
      </c>
      <c r="AR73" s="1">
        <f t="shared" si="3"/>
        <v>0</v>
      </c>
      <c r="AV73" s="35"/>
      <c r="AW73" s="43" t="s">
        <v>1802</v>
      </c>
      <c r="AX73" s="44">
        <v>286</v>
      </c>
      <c r="AZ73" s="29" t="s">
        <v>1874</v>
      </c>
      <c r="BA73" s="29">
        <v>2.349</v>
      </c>
      <c r="BB73" s="1" t="s">
        <v>430</v>
      </c>
    </row>
    <row r="74" spans="5:54">
      <c r="E74"/>
      <c r="F74"/>
      <c r="H74"/>
      <c r="I74"/>
      <c r="K74"/>
      <c r="L74"/>
      <c r="M74"/>
      <c r="N74"/>
      <c r="O74"/>
      <c r="P74"/>
      <c r="Q74"/>
      <c r="R74"/>
      <c r="T74"/>
      <c r="U74"/>
      <c r="V74"/>
      <c r="W74"/>
      <c r="X74"/>
      <c r="Y74"/>
      <c r="Z74"/>
      <c r="AA74"/>
      <c r="AC74"/>
      <c r="AD74"/>
      <c r="AE74"/>
      <c r="AF74"/>
      <c r="AG74"/>
      <c r="AH74"/>
      <c r="AI74"/>
      <c r="AJ74"/>
      <c r="AK74" s="31"/>
      <c r="AN74" s="1">
        <f t="shared" si="4"/>
        <v>0</v>
      </c>
      <c r="AR74" s="1">
        <f t="shared" si="3"/>
        <v>0</v>
      </c>
      <c r="AV74" s="35"/>
      <c r="AZ74" s="29" t="s">
        <v>1875</v>
      </c>
      <c r="BA74" s="29">
        <v>2.349</v>
      </c>
      <c r="BB74" s="1" t="s">
        <v>430</v>
      </c>
    </row>
    <row r="75" spans="5:54">
      <c r="E75"/>
      <c r="F75"/>
      <c r="H75"/>
      <c r="I75"/>
      <c r="K75"/>
      <c r="L75"/>
      <c r="M75"/>
      <c r="N75"/>
      <c r="O75"/>
      <c r="P75"/>
      <c r="Q75"/>
      <c r="R75"/>
      <c r="T75"/>
      <c r="U75"/>
      <c r="V75"/>
      <c r="W75"/>
      <c r="X75"/>
      <c r="Y75"/>
      <c r="Z75"/>
      <c r="AA75"/>
      <c r="AC75"/>
      <c r="AD75"/>
      <c r="AE75"/>
      <c r="AF75"/>
      <c r="AG75"/>
      <c r="AH75"/>
      <c r="AI75"/>
      <c r="AJ75"/>
      <c r="AK75" s="31"/>
      <c r="AN75" s="1">
        <f t="shared" si="4"/>
        <v>0</v>
      </c>
      <c r="AR75" s="1">
        <f t="shared" si="3"/>
        <v>0</v>
      </c>
      <c r="AV75" s="35"/>
      <c r="AZ75" s="29" t="s">
        <v>1732</v>
      </c>
      <c r="BA75" s="29">
        <v>3.499</v>
      </c>
      <c r="BB75" s="1" t="s">
        <v>430</v>
      </c>
    </row>
    <row r="76" spans="5:54">
      <c r="E76"/>
      <c r="F76"/>
      <c r="H76"/>
      <c r="I76"/>
      <c r="K76"/>
      <c r="L76"/>
      <c r="M76"/>
      <c r="N76"/>
      <c r="O76"/>
      <c r="P76"/>
      <c r="Q76"/>
      <c r="R76"/>
      <c r="T76"/>
      <c r="U76"/>
      <c r="V76"/>
      <c r="W76"/>
      <c r="X76"/>
      <c r="Y76"/>
      <c r="Z76"/>
      <c r="AA76"/>
      <c r="AC76"/>
      <c r="AD76"/>
      <c r="AE76"/>
      <c r="AF76"/>
      <c r="AG76"/>
      <c r="AH76"/>
      <c r="AI76"/>
      <c r="AJ76"/>
      <c r="AK76" s="31"/>
      <c r="AN76" s="1">
        <f t="shared" si="4"/>
        <v>0</v>
      </c>
      <c r="AR76" s="1">
        <f t="shared" si="3"/>
        <v>0</v>
      </c>
      <c r="AV76" s="35"/>
      <c r="AZ76" s="29" t="s">
        <v>1729</v>
      </c>
      <c r="BA76" s="29">
        <v>3.499</v>
      </c>
      <c r="BB76" s="1" t="s">
        <v>430</v>
      </c>
    </row>
    <row r="77" spans="5:54">
      <c r="E77"/>
      <c r="F77"/>
      <c r="H77"/>
      <c r="I77"/>
      <c r="K77"/>
      <c r="L77"/>
      <c r="M77"/>
      <c r="N77"/>
      <c r="O77"/>
      <c r="P77"/>
      <c r="Q77"/>
      <c r="R77"/>
      <c r="T77"/>
      <c r="U77"/>
      <c r="V77"/>
      <c r="W77"/>
      <c r="X77"/>
      <c r="Y77"/>
      <c r="Z77"/>
      <c r="AA77"/>
      <c r="AC77"/>
      <c r="AD77"/>
      <c r="AE77"/>
      <c r="AF77"/>
      <c r="AG77"/>
      <c r="AH77"/>
      <c r="AI77"/>
      <c r="AJ77"/>
      <c r="AK77" s="31"/>
      <c r="AN77" s="1">
        <f t="shared" si="4"/>
        <v>0</v>
      </c>
      <c r="AR77" s="1">
        <f t="shared" si="3"/>
        <v>0</v>
      </c>
      <c r="AV77" s="35"/>
      <c r="AZ77" s="29" t="s">
        <v>1721</v>
      </c>
      <c r="BA77" s="29">
        <v>3.499</v>
      </c>
      <c r="BB77" s="1" t="s">
        <v>430</v>
      </c>
    </row>
    <row r="78" spans="5:54">
      <c r="E78"/>
      <c r="F78"/>
      <c r="H78"/>
      <c r="I78"/>
      <c r="K78"/>
      <c r="L78"/>
      <c r="M78"/>
      <c r="N78"/>
      <c r="O78"/>
      <c r="P78"/>
      <c r="Q78"/>
      <c r="R78"/>
      <c r="T78"/>
      <c r="U78"/>
      <c r="V78"/>
      <c r="W78"/>
      <c r="X78"/>
      <c r="Y78"/>
      <c r="Z78"/>
      <c r="AA78"/>
      <c r="AC78"/>
      <c r="AD78"/>
      <c r="AE78"/>
      <c r="AF78"/>
      <c r="AG78"/>
      <c r="AH78"/>
      <c r="AI78"/>
      <c r="AJ78"/>
      <c r="AK78" s="31"/>
      <c r="AN78" s="1">
        <f t="shared" si="4"/>
        <v>0</v>
      </c>
      <c r="AR78" s="1">
        <f t="shared" si="3"/>
        <v>0</v>
      </c>
      <c r="AV78" s="35"/>
      <c r="AZ78" s="29" t="s">
        <v>1724</v>
      </c>
      <c r="BA78" s="29">
        <v>3.499</v>
      </c>
      <c r="BB78" s="1" t="s">
        <v>430</v>
      </c>
    </row>
    <row r="79" spans="5:54">
      <c r="E79"/>
      <c r="F79"/>
      <c r="H79"/>
      <c r="I79"/>
      <c r="K79"/>
      <c r="L79"/>
      <c r="M79"/>
      <c r="N79"/>
      <c r="O79"/>
      <c r="P79"/>
      <c r="Q79"/>
      <c r="R79"/>
      <c r="T79"/>
      <c r="U79"/>
      <c r="V79"/>
      <c r="W79"/>
      <c r="X79"/>
      <c r="Y79"/>
      <c r="Z79"/>
      <c r="AA79"/>
      <c r="AC79"/>
      <c r="AD79"/>
      <c r="AE79"/>
      <c r="AF79"/>
      <c r="AG79"/>
      <c r="AH79"/>
      <c r="AI79"/>
      <c r="AJ79"/>
      <c r="AK79" s="31"/>
      <c r="AN79" s="1">
        <f t="shared" si="4"/>
        <v>0</v>
      </c>
      <c r="AR79" s="1">
        <f t="shared" si="3"/>
        <v>0</v>
      </c>
      <c r="AV79" s="35"/>
      <c r="AZ79" s="29" t="s">
        <v>1851</v>
      </c>
      <c r="BA79" s="29">
        <v>3.499</v>
      </c>
      <c r="BB79" s="1" t="s">
        <v>430</v>
      </c>
    </row>
    <row r="80" spans="5:54">
      <c r="E80"/>
      <c r="F80"/>
      <c r="H80"/>
      <c r="I80"/>
      <c r="K80"/>
      <c r="L80"/>
      <c r="M80"/>
      <c r="N80"/>
      <c r="O80"/>
      <c r="P80"/>
      <c r="Q80"/>
      <c r="R80"/>
      <c r="T80"/>
      <c r="U80"/>
      <c r="V80"/>
      <c r="W80"/>
      <c r="X80"/>
      <c r="Y80"/>
      <c r="Z80"/>
      <c r="AA80"/>
      <c r="AC80"/>
      <c r="AD80"/>
      <c r="AE80"/>
      <c r="AF80"/>
      <c r="AG80"/>
      <c r="AH80"/>
      <c r="AI80"/>
      <c r="AJ80"/>
      <c r="AK80" s="31"/>
      <c r="AN80" s="1">
        <f t="shared" si="4"/>
        <v>0</v>
      </c>
      <c r="AR80" s="1">
        <f t="shared" si="3"/>
        <v>0</v>
      </c>
      <c r="AV80" s="35"/>
      <c r="AZ80" s="29" t="s">
        <v>1727</v>
      </c>
      <c r="BA80" s="29">
        <v>3.499</v>
      </c>
      <c r="BB80" s="1" t="s">
        <v>430</v>
      </c>
    </row>
    <row r="81" spans="5:54">
      <c r="E81"/>
      <c r="F81"/>
      <c r="H81"/>
      <c r="I81"/>
      <c r="K81"/>
      <c r="L81"/>
      <c r="M81"/>
      <c r="N81"/>
      <c r="O81"/>
      <c r="P81"/>
      <c r="Q81"/>
      <c r="R81"/>
      <c r="T81"/>
      <c r="U81"/>
      <c r="V81"/>
      <c r="W81"/>
      <c r="X81"/>
      <c r="Y81"/>
      <c r="Z81"/>
      <c r="AA81"/>
      <c r="AC81"/>
      <c r="AD81"/>
      <c r="AE81"/>
      <c r="AF81"/>
      <c r="AG81"/>
      <c r="AH81"/>
      <c r="AI81"/>
      <c r="AJ81"/>
      <c r="AK81" s="31"/>
      <c r="AN81" s="1">
        <f t="shared" si="4"/>
        <v>0</v>
      </c>
      <c r="AR81" s="1">
        <f t="shared" si="3"/>
        <v>0</v>
      </c>
      <c r="AV81" s="35"/>
      <c r="AZ81" s="29" t="s">
        <v>1718</v>
      </c>
      <c r="BA81" s="29">
        <v>2.904</v>
      </c>
      <c r="BB81" s="1" t="s">
        <v>430</v>
      </c>
    </row>
    <row r="82" spans="5:54">
      <c r="E82"/>
      <c r="F82"/>
      <c r="H82"/>
      <c r="I82"/>
      <c r="K82"/>
      <c r="L82"/>
      <c r="M82"/>
      <c r="N82"/>
      <c r="O82"/>
      <c r="P82"/>
      <c r="Q82"/>
      <c r="R82"/>
      <c r="T82"/>
      <c r="U82"/>
      <c r="V82"/>
      <c r="W82"/>
      <c r="X82"/>
      <c r="Y82"/>
      <c r="Z82"/>
      <c r="AA82"/>
      <c r="AC82"/>
      <c r="AD82"/>
      <c r="AE82"/>
      <c r="AF82"/>
      <c r="AG82"/>
      <c r="AH82"/>
      <c r="AI82"/>
      <c r="AJ82"/>
      <c r="AK82" s="31"/>
      <c r="AN82" s="1">
        <f t="shared" si="4"/>
        <v>0</v>
      </c>
      <c r="AR82" s="1">
        <f t="shared" si="3"/>
        <v>0</v>
      </c>
      <c r="AV82" s="35"/>
      <c r="AZ82" s="29" t="s">
        <v>1730</v>
      </c>
      <c r="BA82" s="29">
        <v>2.851</v>
      </c>
      <c r="BB82" s="1" t="s">
        <v>430</v>
      </c>
    </row>
    <row r="83" spans="5:54">
      <c r="E83"/>
      <c r="F83"/>
      <c r="H83"/>
      <c r="I83"/>
      <c r="K83"/>
      <c r="L83"/>
      <c r="M83"/>
      <c r="N83"/>
      <c r="O83"/>
      <c r="P83"/>
      <c r="Q83"/>
      <c r="R83"/>
      <c r="T83"/>
      <c r="U83"/>
      <c r="V83"/>
      <c r="W83"/>
      <c r="X83"/>
      <c r="Y83"/>
      <c r="Z83"/>
      <c r="AA83"/>
      <c r="AC83"/>
      <c r="AD83"/>
      <c r="AE83"/>
      <c r="AF83"/>
      <c r="AG83"/>
      <c r="AH83"/>
      <c r="AI83"/>
      <c r="AJ83"/>
      <c r="AK83" s="31"/>
      <c r="AN83" s="1">
        <f t="shared" si="4"/>
        <v>0</v>
      </c>
      <c r="AR83" s="1">
        <f t="shared" si="3"/>
        <v>0</v>
      </c>
      <c r="AV83" s="35"/>
      <c r="AZ83" s="29" t="s">
        <v>1731</v>
      </c>
      <c r="BA83" s="29">
        <v>2.904</v>
      </c>
      <c r="BB83" s="1" t="s">
        <v>430</v>
      </c>
    </row>
    <row r="84" spans="5:54">
      <c r="E84"/>
      <c r="F84"/>
      <c r="H84"/>
      <c r="I84"/>
      <c r="K84"/>
      <c r="L84"/>
      <c r="M84"/>
      <c r="N84"/>
      <c r="O84"/>
      <c r="P84"/>
      <c r="Q84"/>
      <c r="R84"/>
      <c r="T84"/>
      <c r="U84"/>
      <c r="V84"/>
      <c r="W84"/>
      <c r="X84"/>
      <c r="Y84"/>
      <c r="Z84"/>
      <c r="AA84"/>
      <c r="AC84"/>
      <c r="AD84"/>
      <c r="AE84"/>
      <c r="AF84"/>
      <c r="AG84"/>
      <c r="AH84"/>
      <c r="AI84"/>
      <c r="AJ84"/>
      <c r="AK84" s="31"/>
      <c r="AN84" s="1">
        <f t="shared" si="4"/>
        <v>0</v>
      </c>
      <c r="AR84" s="1">
        <f t="shared" si="3"/>
        <v>0</v>
      </c>
      <c r="AV84" s="35"/>
      <c r="AZ84" s="29" t="s">
        <v>1749</v>
      </c>
      <c r="BA84" s="29">
        <v>1.932</v>
      </c>
      <c r="BB84" s="1" t="s">
        <v>430</v>
      </c>
    </row>
    <row r="85" spans="5:54">
      <c r="E85"/>
      <c r="F85"/>
      <c r="H85"/>
      <c r="I85"/>
      <c r="K85"/>
      <c r="L85"/>
      <c r="M85"/>
      <c r="N85"/>
      <c r="O85"/>
      <c r="P85"/>
      <c r="Q85"/>
      <c r="R85"/>
      <c r="T85"/>
      <c r="U85"/>
      <c r="V85"/>
      <c r="W85"/>
      <c r="X85"/>
      <c r="Y85"/>
      <c r="Z85"/>
      <c r="AA85"/>
      <c r="AC85"/>
      <c r="AD85"/>
      <c r="AE85"/>
      <c r="AF85"/>
      <c r="AG85"/>
      <c r="AH85"/>
      <c r="AI85"/>
      <c r="AJ85"/>
      <c r="AK85" s="31"/>
      <c r="AN85" s="1">
        <f t="shared" si="4"/>
        <v>0</v>
      </c>
      <c r="AR85" s="1">
        <f t="shared" si="3"/>
        <v>0</v>
      </c>
      <c r="AV85" s="35"/>
      <c r="AZ85" s="29" t="s">
        <v>1733</v>
      </c>
      <c r="BA85" s="29">
        <v>1.932</v>
      </c>
      <c r="BB85" s="1" t="s">
        <v>430</v>
      </c>
    </row>
    <row r="86" spans="5:54">
      <c r="E86"/>
      <c r="F86"/>
      <c r="H86"/>
      <c r="I86"/>
      <c r="K86"/>
      <c r="L86"/>
      <c r="M86"/>
      <c r="N86"/>
      <c r="O86"/>
      <c r="P86"/>
      <c r="Q86"/>
      <c r="R86"/>
      <c r="T86"/>
      <c r="U86"/>
      <c r="V86"/>
      <c r="W86"/>
      <c r="X86"/>
      <c r="Y86"/>
      <c r="Z86"/>
      <c r="AA86"/>
      <c r="AC86"/>
      <c r="AD86"/>
      <c r="AE86"/>
      <c r="AF86"/>
      <c r="AG86"/>
      <c r="AH86"/>
      <c r="AI86"/>
      <c r="AJ86"/>
      <c r="AK86" s="31"/>
      <c r="AN86" s="1">
        <f t="shared" si="4"/>
        <v>0</v>
      </c>
      <c r="AR86" s="1">
        <f t="shared" si="3"/>
        <v>0</v>
      </c>
      <c r="AV86" s="35"/>
      <c r="AZ86" s="29" t="s">
        <v>1736</v>
      </c>
      <c r="BA86" s="29">
        <v>1.932</v>
      </c>
      <c r="BB86" s="1" t="s">
        <v>430</v>
      </c>
    </row>
    <row r="87" spans="5:54">
      <c r="E87"/>
      <c r="F87"/>
      <c r="H87"/>
      <c r="I87"/>
      <c r="K87"/>
      <c r="L87"/>
      <c r="M87"/>
      <c r="N87"/>
      <c r="O87"/>
      <c r="P87"/>
      <c r="Q87"/>
      <c r="R87"/>
      <c r="T87"/>
      <c r="U87"/>
      <c r="V87"/>
      <c r="W87"/>
      <c r="X87"/>
      <c r="Y87"/>
      <c r="Z87"/>
      <c r="AA87"/>
      <c r="AC87"/>
      <c r="AD87"/>
      <c r="AE87"/>
      <c r="AF87"/>
      <c r="AG87"/>
      <c r="AH87"/>
      <c r="AI87"/>
      <c r="AJ87"/>
      <c r="AK87"/>
      <c r="AN87" s="1">
        <f t="shared" si="4"/>
        <v>0</v>
      </c>
      <c r="AR87" s="1">
        <f t="shared" si="3"/>
        <v>0</v>
      </c>
      <c r="AV87" s="35"/>
      <c r="AZ87" s="29" t="s">
        <v>1739</v>
      </c>
      <c r="BA87" s="29">
        <v>2.239</v>
      </c>
      <c r="BB87" s="1" t="s">
        <v>430</v>
      </c>
    </row>
    <row r="88" spans="5:54">
      <c r="E88"/>
      <c r="F88"/>
      <c r="H88"/>
      <c r="I88"/>
      <c r="K88"/>
      <c r="L88"/>
      <c r="M88"/>
      <c r="N88"/>
      <c r="O88"/>
      <c r="P88"/>
      <c r="Q88"/>
      <c r="R88"/>
      <c r="T88"/>
      <c r="U88"/>
      <c r="V88"/>
      <c r="W88"/>
      <c r="X88"/>
      <c r="Y88"/>
      <c r="Z88"/>
      <c r="AA88"/>
      <c r="AC88"/>
      <c r="AD88"/>
      <c r="AE88"/>
      <c r="AF88"/>
      <c r="AG88"/>
      <c r="AH88"/>
      <c r="AI88"/>
      <c r="AJ88"/>
      <c r="AK88"/>
      <c r="AN88" s="1">
        <f t="shared" si="4"/>
        <v>0</v>
      </c>
      <c r="AR88" s="1">
        <f t="shared" si="3"/>
        <v>0</v>
      </c>
      <c r="AV88" s="35"/>
      <c r="AZ88" s="29" t="s">
        <v>1741</v>
      </c>
      <c r="BA88" s="29">
        <v>2.431</v>
      </c>
      <c r="BB88" s="1" t="s">
        <v>430</v>
      </c>
    </row>
    <row r="89" spans="5:54">
      <c r="E89"/>
      <c r="F89"/>
      <c r="H89"/>
      <c r="I89"/>
      <c r="K89"/>
      <c r="L89"/>
      <c r="M89"/>
      <c r="N89"/>
      <c r="O89"/>
      <c r="P89"/>
      <c r="Q89"/>
      <c r="R89"/>
      <c r="T89"/>
      <c r="U89"/>
      <c r="V89"/>
      <c r="W89"/>
      <c r="X89"/>
      <c r="Y89"/>
      <c r="Z89"/>
      <c r="AA89"/>
      <c r="AC89"/>
      <c r="AD89"/>
      <c r="AE89"/>
      <c r="AF89"/>
      <c r="AG89"/>
      <c r="AH89"/>
      <c r="AI89"/>
      <c r="AJ89"/>
      <c r="AK89"/>
      <c r="AN89" s="1">
        <f t="shared" si="4"/>
        <v>0</v>
      </c>
      <c r="AR89" s="1">
        <f t="shared" si="3"/>
        <v>0</v>
      </c>
      <c r="AV89" s="35"/>
      <c r="AZ89" s="29" t="s">
        <v>1744</v>
      </c>
      <c r="BA89" s="29">
        <v>1.932</v>
      </c>
      <c r="BB89" s="1" t="s">
        <v>430</v>
      </c>
    </row>
    <row r="90" spans="5:54">
      <c r="E90"/>
      <c r="F90"/>
      <c r="H90"/>
      <c r="I90"/>
      <c r="Q90" s="1"/>
      <c r="R90" s="1"/>
      <c r="T90"/>
      <c r="U90"/>
      <c r="V90"/>
      <c r="W90"/>
      <c r="X90"/>
      <c r="Y90"/>
      <c r="Z90"/>
      <c r="AA90"/>
      <c r="AC90"/>
      <c r="AD90"/>
      <c r="AE90"/>
      <c r="AF90"/>
      <c r="AG90"/>
      <c r="AH90"/>
      <c r="AI90"/>
      <c r="AJ90"/>
      <c r="AK90"/>
      <c r="AN90" s="1">
        <f t="shared" si="4"/>
        <v>0</v>
      </c>
      <c r="AR90" s="1">
        <f t="shared" si="3"/>
        <v>0</v>
      </c>
      <c r="AV90" s="35"/>
      <c r="AZ90" s="29" t="s">
        <v>1746</v>
      </c>
      <c r="BA90" s="29">
        <v>2.327</v>
      </c>
      <c r="BB90" s="1" t="s">
        <v>430</v>
      </c>
    </row>
    <row r="91" spans="5:54">
      <c r="E91"/>
      <c r="F91"/>
      <c r="H91"/>
      <c r="I91"/>
      <c r="Q91" s="1"/>
      <c r="R91" s="1"/>
      <c r="T91"/>
      <c r="U91"/>
      <c r="V91"/>
      <c r="W91"/>
      <c r="X91"/>
      <c r="Y91"/>
      <c r="Z91"/>
      <c r="AA91"/>
      <c r="AC91"/>
      <c r="AD91"/>
      <c r="AE91"/>
      <c r="AF91"/>
      <c r="AG91"/>
      <c r="AH91"/>
      <c r="AI91"/>
      <c r="AJ91"/>
      <c r="AK91"/>
      <c r="AN91" s="1">
        <f t="shared" si="4"/>
        <v>0</v>
      </c>
      <c r="AR91" s="1">
        <f t="shared" si="3"/>
        <v>0</v>
      </c>
      <c r="AV91" s="35"/>
      <c r="AZ91" s="29" t="s">
        <v>1876</v>
      </c>
      <c r="BA91" s="29">
        <v>1.932</v>
      </c>
      <c r="BB91" s="1" t="s">
        <v>430</v>
      </c>
    </row>
    <row r="92" spans="5:54">
      <c r="E92"/>
      <c r="F92"/>
      <c r="H92"/>
      <c r="I92"/>
      <c r="Q92" s="1"/>
      <c r="R92" s="1"/>
      <c r="T92"/>
      <c r="U92"/>
      <c r="V92"/>
      <c r="W92"/>
      <c r="X92"/>
      <c r="Y92"/>
      <c r="Z92"/>
      <c r="AA92"/>
      <c r="AC92"/>
      <c r="AD92"/>
      <c r="AE92"/>
      <c r="AF92"/>
      <c r="AG92"/>
      <c r="AH92"/>
      <c r="AI92"/>
      <c r="AJ92"/>
      <c r="AK92"/>
      <c r="AN92" s="1">
        <f t="shared" si="4"/>
        <v>0</v>
      </c>
      <c r="AR92" s="1">
        <f t="shared" si="3"/>
        <v>0</v>
      </c>
      <c r="AV92" s="35"/>
      <c r="AZ92" s="29" t="s">
        <v>1864</v>
      </c>
      <c r="BA92" s="29">
        <v>1.836</v>
      </c>
      <c r="BB92" s="1" t="s">
        <v>430</v>
      </c>
    </row>
    <row r="93" spans="5:54">
      <c r="E93"/>
      <c r="F93"/>
      <c r="H93"/>
      <c r="I93"/>
      <c r="Q93" s="1"/>
      <c r="R93" s="1"/>
      <c r="T93"/>
      <c r="U93"/>
      <c r="V93"/>
      <c r="W93"/>
      <c r="X93"/>
      <c r="Y93"/>
      <c r="Z93"/>
      <c r="AA93"/>
      <c r="AC93"/>
      <c r="AD93"/>
      <c r="AE93"/>
      <c r="AF93"/>
      <c r="AG93"/>
      <c r="AH93"/>
      <c r="AI93"/>
      <c r="AJ93"/>
      <c r="AK93"/>
      <c r="AN93" s="1">
        <f t="shared" si="4"/>
        <v>0</v>
      </c>
      <c r="AR93" s="1">
        <f t="shared" ref="AR93:AR123" si="5">AQ93*$AS$1</f>
        <v>0</v>
      </c>
      <c r="AV93" s="35"/>
      <c r="AZ93" s="29" t="s">
        <v>1877</v>
      </c>
      <c r="BA93" s="29">
        <v>1.449</v>
      </c>
      <c r="BB93" s="1" t="s">
        <v>430</v>
      </c>
    </row>
    <row r="94" spans="5:54">
      <c r="E94"/>
      <c r="F94"/>
      <c r="H94"/>
      <c r="I94"/>
      <c r="Q94" s="1"/>
      <c r="R94" s="1"/>
      <c r="T94"/>
      <c r="U94"/>
      <c r="V94"/>
      <c r="W94"/>
      <c r="X94"/>
      <c r="Y94"/>
      <c r="Z94"/>
      <c r="AA94"/>
      <c r="AC94"/>
      <c r="AD94"/>
      <c r="AE94"/>
      <c r="AF94"/>
      <c r="AG94"/>
      <c r="AH94"/>
      <c r="AI94"/>
      <c r="AJ94"/>
      <c r="AK94"/>
      <c r="AN94" s="1">
        <f t="shared" si="4"/>
        <v>0</v>
      </c>
      <c r="AR94" s="1">
        <f t="shared" si="5"/>
        <v>0</v>
      </c>
      <c r="AV94" s="35"/>
      <c r="AZ94" s="29" t="s">
        <v>1857</v>
      </c>
      <c r="BA94" s="29">
        <v>0.966</v>
      </c>
      <c r="BB94" s="1" t="s">
        <v>430</v>
      </c>
    </row>
    <row r="95" spans="8:54">
      <c r="H95"/>
      <c r="I95"/>
      <c r="Q95" s="1"/>
      <c r="R95" s="1"/>
      <c r="T95"/>
      <c r="U95"/>
      <c r="V95"/>
      <c r="W95"/>
      <c r="X95"/>
      <c r="Y95"/>
      <c r="Z95"/>
      <c r="AA95"/>
      <c r="AC95"/>
      <c r="AD95"/>
      <c r="AE95"/>
      <c r="AF95"/>
      <c r="AG95"/>
      <c r="AH95"/>
      <c r="AI95"/>
      <c r="AJ95"/>
      <c r="AK95"/>
      <c r="AN95" s="1">
        <f t="shared" si="4"/>
        <v>0</v>
      </c>
      <c r="AR95" s="1">
        <f t="shared" si="5"/>
        <v>0</v>
      </c>
      <c r="AV95" s="35"/>
      <c r="AZ95" s="29" t="s">
        <v>1859</v>
      </c>
      <c r="BA95" s="29">
        <v>0.966</v>
      </c>
      <c r="BB95" s="1" t="s">
        <v>430</v>
      </c>
    </row>
    <row r="96" spans="8:54">
      <c r="H96"/>
      <c r="I96"/>
      <c r="Q96" s="1"/>
      <c r="R96" s="1"/>
      <c r="T96"/>
      <c r="U96"/>
      <c r="V96"/>
      <c r="W96"/>
      <c r="X96"/>
      <c r="Y96"/>
      <c r="Z96"/>
      <c r="AA96"/>
      <c r="AC96"/>
      <c r="AD96"/>
      <c r="AE96"/>
      <c r="AF96"/>
      <c r="AG96"/>
      <c r="AH96"/>
      <c r="AI96"/>
      <c r="AJ96"/>
      <c r="AK96"/>
      <c r="AN96" s="1">
        <f t="shared" si="4"/>
        <v>0</v>
      </c>
      <c r="AR96" s="1">
        <f t="shared" si="5"/>
        <v>0</v>
      </c>
      <c r="AV96" s="35"/>
      <c r="AZ96" s="29" t="s">
        <v>1751</v>
      </c>
      <c r="BA96" s="29">
        <v>0.722</v>
      </c>
      <c r="BB96" s="1" t="s">
        <v>430</v>
      </c>
    </row>
    <row r="97" spans="8:54">
      <c r="H97"/>
      <c r="I97"/>
      <c r="Q97" s="1"/>
      <c r="R97" s="1"/>
      <c r="T97"/>
      <c r="U97"/>
      <c r="V97"/>
      <c r="W97"/>
      <c r="X97"/>
      <c r="Y97"/>
      <c r="Z97"/>
      <c r="AA97"/>
      <c r="AC97"/>
      <c r="AD97"/>
      <c r="AE97"/>
      <c r="AF97"/>
      <c r="AG97"/>
      <c r="AH97"/>
      <c r="AI97"/>
      <c r="AJ97"/>
      <c r="AK97"/>
      <c r="AN97" s="1">
        <f t="shared" si="4"/>
        <v>0</v>
      </c>
      <c r="AR97" s="1">
        <f t="shared" si="5"/>
        <v>0</v>
      </c>
      <c r="AV97" s="35"/>
      <c r="AZ97" s="29" t="s">
        <v>1765</v>
      </c>
      <c r="BA97" s="29">
        <v>0.769</v>
      </c>
      <c r="BB97" s="1" t="s">
        <v>430</v>
      </c>
    </row>
    <row r="98" spans="8:54">
      <c r="H98"/>
      <c r="I98"/>
      <c r="Q98" s="1"/>
      <c r="R98" s="1"/>
      <c r="T98"/>
      <c r="U98"/>
      <c r="V98"/>
      <c r="W98"/>
      <c r="X98"/>
      <c r="Y98"/>
      <c r="Z98"/>
      <c r="AA98"/>
      <c r="AC98"/>
      <c r="AD98"/>
      <c r="AE98"/>
      <c r="AF98"/>
      <c r="AG98"/>
      <c r="AH98"/>
      <c r="AI98"/>
      <c r="AJ98"/>
      <c r="AK98"/>
      <c r="AN98" s="1">
        <f t="shared" ref="AN98:AN123" si="6">AM98*$AS$1</f>
        <v>0</v>
      </c>
      <c r="AR98" s="1">
        <f t="shared" si="5"/>
        <v>0</v>
      </c>
      <c r="AV98" s="35"/>
      <c r="AZ98" s="29" t="s">
        <v>1754</v>
      </c>
      <c r="BA98" s="29">
        <v>0.638999999999999</v>
      </c>
      <c r="BB98" s="1" t="s">
        <v>430</v>
      </c>
    </row>
    <row r="99" spans="8:54">
      <c r="H99"/>
      <c r="I99"/>
      <c r="Q99" s="1"/>
      <c r="R99" s="1"/>
      <c r="T99"/>
      <c r="U99"/>
      <c r="V99"/>
      <c r="W99"/>
      <c r="X99"/>
      <c r="Y99"/>
      <c r="Z99"/>
      <c r="AA99"/>
      <c r="AC99"/>
      <c r="AD99"/>
      <c r="AE99"/>
      <c r="AF99"/>
      <c r="AG99"/>
      <c r="AH99"/>
      <c r="AI99"/>
      <c r="AJ99"/>
      <c r="AK99"/>
      <c r="AN99" s="1">
        <f t="shared" si="6"/>
        <v>0</v>
      </c>
      <c r="AR99" s="1">
        <f t="shared" si="5"/>
        <v>0</v>
      </c>
      <c r="AV99" s="35"/>
      <c r="AZ99" s="29" t="s">
        <v>1757</v>
      </c>
      <c r="BA99" s="29">
        <v>8.692</v>
      </c>
      <c r="BB99" s="1" t="s">
        <v>430</v>
      </c>
    </row>
    <row r="100" spans="8:54">
      <c r="H100"/>
      <c r="I100"/>
      <c r="Q100" s="1"/>
      <c r="R100" s="1"/>
      <c r="T100"/>
      <c r="U100"/>
      <c r="V100"/>
      <c r="W100"/>
      <c r="X100"/>
      <c r="Y100"/>
      <c r="Z100"/>
      <c r="AA100"/>
      <c r="AC100"/>
      <c r="AD100"/>
      <c r="AE100"/>
      <c r="AF100"/>
      <c r="AG100"/>
      <c r="AH100"/>
      <c r="AI100"/>
      <c r="AJ100"/>
      <c r="AK100"/>
      <c r="AN100" s="1">
        <f t="shared" si="6"/>
        <v>0</v>
      </c>
      <c r="AR100" s="1">
        <f t="shared" si="5"/>
        <v>0</v>
      </c>
      <c r="AV100" s="35"/>
      <c r="AZ100" s="29" t="s">
        <v>1762</v>
      </c>
      <c r="BA100" s="29">
        <v>3.863</v>
      </c>
      <c r="BB100" s="1" t="s">
        <v>430</v>
      </c>
    </row>
    <row r="101" spans="8:54">
      <c r="H101"/>
      <c r="I101"/>
      <c r="Q101" s="1"/>
      <c r="R101" s="1"/>
      <c r="Z101" s="1"/>
      <c r="AA101" s="1"/>
      <c r="AC101"/>
      <c r="AD101"/>
      <c r="AE101"/>
      <c r="AF101"/>
      <c r="AG101"/>
      <c r="AH101"/>
      <c r="AI101"/>
      <c r="AJ101"/>
      <c r="AK101"/>
      <c r="AN101" s="1">
        <f t="shared" si="6"/>
        <v>0</v>
      </c>
      <c r="AR101" s="1">
        <f t="shared" si="5"/>
        <v>0</v>
      </c>
      <c r="AV101" s="35"/>
      <c r="AZ101" s="29" t="s">
        <v>1802</v>
      </c>
      <c r="BA101" s="153">
        <v>7.846</v>
      </c>
      <c r="BB101" s="1" t="s">
        <v>430</v>
      </c>
    </row>
    <row r="102" spans="8:54">
      <c r="H102"/>
      <c r="I102"/>
      <c r="Q102" s="1"/>
      <c r="R102" s="1"/>
      <c r="Z102" s="1"/>
      <c r="AA102" s="1"/>
      <c r="AC102"/>
      <c r="AD102"/>
      <c r="AE102"/>
      <c r="AF102"/>
      <c r="AG102"/>
      <c r="AH102"/>
      <c r="AI102"/>
      <c r="AJ102"/>
      <c r="AK102"/>
      <c r="AN102" s="1">
        <f t="shared" si="6"/>
        <v>0</v>
      </c>
      <c r="AR102" s="1">
        <f t="shared" si="5"/>
        <v>0</v>
      </c>
      <c r="AV102" s="35"/>
      <c r="AZ102" s="153" t="s">
        <v>1768</v>
      </c>
      <c r="BA102" s="153">
        <v>1.31</v>
      </c>
      <c r="BB102" s="1" t="s">
        <v>430</v>
      </c>
    </row>
    <row r="103" spans="8:54">
      <c r="H103"/>
      <c r="I103"/>
      <c r="Q103" s="1"/>
      <c r="R103" s="1"/>
      <c r="Z103" s="1"/>
      <c r="AA103" s="1"/>
      <c r="AC103"/>
      <c r="AD103"/>
      <c r="AE103"/>
      <c r="AF103"/>
      <c r="AG103"/>
      <c r="AH103"/>
      <c r="AI103"/>
      <c r="AJ103"/>
      <c r="AK103"/>
      <c r="AN103" s="1">
        <f t="shared" si="6"/>
        <v>0</v>
      </c>
      <c r="AR103" s="1">
        <f t="shared" si="5"/>
        <v>0</v>
      </c>
      <c r="AV103" s="35"/>
      <c r="AZ103" s="153" t="s">
        <v>1771</v>
      </c>
      <c r="BA103" s="153">
        <v>1.261</v>
      </c>
      <c r="BB103" s="1" t="s">
        <v>430</v>
      </c>
    </row>
    <row r="104" spans="8:54">
      <c r="H104"/>
      <c r="I104"/>
      <c r="Q104" s="1"/>
      <c r="R104" s="1"/>
      <c r="Z104" s="1"/>
      <c r="AA104" s="1"/>
      <c r="AC104"/>
      <c r="AD104"/>
      <c r="AE104"/>
      <c r="AF104"/>
      <c r="AG104"/>
      <c r="AH104"/>
      <c r="AI104"/>
      <c r="AJ104"/>
      <c r="AK104"/>
      <c r="AN104" s="1">
        <f t="shared" si="6"/>
        <v>0</v>
      </c>
      <c r="AR104" s="1">
        <f t="shared" si="5"/>
        <v>0</v>
      </c>
      <c r="AV104" s="35"/>
      <c r="AZ104" s="153" t="s">
        <v>1774</v>
      </c>
      <c r="BA104" s="153">
        <v>1.084</v>
      </c>
      <c r="BB104" s="1" t="s">
        <v>430</v>
      </c>
    </row>
    <row r="105" spans="8:54">
      <c r="H105"/>
      <c r="I105"/>
      <c r="Q105" s="1"/>
      <c r="R105" s="1"/>
      <c r="Z105" s="1"/>
      <c r="AA105" s="1"/>
      <c r="AC105"/>
      <c r="AD105"/>
      <c r="AE105"/>
      <c r="AF105"/>
      <c r="AG105"/>
      <c r="AH105"/>
      <c r="AI105"/>
      <c r="AJ105"/>
      <c r="AK105"/>
      <c r="AN105" s="1">
        <f t="shared" si="6"/>
        <v>0</v>
      </c>
      <c r="AR105" s="1">
        <f t="shared" si="5"/>
        <v>0</v>
      </c>
      <c r="AV105" s="35"/>
      <c r="AZ105" s="153" t="s">
        <v>1777</v>
      </c>
      <c r="BA105" s="153">
        <v>1.066</v>
      </c>
      <c r="BB105" s="1" t="s">
        <v>430</v>
      </c>
    </row>
    <row r="106" spans="8:54">
      <c r="H106"/>
      <c r="I106"/>
      <c r="Q106" s="1"/>
      <c r="R106" s="1"/>
      <c r="Z106" s="1"/>
      <c r="AA106" s="1"/>
      <c r="AC106"/>
      <c r="AD106"/>
      <c r="AE106"/>
      <c r="AF106"/>
      <c r="AG106"/>
      <c r="AH106"/>
      <c r="AI106"/>
      <c r="AJ106"/>
      <c r="AK106"/>
      <c r="AN106" s="1">
        <f t="shared" si="6"/>
        <v>0</v>
      </c>
      <c r="AR106" s="1">
        <f t="shared" si="5"/>
        <v>0</v>
      </c>
      <c r="AV106" s="35"/>
      <c r="AZ106" s="153" t="s">
        <v>1780</v>
      </c>
      <c r="BA106" s="153">
        <v>10.526</v>
      </c>
      <c r="BB106" s="1" t="s">
        <v>430</v>
      </c>
    </row>
    <row r="107" spans="8:54">
      <c r="H107"/>
      <c r="I107"/>
      <c r="Q107" s="1"/>
      <c r="R107" s="1"/>
      <c r="Z107" s="1"/>
      <c r="AA107" s="1"/>
      <c r="AC107"/>
      <c r="AD107"/>
      <c r="AE107"/>
      <c r="AF107"/>
      <c r="AG107"/>
      <c r="AH107"/>
      <c r="AI107"/>
      <c r="AJ107"/>
      <c r="AK107"/>
      <c r="AN107" s="1">
        <f t="shared" si="6"/>
        <v>0</v>
      </c>
      <c r="AR107" s="1">
        <f t="shared" si="5"/>
        <v>0</v>
      </c>
      <c r="AV107" s="35"/>
      <c r="AZ107" s="153" t="s">
        <v>1760</v>
      </c>
      <c r="BA107" s="153">
        <v>8.692</v>
      </c>
      <c r="BB107" s="1" t="s">
        <v>430</v>
      </c>
    </row>
    <row r="108" spans="8:54">
      <c r="H108"/>
      <c r="I108"/>
      <c r="Q108" s="1"/>
      <c r="R108" s="1"/>
      <c r="Z108" s="1"/>
      <c r="AA108" s="1"/>
      <c r="AC108"/>
      <c r="AD108"/>
      <c r="AE108"/>
      <c r="AF108"/>
      <c r="AG108"/>
      <c r="AH108"/>
      <c r="AI108"/>
      <c r="AJ108"/>
      <c r="AK108"/>
      <c r="AN108" s="1">
        <f t="shared" si="6"/>
        <v>0</v>
      </c>
      <c r="AR108" s="1">
        <f t="shared" si="5"/>
        <v>0</v>
      </c>
      <c r="AV108" s="35"/>
      <c r="AZ108" s="29" t="s">
        <v>1799</v>
      </c>
      <c r="BA108" s="29">
        <v>12.767</v>
      </c>
      <c r="BB108" s="1" t="s">
        <v>430</v>
      </c>
    </row>
    <row r="109" spans="8:54">
      <c r="H109"/>
      <c r="I109"/>
      <c r="Q109" s="1"/>
      <c r="R109" s="1"/>
      <c r="Z109" s="1"/>
      <c r="AA109" s="1"/>
      <c r="AI109" s="1"/>
      <c r="AJ109" s="1"/>
      <c r="AK109" s="1"/>
      <c r="AN109" s="1">
        <f t="shared" si="6"/>
        <v>0</v>
      </c>
      <c r="AR109" s="1">
        <f t="shared" si="5"/>
        <v>0</v>
      </c>
      <c r="AV109" s="35"/>
      <c r="AZ109" s="29" t="s">
        <v>1649</v>
      </c>
      <c r="BA109" s="29">
        <v>5.49</v>
      </c>
      <c r="BB109" s="1" t="s">
        <v>430</v>
      </c>
    </row>
    <row r="110" spans="17:54">
      <c r="Q110" s="1"/>
      <c r="R110" s="1"/>
      <c r="Z110" s="1"/>
      <c r="AA110" s="1"/>
      <c r="AI110" s="1"/>
      <c r="AJ110" s="1"/>
      <c r="AK110" s="1"/>
      <c r="AN110" s="1">
        <f t="shared" si="6"/>
        <v>0</v>
      </c>
      <c r="AR110" s="1">
        <f t="shared" si="5"/>
        <v>0</v>
      </c>
      <c r="AV110" s="35"/>
      <c r="AZ110" s="29" t="s">
        <v>1832</v>
      </c>
      <c r="BA110" s="29">
        <v>8.091</v>
      </c>
      <c r="BB110" s="1" t="s">
        <v>430</v>
      </c>
    </row>
    <row r="111" spans="17:54">
      <c r="Q111" s="1"/>
      <c r="R111" s="1"/>
      <c r="Z111" s="1"/>
      <c r="AA111" s="1"/>
      <c r="AI111" s="1"/>
      <c r="AJ111" s="1"/>
      <c r="AK111" s="1"/>
      <c r="AN111" s="1">
        <f t="shared" si="6"/>
        <v>0</v>
      </c>
      <c r="AR111" s="1">
        <f t="shared" si="5"/>
        <v>0</v>
      </c>
      <c r="AV111" s="35"/>
      <c r="AZ111" s="29" t="s">
        <v>1714</v>
      </c>
      <c r="BA111" s="29">
        <v>2.349</v>
      </c>
      <c r="BB111" s="1" t="s">
        <v>430</v>
      </c>
    </row>
    <row r="112" spans="26:54">
      <c r="Z112" s="1"/>
      <c r="AA112" s="1"/>
      <c r="AI112" s="1"/>
      <c r="AJ112" s="1"/>
      <c r="AK112" s="1"/>
      <c r="AN112" s="1">
        <f t="shared" si="6"/>
        <v>0</v>
      </c>
      <c r="AR112" s="1">
        <f t="shared" si="5"/>
        <v>0</v>
      </c>
      <c r="AV112" s="35"/>
      <c r="AZ112" s="29" t="s">
        <v>1716</v>
      </c>
      <c r="BA112" s="29">
        <v>2.349</v>
      </c>
      <c r="BB112" s="1" t="s">
        <v>430</v>
      </c>
    </row>
    <row r="113" spans="26:54">
      <c r="Z113" s="1"/>
      <c r="AA113" s="1"/>
      <c r="AI113" s="1"/>
      <c r="AJ113" s="1"/>
      <c r="AK113" s="1"/>
      <c r="AN113" s="1">
        <f t="shared" si="6"/>
        <v>0</v>
      </c>
      <c r="AR113" s="1">
        <f t="shared" si="5"/>
        <v>0</v>
      </c>
      <c r="AV113" s="35"/>
      <c r="AZ113" s="29" t="s">
        <v>1783</v>
      </c>
      <c r="BA113" s="29">
        <v>1.836</v>
      </c>
      <c r="BB113" s="1" t="s">
        <v>430</v>
      </c>
    </row>
    <row r="114" spans="26:54">
      <c r="Z114" s="1"/>
      <c r="AA114" s="1"/>
      <c r="AI114" s="1"/>
      <c r="AJ114" s="1"/>
      <c r="AK114" s="1"/>
      <c r="AN114" s="1">
        <f t="shared" si="6"/>
        <v>0</v>
      </c>
      <c r="AR114" s="1">
        <f t="shared" si="5"/>
        <v>0</v>
      </c>
      <c r="AV114" s="35"/>
      <c r="AZ114" s="29" t="s">
        <v>1787</v>
      </c>
      <c r="BA114" s="29">
        <v>6.733</v>
      </c>
      <c r="BB114" s="1" t="s">
        <v>430</v>
      </c>
    </row>
    <row r="115" spans="26:54">
      <c r="Z115" s="1"/>
      <c r="AA115" s="1"/>
      <c r="AI115" s="1"/>
      <c r="AJ115" s="1"/>
      <c r="AK115" s="1"/>
      <c r="AN115" s="1">
        <f t="shared" si="6"/>
        <v>0</v>
      </c>
      <c r="AR115" s="1">
        <f t="shared" si="5"/>
        <v>0</v>
      </c>
      <c r="AV115" s="35"/>
      <c r="AZ115" s="29" t="s">
        <v>1790</v>
      </c>
      <c r="BA115" s="29">
        <v>12.767</v>
      </c>
      <c r="BB115" s="1" t="s">
        <v>430</v>
      </c>
    </row>
    <row r="116" spans="35:54">
      <c r="AI116" s="1"/>
      <c r="AJ116" s="1"/>
      <c r="AK116" s="1"/>
      <c r="AN116" s="1">
        <f t="shared" si="6"/>
        <v>0</v>
      </c>
      <c r="AR116" s="1">
        <f t="shared" si="5"/>
        <v>0</v>
      </c>
      <c r="AV116" s="35"/>
      <c r="AZ116" s="29" t="s">
        <v>1793</v>
      </c>
      <c r="BA116" s="29">
        <v>4.883</v>
      </c>
      <c r="BB116" s="1" t="s">
        <v>430</v>
      </c>
    </row>
    <row r="117" spans="35:54">
      <c r="AI117" s="1"/>
      <c r="AJ117" s="1"/>
      <c r="AK117" s="1"/>
      <c r="AN117" s="1">
        <f t="shared" si="6"/>
        <v>0</v>
      </c>
      <c r="AR117" s="1">
        <f t="shared" si="5"/>
        <v>0</v>
      </c>
      <c r="AV117" s="35"/>
      <c r="AZ117" s="29" t="s">
        <v>1796</v>
      </c>
      <c r="BA117" s="29">
        <v>9.11</v>
      </c>
      <c r="BB117" s="1" t="s">
        <v>430</v>
      </c>
    </row>
    <row r="118" spans="35:54">
      <c r="AI118" s="1"/>
      <c r="AJ118" s="1"/>
      <c r="AK118" s="1"/>
      <c r="AN118" s="1">
        <f t="shared" si="6"/>
        <v>0</v>
      </c>
      <c r="AR118" s="1">
        <f t="shared" si="5"/>
        <v>0</v>
      </c>
      <c r="AV118" s="35"/>
      <c r="AZ118" s="29" t="s">
        <v>1805</v>
      </c>
      <c r="BA118" s="29">
        <v>4.72</v>
      </c>
      <c r="BB118" s="1" t="s">
        <v>430</v>
      </c>
    </row>
    <row r="119" spans="40:54">
      <c r="AN119" s="1">
        <f t="shared" si="6"/>
        <v>0</v>
      </c>
      <c r="AR119" s="1">
        <f t="shared" si="5"/>
        <v>0</v>
      </c>
      <c r="AV119" s="35"/>
      <c r="AZ119" s="29" t="s">
        <v>1808</v>
      </c>
      <c r="BA119" s="29">
        <v>14.16</v>
      </c>
      <c r="BB119" s="1" t="s">
        <v>430</v>
      </c>
    </row>
    <row r="120" spans="40:54">
      <c r="AN120" s="1">
        <f t="shared" si="6"/>
        <v>0</v>
      </c>
      <c r="AR120" s="1">
        <f t="shared" si="5"/>
        <v>0</v>
      </c>
      <c r="AV120" s="35"/>
      <c r="AZ120" s="29" t="s">
        <v>1811</v>
      </c>
      <c r="BA120" s="29">
        <v>4.196</v>
      </c>
      <c r="BB120" s="1" t="s">
        <v>430</v>
      </c>
    </row>
    <row r="121" spans="40:54">
      <c r="AN121" s="1">
        <f t="shared" si="6"/>
        <v>0</v>
      </c>
      <c r="AR121" s="1">
        <f t="shared" si="5"/>
        <v>0</v>
      </c>
      <c r="AZ121" s="29" t="s">
        <v>1814</v>
      </c>
      <c r="BA121" s="29">
        <v>13.111</v>
      </c>
      <c r="BB121" s="1" t="s">
        <v>430</v>
      </c>
    </row>
    <row r="122" spans="40:54">
      <c r="AN122" s="1">
        <f t="shared" si="6"/>
        <v>0</v>
      </c>
      <c r="AR122" s="1">
        <f t="shared" si="5"/>
        <v>0</v>
      </c>
      <c r="AZ122" s="29" t="s">
        <v>1817</v>
      </c>
      <c r="BA122" s="29">
        <v>9.44</v>
      </c>
      <c r="BB122" s="1" t="s">
        <v>430</v>
      </c>
    </row>
    <row r="123" spans="40:54">
      <c r="AN123" s="1">
        <f t="shared" si="6"/>
        <v>0</v>
      </c>
      <c r="AR123" s="1">
        <f t="shared" si="5"/>
        <v>0</v>
      </c>
      <c r="AZ123" s="29" t="s">
        <v>1820</v>
      </c>
      <c r="BA123" s="29">
        <v>9.44</v>
      </c>
      <c r="BB123" s="1" t="s">
        <v>430</v>
      </c>
    </row>
    <row r="124" spans="44:53">
      <c r="AR124" s="1"/>
      <c r="AZ124" s="29"/>
      <c r="BA124" s="29"/>
    </row>
    <row r="125" spans="44:53">
      <c r="AR125" s="1"/>
      <c r="AZ125" s="29"/>
      <c r="BA125" s="29"/>
    </row>
    <row r="126" spans="44:44">
      <c r="AR126" s="1"/>
    </row>
    <row r="127" spans="44:44">
      <c r="AR127" s="1"/>
    </row>
    <row r="128" spans="44:44">
      <c r="AR128" s="1"/>
    </row>
    <row r="129" spans="44:44">
      <c r="AR129" s="1"/>
    </row>
    <row r="130" spans="44:53">
      <c r="AR130" s="1"/>
      <c r="AZ130" s="29"/>
      <c r="BA130" s="29"/>
    </row>
    <row r="131" spans="44:53">
      <c r="AR131" s="1"/>
      <c r="AZ131" s="29"/>
      <c r="BA131" s="29"/>
    </row>
    <row r="132" spans="44:53">
      <c r="AR132" s="1"/>
      <c r="AZ132" s="29"/>
      <c r="BA132" s="29"/>
    </row>
    <row r="133" spans="44:53">
      <c r="AR133" s="1"/>
      <c r="AZ133" s="29"/>
      <c r="BA133" s="29"/>
    </row>
    <row r="134" spans="44:53">
      <c r="AR134" s="1"/>
      <c r="AZ134" s="29"/>
      <c r="BA134" s="29"/>
    </row>
    <row r="135" spans="44:53">
      <c r="AR135" s="1"/>
      <c r="AZ135" s="29"/>
      <c r="BA135" s="29"/>
    </row>
    <row r="136" spans="44:53">
      <c r="AR136" s="1"/>
      <c r="AZ136" s="29"/>
      <c r="BA136" s="29"/>
    </row>
    <row r="137" spans="44:53">
      <c r="AR137" s="1"/>
      <c r="AZ137" s="29"/>
      <c r="BA137" s="29"/>
    </row>
    <row r="138" spans="44:53">
      <c r="AR138" s="1"/>
      <c r="AZ138" s="29"/>
      <c r="BA138" s="29"/>
    </row>
    <row r="139" spans="44:53">
      <c r="AR139" s="1"/>
      <c r="AZ139" s="29"/>
      <c r="BA139" s="29"/>
    </row>
    <row r="140" spans="44:53">
      <c r="AR140" s="1"/>
      <c r="AZ140" s="29"/>
      <c r="BA140" s="29"/>
    </row>
    <row r="141" spans="44:53">
      <c r="AR141" s="1"/>
      <c r="AZ141" s="29"/>
      <c r="BA141" s="29"/>
    </row>
    <row r="142" spans="44:53">
      <c r="AR142" s="1"/>
      <c r="AZ142" s="29"/>
      <c r="BA142" s="29"/>
    </row>
    <row r="143" spans="44:53">
      <c r="AR143" s="1"/>
      <c r="AZ143" s="29"/>
      <c r="BA143" s="29"/>
    </row>
    <row r="144" spans="44:53">
      <c r="AR144" s="1"/>
      <c r="AZ144" s="29"/>
      <c r="BA144" s="29"/>
    </row>
    <row r="145" spans="52:53">
      <c r="AZ145" s="29"/>
      <c r="BA145" s="29"/>
    </row>
    <row r="146" spans="52:53">
      <c r="AZ146" s="29"/>
      <c r="BA146" s="29"/>
    </row>
    <row r="147" spans="52:53">
      <c r="AZ147" s="29"/>
      <c r="BA147" s="29"/>
    </row>
    <row r="148" spans="52:53">
      <c r="AZ148" s="104"/>
      <c r="BA148"/>
    </row>
    <row r="149" spans="52:53">
      <c r="AZ149"/>
      <c r="BA149"/>
    </row>
    <row r="150" spans="52:53">
      <c r="AZ150"/>
      <c r="BA150"/>
    </row>
    <row r="151" spans="52:53">
      <c r="AZ151"/>
      <c r="BA151"/>
    </row>
    <row r="152" spans="52:53">
      <c r="AZ152"/>
      <c r="BA152"/>
    </row>
    <row r="153" spans="52:53">
      <c r="AZ153"/>
      <c r="BA153"/>
    </row>
    <row r="154" spans="52:53">
      <c r="AZ154"/>
      <c r="BA154"/>
    </row>
    <row r="155" spans="52:53">
      <c r="AZ155"/>
      <c r="BA155"/>
    </row>
    <row r="156" spans="52:53">
      <c r="AZ156"/>
      <c r="BA156"/>
    </row>
    <row r="157" spans="52:54">
      <c r="AZ157"/>
      <c r="BA157"/>
      <c r="BB157"/>
    </row>
    <row r="158" spans="52:54">
      <c r="AZ158"/>
      <c r="BA158"/>
      <c r="BB158"/>
    </row>
    <row r="159" spans="52:54">
      <c r="AZ159"/>
      <c r="BA159"/>
      <c r="BB159"/>
    </row>
    <row r="160" spans="52:54">
      <c r="AZ160"/>
      <c r="BA160"/>
      <c r="BB160"/>
    </row>
    <row r="161" spans="52:54">
      <c r="AZ161"/>
      <c r="BA161"/>
      <c r="BB161"/>
    </row>
    <row r="162" spans="52:54">
      <c r="AZ162"/>
      <c r="BA162"/>
      <c r="BB162"/>
    </row>
    <row r="163" spans="52:54">
      <c r="AZ163"/>
      <c r="BA163"/>
      <c r="BB163"/>
    </row>
    <row r="164" spans="52:54">
      <c r="AZ164"/>
      <c r="BA164"/>
      <c r="BB164"/>
    </row>
    <row r="165" spans="52:54">
      <c r="AZ165"/>
      <c r="BA165"/>
      <c r="BB165"/>
    </row>
    <row r="166" spans="52:54">
      <c r="AZ166"/>
      <c r="BA166"/>
      <c r="BB166"/>
    </row>
    <row r="167" spans="52:54">
      <c r="AZ167"/>
      <c r="BA167"/>
      <c r="BB167"/>
    </row>
    <row r="168" spans="52:54">
      <c r="AZ168"/>
      <c r="BA168"/>
      <c r="BB168"/>
    </row>
    <row r="169" spans="52:54">
      <c r="AZ169"/>
      <c r="BA169"/>
      <c r="BB169"/>
    </row>
    <row r="170" spans="52:54">
      <c r="AZ170"/>
      <c r="BA170"/>
      <c r="BB170"/>
    </row>
    <row r="171" spans="52:54">
      <c r="AZ171"/>
      <c r="BA171"/>
      <c r="BB171"/>
    </row>
    <row r="172" spans="52:54">
      <c r="AZ172"/>
      <c r="BA172"/>
      <c r="BB172"/>
    </row>
    <row r="173" spans="52:54">
      <c r="AZ173"/>
      <c r="BA173"/>
      <c r="BB173"/>
    </row>
    <row r="174" spans="52:54">
      <c r="AZ174"/>
      <c r="BA174"/>
      <c r="BB174"/>
    </row>
    <row r="175" spans="52:54">
      <c r="AZ175"/>
      <c r="BA175"/>
      <c r="BB175"/>
    </row>
    <row r="176" spans="52:54">
      <c r="AZ176"/>
      <c r="BA176"/>
      <c r="BB176"/>
    </row>
    <row r="177" spans="52:54">
      <c r="AZ177"/>
      <c r="BA177"/>
      <c r="BB177"/>
    </row>
    <row r="178" spans="52:54">
      <c r="AZ178"/>
      <c r="BA178"/>
      <c r="BB178"/>
    </row>
    <row r="179" spans="52:54">
      <c r="AZ179"/>
      <c r="BA179"/>
      <c r="BB179"/>
    </row>
    <row r="180" spans="52:54">
      <c r="AZ180"/>
      <c r="BA180"/>
      <c r="BB180"/>
    </row>
    <row r="181" spans="52:54">
      <c r="AZ181"/>
      <c r="BA181"/>
      <c r="BB181"/>
    </row>
    <row r="182" spans="52:54">
      <c r="AZ182"/>
      <c r="BA182"/>
      <c r="BB182"/>
    </row>
    <row r="183" spans="52:54">
      <c r="AZ183"/>
      <c r="BA183"/>
      <c r="BB183"/>
    </row>
    <row r="184" spans="52:54">
      <c r="AZ184"/>
      <c r="BA184"/>
      <c r="BB184"/>
    </row>
    <row r="185" spans="52:54">
      <c r="AZ185"/>
      <c r="BA185"/>
      <c r="BB185"/>
    </row>
    <row r="186" spans="52:54">
      <c r="AZ186"/>
      <c r="BA186"/>
      <c r="BB186"/>
    </row>
    <row r="187" spans="52:54">
      <c r="AZ187"/>
      <c r="BA187"/>
      <c r="BB187"/>
    </row>
    <row r="188" spans="52:54">
      <c r="AZ188"/>
      <c r="BA188"/>
      <c r="BB188"/>
    </row>
    <row r="189" spans="52:54">
      <c r="AZ189"/>
      <c r="BA189"/>
      <c r="BB189"/>
    </row>
    <row r="190" spans="52:54">
      <c r="AZ190"/>
      <c r="BA190"/>
      <c r="BB190"/>
    </row>
    <row r="191" spans="52:54">
      <c r="AZ191"/>
      <c r="BA191"/>
      <c r="BB191"/>
    </row>
    <row r="192" spans="52:54">
      <c r="AZ192"/>
      <c r="BA192"/>
      <c r="BB192"/>
    </row>
  </sheetData>
  <autoFilter ref="B1:BB156">
    <extLst/>
  </autoFilter>
  <conditionalFormatting sqref="AT3">
    <cfRule type="duplicateValues" dxfId="984" priority="2"/>
    <cfRule type="duplicateValues" dxfId="984" priority="1"/>
  </conditionalFormatting>
  <conditionalFormatting sqref="AW3">
    <cfRule type="duplicateValues" dxfId="984" priority="4"/>
    <cfRule type="duplicateValues" dxfId="984" priority="3"/>
  </conditionalFormatting>
  <conditionalFormatting sqref="AZ66">
    <cfRule type="duplicateValues" dxfId="984" priority="20"/>
    <cfRule type="duplicateValues" dxfId="984" priority="16"/>
  </conditionalFormatting>
  <conditionalFormatting sqref="AZ67">
    <cfRule type="duplicateValues" dxfId="984" priority="19"/>
    <cfRule type="duplicateValues" dxfId="984" priority="15"/>
  </conditionalFormatting>
  <conditionalFormatting sqref="AZ68">
    <cfRule type="duplicateValues" dxfId="984" priority="18"/>
    <cfRule type="duplicateValues" dxfId="984" priority="14"/>
  </conditionalFormatting>
  <conditionalFormatting sqref="AZ69">
    <cfRule type="duplicateValues" dxfId="984" priority="17"/>
    <cfRule type="duplicateValues" dxfId="984" priority="13"/>
  </conditionalFormatting>
  <conditionalFormatting sqref="AZ79">
    <cfRule type="duplicateValues" dxfId="984" priority="24"/>
  </conditionalFormatting>
  <conditionalFormatting sqref="AZ82">
    <cfRule type="duplicateValues" dxfId="984" priority="22"/>
    <cfRule type="duplicateValues" dxfId="984" priority="21"/>
  </conditionalFormatting>
  <conditionalFormatting sqref="AZ112">
    <cfRule type="duplicateValues" dxfId="984" priority="49"/>
    <cfRule type="duplicateValues" dxfId="984" priority="45"/>
  </conditionalFormatting>
  <conditionalFormatting sqref="AZ113">
    <cfRule type="duplicateValues" dxfId="984" priority="48"/>
    <cfRule type="duplicateValues" dxfId="984" priority="44"/>
  </conditionalFormatting>
  <conditionalFormatting sqref="AZ114">
    <cfRule type="duplicateValues" dxfId="984" priority="47"/>
    <cfRule type="duplicateValues" dxfId="984" priority="43"/>
  </conditionalFormatting>
  <conditionalFormatting sqref="AZ115">
    <cfRule type="duplicateValues" dxfId="984" priority="46"/>
    <cfRule type="duplicateValues" dxfId="984" priority="42"/>
  </conditionalFormatting>
  <conditionalFormatting sqref="AZ125">
    <cfRule type="duplicateValues" dxfId="984" priority="53"/>
  </conditionalFormatting>
  <conditionalFormatting sqref="AZ129">
    <cfRule type="duplicateValues" dxfId="984" priority="51"/>
    <cfRule type="duplicateValues" dxfId="984" priority="50"/>
  </conditionalFormatting>
  <conditionalFormatting sqref="AZ1:AZ2 BA193:BA1048576">
    <cfRule type="duplicateValues" dxfId="984" priority="92"/>
    <cfRule type="duplicateValues" dxfId="984" priority="90"/>
  </conditionalFormatting>
  <conditionalFormatting sqref="AZ3:AZ57 AZ62:AZ65 AZ80:AZ81 AZ70:AZ73 AZ75:AZ76">
    <cfRule type="duplicateValues" dxfId="984" priority="25"/>
  </conditionalFormatting>
  <conditionalFormatting sqref="AZ3:AZ65 AZ70:AZ81">
    <cfRule type="duplicateValues" dxfId="984" priority="23"/>
  </conditionalFormatting>
  <conditionalFormatting sqref="AZ108:AZ111 AZ121:AZ122 AZ116:AZ119 AZ126:AZ128">
    <cfRule type="duplicateValues" dxfId="984" priority="54"/>
  </conditionalFormatting>
  <conditionalFormatting sqref="AZ108:AZ111 AZ116:AZ128">
    <cfRule type="duplicateValues" dxfId="984" priority="52"/>
  </conditionalFormatting>
  <pageMargins left="0.75" right="0.75" top="1" bottom="1" header="0.5" footer="0.5"/>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rgb="FFFFFF00"/>
  </sheetPr>
  <dimension ref="A1:AN90"/>
  <sheetViews>
    <sheetView workbookViewId="0">
      <pane ySplit="3" topLeftCell="A4" activePane="bottomLeft" state="frozen"/>
      <selection/>
      <selection pane="bottomLeft" activeCell="M8" sqref="M8"/>
    </sheetView>
  </sheetViews>
  <sheetFormatPr defaultColWidth="9" defaultRowHeight="21" customHeight="1"/>
  <cols>
    <col min="1" max="1" width="5.22935779816514" customWidth="1"/>
    <col min="2" max="2" width="12.2018348623853" style="120" customWidth="1"/>
    <col min="3" max="3" width="13.954128440367" customWidth="1"/>
    <col min="4" max="4" width="10.8348623853211" style="104" customWidth="1"/>
    <col min="5" max="5" width="11.5045871559633" customWidth="1"/>
    <col min="6" max="10" width="9" hidden="1" customWidth="1"/>
    <col min="12" max="12" width="9.5045871559633"/>
    <col min="13" max="13" width="11.0825688073394" customWidth="1"/>
    <col min="14" max="14" width="7.47706422018349" customWidth="1"/>
    <col min="22" max="22" width="10.6697247706422"/>
    <col min="23" max="24" width="12.8807339449541" customWidth="1"/>
    <col min="26" max="26" width="9.24770642201835"/>
    <col min="27" max="27" width="9.3302752293578"/>
    <col min="30" max="30" width="11.3761467889908" customWidth="1"/>
    <col min="35" max="35" width="9.4954128440367"/>
    <col min="36" max="36" width="9.6697247706422"/>
    <col min="37" max="37" width="11.7522935779817" customWidth="1"/>
    <col min="38" max="38" width="11.6880733944954"/>
    <col min="39" max="39" width="10.4954128440367"/>
  </cols>
  <sheetData>
    <row r="1" s="1" customFormat="1" ht="150" customHeight="1" spans="2:37">
      <c r="B1" s="35">
        <f>COUNTA(B4:B1047082)</f>
        <v>87</v>
      </c>
      <c r="C1" s="51" t="s">
        <v>0</v>
      </c>
      <c r="D1" s="147"/>
      <c r="K1" s="35">
        <f>SUM(K4:K1047355)</f>
        <v>2289</v>
      </c>
      <c r="M1" s="36"/>
      <c r="T1" s="66" t="s">
        <v>1</v>
      </c>
      <c r="W1" s="67" t="s">
        <v>2</v>
      </c>
      <c r="X1" s="68" t="s">
        <v>3</v>
      </c>
      <c r="Y1" s="84" t="s">
        <v>4</v>
      </c>
      <c r="Z1" s="85"/>
      <c r="AA1" s="85"/>
      <c r="AB1" s="85"/>
      <c r="AC1" s="85"/>
      <c r="AD1" s="86"/>
      <c r="AE1" s="85"/>
      <c r="AF1" s="85"/>
      <c r="AG1" s="93" t="s">
        <v>587</v>
      </c>
      <c r="AH1" s="93"/>
      <c r="AI1" s="94" t="s">
        <v>6</v>
      </c>
      <c r="AJ1" s="94" t="s">
        <v>7</v>
      </c>
      <c r="AK1" s="95" t="s">
        <v>8</v>
      </c>
    </row>
    <row r="2" s="1" customFormat="1" ht="46" customHeight="1" spans="1:40">
      <c r="A2" s="37" t="s">
        <v>9</v>
      </c>
      <c r="B2" s="37" t="s">
        <v>10</v>
      </c>
      <c r="C2" s="37" t="s">
        <v>11</v>
      </c>
      <c r="D2" s="148" t="s">
        <v>12</v>
      </c>
      <c r="E2" s="37" t="s">
        <v>13</v>
      </c>
      <c r="F2" s="37" t="s">
        <v>14</v>
      </c>
      <c r="G2" s="37" t="s">
        <v>15</v>
      </c>
      <c r="H2" s="37" t="s">
        <v>16</v>
      </c>
      <c r="I2" s="37" t="s">
        <v>17</v>
      </c>
      <c r="J2" s="37" t="s">
        <v>18</v>
      </c>
      <c r="K2" s="150" t="s">
        <v>19</v>
      </c>
      <c r="L2" s="37" t="s">
        <v>20</v>
      </c>
      <c r="M2" s="38" t="s">
        <v>21</v>
      </c>
      <c r="N2" s="61" t="s">
        <v>22</v>
      </c>
      <c r="O2" s="62" t="s">
        <v>23</v>
      </c>
      <c r="P2" s="62" t="s">
        <v>24</v>
      </c>
      <c r="Q2" s="69" t="s">
        <v>25</v>
      </c>
      <c r="R2" s="69" t="s">
        <v>26</v>
      </c>
      <c r="S2" s="70" t="s">
        <v>27</v>
      </c>
      <c r="T2" s="38" t="s">
        <v>28</v>
      </c>
      <c r="U2" s="71" t="s">
        <v>29</v>
      </c>
      <c r="V2" s="72" t="s">
        <v>30</v>
      </c>
      <c r="W2" s="73" t="s">
        <v>458</v>
      </c>
      <c r="X2" s="74" t="s">
        <v>32</v>
      </c>
      <c r="Y2" s="38" t="s">
        <v>33</v>
      </c>
      <c r="Z2" s="38" t="s">
        <v>34</v>
      </c>
      <c r="AA2" s="38" t="s">
        <v>35</v>
      </c>
      <c r="AB2" s="87" t="s">
        <v>36</v>
      </c>
      <c r="AC2" s="88" t="s">
        <v>37</v>
      </c>
      <c r="AD2" s="88" t="s">
        <v>38</v>
      </c>
      <c r="AE2" s="38" t="s">
        <v>39</v>
      </c>
      <c r="AF2" s="38" t="s">
        <v>40</v>
      </c>
      <c r="AG2" s="96" t="s">
        <v>41</v>
      </c>
      <c r="AH2" s="96" t="s">
        <v>42</v>
      </c>
      <c r="AI2" s="151" t="s">
        <v>43</v>
      </c>
      <c r="AJ2" s="151" t="s">
        <v>44</v>
      </c>
      <c r="AK2" s="38" t="s">
        <v>45</v>
      </c>
      <c r="AL2" s="38" t="s">
        <v>46</v>
      </c>
      <c r="AM2" s="24">
        <v>45200</v>
      </c>
      <c r="AN2" s="24" t="s">
        <v>47</v>
      </c>
    </row>
    <row r="3" s="49" customFormat="1" ht="20" customHeight="1" spans="2:38">
      <c r="B3" s="138"/>
      <c r="C3" s="138"/>
      <c r="D3" s="149"/>
      <c r="E3" s="138"/>
      <c r="F3" s="57"/>
      <c r="G3" s="57"/>
      <c r="H3" s="57"/>
      <c r="I3" s="57"/>
      <c r="J3" s="57"/>
      <c r="K3" s="57">
        <f>SUM(K4:K1047286)</f>
        <v>2289</v>
      </c>
      <c r="L3" s="41"/>
      <c r="M3" s="139">
        <f t="shared" ref="M3:R3" si="0">SUM(M4:M1047286)</f>
        <v>64427.5872</v>
      </c>
      <c r="N3" s="57">
        <f t="shared" si="0"/>
        <v>393</v>
      </c>
      <c r="O3" s="57">
        <f t="shared" si="0"/>
        <v>795</v>
      </c>
      <c r="P3" s="57">
        <f t="shared" si="0"/>
        <v>1491</v>
      </c>
      <c r="Q3" s="57">
        <f t="shared" si="0"/>
        <v>367</v>
      </c>
      <c r="R3" s="57">
        <f t="shared" si="0"/>
        <v>26</v>
      </c>
      <c r="S3" s="75"/>
      <c r="T3" s="76"/>
      <c r="U3" s="77"/>
      <c r="V3" s="78"/>
      <c r="W3" s="76"/>
      <c r="X3" s="76"/>
      <c r="Y3" s="57">
        <f>SUM(Y4:Y1047286)</f>
        <v>440.82</v>
      </c>
      <c r="Z3" s="57">
        <f>SUM(Z4:Z1047286)</f>
        <v>840.86</v>
      </c>
      <c r="AA3" s="57">
        <f>SUM(AA4:AA1047286)</f>
        <v>1552.44</v>
      </c>
      <c r="AB3" s="89"/>
      <c r="AC3" s="89"/>
      <c r="AD3" s="90"/>
      <c r="AE3" s="89"/>
      <c r="AF3" s="89"/>
      <c r="AG3" s="89"/>
      <c r="AH3" s="98"/>
      <c r="AI3" s="98"/>
      <c r="AJ3" s="89"/>
      <c r="AK3" s="41">
        <f>SUM(AK4:AK1046075)</f>
        <v>12114.1121</v>
      </c>
      <c r="AL3" s="57">
        <f>SUM(AL4:AL1047286)</f>
        <v>24495.1286</v>
      </c>
    </row>
    <row r="4" customHeight="1" spans="1:40">
      <c r="A4" s="58" t="str">
        <f>INDEX('[1]6店'!$A:$A,MATCH(B:B,'[1]6店'!$B:$B,0))</f>
        <v>美珠</v>
      </c>
      <c r="B4" s="108" t="s">
        <v>1878</v>
      </c>
      <c r="C4" s="43" t="s">
        <v>1879</v>
      </c>
      <c r="D4" s="59">
        <f>VLOOKUP(B:B,'[1]6店'!$B:$L,3,0)</f>
        <v>44667</v>
      </c>
      <c r="E4" s="43" t="s">
        <v>1880</v>
      </c>
      <c r="F4" s="43">
        <v>46</v>
      </c>
      <c r="G4" s="43">
        <v>0</v>
      </c>
      <c r="H4" s="43">
        <v>0</v>
      </c>
      <c r="I4" s="43">
        <v>0</v>
      </c>
      <c r="J4" s="43">
        <v>0</v>
      </c>
      <c r="K4" s="63">
        <f t="shared" ref="K4:K24" si="1">F4+G4+H4+I4+J4</f>
        <v>46</v>
      </c>
      <c r="L4" s="124">
        <f>VLOOKUP($B:$B,'[1]6店'!$B:$L,11,0)</f>
        <v>26.222</v>
      </c>
      <c r="M4" s="44">
        <f>K4*L4</f>
        <v>1206.212</v>
      </c>
      <c r="N4" s="65">
        <f>IFERROR(VLOOKUP(B:B,'6店辅助表'!B:C,2,FALSE),0)</f>
        <v>6</v>
      </c>
      <c r="O4" s="65">
        <f>IFERROR(VLOOKUP(B:B,'6店辅助表'!E:F,2,FALSE),0)</f>
        <v>8</v>
      </c>
      <c r="P4" s="65">
        <f>IFERROR(VLOOKUP(B:B,'6店辅助表'!H:I,2,FALSE),0)</f>
        <v>16</v>
      </c>
      <c r="Q4" s="65">
        <f>IFERROR(VLOOKUP(B:B,'[1]6店'!$B:$N,13,FALSE),0)</f>
        <v>0</v>
      </c>
      <c r="R4" s="79">
        <f t="shared" ref="R4:R24" si="2">N4-Q4</f>
        <v>6</v>
      </c>
      <c r="S4" s="80">
        <f t="shared" ref="S4:S24" si="3">IFERROR(K4/((N4/7+O4/15+P4/30)/3),"-")</f>
        <v>71.7326732673267</v>
      </c>
      <c r="T4" s="44">
        <f t="shared" ref="T4:T24" si="4">IFERROR(S4/30,"-")</f>
        <v>2.39108910891089</v>
      </c>
      <c r="U4" s="44">
        <f>IFERROR(VLOOKUP(B:B,'[1]6店'!$B:$T,19,0),"-")</f>
        <v>6.52173913043478</v>
      </c>
      <c r="V4" s="81">
        <f t="shared" ref="V4:V24" si="5">IFERROR(T4-U4,"-")</f>
        <v>-4.13065002152389</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库存过高</v>
      </c>
      <c r="X4" s="83" t="str">
        <f>_xlfn.IFS(AND(D4&lt;&gt;0,D4-$AM$2&gt;=0,K4&gt;0,D4&lt;&gt;0),"本月刚到货",AND(T4="-",K4&gt;0),"有库存无销量",AND(T4="-",K4=0),"无库存无销量",AND(T4&lt;=0.5,K4=0),"无库存有销量",T4&lt;=0.5,"库存过低",T4&lt;=1.5,"正常",T4&gt;1.5,"库存过高")</f>
        <v>库存过高</v>
      </c>
      <c r="Y4" s="44">
        <f>IFERROR(SUMIF('6店辅助表'!K:K,B:B,'6店辅助表'!N:N),0)</f>
        <v>4.12</v>
      </c>
      <c r="Z4" s="44">
        <f>IFERROR(SUMIF('6店辅助表'!T:T,B:B,'6店辅助表'!W:W),0)</f>
        <v>8.26</v>
      </c>
      <c r="AA4" s="44">
        <f>IFERROR(SUMIF('6店辅助表'!AC:AC,B:B,'6店辅助表'!AF:AF),0)</f>
        <v>22.93</v>
      </c>
      <c r="AB4" s="91">
        <f>IFERROR(SUMIF('6店辅助表'!K:K,B:B,'6店辅助表'!N:N)/SUMIF('6店辅助表'!K:K,B:B,'6店辅助表'!O:O),"-")</f>
        <v>0.257661038148843</v>
      </c>
      <c r="AC4" s="91">
        <f>IFERROR(VLOOKUP(B:B,'[1]6店'!$B:$AB,27,FALSE),"-")</f>
        <v>0.266177451634423</v>
      </c>
      <c r="AD4" s="92">
        <f t="shared" ref="AD4:AD24" si="6">IFERROR(AB4-AC4,"-")</f>
        <v>-0.00851641348558002</v>
      </c>
      <c r="AE4" s="91">
        <f>IFERROR(SUMIF('6店辅助表'!T:T,B:B,'6店辅助表'!W:W)/SUMIF('6店辅助表'!T:T,B:B,'6店辅助表'!X:X),"-")</f>
        <v>0.266623628147192</v>
      </c>
      <c r="AF4" s="91">
        <f>IFERROR(SUMIF('6店辅助表'!AC:AC,B:B,'6店辅助表'!AF:AF)/SUMIF('6店辅助表'!AC:AC,B:B,'6店辅助表'!AG:AG),"-")</f>
        <v>0.74015493867011</v>
      </c>
      <c r="AG4" s="99">
        <f>IFERROR(AK4/((SUMIF('6店辅助表'!AT:AT,B:B,'6店辅助表'!AU:AU)+M4)/2),"-")</f>
        <v>0.125</v>
      </c>
      <c r="AH4" s="99">
        <f>IFERROR(AL4/((SUMIF('6店辅助表'!AW:AW,B:B,'6店辅助表'!AX:AX)+M4)/2),"-")</f>
        <v>0.149532710280374</v>
      </c>
      <c r="AI4" s="100">
        <f>IFERROR((SUMIF('6店辅助表'!AP:AP,B:B,'6店辅助表'!AR:AR)-SUMIF('6店辅助表'!AP:AP,B:B,'6店辅助表'!AR:AR)*0.15-(L4+IFERROR(VLOOKUP(B:B,'6店辅助表'!AZ:BA,2,0),0))*O4-IF(AN:AN="US",6.85,4.9)*(Z4+4.03*O4))/SUMIF('6店辅助表'!AP:AP,B:B,'6店辅助表'!AR:AR),"-")</f>
        <v>0.290999849358404</v>
      </c>
      <c r="AJ4" s="100">
        <f t="shared" ref="AJ4:AJ24" si="7">IFERROR(AH4*AI4,"-")</f>
        <v>0.0435139961657426</v>
      </c>
      <c r="AK4" s="101">
        <f t="shared" ref="AK4:AK24" si="8">N4*$L4</f>
        <v>157.332</v>
      </c>
      <c r="AL4" s="101">
        <f t="shared" ref="AL4:AL24" si="9">O4*$L4</f>
        <v>209.776</v>
      </c>
      <c r="AM4" s="1" t="str">
        <f>VLOOKUP(B:B,'6店辅助表'!AZ:AZ,1,FALSE)</f>
        <v>Y6008-GR</v>
      </c>
      <c r="AN4" t="str">
        <f>VLOOKUP(B:B,'6店辅助表'!AZ:BB,3,FALSE)</f>
        <v>US</v>
      </c>
    </row>
    <row r="5" customHeight="1" spans="1:40">
      <c r="A5" s="58" t="str">
        <f>INDEX('[1]6店'!$A:$A,MATCH(B:B,'[1]6店'!$B:$B,0))</f>
        <v>美珠</v>
      </c>
      <c r="B5" s="108" t="s">
        <v>1881</v>
      </c>
      <c r="C5" s="43" t="s">
        <v>1882</v>
      </c>
      <c r="D5" s="59">
        <f>VLOOKUP(B:B,'[1]6店'!$B:$L,3,0)</f>
        <v>44713</v>
      </c>
      <c r="E5" s="43" t="s">
        <v>1883</v>
      </c>
      <c r="F5" s="43">
        <v>18</v>
      </c>
      <c r="G5" s="43">
        <v>1</v>
      </c>
      <c r="H5" s="43">
        <v>1</v>
      </c>
      <c r="I5" s="43">
        <v>1</v>
      </c>
      <c r="J5" s="43">
        <v>0</v>
      </c>
      <c r="K5" s="63">
        <f t="shared" si="1"/>
        <v>21</v>
      </c>
      <c r="L5" s="124">
        <f>VLOOKUP($B:$B,'[1]6店'!$B:$L,11,0)</f>
        <v>54.563</v>
      </c>
      <c r="M5" s="44">
        <f t="shared" ref="M5:M36" si="10">K5*L5</f>
        <v>1145.823</v>
      </c>
      <c r="N5" s="65">
        <f>IFERROR(VLOOKUP(B:B,'6店辅助表'!B:C,2,FALSE),0)</f>
        <v>12</v>
      </c>
      <c r="O5" s="65">
        <f>IFERROR(VLOOKUP(B:B,'6店辅助表'!E:F,2,FALSE),0)</f>
        <v>16</v>
      </c>
      <c r="P5" s="65">
        <f>IFERROR(VLOOKUP(B:B,'6店辅助表'!H:I,2,FALSE),0)</f>
        <v>19</v>
      </c>
      <c r="Q5" s="65">
        <f>IFERROR(VLOOKUP(B:B,'[1]6店'!$B:$N,13,FALSE),0)</f>
        <v>3</v>
      </c>
      <c r="R5" s="79">
        <f t="shared" si="2"/>
        <v>9</v>
      </c>
      <c r="S5" s="80">
        <f t="shared" si="3"/>
        <v>18.4518828451883</v>
      </c>
      <c r="T5" s="44">
        <f t="shared" si="4"/>
        <v>0.615062761506276</v>
      </c>
      <c r="U5" s="44">
        <f>IFERROR(VLOOKUP(B:B,'[1]6店'!$B:$T,19,0),"-")</f>
        <v>3.51674641148325</v>
      </c>
      <c r="V5" s="81">
        <f t="shared" si="5"/>
        <v>-2.90168364997697</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库存过低</v>
      </c>
      <c r="X5" s="83" t="str">
        <f>_xlfn.IFS(AND(D5&lt;&gt;0,D5-$AM$2&gt;=0,K5&gt;0,D5&lt;&gt;0),"本月刚到货",AND(T5="-",K5&gt;0),"有库存无销量",AND(T5="-",K5=0),"无库存无销量",AND(T5&lt;=0.5,K5=0),"无库存有销量",T5&lt;=0.5,"库存过低",T5&lt;=1.5,"正常",T5&gt;1.5,"库存过高")</f>
        <v>正常</v>
      </c>
      <c r="Y5" s="44">
        <f>IFERROR(SUMIF('6店辅助表'!K:K,B:B,'6店辅助表'!N:N),0)</f>
        <v>0</v>
      </c>
      <c r="Z5" s="44">
        <f>IFERROR(SUMIF('6店辅助表'!T:T,B:B,'6店辅助表'!W:W),0)</f>
        <v>0</v>
      </c>
      <c r="AA5" s="44">
        <f>IFERROR(SUMIF('6店辅助表'!AC:AC,B:B,'6店辅助表'!AF:AF),0)</f>
        <v>0</v>
      </c>
      <c r="AB5" s="91" t="str">
        <f>IFERROR(SUMIF('6店辅助表'!K:K,B:B,'6店辅助表'!N:N)/SUMIF('6店辅助表'!K:K,B:B,'6店辅助表'!O:O),"-")</f>
        <v>-</v>
      </c>
      <c r="AC5" s="91" t="str">
        <f>IFERROR(VLOOKUP(B:B,'[1]6店'!$B:$AB,27,FALSE),"-")</f>
        <v>-</v>
      </c>
      <c r="AD5" s="92" t="str">
        <f t="shared" si="6"/>
        <v>-</v>
      </c>
      <c r="AE5" s="91" t="str">
        <f>IFERROR(SUMIF('6店辅助表'!T:T,B:B,'6店辅助表'!W:W)/SUMIF('6店辅助表'!T:T,B:B,'6店辅助表'!X:X),"-")</f>
        <v>-</v>
      </c>
      <c r="AF5" s="91" t="str">
        <f>IFERROR(SUMIF('6店辅助表'!AC:AC,B:B,'6店辅助表'!AF:AF)/SUMIF('6店辅助表'!AC:AC,B:B,'6店辅助表'!AG:AG),"-")</f>
        <v>-</v>
      </c>
      <c r="AG5" s="99">
        <f>IFERROR(AK5/((SUMIF('6店辅助表'!AT:AT,B:B,'6店辅助表'!AU:AU)+M5)/2),"-")</f>
        <v>0.428571428571429</v>
      </c>
      <c r="AH5" s="99">
        <f>IFERROR(AL5/((SUMIF('6店辅助表'!AW:AW,B:B,'6店辅助表'!AX:AX)+M5)/2),"-")</f>
        <v>0.524590163934426</v>
      </c>
      <c r="AI5" s="100">
        <f>IFERROR((SUMIF('6店辅助表'!AP:AP,B:B,'6店辅助表'!AR:AR)-SUMIF('6店辅助表'!AP:AP,B:B,'6店辅助表'!AR:AR)*0.15-(L5+IFERROR(VLOOKUP(B:B,'6店辅助表'!AZ:BA,2,0),0))*O5-IF(AN:AN="US",6.85,4.9)*(Z5+4.03*O5))/SUMIF('6店辅助表'!AP:AP,B:B,'6店辅助表'!AR:AR),"-")</f>
        <v>0.350214849619309</v>
      </c>
      <c r="AJ5" s="100">
        <f t="shared" si="7"/>
        <v>0.183719265374064</v>
      </c>
      <c r="AK5" s="101">
        <f t="shared" si="8"/>
        <v>654.756</v>
      </c>
      <c r="AL5" s="101">
        <f t="shared" si="9"/>
        <v>873.008</v>
      </c>
      <c r="AM5" s="1" t="str">
        <f>VLOOKUP(B:B,'6店辅助表'!AZ:AZ,1,FALSE)</f>
        <v>Y6009</v>
      </c>
      <c r="AN5" t="str">
        <f>VLOOKUP(B:B,'6店辅助表'!AZ:BB,3,FALSE)</f>
        <v>US</v>
      </c>
    </row>
    <row r="6" customHeight="1" spans="1:40">
      <c r="A6" s="58" t="str">
        <f>INDEX('[1]6店'!$A:$A,MATCH(B:B,'[1]6店'!$B:$B,0))</f>
        <v>美珠</v>
      </c>
      <c r="B6" s="108" t="s">
        <v>1884</v>
      </c>
      <c r="C6" s="43" t="s">
        <v>1885</v>
      </c>
      <c r="D6" s="59">
        <f>VLOOKUP(B:B,'[1]6店'!$B:$L,3,0)</f>
        <v>44713</v>
      </c>
      <c r="E6" s="43" t="s">
        <v>1886</v>
      </c>
      <c r="F6" s="43">
        <v>6</v>
      </c>
      <c r="G6" s="43">
        <v>0</v>
      </c>
      <c r="H6" s="43">
        <v>0</v>
      </c>
      <c r="I6" s="43">
        <v>1</v>
      </c>
      <c r="J6" s="43">
        <v>0</v>
      </c>
      <c r="K6" s="63">
        <f t="shared" si="1"/>
        <v>7</v>
      </c>
      <c r="L6" s="124">
        <f>VLOOKUP($B:$B,'[1]6店'!$B:$L,11,0)</f>
        <v>53.791</v>
      </c>
      <c r="M6" s="44">
        <f t="shared" si="10"/>
        <v>376.537</v>
      </c>
      <c r="N6" s="65">
        <f>IFERROR(VLOOKUP(B:B,'6店辅助表'!B:C,2,FALSE),0)</f>
        <v>1</v>
      </c>
      <c r="O6" s="65">
        <f>IFERROR(VLOOKUP(B:B,'6店辅助表'!E:F,2,FALSE),0)</f>
        <v>2</v>
      </c>
      <c r="P6" s="65">
        <f>IFERROR(VLOOKUP(B:B,'6店辅助表'!H:I,2,FALSE),0)</f>
        <v>3</v>
      </c>
      <c r="Q6" s="65">
        <f>IFERROR(VLOOKUP(B:B,'[1]6店'!$B:$N,13,FALSE),0)</f>
        <v>1</v>
      </c>
      <c r="R6" s="79">
        <f t="shared" si="2"/>
        <v>0</v>
      </c>
      <c r="S6" s="80">
        <f t="shared" si="3"/>
        <v>55.8227848101266</v>
      </c>
      <c r="T6" s="44">
        <f t="shared" si="4"/>
        <v>1.86075949367089</v>
      </c>
      <c r="U6" s="44">
        <f>IFERROR(VLOOKUP(B:B,'[1]6店'!$B:$T,19,0),"-")</f>
        <v>1.86075949367089</v>
      </c>
      <c r="V6" s="81">
        <f t="shared" si="5"/>
        <v>0</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库存过高</v>
      </c>
      <c r="X6" s="83" t="str">
        <f>_xlfn.IFS(AND(D6&lt;&gt;0,D6-$AM$2&gt;=0,K6&gt;0,D6&lt;&gt;0),"本月刚到货",AND(T6="-",K6&gt;0),"有库存无销量",AND(T6="-",K6=0),"无库存无销量",AND(T6&lt;=0.5,K6=0),"无库存有销量",T6&lt;=0.5,"库存过低",T6&lt;=1.5,"正常",T6&gt;1.5,"库存过高")</f>
        <v>库存过高</v>
      </c>
      <c r="Y6" s="44">
        <f>IFERROR(SUMIF('6店辅助表'!K:K,B:B,'6店辅助表'!N:N),0)</f>
        <v>0</v>
      </c>
      <c r="Z6" s="44">
        <f>IFERROR(SUMIF('6店辅助表'!T:T,B:B,'6店辅助表'!W:W),0)</f>
        <v>0</v>
      </c>
      <c r="AA6" s="44">
        <f>IFERROR(SUMIF('6店辅助表'!AC:AC,B:B,'6店辅助表'!AF:AF),0)</f>
        <v>0</v>
      </c>
      <c r="AB6" s="91" t="str">
        <f>IFERROR(SUMIF('6店辅助表'!K:K,B:B,'6店辅助表'!N:N)/SUMIF('6店辅助表'!K:K,B:B,'6店辅助表'!O:O),"-")</f>
        <v>-</v>
      </c>
      <c r="AC6" s="91" t="str">
        <f>IFERROR(VLOOKUP(B:B,'[1]6店'!$B:$AB,27,FALSE),"-")</f>
        <v>-</v>
      </c>
      <c r="AD6" s="92" t="str">
        <f t="shared" si="6"/>
        <v>-</v>
      </c>
      <c r="AE6" s="91" t="str">
        <f>IFERROR(SUMIF('6店辅助表'!T:T,B:B,'6店辅助表'!W:W)/SUMIF('6店辅助表'!T:T,B:B,'6店辅助表'!X:X),"-")</f>
        <v>-</v>
      </c>
      <c r="AF6" s="91" t="str">
        <f>IFERROR(SUMIF('6店辅助表'!AC:AC,B:B,'6店辅助表'!AF:AF)/SUMIF('6店辅助表'!AC:AC,B:B,'6店辅助表'!AG:AG),"-")</f>
        <v>-</v>
      </c>
      <c r="AG6" s="99">
        <f>IFERROR(AK6/((SUMIF('6店辅助表'!AT:AT,B:B,'6店辅助表'!AU:AU)+M6)/2),"-")</f>
        <v>0.142857142857143</v>
      </c>
      <c r="AH6" s="99">
        <f>IFERROR(AL6/((SUMIF('6店辅助表'!AW:AW,B:B,'6店辅助表'!AX:AX)+M6)/2),"-")</f>
        <v>0.25</v>
      </c>
      <c r="AI6" s="100">
        <f>IFERROR((SUMIF('6店辅助表'!AP:AP,B:B,'6店辅助表'!AR:AR)-SUMIF('6店辅助表'!AP:AP,B:B,'6店辅助表'!AR:AR)*0.15-(L6+IFERROR(VLOOKUP(B:B,'6店辅助表'!AZ:BA,2,0),0))*O6-IF(AN:AN="US",6.85,4.9)*(Z6+4.03*O6))/SUMIF('6店辅助表'!AP:AP,B:B,'6店辅助表'!AR:AR),"-")</f>
        <v>0.310447735130793</v>
      </c>
      <c r="AJ6" s="100">
        <f t="shared" si="7"/>
        <v>0.0776119337826983</v>
      </c>
      <c r="AK6" s="101">
        <f t="shared" si="8"/>
        <v>53.791</v>
      </c>
      <c r="AL6" s="101">
        <f t="shared" si="9"/>
        <v>107.582</v>
      </c>
      <c r="AM6" s="1" t="str">
        <f>VLOOKUP(B:B,'6店辅助表'!AZ:AZ,1,FALSE)</f>
        <v>Y6010</v>
      </c>
      <c r="AN6" t="str">
        <f>VLOOKUP(B:B,'6店辅助表'!AZ:BB,3,FALSE)</f>
        <v>US</v>
      </c>
    </row>
    <row r="7" customHeight="1" spans="1:40">
      <c r="A7" s="58" t="str">
        <f>INDEX('[1]6店'!$A:$A,MATCH(B:B,'[1]6店'!$B:$B,0))</f>
        <v>美珠</v>
      </c>
      <c r="B7" s="108" t="s">
        <v>1887</v>
      </c>
      <c r="C7" s="43" t="s">
        <v>1888</v>
      </c>
      <c r="D7" s="59">
        <f>VLOOKUP(B:B,'[1]6店'!$B:$L,3,0)</f>
        <v>44721</v>
      </c>
      <c r="E7" s="43" t="s">
        <v>1889</v>
      </c>
      <c r="F7" s="43">
        <v>110</v>
      </c>
      <c r="G7" s="43">
        <v>8</v>
      </c>
      <c r="H7" s="43">
        <v>148</v>
      </c>
      <c r="I7" s="43">
        <v>9</v>
      </c>
      <c r="J7" s="43">
        <v>1</v>
      </c>
      <c r="K7" s="63">
        <f t="shared" si="1"/>
        <v>276</v>
      </c>
      <c r="L7" s="124">
        <f>VLOOKUP($B:$B,'[1]6店'!$B:$L,11,0)</f>
        <v>27.367</v>
      </c>
      <c r="M7" s="44">
        <f t="shared" si="10"/>
        <v>7553.292</v>
      </c>
      <c r="N7" s="65">
        <f>IFERROR(VLOOKUP(B:B,'6店辅助表'!B:C,2,FALSE),0)</f>
        <v>81</v>
      </c>
      <c r="O7" s="65">
        <f>IFERROR(VLOOKUP(B:B,'6店辅助表'!E:F,2,FALSE),0)</f>
        <v>135</v>
      </c>
      <c r="P7" s="65">
        <f>IFERROR(VLOOKUP(B:B,'6店辅助表'!H:I,2,FALSE),0)</f>
        <v>291</v>
      </c>
      <c r="Q7" s="65">
        <f>IFERROR(VLOOKUP(B:B,'[1]6店'!$B:$N,13,FALSE),0)</f>
        <v>49</v>
      </c>
      <c r="R7" s="79">
        <f t="shared" si="2"/>
        <v>32</v>
      </c>
      <c r="S7" s="80">
        <f t="shared" si="3"/>
        <v>27.3525247758377</v>
      </c>
      <c r="T7" s="44">
        <f t="shared" si="4"/>
        <v>0.911750825861255</v>
      </c>
      <c r="U7" s="44">
        <f>IFERROR(VLOOKUP(B:B,'[1]6店'!$B:$T,19,0),"-")</f>
        <v>1.14630681818182</v>
      </c>
      <c r="V7" s="81">
        <f t="shared" si="5"/>
        <v>-0.234555992320565</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正常</v>
      </c>
      <c r="X7" s="83" t="str">
        <f>_xlfn.IFS(AND(D7&lt;&gt;0,D7-$AM$2&gt;=0,K7&gt;0,D7&lt;&gt;0),"本月刚到货",AND(T7="-",K7&gt;0),"有库存无销量",AND(T7="-",K7=0),"无库存无销量",AND(T7&lt;=0.5,K7=0),"无库存有销量",T7&lt;=0.5,"库存过低",T7&lt;=1.5,"正常",T7&gt;1.5,"库存过高")</f>
        <v>正常</v>
      </c>
      <c r="Y7" s="44">
        <f>IFERROR(SUMIF('6店辅助表'!K:K,B:B,'6店辅助表'!N:N),0)</f>
        <v>65.07</v>
      </c>
      <c r="Z7" s="44">
        <f>IFERROR(SUMIF('6店辅助表'!T:T,B:B,'6店辅助表'!W:W),0)</f>
        <v>120.81</v>
      </c>
      <c r="AA7" s="44">
        <f>IFERROR(SUMIF('6店辅助表'!AC:AC,B:B,'6店辅助表'!AF:AF),0)</f>
        <v>226.29</v>
      </c>
      <c r="AB7" s="91">
        <f>IFERROR(SUMIF('6店辅助表'!K:K,B:B,'6店辅助表'!N:N)/SUMIF('6店辅助表'!K:K,B:B,'6店辅助表'!O:O),"-")</f>
        <v>0.167434320561974</v>
      </c>
      <c r="AC7" s="91">
        <f>IFERROR(VLOOKUP(B:B,'[1]6店'!$B:$AB,27,FALSE),"-")</f>
        <v>0.214508094645081</v>
      </c>
      <c r="AD7" s="92">
        <f t="shared" si="6"/>
        <v>-0.047073774083107</v>
      </c>
      <c r="AE7" s="91">
        <f>IFERROR(SUMIF('6店辅助表'!T:T,B:B,'6店辅助表'!W:W)/SUMIF('6店辅助表'!T:T,B:B,'6店辅助表'!X:X),"-")</f>
        <v>0.171749051051307</v>
      </c>
      <c r="AF7" s="91">
        <f>IFERROR(SUMIF('6店辅助表'!AC:AC,B:B,'6店辅助表'!AF:AF)/SUMIF('6店辅助表'!AC:AC,B:B,'6店辅助表'!AG:AG),"-")</f>
        <v>0.19439051627867</v>
      </c>
      <c r="AG7" s="99">
        <f>IFERROR(AK7/((SUMIF('6店辅助表'!AT:AT,B:B,'6店辅助表'!AU:AU)+M7)/2),"-")</f>
        <v>0.297247706422018</v>
      </c>
      <c r="AH7" s="99">
        <f>IFERROR(AL7/((SUMIF('6店辅助表'!AW:AW,B:B,'6店辅助表'!AX:AX)+M7)/2),"-")</f>
        <v>0.467937608318891</v>
      </c>
      <c r="AI7" s="100">
        <f>IFERROR((SUMIF('6店辅助表'!AP:AP,B:B,'6店辅助表'!AR:AR)-SUMIF('6店辅助表'!AP:AP,B:B,'6店辅助表'!AR:AR)*0.15-(L7+IFERROR(VLOOKUP(B:B,'6店辅助表'!AZ:BA,2,0),0))*O7-IF(AN:AN="US",6.85,4.9)*(Z7+4.03*O7))/SUMIF('6店辅助表'!AP:AP,B:B,'6店辅助表'!AR:AR),"-")</f>
        <v>0.206919093999863</v>
      </c>
      <c r="AJ7" s="100">
        <f t="shared" si="7"/>
        <v>0.0968252259618076</v>
      </c>
      <c r="AK7" s="101">
        <f t="shared" si="8"/>
        <v>2216.727</v>
      </c>
      <c r="AL7" s="101">
        <f t="shared" si="9"/>
        <v>3694.545</v>
      </c>
      <c r="AM7" s="1" t="str">
        <f>VLOOKUP(B:B,'6店辅助表'!AZ:AZ,1,FALSE)</f>
        <v>Y6011-Black</v>
      </c>
      <c r="AN7" t="str">
        <f>VLOOKUP(B:B,'6店辅助表'!AZ:BB,3,FALSE)</f>
        <v>US</v>
      </c>
    </row>
    <row r="8" customHeight="1" spans="1:40">
      <c r="A8" s="58" t="str">
        <f>INDEX('[1]6店'!$A:$A,MATCH(B:B,'[1]6店'!$B:$B,0))</f>
        <v>美珠</v>
      </c>
      <c r="B8" s="108" t="s">
        <v>1890</v>
      </c>
      <c r="C8" s="43" t="s">
        <v>1891</v>
      </c>
      <c r="D8" s="59">
        <f>VLOOKUP(B:B,'[1]6店'!$B:$L,3,0)</f>
        <v>44721</v>
      </c>
      <c r="E8" s="43" t="s">
        <v>1892</v>
      </c>
      <c r="F8" s="43">
        <v>0</v>
      </c>
      <c r="G8" s="43">
        <v>0</v>
      </c>
      <c r="H8" s="43">
        <v>0</v>
      </c>
      <c r="I8" s="43">
        <v>1</v>
      </c>
      <c r="J8" s="43">
        <v>0</v>
      </c>
      <c r="K8" s="63">
        <f t="shared" si="1"/>
        <v>1</v>
      </c>
      <c r="L8" s="124">
        <f>VLOOKUP($B:$B,'[1]6店'!$B:$L,11,0)</f>
        <v>26.037</v>
      </c>
      <c r="M8" s="44">
        <f t="shared" si="10"/>
        <v>26.037</v>
      </c>
      <c r="N8" s="65">
        <f>IFERROR(VLOOKUP(B:B,'6店辅助表'!B:C,2,FALSE),0)</f>
        <v>1</v>
      </c>
      <c r="O8" s="65">
        <f>IFERROR(VLOOKUP(B:B,'6店辅助表'!E:F,2,FALSE),0)</f>
        <v>6</v>
      </c>
      <c r="P8" s="65">
        <f>IFERROR(VLOOKUP(B:B,'6店辅助表'!H:I,2,FALSE),0)</f>
        <v>6</v>
      </c>
      <c r="Q8" s="65">
        <f>IFERROR(VLOOKUP(B:B,'[1]6店'!$B:$N,13,FALSE),0)</f>
        <v>5</v>
      </c>
      <c r="R8" s="79">
        <f t="shared" si="2"/>
        <v>-4</v>
      </c>
      <c r="S8" s="80">
        <f t="shared" si="3"/>
        <v>4.03846153846154</v>
      </c>
      <c r="T8" s="44">
        <f t="shared" si="4"/>
        <v>0.134615384615385</v>
      </c>
      <c r="U8" s="44">
        <f>IFERROR(VLOOKUP(B:B,'[1]6店'!$B:$T,19,0),"-")</f>
        <v>0.329411764705882</v>
      </c>
      <c r="V8" s="81">
        <f t="shared" si="5"/>
        <v>-0.194796380090497</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库存过低</v>
      </c>
      <c r="X8" s="83" t="str">
        <f>_xlfn.IFS(AND(D8&lt;&gt;0,D8-$AM$2&gt;=0,K8&gt;0,D8&lt;&gt;0),"本月刚到货",AND(T8="-",K8&gt;0),"有库存无销量",AND(T8="-",K8=0),"无库存无销量",AND(T8&lt;=0.5,K8=0),"无库存有销量",T8&lt;=0.5,"库存过低",T8&lt;=1.5,"正常",T8&gt;1.5,"库存过高")</f>
        <v>库存过低</v>
      </c>
      <c r="Y8" s="44">
        <f>IFERROR(SUMIF('6店辅助表'!K:K,B:B,'6店辅助表'!N:N),0)</f>
        <v>0</v>
      </c>
      <c r="Z8" s="44">
        <f>IFERROR(SUMIF('6店辅助表'!T:T,B:B,'6店辅助表'!W:W),0)</f>
        <v>0</v>
      </c>
      <c r="AA8" s="44">
        <f>IFERROR(SUMIF('6店辅助表'!AC:AC,B:B,'6店辅助表'!AF:AF),0)</f>
        <v>0</v>
      </c>
      <c r="AB8" s="91" t="str">
        <f>IFERROR(SUMIF('6店辅助表'!K:K,B:B,'6店辅助表'!N:N)/SUMIF('6店辅助表'!K:K,B:B,'6店辅助表'!O:O),"-")</f>
        <v>-</v>
      </c>
      <c r="AC8" s="91" t="str">
        <f>IFERROR(VLOOKUP(B:B,'[1]6店'!$B:$AB,27,FALSE),"-")</f>
        <v>-</v>
      </c>
      <c r="AD8" s="92" t="str">
        <f t="shared" si="6"/>
        <v>-</v>
      </c>
      <c r="AE8" s="91" t="str">
        <f>IFERROR(SUMIF('6店辅助表'!T:T,B:B,'6店辅助表'!W:W)/SUMIF('6店辅助表'!T:T,B:B,'6店辅助表'!X:X),"-")</f>
        <v>-</v>
      </c>
      <c r="AF8" s="91" t="str">
        <f>IFERROR(SUMIF('6店辅助表'!AC:AC,B:B,'6店辅助表'!AF:AF)/SUMIF('6店辅助表'!AC:AC,B:B,'6店辅助表'!AG:AG),"-")</f>
        <v>-</v>
      </c>
      <c r="AG8" s="99">
        <f>IFERROR(AK8/((SUMIF('6店辅助表'!AT:AT,B:B,'6店辅助表'!AU:AU)+M8)/2),"-")</f>
        <v>0.4</v>
      </c>
      <c r="AH8" s="99">
        <f>IFERROR(AL8/((SUMIF('6店辅助表'!AW:AW,B:B,'6店辅助表'!AX:AX)+M8)/2),"-")</f>
        <v>2</v>
      </c>
      <c r="AI8" s="100">
        <f>IFERROR((SUMIF('6店辅助表'!AP:AP,B:B,'6店辅助表'!AR:AR)-SUMIF('6店辅助表'!AP:AP,B:B,'6店辅助表'!AR:AR)*0.15-(L8+IFERROR(VLOOKUP(B:B,'6店辅助表'!AZ:BA,2,0),0))*O8-IF(AN:AN="US",6.85,4.9)*(Z8+4.03*O8))/SUMIF('6店辅助表'!AP:AP,B:B,'6店辅助表'!AR:AR),"-")</f>
        <v>0.323454322346284</v>
      </c>
      <c r="AJ8" s="100">
        <f t="shared" si="7"/>
        <v>0.646908644692569</v>
      </c>
      <c r="AK8" s="101">
        <f t="shared" si="8"/>
        <v>26.037</v>
      </c>
      <c r="AL8" s="101">
        <f t="shared" si="9"/>
        <v>156.222</v>
      </c>
      <c r="AM8" s="1" t="str">
        <f>VLOOKUP(B:B,'6店辅助表'!AZ:AZ,1,FALSE)</f>
        <v>Y6008-BU</v>
      </c>
      <c r="AN8" t="str">
        <f>VLOOKUP(B:B,'6店辅助表'!AZ:BB,3,FALSE)</f>
        <v>US</v>
      </c>
    </row>
    <row r="9" customHeight="1" spans="1:40">
      <c r="A9" s="58" t="str">
        <f>INDEX('[1]6店'!$A:$A,MATCH(B:B,'[1]6店'!$B:$B,0))</f>
        <v>美珠</v>
      </c>
      <c r="B9" s="108" t="s">
        <v>1893</v>
      </c>
      <c r="C9" s="43" t="s">
        <v>1894</v>
      </c>
      <c r="D9" s="59">
        <f>VLOOKUP(B:B,'[1]6店'!$B:$L,3,0)</f>
        <v>44712</v>
      </c>
      <c r="E9" s="43" t="s">
        <v>1895</v>
      </c>
      <c r="F9" s="43">
        <v>9</v>
      </c>
      <c r="G9" s="43">
        <v>0</v>
      </c>
      <c r="H9" s="43">
        <v>0</v>
      </c>
      <c r="I9" s="43">
        <v>0</v>
      </c>
      <c r="J9" s="43">
        <v>0</v>
      </c>
      <c r="K9" s="63">
        <f t="shared" si="1"/>
        <v>9</v>
      </c>
      <c r="L9" s="124">
        <f>VLOOKUP($B:$B,'[1]6店'!$B:$L,11,0)</f>
        <v>28.142</v>
      </c>
      <c r="M9" s="44">
        <f t="shared" si="10"/>
        <v>253.278</v>
      </c>
      <c r="N9" s="65">
        <f>IFERROR(VLOOKUP(B:B,'6店辅助表'!B:C,2,FALSE),0)</f>
        <v>2</v>
      </c>
      <c r="O9" s="65">
        <f>IFERROR(VLOOKUP(B:B,'6店辅助表'!E:F,2,FALSE),0)</f>
        <v>6</v>
      </c>
      <c r="P9" s="65">
        <f>IFERROR(VLOOKUP(B:B,'6店辅助表'!H:I,2,FALSE),0)</f>
        <v>10</v>
      </c>
      <c r="Q9" s="65">
        <f>IFERROR(VLOOKUP(B:B,'[1]6店'!$B:$N,13,FALSE),0)</f>
        <v>4</v>
      </c>
      <c r="R9" s="79">
        <f t="shared" si="2"/>
        <v>-2</v>
      </c>
      <c r="S9" s="80">
        <f t="shared" si="3"/>
        <v>26.4953271028037</v>
      </c>
      <c r="T9" s="44">
        <f t="shared" si="4"/>
        <v>0.883177570093458</v>
      </c>
      <c r="U9" s="44">
        <f>IFERROR(VLOOKUP(B:B,'[1]6店'!$B:$T,19,0),"-")</f>
        <v>0.875</v>
      </c>
      <c r="V9" s="81">
        <f t="shared" si="5"/>
        <v>0.00817757009345799</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正常</v>
      </c>
      <c r="X9" s="83" t="str">
        <f>_xlfn.IFS(AND(D9&lt;&gt;0,D9-$AM$2&gt;=0,K9&gt;0,D9&lt;&gt;0),"本月刚到货",AND(T9="-",K9&gt;0),"有库存无销量",AND(T9="-",K9=0),"无库存无销量",AND(T9&lt;=0.5,K9=0),"无库存有销量",T9&lt;=0.5,"库存过低",T9&lt;=1.5,"正常",T9&gt;1.5,"库存过高")</f>
        <v>正常</v>
      </c>
      <c r="Y9" s="44">
        <f>IFERROR(SUMIF('6店辅助表'!K:K,B:B,'6店辅助表'!N:N),0)</f>
        <v>2.6</v>
      </c>
      <c r="Z9" s="44">
        <f>IFERROR(SUMIF('6店辅助表'!T:T,B:B,'6店辅助表'!W:W),0)</f>
        <v>7.78</v>
      </c>
      <c r="AA9" s="44">
        <f>IFERROR(SUMIF('6店辅助表'!AC:AC,B:B,'6店辅助表'!AF:AF),0)</f>
        <v>19.83</v>
      </c>
      <c r="AB9" s="91" t="str">
        <f>IFERROR(SUMIF('6店辅助表'!K:K,B:B,'6店辅助表'!N:N)/SUMIF('6店辅助表'!K:K,B:B,'6店辅助表'!O:O),"-")</f>
        <v>-</v>
      </c>
      <c r="AC9" s="91" t="str">
        <f>IFERROR(VLOOKUP(B:B,'[1]6店'!$B:$AB,27,FALSE),"-")</f>
        <v>-</v>
      </c>
      <c r="AD9" s="92" t="str">
        <f t="shared" si="6"/>
        <v>-</v>
      </c>
      <c r="AE9" s="91" t="str">
        <f>IFERROR(SUMIF('6店辅助表'!T:T,B:B,'6店辅助表'!W:W)/SUMIF('6店辅助表'!T:T,B:B,'6店辅助表'!X:X),"-")</f>
        <v>-</v>
      </c>
      <c r="AF9" s="91" t="str">
        <f>IFERROR(SUMIF('6店辅助表'!AC:AC,B:B,'6店辅助表'!AF:AF)/SUMIF('6店辅助表'!AC:AC,B:B,'6店辅助表'!AG:AG),"-")</f>
        <v>-</v>
      </c>
      <c r="AG9" s="99">
        <f>IFERROR(AK9/((SUMIF('6店辅助表'!AT:AT,B:B,'6店辅助表'!AU:AU)+M9)/2),"-")</f>
        <v>0.19047619047619</v>
      </c>
      <c r="AH9" s="99">
        <f>IFERROR(AL9/((SUMIF('6店辅助表'!AW:AW,B:B,'6店辅助表'!AX:AX)+M9)/2),"-")</f>
        <v>0.428571428571429</v>
      </c>
      <c r="AI9" s="100">
        <f>IFERROR((SUMIF('6店辅助表'!AP:AP,B:B,'6店辅助表'!AR:AR)-SUMIF('6店辅助表'!AP:AP,B:B,'6店辅助表'!AR:AR)*0.15-(L9+IFERROR(VLOOKUP(B:B,'6店辅助表'!AZ:BA,2,0),0))*O9-IF(AN:AN="US",6.85,4.9)*(Z9+4.03*O9))/SUMIF('6店辅助表'!AP:AP,B:B,'6店辅助表'!AR:AR),"-")</f>
        <v>0.211027384030554</v>
      </c>
      <c r="AJ9" s="100">
        <f t="shared" si="7"/>
        <v>0.090440307441666</v>
      </c>
      <c r="AK9" s="101">
        <f t="shared" si="8"/>
        <v>56.284</v>
      </c>
      <c r="AL9" s="101">
        <f t="shared" si="9"/>
        <v>168.852</v>
      </c>
      <c r="AM9" s="1" t="str">
        <f>VLOOKUP(B:B,'6店辅助表'!AZ:AZ,1,FALSE)</f>
        <v>Y6016</v>
      </c>
      <c r="AN9" t="str">
        <f>VLOOKUP(B:B,'6店辅助表'!AZ:BB,3,FALSE)</f>
        <v>US</v>
      </c>
    </row>
    <row r="10" customHeight="1" spans="1:40">
      <c r="A10" s="58" t="str">
        <f>INDEX('[1]6店'!$A:$A,MATCH(B:B,'[1]6店'!$B:$B,0))</f>
        <v>美珠</v>
      </c>
      <c r="B10" s="108" t="s">
        <v>1896</v>
      </c>
      <c r="C10" s="43" t="s">
        <v>1897</v>
      </c>
      <c r="D10" s="59">
        <f>VLOOKUP(B:B,'[1]6店'!$B:$L,3,0)</f>
        <v>44734</v>
      </c>
      <c r="E10" s="43" t="s">
        <v>1898</v>
      </c>
      <c r="F10" s="43">
        <v>33</v>
      </c>
      <c r="G10" s="43">
        <v>0</v>
      </c>
      <c r="H10" s="43">
        <v>15</v>
      </c>
      <c r="I10" s="43">
        <v>0</v>
      </c>
      <c r="J10" s="43">
        <v>2</v>
      </c>
      <c r="K10" s="63">
        <f t="shared" si="1"/>
        <v>50</v>
      </c>
      <c r="L10" s="124">
        <f>VLOOKUP($B:$B,'[1]6店'!$B:$L,11,0)</f>
        <v>28.219</v>
      </c>
      <c r="M10" s="44">
        <f t="shared" si="10"/>
        <v>1410.95</v>
      </c>
      <c r="N10" s="65">
        <f>IFERROR(VLOOKUP(B:B,'6店辅助表'!B:C,2,FALSE),0)</f>
        <v>7</v>
      </c>
      <c r="O10" s="65">
        <f>IFERROR(VLOOKUP(B:B,'6店辅助表'!E:F,2,FALSE),0)</f>
        <v>14</v>
      </c>
      <c r="P10" s="65">
        <f>IFERROR(VLOOKUP(B:B,'6店辅助表'!H:I,2,FALSE),0)</f>
        <v>24</v>
      </c>
      <c r="Q10" s="65">
        <f>IFERROR(VLOOKUP(B:B,'[1]6店'!$B:$N,13,FALSE),0)</f>
        <v>8</v>
      </c>
      <c r="R10" s="79">
        <f t="shared" si="2"/>
        <v>-1</v>
      </c>
      <c r="S10" s="80">
        <f t="shared" si="3"/>
        <v>54.8780487804878</v>
      </c>
      <c r="T10" s="44">
        <f t="shared" si="4"/>
        <v>1.82926829268293</v>
      </c>
      <c r="U10" s="44">
        <f>IFERROR(VLOOKUP(B:B,'[1]6店'!$B:$T,19,0),"-")</f>
        <v>1.848</v>
      </c>
      <c r="V10" s="81">
        <f t="shared" si="5"/>
        <v>-0.0187317073170701</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库存过高</v>
      </c>
      <c r="X10" s="83" t="str">
        <f>_xlfn.IFS(AND(D10&lt;&gt;0,D10-$AM$2&gt;=0,K10&gt;0,D10&lt;&gt;0),"本月刚到货",AND(T10="-",K10&gt;0),"有库存无销量",AND(T10="-",K10=0),"无库存无销量",AND(T10&lt;=0.5,K10=0),"无库存有销量",T10&lt;=0.5,"库存过低",T10&lt;=1.5,"正常",T10&gt;1.5,"库存过高")</f>
        <v>库存过高</v>
      </c>
      <c r="Y10" s="44">
        <f>IFERROR(SUMIF('6店辅助表'!K:K,B:B,'6店辅助表'!N:N),0)</f>
        <v>4.35</v>
      </c>
      <c r="Z10" s="44">
        <f>IFERROR(SUMIF('6店辅助表'!T:T,B:B,'6店辅助表'!W:W),0)</f>
        <v>9.76</v>
      </c>
      <c r="AA10" s="44">
        <f>IFERROR(SUMIF('6店辅助表'!AC:AC,B:B,'6店辅助表'!AF:AF),0)</f>
        <v>22.43</v>
      </c>
      <c r="AB10" s="91">
        <f>IFERROR(SUMIF('6店辅助表'!K:K,B:B,'6店辅助表'!N:N)/SUMIF('6店辅助表'!K:K,B:B,'6店辅助表'!O:O),"-")</f>
        <v>0.155468191565404</v>
      </c>
      <c r="AC10" s="91">
        <f>IFERROR(VLOOKUP(B:B,'[1]6店'!$B:$AB,27,FALSE),"-")</f>
        <v>0.123038435296793</v>
      </c>
      <c r="AD10" s="92">
        <f t="shared" si="6"/>
        <v>0.032429756268611</v>
      </c>
      <c r="AE10" s="91">
        <f>IFERROR(SUMIF('6店辅助表'!T:T,B:B,'6店辅助表'!W:W)/SUMIF('6店辅助表'!T:T,B:B,'6店辅助表'!X:X),"-")</f>
        <v>0.135649756775539</v>
      </c>
      <c r="AF10" s="91">
        <f>IFERROR(SUMIF('6店辅助表'!AC:AC,B:B,'6店辅助表'!AF:AF)/SUMIF('6店辅助表'!AC:AC,B:B,'6店辅助表'!AG:AG),"-")</f>
        <v>0.224457119983989</v>
      </c>
      <c r="AG10" s="99">
        <f>IFERROR(AK10/((SUMIF('6店辅助表'!AT:AT,B:B,'6店辅助表'!AU:AU)+M10)/2),"-")</f>
        <v>0.133333333333333</v>
      </c>
      <c r="AH10" s="99">
        <f>IFERROR(AL10/((SUMIF('6店辅助表'!AW:AW,B:B,'6店辅助表'!AX:AX)+M10)/2),"-")</f>
        <v>0.474576271186441</v>
      </c>
      <c r="AI10" s="100">
        <f>IFERROR((SUMIF('6店辅助表'!AP:AP,B:B,'6店辅助表'!AR:AR)-SUMIF('6店辅助表'!AP:AP,B:B,'6店辅助表'!AR:AR)*0.15-(L10+IFERROR(VLOOKUP(B:B,'6店辅助表'!AZ:BA,2,0),0))*O10-IF(AN:AN="US",6.85,4.9)*(Z10+4.03*O10))/SUMIF('6店辅助表'!AP:AP,B:B,'6店辅助表'!AR:AR),"-")</f>
        <v>0.206800401379593</v>
      </c>
      <c r="AJ10" s="100">
        <f t="shared" si="7"/>
        <v>0.0981425633665865</v>
      </c>
      <c r="AK10" s="101">
        <f t="shared" si="8"/>
        <v>197.533</v>
      </c>
      <c r="AL10" s="101">
        <f t="shared" si="9"/>
        <v>395.066</v>
      </c>
      <c r="AM10" s="1" t="str">
        <f>VLOOKUP(B:B,'6店辅助表'!AZ:AZ,1,FALSE)</f>
        <v>Y6021-GR</v>
      </c>
      <c r="AN10" t="str">
        <f>VLOOKUP(B:B,'6店辅助表'!AZ:BB,3,FALSE)</f>
        <v>US</v>
      </c>
    </row>
    <row r="11" customHeight="1" spans="1:40">
      <c r="A11" s="58" t="str">
        <f>INDEX('[1]6店'!$A:$A,MATCH(B:B,'[1]6店'!$B:$B,0))</f>
        <v>美珠</v>
      </c>
      <c r="B11" s="108" t="s">
        <v>1899</v>
      </c>
      <c r="C11" s="43" t="s">
        <v>1897</v>
      </c>
      <c r="D11" s="59">
        <f>VLOOKUP(B:B,'[1]6店'!$B:$L,3,0)</f>
        <v>44742</v>
      </c>
      <c r="E11" s="43" t="s">
        <v>1900</v>
      </c>
      <c r="F11" s="43">
        <v>6</v>
      </c>
      <c r="G11" s="43">
        <v>2</v>
      </c>
      <c r="H11" s="43">
        <v>15</v>
      </c>
      <c r="I11" s="43">
        <v>1</v>
      </c>
      <c r="J11" s="43">
        <v>1</v>
      </c>
      <c r="K11" s="63">
        <f t="shared" si="1"/>
        <v>25</v>
      </c>
      <c r="L11" s="124">
        <f>VLOOKUP($B:$B,'[1]6店'!$B:$L,11,0)</f>
        <v>28.126</v>
      </c>
      <c r="M11" s="44">
        <f t="shared" si="10"/>
        <v>703.15</v>
      </c>
      <c r="N11" s="65">
        <f>IFERROR(VLOOKUP(B:B,'6店辅助表'!B:C,2,FALSE),0)</f>
        <v>6</v>
      </c>
      <c r="O11" s="65">
        <f>IFERROR(VLOOKUP(B:B,'6店辅助表'!E:F,2,FALSE),0)</f>
        <v>18</v>
      </c>
      <c r="P11" s="65">
        <f>IFERROR(VLOOKUP(B:B,'6店辅助表'!H:I,2,FALSE),0)</f>
        <v>43</v>
      </c>
      <c r="Q11" s="65">
        <f>IFERROR(VLOOKUP(B:B,'[1]6店'!$B:$N,13,FALSE),0)</f>
        <v>7</v>
      </c>
      <c r="R11" s="79">
        <f t="shared" si="2"/>
        <v>-1</v>
      </c>
      <c r="S11" s="80">
        <f t="shared" si="3"/>
        <v>21.4870395634379</v>
      </c>
      <c r="T11" s="44">
        <f t="shared" si="4"/>
        <v>0.716234652114597</v>
      </c>
      <c r="U11" s="44">
        <f>IFERROR(VLOOKUP(B:B,'[1]6店'!$B:$T,19,0),"-")</f>
        <v>0.375</v>
      </c>
      <c r="V11" s="81">
        <f t="shared" si="5"/>
        <v>0.341234652114597</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正常</v>
      </c>
      <c r="X11" s="83" t="str">
        <f>_xlfn.IFS(AND(D11&lt;&gt;0,D11-$AM$2&gt;=0,K11&gt;0,D11&lt;&gt;0),"本月刚到货",AND(T11="-",K11&gt;0),"有库存无销量",AND(T11="-",K11=0),"无库存无销量",AND(T11&lt;=0.5,K11=0),"无库存有销量",T11&lt;=0.5,"库存过低",T11&lt;=1.5,"正常",T11&gt;1.5,"库存过高")</f>
        <v>正常</v>
      </c>
      <c r="Y11" s="44">
        <f>IFERROR(SUMIF('6店辅助表'!K:K,B:B,'6店辅助表'!N:N),0)</f>
        <v>8.03</v>
      </c>
      <c r="Z11" s="44">
        <f>IFERROR(SUMIF('6店辅助表'!T:T,B:B,'6店辅助表'!W:W),0)</f>
        <v>19.51</v>
      </c>
      <c r="AA11" s="44">
        <f>IFERROR(SUMIF('6店辅助表'!AC:AC,B:B,'6店辅助表'!AF:AF),0)</f>
        <v>42.99</v>
      </c>
      <c r="AB11" s="91">
        <f>IFERROR(SUMIF('6店辅助表'!K:K,B:B,'6店辅助表'!N:N)/SUMIF('6店辅助表'!K:K,B:B,'6店辅助表'!O:O),"-")</f>
        <v>0.57398141529664</v>
      </c>
      <c r="AC11" s="91">
        <f>IFERROR(VLOOKUP(B:B,'[1]6店'!$B:$AB,27,FALSE),"-")</f>
        <v>0.243507267095544</v>
      </c>
      <c r="AD11" s="92">
        <f t="shared" si="6"/>
        <v>0.330474148201096</v>
      </c>
      <c r="AE11" s="91">
        <f>IFERROR(SUMIF('6店辅助表'!T:T,B:B,'6店辅助表'!W:W)/SUMIF('6店辅助表'!T:T,B:B,'6店辅助表'!X:X),"-")</f>
        <v>0.232427924708125</v>
      </c>
      <c r="AF11" s="91">
        <f>IFERROR(SUMIF('6店辅助表'!AC:AC,B:B,'6店辅助表'!AF:AF)/SUMIF('6店辅助表'!AC:AC,B:B,'6店辅助表'!AG:AG),"-")</f>
        <v>0.17925197014552</v>
      </c>
      <c r="AG11" s="99">
        <f>IFERROR(AK11/((SUMIF('6店辅助表'!AT:AT,B:B,'6店辅助表'!AU:AU)+M11)/2),"-")</f>
        <v>0.292682926829268</v>
      </c>
      <c r="AH11" s="99">
        <f>IFERROR(AL11/((SUMIF('6店辅助表'!AW:AW,B:B,'6店辅助表'!AX:AX)+M11)/2),"-")</f>
        <v>0.6</v>
      </c>
      <c r="AI11" s="100">
        <f>IFERROR((SUMIF('6店辅助表'!AP:AP,B:B,'6店辅助表'!AR:AR)-SUMIF('6店辅助表'!AP:AP,B:B,'6店辅助表'!AR:AR)*0.15-(L11+IFERROR(VLOOKUP(B:B,'6店辅助表'!AZ:BA,2,0),0))*O11-IF(AN:AN="US",6.85,4.9)*(Z11+4.03*O11))/SUMIF('6店辅助表'!AP:AP,B:B,'6店辅助表'!AR:AR),"-")</f>
        <v>0.180938794771146</v>
      </c>
      <c r="AJ11" s="100">
        <f t="shared" si="7"/>
        <v>0.108563276862688</v>
      </c>
      <c r="AK11" s="101">
        <f t="shared" si="8"/>
        <v>168.756</v>
      </c>
      <c r="AL11" s="101">
        <f t="shared" si="9"/>
        <v>506.268</v>
      </c>
      <c r="AM11" s="1" t="str">
        <f>VLOOKUP(B:B,'6店辅助表'!AZ:AZ,1,FALSE)</f>
        <v>Y6021-RE</v>
      </c>
      <c r="AN11" t="str">
        <f>VLOOKUP(B:B,'6店辅助表'!AZ:BB,3,FALSE)</f>
        <v>US</v>
      </c>
    </row>
    <row r="12" customHeight="1" spans="1:40">
      <c r="A12" s="58" t="str">
        <f>INDEX('[1]6店'!$A:$A,MATCH(B:B,'[1]6店'!$B:$B,0))</f>
        <v>美珠</v>
      </c>
      <c r="B12" s="108" t="s">
        <v>1901</v>
      </c>
      <c r="C12" s="43" t="s">
        <v>1902</v>
      </c>
      <c r="D12" s="59">
        <f>VLOOKUP(B:B,'[1]6店'!$B:$L,3,0)</f>
        <v>44744</v>
      </c>
      <c r="E12" s="43" t="s">
        <v>1903</v>
      </c>
      <c r="F12" s="43">
        <v>83</v>
      </c>
      <c r="G12" s="43">
        <v>1</v>
      </c>
      <c r="H12" s="43">
        <v>31</v>
      </c>
      <c r="I12" s="43">
        <v>2</v>
      </c>
      <c r="J12" s="43">
        <v>0</v>
      </c>
      <c r="K12" s="63">
        <f t="shared" si="1"/>
        <v>117</v>
      </c>
      <c r="L12" s="124">
        <f>VLOOKUP($B:$B,'[1]6店'!$B:$L,11,0)</f>
        <v>42.516</v>
      </c>
      <c r="M12" s="44">
        <f t="shared" si="10"/>
        <v>4974.372</v>
      </c>
      <c r="N12" s="65">
        <f>IFERROR(VLOOKUP(B:B,'6店辅助表'!B:C,2,FALSE),0)</f>
        <v>40</v>
      </c>
      <c r="O12" s="65">
        <f>IFERROR(VLOOKUP(B:B,'6店辅助表'!E:F,2,FALSE),0)</f>
        <v>71</v>
      </c>
      <c r="P12" s="65">
        <f>IFERROR(VLOOKUP(B:B,'6店辅助表'!H:I,2,FALSE),0)</f>
        <v>126</v>
      </c>
      <c r="Q12" s="65">
        <f>IFERROR(VLOOKUP(B:B,'[1]6店'!$B:$N,13,FALSE),0)</f>
        <v>29</v>
      </c>
      <c r="R12" s="79">
        <f t="shared" si="2"/>
        <v>11</v>
      </c>
      <c r="S12" s="80">
        <f t="shared" si="3"/>
        <v>23.9629388816645</v>
      </c>
      <c r="T12" s="44">
        <f t="shared" si="4"/>
        <v>0.798764629388817</v>
      </c>
      <c r="U12" s="44">
        <f>IFERROR(VLOOKUP(B:B,'[1]6店'!$B:$T,19,0),"-")</f>
        <v>1.17518248175182</v>
      </c>
      <c r="V12" s="81">
        <f t="shared" si="5"/>
        <v>-0.376417852363003</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正常</v>
      </c>
      <c r="X12" s="83" t="str">
        <f>_xlfn.IFS(AND(D12&lt;&gt;0,D12-$AM$2&gt;=0,K12&gt;0,D12&lt;&gt;0),"本月刚到货",AND(T12="-",K12&gt;0),"有库存无销量",AND(T12="-",K12=0),"无库存无销量",AND(T12&lt;=0.5,K12=0),"无库存有销量",T12&lt;=0.5,"库存过低",T12&lt;=1.5,"正常",T12&gt;1.5,"库存过高")</f>
        <v>正常</v>
      </c>
      <c r="Y12" s="44">
        <f>IFERROR(SUMIF('6店辅助表'!K:K,B:B,'6店辅助表'!N:N),0)</f>
        <v>49.57</v>
      </c>
      <c r="Z12" s="44">
        <f>IFERROR(SUMIF('6店辅助表'!T:T,B:B,'6店辅助表'!W:W),0)</f>
        <v>105.61</v>
      </c>
      <c r="AA12" s="44">
        <f>IFERROR(SUMIF('6店辅助表'!AC:AC,B:B,'6店辅助表'!AF:AF),0)</f>
        <v>206.54</v>
      </c>
      <c r="AB12" s="91">
        <f>IFERROR(SUMIF('6店辅助表'!K:K,B:B,'6店辅助表'!N:N)/SUMIF('6店辅助表'!K:K,B:B,'6店辅助表'!O:O),"-")</f>
        <v>0.25828470195915</v>
      </c>
      <c r="AC12" s="91">
        <f>IFERROR(VLOOKUP(B:B,'[1]6店'!$B:$AB,27,FALSE),"-")</f>
        <v>0.140308461859108</v>
      </c>
      <c r="AD12" s="92">
        <f t="shared" si="6"/>
        <v>0.117976240100042</v>
      </c>
      <c r="AE12" s="91">
        <f>IFERROR(SUMIF('6店辅助表'!T:T,B:B,'6店辅助表'!W:W)/SUMIF('6店辅助表'!T:T,B:B,'6店辅助表'!X:X),"-")</f>
        <v>0.163295914896249</v>
      </c>
      <c r="AF12" s="91">
        <f>IFERROR(SUMIF('6店辅助表'!AC:AC,B:B,'6店辅助表'!AF:AF)/SUMIF('6店辅助表'!AC:AC,B:B,'6店辅助表'!AG:AG),"-")</f>
        <v>0.168948875255624</v>
      </c>
      <c r="AG12" s="99">
        <f>IFERROR(AK12/((SUMIF('6店辅助表'!AT:AT,B:B,'6店辅助表'!AU:AU)+M12)/2),"-")</f>
        <v>0.313725490196078</v>
      </c>
      <c r="AH12" s="99">
        <f>IFERROR(AL12/((SUMIF('6店辅助表'!AW:AW,B:B,'6店辅助表'!AX:AX)+M12)/2),"-")</f>
        <v>0.474916387959866</v>
      </c>
      <c r="AI12" s="100">
        <f>IFERROR((SUMIF('6店辅助表'!AP:AP,B:B,'6店辅助表'!AR:AR)-SUMIF('6店辅助表'!AP:AP,B:B,'6店辅助表'!AR:AR)*0.15-(L12+IFERROR(VLOOKUP(B:B,'6店辅助表'!AZ:BA,2,0),0))*O12-IF(AN:AN="US",6.85,4.9)*(Z12+4.03*O12))/SUMIF('6店辅助表'!AP:AP,B:B,'6店辅助表'!AR:AR),"-")</f>
        <v>0.289338775584717</v>
      </c>
      <c r="AJ12" s="100">
        <f t="shared" si="7"/>
        <v>0.137411726197424</v>
      </c>
      <c r="AK12" s="101">
        <f t="shared" si="8"/>
        <v>1700.64</v>
      </c>
      <c r="AL12" s="101">
        <f t="shared" si="9"/>
        <v>3018.636</v>
      </c>
      <c r="AM12" s="1" t="str">
        <f>VLOOKUP(B:B,'6店辅助表'!AZ:AZ,1,FALSE)</f>
        <v>Y6022</v>
      </c>
      <c r="AN12" t="str">
        <f>VLOOKUP(B:B,'6店辅助表'!AZ:BB,3,FALSE)</f>
        <v>US</v>
      </c>
    </row>
    <row r="13" customHeight="1" spans="1:40">
      <c r="A13" s="58" t="str">
        <f>INDEX('[1]6店'!$A:$A,MATCH(B:B,'[1]6店'!$B:$B,0))</f>
        <v>美珠</v>
      </c>
      <c r="B13" s="108" t="s">
        <v>1904</v>
      </c>
      <c r="C13" s="43" t="s">
        <v>1905</v>
      </c>
      <c r="D13" s="59">
        <f>VLOOKUP(B:B,'[1]6店'!$B:$L,3,0)</f>
        <v>44750</v>
      </c>
      <c r="E13" s="43" t="s">
        <v>1906</v>
      </c>
      <c r="F13" s="43">
        <v>9</v>
      </c>
      <c r="G13" s="43">
        <v>0</v>
      </c>
      <c r="H13" s="43">
        <v>0</v>
      </c>
      <c r="I13" s="43">
        <v>0</v>
      </c>
      <c r="J13" s="43">
        <v>0</v>
      </c>
      <c r="K13" s="63">
        <f t="shared" si="1"/>
        <v>9</v>
      </c>
      <c r="L13" s="124">
        <f>VLOOKUP($B:$B,'[1]6店'!$B:$L,11,0)</f>
        <v>9.943</v>
      </c>
      <c r="M13" s="44">
        <f t="shared" si="10"/>
        <v>89.487</v>
      </c>
      <c r="N13" s="65">
        <f>IFERROR(VLOOKUP(B:B,'6店辅助表'!B:C,2,FALSE),0)</f>
        <v>1</v>
      </c>
      <c r="O13" s="65">
        <f>IFERROR(VLOOKUP(B:B,'6店辅助表'!E:F,2,FALSE),0)</f>
        <v>1</v>
      </c>
      <c r="P13" s="65">
        <f>IFERROR(VLOOKUP(B:B,'6店辅助表'!H:I,2,FALSE),0)</f>
        <v>3</v>
      </c>
      <c r="Q13" s="65">
        <f>IFERROR(VLOOKUP(B:B,'[1]6店'!$B:$N,13,FALSE),0)</f>
        <v>0</v>
      </c>
      <c r="R13" s="79">
        <f t="shared" si="2"/>
        <v>1</v>
      </c>
      <c r="S13" s="80">
        <f t="shared" si="3"/>
        <v>87.2307692307692</v>
      </c>
      <c r="T13" s="44">
        <f t="shared" si="4"/>
        <v>2.90769230769231</v>
      </c>
      <c r="U13" s="44">
        <f>IFERROR(VLOOKUP(B:B,'[1]6店'!$B:$T,19,0),"-")</f>
        <v>6</v>
      </c>
      <c r="V13" s="81">
        <f t="shared" si="5"/>
        <v>-3.09230769230769</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库存过高</v>
      </c>
      <c r="X13" s="83" t="str">
        <f>_xlfn.IFS(AND(D13&lt;&gt;0,D13-$AM$2&gt;=0,K13&gt;0,D13&lt;&gt;0),"本月刚到货",AND(T13="-",K13&gt;0),"有库存无销量",AND(T13="-",K13=0),"无库存无销量",AND(T13&lt;=0.5,K13=0),"无库存有销量",T13&lt;=0.5,"库存过低",T13&lt;=1.5,"正常",T13&gt;1.5,"库存过高")</f>
        <v>库存过高</v>
      </c>
      <c r="Y13" s="44">
        <f>IFERROR(SUMIF('6店辅助表'!K:K,B:B,'6店辅助表'!N:N),0)</f>
        <v>3.12</v>
      </c>
      <c r="Z13" s="44">
        <f>IFERROR(SUMIF('6店辅助表'!T:T,B:B,'6店辅助表'!W:W),0)</f>
        <v>4.76</v>
      </c>
      <c r="AA13" s="44">
        <f>IFERROR(SUMIF('6店辅助表'!AC:AC,B:B,'6店辅助表'!AF:AF),0)</f>
        <v>13.58</v>
      </c>
      <c r="AB13" s="91" t="str">
        <f>IFERROR(SUMIF('6店辅助表'!K:K,B:B,'6店辅助表'!N:N)/SUMIF('6店辅助表'!K:K,B:B,'6店辅助表'!O:O),"-")</f>
        <v>-</v>
      </c>
      <c r="AC13" s="91" t="str">
        <f>IFERROR(VLOOKUP(B:B,'[1]6店'!$B:$AB,27,FALSE),"-")</f>
        <v>-</v>
      </c>
      <c r="AD13" s="92" t="str">
        <f t="shared" si="6"/>
        <v>-</v>
      </c>
      <c r="AE13" s="91" t="str">
        <f>IFERROR(SUMIF('6店辅助表'!T:T,B:B,'6店辅助表'!W:W)/SUMIF('6店辅助表'!T:T,B:B,'6店辅助表'!X:X),"-")</f>
        <v>-</v>
      </c>
      <c r="AF13" s="91" t="str">
        <f>IFERROR(SUMIF('6店辅助表'!AC:AC,B:B,'6店辅助表'!AF:AF)/SUMIF('6店辅助表'!AC:AC,B:B,'6店辅助表'!AG:AG),"-")</f>
        <v>-</v>
      </c>
      <c r="AG13" s="99">
        <f>IFERROR(AK13/((SUMIF('6店辅助表'!AT:AT,B:B,'6店辅助表'!AU:AU)+M13)/2),"-")</f>
        <v>0.105263157894737</v>
      </c>
      <c r="AH13" s="99">
        <f>IFERROR(AL13/((SUMIF('6店辅助表'!AW:AW,B:B,'6店辅助表'!AX:AX)+M13)/2),"-")</f>
        <v>0.1</v>
      </c>
      <c r="AI13" s="100">
        <f>IFERROR((SUMIF('6店辅助表'!AP:AP,B:B,'6店辅助表'!AR:AR)-SUMIF('6店辅助表'!AP:AP,B:B,'6店辅助表'!AR:AR)*0.15-(L13+IFERROR(VLOOKUP(B:B,'6店辅助表'!AZ:BA,2,0),0))*O13-IF(AN:AN="US",6.85,4.9)*(Z13+4.03*O13))/SUMIF('6店辅助表'!AP:AP,B:B,'6店辅助表'!AR:AR),"-")</f>
        <v>-0.126820334345091</v>
      </c>
      <c r="AJ13" s="100">
        <f t="shared" si="7"/>
        <v>-0.0126820334345091</v>
      </c>
      <c r="AK13" s="101">
        <f t="shared" si="8"/>
        <v>9.943</v>
      </c>
      <c r="AL13" s="101">
        <f t="shared" si="9"/>
        <v>9.943</v>
      </c>
      <c r="AM13" s="1" t="str">
        <f>VLOOKUP(B:B,'6店辅助表'!AZ:AZ,1,FALSE)</f>
        <v>Y6018</v>
      </c>
      <c r="AN13" t="str">
        <f>VLOOKUP(B:B,'6店辅助表'!AZ:BB,3,FALSE)</f>
        <v>US</v>
      </c>
    </row>
    <row r="14" customHeight="1" spans="1:40">
      <c r="A14" s="58" t="str">
        <f>INDEX('[1]6店'!$A:$A,MATCH(B:B,'[1]6店'!$B:$B,0))</f>
        <v>美珠</v>
      </c>
      <c r="B14" s="108" t="s">
        <v>1907</v>
      </c>
      <c r="C14" s="43" t="s">
        <v>1737</v>
      </c>
      <c r="D14" s="59">
        <f>VLOOKUP(B:B,'[1]6店'!$B:$L,3,0)</f>
        <v>44762</v>
      </c>
      <c r="E14" s="43" t="s">
        <v>1908</v>
      </c>
      <c r="F14" s="43">
        <v>81</v>
      </c>
      <c r="G14" s="43">
        <v>4</v>
      </c>
      <c r="H14" s="43">
        <v>42</v>
      </c>
      <c r="I14" s="43">
        <v>1</v>
      </c>
      <c r="J14" s="43">
        <v>4</v>
      </c>
      <c r="K14" s="63">
        <f t="shared" si="1"/>
        <v>132</v>
      </c>
      <c r="L14" s="124">
        <f>VLOOKUP($B:$B,'[1]6店'!$B:$L,11,0)</f>
        <v>32.19</v>
      </c>
      <c r="M14" s="44">
        <f t="shared" si="10"/>
        <v>4249.08</v>
      </c>
      <c r="N14" s="65">
        <f>IFERROR(VLOOKUP(B:B,'6店辅助表'!B:C,2,FALSE),0)</f>
        <v>30</v>
      </c>
      <c r="O14" s="65">
        <f>IFERROR(VLOOKUP(B:B,'6店辅助表'!E:F,2,FALSE),0)</f>
        <v>70</v>
      </c>
      <c r="P14" s="65">
        <f>IFERROR(VLOOKUP(B:B,'6店辅助表'!H:I,2,FALSE),0)</f>
        <v>127</v>
      </c>
      <c r="Q14" s="65">
        <f>IFERROR(VLOOKUP(B:B,'[1]6店'!$B:$N,13,FALSE),0)</f>
        <v>36</v>
      </c>
      <c r="R14" s="79">
        <f t="shared" si="2"/>
        <v>-6</v>
      </c>
      <c r="S14" s="80">
        <f t="shared" si="3"/>
        <v>30.032502708559</v>
      </c>
      <c r="T14" s="44">
        <f t="shared" si="4"/>
        <v>1.00108342361863</v>
      </c>
      <c r="U14" s="44">
        <f>IFERROR(VLOOKUP(B:B,'[1]6店'!$B:$T,19,0),"-")</f>
        <v>0.946336429308565</v>
      </c>
      <c r="V14" s="81">
        <f t="shared" si="5"/>
        <v>0.0547469943100649</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正常</v>
      </c>
      <c r="X14" s="83" t="str">
        <f>_xlfn.IFS(AND(D14&lt;&gt;0,D14-$AM$2&gt;=0,K14&gt;0,D14&lt;&gt;0),"本月刚到货",AND(T14="-",K14&gt;0),"有库存无销量",AND(T14="-",K14=0),"无库存无销量",AND(T14&lt;=0.5,K14=0),"无库存有销量",T14&lt;=0.5,"库存过低",T14&lt;=1.5,"正常",T14&gt;1.5,"库存过高")</f>
        <v>正常</v>
      </c>
      <c r="Y14" s="44">
        <f>IFERROR(SUMIF('6店辅助表'!K:K,B:B,'6店辅助表'!N:N),0)</f>
        <v>6.83</v>
      </c>
      <c r="Z14" s="44">
        <f>IFERROR(SUMIF('6店辅助表'!T:T,B:B,'6店辅助表'!W:W),0)</f>
        <v>19.26</v>
      </c>
      <c r="AA14" s="44">
        <f>IFERROR(SUMIF('6店辅助表'!AC:AC,B:B,'6店辅助表'!AF:AF),0)</f>
        <v>36.17</v>
      </c>
      <c r="AB14" s="91">
        <f>IFERROR(SUMIF('6店辅助表'!K:K,B:B,'6店辅助表'!N:N)/SUMIF('6店辅助表'!K:K,B:B,'6店辅助表'!O:O),"-")</f>
        <v>0.0474569205113952</v>
      </c>
      <c r="AC14" s="91">
        <f>IFERROR(VLOOKUP(B:B,'[1]6店'!$B:$AB,27,FALSE),"-")</f>
        <v>0.105984806373911</v>
      </c>
      <c r="AD14" s="92">
        <f t="shared" si="6"/>
        <v>-0.0585278858625158</v>
      </c>
      <c r="AE14" s="91">
        <f>IFERROR(SUMIF('6店辅助表'!T:T,B:B,'6店辅助表'!W:W)/SUMIF('6店辅助表'!T:T,B:B,'6店辅助表'!X:X),"-")</f>
        <v>0.0764710553482093</v>
      </c>
      <c r="AF14" s="91">
        <f>IFERROR(SUMIF('6店辅助表'!AC:AC,B:B,'6店辅助表'!AF:AF)/SUMIF('6店辅助表'!AC:AC,B:B,'6店辅助表'!AG:AG),"-")</f>
        <v>0.081144139091419</v>
      </c>
      <c r="AG14" s="99">
        <f>IFERROR(AK14/((SUMIF('6店辅助表'!AT:AT,B:B,'6店辅助表'!AU:AU)+M14)/2),"-")</f>
        <v>0.228136882129278</v>
      </c>
      <c r="AH14" s="99">
        <f>IFERROR(AL14/((SUMIF('6店辅助表'!AW:AW,B:B,'6店辅助表'!AX:AX)+M14)/2),"-")</f>
        <v>0.465116279069767</v>
      </c>
      <c r="AI14" s="100">
        <f>IFERROR((SUMIF('6店辅助表'!AP:AP,B:B,'6店辅助表'!AR:AR)-SUMIF('6店辅助表'!AP:AP,B:B,'6店辅助表'!AR:AR)*0.15-(L14+IFERROR(VLOOKUP(B:B,'6店辅助表'!AZ:BA,2,0),0))*O14-IF(AN:AN="US",6.85,4.9)*(Z14+4.03*O14))/SUMIF('6店辅助表'!AP:AP,B:B,'6店辅助表'!AR:AR),"-")</f>
        <v>0.325725050771945</v>
      </c>
      <c r="AJ14" s="100">
        <f t="shared" si="7"/>
        <v>0.151500023614858</v>
      </c>
      <c r="AK14" s="101">
        <f t="shared" si="8"/>
        <v>965.7</v>
      </c>
      <c r="AL14" s="101">
        <f t="shared" si="9"/>
        <v>2253.3</v>
      </c>
      <c r="AM14" s="1" t="str">
        <f>VLOOKUP(B:B,'6店辅助表'!AZ:AZ,1,FALSE)</f>
        <v>Y6028-BL</v>
      </c>
      <c r="AN14" t="str">
        <f>VLOOKUP(B:B,'6店辅助表'!AZ:BB,3,FALSE)</f>
        <v>US</v>
      </c>
    </row>
    <row r="15" customHeight="1" spans="1:40">
      <c r="A15" s="58" t="str">
        <f>INDEX('[1]6店'!$A:$A,MATCH(B:B,'[1]6店'!$B:$B,0))</f>
        <v>美珠</v>
      </c>
      <c r="B15" s="108" t="s">
        <v>1909</v>
      </c>
      <c r="C15" s="43" t="s">
        <v>1737</v>
      </c>
      <c r="D15" s="59">
        <f>VLOOKUP(B:B,'[1]6店'!$B:$L,3,0)</f>
        <v>44764</v>
      </c>
      <c r="E15" s="43" t="s">
        <v>1910</v>
      </c>
      <c r="F15" s="43">
        <v>0</v>
      </c>
      <c r="G15" s="43">
        <v>60</v>
      </c>
      <c r="H15" s="43">
        <v>0</v>
      </c>
      <c r="I15" s="43">
        <v>0</v>
      </c>
      <c r="J15" s="43">
        <v>0</v>
      </c>
      <c r="K15" s="63">
        <f t="shared" si="1"/>
        <v>60</v>
      </c>
      <c r="L15" s="124">
        <f>VLOOKUP($B:$B,'[1]6店'!$B:$L,11,0)</f>
        <v>32.326</v>
      </c>
      <c r="M15" s="44">
        <f t="shared" si="10"/>
        <v>1939.56</v>
      </c>
      <c r="N15" s="65">
        <f>IFERROR(VLOOKUP(B:B,'6店辅助表'!B:C,2,FALSE),0)</f>
        <v>0</v>
      </c>
      <c r="O15" s="65">
        <f>IFERROR(VLOOKUP(B:B,'6店辅助表'!E:F,2,FALSE),0)</f>
        <v>0</v>
      </c>
      <c r="P15" s="65">
        <f>IFERROR(VLOOKUP(B:B,'6店辅助表'!H:I,2,FALSE),0)</f>
        <v>0</v>
      </c>
      <c r="Q15" s="65">
        <f>IFERROR(VLOOKUP(B:B,'[1]6店'!$B:$N,13,FALSE),0)</f>
        <v>0</v>
      </c>
      <c r="R15" s="79">
        <f t="shared" si="2"/>
        <v>0</v>
      </c>
      <c r="S15" s="80" t="str">
        <f t="shared" si="3"/>
        <v>-</v>
      </c>
      <c r="T15" s="44" t="str">
        <f t="shared" si="4"/>
        <v>-</v>
      </c>
      <c r="U15" s="44">
        <f>IFERROR(VLOOKUP(B:B,'[1]6店'!$B:$T,19,0),"-")</f>
        <v>90</v>
      </c>
      <c r="V15" s="81" t="str">
        <f t="shared" si="5"/>
        <v>-</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有库存无销量</v>
      </c>
      <c r="X15" s="83" t="str">
        <f>_xlfn.IFS(AND(D15&lt;&gt;0,D15-$AM$2&gt;=0,K15&gt;0,D15&lt;&gt;0),"本月刚到货",AND(T15="-",K15&gt;0),"有库存无销量",AND(T15="-",K15=0),"无库存无销量",AND(T15&lt;=0.5,K15=0),"无库存有销量",T15&lt;=0.5,"库存过低",T15&lt;=1.5,"正常",T15&gt;1.5,"库存过高")</f>
        <v>有库存无销量</v>
      </c>
      <c r="Y15" s="44">
        <f>IFERROR(SUMIF('6店辅助表'!K:K,B:B,'6店辅助表'!N:N),0)</f>
        <v>0</v>
      </c>
      <c r="Z15" s="44">
        <f>IFERROR(SUMIF('6店辅助表'!T:T,B:B,'6店辅助表'!W:W),0)</f>
        <v>0</v>
      </c>
      <c r="AA15" s="44">
        <f>IFERROR(SUMIF('6店辅助表'!AC:AC,B:B,'6店辅助表'!AF:AF),0)</f>
        <v>0</v>
      </c>
      <c r="AB15" s="91" t="str">
        <f>IFERROR(SUMIF('6店辅助表'!K:K,B:B,'6店辅助表'!N:N)/SUMIF('6店辅助表'!K:K,B:B,'6店辅助表'!O:O),"-")</f>
        <v>-</v>
      </c>
      <c r="AC15" s="91" t="str">
        <f>IFERROR(VLOOKUP(B:B,'[1]6店'!$B:$AB,27,FALSE),"-")</f>
        <v>-</v>
      </c>
      <c r="AD15" s="92" t="str">
        <f t="shared" si="6"/>
        <v>-</v>
      </c>
      <c r="AE15" s="91" t="str">
        <f>IFERROR(SUMIF('6店辅助表'!T:T,B:B,'6店辅助表'!W:W)/SUMIF('6店辅助表'!T:T,B:B,'6店辅助表'!X:X),"-")</f>
        <v>-</v>
      </c>
      <c r="AF15" s="91" t="str">
        <f>IFERROR(SUMIF('6店辅助表'!AC:AC,B:B,'6店辅助表'!AF:AF)/SUMIF('6店辅助表'!AC:AC,B:B,'6店辅助表'!AG:AG),"-")</f>
        <v>-</v>
      </c>
      <c r="AG15" s="99">
        <f>IFERROR(AK15/((SUMIF('6店辅助表'!AT:AT,B:B,'6店辅助表'!AU:AU)+M15)/2),"-")</f>
        <v>0</v>
      </c>
      <c r="AH15" s="99">
        <f>IFERROR(AL15/((SUMIF('6店辅助表'!AW:AW,B:B,'6店辅助表'!AX:AX)+M15)/2),"-")</f>
        <v>0</v>
      </c>
      <c r="AI15" s="100" t="str">
        <f>IFERROR((SUMIF('6店辅助表'!AP:AP,B:B,'6店辅助表'!AR:AR)-SUMIF('6店辅助表'!AP:AP,B:B,'6店辅助表'!AR:AR)*0.15-(L15+IFERROR(VLOOKUP(B:B,'6店辅助表'!AZ:BA,2,0),0))*O15-IF(AN:AN="US",6.85,4.9)*(Z15+4.03*O15))/SUMIF('6店辅助表'!AP:AP,B:B,'6店辅助表'!AR:AR),"-")</f>
        <v>-</v>
      </c>
      <c r="AJ15" s="100" t="str">
        <f t="shared" si="7"/>
        <v>-</v>
      </c>
      <c r="AK15" s="101">
        <f t="shared" si="8"/>
        <v>0</v>
      </c>
      <c r="AL15" s="101">
        <f t="shared" si="9"/>
        <v>0</v>
      </c>
      <c r="AM15" s="1" t="str">
        <f>VLOOKUP(B:B,'6店辅助表'!AZ:AZ,1,FALSE)</f>
        <v>Y6028-RE</v>
      </c>
      <c r="AN15" t="str">
        <f>VLOOKUP(B:B,'6店辅助表'!AZ:BB,3,FALSE)</f>
        <v>US</v>
      </c>
    </row>
    <row r="16" customHeight="1" spans="1:40">
      <c r="A16" s="58" t="str">
        <f>INDEX('[1]6店'!$A:$A,MATCH(B:B,'[1]6店'!$B:$B,0))</f>
        <v>美珠</v>
      </c>
      <c r="B16" s="108" t="s">
        <v>1911</v>
      </c>
      <c r="C16" s="43" t="s">
        <v>1912</v>
      </c>
      <c r="D16" s="59">
        <f>VLOOKUP(B:B,'[1]6店'!$B:$L,3,0)</f>
        <v>44767</v>
      </c>
      <c r="E16" s="43" t="s">
        <v>1913</v>
      </c>
      <c r="F16" s="43">
        <v>5</v>
      </c>
      <c r="G16" s="43">
        <v>0</v>
      </c>
      <c r="H16" s="43">
        <v>0</v>
      </c>
      <c r="I16" s="43">
        <v>0</v>
      </c>
      <c r="J16" s="43">
        <v>0</v>
      </c>
      <c r="K16" s="63">
        <f t="shared" si="1"/>
        <v>5</v>
      </c>
      <c r="L16" s="124">
        <f>VLOOKUP($B:$B,'[1]6店'!$B:$L,11,0)</f>
        <v>18</v>
      </c>
      <c r="M16" s="44">
        <f t="shared" si="10"/>
        <v>90</v>
      </c>
      <c r="N16" s="65">
        <f>IFERROR(VLOOKUP(B:B,'6店辅助表'!B:C,2,FALSE),0)</f>
        <v>0</v>
      </c>
      <c r="O16" s="65">
        <f>IFERROR(VLOOKUP(B:B,'6店辅助表'!E:F,2,FALSE),0)</f>
        <v>0</v>
      </c>
      <c r="P16" s="65">
        <f>IFERROR(VLOOKUP(B:B,'6店辅助表'!H:I,2,FALSE),0)</f>
        <v>0</v>
      </c>
      <c r="Q16" s="65">
        <f>IFERROR(VLOOKUP(B:B,'[1]6店'!$B:$N,13,FALSE),0)</f>
        <v>0</v>
      </c>
      <c r="R16" s="79">
        <f t="shared" si="2"/>
        <v>0</v>
      </c>
      <c r="S16" s="80" t="str">
        <f t="shared" si="3"/>
        <v>-</v>
      </c>
      <c r="T16" s="44" t="str">
        <f t="shared" si="4"/>
        <v>-</v>
      </c>
      <c r="U16" s="44" t="str">
        <f>IFERROR(VLOOKUP(B:B,'[1]6店'!$B:$T,19,0),"-")</f>
        <v>-</v>
      </c>
      <c r="V16" s="81" t="str">
        <f t="shared" si="5"/>
        <v>-</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有库存无销量</v>
      </c>
      <c r="X16" s="83" t="str">
        <f>_xlfn.IFS(AND(D16&lt;&gt;0,D16-$AM$2&gt;=0,K16&gt;0,D16&lt;&gt;0),"本月刚到货",AND(T16="-",K16&gt;0),"有库存无销量",AND(T16="-",K16=0),"无库存无销量",AND(T16&lt;=0.5,K16=0),"无库存有销量",T16&lt;=0.5,"库存过低",T16&lt;=1.5,"正常",T16&gt;1.5,"库存过高")</f>
        <v>有库存无销量</v>
      </c>
      <c r="Y16" s="44">
        <f>IFERROR(SUMIF('6店辅助表'!K:K,B:B,'6店辅助表'!N:N),0)</f>
        <v>1.82</v>
      </c>
      <c r="Z16" s="44">
        <f>IFERROR(SUMIF('6店辅助表'!T:T,B:B,'6店辅助表'!W:W),0)</f>
        <v>3.34</v>
      </c>
      <c r="AA16" s="44">
        <f>IFERROR(SUMIF('6店辅助表'!AC:AC,B:B,'6店辅助表'!AF:AF),0)</f>
        <v>3.96</v>
      </c>
      <c r="AB16" s="91" t="str">
        <f>IFERROR(SUMIF('6店辅助表'!K:K,B:B,'6店辅助表'!N:N)/SUMIF('6店辅助表'!K:K,B:B,'6店辅助表'!O:O),"-")</f>
        <v>-</v>
      </c>
      <c r="AC16" s="91" t="str">
        <f>IFERROR(VLOOKUP(B:B,'[1]6店'!$B:$AB,27,FALSE),"-")</f>
        <v>-</v>
      </c>
      <c r="AD16" s="92" t="str">
        <f t="shared" si="6"/>
        <v>-</v>
      </c>
      <c r="AE16" s="91" t="str">
        <f>IFERROR(SUMIF('6店辅助表'!T:T,B:B,'6店辅助表'!W:W)/SUMIF('6店辅助表'!T:T,B:B,'6店辅助表'!X:X),"-")</f>
        <v>-</v>
      </c>
      <c r="AF16" s="91" t="str">
        <f>IFERROR(SUMIF('6店辅助表'!AC:AC,B:B,'6店辅助表'!AF:AF)/SUMIF('6店辅助表'!AC:AC,B:B,'6店辅助表'!AG:AG),"-")</f>
        <v>-</v>
      </c>
      <c r="AG16" s="99">
        <f>IFERROR(AK16/((SUMIF('6店辅助表'!AT:AT,B:B,'6店辅助表'!AU:AU)+M16)/2),"-")</f>
        <v>0</v>
      </c>
      <c r="AH16" s="99">
        <f>IFERROR(AL16/((SUMIF('6店辅助表'!AW:AW,B:B,'6店辅助表'!AX:AX)+M16)/2),"-")</f>
        <v>0</v>
      </c>
      <c r="AI16" s="100" t="str">
        <f>IFERROR((SUMIF('6店辅助表'!AP:AP,B:B,'6店辅助表'!AR:AR)-SUMIF('6店辅助表'!AP:AP,B:B,'6店辅助表'!AR:AR)*0.15-(L16+IFERROR(VLOOKUP(B:B,'6店辅助表'!AZ:BA,2,0),0))*O16-IF(AN:AN="US",6.85,4.9)*(Z16+4.03*O16))/SUMIF('6店辅助表'!AP:AP,B:B,'6店辅助表'!AR:AR),"-")</f>
        <v>-</v>
      </c>
      <c r="AJ16" s="100" t="str">
        <f t="shared" si="7"/>
        <v>-</v>
      </c>
      <c r="AK16" s="101">
        <f t="shared" si="8"/>
        <v>0</v>
      </c>
      <c r="AL16" s="101">
        <f t="shared" si="9"/>
        <v>0</v>
      </c>
      <c r="AM16" s="1" t="str">
        <f>VLOOKUP(B:B,'6店辅助表'!AZ:AZ,1,FALSE)</f>
        <v>Y6030</v>
      </c>
      <c r="AN16" t="str">
        <f>VLOOKUP(B:B,'6店辅助表'!AZ:BB,3,FALSE)</f>
        <v>US</v>
      </c>
    </row>
    <row r="17" customHeight="1" spans="1:40">
      <c r="A17" s="58" t="str">
        <f>INDEX('[1]6店'!$A:$A,MATCH(B:B,'[1]6店'!$B:$B,0))</f>
        <v>美珠</v>
      </c>
      <c r="B17" s="108" t="s">
        <v>1914</v>
      </c>
      <c r="C17" s="43" t="s">
        <v>1915</v>
      </c>
      <c r="D17" s="59">
        <f>VLOOKUP(B:B,'[1]6店'!$B:$L,3,0)</f>
        <v>44750</v>
      </c>
      <c r="E17" s="43" t="s">
        <v>1916</v>
      </c>
      <c r="F17" s="43">
        <v>23</v>
      </c>
      <c r="G17" s="43">
        <v>0</v>
      </c>
      <c r="H17" s="43">
        <v>0</v>
      </c>
      <c r="I17" s="43">
        <v>0</v>
      </c>
      <c r="J17" s="43">
        <v>0</v>
      </c>
      <c r="K17" s="63">
        <f t="shared" si="1"/>
        <v>23</v>
      </c>
      <c r="L17" s="124">
        <f>VLOOKUP($B:$B,'[1]6店'!$B:$L,11,0)</f>
        <v>16</v>
      </c>
      <c r="M17" s="44">
        <f t="shared" si="10"/>
        <v>368</v>
      </c>
      <c r="N17" s="65">
        <f>IFERROR(VLOOKUP(B:B,'6店辅助表'!B:C,2,FALSE),0)</f>
        <v>0</v>
      </c>
      <c r="O17" s="65">
        <f>IFERROR(VLOOKUP(B:B,'6店辅助表'!E:F,2,FALSE),0)</f>
        <v>0</v>
      </c>
      <c r="P17" s="65">
        <f>IFERROR(VLOOKUP(B:B,'6店辅助表'!H:I,2,FALSE),0)</f>
        <v>1</v>
      </c>
      <c r="Q17" s="65">
        <f>IFERROR(VLOOKUP(B:B,'[1]6店'!$B:$N,13,FALSE),0)</f>
        <v>0</v>
      </c>
      <c r="R17" s="79">
        <f t="shared" si="2"/>
        <v>0</v>
      </c>
      <c r="S17" s="80">
        <f t="shared" si="3"/>
        <v>2070</v>
      </c>
      <c r="T17" s="44">
        <f t="shared" si="4"/>
        <v>69</v>
      </c>
      <c r="U17" s="44">
        <f>IFERROR(VLOOKUP(B:B,'[1]6店'!$B:$T,19,0),"-")</f>
        <v>23</v>
      </c>
      <c r="V17" s="81">
        <f t="shared" si="5"/>
        <v>46</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有库存无销量</v>
      </c>
      <c r="X17" s="83" t="str">
        <f>_xlfn.IFS(AND(D17&lt;&gt;0,D17-$AM$2&gt;=0,K17&gt;0,D17&lt;&gt;0),"本月刚到货",AND(T17="-",K17&gt;0),"有库存无销量",AND(T17="-",K17=0),"无库存无销量",AND(T17&lt;=0.5,K17=0),"无库存有销量",T17&lt;=0.5,"库存过低",T17&lt;=1.5,"正常",T17&gt;1.5,"库存过高")</f>
        <v>库存过高</v>
      </c>
      <c r="Y17" s="44">
        <f>IFERROR(SUMIF('6店辅助表'!K:K,B:B,'6店辅助表'!N:N),0)</f>
        <v>0</v>
      </c>
      <c r="Z17" s="44">
        <f>IFERROR(SUMIF('6店辅助表'!T:T,B:B,'6店辅助表'!W:W),0)</f>
        <v>0.61</v>
      </c>
      <c r="AA17" s="44">
        <f>IFERROR(SUMIF('6店辅助表'!AC:AC,B:B,'6店辅助表'!AF:AF),0)</f>
        <v>0.61</v>
      </c>
      <c r="AB17" s="91" t="str">
        <f>IFERROR(SUMIF('6店辅助表'!K:K,B:B,'6店辅助表'!N:N)/SUMIF('6店辅助表'!K:K,B:B,'6店辅助表'!O:O),"-")</f>
        <v>-</v>
      </c>
      <c r="AC17" s="91" t="str">
        <f>IFERROR(VLOOKUP(B:B,'[1]6店'!$B:$AB,27,FALSE),"-")</f>
        <v>-</v>
      </c>
      <c r="AD17" s="92" t="str">
        <f t="shared" si="6"/>
        <v>-</v>
      </c>
      <c r="AE17" s="91" t="str">
        <f>IFERROR(SUMIF('6店辅助表'!T:T,B:B,'6店辅助表'!W:W)/SUMIF('6店辅助表'!T:T,B:B,'6店辅助表'!X:X),"-")</f>
        <v>-</v>
      </c>
      <c r="AF17" s="91" t="str">
        <f>IFERROR(SUMIF('6店辅助表'!AC:AC,B:B,'6店辅助表'!AF:AF)/SUMIF('6店辅助表'!AC:AC,B:B,'6店辅助表'!AG:AG),"-")</f>
        <v>-</v>
      </c>
      <c r="AG17" s="99">
        <f>IFERROR(AK17/((SUMIF('6店辅助表'!AT:AT,B:B,'6店辅助表'!AU:AU)+M17)/2),"-")</f>
        <v>0</v>
      </c>
      <c r="AH17" s="99">
        <f>IFERROR(AL17/((SUMIF('6店辅助表'!AW:AW,B:B,'6店辅助表'!AX:AX)+M17)/2),"-")</f>
        <v>0</v>
      </c>
      <c r="AI17" s="100" t="str">
        <f>IFERROR((SUMIF('6店辅助表'!AP:AP,B:B,'6店辅助表'!AR:AR)-SUMIF('6店辅助表'!AP:AP,B:B,'6店辅助表'!AR:AR)*0.15-(L17+IFERROR(VLOOKUP(B:B,'6店辅助表'!AZ:BA,2,0),0))*O17-IF(AN:AN="US",6.85,4.9)*(Z17+4.03*O17))/SUMIF('6店辅助表'!AP:AP,B:B,'6店辅助表'!AR:AR),"-")</f>
        <v>-</v>
      </c>
      <c r="AJ17" s="100" t="str">
        <f t="shared" si="7"/>
        <v>-</v>
      </c>
      <c r="AK17" s="101">
        <f t="shared" si="8"/>
        <v>0</v>
      </c>
      <c r="AL17" s="101">
        <f t="shared" si="9"/>
        <v>0</v>
      </c>
      <c r="AM17" s="1" t="str">
        <f>VLOOKUP(B:B,'6店辅助表'!AZ:AZ,1,FALSE)</f>
        <v>Y6026</v>
      </c>
      <c r="AN17" t="str">
        <f>VLOOKUP(B:B,'6店辅助表'!AZ:BB,3,FALSE)</f>
        <v>US</v>
      </c>
    </row>
    <row r="18" customHeight="1" spans="1:40">
      <c r="A18" s="58" t="str">
        <f>INDEX('[1]6店'!$A:$A,MATCH(B:B,'[1]6店'!$B:$B,0))</f>
        <v>美珠</v>
      </c>
      <c r="B18" s="108" t="s">
        <v>1917</v>
      </c>
      <c r="C18" s="43" t="s">
        <v>1918</v>
      </c>
      <c r="D18" s="59">
        <f>VLOOKUP(B:B,'[1]6店'!$B:$L,3,0)</f>
        <v>44750</v>
      </c>
      <c r="E18" s="43" t="s">
        <v>1919</v>
      </c>
      <c r="F18" s="43">
        <v>10</v>
      </c>
      <c r="G18" s="43">
        <v>0</v>
      </c>
      <c r="H18" s="43">
        <v>0</v>
      </c>
      <c r="I18" s="43">
        <v>0</v>
      </c>
      <c r="J18" s="43">
        <v>0</v>
      </c>
      <c r="K18" s="63">
        <f t="shared" si="1"/>
        <v>10</v>
      </c>
      <c r="L18" s="124">
        <f>VLOOKUP($B:$B,'[1]6店'!$B:$L,11,0)</f>
        <v>40</v>
      </c>
      <c r="M18" s="44">
        <f t="shared" si="10"/>
        <v>400</v>
      </c>
      <c r="N18" s="65">
        <f>IFERROR(VLOOKUP(B:B,'6店辅助表'!B:C,2,FALSE),0)</f>
        <v>0</v>
      </c>
      <c r="O18" s="65">
        <f>IFERROR(VLOOKUP(B:B,'6店辅助表'!E:F,2,FALSE),0)</f>
        <v>1</v>
      </c>
      <c r="P18" s="65">
        <f>IFERROR(VLOOKUP(B:B,'6店辅助表'!H:I,2,FALSE),0)</f>
        <v>2</v>
      </c>
      <c r="Q18" s="65">
        <f>IFERROR(VLOOKUP(B:B,'[1]6店'!$B:$N,13,FALSE),0)</f>
        <v>1</v>
      </c>
      <c r="R18" s="79">
        <f t="shared" si="2"/>
        <v>-1</v>
      </c>
      <c r="S18" s="80">
        <f t="shared" si="3"/>
        <v>225</v>
      </c>
      <c r="T18" s="44">
        <f t="shared" si="4"/>
        <v>7.5</v>
      </c>
      <c r="U18" s="44">
        <f>IFERROR(VLOOKUP(B:B,'[1]6店'!$B:$T,19,0),"-")</f>
        <v>3.55384615384615</v>
      </c>
      <c r="V18" s="81">
        <f t="shared" si="5"/>
        <v>3.94615384615385</v>
      </c>
      <c r="W18" s="82" t="str">
        <f>_xlfn.IFS(AND(D18&lt;&gt;0,D18-$AM$2&gt;=0,B18&gt;0,D18&lt;&gt;0),"本月刚到货",AND(IFERROR((K18/(N18/7))/30,"-")="-",K18&gt;0),"有库存无销量",AND(IFERROR((K18/(N18/7))/30,"-")="-",K18=0),"无库存无销量",AND(IFERROR((K18/(N18/7))/30,"-")&lt;=0.5,K18=0),"无库存有销量",IFERROR((K18/(N18/7))/30,"-")&lt;=0.5,"库存过低",IFERROR((K18/(N18/7))/30,"-")&lt;=1.5,"正常",IFERROR((K18/(N18/7))/30,"-")&gt;1.5,"库存过高")</f>
        <v>有库存无销量</v>
      </c>
      <c r="X18" s="83" t="str">
        <f>_xlfn.IFS(AND(D18&lt;&gt;0,D18-$AM$2&gt;=0,K18&gt;0,D18&lt;&gt;0),"本月刚到货",AND(T18="-",K18&gt;0),"有库存无销量",AND(T18="-",K18=0),"无库存无销量",AND(T18&lt;=0.5,K18=0),"无库存有销量",T18&lt;=0.5,"库存过低",T18&lt;=1.5,"正常",T18&gt;1.5,"库存过高")</f>
        <v>库存过高</v>
      </c>
      <c r="Y18" s="44">
        <f>IFERROR(SUMIF('6店辅助表'!K:K,B:B,'6店辅助表'!N:N),0)</f>
        <v>0</v>
      </c>
      <c r="Z18" s="44">
        <f>IFERROR(SUMIF('6店辅助表'!T:T,B:B,'6店辅助表'!W:W),0)</f>
        <v>0.71</v>
      </c>
      <c r="AA18" s="44">
        <f>IFERROR(SUMIF('6店辅助表'!AC:AC,B:B,'6店辅助表'!AF:AF),0)</f>
        <v>0.71</v>
      </c>
      <c r="AB18" s="91" t="str">
        <f>IFERROR(SUMIF('6店辅助表'!K:K,B:B,'6店辅助表'!N:N)/SUMIF('6店辅助表'!K:K,B:B,'6店辅助表'!O:O),"-")</f>
        <v>-</v>
      </c>
      <c r="AC18" s="91" t="str">
        <f>IFERROR(VLOOKUP(B:B,'[1]6店'!$B:$AB,27,FALSE),"-")</f>
        <v>-</v>
      </c>
      <c r="AD18" s="92" t="str">
        <f t="shared" si="6"/>
        <v>-</v>
      </c>
      <c r="AE18" s="91" t="str">
        <f>IFERROR(SUMIF('6店辅助表'!T:T,B:B,'6店辅助表'!W:W)/SUMIF('6店辅助表'!T:T,B:B,'6店辅助表'!X:X),"-")</f>
        <v>-</v>
      </c>
      <c r="AF18" s="91" t="str">
        <f>IFERROR(SUMIF('6店辅助表'!AC:AC,B:B,'6店辅助表'!AF:AF)/SUMIF('6店辅助表'!AC:AC,B:B,'6店辅助表'!AG:AG),"-")</f>
        <v>-</v>
      </c>
      <c r="AG18" s="99">
        <f>IFERROR(AK18/((SUMIF('6店辅助表'!AT:AT,B:B,'6店辅助表'!AU:AU)+M18)/2),"-")</f>
        <v>0</v>
      </c>
      <c r="AH18" s="99">
        <f>IFERROR(AL18/((SUMIF('6店辅助表'!AW:AW,B:B,'6店辅助表'!AX:AX)+M18)/2),"-")</f>
        <v>0.0909090909090909</v>
      </c>
      <c r="AI18" s="100">
        <f>IFERROR((SUMIF('6店辅助表'!AP:AP,B:B,'6店辅助表'!AR:AR)-SUMIF('6店辅助表'!AP:AP,B:B,'6店辅助表'!AR:AR)*0.15-(L18+IFERROR(VLOOKUP(B:B,'6店辅助表'!AZ:BA,2,0),0))*O18-IF(AN:AN="US",6.85,4.9)*(Z18+4.03*O18))/SUMIF('6店辅助表'!AP:AP,B:B,'6店辅助表'!AR:AR),"-")</f>
        <v>0.145195704231578</v>
      </c>
      <c r="AJ18" s="100">
        <f t="shared" si="7"/>
        <v>0.013199609475598</v>
      </c>
      <c r="AK18" s="101">
        <f t="shared" si="8"/>
        <v>0</v>
      </c>
      <c r="AL18" s="101">
        <f t="shared" si="9"/>
        <v>40</v>
      </c>
      <c r="AM18" s="1" t="str">
        <f>VLOOKUP(B:B,'6店辅助表'!AZ:AZ,1,FALSE)</f>
        <v>Y6027</v>
      </c>
      <c r="AN18" t="str">
        <f>VLOOKUP(B:B,'6店辅助表'!AZ:BB,3,FALSE)</f>
        <v>US</v>
      </c>
    </row>
    <row r="19" customHeight="1" spans="1:40">
      <c r="A19" s="58" t="str">
        <f>INDEX('[1]6店'!$A:$A,MATCH(B:B,'[1]6店'!$B:$B,0))</f>
        <v>美珠</v>
      </c>
      <c r="B19" s="108" t="s">
        <v>1920</v>
      </c>
      <c r="C19" s="43" t="s">
        <v>1921</v>
      </c>
      <c r="D19" s="59">
        <f>VLOOKUP(B:B,'[1]6店'!$B:$L,3,0)</f>
        <v>44796</v>
      </c>
      <c r="E19" s="43" t="s">
        <v>1922</v>
      </c>
      <c r="F19" s="43">
        <v>0</v>
      </c>
      <c r="G19" s="43">
        <v>1</v>
      </c>
      <c r="H19" s="43">
        <v>0</v>
      </c>
      <c r="I19" s="43">
        <v>2</v>
      </c>
      <c r="J19" s="43">
        <v>0</v>
      </c>
      <c r="K19" s="63">
        <f t="shared" si="1"/>
        <v>3</v>
      </c>
      <c r="L19" s="124">
        <f>VLOOKUP($B:$B,'[1]6店'!$B:$L,11,0)</f>
        <v>22.8</v>
      </c>
      <c r="M19" s="44">
        <f t="shared" si="10"/>
        <v>68.4</v>
      </c>
      <c r="N19" s="65">
        <f>IFERROR(VLOOKUP(B:B,'6店辅助表'!B:C,2,FALSE),0)</f>
        <v>3</v>
      </c>
      <c r="O19" s="65">
        <f>IFERROR(VLOOKUP(B:B,'6店辅助表'!E:F,2,FALSE),0)</f>
        <v>6</v>
      </c>
      <c r="P19" s="65">
        <f>IFERROR(VLOOKUP(B:B,'6店辅助表'!H:I,2,FALSE),0)</f>
        <v>7</v>
      </c>
      <c r="Q19" s="65">
        <f>IFERROR(VLOOKUP(B:B,'[1]6店'!$B:$N,13,FALSE),0)</f>
        <v>3</v>
      </c>
      <c r="R19" s="79">
        <f t="shared" si="2"/>
        <v>0</v>
      </c>
      <c r="S19" s="80">
        <f t="shared" si="3"/>
        <v>8.47533632286996</v>
      </c>
      <c r="T19" s="44">
        <f t="shared" si="4"/>
        <v>0.282511210762332</v>
      </c>
      <c r="U19" s="44">
        <f>IFERROR(VLOOKUP(B:B,'[1]6店'!$B:$T,19,0),"-")</f>
        <v>0.580110497237569</v>
      </c>
      <c r="V19" s="81">
        <f t="shared" si="5"/>
        <v>-0.297599286475237</v>
      </c>
      <c r="W19" s="82" t="str">
        <f>_xlfn.IFS(AND(D19&lt;&gt;0,D19-$AM$2&gt;=0,B19&gt;0,D19&lt;&gt;0),"本月刚到货",AND(IFERROR((K19/(N19/7))/30,"-")="-",K19&gt;0),"有库存无销量",AND(IFERROR((K19/(N19/7))/30,"-")="-",K19=0),"无库存无销量",AND(IFERROR((K19/(N19/7))/30,"-")&lt;=0.5,K19=0),"无库存有销量",IFERROR((K19/(N19/7))/30,"-")&lt;=0.5,"库存过低",IFERROR((K19/(N19/7))/30,"-")&lt;=1.5,"正常",IFERROR((K19/(N19/7))/30,"-")&gt;1.5,"库存过高")</f>
        <v>库存过低</v>
      </c>
      <c r="X19" s="83" t="str">
        <f>_xlfn.IFS(AND(D19&lt;&gt;0,D19-$AM$2&gt;=0,K19&gt;0,D19&lt;&gt;0),"本月刚到货",AND(T19="-",K19&gt;0),"有库存无销量",AND(T19="-",K19=0),"无库存无销量",AND(T19&lt;=0.5,K19=0),"无库存有销量",T19&lt;=0.5,"库存过低",T19&lt;=1.5,"正常",T19&gt;1.5,"库存过高")</f>
        <v>库存过低</v>
      </c>
      <c r="Y19" s="44">
        <f>IFERROR(SUMIF('6店辅助表'!K:K,B:B,'6店辅助表'!N:N),0)</f>
        <v>0.95</v>
      </c>
      <c r="Z19" s="44">
        <f>IFERROR(SUMIF('6店辅助表'!T:T,B:B,'6店辅助表'!W:W),0)</f>
        <v>4.24</v>
      </c>
      <c r="AA19" s="44">
        <f>IFERROR(SUMIF('6店辅助表'!AC:AC,B:B,'6店辅助表'!AF:AF),0)</f>
        <v>5.45</v>
      </c>
      <c r="AB19" s="91">
        <f>IFERROR(SUMIF('6店辅助表'!K:K,B:B,'6店辅助表'!N:N)/SUMIF('6店辅助表'!K:K,B:B,'6店辅助表'!O:O),"-")</f>
        <v>0.10567296996663</v>
      </c>
      <c r="AC19" s="91">
        <f>IFERROR(VLOOKUP(B:B,'[1]6店'!$B:$AB,27,FALSE),"-")</f>
        <v>0.182981090100111</v>
      </c>
      <c r="AD19" s="92">
        <f t="shared" si="6"/>
        <v>-0.077308120133481</v>
      </c>
      <c r="AE19" s="91">
        <f>IFERROR(SUMIF('6店辅助表'!T:T,B:B,'6店辅助表'!W:W)/SUMIF('6店辅助表'!T:T,B:B,'6店辅助表'!X:X),"-")</f>
        <v>0.157211716722284</v>
      </c>
      <c r="AF19" s="91">
        <f>IFERROR(SUMIF('6店辅助表'!AC:AC,B:B,'6店辅助表'!AF:AF)/SUMIF('6店辅助表'!AC:AC,B:B,'6店辅助表'!AG:AG),"-")</f>
        <v>0.151557285873192</v>
      </c>
      <c r="AG19" s="99">
        <f>IFERROR(AK19/((SUMIF('6店辅助表'!AT:AT,B:B,'6店辅助表'!AU:AU)+M19)/2),"-")</f>
        <v>0.75</v>
      </c>
      <c r="AH19" s="99">
        <f>IFERROR(AL19/((SUMIF('6店辅助表'!AW:AW,B:B,'6店辅助表'!AX:AX)+M19)/2),"-")</f>
        <v>1.2</v>
      </c>
      <c r="AI19" s="100">
        <f>IFERROR((SUMIF('6店辅助表'!AP:AP,B:B,'6店辅助表'!AR:AR)-SUMIF('6店辅助表'!AP:AP,B:B,'6店辅助表'!AR:AR)*0.15-(L19+IFERROR(VLOOKUP(B:B,'6店辅助表'!AZ:BA,2,0),0))*O19-IF(AN:AN="US",6.85,4.9)*(Z19+4.03*O19))/SUMIF('6店辅助表'!AP:AP,B:B,'6店辅助表'!AR:AR),"-")</f>
        <v>-0.186093090728005</v>
      </c>
      <c r="AJ19" s="100">
        <f t="shared" si="7"/>
        <v>-0.223311708873607</v>
      </c>
      <c r="AK19" s="101">
        <f t="shared" si="8"/>
        <v>68.4</v>
      </c>
      <c r="AL19" s="101">
        <f t="shared" si="9"/>
        <v>136.8</v>
      </c>
      <c r="AM19" s="1" t="str">
        <f>VLOOKUP(B:B,'6店辅助表'!AZ:AZ,1,FALSE)</f>
        <v>Y6036-ZH</v>
      </c>
      <c r="AN19" t="str">
        <f>VLOOKUP(B:B,'6店辅助表'!AZ:BB,3,FALSE)</f>
        <v>US</v>
      </c>
    </row>
    <row r="20" customHeight="1" spans="1:40">
      <c r="A20" s="58" t="str">
        <f>INDEX('[1]6店'!$A:$A,MATCH(B:B,'[1]6店'!$B:$B,0))</f>
        <v>美珠</v>
      </c>
      <c r="B20" s="108" t="s">
        <v>1923</v>
      </c>
      <c r="C20" s="43" t="s">
        <v>1924</v>
      </c>
      <c r="D20" s="59">
        <f>VLOOKUP(B:B,'[1]6店'!$B:$L,3,0)</f>
        <v>44801</v>
      </c>
      <c r="E20" s="43" t="s">
        <v>1925</v>
      </c>
      <c r="F20" s="43">
        <v>24</v>
      </c>
      <c r="G20" s="43">
        <v>2</v>
      </c>
      <c r="H20" s="43">
        <v>29</v>
      </c>
      <c r="I20" s="43">
        <v>4</v>
      </c>
      <c r="J20" s="43">
        <v>0</v>
      </c>
      <c r="K20" s="63">
        <f t="shared" si="1"/>
        <v>59</v>
      </c>
      <c r="L20" s="124">
        <f>VLOOKUP($B:$B,'[1]6店'!$B:$L,11,0)</f>
        <v>31.252</v>
      </c>
      <c r="M20" s="44">
        <f t="shared" si="10"/>
        <v>1843.868</v>
      </c>
      <c r="N20" s="65">
        <f>IFERROR(VLOOKUP(B:B,'6店辅助表'!B:C,2,FALSE),0)</f>
        <v>10</v>
      </c>
      <c r="O20" s="65">
        <f>IFERROR(VLOOKUP(B:B,'6店辅助表'!E:F,2,FALSE),0)</f>
        <v>18</v>
      </c>
      <c r="P20" s="65">
        <f>IFERROR(VLOOKUP(B:B,'6店辅助表'!H:I,2,FALSE),0)</f>
        <v>43</v>
      </c>
      <c r="Q20" s="65">
        <f>IFERROR(VLOOKUP(B:B,'[1]6店'!$B:$N,13,FALSE),0)</f>
        <v>9</v>
      </c>
      <c r="R20" s="79">
        <f t="shared" si="2"/>
        <v>1</v>
      </c>
      <c r="S20" s="80">
        <f t="shared" si="3"/>
        <v>43.5756154747948</v>
      </c>
      <c r="T20" s="44">
        <f t="shared" si="4"/>
        <v>1.45252051582649</v>
      </c>
      <c r="U20" s="44">
        <f>IFERROR(VLOOKUP(B:B,'[1]6店'!$B:$T,19,0),"-")</f>
        <v>1.23975903614458</v>
      </c>
      <c r="V20" s="81">
        <f t="shared" si="5"/>
        <v>0.21276147968191</v>
      </c>
      <c r="W20" s="82" t="str">
        <f>_xlfn.IFS(AND(D20&lt;&gt;0,D20-$AM$2&gt;=0,B20&gt;0,D20&lt;&gt;0),"本月刚到货",AND(IFERROR((K20/(N20/7))/30,"-")="-",K20&gt;0),"有库存无销量",AND(IFERROR((K20/(N20/7))/30,"-")="-",K20=0),"无库存无销量",AND(IFERROR((K20/(N20/7))/30,"-")&lt;=0.5,K20=0),"无库存有销量",IFERROR((K20/(N20/7))/30,"-")&lt;=0.5,"库存过低",IFERROR((K20/(N20/7))/30,"-")&lt;=1.5,"正常",IFERROR((K20/(N20/7))/30,"-")&gt;1.5,"库存过高")</f>
        <v>正常</v>
      </c>
      <c r="X20" s="83" t="str">
        <f>_xlfn.IFS(AND(D20&lt;&gt;0,D20-$AM$2&gt;=0,K20&gt;0,D20&lt;&gt;0),"本月刚到货",AND(T20="-",K20&gt;0),"有库存无销量",AND(T20="-",K20=0),"无库存无销量",AND(T20&lt;=0.5,K20=0),"无库存有销量",T20&lt;=0.5,"库存过低",T20&lt;=1.5,"正常",T20&gt;1.5,"库存过高")</f>
        <v>正常</v>
      </c>
      <c r="Y20" s="44">
        <f>IFERROR(SUMIF('6店辅助表'!K:K,B:B,'6店辅助表'!N:N),0)</f>
        <v>0</v>
      </c>
      <c r="Z20" s="44">
        <f>IFERROR(SUMIF('6店辅助表'!T:T,B:B,'6店辅助表'!W:W),0)</f>
        <v>0</v>
      </c>
      <c r="AA20" s="44">
        <f>IFERROR(SUMIF('6店辅助表'!AC:AC,B:B,'6店辅助表'!AF:AF),0)</f>
        <v>0</v>
      </c>
      <c r="AB20" s="91" t="str">
        <f>IFERROR(SUMIF('6店辅助表'!K:K,B:B,'6店辅助表'!N:N)/SUMIF('6店辅助表'!K:K,B:B,'6店辅助表'!O:O),"-")</f>
        <v>-</v>
      </c>
      <c r="AC20" s="91" t="str">
        <f>IFERROR(VLOOKUP(B:B,'[1]6店'!$B:$AB,27,FALSE),"-")</f>
        <v>-</v>
      </c>
      <c r="AD20" s="92" t="str">
        <f t="shared" si="6"/>
        <v>-</v>
      </c>
      <c r="AE20" s="91" t="str">
        <f>IFERROR(SUMIF('6店辅助表'!T:T,B:B,'6店辅助表'!W:W)/SUMIF('6店辅助表'!T:T,B:B,'6店辅助表'!X:X),"-")</f>
        <v>-</v>
      </c>
      <c r="AF20" s="91" t="str">
        <f>IFERROR(SUMIF('6店辅助表'!AC:AC,B:B,'6店辅助表'!AF:AF)/SUMIF('6店辅助表'!AC:AC,B:B,'6店辅助表'!AG:AG),"-")</f>
        <v>-</v>
      </c>
      <c r="AG20" s="99">
        <f>IFERROR(AK20/((SUMIF('6店辅助表'!AT:AT,B:B,'6店辅助表'!AU:AU)+M20)/2),"-")</f>
        <v>0.185185185185185</v>
      </c>
      <c r="AH20" s="99">
        <f>IFERROR(AL20/((SUMIF('6店辅助表'!AW:AW,B:B,'6店辅助表'!AX:AX)+M20)/2),"-")</f>
        <v>0.342857142857143</v>
      </c>
      <c r="AI20" s="100">
        <f>IFERROR((SUMIF('6店辅助表'!AP:AP,B:B,'6店辅助表'!AR:AR)-SUMIF('6店辅助表'!AP:AP,B:B,'6店辅助表'!AR:AR)*0.15-(L20+IFERROR(VLOOKUP(B:B,'6店辅助表'!AZ:BA,2,0),0))*O20-IF(AN:AN="US",6.85,4.9)*(Z20+4.03*O20))/SUMIF('6店辅助表'!AP:AP,B:B,'6店辅助表'!AR:AR),"-")</f>
        <v>0.335065630283216</v>
      </c>
      <c r="AJ20" s="100">
        <f t="shared" si="7"/>
        <v>0.114879644668531</v>
      </c>
      <c r="AK20" s="101">
        <f t="shared" si="8"/>
        <v>312.52</v>
      </c>
      <c r="AL20" s="101">
        <f t="shared" si="9"/>
        <v>562.536</v>
      </c>
      <c r="AM20" s="1" t="str">
        <f>VLOOKUP(B:B,'6店辅助表'!AZ:AZ,1,FALSE)</f>
        <v>Y6041</v>
      </c>
      <c r="AN20" t="str">
        <f>VLOOKUP(B:B,'6店辅助表'!AZ:BB,3,FALSE)</f>
        <v>US</v>
      </c>
    </row>
    <row r="21" customHeight="1" spans="1:40">
      <c r="A21" s="58" t="str">
        <f>INDEX('[1]6店'!$A:$A,MATCH(B:B,'[1]6店'!$B:$B,0))</f>
        <v>美珠</v>
      </c>
      <c r="B21" s="108" t="s">
        <v>1926</v>
      </c>
      <c r="C21" s="43" t="s">
        <v>1927</v>
      </c>
      <c r="D21" s="59">
        <f>VLOOKUP(B:B,'[1]6店'!$B:$L,3,0)</f>
        <v>44801</v>
      </c>
      <c r="E21" s="43" t="s">
        <v>1928</v>
      </c>
      <c r="F21" s="43">
        <v>158</v>
      </c>
      <c r="G21" s="43">
        <v>5</v>
      </c>
      <c r="H21" s="43">
        <v>12</v>
      </c>
      <c r="I21" s="43">
        <v>1</v>
      </c>
      <c r="J21" s="43">
        <v>6</v>
      </c>
      <c r="K21" s="63">
        <f t="shared" si="1"/>
        <v>182</v>
      </c>
      <c r="L21" s="124">
        <f>VLOOKUP($B:$B,'[1]6店'!$B:$L,11,0)</f>
        <v>31.222</v>
      </c>
      <c r="M21" s="44">
        <f t="shared" si="10"/>
        <v>5682.404</v>
      </c>
      <c r="N21" s="65">
        <f>IFERROR(VLOOKUP(B:B,'6店辅助表'!B:C,2,FALSE),0)</f>
        <v>31</v>
      </c>
      <c r="O21" s="65">
        <f>IFERROR(VLOOKUP(B:B,'6店辅助表'!E:F,2,FALSE),0)</f>
        <v>75</v>
      </c>
      <c r="P21" s="65">
        <f>IFERROR(VLOOKUP(B:B,'6店辅助表'!H:I,2,FALSE),0)</f>
        <v>158</v>
      </c>
      <c r="Q21" s="65">
        <f>IFERROR(VLOOKUP(B:B,'[1]6店'!$B:$N,13,FALSE),0)</f>
        <v>38</v>
      </c>
      <c r="R21" s="79">
        <f t="shared" si="2"/>
        <v>-7</v>
      </c>
      <c r="S21" s="80">
        <f t="shared" si="3"/>
        <v>37.1548930654569</v>
      </c>
      <c r="T21" s="44">
        <f t="shared" si="4"/>
        <v>1.23849643551523</v>
      </c>
      <c r="U21" s="44">
        <f>IFERROR(VLOOKUP(B:B,'[1]6店'!$B:$T,19,0),"-")</f>
        <v>1.28350071736011</v>
      </c>
      <c r="V21" s="81">
        <f t="shared" si="5"/>
        <v>-0.0450042818448801</v>
      </c>
      <c r="W21" s="82" t="str">
        <f>_xlfn.IFS(AND(D21&lt;&gt;0,D21-$AM$2&gt;=0,B21&gt;0,D21&lt;&gt;0),"本月刚到货",AND(IFERROR((K21/(N21/7))/30,"-")="-",K21&gt;0),"有库存无销量",AND(IFERROR((K21/(N21/7))/30,"-")="-",K21=0),"无库存无销量",AND(IFERROR((K21/(N21/7))/30,"-")&lt;=0.5,K21=0),"无库存有销量",IFERROR((K21/(N21/7))/30,"-")&lt;=0.5,"库存过低",IFERROR((K21/(N21/7))/30,"-")&lt;=1.5,"正常",IFERROR((K21/(N21/7))/30,"-")&gt;1.5,"库存过高")</f>
        <v>正常</v>
      </c>
      <c r="X21" s="83" t="str">
        <f>_xlfn.IFS(AND(D21&lt;&gt;0,D21-$AM$2&gt;=0,K21&gt;0,D21&lt;&gt;0),"本月刚到货",AND(T21="-",K21&gt;0),"有库存无销量",AND(T21="-",K21=0),"无库存无销量",AND(T21&lt;=0.5,K21=0),"无库存有销量",T21&lt;=0.5,"库存过低",T21&lt;=1.5,"正常",T21&gt;1.5,"库存过高")</f>
        <v>正常</v>
      </c>
      <c r="Y21" s="44">
        <f>IFERROR(SUMIF('6店辅助表'!K:K,B:B,'6店辅助表'!N:N),0)</f>
        <v>0</v>
      </c>
      <c r="Z21" s="44">
        <f>IFERROR(SUMIF('6店辅助表'!T:T,B:B,'6店辅助表'!W:W),0)</f>
        <v>0</v>
      </c>
      <c r="AA21" s="44">
        <f>IFERROR(SUMIF('6店辅助表'!AC:AC,B:B,'6店辅助表'!AF:AF),0)</f>
        <v>38.85</v>
      </c>
      <c r="AB21" s="91" t="str">
        <f>IFERROR(SUMIF('6店辅助表'!K:K,B:B,'6店辅助表'!N:N)/SUMIF('6店辅助表'!K:K,B:B,'6店辅助表'!O:O),"-")</f>
        <v>-</v>
      </c>
      <c r="AC21" s="91" t="str">
        <f>IFERROR(VLOOKUP(B:B,'[1]6店'!$B:$AB,27,FALSE),"-")</f>
        <v>-</v>
      </c>
      <c r="AD21" s="92" t="str">
        <f t="shared" si="6"/>
        <v>-</v>
      </c>
      <c r="AE21" s="91" t="str">
        <f>IFERROR(SUMIF('6店辅助表'!T:T,B:B,'6店辅助表'!W:W)/SUMIF('6店辅助表'!T:T,B:B,'6店辅助表'!X:X),"-")</f>
        <v>-</v>
      </c>
      <c r="AF21" s="91">
        <f>IFERROR(SUMIF('6店辅助表'!AC:AC,B:B,'6店辅助表'!AF:AF)/SUMIF('6店辅助表'!AC:AC,B:B,'6店辅助表'!AG:AG),"-")</f>
        <v>0.306605634914371</v>
      </c>
      <c r="AG21" s="99">
        <f>IFERROR(AK21/((SUMIF('6店辅助表'!AT:AT,B:B,'6店辅助表'!AU:AU)+M21)/2),"-")</f>
        <v>0.156962025316456</v>
      </c>
      <c r="AH21" s="99">
        <f>IFERROR(AL21/((SUMIF('6店辅助表'!AW:AW,B:B,'6店辅助表'!AX:AX)+M21)/2),"-")</f>
        <v>0.390625</v>
      </c>
      <c r="AI21" s="100">
        <f>IFERROR((SUMIF('6店辅助表'!AP:AP,B:B,'6店辅助表'!AR:AR)-SUMIF('6店辅助表'!AP:AP,B:B,'6店辅助表'!AR:AR)*0.15-(L21+IFERROR(VLOOKUP(B:B,'6店辅助表'!AZ:BA,2,0),0))*O21-IF(AN:AN="US",6.85,4.9)*(Z21+4.03*O21))/SUMIF('6店辅助表'!AP:AP,B:B,'6店辅助表'!AR:AR),"-")</f>
        <v>0.358731972377631</v>
      </c>
      <c r="AJ21" s="100">
        <f t="shared" si="7"/>
        <v>0.140129676710012</v>
      </c>
      <c r="AK21" s="101">
        <f t="shared" si="8"/>
        <v>967.882</v>
      </c>
      <c r="AL21" s="101">
        <f t="shared" si="9"/>
        <v>2341.65</v>
      </c>
      <c r="AM21" s="1" t="str">
        <f>VLOOKUP(B:B,'6店辅助表'!AZ:AZ,1,FALSE)</f>
        <v>Y6040-GR</v>
      </c>
      <c r="AN21" t="str">
        <f>VLOOKUP(B:B,'6店辅助表'!AZ:BB,3,FALSE)</f>
        <v>US</v>
      </c>
    </row>
    <row r="22" customHeight="1" spans="1:40">
      <c r="A22" s="58" t="str">
        <f>INDEX('[1]6店'!$A:$A,MATCH(B:B,'[1]6店'!$B:$B,0))</f>
        <v>美珠</v>
      </c>
      <c r="B22" s="108" t="s">
        <v>1929</v>
      </c>
      <c r="C22" s="43" t="s">
        <v>1927</v>
      </c>
      <c r="D22" s="59">
        <f>VLOOKUP(B:B,'[1]6店'!$B:$L,3,0)</f>
        <v>44801</v>
      </c>
      <c r="E22" s="43" t="s">
        <v>1930</v>
      </c>
      <c r="F22" s="43">
        <v>16</v>
      </c>
      <c r="G22" s="43">
        <v>0</v>
      </c>
      <c r="H22" s="43">
        <v>16</v>
      </c>
      <c r="I22" s="43">
        <v>1</v>
      </c>
      <c r="J22" s="43">
        <v>0</v>
      </c>
      <c r="K22" s="63">
        <f t="shared" si="1"/>
        <v>33</v>
      </c>
      <c r="L22" s="124">
        <f>VLOOKUP($B:$B,'[1]6店'!$B:$L,11,0)</f>
        <v>31.245</v>
      </c>
      <c r="M22" s="44">
        <f t="shared" si="10"/>
        <v>1031.085</v>
      </c>
      <c r="N22" s="65">
        <f>IFERROR(VLOOKUP(B:B,'6店辅助表'!B:C,2,FALSE),0)</f>
        <v>14</v>
      </c>
      <c r="O22" s="65">
        <f>IFERROR(VLOOKUP(B:B,'6店辅助表'!E:F,2,FALSE),0)</f>
        <v>27</v>
      </c>
      <c r="P22" s="65">
        <f>IFERROR(VLOOKUP(B:B,'6店辅助表'!H:I,2,FALSE),0)</f>
        <v>53</v>
      </c>
      <c r="Q22" s="65">
        <f>IFERROR(VLOOKUP(B:B,'[1]6店'!$B:$N,13,FALSE),0)</f>
        <v>14</v>
      </c>
      <c r="R22" s="79">
        <f t="shared" si="2"/>
        <v>0</v>
      </c>
      <c r="S22" s="80">
        <f t="shared" si="3"/>
        <v>17.7844311377246</v>
      </c>
      <c r="T22" s="44">
        <f t="shared" si="4"/>
        <v>0.592814371257485</v>
      </c>
      <c r="U22" s="44">
        <f>IFERROR(VLOOKUP(B:B,'[1]6店'!$B:$T,19,0),"-")</f>
        <v>0.592814371257485</v>
      </c>
      <c r="V22" s="81">
        <f t="shared" si="5"/>
        <v>0</v>
      </c>
      <c r="W22" s="82" t="str">
        <f>_xlfn.IFS(AND(D22&lt;&gt;0,D22-$AM$2&gt;=0,B22&gt;0,D22&lt;&gt;0),"本月刚到货",AND(IFERROR((K22/(N22/7))/30,"-")="-",K22&gt;0),"有库存无销量",AND(IFERROR((K22/(N22/7))/30,"-")="-",K22=0),"无库存无销量",AND(IFERROR((K22/(N22/7))/30,"-")&lt;=0.5,K22=0),"无库存有销量",IFERROR((K22/(N22/7))/30,"-")&lt;=0.5,"库存过低",IFERROR((K22/(N22/7))/30,"-")&lt;=1.5,"正常",IFERROR((K22/(N22/7))/30,"-")&gt;1.5,"库存过高")</f>
        <v>正常</v>
      </c>
      <c r="X22" s="83" t="str">
        <f>_xlfn.IFS(AND(D22&lt;&gt;0,D22-$AM$2&gt;=0,K22&gt;0,D22&lt;&gt;0),"本月刚到货",AND(T22="-",K22&gt;0),"有库存无销量",AND(T22="-",K22=0),"无库存无销量",AND(T22&lt;=0.5,K22=0),"无库存有销量",T22&lt;=0.5,"库存过低",T22&lt;=1.5,"正常",T22&gt;1.5,"库存过高")</f>
        <v>正常</v>
      </c>
      <c r="Y22" s="44">
        <f>IFERROR(SUMIF('6店辅助表'!K:K,B:B,'6店辅助表'!N:N),0)</f>
        <v>23.82</v>
      </c>
      <c r="Z22" s="44">
        <f>IFERROR(SUMIF('6店辅助表'!T:T,B:B,'6店辅助表'!W:W),0)</f>
        <v>25.5</v>
      </c>
      <c r="AA22" s="44">
        <f>IFERROR(SUMIF('6店辅助表'!AC:AC,B:B,'6店辅助表'!AF:AF),0)</f>
        <v>55.96</v>
      </c>
      <c r="AB22" s="91">
        <f>IFERROR(SUMIF('6店辅助表'!K:K,B:B,'6店辅助表'!N:N)/SUMIF('6店辅助表'!K:K,B:B,'6店辅助表'!O:O),"-")</f>
        <v>0.187662491136847</v>
      </c>
      <c r="AC22" s="91" t="str">
        <f>IFERROR(VLOOKUP(B:B,'[1]6店'!$B:$AB,27,FALSE),"-")</f>
        <v>-</v>
      </c>
      <c r="AD22" s="92" t="str">
        <f t="shared" si="6"/>
        <v>-</v>
      </c>
      <c r="AE22" s="91">
        <f>IFERROR(SUMIF('6店辅助表'!T:T,B:B,'6店辅助表'!W:W)/SUMIF('6店辅助表'!T:T,B:B,'6店辅助表'!X:X),"-")</f>
        <v>0.200898132829118</v>
      </c>
      <c r="AF22" s="91">
        <f>IFERROR(SUMIF('6店辅助表'!AC:AC,B:B,'6店辅助表'!AF:AF)/SUMIF('6店辅助表'!AC:AC,B:B,'6店辅助表'!AG:AG),"-")</f>
        <v>0.184790146286696</v>
      </c>
      <c r="AG22" s="99">
        <f>IFERROR(AK22/((SUMIF('6店辅助表'!AT:AT,B:B,'6店辅助表'!AU:AU)+M22)/2),"-")</f>
        <v>0.424242424242424</v>
      </c>
      <c r="AH22" s="99">
        <f>IFERROR(AL22/((SUMIF('6店辅助表'!AW:AW,B:B,'6店辅助表'!AX:AX)+M22)/2),"-")</f>
        <v>0.551020408163265</v>
      </c>
      <c r="AI22" s="100">
        <f>IFERROR((SUMIF('6店辅助表'!AP:AP,B:B,'6店辅助表'!AR:AR)-SUMIF('6店辅助表'!AP:AP,B:B,'6店辅助表'!AR:AR)*0.15-(L22+IFERROR(VLOOKUP(B:B,'6店辅助表'!AZ:BA,2,0),0))*O22-IF(AN:AN="US",6.85,4.9)*(Z22+4.03*O22))/SUMIF('6店辅助表'!AP:AP,B:B,'6店辅助表'!AR:AR),"-")</f>
        <v>0.312048319806118</v>
      </c>
      <c r="AJ22" s="100">
        <f t="shared" si="7"/>
        <v>0.171944992546228</v>
      </c>
      <c r="AK22" s="101">
        <f t="shared" si="8"/>
        <v>437.43</v>
      </c>
      <c r="AL22" s="101">
        <f t="shared" si="9"/>
        <v>843.615</v>
      </c>
      <c r="AM22" s="1" t="str">
        <f>VLOOKUP(B:B,'6店辅助表'!AZ:AZ,1,FALSE)</f>
        <v>Y6040-RE</v>
      </c>
      <c r="AN22" t="str">
        <f>VLOOKUP(B:B,'6店辅助表'!AZ:BB,3,FALSE)</f>
        <v>US</v>
      </c>
    </row>
    <row r="23" customHeight="1" spans="1:40">
      <c r="A23" s="58" t="str">
        <f>INDEX('[1]6店'!$A:$A,MATCH(B:B,'[1]6店'!$B:$B,0))</f>
        <v>美珠</v>
      </c>
      <c r="B23" s="108" t="s">
        <v>1931</v>
      </c>
      <c r="C23" s="43" t="s">
        <v>1932</v>
      </c>
      <c r="D23" s="59">
        <f>VLOOKUP(B:B,'[1]6店'!$B:$L,3,0)</f>
        <v>44801</v>
      </c>
      <c r="E23" s="43" t="s">
        <v>1933</v>
      </c>
      <c r="F23" s="43">
        <v>0</v>
      </c>
      <c r="G23" s="43">
        <v>47</v>
      </c>
      <c r="H23" s="43">
        <v>0</v>
      </c>
      <c r="I23" s="43">
        <v>0</v>
      </c>
      <c r="J23" s="43">
        <v>0</v>
      </c>
      <c r="K23" s="63">
        <f t="shared" si="1"/>
        <v>47</v>
      </c>
      <c r="L23" s="124">
        <f>VLOOKUP($B:$B,'[1]6店'!$B:$L,11,0)</f>
        <v>34.12</v>
      </c>
      <c r="M23" s="44">
        <f t="shared" si="10"/>
        <v>1603.64</v>
      </c>
      <c r="N23" s="65">
        <f>IFERROR(VLOOKUP(B:B,'6店辅助表'!B:C,2,FALSE),0)</f>
        <v>0</v>
      </c>
      <c r="O23" s="65">
        <f>IFERROR(VLOOKUP(B:B,'6店辅助表'!E:F,2,FALSE),0)</f>
        <v>0</v>
      </c>
      <c r="P23" s="65">
        <f>IFERROR(VLOOKUP(B:B,'6店辅助表'!H:I,2,FALSE),0)</f>
        <v>0</v>
      </c>
      <c r="Q23" s="65">
        <f>IFERROR(VLOOKUP(B:B,'[1]6店'!$B:$N,13,FALSE),0)</f>
        <v>0</v>
      </c>
      <c r="R23" s="79">
        <f t="shared" si="2"/>
        <v>0</v>
      </c>
      <c r="S23" s="80" t="str">
        <f t="shared" si="3"/>
        <v>-</v>
      </c>
      <c r="T23" s="44" t="str">
        <f t="shared" si="4"/>
        <v>-</v>
      </c>
      <c r="U23" s="44">
        <f>IFERROR(VLOOKUP(B:B,'[1]6店'!$B:$T,19,0),"-")</f>
        <v>141</v>
      </c>
      <c r="V23" s="81" t="str">
        <f t="shared" si="5"/>
        <v>-</v>
      </c>
      <c r="W23" s="82" t="str">
        <f>_xlfn.IFS(AND(D23&lt;&gt;0,D23-$AM$2&gt;=0,B23&gt;0,D23&lt;&gt;0),"本月刚到货",AND(IFERROR((K23/(N23/7))/30,"-")="-",K23&gt;0),"有库存无销量",AND(IFERROR((K23/(N23/7))/30,"-")="-",K23=0),"无库存无销量",AND(IFERROR((K23/(N23/7))/30,"-")&lt;=0.5,K23=0),"无库存有销量",IFERROR((K23/(N23/7))/30,"-")&lt;=0.5,"库存过低",IFERROR((K23/(N23/7))/30,"-")&lt;=1.5,"正常",IFERROR((K23/(N23/7))/30,"-")&gt;1.5,"库存过高")</f>
        <v>有库存无销量</v>
      </c>
      <c r="X23" s="83" t="str">
        <f>_xlfn.IFS(AND(D23&lt;&gt;0,D23-$AM$2&gt;=0,K23&gt;0,D23&lt;&gt;0),"本月刚到货",AND(T23="-",K23&gt;0),"有库存无销量",AND(T23="-",K23=0),"无库存无销量",AND(T23&lt;=0.5,K23=0),"无库存有销量",T23&lt;=0.5,"库存过低",T23&lt;=1.5,"正常",T23&gt;1.5,"库存过高")</f>
        <v>有库存无销量</v>
      </c>
      <c r="Y23" s="44">
        <f>IFERROR(SUMIF('6店辅助表'!K:K,B:B,'6店辅助表'!N:N),0)</f>
        <v>0</v>
      </c>
      <c r="Z23" s="44">
        <f>IFERROR(SUMIF('6店辅助表'!T:T,B:B,'6店辅助表'!W:W),0)</f>
        <v>0</v>
      </c>
      <c r="AA23" s="44">
        <f>IFERROR(SUMIF('6店辅助表'!AC:AC,B:B,'6店辅助表'!AF:AF),0)</f>
        <v>0</v>
      </c>
      <c r="AB23" s="91" t="str">
        <f>IFERROR(SUMIF('6店辅助表'!K:K,B:B,'6店辅助表'!N:N)/SUMIF('6店辅助表'!K:K,B:B,'6店辅助表'!O:O),"-")</f>
        <v>-</v>
      </c>
      <c r="AC23" s="91" t="str">
        <f>IFERROR(VLOOKUP(B:B,'[1]6店'!$B:$AB,27,FALSE),"-")</f>
        <v>-</v>
      </c>
      <c r="AD23" s="92" t="str">
        <f t="shared" si="6"/>
        <v>-</v>
      </c>
      <c r="AE23" s="91" t="str">
        <f>IFERROR(SUMIF('6店辅助表'!T:T,B:B,'6店辅助表'!W:W)/SUMIF('6店辅助表'!T:T,B:B,'6店辅助表'!X:X),"-")</f>
        <v>-</v>
      </c>
      <c r="AF23" s="91" t="str">
        <f>IFERROR(SUMIF('6店辅助表'!AC:AC,B:B,'6店辅助表'!AF:AF)/SUMIF('6店辅助表'!AC:AC,B:B,'6店辅助表'!AG:AG),"-")</f>
        <v>-</v>
      </c>
      <c r="AG23" s="99">
        <f>IFERROR(AK23/((SUMIF('6店辅助表'!AT:AT,B:B,'6店辅助表'!AU:AU)+M23)/2),"-")</f>
        <v>0</v>
      </c>
      <c r="AH23" s="99">
        <f>IFERROR(AL23/((SUMIF('6店辅助表'!AW:AW,B:B,'6店辅助表'!AX:AX)+M23)/2),"-")</f>
        <v>0</v>
      </c>
      <c r="AI23" s="100" t="str">
        <f>IFERROR((SUMIF('6店辅助表'!AP:AP,B:B,'6店辅助表'!AR:AR)-SUMIF('6店辅助表'!AP:AP,B:B,'6店辅助表'!AR:AR)*0.15-(L23+IFERROR(VLOOKUP(B:B,'6店辅助表'!AZ:BA,2,0),0))*O23-IF(AN:AN="US",6.85,4.9)*(Z23+4.03*O23))/SUMIF('6店辅助表'!AP:AP,B:B,'6店辅助表'!AR:AR),"-")</f>
        <v>-</v>
      </c>
      <c r="AJ23" s="100" t="str">
        <f t="shared" si="7"/>
        <v>-</v>
      </c>
      <c r="AK23" s="101">
        <f t="shared" si="8"/>
        <v>0</v>
      </c>
      <c r="AL23" s="101">
        <f t="shared" si="9"/>
        <v>0</v>
      </c>
      <c r="AM23" s="1" t="str">
        <f>VLOOKUP(B:B,'6店辅助表'!AZ:AZ,1,FALSE)</f>
        <v>Y6038-BL</v>
      </c>
      <c r="AN23" t="str">
        <f>VLOOKUP(B:B,'6店辅助表'!AZ:BB,3,FALSE)</f>
        <v>US</v>
      </c>
    </row>
    <row r="24" customHeight="1" spans="1:40">
      <c r="A24" s="58" t="str">
        <f>INDEX('[1]6店'!$A:$A,MATCH(B:B,'[1]6店'!$B:$B,0))</f>
        <v>美珠</v>
      </c>
      <c r="B24" s="116" t="s">
        <v>1934</v>
      </c>
      <c r="C24" s="45" t="s">
        <v>1742</v>
      </c>
      <c r="D24" s="59">
        <f>VLOOKUP(B:B,'[1]6店'!$B:$L,3,0)</f>
        <v>44801</v>
      </c>
      <c r="E24" s="45" t="s">
        <v>1935</v>
      </c>
      <c r="F24" s="45">
        <v>4</v>
      </c>
      <c r="G24" s="45">
        <v>0</v>
      </c>
      <c r="H24" s="45">
        <v>0</v>
      </c>
      <c r="I24" s="45">
        <v>0</v>
      </c>
      <c r="J24" s="45">
        <v>0</v>
      </c>
      <c r="K24" s="63">
        <f t="shared" si="1"/>
        <v>4</v>
      </c>
      <c r="L24" s="124">
        <f>VLOOKUP($B:$B,'[1]6店'!$B:$L,11,0)</f>
        <v>34.171</v>
      </c>
      <c r="M24" s="44">
        <f t="shared" si="10"/>
        <v>136.684</v>
      </c>
      <c r="N24" s="65">
        <f>IFERROR(VLOOKUP(B:B,'6店辅助表'!B:C,2,FALSE),0)</f>
        <v>0</v>
      </c>
      <c r="O24" s="65">
        <f>IFERROR(VLOOKUP(B:B,'6店辅助表'!E:F,2,FALSE),0)</f>
        <v>0</v>
      </c>
      <c r="P24" s="65">
        <f>IFERROR(VLOOKUP(B:B,'6店辅助表'!H:I,2,FALSE),0)</f>
        <v>0</v>
      </c>
      <c r="Q24" s="65">
        <f>IFERROR(VLOOKUP(B:B,'[1]6店'!$B:$N,13,FALSE),0)</f>
        <v>0</v>
      </c>
      <c r="R24" s="79">
        <f t="shared" si="2"/>
        <v>0</v>
      </c>
      <c r="S24" s="80" t="str">
        <f t="shared" si="3"/>
        <v>-</v>
      </c>
      <c r="T24" s="44" t="str">
        <f t="shared" si="4"/>
        <v>-</v>
      </c>
      <c r="U24" s="44" t="str">
        <f>IFERROR(VLOOKUP(B:B,'[1]6店'!$B:$T,19,0),"-")</f>
        <v>-</v>
      </c>
      <c r="V24" s="81" t="str">
        <f t="shared" si="5"/>
        <v>-</v>
      </c>
      <c r="W24" s="82" t="str">
        <f>_xlfn.IFS(AND(D24&lt;&gt;0,D24-$AM$2&gt;=0,B24&gt;0,D24&lt;&gt;0),"本月刚到货",AND(IFERROR((K24/(N24/7))/30,"-")="-",K24&gt;0),"有库存无销量",AND(IFERROR((K24/(N24/7))/30,"-")="-",K24=0),"无库存无销量",AND(IFERROR((K24/(N24/7))/30,"-")&lt;=0.5,K24=0),"无库存有销量",IFERROR((K24/(N24/7))/30,"-")&lt;=0.5,"库存过低",IFERROR((K24/(N24/7))/30,"-")&lt;=1.5,"正常",IFERROR((K24/(N24/7))/30,"-")&gt;1.5,"库存过高")</f>
        <v>有库存无销量</v>
      </c>
      <c r="X24" s="83" t="str">
        <f>_xlfn.IFS(AND(D24&lt;&gt;0,D24-$AM$2&gt;=0,K24&gt;0,D24&lt;&gt;0),"本月刚到货",AND(T24="-",K24&gt;0),"有库存无销量",AND(T24="-",K24=0),"无库存无销量",AND(T24&lt;=0.5,K24=0),"无库存有销量",T24&lt;=0.5,"库存过低",T24&lt;=1.5,"正常",T24&gt;1.5,"库存过高")</f>
        <v>有库存无销量</v>
      </c>
      <c r="Y24" s="44">
        <f>IFERROR(SUMIF('6店辅助表'!K:K,B:B,'6店辅助表'!N:N),0)</f>
        <v>0</v>
      </c>
      <c r="Z24" s="44">
        <f>IFERROR(SUMIF('6店辅助表'!T:T,B:B,'6店辅助表'!W:W),0)</f>
        <v>0</v>
      </c>
      <c r="AA24" s="44">
        <f>IFERROR(SUMIF('6店辅助表'!AC:AC,B:B,'6店辅助表'!AF:AF),0)</f>
        <v>0</v>
      </c>
      <c r="AB24" s="91" t="str">
        <f>IFERROR(SUMIF('6店辅助表'!K:K,B:B,'6店辅助表'!N:N)/SUMIF('6店辅助表'!K:K,B:B,'6店辅助表'!O:O),"-")</f>
        <v>-</v>
      </c>
      <c r="AC24" s="91" t="str">
        <f>IFERROR(VLOOKUP(B:B,'[1]6店'!$B:$AB,27,FALSE),"-")</f>
        <v>-</v>
      </c>
      <c r="AD24" s="92" t="str">
        <f t="shared" si="6"/>
        <v>-</v>
      </c>
      <c r="AE24" s="91" t="str">
        <f>IFERROR(SUMIF('6店辅助表'!T:T,B:B,'6店辅助表'!W:W)/SUMIF('6店辅助表'!T:T,B:B,'6店辅助表'!X:X),"-")</f>
        <v>-</v>
      </c>
      <c r="AF24" s="91" t="str">
        <f>IFERROR(SUMIF('6店辅助表'!AC:AC,B:B,'6店辅助表'!AF:AF)/SUMIF('6店辅助表'!AC:AC,B:B,'6店辅助表'!AG:AG),"-")</f>
        <v>-</v>
      </c>
      <c r="AG24" s="99">
        <f>IFERROR(AK24/((SUMIF('6店辅助表'!AT:AT,B:B,'6店辅助表'!AU:AU)+M24)/2),"-")</f>
        <v>0</v>
      </c>
      <c r="AH24" s="99">
        <f>IFERROR(AL24/((SUMIF('6店辅助表'!AW:AW,B:B,'6店辅助表'!AX:AX)+M24)/2),"-")</f>
        <v>0</v>
      </c>
      <c r="AI24" s="100" t="str">
        <f>IFERROR((SUMIF('6店辅助表'!AP:AP,B:B,'6店辅助表'!AR:AR)-SUMIF('6店辅助表'!AP:AP,B:B,'6店辅助表'!AR:AR)*0.15-(L24+IFERROR(VLOOKUP(B:B,'6店辅助表'!AZ:BA,2,0),0))*O24-IF(AN:AN="US",6.85,4.9)*(Z24+4.03*O24))/SUMIF('6店辅助表'!AP:AP,B:B,'6店辅助表'!AR:AR),"-")</f>
        <v>-</v>
      </c>
      <c r="AJ24" s="100" t="str">
        <f t="shared" si="7"/>
        <v>-</v>
      </c>
      <c r="AK24" s="101">
        <f t="shared" si="8"/>
        <v>0</v>
      </c>
      <c r="AL24" s="101">
        <f t="shared" si="9"/>
        <v>0</v>
      </c>
      <c r="AM24" s="1" t="str">
        <f>VLOOKUP(B:B,'6店辅助表'!AZ:AZ,1,FALSE)</f>
        <v>Y6038-RE</v>
      </c>
      <c r="AN24" t="str">
        <f>VLOOKUP(B:B,'6店辅助表'!AZ:BB,3,FALSE)</f>
        <v>US</v>
      </c>
    </row>
    <row r="25" customHeight="1" spans="1:40">
      <c r="A25" s="58" t="str">
        <f>INDEX('[1]6店'!$A:$A,MATCH(B:B,'[1]6店'!$B:$B,0))</f>
        <v>美珠</v>
      </c>
      <c r="B25" s="116" t="s">
        <v>1936</v>
      </c>
      <c r="C25" s="45" t="s">
        <v>1747</v>
      </c>
      <c r="D25" s="59">
        <f>VLOOKUP(B:B,'[1]6店'!$B:$L,3,0)</f>
        <v>44801</v>
      </c>
      <c r="E25" s="45" t="s">
        <v>1937</v>
      </c>
      <c r="F25" s="45">
        <v>3</v>
      </c>
      <c r="G25" s="45">
        <v>0</v>
      </c>
      <c r="H25" s="45">
        <v>0</v>
      </c>
      <c r="I25" s="45">
        <v>0</v>
      </c>
      <c r="J25" s="45">
        <v>0</v>
      </c>
      <c r="K25" s="63">
        <f t="shared" ref="K25:K30" si="11">F25+G25+H25+I25+J25</f>
        <v>3</v>
      </c>
      <c r="L25" s="124">
        <f>VLOOKUP($B:$B,'[1]6店'!$B:$L,11,0)</f>
        <v>34.108</v>
      </c>
      <c r="M25" s="44">
        <f t="shared" si="10"/>
        <v>102.324</v>
      </c>
      <c r="N25" s="65">
        <f>IFERROR(VLOOKUP(B:B,'6店辅助表'!B:C,2,FALSE),0)</f>
        <v>0</v>
      </c>
      <c r="O25" s="65">
        <f>IFERROR(VLOOKUP(B:B,'6店辅助表'!E:F,2,FALSE),0)</f>
        <v>0</v>
      </c>
      <c r="P25" s="65">
        <f>IFERROR(VLOOKUP(B:B,'6店辅助表'!H:I,2,FALSE),0)</f>
        <v>0</v>
      </c>
      <c r="Q25" s="65">
        <f>IFERROR(VLOOKUP(B:B,'[1]6店'!$B:$N,13,FALSE),0)</f>
        <v>0</v>
      </c>
      <c r="R25" s="79">
        <f t="shared" ref="R25:R30" si="12">N25-Q25</f>
        <v>0</v>
      </c>
      <c r="S25" s="80" t="str">
        <f t="shared" ref="S25:S30" si="13">IFERROR(K25/((N25/7+O25/15+P25/30)/3),"-")</f>
        <v>-</v>
      </c>
      <c r="T25" s="44" t="str">
        <f t="shared" ref="T25:T30" si="14">IFERROR(S25/30,"-")</f>
        <v>-</v>
      </c>
      <c r="U25" s="44" t="str">
        <f>IFERROR(VLOOKUP(B:B,'[1]6店'!$B:$T,19,0),"-")</f>
        <v>-</v>
      </c>
      <c r="V25" s="81" t="str">
        <f t="shared" ref="V25:V30" si="15">IFERROR(T25-U25,"-")</f>
        <v>-</v>
      </c>
      <c r="W25" s="82" t="str">
        <f t="shared" ref="W25:W30" si="16">_xlfn.IFS(AND(D25&lt;&gt;0,D25-$AM$2&gt;=0,B25&gt;0,D25&lt;&gt;0),"本月刚到货",AND(IFERROR((K25/(N25/7))/30,"-")="-",K25&gt;0),"有库存无销量",AND(IFERROR((K25/(N25/7))/30,"-")="-",K25=0),"无库存无销量",AND(IFERROR((K25/(N25/7))/30,"-")&lt;=0.5,K25=0),"无库存有销量",IFERROR((K25/(N25/7))/30,"-")&lt;=0.5,"库存过低",IFERROR((K25/(N25/7))/30,"-")&lt;=1.5,"正常",IFERROR((K25/(N25/7))/30,"-")&gt;1.5,"库存过高")</f>
        <v>有库存无销量</v>
      </c>
      <c r="X25" s="83" t="str">
        <f t="shared" ref="X25:X30" si="17">_xlfn.IFS(AND(D25&lt;&gt;0,D25-$AM$2&gt;=0,K25&gt;0,D25&lt;&gt;0),"本月刚到货",AND(T25="-",K25&gt;0),"有库存无销量",AND(T25="-",K25=0),"无库存无销量",AND(T25&lt;=0.5,K25=0),"无库存有销量",T25&lt;=0.5,"库存过低",T25&lt;=1.5,"正常",T25&gt;1.5,"库存过高")</f>
        <v>有库存无销量</v>
      </c>
      <c r="Y25" s="44">
        <f>IFERROR(SUMIF('6店辅助表'!K:K,B:B,'6店辅助表'!N:N),0)</f>
        <v>0</v>
      </c>
      <c r="Z25" s="44">
        <f>IFERROR(SUMIF('6店辅助表'!T:T,B:B,'6店辅助表'!W:W),0)</f>
        <v>0</v>
      </c>
      <c r="AA25" s="44">
        <f>IFERROR(SUMIF('6店辅助表'!AC:AC,B:B,'6店辅助表'!AF:AF),0)</f>
        <v>0</v>
      </c>
      <c r="AB25" s="91" t="str">
        <f>IFERROR(SUMIF('6店辅助表'!K:K,B:B,'6店辅助表'!N:N)/SUMIF('6店辅助表'!K:K,B:B,'6店辅助表'!O:O),"-")</f>
        <v>-</v>
      </c>
      <c r="AC25" s="91" t="str">
        <f>IFERROR(VLOOKUP(B:B,'[1]6店'!$B:$AB,27,FALSE),"-")</f>
        <v>-</v>
      </c>
      <c r="AD25" s="92" t="str">
        <f t="shared" ref="AD25:AD30" si="18">IFERROR(AB25-AC25,"-")</f>
        <v>-</v>
      </c>
      <c r="AE25" s="91" t="str">
        <f>IFERROR(SUMIF('6店辅助表'!T:T,B:B,'6店辅助表'!W:W)/SUMIF('6店辅助表'!T:T,B:B,'6店辅助表'!X:X),"-")</f>
        <v>-</v>
      </c>
      <c r="AF25" s="91" t="str">
        <f>IFERROR(SUMIF('6店辅助表'!AC:AC,B:B,'6店辅助表'!AF:AF)/SUMIF('6店辅助表'!AC:AC,B:B,'6店辅助表'!AG:AG),"-")</f>
        <v>-</v>
      </c>
      <c r="AG25" s="99">
        <f>IFERROR(AK25/((SUMIF('6店辅助表'!AT:AT,B:B,'6店辅助表'!AU:AU)+M25)/2),"-")</f>
        <v>0</v>
      </c>
      <c r="AH25" s="99">
        <f>IFERROR(AL25/((SUMIF('6店辅助表'!AW:AW,B:B,'6店辅助表'!AX:AX)+M25)/2),"-")</f>
        <v>0</v>
      </c>
      <c r="AI25" s="100" t="str">
        <f>IFERROR((SUMIF('6店辅助表'!AP:AP,B:B,'6店辅助表'!AR:AR)-SUMIF('6店辅助表'!AP:AP,B:B,'6店辅助表'!AR:AR)*0.15-(L25+IFERROR(VLOOKUP(B:B,'6店辅助表'!AZ:BA,2,0),0))*O25-IF(AN:AN="US",6.85,4.9)*(Z25+4.03*O25))/SUMIF('6店辅助表'!AP:AP,B:B,'6店辅助表'!AR:AR),"-")</f>
        <v>-</v>
      </c>
      <c r="AJ25" s="100" t="str">
        <f t="shared" ref="AJ25:AJ30" si="19">IFERROR(AH25*AI25,"-")</f>
        <v>-</v>
      </c>
      <c r="AK25" s="101">
        <f t="shared" ref="AK25:AK30" si="20">N25*$L25</f>
        <v>0</v>
      </c>
      <c r="AL25" s="101">
        <f t="shared" ref="AL25:AL30" si="21">O25*$L25</f>
        <v>0</v>
      </c>
      <c r="AM25" s="1" t="str">
        <f>VLOOKUP(B:B,'6店辅助表'!AZ:AZ,1,FALSE)</f>
        <v>Y6039-RE</v>
      </c>
      <c r="AN25" t="str">
        <f>VLOOKUP(B:B,'6店辅助表'!AZ:BB,3,FALSE)</f>
        <v>US</v>
      </c>
    </row>
    <row r="26" customHeight="1" spans="1:40">
      <c r="A26" s="58" t="str">
        <f>INDEX('[1]6店'!$A:$A,MATCH(B:B,'[1]6店'!$B:$B,0))</f>
        <v>美珠</v>
      </c>
      <c r="B26" s="116" t="s">
        <v>1938</v>
      </c>
      <c r="C26" s="45" t="s">
        <v>1939</v>
      </c>
      <c r="D26" s="59">
        <f>VLOOKUP(B:B,'[1]6店'!$B:$L,3,0)</f>
        <v>44995</v>
      </c>
      <c r="E26" s="45" t="s">
        <v>1940</v>
      </c>
      <c r="F26" s="45">
        <v>25</v>
      </c>
      <c r="G26" s="45">
        <v>0</v>
      </c>
      <c r="H26" s="45">
        <v>0</v>
      </c>
      <c r="I26" s="45">
        <v>0</v>
      </c>
      <c r="J26" s="45">
        <v>0</v>
      </c>
      <c r="K26" s="63">
        <f t="shared" si="11"/>
        <v>25</v>
      </c>
      <c r="L26" s="124">
        <f>VLOOKUP($B:$B,'[1]6店'!$B:$L,11,0)</f>
        <v>32</v>
      </c>
      <c r="M26" s="44">
        <f t="shared" si="10"/>
        <v>800</v>
      </c>
      <c r="N26" s="65">
        <f>IFERROR(VLOOKUP(B:B,'6店辅助表'!B:C,2,FALSE),0)</f>
        <v>2</v>
      </c>
      <c r="O26" s="65">
        <f>IFERROR(VLOOKUP(B:B,'6店辅助表'!E:F,2,FALSE),0)</f>
        <v>5</v>
      </c>
      <c r="P26" s="65">
        <f>IFERROR(VLOOKUP(B:B,'6店辅助表'!H:I,2,FALSE),0)</f>
        <v>16</v>
      </c>
      <c r="Q26" s="65">
        <f>IFERROR(VLOOKUP(B:B,'[1]6店'!$B:$N,13,FALSE),0)</f>
        <v>3</v>
      </c>
      <c r="R26" s="79">
        <f t="shared" si="12"/>
        <v>-1</v>
      </c>
      <c r="S26" s="80">
        <f t="shared" si="13"/>
        <v>65.0826446280992</v>
      </c>
      <c r="T26" s="44">
        <f t="shared" si="14"/>
        <v>2.16942148760331</v>
      </c>
      <c r="U26" s="44">
        <f>IFERROR(VLOOKUP(B:B,'[1]6店'!$B:$T,19,0),"-")</f>
        <v>1.87261146496815</v>
      </c>
      <c r="V26" s="81">
        <f t="shared" si="15"/>
        <v>0.29681002263516</v>
      </c>
      <c r="W26" s="82" t="str">
        <f t="shared" si="16"/>
        <v>库存过高</v>
      </c>
      <c r="X26" s="83" t="str">
        <f t="shared" si="17"/>
        <v>库存过高</v>
      </c>
      <c r="Y26" s="44">
        <f>IFERROR(SUMIF('6店辅助表'!K:K,B:B,'6店辅助表'!N:N),0)</f>
        <v>13.29</v>
      </c>
      <c r="Z26" s="44">
        <f>IFERROR(SUMIF('6店辅助表'!T:T,B:B,'6店辅助表'!W:W),0)</f>
        <v>23.85</v>
      </c>
      <c r="AA26" s="44">
        <f>IFERROR(SUMIF('6店辅助表'!AC:AC,B:B,'6店辅助表'!AF:AF),0)</f>
        <v>43.09</v>
      </c>
      <c r="AB26" s="91">
        <f>IFERROR(SUMIF('6店辅助表'!K:K,B:B,'6店辅助表'!N:N)/SUMIF('6店辅助表'!K:K,B:B,'6店辅助表'!O:O),"-")</f>
        <v>0.237406216505895</v>
      </c>
      <c r="AC26" s="91">
        <f>IFERROR(VLOOKUP(B:B,'[1]6店'!$B:$AB,27,FALSE),"-")</f>
        <v>0.348695962843873</v>
      </c>
      <c r="AD26" s="92">
        <f t="shared" si="18"/>
        <v>-0.111289746337978</v>
      </c>
      <c r="AE26" s="91">
        <f>IFERROR(SUMIF('6店辅助表'!T:T,B:B,'6店辅助表'!W:W)/SUMIF('6店辅助表'!T:T,B:B,'6店辅助表'!X:X),"-")</f>
        <v>0.284030010718114</v>
      </c>
      <c r="AF26" s="91">
        <f>IFERROR(SUMIF('6店辅助表'!AC:AC,B:B,'6店辅助表'!AF:AF)/SUMIF('6店辅助表'!AC:AC,B:B,'6店辅助表'!AG:AG),"-")</f>
        <v>0.384869596284387</v>
      </c>
      <c r="AG26" s="99">
        <f>IFERROR(AK26/((SUMIF('6店辅助表'!AT:AT,B:B,'6店辅助表'!AU:AU)+M26)/2),"-")</f>
        <v>0.0754716981132075</v>
      </c>
      <c r="AH26" s="99">
        <f>IFERROR(AL26/((SUMIF('6店辅助表'!AW:AW,B:B,'6店辅助表'!AX:AX)+M26)/2),"-")</f>
        <v>0.178571428571429</v>
      </c>
      <c r="AI26" s="100">
        <f>IFERROR((SUMIF('6店辅助表'!AP:AP,B:B,'6店辅助表'!AR:AR)-SUMIF('6店辅助表'!AP:AP,B:B,'6店辅助表'!AR:AR)*0.15-(L26+IFERROR(VLOOKUP(B:B,'6店辅助表'!AZ:BA,2,0),0))*O26-IF(AN:AN="US",6.85,4.9)*(Z26+4.03*O26))/SUMIF('6店辅助表'!AP:AP,B:B,'6店辅助表'!AR:AR),"-")</f>
        <v>0.344876950318544</v>
      </c>
      <c r="AJ26" s="100">
        <f t="shared" si="19"/>
        <v>0.0615851696997401</v>
      </c>
      <c r="AK26" s="101">
        <f t="shared" si="20"/>
        <v>64</v>
      </c>
      <c r="AL26" s="101">
        <f t="shared" si="21"/>
        <v>160</v>
      </c>
      <c r="AM26" s="1" t="str">
        <f>VLOOKUP(B:B,'6店辅助表'!AZ:AZ,1,FALSE)</f>
        <v>Y6049-BL</v>
      </c>
      <c r="AN26" t="str">
        <f>VLOOKUP(B:B,'6店辅助表'!AZ:BB,3,FALSE)</f>
        <v>US</v>
      </c>
    </row>
    <row r="27" customHeight="1" spans="1:40">
      <c r="A27" s="58" t="str">
        <f>INDEX('[1]6店'!$A:$A,MATCH(B:B,'[1]6店'!$B:$B,0))</f>
        <v>美珠</v>
      </c>
      <c r="B27" s="116" t="s">
        <v>1941</v>
      </c>
      <c r="C27" s="45" t="s">
        <v>1942</v>
      </c>
      <c r="D27" s="59">
        <f>VLOOKUP(B:B,'[1]6店'!$B:$L,3,0)</f>
        <v>44995</v>
      </c>
      <c r="E27" s="45" t="s">
        <v>1943</v>
      </c>
      <c r="F27" s="45">
        <v>21</v>
      </c>
      <c r="G27" s="45">
        <v>0</v>
      </c>
      <c r="H27" s="45">
        <v>0</v>
      </c>
      <c r="I27" s="45">
        <v>0</v>
      </c>
      <c r="J27" s="45">
        <v>0</v>
      </c>
      <c r="K27" s="63">
        <f t="shared" si="11"/>
        <v>21</v>
      </c>
      <c r="L27" s="124">
        <f>VLOOKUP($B:$B,'[1]6店'!$B:$L,11,0)</f>
        <v>32</v>
      </c>
      <c r="M27" s="44">
        <f t="shared" si="10"/>
        <v>672</v>
      </c>
      <c r="N27" s="65">
        <f>IFERROR(VLOOKUP(B:B,'6店辅助表'!B:C,2,FALSE),0)</f>
        <v>1</v>
      </c>
      <c r="O27" s="65">
        <f>IFERROR(VLOOKUP(B:B,'6店辅助表'!E:F,2,FALSE),0)</f>
        <v>1</v>
      </c>
      <c r="P27" s="65">
        <f>IFERROR(VLOOKUP(B:B,'6店辅助表'!H:I,2,FALSE),0)</f>
        <v>1</v>
      </c>
      <c r="Q27" s="65">
        <f>IFERROR(VLOOKUP(B:B,'[1]6店'!$B:$N,13,FALSE),0)</f>
        <v>0</v>
      </c>
      <c r="R27" s="79">
        <f t="shared" si="12"/>
        <v>1</v>
      </c>
      <c r="S27" s="80">
        <f t="shared" si="13"/>
        <v>259.411764705882</v>
      </c>
      <c r="T27" s="44">
        <f t="shared" si="14"/>
        <v>8.64705882352941</v>
      </c>
      <c r="U27" s="44">
        <f>IFERROR(VLOOKUP(B:B,'[1]6店'!$B:$T,19,0),"-")</f>
        <v>33</v>
      </c>
      <c r="V27" s="81">
        <f t="shared" si="15"/>
        <v>-24.3529411764706</v>
      </c>
      <c r="W27" s="82" t="str">
        <f t="shared" si="16"/>
        <v>库存过高</v>
      </c>
      <c r="X27" s="83" t="str">
        <f t="shared" si="17"/>
        <v>库存过高</v>
      </c>
      <c r="Y27" s="44">
        <f>IFERROR(SUMIF('6店辅助表'!K:K,B:B,'6店辅助表'!N:N),0)</f>
        <v>0</v>
      </c>
      <c r="Z27" s="44">
        <f>IFERROR(SUMIF('6店辅助表'!T:T,B:B,'6店辅助表'!W:W),0)</f>
        <v>0</v>
      </c>
      <c r="AA27" s="44">
        <f>IFERROR(SUMIF('6店辅助表'!AC:AC,B:B,'6店辅助表'!AF:AF),0)</f>
        <v>0</v>
      </c>
      <c r="AB27" s="91" t="str">
        <f>IFERROR(SUMIF('6店辅助表'!K:K,B:B,'6店辅助表'!N:N)/SUMIF('6店辅助表'!K:K,B:B,'6店辅助表'!O:O),"-")</f>
        <v>-</v>
      </c>
      <c r="AC27" s="91" t="str">
        <f>IFERROR(VLOOKUP(B:B,'[1]6店'!$B:$AB,27,FALSE),"-")</f>
        <v>-</v>
      </c>
      <c r="AD27" s="92" t="str">
        <f t="shared" si="18"/>
        <v>-</v>
      </c>
      <c r="AE27" s="91" t="str">
        <f>IFERROR(SUMIF('6店辅助表'!T:T,B:B,'6店辅助表'!W:W)/SUMIF('6店辅助表'!T:T,B:B,'6店辅助表'!X:X),"-")</f>
        <v>-</v>
      </c>
      <c r="AF27" s="91" t="str">
        <f>IFERROR(SUMIF('6店辅助表'!AC:AC,B:B,'6店辅助表'!AF:AF)/SUMIF('6店辅助表'!AC:AC,B:B,'6店辅助表'!AG:AG),"-")</f>
        <v>-</v>
      </c>
      <c r="AG27" s="99">
        <f>IFERROR(AK27/((SUMIF('6店辅助表'!AT:AT,B:B,'6店辅助表'!AU:AU)+M27)/2),"-")</f>
        <v>0.0465116279069767</v>
      </c>
      <c r="AH27" s="99">
        <f>IFERROR(AL27/((SUMIF('6店辅助表'!AW:AW,B:B,'6店辅助表'!AX:AX)+M27)/2),"-")</f>
        <v>0.0476190476190476</v>
      </c>
      <c r="AI27" s="100">
        <f>IFERROR((SUMIF('6店辅助表'!AP:AP,B:B,'6店辅助表'!AR:AR)-SUMIF('6店辅助表'!AP:AP,B:B,'6店辅助表'!AR:AR)*0.15-(L27+IFERROR(VLOOKUP(B:B,'6店辅助表'!AZ:BA,2,0),0))*O27-IF(AN:AN="US",6.85,4.9)*(Z27+4.03*O27))/SUMIF('6店辅助表'!AP:AP,B:B,'6店辅助表'!AR:AR),"-")</f>
        <v>0.515571384983688</v>
      </c>
      <c r="AJ27" s="100">
        <f t="shared" si="19"/>
        <v>0.0245510183325566</v>
      </c>
      <c r="AK27" s="101">
        <f t="shared" si="20"/>
        <v>32</v>
      </c>
      <c r="AL27" s="101">
        <f t="shared" si="21"/>
        <v>32</v>
      </c>
      <c r="AM27" s="1" t="str">
        <f>VLOOKUP(B:B,'6店辅助表'!AZ:AZ,1,FALSE)</f>
        <v>Y6049-SC</v>
      </c>
      <c r="AN27" t="str">
        <f>VLOOKUP(B:B,'6店辅助表'!AZ:BB,3,FALSE)</f>
        <v>US</v>
      </c>
    </row>
    <row r="28" customHeight="1" spans="1:40">
      <c r="A28" s="58" t="str">
        <f>INDEX('[1]6店'!$A:$A,MATCH(B:B,'[1]6店'!$B:$B,0))</f>
        <v>美珠</v>
      </c>
      <c r="B28" s="116" t="s">
        <v>1944</v>
      </c>
      <c r="C28" s="45" t="s">
        <v>1945</v>
      </c>
      <c r="D28" s="59">
        <f>VLOOKUP(B:B,'[1]6店'!$B:$L,3,0)</f>
        <v>45027</v>
      </c>
      <c r="E28" s="45" t="s">
        <v>1946</v>
      </c>
      <c r="F28" s="45">
        <v>4</v>
      </c>
      <c r="G28" s="45">
        <v>0</v>
      </c>
      <c r="H28" s="45">
        <v>0</v>
      </c>
      <c r="I28" s="45">
        <v>0</v>
      </c>
      <c r="J28" s="45">
        <v>0</v>
      </c>
      <c r="K28" s="63">
        <f t="shared" si="11"/>
        <v>4</v>
      </c>
      <c r="L28" s="124">
        <f>VLOOKUP($B:$B,'[1]6店'!$B:$L,11,0)</f>
        <v>10.14</v>
      </c>
      <c r="M28" s="44">
        <f t="shared" si="10"/>
        <v>40.56</v>
      </c>
      <c r="N28" s="65">
        <f>IFERROR(VLOOKUP(B:B,'6店辅助表'!B:C,2,FALSE),0)</f>
        <v>0</v>
      </c>
      <c r="O28" s="65">
        <f>IFERROR(VLOOKUP(B:B,'6店辅助表'!E:F,2,FALSE),0)</f>
        <v>0</v>
      </c>
      <c r="P28" s="65">
        <f>IFERROR(VLOOKUP(B:B,'6店辅助表'!H:I,2,FALSE),0)</f>
        <v>0</v>
      </c>
      <c r="Q28" s="65">
        <f>IFERROR(VLOOKUP(B:B,'[1]6店'!$B:$N,13,FALSE),0)</f>
        <v>0</v>
      </c>
      <c r="R28" s="79">
        <f t="shared" si="12"/>
        <v>0</v>
      </c>
      <c r="S28" s="80" t="str">
        <f t="shared" si="13"/>
        <v>-</v>
      </c>
      <c r="T28" s="44" t="str">
        <f t="shared" si="14"/>
        <v>-</v>
      </c>
      <c r="U28" s="44" t="str">
        <f>IFERROR(VLOOKUP(B:B,'[1]6店'!$B:$T,19,0),"-")</f>
        <v>-</v>
      </c>
      <c r="V28" s="81" t="str">
        <f t="shared" si="15"/>
        <v>-</v>
      </c>
      <c r="W28" s="82" t="str">
        <f t="shared" si="16"/>
        <v>有库存无销量</v>
      </c>
      <c r="X28" s="83" t="str">
        <f t="shared" si="17"/>
        <v>有库存无销量</v>
      </c>
      <c r="Y28" s="44">
        <f>IFERROR(SUMIF('6店辅助表'!K:K,B:B,'6店辅助表'!N:N),0)</f>
        <v>0</v>
      </c>
      <c r="Z28" s="44">
        <f>IFERROR(SUMIF('6店辅助表'!T:T,B:B,'6店辅助表'!W:W),0)</f>
        <v>0</v>
      </c>
      <c r="AA28" s="44">
        <f>IFERROR(SUMIF('6店辅助表'!AC:AC,B:B,'6店辅助表'!AF:AF),0)</f>
        <v>0</v>
      </c>
      <c r="AB28" s="91" t="str">
        <f>IFERROR(SUMIF('6店辅助表'!K:K,B:B,'6店辅助表'!N:N)/SUMIF('6店辅助表'!K:K,B:B,'6店辅助表'!O:O),"-")</f>
        <v>-</v>
      </c>
      <c r="AC28" s="91" t="str">
        <f>IFERROR(VLOOKUP(B:B,'[1]6店'!$B:$AB,27,FALSE),"-")</f>
        <v>-</v>
      </c>
      <c r="AD28" s="92" t="str">
        <f t="shared" si="18"/>
        <v>-</v>
      </c>
      <c r="AE28" s="91" t="str">
        <f>IFERROR(SUMIF('6店辅助表'!T:T,B:B,'6店辅助表'!W:W)/SUMIF('6店辅助表'!T:T,B:B,'6店辅助表'!X:X),"-")</f>
        <v>-</v>
      </c>
      <c r="AF28" s="91" t="str">
        <f>IFERROR(SUMIF('6店辅助表'!AC:AC,B:B,'6店辅助表'!AF:AF)/SUMIF('6店辅助表'!AC:AC,B:B,'6店辅助表'!AG:AG),"-")</f>
        <v>-</v>
      </c>
      <c r="AG28" s="99">
        <f>IFERROR(AK28/((SUMIF('6店辅助表'!AT:AT,B:B,'6店辅助表'!AU:AU)+M28)/2),"-")</f>
        <v>0</v>
      </c>
      <c r="AH28" s="99">
        <f>IFERROR(AL28/((SUMIF('6店辅助表'!AW:AW,B:B,'6店辅助表'!AX:AX)+M28)/2),"-")</f>
        <v>0</v>
      </c>
      <c r="AI28" s="100" t="str">
        <f>IFERROR((SUMIF('6店辅助表'!AP:AP,B:B,'6店辅助表'!AR:AR)-SUMIF('6店辅助表'!AP:AP,B:B,'6店辅助表'!AR:AR)*0.15-(L28+IFERROR(VLOOKUP(B:B,'6店辅助表'!AZ:BA,2,0),0))*O28-IF(AN:AN="US",6.85,4.9)*(Z28+4.03*O28))/SUMIF('6店辅助表'!AP:AP,B:B,'6店辅助表'!AR:AR),"-")</f>
        <v>-</v>
      </c>
      <c r="AJ28" s="100" t="str">
        <f t="shared" si="19"/>
        <v>-</v>
      </c>
      <c r="AK28" s="101">
        <f t="shared" si="20"/>
        <v>0</v>
      </c>
      <c r="AL28" s="101">
        <f t="shared" si="21"/>
        <v>0</v>
      </c>
      <c r="AM28" s="1" t="str">
        <f>VLOOKUP(B:B,'6店辅助表'!AZ:AZ,1,FALSE)</f>
        <v>Y6050</v>
      </c>
      <c r="AN28" t="str">
        <f>VLOOKUP(B:B,'6店辅助表'!AZ:BB,3,FALSE)</f>
        <v>US</v>
      </c>
    </row>
    <row r="29" customHeight="1" spans="1:40">
      <c r="A29" s="58" t="str">
        <f>INDEX('[1]6店'!$A:$A,MATCH(B:B,'[1]6店'!$B:$B,0))</f>
        <v>美珠</v>
      </c>
      <c r="B29" s="116" t="s">
        <v>1947</v>
      </c>
      <c r="C29" s="45" t="s">
        <v>1948</v>
      </c>
      <c r="D29" s="59">
        <f>VLOOKUP(B:B,'[1]6店'!$B:$L,3,0)</f>
        <v>45027</v>
      </c>
      <c r="E29" s="45" t="s">
        <v>1949</v>
      </c>
      <c r="F29" s="45">
        <v>43</v>
      </c>
      <c r="G29" s="45">
        <v>0</v>
      </c>
      <c r="H29" s="45">
        <v>81</v>
      </c>
      <c r="I29" s="45">
        <v>6</v>
      </c>
      <c r="J29" s="45">
        <v>4</v>
      </c>
      <c r="K29" s="63">
        <f t="shared" si="11"/>
        <v>134</v>
      </c>
      <c r="L29" s="124">
        <f>VLOOKUP($B:$B,'[1]6店'!$B:$L,11,0)</f>
        <v>15</v>
      </c>
      <c r="M29" s="44">
        <f t="shared" si="10"/>
        <v>2010</v>
      </c>
      <c r="N29" s="65">
        <f>IFERROR(VLOOKUP(B:B,'6店辅助表'!B:C,2,FALSE),0)</f>
        <v>32</v>
      </c>
      <c r="O29" s="65">
        <f>IFERROR(VLOOKUP(B:B,'6店辅助表'!E:F,2,FALSE),0)</f>
        <v>69</v>
      </c>
      <c r="P29" s="65">
        <f>IFERROR(VLOOKUP(B:B,'6店辅助表'!H:I,2,FALSE),0)</f>
        <v>142</v>
      </c>
      <c r="Q29" s="65">
        <f>IFERROR(VLOOKUP(B:B,'[1]6店'!$B:$N,13,FALSE),0)</f>
        <v>35</v>
      </c>
      <c r="R29" s="79">
        <f t="shared" si="12"/>
        <v>-3</v>
      </c>
      <c r="S29" s="80">
        <f t="shared" si="13"/>
        <v>28.9109589041096</v>
      </c>
      <c r="T29" s="44">
        <f t="shared" si="14"/>
        <v>0.963698630136986</v>
      </c>
      <c r="U29" s="44">
        <f>IFERROR(VLOOKUP(B:B,'[1]6店'!$B:$T,19,0),"-")</f>
        <v>0.618483412322275</v>
      </c>
      <c r="V29" s="81">
        <f t="shared" si="15"/>
        <v>0.345215217814711</v>
      </c>
      <c r="W29" s="82" t="str">
        <f t="shared" si="16"/>
        <v>正常</v>
      </c>
      <c r="X29" s="83" t="str">
        <f t="shared" si="17"/>
        <v>正常</v>
      </c>
      <c r="Y29" s="44">
        <f>IFERROR(SUMIF('6店辅助表'!K:K,B:B,'6店辅助表'!N:N),0)</f>
        <v>23.15</v>
      </c>
      <c r="Z29" s="44">
        <f>IFERROR(SUMIF('6店辅助表'!T:T,B:B,'6店辅助表'!W:W),0)</f>
        <v>39.51</v>
      </c>
      <c r="AA29" s="44">
        <f>IFERROR(SUMIF('6店辅助表'!AC:AC,B:B,'6店辅助表'!AF:AF),0)</f>
        <v>76.29</v>
      </c>
      <c r="AB29" s="91">
        <f>IFERROR(SUMIF('6店辅助表'!K:K,B:B,'6店辅助表'!N:N)/SUMIF('6店辅助表'!K:K,B:B,'6店辅助表'!O:O),"-")</f>
        <v>0.206844174410293</v>
      </c>
      <c r="AC29" s="91">
        <f>IFERROR(VLOOKUP(B:B,'[1]6店'!$B:$AB,27,FALSE),"-")</f>
        <v>0.103359542530379</v>
      </c>
      <c r="AD29" s="92">
        <f t="shared" si="18"/>
        <v>0.103484631879914</v>
      </c>
      <c r="AE29" s="91">
        <f>IFERROR(SUMIF('6店辅助表'!T:T,B:B,'6店辅助表'!W:W)/SUMIF('6店辅助表'!T:T,B:B,'6店辅助表'!X:X),"-")</f>
        <v>0.166127065551024</v>
      </c>
      <c r="AF29" s="91">
        <f>IFERROR(SUMIF('6店辅助表'!AC:AC,B:B,'6店辅助表'!AF:AF)/SUMIF('6店辅助表'!AC:AC,B:B,'6店辅助表'!AG:AG),"-")</f>
        <v>0.160387671866459</v>
      </c>
      <c r="AG29" s="99">
        <f>IFERROR(AK29/((SUMIF('6店辅助表'!AT:AT,B:B,'6店辅助表'!AU:AU)+M29)/2),"-")</f>
        <v>0.289592760180996</v>
      </c>
      <c r="AH29" s="99">
        <f>IFERROR(AL29/((SUMIF('6店辅助表'!AW:AW,B:B,'6店辅助表'!AX:AX)+M29)/2),"-")</f>
        <v>0.528735632183908</v>
      </c>
      <c r="AI29" s="100">
        <f>IFERROR((SUMIF('6店辅助表'!AP:AP,B:B,'6店辅助表'!AR:AR)-SUMIF('6店辅助表'!AP:AP,B:B,'6店辅助表'!AR:AR)*0.15-(L29+IFERROR(VLOOKUP(B:B,'6店辅助表'!AZ:BA,2,0),0))*O29-IF(AN:AN="US",6.85,4.9)*(Z29+4.03*O29))/SUMIF('6店辅助表'!AP:AP,B:B,'6店辅助表'!AR:AR),"-")</f>
        <v>0.344143160469713</v>
      </c>
      <c r="AJ29" s="100">
        <f t="shared" si="19"/>
        <v>0.181960751512722</v>
      </c>
      <c r="AK29" s="101">
        <f t="shared" si="20"/>
        <v>480</v>
      </c>
      <c r="AL29" s="101">
        <f t="shared" si="21"/>
        <v>1035</v>
      </c>
      <c r="AM29" s="1" t="str">
        <f>VLOOKUP(B:B,'6店辅助表'!AZ:AZ,1,FALSE)</f>
        <v>Y6051</v>
      </c>
      <c r="AN29" t="str">
        <f>VLOOKUP(B:B,'6店辅助表'!AZ:BB,3,FALSE)</f>
        <v>US</v>
      </c>
    </row>
    <row r="30" customHeight="1" spans="1:40">
      <c r="A30" s="58" t="str">
        <f>INDEX('[1]6店'!$A:$A,MATCH(B:B,'[1]6店'!$B:$B,0))</f>
        <v>美珠</v>
      </c>
      <c r="B30" s="116" t="s">
        <v>1950</v>
      </c>
      <c r="C30" s="45" t="s">
        <v>1951</v>
      </c>
      <c r="D30" s="59">
        <f>VLOOKUP(B:B,'[1]6店'!$B:$L,3,0)</f>
        <v>45042</v>
      </c>
      <c r="E30" s="45" t="s">
        <v>1952</v>
      </c>
      <c r="F30" s="45">
        <v>1</v>
      </c>
      <c r="G30" s="45">
        <v>0</v>
      </c>
      <c r="H30" s="45">
        <v>0</v>
      </c>
      <c r="I30" s="45">
        <v>0</v>
      </c>
      <c r="J30" s="45">
        <v>0</v>
      </c>
      <c r="K30" s="63">
        <f t="shared" si="11"/>
        <v>1</v>
      </c>
      <c r="L30" s="124">
        <f>VLOOKUP($B:$B,'[1]6店'!$B:$L,11,0)</f>
        <v>9.2</v>
      </c>
      <c r="M30" s="44">
        <f t="shared" si="10"/>
        <v>9.2</v>
      </c>
      <c r="N30" s="65">
        <f>IFERROR(VLOOKUP(B:B,'6店辅助表'!B:C,2,FALSE),0)</f>
        <v>0</v>
      </c>
      <c r="O30" s="65">
        <f>IFERROR(VLOOKUP(B:B,'6店辅助表'!E:F,2,FALSE),0)</f>
        <v>0</v>
      </c>
      <c r="P30" s="65">
        <f>IFERROR(VLOOKUP(B:B,'6店辅助表'!H:I,2,FALSE),0)</f>
        <v>0</v>
      </c>
      <c r="Q30" s="65">
        <f>IFERROR(VLOOKUP(B:B,'[1]6店'!$B:$N,13,FALSE),0)</f>
        <v>0</v>
      </c>
      <c r="R30" s="79">
        <f t="shared" si="12"/>
        <v>0</v>
      </c>
      <c r="S30" s="80" t="str">
        <f t="shared" si="13"/>
        <v>-</v>
      </c>
      <c r="T30" s="44" t="str">
        <f t="shared" si="14"/>
        <v>-</v>
      </c>
      <c r="U30" s="44" t="str">
        <f>IFERROR(VLOOKUP(B:B,'[1]6店'!$B:$T,19,0),"-")</f>
        <v>-</v>
      </c>
      <c r="V30" s="81" t="str">
        <f t="shared" si="15"/>
        <v>-</v>
      </c>
      <c r="W30" s="82" t="str">
        <f t="shared" si="16"/>
        <v>有库存无销量</v>
      </c>
      <c r="X30" s="83" t="str">
        <f t="shared" si="17"/>
        <v>有库存无销量</v>
      </c>
      <c r="Y30" s="44">
        <f>IFERROR(SUMIF('6店辅助表'!K:K,B:B,'6店辅助表'!N:N),0)</f>
        <v>0</v>
      </c>
      <c r="Z30" s="44">
        <f>IFERROR(SUMIF('6店辅助表'!T:T,B:B,'6店辅助表'!W:W),0)</f>
        <v>0</v>
      </c>
      <c r="AA30" s="44">
        <f>IFERROR(SUMIF('6店辅助表'!AC:AC,B:B,'6店辅助表'!AF:AF),0)</f>
        <v>0</v>
      </c>
      <c r="AB30" s="91" t="str">
        <f>IFERROR(SUMIF('6店辅助表'!K:K,B:B,'6店辅助表'!N:N)/SUMIF('6店辅助表'!K:K,B:B,'6店辅助表'!O:O),"-")</f>
        <v>-</v>
      </c>
      <c r="AC30" s="91" t="str">
        <f>IFERROR(VLOOKUP(B:B,'[1]6店'!$B:$AB,27,FALSE),"-")</f>
        <v>-</v>
      </c>
      <c r="AD30" s="92" t="str">
        <f t="shared" si="18"/>
        <v>-</v>
      </c>
      <c r="AE30" s="91" t="str">
        <f>IFERROR(SUMIF('6店辅助表'!T:T,B:B,'6店辅助表'!W:W)/SUMIF('6店辅助表'!T:T,B:B,'6店辅助表'!X:X),"-")</f>
        <v>-</v>
      </c>
      <c r="AF30" s="91" t="str">
        <f>IFERROR(SUMIF('6店辅助表'!AC:AC,B:B,'6店辅助表'!AF:AF)/SUMIF('6店辅助表'!AC:AC,B:B,'6店辅助表'!AG:AG),"-")</f>
        <v>-</v>
      </c>
      <c r="AG30" s="99">
        <f>IFERROR(AK30/((SUMIF('6店辅助表'!AT:AT,B:B,'6店辅助表'!AU:AU)+M30)/2),"-")</f>
        <v>0</v>
      </c>
      <c r="AH30" s="99">
        <f>IFERROR(AL30/((SUMIF('6店辅助表'!AW:AW,B:B,'6店辅助表'!AX:AX)+M30)/2),"-")</f>
        <v>0</v>
      </c>
      <c r="AI30" s="100" t="str">
        <f>IFERROR((SUMIF('6店辅助表'!AP:AP,B:B,'6店辅助表'!AR:AR)-SUMIF('6店辅助表'!AP:AP,B:B,'6店辅助表'!AR:AR)*0.15-(L30+IFERROR(VLOOKUP(B:B,'6店辅助表'!AZ:BA,2,0),0))*O30-IF(AN:AN="US",6.85,4.9)*(Z30+4.03*O30))/SUMIF('6店辅助表'!AP:AP,B:B,'6店辅助表'!AR:AR),"-")</f>
        <v>-</v>
      </c>
      <c r="AJ30" s="100" t="str">
        <f t="shared" si="19"/>
        <v>-</v>
      </c>
      <c r="AK30" s="101">
        <f t="shared" si="20"/>
        <v>0</v>
      </c>
      <c r="AL30" s="101">
        <f t="shared" si="21"/>
        <v>0</v>
      </c>
      <c r="AM30" s="1" t="str">
        <f>VLOOKUP(B:B,'6店辅助表'!AZ:AZ,1,FALSE)</f>
        <v>Y6055-BL</v>
      </c>
      <c r="AN30" t="str">
        <f>VLOOKUP(B:B,'6店辅助表'!AZ:BB,3,FALSE)</f>
        <v>US</v>
      </c>
    </row>
    <row r="31" customHeight="1" spans="1:40">
      <c r="A31" s="58" t="str">
        <f>INDEX('[1]6店'!$A:$A,MATCH(B:B,'[1]6店'!$B:$B,0))</f>
        <v>美珠</v>
      </c>
      <c r="B31" s="116" t="s">
        <v>1953</v>
      </c>
      <c r="C31" s="45" t="s">
        <v>1954</v>
      </c>
      <c r="D31" s="59">
        <f>VLOOKUP(B:B,'[1]6店'!$B:$L,3,0)</f>
        <v>45047</v>
      </c>
      <c r="E31" s="45" t="s">
        <v>1955</v>
      </c>
      <c r="F31" s="45">
        <v>16</v>
      </c>
      <c r="G31" s="45">
        <v>0</v>
      </c>
      <c r="H31" s="45">
        <v>0</v>
      </c>
      <c r="I31" s="45">
        <v>1</v>
      </c>
      <c r="J31" s="45">
        <v>0</v>
      </c>
      <c r="K31" s="63">
        <f t="shared" ref="K31:K58" si="22">F31+G31+H31+I31+J31</f>
        <v>17</v>
      </c>
      <c r="L31" s="124">
        <f>VLOOKUP($B:$B,'[1]6店'!$B:$L,11,0)</f>
        <v>9.073</v>
      </c>
      <c r="M31" s="44">
        <f t="shared" si="10"/>
        <v>154.241</v>
      </c>
      <c r="N31" s="65">
        <f>IFERROR(VLOOKUP(B:B,'6店辅助表'!B:C,2,FALSE),0)</f>
        <v>1</v>
      </c>
      <c r="O31" s="65">
        <f>IFERROR(VLOOKUP(B:B,'6店辅助表'!E:F,2,FALSE),0)</f>
        <v>4</v>
      </c>
      <c r="P31" s="65">
        <f>IFERROR(VLOOKUP(B:B,'6店辅助表'!H:I,2,FALSE),0)</f>
        <v>7</v>
      </c>
      <c r="Q31" s="65">
        <f>IFERROR(VLOOKUP(B:B,'[1]6店'!$B:$N,13,FALSE),0)</f>
        <v>4</v>
      </c>
      <c r="R31" s="79">
        <f t="shared" ref="R31:R58" si="23">N31-Q31</f>
        <v>-3</v>
      </c>
      <c r="S31" s="80">
        <f t="shared" ref="S31:S58" si="24">IFERROR(K31/((N31/7+O31/15+P31/30)/3),"-")</f>
        <v>79.3333333333333</v>
      </c>
      <c r="T31" s="44">
        <f t="shared" ref="T31:T58" si="25">IFERROR(S31/30,"-")</f>
        <v>2.64444444444444</v>
      </c>
      <c r="U31" s="44">
        <f>IFERROR(VLOOKUP(B:B,'[1]6店'!$B:$T,19,0),"-")</f>
        <v>1.49438202247191</v>
      </c>
      <c r="V31" s="81">
        <f t="shared" ref="V31:V58" si="26">IFERROR(T31-U31,"-")</f>
        <v>1.15006242197253</v>
      </c>
      <c r="W31" s="82" t="str">
        <f t="shared" ref="W31:W58" si="27">_xlfn.IFS(AND(D31&lt;&gt;0,D31-$AM$2&gt;=0,B31&gt;0,D31&lt;&gt;0),"本月刚到货",AND(IFERROR((K31/(N31/7))/30,"-")="-",K31&gt;0),"有库存无销量",AND(IFERROR((K31/(N31/7))/30,"-")="-",K31=0),"无库存无销量",AND(IFERROR((K31/(N31/7))/30,"-")&lt;=0.5,K31=0),"无库存有销量",IFERROR((K31/(N31/7))/30,"-")&lt;=0.5,"库存过低",IFERROR((K31/(N31/7))/30,"-")&lt;=1.5,"正常",IFERROR((K31/(N31/7))/30,"-")&gt;1.5,"库存过高")</f>
        <v>库存过高</v>
      </c>
      <c r="X31" s="83" t="str">
        <f t="shared" ref="X31:X58" si="28">_xlfn.IFS(AND(D31&lt;&gt;0,D31-$AM$2&gt;=0,K31&gt;0,D31&lt;&gt;0),"本月刚到货",AND(T31="-",K31&gt;0),"有库存无销量",AND(T31="-",K31=0),"无库存无销量",AND(T31&lt;=0.5,K31=0),"无库存有销量",T31&lt;=0.5,"库存过低",T31&lt;=1.5,"正常",T31&gt;1.5,"库存过高")</f>
        <v>库存过高</v>
      </c>
      <c r="Y31" s="44">
        <f>IFERROR(SUMIF('6店辅助表'!K:K,B:B,'6店辅助表'!N:N),0)</f>
        <v>0</v>
      </c>
      <c r="Z31" s="44">
        <f>IFERROR(SUMIF('6店辅助表'!T:T,B:B,'6店辅助表'!W:W),0)</f>
        <v>0</v>
      </c>
      <c r="AA31" s="44">
        <f>IFERROR(SUMIF('6店辅助表'!AC:AC,B:B,'6店辅助表'!AF:AF),0)</f>
        <v>0.85</v>
      </c>
      <c r="AB31" s="91" t="str">
        <f>IFERROR(SUMIF('6店辅助表'!K:K,B:B,'6店辅助表'!N:N)/SUMIF('6店辅助表'!K:K,B:B,'6店辅助表'!O:O),"-")</f>
        <v>-</v>
      </c>
      <c r="AC31" s="91" t="str">
        <f>IFERROR(VLOOKUP(B:B,'[1]6店'!$B:$AB,27,FALSE),"-")</f>
        <v>-</v>
      </c>
      <c r="AD31" s="92" t="str">
        <f t="shared" ref="AD31:AD58" si="29">IFERROR(AB31-AC31,"-")</f>
        <v>-</v>
      </c>
      <c r="AE31" s="91" t="str">
        <f>IFERROR(SUMIF('6店辅助表'!T:T,B:B,'6店辅助表'!W:W)/SUMIF('6店辅助表'!T:T,B:B,'6店辅助表'!X:X),"-")</f>
        <v>-</v>
      </c>
      <c r="AF31" s="91" t="str">
        <f>IFERROR(SUMIF('6店辅助表'!AC:AC,B:B,'6店辅助表'!AF:AF)/SUMIF('6店辅助表'!AC:AC,B:B,'6店辅助表'!AG:AG),"-")</f>
        <v>-</v>
      </c>
      <c r="AG31" s="99">
        <f>IFERROR(AK31/((SUMIF('6店辅助表'!AT:AT,B:B,'6店辅助表'!AU:AU)+M31)/2),"-")</f>
        <v>0.0555555555555556</v>
      </c>
      <c r="AH31" s="99">
        <f>IFERROR(AL31/((SUMIF('6店辅助表'!AW:AW,B:B,'6店辅助表'!AX:AX)+M31)/2),"-")</f>
        <v>0.195121951219512</v>
      </c>
      <c r="AI31" s="100">
        <f>IFERROR((SUMIF('6店辅助表'!AP:AP,B:B,'6店辅助表'!AR:AR)-SUMIF('6店辅助表'!AP:AP,B:B,'6店辅助表'!AR:AR)*0.15-(L31+IFERROR(VLOOKUP(B:B,'6店辅助表'!AZ:BA,2,0),0))*O31-IF(AN:AN="US",6.85,4.9)*(Z31+4.03*O31))/SUMIF('6店辅助表'!AP:AP,B:B,'6店辅助表'!AR:AR),"-")</f>
        <v>0.427409306960655</v>
      </c>
      <c r="AJ31" s="100">
        <f t="shared" ref="AJ31:AJ58" si="30">IFERROR(AH31*AI31,"-")</f>
        <v>0.0833969379435424</v>
      </c>
      <c r="AK31" s="101">
        <f t="shared" ref="AK31:AK58" si="31">N31*$L31</f>
        <v>9.073</v>
      </c>
      <c r="AL31" s="101">
        <f t="shared" ref="AL31:AL58" si="32">O31*$L31</f>
        <v>36.292</v>
      </c>
      <c r="AM31" s="1" t="str">
        <f>VLOOKUP(B:B,'6店辅助表'!AZ:AZ,1,FALSE)</f>
        <v>Y6056-BL</v>
      </c>
      <c r="AN31" t="str">
        <f>VLOOKUP(B:B,'6店辅助表'!AZ:BB,3,FALSE)</f>
        <v>US</v>
      </c>
    </row>
    <row r="32" customHeight="1" spans="1:40">
      <c r="A32" s="58" t="str">
        <f>INDEX('[1]6店'!$A:$A,MATCH(B:B,'[1]6店'!$B:$B,0))</f>
        <v>美珠</v>
      </c>
      <c r="B32" s="116" t="s">
        <v>1956</v>
      </c>
      <c r="C32" s="45" t="s">
        <v>1957</v>
      </c>
      <c r="D32" s="59">
        <f>VLOOKUP(B:B,'[1]6店'!$B:$L,3,0)</f>
        <v>45047</v>
      </c>
      <c r="E32" s="45" t="s">
        <v>1958</v>
      </c>
      <c r="F32" s="45">
        <v>25</v>
      </c>
      <c r="G32" s="45">
        <v>0</v>
      </c>
      <c r="H32" s="45">
        <v>0</v>
      </c>
      <c r="I32" s="45">
        <v>0</v>
      </c>
      <c r="J32" s="45">
        <v>0</v>
      </c>
      <c r="K32" s="63">
        <f t="shared" si="22"/>
        <v>25</v>
      </c>
      <c r="L32" s="124">
        <f>VLOOKUP($B:$B,'[1]6店'!$B:$L,11,0)</f>
        <v>8.791</v>
      </c>
      <c r="M32" s="44">
        <f t="shared" si="10"/>
        <v>219.775</v>
      </c>
      <c r="N32" s="65">
        <f>IFERROR(VLOOKUP(B:B,'6店辅助表'!B:C,2,FALSE),0)</f>
        <v>0</v>
      </c>
      <c r="O32" s="65">
        <f>IFERROR(VLOOKUP(B:B,'6店辅助表'!E:F,2,FALSE),0)</f>
        <v>0</v>
      </c>
      <c r="P32" s="65">
        <f>IFERROR(VLOOKUP(B:B,'6店辅助表'!H:I,2,FALSE),0)</f>
        <v>1</v>
      </c>
      <c r="Q32" s="65">
        <f>IFERROR(VLOOKUP(B:B,'[1]6店'!$B:$N,13,FALSE),0)</f>
        <v>0</v>
      </c>
      <c r="R32" s="79">
        <f t="shared" si="23"/>
        <v>0</v>
      </c>
      <c r="S32" s="80">
        <f t="shared" si="24"/>
        <v>2250</v>
      </c>
      <c r="T32" s="44">
        <f t="shared" si="25"/>
        <v>75</v>
      </c>
      <c r="U32" s="44">
        <f>IFERROR(VLOOKUP(B:B,'[1]6店'!$B:$T,19,0),"-")</f>
        <v>75</v>
      </c>
      <c r="V32" s="81">
        <f t="shared" si="26"/>
        <v>0</v>
      </c>
      <c r="W32" s="82" t="str">
        <f t="shared" si="27"/>
        <v>有库存无销量</v>
      </c>
      <c r="X32" s="83" t="str">
        <f t="shared" si="28"/>
        <v>库存过高</v>
      </c>
      <c r="Y32" s="44">
        <f>IFERROR(SUMIF('6店辅助表'!K:K,B:B,'6店辅助表'!N:N),0)</f>
        <v>0</v>
      </c>
      <c r="Z32" s="44">
        <f>IFERROR(SUMIF('6店辅助表'!T:T,B:B,'6店辅助表'!W:W),0)</f>
        <v>0.38</v>
      </c>
      <c r="AA32" s="44">
        <f>IFERROR(SUMIF('6店辅助表'!AC:AC,B:B,'6店辅助表'!AF:AF),0)</f>
        <v>1.6</v>
      </c>
      <c r="AB32" s="91" t="str">
        <f>IFERROR(SUMIF('6店辅助表'!K:K,B:B,'6店辅助表'!N:N)/SUMIF('6店辅助表'!K:K,B:B,'6店辅助表'!O:O),"-")</f>
        <v>-</v>
      </c>
      <c r="AC32" s="91" t="str">
        <f>IFERROR(VLOOKUP(B:B,'[1]6店'!$B:$AB,27,FALSE),"-")</f>
        <v>-</v>
      </c>
      <c r="AD32" s="92" t="str">
        <f t="shared" si="29"/>
        <v>-</v>
      </c>
      <c r="AE32" s="91" t="str">
        <f>IFERROR(SUMIF('6店辅助表'!T:T,B:B,'6店辅助表'!W:W)/SUMIF('6店辅助表'!T:T,B:B,'6店辅助表'!X:X),"-")</f>
        <v>-</v>
      </c>
      <c r="AF32" s="91" t="str">
        <f>IFERROR(SUMIF('6店辅助表'!AC:AC,B:B,'6店辅助表'!AF:AF)/SUMIF('6店辅助表'!AC:AC,B:B,'6店辅助表'!AG:AG),"-")</f>
        <v>-</v>
      </c>
      <c r="AG32" s="99">
        <f>IFERROR(AK32/((SUMIF('6店辅助表'!AT:AT,B:B,'6店辅助表'!AU:AU)+M32)/2),"-")</f>
        <v>0</v>
      </c>
      <c r="AH32" s="99">
        <f>IFERROR(AL32/((SUMIF('6店辅助表'!AW:AW,B:B,'6店辅助表'!AX:AX)+M32)/2),"-")</f>
        <v>0</v>
      </c>
      <c r="AI32" s="100" t="str">
        <f>IFERROR((SUMIF('6店辅助表'!AP:AP,B:B,'6店辅助表'!AR:AR)-SUMIF('6店辅助表'!AP:AP,B:B,'6店辅助表'!AR:AR)*0.15-(L32+IFERROR(VLOOKUP(B:B,'6店辅助表'!AZ:BA,2,0),0))*O32-IF(AN:AN="US",6.85,4.9)*(Z32+4.03*O32))/SUMIF('6店辅助表'!AP:AP,B:B,'6店辅助表'!AR:AR),"-")</f>
        <v>-</v>
      </c>
      <c r="AJ32" s="100" t="str">
        <f t="shared" si="30"/>
        <v>-</v>
      </c>
      <c r="AK32" s="101">
        <f t="shared" si="31"/>
        <v>0</v>
      </c>
      <c r="AL32" s="101">
        <f t="shared" si="32"/>
        <v>0</v>
      </c>
      <c r="AM32" s="1" t="str">
        <f>VLOOKUP(B:B,'6店辅助表'!AZ:AZ,1,FALSE)</f>
        <v>Y6056-GR</v>
      </c>
      <c r="AN32" t="str">
        <f>VLOOKUP(B:B,'6店辅助表'!AZ:BB,3,FALSE)</f>
        <v>US</v>
      </c>
    </row>
    <row r="33" customHeight="1" spans="1:40">
      <c r="A33" s="58" t="str">
        <f>INDEX('[1]6店'!$A:$A,MATCH(B:B,'[1]6店'!$B:$B,0))</f>
        <v>美珠</v>
      </c>
      <c r="B33" s="116" t="s">
        <v>1959</v>
      </c>
      <c r="C33" s="45" t="s">
        <v>1960</v>
      </c>
      <c r="D33" s="59">
        <f>VLOOKUP(B:B,'[1]6店'!$B:$L,3,0)</f>
        <v>45047</v>
      </c>
      <c r="E33" s="45" t="s">
        <v>1961</v>
      </c>
      <c r="F33" s="45">
        <v>13</v>
      </c>
      <c r="G33" s="45">
        <v>0</v>
      </c>
      <c r="H33" s="45">
        <v>0</v>
      </c>
      <c r="I33" s="45">
        <v>0</v>
      </c>
      <c r="J33" s="45">
        <v>0</v>
      </c>
      <c r="K33" s="63">
        <f t="shared" si="22"/>
        <v>13</v>
      </c>
      <c r="L33" s="124">
        <f>VLOOKUP($B:$B,'[1]6店'!$B:$L,11,0)</f>
        <v>8.526</v>
      </c>
      <c r="M33" s="44">
        <f t="shared" si="10"/>
        <v>110.838</v>
      </c>
      <c r="N33" s="65">
        <f>IFERROR(VLOOKUP(B:B,'6店辅助表'!B:C,2,FALSE),0)</f>
        <v>0</v>
      </c>
      <c r="O33" s="65">
        <f>IFERROR(VLOOKUP(B:B,'6店辅助表'!E:F,2,FALSE),0)</f>
        <v>0</v>
      </c>
      <c r="P33" s="65">
        <f>IFERROR(VLOOKUP(B:B,'6店辅助表'!H:I,2,FALSE),0)</f>
        <v>3</v>
      </c>
      <c r="Q33" s="65">
        <f>IFERROR(VLOOKUP(B:B,'[1]6店'!$B:$N,13,FALSE),0)</f>
        <v>0</v>
      </c>
      <c r="R33" s="79">
        <f t="shared" si="23"/>
        <v>0</v>
      </c>
      <c r="S33" s="80">
        <f t="shared" si="24"/>
        <v>390</v>
      </c>
      <c r="T33" s="44">
        <f t="shared" si="25"/>
        <v>13</v>
      </c>
      <c r="U33" s="44">
        <f>IFERROR(VLOOKUP(B:B,'[1]6店'!$B:$T,19,0),"-")</f>
        <v>5.57142857142857</v>
      </c>
      <c r="V33" s="81">
        <f t="shared" si="26"/>
        <v>7.42857142857143</v>
      </c>
      <c r="W33" s="82" t="str">
        <f t="shared" si="27"/>
        <v>有库存无销量</v>
      </c>
      <c r="X33" s="83" t="str">
        <f t="shared" si="28"/>
        <v>库存过高</v>
      </c>
      <c r="Y33" s="44">
        <f>IFERROR(SUMIF('6店辅助表'!K:K,B:B,'6店辅助表'!N:N),0)</f>
        <v>0.38</v>
      </c>
      <c r="Z33" s="44">
        <f>IFERROR(SUMIF('6店辅助表'!T:T,B:B,'6店辅助表'!W:W),0)</f>
        <v>0.76</v>
      </c>
      <c r="AA33" s="44">
        <f>IFERROR(SUMIF('6店辅助表'!AC:AC,B:B,'6店辅助表'!AF:AF),0)</f>
        <v>3.89</v>
      </c>
      <c r="AB33" s="91" t="str">
        <f>IFERROR(SUMIF('6店辅助表'!K:K,B:B,'6店辅助表'!N:N)/SUMIF('6店辅助表'!K:K,B:B,'6店辅助表'!O:O),"-")</f>
        <v>-</v>
      </c>
      <c r="AC33" s="91" t="str">
        <f>IFERROR(VLOOKUP(B:B,'[1]6店'!$B:$AB,27,FALSE),"-")</f>
        <v>-</v>
      </c>
      <c r="AD33" s="92" t="str">
        <f t="shared" si="29"/>
        <v>-</v>
      </c>
      <c r="AE33" s="91" t="str">
        <f>IFERROR(SUMIF('6店辅助表'!T:T,B:B,'6店辅助表'!W:W)/SUMIF('6店辅助表'!T:T,B:B,'6店辅助表'!X:X),"-")</f>
        <v>-</v>
      </c>
      <c r="AF33" s="91" t="str">
        <f>IFERROR(SUMIF('6店辅助表'!AC:AC,B:B,'6店辅助表'!AF:AF)/SUMIF('6店辅助表'!AC:AC,B:B,'6店辅助表'!AG:AG),"-")</f>
        <v>-</v>
      </c>
      <c r="AG33" s="99">
        <f>IFERROR(AK33/((SUMIF('6店辅助表'!AT:AT,B:B,'6店辅助表'!AU:AU)+M33)/2),"-")</f>
        <v>0</v>
      </c>
      <c r="AH33" s="99">
        <f>IFERROR(AL33/((SUMIF('6店辅助表'!AW:AW,B:B,'6店辅助表'!AX:AX)+M33)/2),"-")</f>
        <v>0</v>
      </c>
      <c r="AI33" s="100" t="str">
        <f>IFERROR((SUMIF('6店辅助表'!AP:AP,B:B,'6店辅助表'!AR:AR)-SUMIF('6店辅助表'!AP:AP,B:B,'6店辅助表'!AR:AR)*0.15-(L33+IFERROR(VLOOKUP(B:B,'6店辅助表'!AZ:BA,2,0),0))*O33-IF(AN:AN="US",6.85,4.9)*(Z33+4.03*O33))/SUMIF('6店辅助表'!AP:AP,B:B,'6店辅助表'!AR:AR),"-")</f>
        <v>-</v>
      </c>
      <c r="AJ33" s="100" t="str">
        <f t="shared" si="30"/>
        <v>-</v>
      </c>
      <c r="AK33" s="101">
        <f t="shared" si="31"/>
        <v>0</v>
      </c>
      <c r="AL33" s="101">
        <f t="shared" si="32"/>
        <v>0</v>
      </c>
      <c r="AM33" s="1" t="str">
        <f>VLOOKUP(B:B,'6店辅助表'!AZ:AZ,1,FALSE)</f>
        <v>Y6056-OR</v>
      </c>
      <c r="AN33" t="str">
        <f>VLOOKUP(B:B,'6店辅助表'!AZ:BB,3,FALSE)</f>
        <v>US</v>
      </c>
    </row>
    <row r="34" customHeight="1" spans="1:40">
      <c r="A34" s="58" t="str">
        <f>INDEX('[1]6店'!$A:$A,MATCH(B:B,'[1]6店'!$B:$B,0))</f>
        <v>美珠</v>
      </c>
      <c r="B34" s="116" t="s">
        <v>1962</v>
      </c>
      <c r="C34" s="45" t="s">
        <v>1963</v>
      </c>
      <c r="D34" s="59">
        <f>VLOOKUP(B:B,'[1]6店'!$B:$L,3,0)</f>
        <v>45051</v>
      </c>
      <c r="E34" s="45" t="s">
        <v>1964</v>
      </c>
      <c r="F34" s="45">
        <v>9</v>
      </c>
      <c r="G34" s="45">
        <v>0</v>
      </c>
      <c r="H34" s="45">
        <v>0</v>
      </c>
      <c r="I34" s="45">
        <v>0</v>
      </c>
      <c r="J34" s="45">
        <v>0</v>
      </c>
      <c r="K34" s="63">
        <f t="shared" si="22"/>
        <v>9</v>
      </c>
      <c r="L34" s="124">
        <f>VLOOKUP($B:$B,'[1]6店'!$B:$L,11,0)</f>
        <v>16.113</v>
      </c>
      <c r="M34" s="44">
        <f t="shared" si="10"/>
        <v>145.017</v>
      </c>
      <c r="N34" s="65">
        <f>IFERROR(VLOOKUP(B:B,'6店辅助表'!B:C,2,FALSE),0)</f>
        <v>0</v>
      </c>
      <c r="O34" s="65">
        <f>IFERROR(VLOOKUP(B:B,'6店辅助表'!E:F,2,FALSE),0)</f>
        <v>0</v>
      </c>
      <c r="P34" s="65">
        <f>IFERROR(VLOOKUP(B:B,'6店辅助表'!H:I,2,FALSE),0)</f>
        <v>0</v>
      </c>
      <c r="Q34" s="65">
        <f>IFERROR(VLOOKUP(B:B,'[1]6店'!$B:$N,13,FALSE),0)</f>
        <v>0</v>
      </c>
      <c r="R34" s="79">
        <f t="shared" si="23"/>
        <v>0</v>
      </c>
      <c r="S34" s="80" t="str">
        <f t="shared" si="24"/>
        <v>-</v>
      </c>
      <c r="T34" s="44" t="str">
        <f t="shared" si="25"/>
        <v>-</v>
      </c>
      <c r="U34" s="44" t="str">
        <f>IFERROR(VLOOKUP(B:B,'[1]6店'!$B:$T,19,0),"-")</f>
        <v>-</v>
      </c>
      <c r="V34" s="81" t="str">
        <f t="shared" si="26"/>
        <v>-</v>
      </c>
      <c r="W34" s="82" t="str">
        <f t="shared" si="27"/>
        <v>有库存无销量</v>
      </c>
      <c r="X34" s="83" t="str">
        <f t="shared" si="28"/>
        <v>有库存无销量</v>
      </c>
      <c r="Y34" s="44">
        <f>IFERROR(SUMIF('6店辅助表'!K:K,B:B,'6店辅助表'!N:N),0)</f>
        <v>0</v>
      </c>
      <c r="Z34" s="44">
        <f>IFERROR(SUMIF('6店辅助表'!T:T,B:B,'6店辅助表'!W:W),0)</f>
        <v>0</v>
      </c>
      <c r="AA34" s="44">
        <f>IFERROR(SUMIF('6店辅助表'!AC:AC,B:B,'6店辅助表'!AF:AF),0)</f>
        <v>0</v>
      </c>
      <c r="AB34" s="91" t="str">
        <f>IFERROR(SUMIF('6店辅助表'!K:K,B:B,'6店辅助表'!N:N)/SUMIF('6店辅助表'!K:K,B:B,'6店辅助表'!O:O),"-")</f>
        <v>-</v>
      </c>
      <c r="AC34" s="91" t="str">
        <f>IFERROR(VLOOKUP(B:B,'[1]6店'!$B:$AB,27,FALSE),"-")</f>
        <v>-</v>
      </c>
      <c r="AD34" s="92" t="str">
        <f t="shared" si="29"/>
        <v>-</v>
      </c>
      <c r="AE34" s="91" t="str">
        <f>IFERROR(SUMIF('6店辅助表'!T:T,B:B,'6店辅助表'!W:W)/SUMIF('6店辅助表'!T:T,B:B,'6店辅助表'!X:X),"-")</f>
        <v>-</v>
      </c>
      <c r="AF34" s="91" t="str">
        <f>IFERROR(SUMIF('6店辅助表'!AC:AC,B:B,'6店辅助表'!AF:AF)/SUMIF('6店辅助表'!AC:AC,B:B,'6店辅助表'!AG:AG),"-")</f>
        <v>-</v>
      </c>
      <c r="AG34" s="99">
        <f>IFERROR(AK34/((SUMIF('6店辅助表'!AT:AT,B:B,'6店辅助表'!AU:AU)+M34)/2),"-")</f>
        <v>0</v>
      </c>
      <c r="AH34" s="99">
        <f>IFERROR(AL34/((SUMIF('6店辅助表'!AW:AW,B:B,'6店辅助表'!AX:AX)+M34)/2),"-")</f>
        <v>0</v>
      </c>
      <c r="AI34" s="100" t="str">
        <f>IFERROR((SUMIF('6店辅助表'!AP:AP,B:B,'6店辅助表'!AR:AR)-SUMIF('6店辅助表'!AP:AP,B:B,'6店辅助表'!AR:AR)*0.15-(L34+IFERROR(VLOOKUP(B:B,'6店辅助表'!AZ:BA,2,0),0))*O34-IF(AN:AN="US",6.85,4.9)*(Z34+4.03*O34))/SUMIF('6店辅助表'!AP:AP,B:B,'6店辅助表'!AR:AR),"-")</f>
        <v>-</v>
      </c>
      <c r="AJ34" s="100" t="str">
        <f t="shared" si="30"/>
        <v>-</v>
      </c>
      <c r="AK34" s="101">
        <f t="shared" si="31"/>
        <v>0</v>
      </c>
      <c r="AL34" s="101">
        <f t="shared" si="32"/>
        <v>0</v>
      </c>
      <c r="AM34" s="1" t="str">
        <f>VLOOKUP(B:B,'6店辅助表'!AZ:AZ,1,FALSE)</f>
        <v>Y6053-BL</v>
      </c>
      <c r="AN34" t="str">
        <f>VLOOKUP(B:B,'6店辅助表'!AZ:BB,3,FALSE)</f>
        <v>US</v>
      </c>
    </row>
    <row r="35" customHeight="1" spans="1:40">
      <c r="A35" s="58" t="str">
        <f>INDEX('[1]6店'!$A:$A,MATCH(B:B,'[1]6店'!$B:$B,0))</f>
        <v>美珠</v>
      </c>
      <c r="B35" s="116" t="s">
        <v>1965</v>
      </c>
      <c r="C35" s="45" t="s">
        <v>1966</v>
      </c>
      <c r="D35" s="59">
        <f>VLOOKUP(B:B,'[1]6店'!$B:$L,3,0)</f>
        <v>45051</v>
      </c>
      <c r="E35" s="45" t="s">
        <v>1967</v>
      </c>
      <c r="F35" s="45">
        <v>10</v>
      </c>
      <c r="G35" s="45">
        <v>0</v>
      </c>
      <c r="H35" s="45">
        <v>0</v>
      </c>
      <c r="I35" s="45">
        <v>0</v>
      </c>
      <c r="J35" s="45">
        <v>0</v>
      </c>
      <c r="K35" s="63">
        <f t="shared" si="22"/>
        <v>10</v>
      </c>
      <c r="L35" s="124">
        <f>VLOOKUP($B:$B,'[1]6店'!$B:$L,11,0)</f>
        <v>16.113</v>
      </c>
      <c r="M35" s="44">
        <f t="shared" si="10"/>
        <v>161.13</v>
      </c>
      <c r="N35" s="65">
        <f>IFERROR(VLOOKUP(B:B,'6店辅助表'!B:C,2,FALSE),0)</f>
        <v>0</v>
      </c>
      <c r="O35" s="65">
        <f>IFERROR(VLOOKUP(B:B,'6店辅助表'!E:F,2,FALSE),0)</f>
        <v>0</v>
      </c>
      <c r="P35" s="65">
        <f>IFERROR(VLOOKUP(B:B,'6店辅助表'!H:I,2,FALSE),0)</f>
        <v>0</v>
      </c>
      <c r="Q35" s="65">
        <f>IFERROR(VLOOKUP(B:B,'[1]6店'!$B:$N,13,FALSE),0)</f>
        <v>0</v>
      </c>
      <c r="R35" s="79">
        <f t="shared" si="23"/>
        <v>0</v>
      </c>
      <c r="S35" s="80" t="str">
        <f t="shared" si="24"/>
        <v>-</v>
      </c>
      <c r="T35" s="44" t="str">
        <f t="shared" si="25"/>
        <v>-</v>
      </c>
      <c r="U35" s="44" t="str">
        <f>IFERROR(VLOOKUP(B:B,'[1]6店'!$B:$T,19,0),"-")</f>
        <v>-</v>
      </c>
      <c r="V35" s="81" t="str">
        <f t="shared" si="26"/>
        <v>-</v>
      </c>
      <c r="W35" s="82" t="str">
        <f t="shared" si="27"/>
        <v>有库存无销量</v>
      </c>
      <c r="X35" s="83" t="str">
        <f t="shared" si="28"/>
        <v>有库存无销量</v>
      </c>
      <c r="Y35" s="44">
        <f>IFERROR(SUMIF('6店辅助表'!K:K,B:B,'6店辅助表'!N:N),0)</f>
        <v>0</v>
      </c>
      <c r="Z35" s="44">
        <f>IFERROR(SUMIF('6店辅助表'!T:T,B:B,'6店辅助表'!W:W),0)</f>
        <v>0</v>
      </c>
      <c r="AA35" s="44">
        <f>IFERROR(SUMIF('6店辅助表'!AC:AC,B:B,'6店辅助表'!AF:AF),0)</f>
        <v>0</v>
      </c>
      <c r="AB35" s="91" t="str">
        <f>IFERROR(SUMIF('6店辅助表'!K:K,B:B,'6店辅助表'!N:N)/SUMIF('6店辅助表'!K:K,B:B,'6店辅助表'!O:O),"-")</f>
        <v>-</v>
      </c>
      <c r="AC35" s="91" t="str">
        <f>IFERROR(VLOOKUP(B:B,'[1]6店'!$B:$AB,27,FALSE),"-")</f>
        <v>-</v>
      </c>
      <c r="AD35" s="92" t="str">
        <f t="shared" si="29"/>
        <v>-</v>
      </c>
      <c r="AE35" s="91" t="str">
        <f>IFERROR(SUMIF('6店辅助表'!T:T,B:B,'6店辅助表'!W:W)/SUMIF('6店辅助表'!T:T,B:B,'6店辅助表'!X:X),"-")</f>
        <v>-</v>
      </c>
      <c r="AF35" s="91" t="str">
        <f>IFERROR(SUMIF('6店辅助表'!AC:AC,B:B,'6店辅助表'!AF:AF)/SUMIF('6店辅助表'!AC:AC,B:B,'6店辅助表'!AG:AG),"-")</f>
        <v>-</v>
      </c>
      <c r="AG35" s="99">
        <f>IFERROR(AK35/((SUMIF('6店辅助表'!AT:AT,B:B,'6店辅助表'!AU:AU)+M35)/2),"-")</f>
        <v>0</v>
      </c>
      <c r="AH35" s="99">
        <f>IFERROR(AL35/((SUMIF('6店辅助表'!AW:AW,B:B,'6店辅助表'!AX:AX)+M35)/2),"-")</f>
        <v>0</v>
      </c>
      <c r="AI35" s="100" t="str">
        <f>IFERROR((SUMIF('6店辅助表'!AP:AP,B:B,'6店辅助表'!AR:AR)-SUMIF('6店辅助表'!AP:AP,B:B,'6店辅助表'!AR:AR)*0.15-(L35+IFERROR(VLOOKUP(B:B,'6店辅助表'!AZ:BA,2,0),0))*O35-IF(AN:AN="US",6.85,4.9)*(Z35+4.03*O35))/SUMIF('6店辅助表'!AP:AP,B:B,'6店辅助表'!AR:AR),"-")</f>
        <v>-</v>
      </c>
      <c r="AJ35" s="100" t="str">
        <f t="shared" si="30"/>
        <v>-</v>
      </c>
      <c r="AK35" s="101">
        <f t="shared" si="31"/>
        <v>0</v>
      </c>
      <c r="AL35" s="101">
        <f t="shared" si="32"/>
        <v>0</v>
      </c>
      <c r="AM35" s="1" t="str">
        <f>VLOOKUP(B:B,'6店辅助表'!AZ:AZ,1,FALSE)</f>
        <v>Y6053-NF</v>
      </c>
      <c r="AN35" t="str">
        <f>VLOOKUP(B:B,'6店辅助表'!AZ:BB,3,FALSE)</f>
        <v>US</v>
      </c>
    </row>
    <row r="36" customHeight="1" spans="1:40">
      <c r="A36" s="58" t="str">
        <f>INDEX('[1]6店'!$A:$A,MATCH(B:B,'[1]6店'!$B:$B,0))</f>
        <v>美珠</v>
      </c>
      <c r="B36" s="116" t="s">
        <v>1968</v>
      </c>
      <c r="C36" s="45" t="s">
        <v>1969</v>
      </c>
      <c r="D36" s="59">
        <f>VLOOKUP(B:B,'[1]6店'!$B:$L,3,0)</f>
        <v>45051</v>
      </c>
      <c r="E36" s="45" t="s">
        <v>1970</v>
      </c>
      <c r="F36" s="45">
        <v>13</v>
      </c>
      <c r="G36" s="45">
        <v>0</v>
      </c>
      <c r="H36" s="45">
        <v>0</v>
      </c>
      <c r="I36" s="45">
        <v>0</v>
      </c>
      <c r="J36" s="45">
        <v>0</v>
      </c>
      <c r="K36" s="63">
        <f t="shared" si="22"/>
        <v>13</v>
      </c>
      <c r="L36" s="124">
        <f>VLOOKUP($B:$B,'[1]6店'!$B:$L,11,0)</f>
        <v>16.113</v>
      </c>
      <c r="M36" s="44">
        <f t="shared" si="10"/>
        <v>209.469</v>
      </c>
      <c r="N36" s="65">
        <f>IFERROR(VLOOKUP(B:B,'6店辅助表'!B:C,2,FALSE),0)</f>
        <v>0</v>
      </c>
      <c r="O36" s="65">
        <f>IFERROR(VLOOKUP(B:B,'6店辅助表'!E:F,2,FALSE),0)</f>
        <v>0</v>
      </c>
      <c r="P36" s="65">
        <f>IFERROR(VLOOKUP(B:B,'6店辅助表'!H:I,2,FALSE),0)</f>
        <v>0</v>
      </c>
      <c r="Q36" s="65">
        <f>IFERROR(VLOOKUP(B:B,'[1]6店'!$B:$N,13,FALSE),0)</f>
        <v>0</v>
      </c>
      <c r="R36" s="79">
        <f t="shared" si="23"/>
        <v>0</v>
      </c>
      <c r="S36" s="80" t="str">
        <f t="shared" si="24"/>
        <v>-</v>
      </c>
      <c r="T36" s="44" t="str">
        <f t="shared" si="25"/>
        <v>-</v>
      </c>
      <c r="U36" s="44" t="str">
        <f>IFERROR(VLOOKUP(B:B,'[1]6店'!$B:$T,19,0),"-")</f>
        <v>-</v>
      </c>
      <c r="V36" s="81" t="str">
        <f t="shared" si="26"/>
        <v>-</v>
      </c>
      <c r="W36" s="82" t="str">
        <f t="shared" si="27"/>
        <v>有库存无销量</v>
      </c>
      <c r="X36" s="83" t="str">
        <f t="shared" si="28"/>
        <v>有库存无销量</v>
      </c>
      <c r="Y36" s="44">
        <f>IFERROR(SUMIF('6店辅助表'!K:K,B:B,'6店辅助表'!N:N),0)</f>
        <v>0</v>
      </c>
      <c r="Z36" s="44">
        <f>IFERROR(SUMIF('6店辅助表'!T:T,B:B,'6店辅助表'!W:W),0)</f>
        <v>0</v>
      </c>
      <c r="AA36" s="44">
        <f>IFERROR(SUMIF('6店辅助表'!AC:AC,B:B,'6店辅助表'!AF:AF),0)</f>
        <v>0</v>
      </c>
      <c r="AB36" s="91" t="str">
        <f>IFERROR(SUMIF('6店辅助表'!K:K,B:B,'6店辅助表'!N:N)/SUMIF('6店辅助表'!K:K,B:B,'6店辅助表'!O:O),"-")</f>
        <v>-</v>
      </c>
      <c r="AC36" s="91" t="str">
        <f>IFERROR(VLOOKUP(B:B,'[1]6店'!$B:$AB,27,FALSE),"-")</f>
        <v>-</v>
      </c>
      <c r="AD36" s="92" t="str">
        <f t="shared" si="29"/>
        <v>-</v>
      </c>
      <c r="AE36" s="91" t="str">
        <f>IFERROR(SUMIF('6店辅助表'!T:T,B:B,'6店辅助表'!W:W)/SUMIF('6店辅助表'!T:T,B:B,'6店辅助表'!X:X),"-")</f>
        <v>-</v>
      </c>
      <c r="AF36" s="91" t="str">
        <f>IFERROR(SUMIF('6店辅助表'!AC:AC,B:B,'6店辅助表'!AF:AF)/SUMIF('6店辅助表'!AC:AC,B:B,'6店辅助表'!AG:AG),"-")</f>
        <v>-</v>
      </c>
      <c r="AG36" s="99">
        <f>IFERROR(AK36/((SUMIF('6店辅助表'!AT:AT,B:B,'6店辅助表'!AU:AU)+M36)/2),"-")</f>
        <v>0</v>
      </c>
      <c r="AH36" s="99">
        <f>IFERROR(AL36/((SUMIF('6店辅助表'!AW:AW,B:B,'6店辅助表'!AX:AX)+M36)/2),"-")</f>
        <v>0</v>
      </c>
      <c r="AI36" s="100" t="str">
        <f>IFERROR((SUMIF('6店辅助表'!AP:AP,B:B,'6店辅助表'!AR:AR)-SUMIF('6店辅助表'!AP:AP,B:B,'6店辅助表'!AR:AR)*0.15-(L36+IFERROR(VLOOKUP(B:B,'6店辅助表'!AZ:BA,2,0),0))*O36-IF(AN:AN="US",6.85,4.9)*(Z36+4.03*O36))/SUMIF('6店辅助表'!AP:AP,B:B,'6店辅助表'!AR:AR),"-")</f>
        <v>-</v>
      </c>
      <c r="AJ36" s="100" t="str">
        <f t="shared" si="30"/>
        <v>-</v>
      </c>
      <c r="AK36" s="101">
        <f t="shared" si="31"/>
        <v>0</v>
      </c>
      <c r="AL36" s="101">
        <f t="shared" si="32"/>
        <v>0</v>
      </c>
      <c r="AM36" s="1" t="str">
        <f>VLOOKUP(B:B,'6店辅助表'!AZ:AZ,1,FALSE)</f>
        <v>Y6053-PU</v>
      </c>
      <c r="AN36" t="str">
        <f>VLOOKUP(B:B,'6店辅助表'!AZ:BB,3,FALSE)</f>
        <v>US</v>
      </c>
    </row>
    <row r="37" customHeight="1" spans="1:40">
      <c r="A37" s="58" t="str">
        <f>INDEX('[1]6店'!$A:$A,MATCH(B:B,'[1]6店'!$B:$B,0))</f>
        <v>美珠</v>
      </c>
      <c r="B37" s="116" t="s">
        <v>1971</v>
      </c>
      <c r="C37" s="45" t="s">
        <v>1766</v>
      </c>
      <c r="D37" s="59">
        <f>VLOOKUP(B:B,'[1]6店'!$B:$L,3,0)</f>
        <v>45051</v>
      </c>
      <c r="E37" s="45" t="s">
        <v>1972</v>
      </c>
      <c r="F37" s="45">
        <v>33</v>
      </c>
      <c r="G37" s="45">
        <v>0</v>
      </c>
      <c r="H37" s="45">
        <v>0</v>
      </c>
      <c r="I37" s="45">
        <v>0</v>
      </c>
      <c r="J37" s="45">
        <v>0</v>
      </c>
      <c r="K37" s="63">
        <f t="shared" si="22"/>
        <v>33</v>
      </c>
      <c r="L37" s="124">
        <f>VLOOKUP($B:$B,'[1]6店'!$B:$L,11,0)</f>
        <v>16.297</v>
      </c>
      <c r="M37" s="44">
        <f t="shared" ref="M37:M68" si="33">K37*L37</f>
        <v>537.801</v>
      </c>
      <c r="N37" s="65">
        <f>IFERROR(VLOOKUP(B:B,'6店辅助表'!B:C,2,FALSE),0)</f>
        <v>0</v>
      </c>
      <c r="O37" s="65">
        <f>IFERROR(VLOOKUP(B:B,'6店辅助表'!E:F,2,FALSE),0)</f>
        <v>0</v>
      </c>
      <c r="P37" s="65">
        <f>IFERROR(VLOOKUP(B:B,'6店辅助表'!H:I,2,FALSE),0)</f>
        <v>5</v>
      </c>
      <c r="Q37" s="65">
        <f>IFERROR(VLOOKUP(B:B,'[1]6店'!$B:$N,13,FALSE),0)</f>
        <v>0</v>
      </c>
      <c r="R37" s="79">
        <f t="shared" si="23"/>
        <v>0</v>
      </c>
      <c r="S37" s="80">
        <f t="shared" si="24"/>
        <v>594</v>
      </c>
      <c r="T37" s="44">
        <f t="shared" si="25"/>
        <v>19.8</v>
      </c>
      <c r="U37" s="44">
        <f>IFERROR(VLOOKUP(B:B,'[1]6店'!$B:$T,19,0),"-")</f>
        <v>10.2</v>
      </c>
      <c r="V37" s="81">
        <f t="shared" si="26"/>
        <v>9.6</v>
      </c>
      <c r="W37" s="82" t="str">
        <f t="shared" si="27"/>
        <v>有库存无销量</v>
      </c>
      <c r="X37" s="83" t="str">
        <f t="shared" si="28"/>
        <v>库存过高</v>
      </c>
      <c r="Y37" s="44">
        <f>IFERROR(SUMIF('6店辅助表'!K:K,B:B,'6店辅助表'!N:N),0)</f>
        <v>0</v>
      </c>
      <c r="Z37" s="44">
        <f>IFERROR(SUMIF('6店辅助表'!T:T,B:B,'6店辅助表'!W:W),0)</f>
        <v>0</v>
      </c>
      <c r="AA37" s="44">
        <f>IFERROR(SUMIF('6店辅助表'!AC:AC,B:B,'6店辅助表'!AF:AF),0)</f>
        <v>0</v>
      </c>
      <c r="AB37" s="91" t="str">
        <f>IFERROR(SUMIF('6店辅助表'!K:K,B:B,'6店辅助表'!N:N)/SUMIF('6店辅助表'!K:K,B:B,'6店辅助表'!O:O),"-")</f>
        <v>-</v>
      </c>
      <c r="AC37" s="91" t="str">
        <f>IFERROR(VLOOKUP(B:B,'[1]6店'!$B:$AB,27,FALSE),"-")</f>
        <v>-</v>
      </c>
      <c r="AD37" s="92" t="str">
        <f t="shared" si="29"/>
        <v>-</v>
      </c>
      <c r="AE37" s="91" t="str">
        <f>IFERROR(SUMIF('6店辅助表'!T:T,B:B,'6店辅助表'!W:W)/SUMIF('6店辅助表'!T:T,B:B,'6店辅助表'!X:X),"-")</f>
        <v>-</v>
      </c>
      <c r="AF37" s="91" t="str">
        <f>IFERROR(SUMIF('6店辅助表'!AC:AC,B:B,'6店辅助表'!AF:AF)/SUMIF('6店辅助表'!AC:AC,B:B,'6店辅助表'!AG:AG),"-")</f>
        <v>-</v>
      </c>
      <c r="AG37" s="99">
        <f>IFERROR(AK37/((SUMIF('6店辅助表'!AT:AT,B:B,'6店辅助表'!AU:AU)+M37)/2),"-")</f>
        <v>0</v>
      </c>
      <c r="AH37" s="99">
        <f>IFERROR(AL37/((SUMIF('6店辅助表'!AW:AW,B:B,'6店辅助表'!AX:AX)+M37)/2),"-")</f>
        <v>0</v>
      </c>
      <c r="AI37" s="100" t="str">
        <f>IFERROR((SUMIF('6店辅助表'!AP:AP,B:B,'6店辅助表'!AR:AR)-SUMIF('6店辅助表'!AP:AP,B:B,'6店辅助表'!AR:AR)*0.15-(L37+IFERROR(VLOOKUP(B:B,'6店辅助表'!AZ:BA,2,0),0))*O37-IF(AN:AN="US",6.85,4.9)*(Z37+4.03*O37))/SUMIF('6店辅助表'!AP:AP,B:B,'6店辅助表'!AR:AR),"-")</f>
        <v>-</v>
      </c>
      <c r="AJ37" s="100" t="str">
        <f t="shared" si="30"/>
        <v>-</v>
      </c>
      <c r="AK37" s="101">
        <f t="shared" si="31"/>
        <v>0</v>
      </c>
      <c r="AL37" s="101">
        <f t="shared" si="32"/>
        <v>0</v>
      </c>
      <c r="AM37" s="1" t="str">
        <f>VLOOKUP(B:B,'6店辅助表'!AZ:AZ,1,FALSE)</f>
        <v>Y6052-BL</v>
      </c>
      <c r="AN37" t="str">
        <f>VLOOKUP(B:B,'6店辅助表'!AZ:BB,3,FALSE)</f>
        <v>US</v>
      </c>
    </row>
    <row r="38" customHeight="1" spans="1:40">
      <c r="A38" s="58" t="str">
        <f>INDEX('[1]6店'!$A:$A,MATCH(B:B,'[1]6店'!$B:$B,0))</f>
        <v>美珠</v>
      </c>
      <c r="B38" s="116" t="s">
        <v>1973</v>
      </c>
      <c r="C38" s="45" t="s">
        <v>1974</v>
      </c>
      <c r="D38" s="59">
        <f>VLOOKUP(B:B,'[1]6店'!$B:$L,3,0)</f>
        <v>45051</v>
      </c>
      <c r="E38" s="45" t="s">
        <v>1975</v>
      </c>
      <c r="F38" s="45">
        <v>21</v>
      </c>
      <c r="G38" s="45">
        <v>0</v>
      </c>
      <c r="H38" s="45">
        <v>0</v>
      </c>
      <c r="I38" s="45">
        <v>0</v>
      </c>
      <c r="J38" s="45">
        <v>0</v>
      </c>
      <c r="K38" s="63">
        <f t="shared" si="22"/>
        <v>21</v>
      </c>
      <c r="L38" s="124">
        <f>VLOOKUP($B:$B,'[1]6店'!$B:$L,11,0)</f>
        <v>16.113</v>
      </c>
      <c r="M38" s="44">
        <f t="shared" si="33"/>
        <v>338.373</v>
      </c>
      <c r="N38" s="65">
        <f>IFERROR(VLOOKUP(B:B,'6店辅助表'!B:C,2,FALSE),0)</f>
        <v>0</v>
      </c>
      <c r="O38" s="65">
        <f>IFERROR(VLOOKUP(B:B,'6店辅助表'!E:F,2,FALSE),0)</f>
        <v>1</v>
      </c>
      <c r="P38" s="65">
        <f>IFERROR(VLOOKUP(B:B,'6店辅助表'!H:I,2,FALSE),0)</f>
        <v>1</v>
      </c>
      <c r="Q38" s="65">
        <f>IFERROR(VLOOKUP(B:B,'[1]6店'!$B:$N,13,FALSE),0)</f>
        <v>1</v>
      </c>
      <c r="R38" s="79">
        <f t="shared" si="23"/>
        <v>-1</v>
      </c>
      <c r="S38" s="80">
        <f t="shared" si="24"/>
        <v>630</v>
      </c>
      <c r="T38" s="44">
        <f t="shared" si="25"/>
        <v>21</v>
      </c>
      <c r="U38" s="44">
        <f>IFERROR(VLOOKUP(B:B,'[1]6店'!$B:$T,19,0),"-")</f>
        <v>8.64705882352941</v>
      </c>
      <c r="V38" s="81">
        <f t="shared" si="26"/>
        <v>12.3529411764706</v>
      </c>
      <c r="W38" s="82" t="str">
        <f t="shared" si="27"/>
        <v>有库存无销量</v>
      </c>
      <c r="X38" s="83" t="str">
        <f t="shared" si="28"/>
        <v>库存过高</v>
      </c>
      <c r="Y38" s="44">
        <f>IFERROR(SUMIF('6店辅助表'!K:K,B:B,'6店辅助表'!N:N),0)</f>
        <v>0</v>
      </c>
      <c r="Z38" s="44">
        <f>IFERROR(SUMIF('6店辅助表'!T:T,B:B,'6店辅助表'!W:W),0)</f>
        <v>0</v>
      </c>
      <c r="AA38" s="44">
        <f>IFERROR(SUMIF('6店辅助表'!AC:AC,B:B,'6店辅助表'!AF:AF),0)</f>
        <v>0</v>
      </c>
      <c r="AB38" s="91" t="str">
        <f>IFERROR(SUMIF('6店辅助表'!K:K,B:B,'6店辅助表'!N:N)/SUMIF('6店辅助表'!K:K,B:B,'6店辅助表'!O:O),"-")</f>
        <v>-</v>
      </c>
      <c r="AC38" s="91" t="str">
        <f>IFERROR(VLOOKUP(B:B,'[1]6店'!$B:$AB,27,FALSE),"-")</f>
        <v>-</v>
      </c>
      <c r="AD38" s="92" t="str">
        <f t="shared" si="29"/>
        <v>-</v>
      </c>
      <c r="AE38" s="91" t="str">
        <f>IFERROR(SUMIF('6店辅助表'!T:T,B:B,'6店辅助表'!W:W)/SUMIF('6店辅助表'!T:T,B:B,'6店辅助表'!X:X),"-")</f>
        <v>-</v>
      </c>
      <c r="AF38" s="91" t="str">
        <f>IFERROR(SUMIF('6店辅助表'!AC:AC,B:B,'6店辅助表'!AF:AF)/SUMIF('6店辅助表'!AC:AC,B:B,'6店辅助表'!AG:AG),"-")</f>
        <v>-</v>
      </c>
      <c r="AG38" s="99">
        <f>IFERROR(AK38/((SUMIF('6店辅助表'!AT:AT,B:B,'6店辅助表'!AU:AU)+M38)/2),"-")</f>
        <v>0</v>
      </c>
      <c r="AH38" s="99">
        <f>IFERROR(AL38/((SUMIF('6店辅助表'!AW:AW,B:B,'6店辅助表'!AX:AX)+M38)/2),"-")</f>
        <v>0.0465116279069768</v>
      </c>
      <c r="AI38" s="100">
        <f>IFERROR((SUMIF('6店辅助表'!AP:AP,B:B,'6店辅助表'!AR:AR)-SUMIF('6店辅助表'!AP:AP,B:B,'6店辅助表'!AR:AR)*0.15-(L38+IFERROR(VLOOKUP(B:B,'6店辅助表'!AZ:BA,2,0),0))*O38-IF(AN:AN="US",6.85,4.9)*(Z38+4.03*O38))/SUMIF('6店辅助表'!AP:AP,B:B,'6店辅助表'!AR:AR),"-")</f>
        <v>0.311248120392298</v>
      </c>
      <c r="AJ38" s="100">
        <f t="shared" si="30"/>
        <v>0.0144766567624325</v>
      </c>
      <c r="AK38" s="101">
        <f t="shared" si="31"/>
        <v>0</v>
      </c>
      <c r="AL38" s="101">
        <f t="shared" si="32"/>
        <v>16.113</v>
      </c>
      <c r="AM38" s="1" t="str">
        <f>VLOOKUP(B:B,'6店辅助表'!AZ:AZ,1,FALSE)</f>
        <v>Y6052-NF</v>
      </c>
      <c r="AN38" t="str">
        <f>VLOOKUP(B:B,'6店辅助表'!AZ:BB,3,FALSE)</f>
        <v>US</v>
      </c>
    </row>
    <row r="39" customHeight="1" spans="1:40">
      <c r="A39" s="58" t="str">
        <f>INDEX('[1]6店'!$A:$A,MATCH(B:B,'[1]6店'!$B:$B,0))</f>
        <v>美珠</v>
      </c>
      <c r="B39" s="116" t="s">
        <v>1976</v>
      </c>
      <c r="C39" s="45" t="s">
        <v>1977</v>
      </c>
      <c r="D39" s="59">
        <f>VLOOKUP(B:B,'[1]6店'!$B:$L,3,0)</f>
        <v>45051</v>
      </c>
      <c r="E39" s="45" t="s">
        <v>1978</v>
      </c>
      <c r="F39" s="45">
        <v>10</v>
      </c>
      <c r="G39" s="45">
        <v>0</v>
      </c>
      <c r="H39" s="45">
        <v>0</v>
      </c>
      <c r="I39" s="45">
        <v>0</v>
      </c>
      <c r="J39" s="45">
        <v>0</v>
      </c>
      <c r="K39" s="63">
        <f t="shared" si="22"/>
        <v>10</v>
      </c>
      <c r="L39" s="124">
        <f>VLOOKUP($B:$B,'[1]6店'!$B:$L,11,0)</f>
        <v>16.295</v>
      </c>
      <c r="M39" s="44">
        <f t="shared" si="33"/>
        <v>162.95</v>
      </c>
      <c r="N39" s="65">
        <f>IFERROR(VLOOKUP(B:B,'6店辅助表'!B:C,2,FALSE),0)</f>
        <v>4</v>
      </c>
      <c r="O39" s="65">
        <f>IFERROR(VLOOKUP(B:B,'6店辅助表'!E:F,2,FALSE),0)</f>
        <v>5</v>
      </c>
      <c r="P39" s="65">
        <f>IFERROR(VLOOKUP(B:B,'6店辅助表'!H:I,2,FALSE),0)</f>
        <v>8</v>
      </c>
      <c r="Q39" s="65">
        <f>IFERROR(VLOOKUP(B:B,'[1]6店'!$B:$N,13,FALSE),0)</f>
        <v>1</v>
      </c>
      <c r="R39" s="79">
        <f t="shared" si="23"/>
        <v>3</v>
      </c>
      <c r="S39" s="80">
        <f t="shared" si="24"/>
        <v>25.609756097561</v>
      </c>
      <c r="T39" s="44">
        <f t="shared" si="25"/>
        <v>0.853658536585366</v>
      </c>
      <c r="U39" s="44">
        <f>IFERROR(VLOOKUP(B:B,'[1]6店'!$B:$T,19,0),"-")</f>
        <v>1.96875</v>
      </c>
      <c r="V39" s="81">
        <f t="shared" si="26"/>
        <v>-1.11509146341463</v>
      </c>
      <c r="W39" s="82" t="str">
        <f t="shared" si="27"/>
        <v>正常</v>
      </c>
      <c r="X39" s="83" t="str">
        <f t="shared" si="28"/>
        <v>正常</v>
      </c>
      <c r="Y39" s="44">
        <f>IFERROR(SUMIF('6店辅助表'!K:K,B:B,'6店辅助表'!N:N),0)</f>
        <v>6.52</v>
      </c>
      <c r="Z39" s="44">
        <f>IFERROR(SUMIF('6店辅助表'!T:T,B:B,'6店辅助表'!W:W),0)</f>
        <v>9.68</v>
      </c>
      <c r="AA39" s="44">
        <f>IFERROR(SUMIF('6店辅助表'!AC:AC,B:B,'6店辅助表'!AF:AF),0)</f>
        <v>19.19</v>
      </c>
      <c r="AB39" s="91">
        <f>IFERROR(SUMIF('6店辅助表'!K:K,B:B,'6店辅助表'!N:N)/SUMIF('6店辅助表'!K:K,B:B,'6店辅助表'!O:O),"-")</f>
        <v>0.652652652652653</v>
      </c>
      <c r="AC39" s="91" t="str">
        <f>IFERROR(VLOOKUP(B:B,'[1]6店'!$B:$AB,27,FALSE),"-")</f>
        <v>-</v>
      </c>
      <c r="AD39" s="92" t="str">
        <f t="shared" si="29"/>
        <v>-</v>
      </c>
      <c r="AE39" s="91">
        <f>IFERROR(SUMIF('6店辅助表'!T:T,B:B,'6店辅助表'!W:W)/SUMIF('6店辅助表'!T:T,B:B,'6店辅助表'!X:X),"-")</f>
        <v>0.968968968968969</v>
      </c>
      <c r="AF39" s="91">
        <f>IFERROR(SUMIF('6店辅助表'!AC:AC,B:B,'6店辅助表'!AF:AF)/SUMIF('6店辅助表'!AC:AC,B:B,'6店辅助表'!AG:AG),"-")</f>
        <v>0.873066424021838</v>
      </c>
      <c r="AG39" s="99">
        <f>IFERROR(AK39/((SUMIF('6店辅助表'!AT:AT,B:B,'6店辅助表'!AU:AU)+M39)/2),"-")</f>
        <v>0.363636363636364</v>
      </c>
      <c r="AH39" s="99">
        <f>IFERROR(AL39/((SUMIF('6店辅助表'!AW:AW,B:B,'6店辅助表'!AX:AX)+M39)/2),"-")</f>
        <v>0.37037037037037</v>
      </c>
      <c r="AI39" s="100">
        <f>IFERROR((SUMIF('6店辅助表'!AP:AP,B:B,'6店辅助表'!AR:AR)-SUMIF('6店辅助表'!AP:AP,B:B,'6店辅助表'!AR:AR)*0.15-(L39+IFERROR(VLOOKUP(B:B,'6店辅助表'!AZ:BA,2,0),0))*O39-IF(AN:AN="US",6.85,4.9)*(Z39+4.03*O39))/SUMIF('6店辅助表'!AP:AP,B:B,'6店辅助表'!AR:AR),"-")</f>
        <v>0.00757947728750651</v>
      </c>
      <c r="AJ39" s="100">
        <f t="shared" si="30"/>
        <v>0.0028072138101876</v>
      </c>
      <c r="AK39" s="101">
        <f t="shared" si="31"/>
        <v>65.18</v>
      </c>
      <c r="AL39" s="101">
        <f t="shared" si="32"/>
        <v>81.475</v>
      </c>
      <c r="AM39" s="1" t="str">
        <f>VLOOKUP(B:B,'6店辅助表'!AZ:AZ,1,FALSE)</f>
        <v>Y6052-PU</v>
      </c>
      <c r="AN39" t="str">
        <f>VLOOKUP(B:B,'6店辅助表'!AZ:BB,3,FALSE)</f>
        <v>US</v>
      </c>
    </row>
    <row r="40" customHeight="1" spans="1:40">
      <c r="A40" s="58" t="str">
        <f>INDEX('[1]6店'!$A:$A,MATCH(B:B,'[1]6店'!$B:$B,0))</f>
        <v>美珠</v>
      </c>
      <c r="B40" s="116" t="s">
        <v>1979</v>
      </c>
      <c r="C40" s="45" t="s">
        <v>1980</v>
      </c>
      <c r="D40" s="59">
        <f>VLOOKUP(B:B,'[1]6店'!$B:$L,3,0)</f>
        <v>45072</v>
      </c>
      <c r="E40" s="45" t="s">
        <v>1981</v>
      </c>
      <c r="F40" s="45">
        <v>4</v>
      </c>
      <c r="G40" s="45">
        <v>0</v>
      </c>
      <c r="H40" s="45">
        <v>0</v>
      </c>
      <c r="I40" s="45">
        <v>0</v>
      </c>
      <c r="J40" s="45">
        <v>0</v>
      </c>
      <c r="K40" s="63">
        <f t="shared" si="22"/>
        <v>4</v>
      </c>
      <c r="L40" s="124">
        <f>VLOOKUP($B:$B,'[1]6店'!$B:$L,11,0)</f>
        <v>20.113</v>
      </c>
      <c r="M40" s="44">
        <f t="shared" si="33"/>
        <v>80.452</v>
      </c>
      <c r="N40" s="65">
        <f>IFERROR(VLOOKUP(B:B,'6店辅助表'!B:C,2,FALSE),0)</f>
        <v>0</v>
      </c>
      <c r="O40" s="65">
        <f>IFERROR(VLOOKUP(B:B,'6店辅助表'!E:F,2,FALSE),0)</f>
        <v>0</v>
      </c>
      <c r="P40" s="65">
        <f>IFERROR(VLOOKUP(B:B,'6店辅助表'!H:I,2,FALSE),0)</f>
        <v>0</v>
      </c>
      <c r="Q40" s="65">
        <f>IFERROR(VLOOKUP(B:B,'[1]6店'!$B:$N,13,FALSE),0)</f>
        <v>0</v>
      </c>
      <c r="R40" s="79">
        <f t="shared" si="23"/>
        <v>0</v>
      </c>
      <c r="S40" s="80" t="str">
        <f t="shared" si="24"/>
        <v>-</v>
      </c>
      <c r="T40" s="44" t="str">
        <f t="shared" si="25"/>
        <v>-</v>
      </c>
      <c r="U40" s="44" t="str">
        <f>IFERROR(VLOOKUP(B:B,'[1]6店'!$B:$T,19,0),"-")</f>
        <v>-</v>
      </c>
      <c r="V40" s="81" t="str">
        <f t="shared" si="26"/>
        <v>-</v>
      </c>
      <c r="W40" s="82" t="str">
        <f t="shared" si="27"/>
        <v>有库存无销量</v>
      </c>
      <c r="X40" s="83" t="str">
        <f t="shared" si="28"/>
        <v>有库存无销量</v>
      </c>
      <c r="Y40" s="44">
        <f>IFERROR(SUMIF('6店辅助表'!K:K,B:B,'6店辅助表'!N:N),0)</f>
        <v>0</v>
      </c>
      <c r="Z40" s="44">
        <f>IFERROR(SUMIF('6店辅助表'!T:T,B:B,'6店辅助表'!W:W),0)</f>
        <v>0</v>
      </c>
      <c r="AA40" s="44">
        <f>IFERROR(SUMIF('6店辅助表'!AC:AC,B:B,'6店辅助表'!AF:AF),0)</f>
        <v>0</v>
      </c>
      <c r="AB40" s="91" t="str">
        <f>IFERROR(SUMIF('6店辅助表'!K:K,B:B,'6店辅助表'!N:N)/SUMIF('6店辅助表'!K:K,B:B,'6店辅助表'!O:O),"-")</f>
        <v>-</v>
      </c>
      <c r="AC40" s="91" t="str">
        <f>IFERROR(VLOOKUP(B:B,'[1]6店'!$B:$AB,27,FALSE),"-")</f>
        <v>-</v>
      </c>
      <c r="AD40" s="92" t="str">
        <f t="shared" si="29"/>
        <v>-</v>
      </c>
      <c r="AE40" s="91" t="str">
        <f>IFERROR(SUMIF('6店辅助表'!T:T,B:B,'6店辅助表'!W:W)/SUMIF('6店辅助表'!T:T,B:B,'6店辅助表'!X:X),"-")</f>
        <v>-</v>
      </c>
      <c r="AF40" s="91" t="str">
        <f>IFERROR(SUMIF('6店辅助表'!AC:AC,B:B,'6店辅助表'!AF:AF)/SUMIF('6店辅助表'!AC:AC,B:B,'6店辅助表'!AG:AG),"-")</f>
        <v>-</v>
      </c>
      <c r="AG40" s="99">
        <f>IFERROR(AK40/((SUMIF('6店辅助表'!AT:AT,B:B,'6店辅助表'!AU:AU)+M40)/2),"-")</f>
        <v>0</v>
      </c>
      <c r="AH40" s="99">
        <f>IFERROR(AL40/((SUMIF('6店辅助表'!AW:AW,B:B,'6店辅助表'!AX:AX)+M40)/2),"-")</f>
        <v>0</v>
      </c>
      <c r="AI40" s="100" t="str">
        <f>IFERROR((SUMIF('6店辅助表'!AP:AP,B:B,'6店辅助表'!AR:AR)-SUMIF('6店辅助表'!AP:AP,B:B,'6店辅助表'!AR:AR)*0.15-(L40+IFERROR(VLOOKUP(B:B,'6店辅助表'!AZ:BA,2,0),0))*O40-IF(AN:AN="US",6.85,4.9)*(Z40+4.03*O40))/SUMIF('6店辅助表'!AP:AP,B:B,'6店辅助表'!AR:AR),"-")</f>
        <v>-</v>
      </c>
      <c r="AJ40" s="100" t="str">
        <f t="shared" si="30"/>
        <v>-</v>
      </c>
      <c r="AK40" s="101">
        <f t="shared" si="31"/>
        <v>0</v>
      </c>
      <c r="AL40" s="101">
        <f t="shared" si="32"/>
        <v>0</v>
      </c>
      <c r="AM40" s="1" t="str">
        <f>VLOOKUP(B:B,'6店辅助表'!AZ:AZ,1,FALSE)</f>
        <v>Y6054-PL</v>
      </c>
      <c r="AN40" t="str">
        <f>VLOOKUP(B:B,'6店辅助表'!AZ:BB,3,FALSE)</f>
        <v>US</v>
      </c>
    </row>
    <row r="41" customHeight="1" spans="1:40">
      <c r="A41" s="58" t="str">
        <f>INDEX('[1]6店'!$A:$A,MATCH(B:B,'[1]6店'!$B:$B,0))</f>
        <v>美珠</v>
      </c>
      <c r="B41" s="116" t="s">
        <v>1982</v>
      </c>
      <c r="C41" s="43" t="s">
        <v>1983</v>
      </c>
      <c r="D41" s="59">
        <f>VLOOKUP(B:B,'[1]6店'!$B:$L,3,0)</f>
        <v>45072</v>
      </c>
      <c r="E41" s="45" t="s">
        <v>1984</v>
      </c>
      <c r="F41" s="45">
        <v>14</v>
      </c>
      <c r="G41" s="45">
        <v>0</v>
      </c>
      <c r="H41" s="45">
        <v>0</v>
      </c>
      <c r="I41" s="45">
        <v>0</v>
      </c>
      <c r="J41" s="45">
        <v>0</v>
      </c>
      <c r="K41" s="63">
        <f t="shared" si="22"/>
        <v>14</v>
      </c>
      <c r="L41" s="124">
        <f>VLOOKUP($B:$B,'[1]6店'!$B:$L,11,0)</f>
        <v>20.113</v>
      </c>
      <c r="M41" s="44">
        <f t="shared" si="33"/>
        <v>281.582</v>
      </c>
      <c r="N41" s="65">
        <f>IFERROR(VLOOKUP(B:B,'6店辅助表'!B:C,2,FALSE),0)</f>
        <v>0</v>
      </c>
      <c r="O41" s="65">
        <f>IFERROR(VLOOKUP(B:B,'6店辅助表'!E:F,2,FALSE),0)</f>
        <v>0</v>
      </c>
      <c r="P41" s="65">
        <f>IFERROR(VLOOKUP(B:B,'6店辅助表'!H:I,2,FALSE),0)</f>
        <v>0</v>
      </c>
      <c r="Q41" s="65">
        <f>IFERROR(VLOOKUP(B:B,'[1]6店'!$B:$N,13,FALSE),0)</f>
        <v>0</v>
      </c>
      <c r="R41" s="79">
        <f t="shared" si="23"/>
        <v>0</v>
      </c>
      <c r="S41" s="80" t="str">
        <f t="shared" si="24"/>
        <v>-</v>
      </c>
      <c r="T41" s="44" t="str">
        <f t="shared" si="25"/>
        <v>-</v>
      </c>
      <c r="U41" s="44" t="str">
        <f>IFERROR(VLOOKUP(B:B,'[1]6店'!$B:$T,19,0),"-")</f>
        <v>-</v>
      </c>
      <c r="V41" s="81" t="str">
        <f t="shared" si="26"/>
        <v>-</v>
      </c>
      <c r="W41" s="82" t="str">
        <f t="shared" si="27"/>
        <v>有库存无销量</v>
      </c>
      <c r="X41" s="83" t="str">
        <f t="shared" si="28"/>
        <v>有库存无销量</v>
      </c>
      <c r="Y41" s="44">
        <f>IFERROR(SUMIF('6店辅助表'!K:K,B:B,'6店辅助表'!N:N),0)</f>
        <v>0</v>
      </c>
      <c r="Z41" s="44">
        <f>IFERROR(SUMIF('6店辅助表'!T:T,B:B,'6店辅助表'!W:W),0)</f>
        <v>0</v>
      </c>
      <c r="AA41" s="44">
        <f>IFERROR(SUMIF('6店辅助表'!AC:AC,B:B,'6店辅助表'!AF:AF),0)</f>
        <v>0</v>
      </c>
      <c r="AB41" s="91" t="str">
        <f>IFERROR(SUMIF('6店辅助表'!K:K,B:B,'6店辅助表'!N:N)/SUMIF('6店辅助表'!K:K,B:B,'6店辅助表'!O:O),"-")</f>
        <v>-</v>
      </c>
      <c r="AC41" s="91" t="str">
        <f>IFERROR(VLOOKUP(B:B,'[1]6店'!$B:$AB,27,FALSE),"-")</f>
        <v>-</v>
      </c>
      <c r="AD41" s="92" t="str">
        <f t="shared" si="29"/>
        <v>-</v>
      </c>
      <c r="AE41" s="91" t="str">
        <f>IFERROR(SUMIF('6店辅助表'!T:T,B:B,'6店辅助表'!W:W)/SUMIF('6店辅助表'!T:T,B:B,'6店辅助表'!X:X),"-")</f>
        <v>-</v>
      </c>
      <c r="AF41" s="91" t="str">
        <f>IFERROR(SUMIF('6店辅助表'!AC:AC,B:B,'6店辅助表'!AF:AF)/SUMIF('6店辅助表'!AC:AC,B:B,'6店辅助表'!AG:AG),"-")</f>
        <v>-</v>
      </c>
      <c r="AG41" s="99">
        <f>IFERROR(AK41/((SUMIF('6店辅助表'!AT:AT,B:B,'6店辅助表'!AU:AU)+M41)/2),"-")</f>
        <v>0</v>
      </c>
      <c r="AH41" s="99">
        <f>IFERROR(AL41/((SUMIF('6店辅助表'!AW:AW,B:B,'6店辅助表'!AX:AX)+M41)/2),"-")</f>
        <v>0</v>
      </c>
      <c r="AI41" s="100" t="str">
        <f>IFERROR((SUMIF('6店辅助表'!AP:AP,B:B,'6店辅助表'!AR:AR)-SUMIF('6店辅助表'!AP:AP,B:B,'6店辅助表'!AR:AR)*0.15-(L41+IFERROR(VLOOKUP(B:B,'6店辅助表'!AZ:BA,2,0),0))*O41-IF(AN:AN="US",6.85,4.9)*(Z41+4.03*O41))/SUMIF('6店辅助表'!AP:AP,B:B,'6店辅助表'!AR:AR),"-")</f>
        <v>-</v>
      </c>
      <c r="AJ41" s="100" t="str">
        <f t="shared" si="30"/>
        <v>-</v>
      </c>
      <c r="AK41" s="101">
        <f t="shared" si="31"/>
        <v>0</v>
      </c>
      <c r="AL41" s="101">
        <f t="shared" si="32"/>
        <v>0</v>
      </c>
      <c r="AM41" s="1" t="str">
        <f>VLOOKUP(B:B,'6店辅助表'!AZ:AZ,1,FALSE)</f>
        <v>Y6054-PU</v>
      </c>
      <c r="AN41" t="str">
        <f>VLOOKUP(B:B,'6店辅助表'!AZ:BB,3,FALSE)</f>
        <v>US</v>
      </c>
    </row>
    <row r="42" customHeight="1" spans="1:40">
      <c r="A42" s="58" t="str">
        <f>INDEX('[1]6店'!$A:$A,MATCH(B:B,'[1]6店'!$B:$B,0))</f>
        <v>美珠</v>
      </c>
      <c r="B42" s="116" t="s">
        <v>1985</v>
      </c>
      <c r="C42" s="43" t="s">
        <v>1986</v>
      </c>
      <c r="D42" s="59">
        <f>VLOOKUP(B:B,'[1]6店'!$B:$L,3,0)</f>
        <v>45072</v>
      </c>
      <c r="E42" s="45" t="s">
        <v>1987</v>
      </c>
      <c r="F42" s="45">
        <v>19</v>
      </c>
      <c r="G42" s="45">
        <v>0</v>
      </c>
      <c r="H42" s="45">
        <v>9</v>
      </c>
      <c r="I42" s="45">
        <v>1</v>
      </c>
      <c r="J42" s="45">
        <v>3</v>
      </c>
      <c r="K42" s="63">
        <f t="shared" si="22"/>
        <v>32</v>
      </c>
      <c r="L42" s="124">
        <f>VLOOKUP($B:$B,'[1]6店'!$B:$L,11,0)</f>
        <v>30.267</v>
      </c>
      <c r="M42" s="44">
        <f t="shared" si="33"/>
        <v>968.544</v>
      </c>
      <c r="N42" s="65">
        <f>IFERROR(VLOOKUP(B:B,'6店辅助表'!B:C,2,FALSE),0)</f>
        <v>10</v>
      </c>
      <c r="O42" s="65">
        <f>IFERROR(VLOOKUP(B:B,'6店辅助表'!E:F,2,FALSE),0)</f>
        <v>18</v>
      </c>
      <c r="P42" s="65">
        <f>IFERROR(VLOOKUP(B:B,'6店辅助表'!H:I,2,FALSE),0)</f>
        <v>30</v>
      </c>
      <c r="Q42" s="65">
        <f>IFERROR(VLOOKUP(B:B,'[1]6店'!$B:$N,13,FALSE),0)</f>
        <v>6</v>
      </c>
      <c r="R42" s="79">
        <f t="shared" si="23"/>
        <v>4</v>
      </c>
      <c r="S42" s="80">
        <f t="shared" si="24"/>
        <v>26.4566929133858</v>
      </c>
      <c r="T42" s="44">
        <f t="shared" si="25"/>
        <v>0.881889763779528</v>
      </c>
      <c r="U42" s="44">
        <f>IFERROR(VLOOKUP(B:B,'[1]6店'!$B:$T,19,0),"-")</f>
        <v>1.41652613827993</v>
      </c>
      <c r="V42" s="81">
        <f t="shared" si="26"/>
        <v>-0.534636374500402</v>
      </c>
      <c r="W42" s="82" t="str">
        <f t="shared" si="27"/>
        <v>正常</v>
      </c>
      <c r="X42" s="83" t="str">
        <f t="shared" si="28"/>
        <v>正常</v>
      </c>
      <c r="Y42" s="44">
        <f>IFERROR(SUMIF('6店辅助表'!K:K,B:B,'6店辅助表'!N:N),0)</f>
        <v>11.22</v>
      </c>
      <c r="Z42" s="44">
        <f>IFERROR(SUMIF('6店辅助表'!T:T,B:B,'6店辅助表'!W:W),0)</f>
        <v>23.28</v>
      </c>
      <c r="AA42" s="44">
        <f>IFERROR(SUMIF('6店辅助表'!AC:AC,B:B,'6店辅助表'!AF:AF),0)</f>
        <v>47.83</v>
      </c>
      <c r="AB42" s="91">
        <f>IFERROR(SUMIF('6店辅助表'!K:K,B:B,'6店辅助表'!N:N)/SUMIF('6店辅助表'!K:K,B:B,'6店辅助表'!O:O),"-")</f>
        <v>0.350844277673546</v>
      </c>
      <c r="AC42" s="91">
        <f>IFERROR(VLOOKUP(B:B,'[1]6店'!$B:$AB,27,FALSE),"-")</f>
        <v>0.217010631644778</v>
      </c>
      <c r="AD42" s="92">
        <f t="shared" si="29"/>
        <v>0.133833646028768</v>
      </c>
      <c r="AE42" s="91">
        <f>IFERROR(SUMIF('6店辅助表'!T:T,B:B,'6店辅助表'!W:W)/SUMIF('6店辅助表'!T:T,B:B,'6店辅助表'!X:X),"-")</f>
        <v>0.363977485928705</v>
      </c>
      <c r="AF42" s="91">
        <f>IFERROR(SUMIF('6店辅助表'!AC:AC,B:B,'6店辅助表'!AF:AF)/SUMIF('6店辅助表'!AC:AC,B:B,'6店辅助表'!AG:AG),"-")</f>
        <v>0.281535110954147</v>
      </c>
      <c r="AG42" s="99">
        <f>IFERROR(AK42/((SUMIF('6店辅助表'!AT:AT,B:B,'6店辅助表'!AU:AU)+M42)/2),"-")</f>
        <v>0.277777777777778</v>
      </c>
      <c r="AH42" s="99">
        <f>IFERROR(AL42/((SUMIF('6店辅助表'!AW:AW,B:B,'6店辅助表'!AX:AX)+M42)/2),"-")</f>
        <v>0.6</v>
      </c>
      <c r="AI42" s="100">
        <f>IFERROR((SUMIF('6店辅助表'!AP:AP,B:B,'6店辅助表'!AR:AR)-SUMIF('6店辅助表'!AP:AP,B:B,'6店辅助表'!AR:AR)*0.15-(L42+IFERROR(VLOOKUP(B:B,'6店辅助表'!AZ:BA,2,0),0))*O42-IF(AN:AN="US",6.85,4.9)*(Z42+4.03*O42))/SUMIF('6店辅助表'!AP:AP,B:B,'6店辅助表'!AR:AR),"-")</f>
        <v>0.195012703149575</v>
      </c>
      <c r="AJ42" s="100">
        <f t="shared" si="30"/>
        <v>0.117007621889745</v>
      </c>
      <c r="AK42" s="101">
        <f t="shared" si="31"/>
        <v>302.67</v>
      </c>
      <c r="AL42" s="101">
        <f t="shared" si="32"/>
        <v>544.806</v>
      </c>
      <c r="AM42" s="1" t="str">
        <f>VLOOKUP(B:B,'6店辅助表'!AZ:AZ,1,FALSE)</f>
        <v>Y6057</v>
      </c>
      <c r="AN42" t="str">
        <f>VLOOKUP(B:B,'6店辅助表'!AZ:BB,3,FALSE)</f>
        <v>US</v>
      </c>
    </row>
    <row r="43" customHeight="1" spans="1:40">
      <c r="A43" s="58" t="str">
        <f>INDEX('[1]6店'!$A:$A,MATCH(B:B,'[1]6店'!$B:$B,0))</f>
        <v>美珠</v>
      </c>
      <c r="B43" s="116" t="s">
        <v>1988</v>
      </c>
      <c r="C43" s="45" t="s">
        <v>1989</v>
      </c>
      <c r="D43" s="59">
        <f>VLOOKUP(B:B,'[1]6店'!$B:$L,3,0)</f>
        <v>45047</v>
      </c>
      <c r="E43" s="45" t="s">
        <v>1990</v>
      </c>
      <c r="F43" s="45">
        <v>24</v>
      </c>
      <c r="G43" s="45">
        <v>1</v>
      </c>
      <c r="H43" s="45">
        <v>40</v>
      </c>
      <c r="I43" s="45">
        <v>1</v>
      </c>
      <c r="J43" s="45">
        <v>0</v>
      </c>
      <c r="K43" s="63">
        <f t="shared" si="22"/>
        <v>66</v>
      </c>
      <c r="L43" s="124">
        <f>VLOOKUP($B:$B,'[1]6店'!$B:$L,11,0)</f>
        <v>27.6</v>
      </c>
      <c r="M43" s="44">
        <f t="shared" si="33"/>
        <v>1821.6</v>
      </c>
      <c r="N43" s="65">
        <f>IFERROR(VLOOKUP(B:B,'6店辅助表'!B:C,2,FALSE),0)</f>
        <v>9</v>
      </c>
      <c r="O43" s="65">
        <f>IFERROR(VLOOKUP(B:B,'6店辅助表'!E:F,2,FALSE),0)</f>
        <v>14</v>
      </c>
      <c r="P43" s="65">
        <f>IFERROR(VLOOKUP(B:B,'6店辅助表'!H:I,2,FALSE),0)</f>
        <v>32</v>
      </c>
      <c r="Q43" s="65">
        <f>IFERROR(VLOOKUP(B:B,'[1]6店'!$B:$N,13,FALSE),0)</f>
        <v>5</v>
      </c>
      <c r="R43" s="79">
        <f t="shared" si="23"/>
        <v>4</v>
      </c>
      <c r="S43" s="80">
        <f t="shared" si="24"/>
        <v>60.2608695652174</v>
      </c>
      <c r="T43" s="44">
        <f t="shared" si="25"/>
        <v>2.00869565217391</v>
      </c>
      <c r="U43" s="44">
        <f>IFERROR(VLOOKUP(B:B,'[1]6店'!$B:$T,19,0),"-")</f>
        <v>1.35971223021583</v>
      </c>
      <c r="V43" s="81">
        <f t="shared" si="26"/>
        <v>0.64898342195808</v>
      </c>
      <c r="W43" s="82" t="str">
        <f t="shared" si="27"/>
        <v>库存过高</v>
      </c>
      <c r="X43" s="83" t="str">
        <f t="shared" si="28"/>
        <v>库存过高</v>
      </c>
      <c r="Y43" s="44">
        <f>IFERROR(SUMIF('6店辅助表'!K:K,B:B,'6店辅助表'!N:N),0)</f>
        <v>21.8</v>
      </c>
      <c r="Z43" s="44">
        <f>IFERROR(SUMIF('6店辅助表'!T:T,B:B,'6店辅助表'!W:W),0)</f>
        <v>35.24</v>
      </c>
      <c r="AA43" s="44">
        <f>IFERROR(SUMIF('6店辅助表'!AC:AC,B:B,'6店辅助表'!AF:AF),0)</f>
        <v>69.23</v>
      </c>
      <c r="AB43" s="91">
        <f>IFERROR(SUMIF('6店辅助表'!K:K,B:B,'6店辅助表'!N:N)/SUMIF('6店辅助表'!K:K,B:B,'6店辅助表'!O:O),"-")</f>
        <v>0.29105473965287</v>
      </c>
      <c r="AC43" s="91">
        <f>IFERROR(VLOOKUP(B:B,'[1]6店'!$B:$AB,27,FALSE),"-")</f>
        <v>0.813084112149533</v>
      </c>
      <c r="AD43" s="92">
        <f t="shared" si="29"/>
        <v>-0.522029372496663</v>
      </c>
      <c r="AE43" s="91">
        <f>IFERROR(SUMIF('6店辅助表'!T:T,B:B,'6店辅助表'!W:W)/SUMIF('6店辅助表'!T:T,B:B,'6店辅助表'!X:X),"-")</f>
        <v>0.392078326657766</v>
      </c>
      <c r="AF43" s="91">
        <f>IFERROR(SUMIF('6店辅助表'!AC:AC,B:B,'6店辅助表'!AF:AF)/SUMIF('6店辅助表'!AC:AC,B:B,'6店辅助表'!AG:AG),"-")</f>
        <v>0.310768954527091</v>
      </c>
      <c r="AG43" s="99">
        <f>IFERROR(AK43/((SUMIF('6店辅助表'!AT:AT,B:B,'6店辅助表'!AU:AU)+M43)/2),"-")</f>
        <v>0.176470588235294</v>
      </c>
      <c r="AH43" s="99">
        <f>IFERROR(AL43/((SUMIF('6店辅助表'!AW:AW,B:B,'6店辅助表'!AX:AX)+M43)/2),"-")</f>
        <v>0.224</v>
      </c>
      <c r="AI43" s="100">
        <f>IFERROR((SUMIF('6店辅助表'!AP:AP,B:B,'6店辅助表'!AR:AR)-SUMIF('6店辅助表'!AP:AP,B:B,'6店辅助表'!AR:AR)*0.15-(L43+IFERROR(VLOOKUP(B:B,'6店辅助表'!AZ:BA,2,0),0))*O43-IF(AN:AN="US",6.85,4.9)*(Z43+4.03*O43))/SUMIF('6店辅助表'!AP:AP,B:B,'6店辅助表'!AR:AR),"-")</f>
        <v>0.0964173275275739</v>
      </c>
      <c r="AJ43" s="100">
        <f t="shared" si="30"/>
        <v>0.0215974813661766</v>
      </c>
      <c r="AK43" s="101">
        <f t="shared" si="31"/>
        <v>248.4</v>
      </c>
      <c r="AL43" s="101">
        <f t="shared" si="32"/>
        <v>386.4</v>
      </c>
      <c r="AM43" s="1" t="str">
        <f>VLOOKUP(B:B,'6店辅助表'!AZ:AZ,1,FALSE)</f>
        <v>Y6061</v>
      </c>
      <c r="AN43" t="str">
        <f>VLOOKUP(B:B,'6店辅助表'!AZ:BB,3,FALSE)</f>
        <v>US</v>
      </c>
    </row>
    <row r="44" customHeight="1" spans="1:40">
      <c r="A44" s="58" t="str">
        <f>INDEX('[1]6店'!$A:$A,MATCH(B:B,'[1]6店'!$B:$B,0))</f>
        <v>美珠</v>
      </c>
      <c r="B44" s="116" t="s">
        <v>1991</v>
      </c>
      <c r="C44" s="45" t="s">
        <v>1992</v>
      </c>
      <c r="D44" s="59">
        <f>VLOOKUP(B:B,'[1]6店'!$B:$L,3,0)</f>
        <v>45050</v>
      </c>
      <c r="E44" s="45" t="s">
        <v>1993</v>
      </c>
      <c r="F44" s="45">
        <v>29</v>
      </c>
      <c r="G44" s="45">
        <v>4</v>
      </c>
      <c r="H44" s="45">
        <v>12</v>
      </c>
      <c r="I44" s="45">
        <v>0</v>
      </c>
      <c r="J44" s="45">
        <v>1</v>
      </c>
      <c r="K44" s="63">
        <f t="shared" si="22"/>
        <v>46</v>
      </c>
      <c r="L44" s="124">
        <f>VLOOKUP($B:$B,'[1]6店'!$B:$L,11,0)</f>
        <v>105.626</v>
      </c>
      <c r="M44" s="44">
        <f t="shared" si="33"/>
        <v>4858.796</v>
      </c>
      <c r="N44" s="65">
        <f>IFERROR(VLOOKUP(B:B,'6店辅助表'!B:C,2,FALSE),0)</f>
        <v>9</v>
      </c>
      <c r="O44" s="65">
        <f>IFERROR(VLOOKUP(B:B,'6店辅助表'!E:F,2,FALSE),0)</f>
        <v>24</v>
      </c>
      <c r="P44" s="65">
        <f>IFERROR(VLOOKUP(B:B,'6店辅助表'!H:I,2,FALSE),0)</f>
        <v>41</v>
      </c>
      <c r="Q44" s="65">
        <f>IFERROR(VLOOKUP(B:B,'[1]6店'!$B:$N,13,FALSE),0)</f>
        <v>15</v>
      </c>
      <c r="R44" s="79">
        <f t="shared" si="23"/>
        <v>-6</v>
      </c>
      <c r="S44" s="80">
        <f t="shared" si="24"/>
        <v>32.4524076147816</v>
      </c>
      <c r="T44" s="44">
        <f t="shared" si="25"/>
        <v>1.08174692049272</v>
      </c>
      <c r="U44" s="44">
        <f>IFERROR(VLOOKUP(B:B,'[1]6店'!$B:$T,19,0),"-")</f>
        <v>1.01156069364162</v>
      </c>
      <c r="V44" s="81">
        <f t="shared" si="26"/>
        <v>0.0701862268511</v>
      </c>
      <c r="W44" s="82" t="str">
        <f t="shared" si="27"/>
        <v>正常</v>
      </c>
      <c r="X44" s="83" t="str">
        <f t="shared" si="28"/>
        <v>正常</v>
      </c>
      <c r="Y44" s="44">
        <f>IFERROR(SUMIF('6店辅助表'!K:K,B:B,'6店辅助表'!N:N),0)</f>
        <v>5.77</v>
      </c>
      <c r="Z44" s="44">
        <f>IFERROR(SUMIF('6店辅助表'!T:T,B:B,'6店辅助表'!W:W),0)</f>
        <v>14.82</v>
      </c>
      <c r="AA44" s="44">
        <f>IFERROR(SUMIF('6店辅助表'!AC:AC,B:B,'6店辅助表'!AF:AF),0)</f>
        <v>44.3</v>
      </c>
      <c r="AB44" s="91">
        <f>IFERROR(SUMIF('6店辅助表'!K:K,B:B,'6店辅助表'!N:N)/SUMIF('6店辅助表'!K:K,B:B,'6店辅助表'!O:O),"-")</f>
        <v>0.0613960417110023</v>
      </c>
      <c r="AC44" s="91">
        <f>IFERROR(VLOOKUP(B:B,'[1]6店'!$B:$AB,27,FALSE),"-")</f>
        <v>0.0771510604797629</v>
      </c>
      <c r="AD44" s="92">
        <f t="shared" si="29"/>
        <v>-0.0157550187687606</v>
      </c>
      <c r="AE44" s="91">
        <f>IFERROR(SUMIF('6店辅助表'!T:T,B:B,'6店辅助表'!W:W)/SUMIF('6店辅助表'!T:T,B:B,'6店辅助表'!X:X),"-")</f>
        <v>0.0733845011141372</v>
      </c>
      <c r="AF44" s="91">
        <f>IFERROR(SUMIF('6店辅助表'!AC:AC,B:B,'6店辅助表'!AF:AF)/SUMIF('6店辅助表'!AC:AC,B:B,'6店辅助表'!AG:AG),"-")</f>
        <v>0.177954527195308</v>
      </c>
      <c r="AG44" s="99">
        <f>IFERROR(AK44/((SUMIF('6店辅助表'!AT:AT,B:B,'6店辅助表'!AU:AU)+M44)/2),"-")</f>
        <v>0.1875</v>
      </c>
      <c r="AH44" s="99">
        <f>IFERROR(AL44/((SUMIF('6店辅助表'!AW:AW,B:B,'6店辅助表'!AX:AX)+M44)/2),"-")</f>
        <v>0.631578947368421</v>
      </c>
      <c r="AI44" s="100">
        <f>IFERROR((SUMIF('6店辅助表'!AP:AP,B:B,'6店辅助表'!AR:AR)-SUMIF('6店辅助表'!AP:AP,B:B,'6店辅助表'!AR:AR)*0.15-(L44+IFERROR(VLOOKUP(B:B,'6店辅助表'!AZ:BA,2,0),0))*O44-IF(AN:AN="US",6.85,4.9)*(Z44+4.03*O44))/SUMIF('6店辅助表'!AP:AP,B:B,'6店辅助表'!AR:AR),"-")</f>
        <v>0.388366215517201</v>
      </c>
      <c r="AJ44" s="100">
        <f t="shared" si="30"/>
        <v>0.245283925589811</v>
      </c>
      <c r="AK44" s="101">
        <f t="shared" si="31"/>
        <v>950.634</v>
      </c>
      <c r="AL44" s="101">
        <f t="shared" si="32"/>
        <v>2535.024</v>
      </c>
      <c r="AM44" s="1" t="str">
        <f>VLOOKUP(B:B,'6店辅助表'!AZ:AZ,1,FALSE)</f>
        <v>Y6058</v>
      </c>
      <c r="AN44" t="str">
        <f>VLOOKUP(B:B,'6店辅助表'!AZ:BB,3,FALSE)</f>
        <v>US</v>
      </c>
    </row>
    <row r="45" customHeight="1" spans="1:40">
      <c r="A45" s="58" t="str">
        <f>INDEX('[1]6店'!$A:$A,MATCH(B:B,'[1]6店'!$B:$B,0))</f>
        <v>美珠</v>
      </c>
      <c r="B45" s="116" t="s">
        <v>1994</v>
      </c>
      <c r="C45" s="45" t="s">
        <v>1995</v>
      </c>
      <c r="D45" s="59">
        <f>VLOOKUP(B:B,'[1]6店'!$B:$L,3,0)</f>
        <v>45076</v>
      </c>
      <c r="E45" s="45" t="s">
        <v>1996</v>
      </c>
      <c r="F45" s="45">
        <v>27</v>
      </c>
      <c r="G45" s="45">
        <v>0</v>
      </c>
      <c r="H45" s="45">
        <v>0</v>
      </c>
      <c r="I45" s="45">
        <v>0</v>
      </c>
      <c r="J45" s="45">
        <v>0</v>
      </c>
      <c r="K45" s="63">
        <f t="shared" si="22"/>
        <v>27</v>
      </c>
      <c r="L45" s="124">
        <f>VLOOKUP($B:$B,'[1]6店'!$B:$L,11,0)</f>
        <v>4</v>
      </c>
      <c r="M45" s="44">
        <f t="shared" si="33"/>
        <v>108</v>
      </c>
      <c r="N45" s="65">
        <f>IFERROR(VLOOKUP(B:B,'6店辅助表'!B:C,2,FALSE),0)</f>
        <v>0</v>
      </c>
      <c r="O45" s="65">
        <f>IFERROR(VLOOKUP(B:B,'6店辅助表'!E:F,2,FALSE),0)</f>
        <v>0</v>
      </c>
      <c r="P45" s="65">
        <f>IFERROR(VLOOKUP(B:B,'6店辅助表'!H:I,2,FALSE),0)</f>
        <v>0</v>
      </c>
      <c r="Q45" s="65">
        <f>IFERROR(VLOOKUP(B:B,'[1]6店'!$B:$N,13,FALSE),0)</f>
        <v>0</v>
      </c>
      <c r="R45" s="79">
        <f t="shared" si="23"/>
        <v>0</v>
      </c>
      <c r="S45" s="80" t="str">
        <f t="shared" si="24"/>
        <v>-</v>
      </c>
      <c r="T45" s="44" t="str">
        <f t="shared" si="25"/>
        <v>-</v>
      </c>
      <c r="U45" s="44" t="str">
        <f>IFERROR(VLOOKUP(B:B,'[1]6店'!$B:$T,19,0),"-")</f>
        <v>-</v>
      </c>
      <c r="V45" s="81" t="str">
        <f t="shared" si="26"/>
        <v>-</v>
      </c>
      <c r="W45" s="82" t="str">
        <f t="shared" si="27"/>
        <v>有库存无销量</v>
      </c>
      <c r="X45" s="83" t="str">
        <f t="shared" si="28"/>
        <v>有库存无销量</v>
      </c>
      <c r="Y45" s="44">
        <f>IFERROR(SUMIF('6店辅助表'!K:K,B:B,'6店辅助表'!N:N),0)</f>
        <v>0</v>
      </c>
      <c r="Z45" s="44">
        <f>IFERROR(SUMIF('6店辅助表'!T:T,B:B,'6店辅助表'!W:W),0)</f>
        <v>0</v>
      </c>
      <c r="AA45" s="44">
        <f>IFERROR(SUMIF('6店辅助表'!AC:AC,B:B,'6店辅助表'!AF:AF),0)</f>
        <v>0</v>
      </c>
      <c r="AB45" s="91" t="str">
        <f>IFERROR(SUMIF('6店辅助表'!K:K,B:B,'6店辅助表'!N:N)/SUMIF('6店辅助表'!K:K,B:B,'6店辅助表'!O:O),"-")</f>
        <v>-</v>
      </c>
      <c r="AC45" s="91" t="str">
        <f>IFERROR(VLOOKUP(B:B,'[1]6店'!$B:$AB,27,FALSE),"-")</f>
        <v>-</v>
      </c>
      <c r="AD45" s="92" t="str">
        <f t="shared" si="29"/>
        <v>-</v>
      </c>
      <c r="AE45" s="91" t="str">
        <f>IFERROR(SUMIF('6店辅助表'!T:T,B:B,'6店辅助表'!W:W)/SUMIF('6店辅助表'!T:T,B:B,'6店辅助表'!X:X),"-")</f>
        <v>-</v>
      </c>
      <c r="AF45" s="91" t="str">
        <f>IFERROR(SUMIF('6店辅助表'!AC:AC,B:B,'6店辅助表'!AF:AF)/SUMIF('6店辅助表'!AC:AC,B:B,'6店辅助表'!AG:AG),"-")</f>
        <v>-</v>
      </c>
      <c r="AG45" s="99">
        <f>IFERROR(AK45/((SUMIF('6店辅助表'!AT:AT,B:B,'6店辅助表'!AU:AU)+M45)/2),"-")</f>
        <v>0</v>
      </c>
      <c r="AH45" s="99">
        <f>IFERROR(AL45/((SUMIF('6店辅助表'!AW:AW,B:B,'6店辅助表'!AX:AX)+M45)/2),"-")</f>
        <v>0</v>
      </c>
      <c r="AI45" s="100" t="str">
        <f>IFERROR((SUMIF('6店辅助表'!AP:AP,B:B,'6店辅助表'!AR:AR)-SUMIF('6店辅助表'!AP:AP,B:B,'6店辅助表'!AR:AR)*0.15-(L45+IFERROR(VLOOKUP(B:B,'6店辅助表'!AZ:BA,2,0),0))*O45-IF(AN:AN="US",6.85,4.9)*(Z45+4.03*O45))/SUMIF('6店辅助表'!AP:AP,B:B,'6店辅助表'!AR:AR),"-")</f>
        <v>-</v>
      </c>
      <c r="AJ45" s="100" t="str">
        <f t="shared" si="30"/>
        <v>-</v>
      </c>
      <c r="AK45" s="101">
        <f t="shared" si="31"/>
        <v>0</v>
      </c>
      <c r="AL45" s="101">
        <f t="shared" si="32"/>
        <v>0</v>
      </c>
      <c r="AM45" s="1" t="str">
        <f>VLOOKUP(B:B,'6店辅助表'!AZ:AZ,1,FALSE)</f>
        <v>Y6069</v>
      </c>
      <c r="AN45" t="str">
        <f>VLOOKUP(B:B,'6店辅助表'!AZ:BB,3,FALSE)</f>
        <v>US</v>
      </c>
    </row>
    <row r="46" customHeight="1" spans="1:40">
      <c r="A46" s="58" t="str">
        <f>INDEX('[1]6店'!$A:$A,MATCH(B:B,'[1]6店'!$B:$B,0))</f>
        <v>美珠</v>
      </c>
      <c r="B46" s="116" t="s">
        <v>1997</v>
      </c>
      <c r="C46" s="45" t="s">
        <v>1998</v>
      </c>
      <c r="D46" s="59">
        <f>VLOOKUP(B:B,'[1]6店'!$B:$L,3,0)</f>
        <v>45072</v>
      </c>
      <c r="E46" s="45" t="s">
        <v>1999</v>
      </c>
      <c r="F46" s="45">
        <v>8</v>
      </c>
      <c r="G46" s="45">
        <v>0</v>
      </c>
      <c r="H46" s="45">
        <v>2</v>
      </c>
      <c r="I46" s="45">
        <v>0</v>
      </c>
      <c r="J46" s="45">
        <v>0</v>
      </c>
      <c r="K46" s="63">
        <f t="shared" si="22"/>
        <v>10</v>
      </c>
      <c r="L46" s="124">
        <f>VLOOKUP($B:$B,'[1]6店'!$B:$L,11,0)</f>
        <v>6.14</v>
      </c>
      <c r="M46" s="44">
        <f t="shared" si="33"/>
        <v>61.4</v>
      </c>
      <c r="N46" s="65">
        <f>IFERROR(VLOOKUP(B:B,'6店辅助表'!B:C,2,FALSE),0)</f>
        <v>1</v>
      </c>
      <c r="O46" s="65">
        <f>IFERROR(VLOOKUP(B:B,'6店辅助表'!E:F,2,FALSE),0)</f>
        <v>3</v>
      </c>
      <c r="P46" s="65">
        <f>IFERROR(VLOOKUP(B:B,'6店辅助表'!H:I,2,FALSE),0)</f>
        <v>5</v>
      </c>
      <c r="Q46" s="65">
        <f>IFERROR(VLOOKUP(B:B,'[1]6店'!$B:$N,13,FALSE),0)</f>
        <v>2</v>
      </c>
      <c r="R46" s="79">
        <f t="shared" si="23"/>
        <v>-1</v>
      </c>
      <c r="S46" s="80">
        <f t="shared" si="24"/>
        <v>58.8785046728972</v>
      </c>
      <c r="T46" s="44">
        <f t="shared" si="25"/>
        <v>1.96261682242991</v>
      </c>
      <c r="U46" s="44">
        <f>IFERROR(VLOOKUP(B:B,'[1]6店'!$B:$T,19,0),"-")</f>
        <v>1.77692307692308</v>
      </c>
      <c r="V46" s="81">
        <f t="shared" si="26"/>
        <v>0.18569374550683</v>
      </c>
      <c r="W46" s="82" t="str">
        <f t="shared" si="27"/>
        <v>库存过高</v>
      </c>
      <c r="X46" s="83" t="str">
        <f t="shared" si="28"/>
        <v>库存过高</v>
      </c>
      <c r="Y46" s="44">
        <f>IFERROR(SUMIF('6店辅助表'!K:K,B:B,'6店辅助表'!N:N),0)</f>
        <v>2.19</v>
      </c>
      <c r="Z46" s="44">
        <f>IFERROR(SUMIF('6店辅助表'!T:T,B:B,'6店辅助表'!W:W),0)</f>
        <v>5.37</v>
      </c>
      <c r="AA46" s="44">
        <f>IFERROR(SUMIF('6店辅助表'!AC:AC,B:B,'6店辅助表'!AF:AF),0)</f>
        <v>11.43</v>
      </c>
      <c r="AB46" s="91">
        <f>IFERROR(SUMIF('6店辅助表'!K:K,B:B,'6店辅助表'!N:N)/SUMIF('6店辅助表'!K:K,B:B,'6店辅助表'!O:O),"-")</f>
        <v>0.219219219219219</v>
      </c>
      <c r="AC46" s="91">
        <f>IFERROR(VLOOKUP(B:B,'[1]6店'!$B:$AB,27,FALSE),"-")</f>
        <v>0.276276276276276</v>
      </c>
      <c r="AD46" s="92">
        <f t="shared" si="29"/>
        <v>-0.057057057057057</v>
      </c>
      <c r="AE46" s="91">
        <f>IFERROR(SUMIF('6店辅助表'!T:T,B:B,'6店辅助表'!W:W)/SUMIF('6店辅助表'!T:T,B:B,'6店辅助表'!X:X),"-")</f>
        <v>0.268768768768769</v>
      </c>
      <c r="AF46" s="91">
        <f>IFERROR(SUMIF('6店辅助表'!AC:AC,B:B,'6店辅助表'!AF:AF)/SUMIF('6店辅助表'!AC:AC,B:B,'6店辅助表'!AG:AG),"-")</f>
        <v>0.381381381381381</v>
      </c>
      <c r="AG46" s="99">
        <f>IFERROR(AK46/((SUMIF('6店辅助表'!AT:AT,B:B,'6店辅助表'!AU:AU)+M46)/2),"-")</f>
        <v>0.0952380952380952</v>
      </c>
      <c r="AH46" s="99">
        <f>IFERROR(AL46/((SUMIF('6店辅助表'!AW:AW,B:B,'6店辅助表'!AX:AX)+M46)/2),"-")</f>
        <v>0.24</v>
      </c>
      <c r="AI46" s="100">
        <f>IFERROR((SUMIF('6店辅助表'!AP:AP,B:B,'6店辅助表'!AR:AR)-SUMIF('6店辅助表'!AP:AP,B:B,'6店辅助表'!AR:AR)*0.15-(L46+IFERROR(VLOOKUP(B:B,'6店辅助表'!AZ:BA,2,0),0))*O46-IF(AN:AN="US",6.85,4.9)*(Z46+4.03*O46))/SUMIF('6店辅助表'!AP:AP,B:B,'6店辅助表'!AR:AR),"-")</f>
        <v>0.163956292058482</v>
      </c>
      <c r="AJ46" s="100">
        <f t="shared" si="30"/>
        <v>0.0393495100940356</v>
      </c>
      <c r="AK46" s="101">
        <f t="shared" si="31"/>
        <v>6.14</v>
      </c>
      <c r="AL46" s="101">
        <f t="shared" si="32"/>
        <v>18.42</v>
      </c>
      <c r="AM46" s="1" t="str">
        <f>VLOOKUP(B:B,'6店辅助表'!AZ:AZ,1,FALSE)</f>
        <v>Y6072-2</v>
      </c>
      <c r="AN46" t="str">
        <f>VLOOKUP(B:B,'6店辅助表'!AZ:BB,3,FALSE)</f>
        <v>US</v>
      </c>
    </row>
    <row r="47" customHeight="1" spans="1:40">
      <c r="A47" s="58" t="str">
        <f>INDEX('[1]6店'!$A:$A,MATCH(B:B,'[1]6店'!$B:$B,0))</f>
        <v>美珠</v>
      </c>
      <c r="B47" s="116" t="s">
        <v>2000</v>
      </c>
      <c r="C47" s="45" t="s">
        <v>2001</v>
      </c>
      <c r="D47" s="59">
        <f>VLOOKUP(B:B,'[1]6店'!$B:$L,3,0)</f>
        <v>45072</v>
      </c>
      <c r="E47" s="45" t="s">
        <v>2002</v>
      </c>
      <c r="F47" s="45">
        <v>18</v>
      </c>
      <c r="G47" s="45">
        <v>0</v>
      </c>
      <c r="H47" s="45">
        <v>0</v>
      </c>
      <c r="I47" s="45">
        <v>0</v>
      </c>
      <c r="J47" s="45">
        <v>0</v>
      </c>
      <c r="K47" s="63">
        <f t="shared" si="22"/>
        <v>18</v>
      </c>
      <c r="L47" s="124">
        <f>VLOOKUP($B:$B,'[1]6店'!$B:$L,11,0)</f>
        <v>9.21</v>
      </c>
      <c r="M47" s="44">
        <f t="shared" si="33"/>
        <v>165.78</v>
      </c>
      <c r="N47" s="65">
        <f>IFERROR(VLOOKUP(B:B,'6店辅助表'!B:C,2,FALSE),0)</f>
        <v>0</v>
      </c>
      <c r="O47" s="65">
        <f>IFERROR(VLOOKUP(B:B,'6店辅助表'!E:F,2,FALSE),0)</f>
        <v>0</v>
      </c>
      <c r="P47" s="65">
        <f>IFERROR(VLOOKUP(B:B,'6店辅助表'!H:I,2,FALSE),0)</f>
        <v>0</v>
      </c>
      <c r="Q47" s="65">
        <f>IFERROR(VLOOKUP(B:B,'[1]6店'!$B:$N,13,FALSE),0)</f>
        <v>0</v>
      </c>
      <c r="R47" s="79">
        <f t="shared" si="23"/>
        <v>0</v>
      </c>
      <c r="S47" s="80" t="str">
        <f t="shared" si="24"/>
        <v>-</v>
      </c>
      <c r="T47" s="44" t="str">
        <f t="shared" si="25"/>
        <v>-</v>
      </c>
      <c r="U47" s="44" t="str">
        <f>IFERROR(VLOOKUP(B:B,'[1]6店'!$B:$T,19,0),"-")</f>
        <v>-</v>
      </c>
      <c r="V47" s="81" t="str">
        <f t="shared" si="26"/>
        <v>-</v>
      </c>
      <c r="W47" s="82" t="str">
        <f t="shared" si="27"/>
        <v>有库存无销量</v>
      </c>
      <c r="X47" s="83" t="str">
        <f t="shared" si="28"/>
        <v>有库存无销量</v>
      </c>
      <c r="Y47" s="44">
        <f>IFERROR(SUMIF('6店辅助表'!K:K,B:B,'6店辅助表'!N:N),0)</f>
        <v>0</v>
      </c>
      <c r="Z47" s="44">
        <f>IFERROR(SUMIF('6店辅助表'!T:T,B:B,'6店辅助表'!W:W),0)</f>
        <v>0</v>
      </c>
      <c r="AA47" s="44">
        <f>IFERROR(SUMIF('6店辅助表'!AC:AC,B:B,'6店辅助表'!AF:AF),0)</f>
        <v>2.17</v>
      </c>
      <c r="AB47" s="91" t="str">
        <f>IFERROR(SUMIF('6店辅助表'!K:K,B:B,'6店辅助表'!N:N)/SUMIF('6店辅助表'!K:K,B:B,'6店辅助表'!O:O),"-")</f>
        <v>-</v>
      </c>
      <c r="AC47" s="91" t="str">
        <f>IFERROR(VLOOKUP(B:B,'[1]6店'!$B:$AB,27,FALSE),"-")</f>
        <v>-</v>
      </c>
      <c r="AD47" s="92" t="str">
        <f t="shared" si="29"/>
        <v>-</v>
      </c>
      <c r="AE47" s="91" t="str">
        <f>IFERROR(SUMIF('6店辅助表'!T:T,B:B,'6店辅助表'!W:W)/SUMIF('6店辅助表'!T:T,B:B,'6店辅助表'!X:X),"-")</f>
        <v>-</v>
      </c>
      <c r="AF47" s="91" t="str">
        <f>IFERROR(SUMIF('6店辅助表'!AC:AC,B:B,'6店辅助表'!AF:AF)/SUMIF('6店辅助表'!AC:AC,B:B,'6店辅助表'!AG:AG),"-")</f>
        <v>-</v>
      </c>
      <c r="AG47" s="99">
        <f>IFERROR(AK47/((SUMIF('6店辅助表'!AT:AT,B:B,'6店辅助表'!AU:AU)+M47)/2),"-")</f>
        <v>0</v>
      </c>
      <c r="AH47" s="99">
        <f>IFERROR(AL47/((SUMIF('6店辅助表'!AW:AW,B:B,'6店辅助表'!AX:AX)+M47)/2),"-")</f>
        <v>0</v>
      </c>
      <c r="AI47" s="100" t="str">
        <f>IFERROR((SUMIF('6店辅助表'!AP:AP,B:B,'6店辅助表'!AR:AR)-SUMIF('6店辅助表'!AP:AP,B:B,'6店辅助表'!AR:AR)*0.15-(L47+IFERROR(VLOOKUP(B:B,'6店辅助表'!AZ:BA,2,0),0))*O47-IF(AN:AN="US",6.85,4.9)*(Z47+4.03*O47))/SUMIF('6店辅助表'!AP:AP,B:B,'6店辅助表'!AR:AR),"-")</f>
        <v>-</v>
      </c>
      <c r="AJ47" s="100" t="str">
        <f t="shared" si="30"/>
        <v>-</v>
      </c>
      <c r="AK47" s="101">
        <f t="shared" si="31"/>
        <v>0</v>
      </c>
      <c r="AL47" s="101">
        <f t="shared" si="32"/>
        <v>0</v>
      </c>
      <c r="AM47" s="1" t="str">
        <f>VLOOKUP(B:B,'6店辅助表'!AZ:AZ,1,FALSE)</f>
        <v>Y6072-3</v>
      </c>
      <c r="AN47" t="str">
        <f>VLOOKUP(B:B,'6店辅助表'!AZ:BB,3,FALSE)</f>
        <v>US</v>
      </c>
    </row>
    <row r="48" customHeight="1" spans="1:40">
      <c r="A48" s="58" t="str">
        <f>INDEX('[1]6店'!$A:$A,MATCH(B:B,'[1]6店'!$B:$B,0))</f>
        <v>美珠</v>
      </c>
      <c r="B48" s="116" t="s">
        <v>2003</v>
      </c>
      <c r="C48" s="45" t="s">
        <v>2004</v>
      </c>
      <c r="D48" s="59">
        <f>VLOOKUP(B:B,'[1]6店'!$B:$L,3,0)</f>
        <v>45072</v>
      </c>
      <c r="E48" s="45" t="s">
        <v>2005</v>
      </c>
      <c r="F48" s="45">
        <v>3</v>
      </c>
      <c r="G48" s="45">
        <v>0</v>
      </c>
      <c r="H48" s="45">
        <v>0</v>
      </c>
      <c r="I48" s="45">
        <v>0</v>
      </c>
      <c r="J48" s="45">
        <v>0</v>
      </c>
      <c r="K48" s="63">
        <f t="shared" si="22"/>
        <v>3</v>
      </c>
      <c r="L48" s="124">
        <f>VLOOKUP($B:$B,'[1]6店'!$B:$L,11,0)</f>
        <v>12.2</v>
      </c>
      <c r="M48" s="44">
        <f t="shared" si="33"/>
        <v>36.6</v>
      </c>
      <c r="N48" s="65">
        <f>IFERROR(VLOOKUP(B:B,'6店辅助表'!B:C,2,FALSE),0)</f>
        <v>0</v>
      </c>
      <c r="O48" s="65">
        <f>IFERROR(VLOOKUP(B:B,'6店辅助表'!E:F,2,FALSE),0)</f>
        <v>0</v>
      </c>
      <c r="P48" s="65">
        <f>IFERROR(VLOOKUP(B:B,'6店辅助表'!H:I,2,FALSE),0)</f>
        <v>0</v>
      </c>
      <c r="Q48" s="65">
        <f>IFERROR(VLOOKUP(B:B,'[1]6店'!$B:$N,13,FALSE),0)</f>
        <v>0</v>
      </c>
      <c r="R48" s="79">
        <f t="shared" si="23"/>
        <v>0</v>
      </c>
      <c r="S48" s="80" t="str">
        <f t="shared" si="24"/>
        <v>-</v>
      </c>
      <c r="T48" s="44" t="str">
        <f t="shared" si="25"/>
        <v>-</v>
      </c>
      <c r="U48" s="44" t="str">
        <f>IFERROR(VLOOKUP(B:B,'[1]6店'!$B:$T,19,0),"-")</f>
        <v>-</v>
      </c>
      <c r="V48" s="81" t="str">
        <f t="shared" si="26"/>
        <v>-</v>
      </c>
      <c r="W48" s="82" t="str">
        <f t="shared" si="27"/>
        <v>有库存无销量</v>
      </c>
      <c r="X48" s="83" t="str">
        <f t="shared" si="28"/>
        <v>有库存无销量</v>
      </c>
      <c r="Y48" s="44">
        <f>IFERROR(SUMIF('6店辅助表'!K:K,B:B,'6店辅助表'!N:N),0)</f>
        <v>0</v>
      </c>
      <c r="Z48" s="44">
        <f>IFERROR(SUMIF('6店辅助表'!T:T,B:B,'6店辅助表'!W:W),0)</f>
        <v>0</v>
      </c>
      <c r="AA48" s="44">
        <f>IFERROR(SUMIF('6店辅助表'!AC:AC,B:B,'6店辅助表'!AF:AF),0)</f>
        <v>0</v>
      </c>
      <c r="AB48" s="91" t="str">
        <f>IFERROR(SUMIF('6店辅助表'!K:K,B:B,'6店辅助表'!N:N)/SUMIF('6店辅助表'!K:K,B:B,'6店辅助表'!O:O),"-")</f>
        <v>-</v>
      </c>
      <c r="AC48" s="91" t="str">
        <f>IFERROR(VLOOKUP(B:B,'[1]6店'!$B:$AB,27,FALSE),"-")</f>
        <v>-</v>
      </c>
      <c r="AD48" s="92" t="str">
        <f t="shared" si="29"/>
        <v>-</v>
      </c>
      <c r="AE48" s="91" t="str">
        <f>IFERROR(SUMIF('6店辅助表'!T:T,B:B,'6店辅助表'!W:W)/SUMIF('6店辅助表'!T:T,B:B,'6店辅助表'!X:X),"-")</f>
        <v>-</v>
      </c>
      <c r="AF48" s="91" t="str">
        <f>IFERROR(SUMIF('6店辅助表'!AC:AC,B:B,'6店辅助表'!AF:AF)/SUMIF('6店辅助表'!AC:AC,B:B,'6店辅助表'!AG:AG),"-")</f>
        <v>-</v>
      </c>
      <c r="AG48" s="99">
        <f>IFERROR(AK48/((SUMIF('6店辅助表'!AT:AT,B:B,'6店辅助表'!AU:AU)+M48)/2),"-")</f>
        <v>0</v>
      </c>
      <c r="AH48" s="99">
        <f>IFERROR(AL48/((SUMIF('6店辅助表'!AW:AW,B:B,'6店辅助表'!AX:AX)+M48)/2),"-")</f>
        <v>0</v>
      </c>
      <c r="AI48" s="100" t="str">
        <f>IFERROR((SUMIF('6店辅助表'!AP:AP,B:B,'6店辅助表'!AR:AR)-SUMIF('6店辅助表'!AP:AP,B:B,'6店辅助表'!AR:AR)*0.15-(L48+IFERROR(VLOOKUP(B:B,'6店辅助表'!AZ:BA,2,0),0))*O48-IF(AN:AN="US",6.85,4.9)*(Z48+4.03*O48))/SUMIF('6店辅助表'!AP:AP,B:B,'6店辅助表'!AR:AR),"-")</f>
        <v>-</v>
      </c>
      <c r="AJ48" s="100" t="str">
        <f t="shared" si="30"/>
        <v>-</v>
      </c>
      <c r="AK48" s="101">
        <f t="shared" si="31"/>
        <v>0</v>
      </c>
      <c r="AL48" s="101">
        <f t="shared" si="32"/>
        <v>0</v>
      </c>
      <c r="AM48" s="1" t="str">
        <f>VLOOKUP(B:B,'6店辅助表'!AZ:AZ,1,FALSE)</f>
        <v>Y6073</v>
      </c>
      <c r="AN48" t="str">
        <f>VLOOKUP(B:B,'6店辅助表'!AZ:BB,3,FALSE)</f>
        <v>US</v>
      </c>
    </row>
    <row r="49" customHeight="1" spans="1:40">
      <c r="A49" s="58" t="str">
        <f>INDEX('[1]6店'!$A:$A,MATCH(B:B,'[1]6店'!$B:$B,0))</f>
        <v>美珠</v>
      </c>
      <c r="B49" s="116" t="s">
        <v>2006</v>
      </c>
      <c r="C49" s="45" t="s">
        <v>2007</v>
      </c>
      <c r="D49" s="59">
        <f>VLOOKUP(B:B,'[1]6店'!$B:$L,3,0)</f>
        <v>45072</v>
      </c>
      <c r="E49" s="45" t="s">
        <v>2008</v>
      </c>
      <c r="F49" s="45">
        <v>1</v>
      </c>
      <c r="G49" s="45">
        <v>0</v>
      </c>
      <c r="H49" s="45">
        <v>0</v>
      </c>
      <c r="I49" s="45">
        <v>0</v>
      </c>
      <c r="J49" s="45">
        <v>0</v>
      </c>
      <c r="K49" s="63">
        <f t="shared" si="22"/>
        <v>1</v>
      </c>
      <c r="L49" s="124">
        <f>VLOOKUP($B:$B,'[1]6店'!$B:$L,11,0)</f>
        <v>8.64</v>
      </c>
      <c r="M49" s="44">
        <f t="shared" si="33"/>
        <v>8.64</v>
      </c>
      <c r="N49" s="65">
        <f>IFERROR(VLOOKUP(B:B,'6店辅助表'!B:C,2,FALSE),0)</f>
        <v>0</v>
      </c>
      <c r="O49" s="65">
        <f>IFERROR(VLOOKUP(B:B,'6店辅助表'!E:F,2,FALSE),0)</f>
        <v>2</v>
      </c>
      <c r="P49" s="65">
        <f>IFERROR(VLOOKUP(B:B,'6店辅助表'!H:I,2,FALSE),0)</f>
        <v>3</v>
      </c>
      <c r="Q49" s="65">
        <f>IFERROR(VLOOKUP(B:B,'[1]6店'!$B:$N,13,FALSE),0)</f>
        <v>2</v>
      </c>
      <c r="R49" s="79">
        <f t="shared" si="23"/>
        <v>-2</v>
      </c>
      <c r="S49" s="80">
        <f t="shared" si="24"/>
        <v>12.8571428571429</v>
      </c>
      <c r="T49" s="44">
        <f t="shared" si="25"/>
        <v>0.428571428571429</v>
      </c>
      <c r="U49" s="44">
        <f>IFERROR(VLOOKUP(B:B,'[1]6店'!$B:$T,19,0),"-")</f>
        <v>0.161538461538462</v>
      </c>
      <c r="V49" s="81">
        <f t="shared" si="26"/>
        <v>0.267032967032967</v>
      </c>
      <c r="W49" s="82" t="str">
        <f t="shared" si="27"/>
        <v>有库存无销量</v>
      </c>
      <c r="X49" s="83" t="str">
        <f t="shared" si="28"/>
        <v>库存过低</v>
      </c>
      <c r="Y49" s="44">
        <f>IFERROR(SUMIF('6店辅助表'!K:K,B:B,'6店辅助表'!N:N),0)</f>
        <v>0</v>
      </c>
      <c r="Z49" s="44">
        <f>IFERROR(SUMIF('6店辅助表'!T:T,B:B,'6店辅助表'!W:W),0)</f>
        <v>0</v>
      </c>
      <c r="AA49" s="44">
        <f>IFERROR(SUMIF('6店辅助表'!AC:AC,B:B,'6店辅助表'!AF:AF),0)</f>
        <v>0</v>
      </c>
      <c r="AB49" s="91" t="str">
        <f>IFERROR(SUMIF('6店辅助表'!K:K,B:B,'6店辅助表'!N:N)/SUMIF('6店辅助表'!K:K,B:B,'6店辅助表'!O:O),"-")</f>
        <v>-</v>
      </c>
      <c r="AC49" s="91" t="str">
        <f>IFERROR(VLOOKUP(B:B,'[1]6店'!$B:$AB,27,FALSE),"-")</f>
        <v>-</v>
      </c>
      <c r="AD49" s="92" t="str">
        <f t="shared" si="29"/>
        <v>-</v>
      </c>
      <c r="AE49" s="91" t="str">
        <f>IFERROR(SUMIF('6店辅助表'!T:T,B:B,'6店辅助表'!W:W)/SUMIF('6店辅助表'!T:T,B:B,'6店辅助表'!X:X),"-")</f>
        <v>-</v>
      </c>
      <c r="AF49" s="91" t="str">
        <f>IFERROR(SUMIF('6店辅助表'!AC:AC,B:B,'6店辅助表'!AF:AF)/SUMIF('6店辅助表'!AC:AC,B:B,'6店辅助表'!AG:AG),"-")</f>
        <v>-</v>
      </c>
      <c r="AG49" s="99">
        <f>IFERROR(AK49/((SUMIF('6店辅助表'!AT:AT,B:B,'6店辅助表'!AU:AU)+M49)/2),"-")</f>
        <v>0</v>
      </c>
      <c r="AH49" s="99">
        <f>IFERROR(AL49/((SUMIF('6店辅助表'!AW:AW,B:B,'6店辅助表'!AX:AX)+M49)/2),"-")</f>
        <v>0.8</v>
      </c>
      <c r="AI49" s="100">
        <f>IFERROR((SUMIF('6店辅助表'!AP:AP,B:B,'6店辅助表'!AR:AR)-SUMIF('6店辅助表'!AP:AP,B:B,'6店辅助表'!AR:AR)*0.15-(L49+IFERROR(VLOOKUP(B:B,'6店辅助表'!AZ:BA,2,0),0))*O49-IF(AN:AN="US",6.85,4.9)*(Z49+4.03*O49))/SUMIF('6店辅助表'!AP:AP,B:B,'6店辅助表'!AR:AR),"-")</f>
        <v>0.246060505184187</v>
      </c>
      <c r="AJ49" s="100">
        <f t="shared" si="30"/>
        <v>0.196848404147349</v>
      </c>
      <c r="AK49" s="101">
        <f t="shared" si="31"/>
        <v>0</v>
      </c>
      <c r="AL49" s="101">
        <f t="shared" si="32"/>
        <v>17.28</v>
      </c>
      <c r="AM49" s="1" t="str">
        <f>VLOOKUP(B:B,'6店辅助表'!AZ:AZ,1,FALSE)</f>
        <v>Y6074-BL-1</v>
      </c>
      <c r="AN49" t="str">
        <f>VLOOKUP(B:B,'6店辅助表'!AZ:BB,3,FALSE)</f>
        <v>US</v>
      </c>
    </row>
    <row r="50" customHeight="1" spans="1:40">
      <c r="A50" s="58" t="str">
        <f>INDEX('[1]6店'!$A:$A,MATCH(B:B,'[1]6店'!$B:$B,0))</f>
        <v>美珠</v>
      </c>
      <c r="B50" s="116" t="s">
        <v>2009</v>
      </c>
      <c r="C50" s="45" t="s">
        <v>2010</v>
      </c>
      <c r="D50" s="59">
        <f>VLOOKUP(B:B,'[1]6店'!$B:$L,3,0)</f>
        <v>45072</v>
      </c>
      <c r="E50" s="45" t="s">
        <v>2011</v>
      </c>
      <c r="F50" s="45">
        <v>17</v>
      </c>
      <c r="G50" s="45">
        <v>0</v>
      </c>
      <c r="H50" s="45">
        <v>0</v>
      </c>
      <c r="I50" s="45">
        <v>0</v>
      </c>
      <c r="J50" s="45">
        <v>0</v>
      </c>
      <c r="K50" s="63">
        <f t="shared" si="22"/>
        <v>17</v>
      </c>
      <c r="L50" s="124">
        <f>VLOOKUP($B:$B,'[1]6店'!$B:$L,11,0)</f>
        <v>17.28</v>
      </c>
      <c r="M50" s="44">
        <f t="shared" si="33"/>
        <v>293.76</v>
      </c>
      <c r="N50" s="65">
        <f>IFERROR(VLOOKUP(B:B,'6店辅助表'!B:C,2,FALSE),0)</f>
        <v>1</v>
      </c>
      <c r="O50" s="65">
        <f>IFERROR(VLOOKUP(B:B,'6店辅助表'!E:F,2,FALSE),0)</f>
        <v>5</v>
      </c>
      <c r="P50" s="65">
        <f>IFERROR(VLOOKUP(B:B,'6店辅助表'!H:I,2,FALSE),0)</f>
        <v>10</v>
      </c>
      <c r="Q50" s="65">
        <f>IFERROR(VLOOKUP(B:B,'[1]6店'!$B:$N,13,FALSE),0)</f>
        <v>4</v>
      </c>
      <c r="R50" s="79">
        <f t="shared" si="23"/>
        <v>-3</v>
      </c>
      <c r="S50" s="80">
        <f t="shared" si="24"/>
        <v>63</v>
      </c>
      <c r="T50" s="44">
        <f t="shared" si="25"/>
        <v>2.1</v>
      </c>
      <c r="U50" s="44">
        <f>IFERROR(VLOOKUP(B:B,'[1]6店'!$B:$T,19,0),"-")</f>
        <v>1.45620437956204</v>
      </c>
      <c r="V50" s="81">
        <f t="shared" si="26"/>
        <v>0.64379562043796</v>
      </c>
      <c r="W50" s="82" t="str">
        <f t="shared" si="27"/>
        <v>库存过高</v>
      </c>
      <c r="X50" s="83" t="str">
        <f t="shared" si="28"/>
        <v>库存过高</v>
      </c>
      <c r="Y50" s="44">
        <f>IFERROR(SUMIF('6店辅助表'!K:K,B:B,'6店辅助表'!N:N),0)</f>
        <v>10.41</v>
      </c>
      <c r="Z50" s="44">
        <f>IFERROR(SUMIF('6店辅助表'!T:T,B:B,'6店辅助表'!W:W),0)</f>
        <v>19.47</v>
      </c>
      <c r="AA50" s="44">
        <f>IFERROR(SUMIF('6店辅助表'!AC:AC,B:B,'6店辅助表'!AF:AF),0)</f>
        <v>39.76</v>
      </c>
      <c r="AB50" s="91">
        <f>IFERROR(SUMIF('6店辅助表'!K:K,B:B,'6店辅助表'!N:N)/SUMIF('6店辅助表'!K:K,B:B,'6店辅助表'!O:O),"-")</f>
        <v>0.868223519599666</v>
      </c>
      <c r="AC50" s="91">
        <f>IFERROR(VLOOKUP(B:B,'[1]6店'!$B:$AB,27,FALSE),"-")</f>
        <v>0.136084284460053</v>
      </c>
      <c r="AD50" s="92">
        <f t="shared" si="29"/>
        <v>0.732139235139613</v>
      </c>
      <c r="AE50" s="91">
        <f>IFERROR(SUMIF('6店辅助表'!T:T,B:B,'6店辅助表'!W:W)/SUMIF('6店辅助表'!T:T,B:B,'6店辅助表'!X:X),"-")</f>
        <v>0.282419495213229</v>
      </c>
      <c r="AF50" s="91">
        <f>IFERROR(SUMIF('6店辅助表'!AC:AC,B:B,'6店辅助表'!AF:AF)/SUMIF('6店辅助表'!AC:AC,B:B,'6店辅助表'!AG:AG),"-")</f>
        <v>0.401981599433829</v>
      </c>
      <c r="AG50" s="99">
        <f>IFERROR(AK50/((SUMIF('6店辅助表'!AT:AT,B:B,'6店辅助表'!AU:AU)+M50)/2),"-")</f>
        <v>0.0555555555555556</v>
      </c>
      <c r="AH50" s="99">
        <f>IFERROR(AL50/((SUMIF('6店辅助表'!AW:AW,B:B,'6店辅助表'!AX:AX)+M50)/2),"-")</f>
        <v>0.344827586206897</v>
      </c>
      <c r="AI50" s="100">
        <f>IFERROR((SUMIF('6店辅助表'!AP:AP,B:B,'6店辅助表'!AR:AR)-SUMIF('6店辅助表'!AP:AP,B:B,'6店辅助表'!AR:AR)*0.15-(L50+IFERROR(VLOOKUP(B:B,'6店辅助表'!AZ:BA,2,0),0))*O50-IF(AN:AN="US",6.85,4.9)*(Z50+4.03*O50))/SUMIF('6店辅助表'!AP:AP,B:B,'6店辅助表'!AR:AR),"-")</f>
        <v>-0.0458852571790359</v>
      </c>
      <c r="AJ50" s="100">
        <f t="shared" si="30"/>
        <v>-0.0158225024755296</v>
      </c>
      <c r="AK50" s="101">
        <f t="shared" si="31"/>
        <v>17.28</v>
      </c>
      <c r="AL50" s="101">
        <f t="shared" si="32"/>
        <v>86.4</v>
      </c>
      <c r="AM50" s="1" t="str">
        <f>VLOOKUP(B:B,'6店辅助表'!AZ:AZ,1,FALSE)</f>
        <v>Y6074-BL-2</v>
      </c>
      <c r="AN50" t="str">
        <f>VLOOKUP(B:B,'6店辅助表'!AZ:BB,3,FALSE)</f>
        <v>US</v>
      </c>
    </row>
    <row r="51" customHeight="1" spans="1:40">
      <c r="A51" s="58" t="str">
        <f>INDEX('[1]6店'!$A:$A,MATCH(B:B,'[1]6店'!$B:$B,0))</f>
        <v>美珠</v>
      </c>
      <c r="B51" s="116" t="s">
        <v>2012</v>
      </c>
      <c r="C51" s="45" t="s">
        <v>2007</v>
      </c>
      <c r="D51" s="59">
        <f>VLOOKUP(B:B,'[1]6店'!$B:$L,3,0)</f>
        <v>45072</v>
      </c>
      <c r="E51" s="45" t="s">
        <v>2013</v>
      </c>
      <c r="F51" s="45">
        <v>9</v>
      </c>
      <c r="G51" s="45">
        <v>0</v>
      </c>
      <c r="H51" s="45">
        <v>10</v>
      </c>
      <c r="I51" s="45">
        <v>0</v>
      </c>
      <c r="J51" s="45">
        <v>0</v>
      </c>
      <c r="K51" s="63">
        <f t="shared" si="22"/>
        <v>19</v>
      </c>
      <c r="L51" s="124">
        <f>VLOOKUP($B:$B,'[1]6店'!$B:$L,11,0)</f>
        <v>8.64</v>
      </c>
      <c r="M51" s="44">
        <f t="shared" si="33"/>
        <v>164.16</v>
      </c>
      <c r="N51" s="65">
        <f>IFERROR(VLOOKUP(B:B,'6店辅助表'!B:C,2,FALSE),0)</f>
        <v>1</v>
      </c>
      <c r="O51" s="65">
        <f>IFERROR(VLOOKUP(B:B,'6店辅助表'!E:F,2,FALSE),0)</f>
        <v>1</v>
      </c>
      <c r="P51" s="65">
        <f>IFERROR(VLOOKUP(B:B,'6店辅助表'!H:I,2,FALSE),0)</f>
        <v>3</v>
      </c>
      <c r="Q51" s="65">
        <f>IFERROR(VLOOKUP(B:B,'[1]6店'!$B:$N,13,FALSE),0)</f>
        <v>0</v>
      </c>
      <c r="R51" s="79">
        <f t="shared" si="23"/>
        <v>1</v>
      </c>
      <c r="S51" s="80">
        <f t="shared" si="24"/>
        <v>184.153846153846</v>
      </c>
      <c r="T51" s="44">
        <f t="shared" si="25"/>
        <v>6.13846153846154</v>
      </c>
      <c r="U51" s="44">
        <f>IFERROR(VLOOKUP(B:B,'[1]6店'!$B:$T,19,0),"-")</f>
        <v>10</v>
      </c>
      <c r="V51" s="81">
        <f t="shared" si="26"/>
        <v>-3.86153846153846</v>
      </c>
      <c r="W51" s="82" t="str">
        <f t="shared" si="27"/>
        <v>库存过高</v>
      </c>
      <c r="X51" s="83" t="str">
        <f t="shared" si="28"/>
        <v>库存过高</v>
      </c>
      <c r="Y51" s="44">
        <f>IFERROR(SUMIF('6店辅助表'!K:K,B:B,'6店辅助表'!N:N),0)</f>
        <v>0</v>
      </c>
      <c r="Z51" s="44">
        <f>IFERROR(SUMIF('6店辅助表'!T:T,B:B,'6店辅助表'!W:W),0)</f>
        <v>0</v>
      </c>
      <c r="AA51" s="44">
        <f>IFERROR(SUMIF('6店辅助表'!AC:AC,B:B,'6店辅助表'!AF:AF),0)</f>
        <v>0</v>
      </c>
      <c r="AB51" s="91" t="str">
        <f>IFERROR(SUMIF('6店辅助表'!K:K,B:B,'6店辅助表'!N:N)/SUMIF('6店辅助表'!K:K,B:B,'6店辅助表'!O:O),"-")</f>
        <v>-</v>
      </c>
      <c r="AC51" s="91" t="str">
        <f>IFERROR(VLOOKUP(B:B,'[1]6店'!$B:$AB,27,FALSE),"-")</f>
        <v>-</v>
      </c>
      <c r="AD51" s="92" t="str">
        <f t="shared" si="29"/>
        <v>-</v>
      </c>
      <c r="AE51" s="91" t="str">
        <f>IFERROR(SUMIF('6店辅助表'!T:T,B:B,'6店辅助表'!W:W)/SUMIF('6店辅助表'!T:T,B:B,'6店辅助表'!X:X),"-")</f>
        <v>-</v>
      </c>
      <c r="AF51" s="91" t="str">
        <f>IFERROR(SUMIF('6店辅助表'!AC:AC,B:B,'6店辅助表'!AF:AF)/SUMIF('6店辅助表'!AC:AC,B:B,'6店辅助表'!AG:AG),"-")</f>
        <v>-</v>
      </c>
      <c r="AG51" s="99">
        <f>IFERROR(AK51/((SUMIF('6店辅助表'!AT:AT,B:B,'6店辅助表'!AU:AU)+M51)/2),"-")</f>
        <v>0.0689655172413793</v>
      </c>
      <c r="AH51" s="99">
        <f>IFERROR(AL51/((SUMIF('6店辅助表'!AW:AW,B:B,'6店辅助表'!AX:AX)+M51)/2),"-")</f>
        <v>0.0645161290322581</v>
      </c>
      <c r="AI51" s="100">
        <f>IFERROR((SUMIF('6店辅助表'!AP:AP,B:B,'6店辅助表'!AR:AR)-SUMIF('6店辅助表'!AP:AP,B:B,'6店辅助表'!AR:AR)*0.15-(L51+IFERROR(VLOOKUP(B:B,'6店辅助表'!AZ:BA,2,0),0))*O51-IF(AN:AN="US",6.85,4.9)*(Z51+4.03*O51))/SUMIF('6店辅助表'!AP:AP,B:B,'6店辅助表'!AR:AR),"-")</f>
        <v>0.246157937042781</v>
      </c>
      <c r="AJ51" s="100">
        <f t="shared" si="30"/>
        <v>0.0158811572285665</v>
      </c>
      <c r="AK51" s="101">
        <f t="shared" si="31"/>
        <v>8.64</v>
      </c>
      <c r="AL51" s="101">
        <f t="shared" si="32"/>
        <v>8.64</v>
      </c>
      <c r="AM51" s="1" t="str">
        <f>VLOOKUP(B:B,'6店辅助表'!AZ:AZ,1,FALSE)</f>
        <v>Y6074-GA-1</v>
      </c>
      <c r="AN51" t="str">
        <f>VLOOKUP(B:B,'6店辅助表'!AZ:BB,3,FALSE)</f>
        <v>US</v>
      </c>
    </row>
    <row r="52" customHeight="1" spans="1:40">
      <c r="A52" s="58" t="str">
        <f>INDEX('[1]6店'!$A:$A,MATCH(B:B,'[1]6店'!$B:$B,0))</f>
        <v>美珠</v>
      </c>
      <c r="B52" s="116" t="s">
        <v>2014</v>
      </c>
      <c r="C52" s="45" t="s">
        <v>2010</v>
      </c>
      <c r="D52" s="59">
        <f>VLOOKUP(B:B,'[1]6店'!$B:$L,3,0)</f>
        <v>45072</v>
      </c>
      <c r="E52" s="45" t="s">
        <v>2015</v>
      </c>
      <c r="F52" s="45">
        <v>7</v>
      </c>
      <c r="G52" s="45">
        <v>0</v>
      </c>
      <c r="H52" s="45">
        <v>0</v>
      </c>
      <c r="I52" s="45">
        <v>0</v>
      </c>
      <c r="J52" s="45">
        <v>0</v>
      </c>
      <c r="K52" s="63">
        <f t="shared" si="22"/>
        <v>7</v>
      </c>
      <c r="L52" s="124">
        <f>VLOOKUP($B:$B,'[1]6店'!$B:$L,11,0)</f>
        <v>17.28</v>
      </c>
      <c r="M52" s="44">
        <f t="shared" si="33"/>
        <v>120.96</v>
      </c>
      <c r="N52" s="65">
        <f>IFERROR(VLOOKUP(B:B,'6店辅助表'!B:C,2,FALSE),0)</f>
        <v>0</v>
      </c>
      <c r="O52" s="65">
        <f>IFERROR(VLOOKUP(B:B,'6店辅助表'!E:F,2,FALSE),0)</f>
        <v>0</v>
      </c>
      <c r="P52" s="65">
        <f>IFERROR(VLOOKUP(B:B,'6店辅助表'!H:I,2,FALSE),0)</f>
        <v>0</v>
      </c>
      <c r="Q52" s="65">
        <f>IFERROR(VLOOKUP(B:B,'[1]6店'!$B:$N,13,FALSE),0)</f>
        <v>0</v>
      </c>
      <c r="R52" s="79">
        <f t="shared" si="23"/>
        <v>0</v>
      </c>
      <c r="S52" s="80" t="str">
        <f t="shared" si="24"/>
        <v>-</v>
      </c>
      <c r="T52" s="44" t="str">
        <f t="shared" si="25"/>
        <v>-</v>
      </c>
      <c r="U52" s="44" t="str">
        <f>IFERROR(VLOOKUP(B:B,'[1]6店'!$B:$T,19,0),"-")</f>
        <v>-</v>
      </c>
      <c r="V52" s="81" t="str">
        <f t="shared" si="26"/>
        <v>-</v>
      </c>
      <c r="W52" s="82" t="str">
        <f t="shared" si="27"/>
        <v>有库存无销量</v>
      </c>
      <c r="X52" s="83" t="str">
        <f t="shared" si="28"/>
        <v>有库存无销量</v>
      </c>
      <c r="Y52" s="44">
        <f>IFERROR(SUMIF('6店辅助表'!K:K,B:B,'6店辅助表'!N:N),0)</f>
        <v>0</v>
      </c>
      <c r="Z52" s="44">
        <f>IFERROR(SUMIF('6店辅助表'!T:T,B:B,'6店辅助表'!W:W),0)</f>
        <v>0</v>
      </c>
      <c r="AA52" s="44">
        <f>IFERROR(SUMIF('6店辅助表'!AC:AC,B:B,'6店辅助表'!AF:AF),0)</f>
        <v>0</v>
      </c>
      <c r="AB52" s="91" t="str">
        <f>IFERROR(SUMIF('6店辅助表'!K:K,B:B,'6店辅助表'!N:N)/SUMIF('6店辅助表'!K:K,B:B,'6店辅助表'!O:O),"-")</f>
        <v>-</v>
      </c>
      <c r="AC52" s="91" t="str">
        <f>IFERROR(VLOOKUP(B:B,'[1]6店'!$B:$AB,27,FALSE),"-")</f>
        <v>-</v>
      </c>
      <c r="AD52" s="92" t="str">
        <f t="shared" si="29"/>
        <v>-</v>
      </c>
      <c r="AE52" s="91" t="str">
        <f>IFERROR(SUMIF('6店辅助表'!T:T,B:B,'6店辅助表'!W:W)/SUMIF('6店辅助表'!T:T,B:B,'6店辅助表'!X:X),"-")</f>
        <v>-</v>
      </c>
      <c r="AF52" s="91" t="str">
        <f>IFERROR(SUMIF('6店辅助表'!AC:AC,B:B,'6店辅助表'!AF:AF)/SUMIF('6店辅助表'!AC:AC,B:B,'6店辅助表'!AG:AG),"-")</f>
        <v>-</v>
      </c>
      <c r="AG52" s="99">
        <f>IFERROR(AK52/((SUMIF('6店辅助表'!AT:AT,B:B,'6店辅助表'!AU:AU)+M52)/2),"-")</f>
        <v>0</v>
      </c>
      <c r="AH52" s="99">
        <f>IFERROR(AL52/((SUMIF('6店辅助表'!AW:AW,B:B,'6店辅助表'!AX:AX)+M52)/2),"-")</f>
        <v>0</v>
      </c>
      <c r="AI52" s="100" t="str">
        <f>IFERROR((SUMIF('6店辅助表'!AP:AP,B:B,'6店辅助表'!AR:AR)-SUMIF('6店辅助表'!AP:AP,B:B,'6店辅助表'!AR:AR)*0.15-(L52+IFERROR(VLOOKUP(B:B,'6店辅助表'!AZ:BA,2,0),0))*O52-IF(AN:AN="US",6.85,4.9)*(Z52+4.03*O52))/SUMIF('6店辅助表'!AP:AP,B:B,'6店辅助表'!AR:AR),"-")</f>
        <v>-</v>
      </c>
      <c r="AJ52" s="100" t="str">
        <f t="shared" si="30"/>
        <v>-</v>
      </c>
      <c r="AK52" s="101">
        <f t="shared" si="31"/>
        <v>0</v>
      </c>
      <c r="AL52" s="101">
        <f t="shared" si="32"/>
        <v>0</v>
      </c>
      <c r="AM52" s="1" t="str">
        <f>VLOOKUP(B:B,'6店辅助表'!AZ:AZ,1,FALSE)</f>
        <v>Y6074-GA-2</v>
      </c>
      <c r="AN52" t="str">
        <f>VLOOKUP(B:B,'6店辅助表'!AZ:BB,3,FALSE)</f>
        <v>US</v>
      </c>
    </row>
    <row r="53" customHeight="1" spans="1:40">
      <c r="A53" s="58" t="str">
        <f>INDEX('[1]6店'!$A:$A,MATCH(B:B,'[1]6店'!$B:$B,0))</f>
        <v>美珠</v>
      </c>
      <c r="B53" s="116" t="s">
        <v>2016</v>
      </c>
      <c r="C53" s="45" t="s">
        <v>2017</v>
      </c>
      <c r="D53" s="59">
        <f>VLOOKUP(B:B,'[1]6店'!$B:$L,3,0)</f>
        <v>45133</v>
      </c>
      <c r="E53" s="45" t="s">
        <v>2018</v>
      </c>
      <c r="F53" s="45">
        <v>27</v>
      </c>
      <c r="G53" s="45">
        <v>0</v>
      </c>
      <c r="H53" s="45">
        <v>0</v>
      </c>
      <c r="I53" s="45">
        <v>0</v>
      </c>
      <c r="J53" s="45">
        <v>0</v>
      </c>
      <c r="K53" s="63">
        <f t="shared" si="22"/>
        <v>27</v>
      </c>
      <c r="L53" s="124">
        <f>VLOOKUP($B:$B,'[1]6店'!$B:$L,11,0)</f>
        <v>27.307</v>
      </c>
      <c r="M53" s="44">
        <f t="shared" si="33"/>
        <v>737.289</v>
      </c>
      <c r="N53" s="65">
        <f>IFERROR(VLOOKUP(B:B,'6店辅助表'!B:C,2,FALSE),0)</f>
        <v>0</v>
      </c>
      <c r="O53" s="65">
        <f>IFERROR(VLOOKUP(B:B,'6店辅助表'!E:F,2,FALSE),0)</f>
        <v>1</v>
      </c>
      <c r="P53" s="65">
        <f>IFERROR(VLOOKUP(B:B,'6店辅助表'!H:I,2,FALSE),0)</f>
        <v>2</v>
      </c>
      <c r="Q53" s="65">
        <f>IFERROR(VLOOKUP(B:B,'[1]6店'!$B:$N,13,FALSE),0)</f>
        <v>1</v>
      </c>
      <c r="R53" s="79">
        <f t="shared" si="23"/>
        <v>-1</v>
      </c>
      <c r="S53" s="80">
        <f t="shared" si="24"/>
        <v>607.5</v>
      </c>
      <c r="T53" s="44">
        <f t="shared" si="25"/>
        <v>20.25</v>
      </c>
      <c r="U53" s="44">
        <f>IFERROR(VLOOKUP(B:B,'[1]6店'!$B:$T,19,0),"-")</f>
        <v>8.72307692307692</v>
      </c>
      <c r="V53" s="81">
        <f t="shared" si="26"/>
        <v>11.5269230769231</v>
      </c>
      <c r="W53" s="82" t="str">
        <f t="shared" si="27"/>
        <v>有库存无销量</v>
      </c>
      <c r="X53" s="83" t="str">
        <f t="shared" si="28"/>
        <v>库存过高</v>
      </c>
      <c r="Y53" s="44">
        <f>IFERROR(SUMIF('6店辅助表'!K:K,B:B,'6店辅助表'!N:N),0)</f>
        <v>0</v>
      </c>
      <c r="Z53" s="44">
        <f>IFERROR(SUMIF('6店辅助表'!T:T,B:B,'6店辅助表'!W:W),0)</f>
        <v>0</v>
      </c>
      <c r="AA53" s="44">
        <f>IFERROR(SUMIF('6店辅助表'!AC:AC,B:B,'6店辅助表'!AF:AF),0)</f>
        <v>0</v>
      </c>
      <c r="AB53" s="91" t="str">
        <f>IFERROR(SUMIF('6店辅助表'!K:K,B:B,'6店辅助表'!N:N)/SUMIF('6店辅助表'!K:K,B:B,'6店辅助表'!O:O),"-")</f>
        <v>-</v>
      </c>
      <c r="AC53" s="91" t="str">
        <f>IFERROR(VLOOKUP(B:B,'[1]6店'!$B:$AB,27,FALSE),"-")</f>
        <v>-</v>
      </c>
      <c r="AD53" s="92" t="str">
        <f t="shared" si="29"/>
        <v>-</v>
      </c>
      <c r="AE53" s="91" t="str">
        <f>IFERROR(SUMIF('6店辅助表'!T:T,B:B,'6店辅助表'!W:W)/SUMIF('6店辅助表'!T:T,B:B,'6店辅助表'!X:X),"-")</f>
        <v>-</v>
      </c>
      <c r="AF53" s="91" t="str">
        <f>IFERROR(SUMIF('6店辅助表'!AC:AC,B:B,'6店辅助表'!AF:AF)/SUMIF('6店辅助表'!AC:AC,B:B,'6店辅助表'!AG:AG),"-")</f>
        <v>-</v>
      </c>
      <c r="AG53" s="99">
        <f>IFERROR(AK53/((SUMIF('6店辅助表'!AT:AT,B:B,'6店辅助表'!AU:AU)+M53)/2),"-")</f>
        <v>0</v>
      </c>
      <c r="AH53" s="99">
        <f>IFERROR(AL53/((SUMIF('6店辅助表'!AW:AW,B:B,'6店辅助表'!AX:AX)+M53)/2),"-")</f>
        <v>0.0357142857142857</v>
      </c>
      <c r="AI53" s="100">
        <f>IFERROR((SUMIF('6店辅助表'!AP:AP,B:B,'6店辅助表'!AR:AR)-SUMIF('6店辅助表'!AP:AP,B:B,'6店辅助表'!AR:AR)*0.15-(L53+IFERROR(VLOOKUP(B:B,'6店辅助表'!AZ:BA,2,0),0))*O53-IF(AN:AN="US",6.85,4.9)*(Z53+4.03*O53))/SUMIF('6店辅助表'!AP:AP,B:B,'6店辅助表'!AR:AR),"-")</f>
        <v>0.583765073921542</v>
      </c>
      <c r="AJ53" s="100">
        <f t="shared" si="30"/>
        <v>0.0208487526400551</v>
      </c>
      <c r="AK53" s="101">
        <f t="shared" si="31"/>
        <v>0</v>
      </c>
      <c r="AL53" s="101">
        <f t="shared" si="32"/>
        <v>27.307</v>
      </c>
      <c r="AM53" s="1" t="str">
        <f>VLOOKUP(B:B,'6店辅助表'!AZ:AZ,1,FALSE)</f>
        <v>Y6601-BL-1</v>
      </c>
      <c r="AN53" t="str">
        <f>VLOOKUP(B:B,'6店辅助表'!AZ:BB,3,FALSE)</f>
        <v>CA</v>
      </c>
    </row>
    <row r="54" customHeight="1" spans="1:40">
      <c r="A54" s="58" t="str">
        <f>INDEX('[1]6店'!$A:$A,MATCH(B:B,'[1]6店'!$B:$B,0))</f>
        <v>美珠</v>
      </c>
      <c r="B54" s="116" t="s">
        <v>2019</v>
      </c>
      <c r="C54" s="45" t="s">
        <v>2020</v>
      </c>
      <c r="D54" s="59">
        <f>VLOOKUP(B:B,'[1]6店'!$B:$L,3,0)</f>
        <v>45133</v>
      </c>
      <c r="E54" s="45" t="s">
        <v>2021</v>
      </c>
      <c r="F54" s="45">
        <v>10</v>
      </c>
      <c r="G54" s="45">
        <v>0</v>
      </c>
      <c r="H54" s="45">
        <v>0</v>
      </c>
      <c r="I54" s="45">
        <v>0</v>
      </c>
      <c r="J54" s="45">
        <v>0</v>
      </c>
      <c r="K54" s="63">
        <f t="shared" si="22"/>
        <v>10</v>
      </c>
      <c r="L54" s="124">
        <f>VLOOKUP($B:$B,'[1]6店'!$B:$L,11,0)</f>
        <v>27.511</v>
      </c>
      <c r="M54" s="44">
        <f t="shared" si="33"/>
        <v>275.11</v>
      </c>
      <c r="N54" s="65">
        <f>IFERROR(VLOOKUP(B:B,'6店辅助表'!B:C,2,FALSE),0)</f>
        <v>1</v>
      </c>
      <c r="O54" s="65">
        <f>IFERROR(VLOOKUP(B:B,'6店辅助表'!E:F,2,FALSE),0)</f>
        <v>1</v>
      </c>
      <c r="P54" s="65">
        <f>IFERROR(VLOOKUP(B:B,'6店辅助表'!H:I,2,FALSE),0)</f>
        <v>3</v>
      </c>
      <c r="Q54" s="65">
        <f>IFERROR(VLOOKUP(B:B,'[1]6店'!$B:$N,13,FALSE),0)</f>
        <v>0</v>
      </c>
      <c r="R54" s="79">
        <f t="shared" si="23"/>
        <v>1</v>
      </c>
      <c r="S54" s="80">
        <f t="shared" si="24"/>
        <v>96.9230769230769</v>
      </c>
      <c r="T54" s="44">
        <f t="shared" si="25"/>
        <v>3.23076923076923</v>
      </c>
      <c r="U54" s="44">
        <f>IFERROR(VLOOKUP(B:B,'[1]6店'!$B:$T,19,0),"-")</f>
        <v>8.25</v>
      </c>
      <c r="V54" s="81">
        <f t="shared" si="26"/>
        <v>-5.01923076923077</v>
      </c>
      <c r="W54" s="82" t="str">
        <f t="shared" si="27"/>
        <v>库存过高</v>
      </c>
      <c r="X54" s="83" t="str">
        <f t="shared" si="28"/>
        <v>库存过高</v>
      </c>
      <c r="Y54" s="44">
        <f>IFERROR(SUMIF('6店辅助表'!K:K,B:B,'6店辅助表'!N:N),0)</f>
        <v>0</v>
      </c>
      <c r="Z54" s="44">
        <f>IFERROR(SUMIF('6店辅助表'!T:T,B:B,'6店辅助表'!W:W),0)</f>
        <v>0</v>
      </c>
      <c r="AA54" s="44">
        <f>IFERROR(SUMIF('6店辅助表'!AC:AC,B:B,'6店辅助表'!AF:AF),0)</f>
        <v>0</v>
      </c>
      <c r="AB54" s="91" t="str">
        <f>IFERROR(SUMIF('6店辅助表'!K:K,B:B,'6店辅助表'!N:N)/SUMIF('6店辅助表'!K:K,B:B,'6店辅助表'!O:O),"-")</f>
        <v>-</v>
      </c>
      <c r="AC54" s="91" t="str">
        <f>IFERROR(VLOOKUP(B:B,'[1]6店'!$B:$AB,27,FALSE),"-")</f>
        <v>-</v>
      </c>
      <c r="AD54" s="92" t="str">
        <f t="shared" si="29"/>
        <v>-</v>
      </c>
      <c r="AE54" s="91" t="str">
        <f>IFERROR(SUMIF('6店辅助表'!T:T,B:B,'6店辅助表'!W:W)/SUMIF('6店辅助表'!T:T,B:B,'6店辅助表'!X:X),"-")</f>
        <v>-</v>
      </c>
      <c r="AF54" s="91" t="str">
        <f>IFERROR(SUMIF('6店辅助表'!AC:AC,B:B,'6店辅助表'!AF:AF)/SUMIF('6店辅助表'!AC:AC,B:B,'6店辅助表'!AG:AG),"-")</f>
        <v>-</v>
      </c>
      <c r="AG54" s="99">
        <f>IFERROR(AK54/((SUMIF('6店辅助表'!AT:AT,B:B,'6店辅助表'!AU:AU)+M54)/2),"-")</f>
        <v>0.0952380952380952</v>
      </c>
      <c r="AH54" s="99">
        <f>IFERROR(AL54/((SUMIF('6店辅助表'!AW:AW,B:B,'6店辅助表'!AX:AX)+M54)/2),"-")</f>
        <v>0.0869565217391304</v>
      </c>
      <c r="AI54" s="100">
        <f>IFERROR((SUMIF('6店辅助表'!AP:AP,B:B,'6店辅助表'!AR:AR)-SUMIF('6店辅助表'!AP:AP,B:B,'6店辅助表'!AR:AR)*0.15-(L54+IFERROR(VLOOKUP(B:B,'6店辅助表'!AZ:BA,2,0),0))*O54-IF(AN:AN="US",6.85,4.9)*(Z54+4.03*O54))/SUMIF('6店辅助表'!AP:AP,B:B,'6店辅助表'!AR:AR),"-")</f>
        <v>0.582723997325862</v>
      </c>
      <c r="AJ54" s="100">
        <f t="shared" si="30"/>
        <v>0.0506716519413793</v>
      </c>
      <c r="AK54" s="101">
        <f t="shared" si="31"/>
        <v>27.511</v>
      </c>
      <c r="AL54" s="101">
        <f t="shared" si="32"/>
        <v>27.511</v>
      </c>
      <c r="AM54" s="1" t="str">
        <f>VLOOKUP(B:B,'6店辅助表'!AZ:AZ,1,FALSE)</f>
        <v>Y6601-SC-1</v>
      </c>
      <c r="AN54" t="str">
        <f>VLOOKUP(B:B,'6店辅助表'!AZ:BB,3,FALSE)</f>
        <v>CA</v>
      </c>
    </row>
    <row r="55" customHeight="1" spans="1:40">
      <c r="A55" s="58" t="str">
        <f>INDEX('[1]6店'!$A:$A,MATCH(B:B,'[1]6店'!$B:$B,0))</f>
        <v>美珠</v>
      </c>
      <c r="B55" s="116" t="s">
        <v>2022</v>
      </c>
      <c r="C55" s="45" t="s">
        <v>2023</v>
      </c>
      <c r="D55" s="59">
        <f>VLOOKUP(B:B,'[1]6店'!$B:$L,3,0)</f>
        <v>45133</v>
      </c>
      <c r="E55" s="45" t="s">
        <v>2024</v>
      </c>
      <c r="F55" s="45">
        <v>26</v>
      </c>
      <c r="G55" s="45">
        <v>0</v>
      </c>
      <c r="H55" s="45">
        <v>0</v>
      </c>
      <c r="I55" s="45">
        <v>0</v>
      </c>
      <c r="J55" s="45">
        <v>0</v>
      </c>
      <c r="K55" s="63">
        <f t="shared" si="22"/>
        <v>26</v>
      </c>
      <c r="L55" s="124">
        <f>VLOOKUP($B:$B,'[1]6店'!$B:$L,11,0)</f>
        <v>30.576</v>
      </c>
      <c r="M55" s="44">
        <f t="shared" si="33"/>
        <v>794.976</v>
      </c>
      <c r="N55" s="65">
        <f>IFERROR(VLOOKUP(B:B,'6店辅助表'!B:C,2,FALSE),0)</f>
        <v>0</v>
      </c>
      <c r="O55" s="65">
        <f>IFERROR(VLOOKUP(B:B,'6店辅助表'!E:F,2,FALSE),0)</f>
        <v>0</v>
      </c>
      <c r="P55" s="65">
        <f>IFERROR(VLOOKUP(B:B,'6店辅助表'!H:I,2,FALSE),0)</f>
        <v>0</v>
      </c>
      <c r="Q55" s="65">
        <f>IFERROR(VLOOKUP(B:B,'[1]6店'!$B:$N,13,FALSE),0)</f>
        <v>0</v>
      </c>
      <c r="R55" s="79">
        <f t="shared" si="23"/>
        <v>0</v>
      </c>
      <c r="S55" s="80" t="str">
        <f t="shared" si="24"/>
        <v>-</v>
      </c>
      <c r="T55" s="44" t="str">
        <f t="shared" si="25"/>
        <v>-</v>
      </c>
      <c r="U55" s="44" t="str">
        <f>IFERROR(VLOOKUP(B:B,'[1]6店'!$B:$T,19,0),"-")</f>
        <v>-</v>
      </c>
      <c r="V55" s="81" t="str">
        <f t="shared" si="26"/>
        <v>-</v>
      </c>
      <c r="W55" s="82" t="str">
        <f t="shared" si="27"/>
        <v>有库存无销量</v>
      </c>
      <c r="X55" s="83" t="str">
        <f t="shared" si="28"/>
        <v>有库存无销量</v>
      </c>
      <c r="Y55" s="44">
        <f>IFERROR(SUMIF('6店辅助表'!K:K,B:B,'6店辅助表'!N:N),0)</f>
        <v>0</v>
      </c>
      <c r="Z55" s="44">
        <f>IFERROR(SUMIF('6店辅助表'!T:T,B:B,'6店辅助表'!W:W),0)</f>
        <v>0</v>
      </c>
      <c r="AA55" s="44">
        <f>IFERROR(SUMIF('6店辅助表'!AC:AC,B:B,'6店辅助表'!AF:AF),0)</f>
        <v>0</v>
      </c>
      <c r="AB55" s="91" t="str">
        <f>IFERROR(SUMIF('6店辅助表'!K:K,B:B,'6店辅助表'!N:N)/SUMIF('6店辅助表'!K:K,B:B,'6店辅助表'!O:O),"-")</f>
        <v>-</v>
      </c>
      <c r="AC55" s="91" t="str">
        <f>IFERROR(VLOOKUP(B:B,'[1]6店'!$B:$AB,27,FALSE),"-")</f>
        <v>-</v>
      </c>
      <c r="AD55" s="92" t="str">
        <f t="shared" si="29"/>
        <v>-</v>
      </c>
      <c r="AE55" s="91" t="str">
        <f>IFERROR(SUMIF('6店辅助表'!T:T,B:B,'6店辅助表'!W:W)/SUMIF('6店辅助表'!T:T,B:B,'6店辅助表'!X:X),"-")</f>
        <v>-</v>
      </c>
      <c r="AF55" s="91" t="str">
        <f>IFERROR(SUMIF('6店辅助表'!AC:AC,B:B,'6店辅助表'!AF:AF)/SUMIF('6店辅助表'!AC:AC,B:B,'6店辅助表'!AG:AG),"-")</f>
        <v>-</v>
      </c>
      <c r="AG55" s="99">
        <f>IFERROR(AK55/((SUMIF('6店辅助表'!AT:AT,B:B,'6店辅助表'!AU:AU)+M55)/2),"-")</f>
        <v>0</v>
      </c>
      <c r="AH55" s="99">
        <f>IFERROR(AL55/((SUMIF('6店辅助表'!AW:AW,B:B,'6店辅助表'!AX:AX)+M55)/2),"-")</f>
        <v>0</v>
      </c>
      <c r="AI55" s="100" t="str">
        <f>IFERROR((SUMIF('6店辅助表'!AP:AP,B:B,'6店辅助表'!AR:AR)-SUMIF('6店辅助表'!AP:AP,B:B,'6店辅助表'!AR:AR)*0.15-(L55+IFERROR(VLOOKUP(B:B,'6店辅助表'!AZ:BA,2,0),0))*O55-IF(AN:AN="US",6.85,4.9)*(Z55+4.03*O55))/SUMIF('6店辅助表'!AP:AP,B:B,'6店辅助表'!AR:AR),"-")</f>
        <v>-</v>
      </c>
      <c r="AJ55" s="100" t="str">
        <f t="shared" si="30"/>
        <v>-</v>
      </c>
      <c r="AK55" s="101">
        <f t="shared" si="31"/>
        <v>0</v>
      </c>
      <c r="AL55" s="101">
        <f t="shared" si="32"/>
        <v>0</v>
      </c>
      <c r="AM55" s="1" t="str">
        <f>VLOOKUP(B:B,'6店辅助表'!AZ:AZ,1,FALSE)</f>
        <v>Y6603-RE</v>
      </c>
      <c r="AN55" t="str">
        <f>VLOOKUP(B:B,'6店辅助表'!AZ:BB,3,FALSE)</f>
        <v>CA</v>
      </c>
    </row>
    <row r="56" customHeight="1" spans="1:40">
      <c r="A56" s="58" t="str">
        <f>INDEX('[1]6店'!$A:$A,MATCH(B:B,'[1]6店'!$B:$B,0))</f>
        <v>美珠</v>
      </c>
      <c r="B56" s="116" t="s">
        <v>2025</v>
      </c>
      <c r="C56" s="45" t="s">
        <v>2023</v>
      </c>
      <c r="D56" s="59">
        <f>VLOOKUP(B:B,'[1]6店'!$B:$L,3,0)</f>
        <v>45133</v>
      </c>
      <c r="E56" s="45" t="s">
        <v>2026</v>
      </c>
      <c r="F56" s="45">
        <v>20</v>
      </c>
      <c r="G56" s="45">
        <v>0</v>
      </c>
      <c r="H56" s="45">
        <v>0</v>
      </c>
      <c r="I56" s="45">
        <v>0</v>
      </c>
      <c r="J56" s="45">
        <v>0</v>
      </c>
      <c r="K56" s="63">
        <f t="shared" si="22"/>
        <v>20</v>
      </c>
      <c r="L56" s="124">
        <f>VLOOKUP($B:$B,'[1]6店'!$B:$L,11,0)</f>
        <v>30.576</v>
      </c>
      <c r="M56" s="44">
        <f t="shared" si="33"/>
        <v>611.52</v>
      </c>
      <c r="N56" s="65">
        <f>IFERROR(VLOOKUP(B:B,'6店辅助表'!B:C,2,FALSE),0)</f>
        <v>0</v>
      </c>
      <c r="O56" s="65">
        <f>IFERROR(VLOOKUP(B:B,'6店辅助表'!E:F,2,FALSE),0)</f>
        <v>0</v>
      </c>
      <c r="P56" s="65">
        <f>IFERROR(VLOOKUP(B:B,'6店辅助表'!H:I,2,FALSE),0)</f>
        <v>0</v>
      </c>
      <c r="Q56" s="65">
        <f>IFERROR(VLOOKUP(B:B,'[1]6店'!$B:$N,13,FALSE),0)</f>
        <v>0</v>
      </c>
      <c r="R56" s="79">
        <f t="shared" si="23"/>
        <v>0</v>
      </c>
      <c r="S56" s="80" t="str">
        <f t="shared" si="24"/>
        <v>-</v>
      </c>
      <c r="T56" s="44" t="str">
        <f t="shared" si="25"/>
        <v>-</v>
      </c>
      <c r="U56" s="44" t="str">
        <f>IFERROR(VLOOKUP(B:B,'[1]6店'!$B:$T,19,0),"-")</f>
        <v>-</v>
      </c>
      <c r="V56" s="81" t="str">
        <f t="shared" si="26"/>
        <v>-</v>
      </c>
      <c r="W56" s="82" t="str">
        <f t="shared" si="27"/>
        <v>有库存无销量</v>
      </c>
      <c r="X56" s="83" t="str">
        <f t="shared" si="28"/>
        <v>有库存无销量</v>
      </c>
      <c r="Y56" s="44">
        <f>IFERROR(SUMIF('6店辅助表'!K:K,B:B,'6店辅助表'!N:N),0)</f>
        <v>0</v>
      </c>
      <c r="Z56" s="44">
        <f>IFERROR(SUMIF('6店辅助表'!T:T,B:B,'6店辅助表'!W:W),0)</f>
        <v>0</v>
      </c>
      <c r="AA56" s="44">
        <f>IFERROR(SUMIF('6店辅助表'!AC:AC,B:B,'6店辅助表'!AF:AF),0)</f>
        <v>0</v>
      </c>
      <c r="AB56" s="91" t="str">
        <f>IFERROR(SUMIF('6店辅助表'!K:K,B:B,'6店辅助表'!N:N)/SUMIF('6店辅助表'!K:K,B:B,'6店辅助表'!O:O),"-")</f>
        <v>-</v>
      </c>
      <c r="AC56" s="91" t="str">
        <f>IFERROR(VLOOKUP(B:B,'[1]6店'!$B:$AB,27,FALSE),"-")</f>
        <v>-</v>
      </c>
      <c r="AD56" s="92" t="str">
        <f t="shared" si="29"/>
        <v>-</v>
      </c>
      <c r="AE56" s="91" t="str">
        <f>IFERROR(SUMIF('6店辅助表'!T:T,B:B,'6店辅助表'!W:W)/SUMIF('6店辅助表'!T:T,B:B,'6店辅助表'!X:X),"-")</f>
        <v>-</v>
      </c>
      <c r="AF56" s="91" t="str">
        <f>IFERROR(SUMIF('6店辅助表'!AC:AC,B:B,'6店辅助表'!AF:AF)/SUMIF('6店辅助表'!AC:AC,B:B,'6店辅助表'!AG:AG),"-")</f>
        <v>-</v>
      </c>
      <c r="AG56" s="99">
        <f>IFERROR(AK56/((SUMIF('6店辅助表'!AT:AT,B:B,'6店辅助表'!AU:AU)+M56)/2),"-")</f>
        <v>0</v>
      </c>
      <c r="AH56" s="99">
        <f>IFERROR(AL56/((SUMIF('6店辅助表'!AW:AW,B:B,'6店辅助表'!AX:AX)+M56)/2),"-")</f>
        <v>0</v>
      </c>
      <c r="AI56" s="100" t="str">
        <f>IFERROR((SUMIF('6店辅助表'!AP:AP,B:B,'6店辅助表'!AR:AR)-SUMIF('6店辅助表'!AP:AP,B:B,'6店辅助表'!AR:AR)*0.15-(L56+IFERROR(VLOOKUP(B:B,'6店辅助表'!AZ:BA,2,0),0))*O56-IF(AN:AN="US",6.85,4.9)*(Z56+4.03*O56))/SUMIF('6店辅助表'!AP:AP,B:B,'6店辅助表'!AR:AR),"-")</f>
        <v>-</v>
      </c>
      <c r="AJ56" s="100" t="str">
        <f t="shared" si="30"/>
        <v>-</v>
      </c>
      <c r="AK56" s="101">
        <f t="shared" si="31"/>
        <v>0</v>
      </c>
      <c r="AL56" s="101">
        <f t="shared" si="32"/>
        <v>0</v>
      </c>
      <c r="AM56" s="1" t="str">
        <f>VLOOKUP(B:B,'6店辅助表'!AZ:AZ,1,FALSE)</f>
        <v>Y6603-GR</v>
      </c>
      <c r="AN56" t="str">
        <f>VLOOKUP(B:B,'6店辅助表'!AZ:BB,3,FALSE)</f>
        <v>CA</v>
      </c>
    </row>
    <row r="57" customHeight="1" spans="1:40">
      <c r="A57" s="58" t="str">
        <f>INDEX('[1]6店'!$A:$A,MATCH(B:B,'[1]6店'!$B:$B,0))</f>
        <v>美珠</v>
      </c>
      <c r="B57" s="116" t="s">
        <v>2027</v>
      </c>
      <c r="C57" s="45" t="s">
        <v>2028</v>
      </c>
      <c r="D57" s="59">
        <f>VLOOKUP(B:B,'[1]6店'!$B:$L,3,0)</f>
        <v>45133</v>
      </c>
      <c r="E57" s="45" t="s">
        <v>2029</v>
      </c>
      <c r="F57" s="45">
        <v>17</v>
      </c>
      <c r="G57" s="45">
        <v>0</v>
      </c>
      <c r="H57" s="45">
        <v>0</v>
      </c>
      <c r="I57" s="45">
        <v>0</v>
      </c>
      <c r="J57" s="45">
        <v>0</v>
      </c>
      <c r="K57" s="63">
        <f t="shared" si="22"/>
        <v>17</v>
      </c>
      <c r="L57" s="124">
        <f>VLOOKUP($B:$B,'[1]6店'!$B:$L,11,0)</f>
        <v>30.576</v>
      </c>
      <c r="M57" s="44">
        <f t="shared" si="33"/>
        <v>519.792</v>
      </c>
      <c r="N57" s="65">
        <f>IFERROR(VLOOKUP(B:B,'6店辅助表'!B:C,2,FALSE),0)</f>
        <v>0</v>
      </c>
      <c r="O57" s="65">
        <f>IFERROR(VLOOKUP(B:B,'6店辅助表'!E:F,2,FALSE),0)</f>
        <v>0</v>
      </c>
      <c r="P57" s="65">
        <f>IFERROR(VLOOKUP(B:B,'6店辅助表'!H:I,2,FALSE),0)</f>
        <v>0</v>
      </c>
      <c r="Q57" s="65">
        <f>IFERROR(VLOOKUP(B:B,'[1]6店'!$B:$N,13,FALSE),0)</f>
        <v>0</v>
      </c>
      <c r="R57" s="79">
        <f t="shared" si="23"/>
        <v>0</v>
      </c>
      <c r="S57" s="80" t="str">
        <f t="shared" si="24"/>
        <v>-</v>
      </c>
      <c r="T57" s="44" t="str">
        <f t="shared" si="25"/>
        <v>-</v>
      </c>
      <c r="U57" s="44" t="str">
        <f>IFERROR(VLOOKUP(B:B,'[1]6店'!$B:$T,19,0),"-")</f>
        <v>-</v>
      </c>
      <c r="V57" s="81" t="str">
        <f t="shared" si="26"/>
        <v>-</v>
      </c>
      <c r="W57" s="82" t="str">
        <f t="shared" si="27"/>
        <v>有库存无销量</v>
      </c>
      <c r="X57" s="83" t="str">
        <f t="shared" si="28"/>
        <v>有库存无销量</v>
      </c>
      <c r="Y57" s="44">
        <f>IFERROR(SUMIF('6店辅助表'!K:K,B:B,'6店辅助表'!N:N),0)</f>
        <v>0</v>
      </c>
      <c r="Z57" s="44">
        <f>IFERROR(SUMIF('6店辅助表'!T:T,B:B,'6店辅助表'!W:W),0)</f>
        <v>0</v>
      </c>
      <c r="AA57" s="44">
        <f>IFERROR(SUMIF('6店辅助表'!AC:AC,B:B,'6店辅助表'!AF:AF),0)</f>
        <v>0</v>
      </c>
      <c r="AB57" s="91" t="str">
        <f>IFERROR(SUMIF('6店辅助表'!K:K,B:B,'6店辅助表'!N:N)/SUMIF('6店辅助表'!K:K,B:B,'6店辅助表'!O:O),"-")</f>
        <v>-</v>
      </c>
      <c r="AC57" s="91" t="str">
        <f>IFERROR(VLOOKUP(B:B,'[1]6店'!$B:$AB,27,FALSE),"-")</f>
        <v>-</v>
      </c>
      <c r="AD57" s="92" t="str">
        <f t="shared" si="29"/>
        <v>-</v>
      </c>
      <c r="AE57" s="91" t="str">
        <f>IFERROR(SUMIF('6店辅助表'!T:T,B:B,'6店辅助表'!W:W)/SUMIF('6店辅助表'!T:T,B:B,'6店辅助表'!X:X),"-")</f>
        <v>-</v>
      </c>
      <c r="AF57" s="91" t="str">
        <f>IFERROR(SUMIF('6店辅助表'!AC:AC,B:B,'6店辅助表'!AF:AF)/SUMIF('6店辅助表'!AC:AC,B:B,'6店辅助表'!AG:AG),"-")</f>
        <v>-</v>
      </c>
      <c r="AG57" s="99">
        <f>IFERROR(AK57/((SUMIF('6店辅助表'!AT:AT,B:B,'6店辅助表'!AU:AU)+M57)/2),"-")</f>
        <v>0</v>
      </c>
      <c r="AH57" s="99">
        <f>IFERROR(AL57/((SUMIF('6店辅助表'!AW:AW,B:B,'6店辅助表'!AX:AX)+M57)/2),"-")</f>
        <v>0</v>
      </c>
      <c r="AI57" s="100" t="str">
        <f>IFERROR((SUMIF('6店辅助表'!AP:AP,B:B,'6店辅助表'!AR:AR)-SUMIF('6店辅助表'!AP:AP,B:B,'6店辅助表'!AR:AR)*0.15-(L57+IFERROR(VLOOKUP(B:B,'6店辅助表'!AZ:BA,2,0),0))*O57-IF(AN:AN="US",6.85,4.9)*(Z57+4.03*O57))/SUMIF('6店辅助表'!AP:AP,B:B,'6店辅助表'!AR:AR),"-")</f>
        <v>-</v>
      </c>
      <c r="AJ57" s="100" t="str">
        <f t="shared" si="30"/>
        <v>-</v>
      </c>
      <c r="AK57" s="101">
        <f t="shared" si="31"/>
        <v>0</v>
      </c>
      <c r="AL57" s="101">
        <f t="shared" si="32"/>
        <v>0</v>
      </c>
      <c r="AM57" s="1" t="str">
        <f>VLOOKUP(B:B,'6店辅助表'!AZ:AZ,1,FALSE)</f>
        <v>Y6604</v>
      </c>
      <c r="AN57" t="str">
        <f>VLOOKUP(B:B,'6店辅助表'!AZ:BB,3,FALSE)</f>
        <v>CA</v>
      </c>
    </row>
    <row r="58" customHeight="1" spans="1:40">
      <c r="A58" s="58" t="str">
        <f>INDEX('[1]6店'!$A:$A,MATCH(B:B,'[1]6店'!$B:$B,0))</f>
        <v>美珠</v>
      </c>
      <c r="B58" s="116" t="s">
        <v>2030</v>
      </c>
      <c r="C58" s="45" t="s">
        <v>2031</v>
      </c>
      <c r="D58" s="59">
        <f>VLOOKUP(B:B,'[1]6店'!$B:$L,3,0)</f>
        <v>45133</v>
      </c>
      <c r="E58" s="45" t="s">
        <v>2032</v>
      </c>
      <c r="F58" s="45">
        <v>6</v>
      </c>
      <c r="G58" s="45">
        <v>0</v>
      </c>
      <c r="H58" s="45">
        <v>0</v>
      </c>
      <c r="I58" s="45">
        <v>0</v>
      </c>
      <c r="J58" s="45">
        <v>0</v>
      </c>
      <c r="K58" s="63">
        <f t="shared" si="22"/>
        <v>6</v>
      </c>
      <c r="L58" s="124">
        <f>VLOOKUP($B:$B,'[1]6店'!$B:$L,11,0)</f>
        <v>32.333</v>
      </c>
      <c r="M58" s="44">
        <f t="shared" si="33"/>
        <v>193.998</v>
      </c>
      <c r="N58" s="65">
        <f>IFERROR(VLOOKUP(B:B,'6店辅助表'!B:C,2,FALSE),0)</f>
        <v>0</v>
      </c>
      <c r="O58" s="65">
        <f>IFERROR(VLOOKUP(B:B,'6店辅助表'!E:F,2,FALSE),0)</f>
        <v>0</v>
      </c>
      <c r="P58" s="65">
        <f>IFERROR(VLOOKUP(B:B,'6店辅助表'!H:I,2,FALSE),0)</f>
        <v>2</v>
      </c>
      <c r="Q58" s="65">
        <f>IFERROR(VLOOKUP(B:B,'[1]6店'!$B:$N,13,FALSE),0)</f>
        <v>0</v>
      </c>
      <c r="R58" s="79">
        <f t="shared" si="23"/>
        <v>0</v>
      </c>
      <c r="S58" s="80">
        <f t="shared" si="24"/>
        <v>270</v>
      </c>
      <c r="T58" s="44">
        <f t="shared" si="25"/>
        <v>9</v>
      </c>
      <c r="U58" s="44">
        <f>IFERROR(VLOOKUP(B:B,'[1]6店'!$B:$T,19,0),"-")</f>
        <v>9</v>
      </c>
      <c r="V58" s="81">
        <f t="shared" si="26"/>
        <v>0</v>
      </c>
      <c r="W58" s="82" t="str">
        <f t="shared" si="27"/>
        <v>有库存无销量</v>
      </c>
      <c r="X58" s="83" t="str">
        <f t="shared" si="28"/>
        <v>库存过高</v>
      </c>
      <c r="Y58" s="44">
        <f>IFERROR(SUMIF('6店辅助表'!K:K,B:B,'6店辅助表'!N:N),0)</f>
        <v>0</v>
      </c>
      <c r="Z58" s="44">
        <f>IFERROR(SUMIF('6店辅助表'!T:T,B:B,'6店辅助表'!W:W),0)</f>
        <v>0</v>
      </c>
      <c r="AA58" s="44">
        <f>IFERROR(SUMIF('6店辅助表'!AC:AC,B:B,'6店辅助表'!AF:AF),0)</f>
        <v>0</v>
      </c>
      <c r="AB58" s="91" t="str">
        <f>IFERROR(SUMIF('6店辅助表'!K:K,B:B,'6店辅助表'!N:N)/SUMIF('6店辅助表'!K:K,B:B,'6店辅助表'!O:O),"-")</f>
        <v>-</v>
      </c>
      <c r="AC58" s="91" t="str">
        <f>IFERROR(VLOOKUP(B:B,'[1]6店'!$B:$AB,27,FALSE),"-")</f>
        <v>-</v>
      </c>
      <c r="AD58" s="92" t="str">
        <f t="shared" si="29"/>
        <v>-</v>
      </c>
      <c r="AE58" s="91" t="str">
        <f>IFERROR(SUMIF('6店辅助表'!T:T,B:B,'6店辅助表'!W:W)/SUMIF('6店辅助表'!T:T,B:B,'6店辅助表'!X:X),"-")</f>
        <v>-</v>
      </c>
      <c r="AF58" s="91" t="str">
        <f>IFERROR(SUMIF('6店辅助表'!AC:AC,B:B,'6店辅助表'!AF:AF)/SUMIF('6店辅助表'!AC:AC,B:B,'6店辅助表'!AG:AG),"-")</f>
        <v>-</v>
      </c>
      <c r="AG58" s="99">
        <f>IFERROR(AK58/((SUMIF('6店辅助表'!AT:AT,B:B,'6店辅助表'!AU:AU)+M58)/2),"-")</f>
        <v>0</v>
      </c>
      <c r="AH58" s="99">
        <f>IFERROR(AL58/((SUMIF('6店辅助表'!AW:AW,B:B,'6店辅助表'!AX:AX)+M58)/2),"-")</f>
        <v>0</v>
      </c>
      <c r="AI58" s="100" t="str">
        <f>IFERROR((SUMIF('6店辅助表'!AP:AP,B:B,'6店辅助表'!AR:AR)-SUMIF('6店辅助表'!AP:AP,B:B,'6店辅助表'!AR:AR)*0.15-(L58+IFERROR(VLOOKUP(B:B,'6店辅助表'!AZ:BA,2,0),0))*O58-IF(AN:AN="US",6.85,4.9)*(Z58+4.03*O58))/SUMIF('6店辅助表'!AP:AP,B:B,'6店辅助表'!AR:AR),"-")</f>
        <v>-</v>
      </c>
      <c r="AJ58" s="100" t="str">
        <f t="shared" si="30"/>
        <v>-</v>
      </c>
      <c r="AK58" s="101">
        <f t="shared" si="31"/>
        <v>0</v>
      </c>
      <c r="AL58" s="101">
        <f t="shared" si="32"/>
        <v>0</v>
      </c>
      <c r="AM58" s="1" t="str">
        <f>VLOOKUP(B:B,'6店辅助表'!AZ:AZ,1,FALSE)</f>
        <v>Y6602-SC</v>
      </c>
      <c r="AN58" t="str">
        <f>VLOOKUP(B:B,'6店辅助表'!AZ:BB,3,FALSE)</f>
        <v>CA</v>
      </c>
    </row>
    <row r="59" customHeight="1" spans="1:40">
      <c r="A59" s="58" t="str">
        <f>INDEX('[1]6店'!$A:$A,MATCH(B:B,'[1]6店'!$B:$B,0))</f>
        <v>美珠</v>
      </c>
      <c r="B59" s="116" t="s">
        <v>2033</v>
      </c>
      <c r="C59" s="45" t="s">
        <v>2034</v>
      </c>
      <c r="D59" s="59">
        <f>VLOOKUP(B:B,'[1]6店'!$B:$L,3,0)</f>
        <v>45133</v>
      </c>
      <c r="E59" s="45" t="s">
        <v>2035</v>
      </c>
      <c r="F59" s="45">
        <v>19</v>
      </c>
      <c r="G59" s="45">
        <v>0</v>
      </c>
      <c r="H59" s="45">
        <v>0</v>
      </c>
      <c r="I59" s="45">
        <v>0</v>
      </c>
      <c r="J59" s="45">
        <v>0</v>
      </c>
      <c r="K59" s="63">
        <f t="shared" ref="K59:K90" si="34">F59+G59+H59+I59+J59</f>
        <v>19</v>
      </c>
      <c r="L59" s="124">
        <f>VLOOKUP($B:$B,'[1]6店'!$B:$L,11,0)</f>
        <v>34.089</v>
      </c>
      <c r="M59" s="44">
        <f t="shared" si="33"/>
        <v>647.691</v>
      </c>
      <c r="N59" s="65">
        <f>IFERROR(VLOOKUP(B:B,'6店辅助表'!B:C,2,FALSE),0)</f>
        <v>0</v>
      </c>
      <c r="O59" s="65">
        <f>IFERROR(VLOOKUP(B:B,'6店辅助表'!E:F,2,FALSE),0)</f>
        <v>0</v>
      </c>
      <c r="P59" s="65">
        <f>IFERROR(VLOOKUP(B:B,'6店辅助表'!H:I,2,FALSE),0)</f>
        <v>0</v>
      </c>
      <c r="Q59" s="65">
        <f>IFERROR(VLOOKUP(B:B,'[1]6店'!$B:$N,13,FALSE),0)</f>
        <v>0</v>
      </c>
      <c r="R59" s="79">
        <f t="shared" ref="R59:R90" si="35">N59-Q59</f>
        <v>0</v>
      </c>
      <c r="S59" s="80" t="str">
        <f t="shared" ref="S59:S90" si="36">IFERROR(K59/((N59/7+O59/15+P59/30)/3),"-")</f>
        <v>-</v>
      </c>
      <c r="T59" s="44" t="str">
        <f t="shared" ref="T59:T90" si="37">IFERROR(S59/30,"-")</f>
        <v>-</v>
      </c>
      <c r="U59" s="44" t="str">
        <f>IFERROR(VLOOKUP(B:B,'[1]6店'!$B:$T,19,0),"-")</f>
        <v>-</v>
      </c>
      <c r="V59" s="81" t="str">
        <f t="shared" ref="V59:V90" si="38">IFERROR(T59-U59,"-")</f>
        <v>-</v>
      </c>
      <c r="W59" s="82" t="str">
        <f t="shared" ref="W59:W90" si="39">_xlfn.IFS(AND(D59&lt;&gt;0,D59-$AM$2&gt;=0,B59&gt;0,D59&lt;&gt;0),"本月刚到货",AND(IFERROR((K59/(N59/7))/30,"-")="-",K59&gt;0),"有库存无销量",AND(IFERROR((K59/(N59/7))/30,"-")="-",K59=0),"无库存无销量",AND(IFERROR((K59/(N59/7))/30,"-")&lt;=0.5,K59=0),"无库存有销量",IFERROR((K59/(N59/7))/30,"-")&lt;=0.5,"库存过低",IFERROR((K59/(N59/7))/30,"-")&lt;=1.5,"正常",IFERROR((K59/(N59/7))/30,"-")&gt;1.5,"库存过高")</f>
        <v>有库存无销量</v>
      </c>
      <c r="X59" s="83" t="str">
        <f t="shared" ref="X59:X90" si="40">_xlfn.IFS(AND(D59&lt;&gt;0,D59-$AM$2&gt;=0,K59&gt;0,D59&lt;&gt;0),"本月刚到货",AND(T59="-",K59&gt;0),"有库存无销量",AND(T59="-",K59=0),"无库存无销量",AND(T59&lt;=0.5,K59=0),"无库存有销量",T59&lt;=0.5,"库存过低",T59&lt;=1.5,"正常",T59&gt;1.5,"库存过高")</f>
        <v>有库存无销量</v>
      </c>
      <c r="Y59" s="44">
        <f>IFERROR(SUMIF('6店辅助表'!K:K,B:B,'6店辅助表'!N:N),0)</f>
        <v>0</v>
      </c>
      <c r="Z59" s="44">
        <f>IFERROR(SUMIF('6店辅助表'!T:T,B:B,'6店辅助表'!W:W),0)</f>
        <v>0</v>
      </c>
      <c r="AA59" s="44">
        <f>IFERROR(SUMIF('6店辅助表'!AC:AC,B:B,'6店辅助表'!AF:AF),0)</f>
        <v>0</v>
      </c>
      <c r="AB59" s="91" t="str">
        <f>IFERROR(SUMIF('6店辅助表'!K:K,B:B,'6店辅助表'!N:N)/SUMIF('6店辅助表'!K:K,B:B,'6店辅助表'!O:O),"-")</f>
        <v>-</v>
      </c>
      <c r="AC59" s="91" t="str">
        <f>IFERROR(VLOOKUP(B:B,'[1]6店'!$B:$AB,27,FALSE),"-")</f>
        <v>-</v>
      </c>
      <c r="AD59" s="92" t="str">
        <f t="shared" ref="AD59:AD90" si="41">IFERROR(AB59-AC59,"-")</f>
        <v>-</v>
      </c>
      <c r="AE59" s="91" t="str">
        <f>IFERROR(SUMIF('6店辅助表'!T:T,B:B,'6店辅助表'!W:W)/SUMIF('6店辅助表'!T:T,B:B,'6店辅助表'!X:X),"-")</f>
        <v>-</v>
      </c>
      <c r="AF59" s="91" t="str">
        <f>IFERROR(SUMIF('6店辅助表'!AC:AC,B:B,'6店辅助表'!AF:AF)/SUMIF('6店辅助表'!AC:AC,B:B,'6店辅助表'!AG:AG),"-")</f>
        <v>-</v>
      </c>
      <c r="AG59" s="99">
        <f>IFERROR(AK59/((SUMIF('6店辅助表'!AT:AT,B:B,'6店辅助表'!AU:AU)+M59)/2),"-")</f>
        <v>0</v>
      </c>
      <c r="AH59" s="99">
        <f>IFERROR(AL59/((SUMIF('6店辅助表'!AW:AW,B:B,'6店辅助表'!AX:AX)+M59)/2),"-")</f>
        <v>0</v>
      </c>
      <c r="AI59" s="100" t="str">
        <f>IFERROR((SUMIF('6店辅助表'!AP:AP,B:B,'6店辅助表'!AR:AR)-SUMIF('6店辅助表'!AP:AP,B:B,'6店辅助表'!AR:AR)*0.15-(L59+IFERROR(VLOOKUP(B:B,'6店辅助表'!AZ:BA,2,0),0))*O59-IF(AN:AN="US",6.85,4.9)*(Z59+4.03*O59))/SUMIF('6店辅助表'!AP:AP,B:B,'6店辅助表'!AR:AR),"-")</f>
        <v>-</v>
      </c>
      <c r="AJ59" s="100" t="str">
        <f t="shared" ref="AJ59:AJ90" si="42">IFERROR(AH59*AI59,"-")</f>
        <v>-</v>
      </c>
      <c r="AK59" s="101">
        <f t="shared" ref="AK59:AK90" si="43">N59*$L59</f>
        <v>0</v>
      </c>
      <c r="AL59" s="101">
        <f t="shared" ref="AL59:AL90" si="44">O59*$L59</f>
        <v>0</v>
      </c>
      <c r="AM59" s="1" t="str">
        <f>VLOOKUP(B:B,'6店辅助表'!AZ:AZ,1,FALSE)</f>
        <v>Y6606-BL</v>
      </c>
      <c r="AN59" t="str">
        <f>VLOOKUP(B:B,'6店辅助表'!AZ:BB,3,FALSE)</f>
        <v>CA</v>
      </c>
    </row>
    <row r="60" customHeight="1" spans="1:40">
      <c r="A60" s="58" t="str">
        <f>INDEX('[1]6店'!$A:$A,MATCH(B:B,'[1]6店'!$B:$B,0))</f>
        <v>美珠</v>
      </c>
      <c r="B60" s="116" t="s">
        <v>2036</v>
      </c>
      <c r="C60" s="45" t="s">
        <v>2037</v>
      </c>
      <c r="D60" s="59">
        <f>VLOOKUP(B:B,'[1]6店'!$B:$L,3,0)</f>
        <v>45133</v>
      </c>
      <c r="E60" s="45" t="s">
        <v>2038</v>
      </c>
      <c r="F60" s="45">
        <v>15</v>
      </c>
      <c r="G60" s="45">
        <v>0</v>
      </c>
      <c r="H60" s="45">
        <v>0</v>
      </c>
      <c r="I60" s="45">
        <v>0</v>
      </c>
      <c r="J60" s="45">
        <v>0</v>
      </c>
      <c r="K60" s="63">
        <f t="shared" si="34"/>
        <v>15</v>
      </c>
      <c r="L60" s="124">
        <f>VLOOKUP($B:$B,'[1]6店'!$B:$L,11,0)</f>
        <v>34.089</v>
      </c>
      <c r="M60" s="44">
        <f t="shared" si="33"/>
        <v>511.335</v>
      </c>
      <c r="N60" s="65">
        <f>IFERROR(VLOOKUP(B:B,'6店辅助表'!B:C,2,FALSE),0)</f>
        <v>0</v>
      </c>
      <c r="O60" s="65">
        <f>IFERROR(VLOOKUP(B:B,'6店辅助表'!E:F,2,FALSE),0)</f>
        <v>0</v>
      </c>
      <c r="P60" s="65">
        <f>IFERROR(VLOOKUP(B:B,'6店辅助表'!H:I,2,FALSE),0)</f>
        <v>0</v>
      </c>
      <c r="Q60" s="65">
        <f>IFERROR(VLOOKUP(B:B,'[1]6店'!$B:$N,13,FALSE),0)</f>
        <v>0</v>
      </c>
      <c r="R60" s="79">
        <f t="shared" si="35"/>
        <v>0</v>
      </c>
      <c r="S60" s="80" t="str">
        <f t="shared" si="36"/>
        <v>-</v>
      </c>
      <c r="T60" s="44" t="str">
        <f t="shared" si="37"/>
        <v>-</v>
      </c>
      <c r="U60" s="44" t="str">
        <f>IFERROR(VLOOKUP(B:B,'[1]6店'!$B:$T,19,0),"-")</f>
        <v>-</v>
      </c>
      <c r="V60" s="81" t="str">
        <f t="shared" si="38"/>
        <v>-</v>
      </c>
      <c r="W60" s="82" t="str">
        <f t="shared" si="39"/>
        <v>有库存无销量</v>
      </c>
      <c r="X60" s="83" t="str">
        <f t="shared" si="40"/>
        <v>有库存无销量</v>
      </c>
      <c r="Y60" s="44">
        <f>IFERROR(SUMIF('6店辅助表'!K:K,B:B,'6店辅助表'!N:N),0)</f>
        <v>0</v>
      </c>
      <c r="Z60" s="44">
        <f>IFERROR(SUMIF('6店辅助表'!T:T,B:B,'6店辅助表'!W:W),0)</f>
        <v>0</v>
      </c>
      <c r="AA60" s="44">
        <f>IFERROR(SUMIF('6店辅助表'!AC:AC,B:B,'6店辅助表'!AF:AF),0)</f>
        <v>0</v>
      </c>
      <c r="AB60" s="91" t="str">
        <f>IFERROR(SUMIF('6店辅助表'!K:K,B:B,'6店辅助表'!N:N)/SUMIF('6店辅助表'!K:K,B:B,'6店辅助表'!O:O),"-")</f>
        <v>-</v>
      </c>
      <c r="AC60" s="91" t="str">
        <f>IFERROR(VLOOKUP(B:B,'[1]6店'!$B:$AB,27,FALSE),"-")</f>
        <v>-</v>
      </c>
      <c r="AD60" s="92" t="str">
        <f t="shared" si="41"/>
        <v>-</v>
      </c>
      <c r="AE60" s="91" t="str">
        <f>IFERROR(SUMIF('6店辅助表'!T:T,B:B,'6店辅助表'!W:W)/SUMIF('6店辅助表'!T:T,B:B,'6店辅助表'!X:X),"-")</f>
        <v>-</v>
      </c>
      <c r="AF60" s="91" t="str">
        <f>IFERROR(SUMIF('6店辅助表'!AC:AC,B:B,'6店辅助表'!AF:AF)/SUMIF('6店辅助表'!AC:AC,B:B,'6店辅助表'!AG:AG),"-")</f>
        <v>-</v>
      </c>
      <c r="AG60" s="99">
        <f>IFERROR(AK60/((SUMIF('6店辅助表'!AT:AT,B:B,'6店辅助表'!AU:AU)+M60)/2),"-")</f>
        <v>0</v>
      </c>
      <c r="AH60" s="99">
        <f>IFERROR(AL60/((SUMIF('6店辅助表'!AW:AW,B:B,'6店辅助表'!AX:AX)+M60)/2),"-")</f>
        <v>0</v>
      </c>
      <c r="AI60" s="100" t="str">
        <f>IFERROR((SUMIF('6店辅助表'!AP:AP,B:B,'6店辅助表'!AR:AR)-SUMIF('6店辅助表'!AP:AP,B:B,'6店辅助表'!AR:AR)*0.15-(L60+IFERROR(VLOOKUP(B:B,'6店辅助表'!AZ:BA,2,0),0))*O60-IF(AN:AN="US",6.85,4.9)*(Z60+4.03*O60))/SUMIF('6店辅助表'!AP:AP,B:B,'6店辅助表'!AR:AR),"-")</f>
        <v>-</v>
      </c>
      <c r="AJ60" s="100" t="str">
        <f t="shared" si="42"/>
        <v>-</v>
      </c>
      <c r="AK60" s="101">
        <f t="shared" si="43"/>
        <v>0</v>
      </c>
      <c r="AL60" s="101">
        <f t="shared" si="44"/>
        <v>0</v>
      </c>
      <c r="AM60" s="1" t="str">
        <f>VLOOKUP(B:B,'6店辅助表'!AZ:AZ,1,FALSE)</f>
        <v>Y6606-RE</v>
      </c>
      <c r="AN60" t="str">
        <f>VLOOKUP(B:B,'6店辅助表'!AZ:BB,3,FALSE)</f>
        <v>CA</v>
      </c>
    </row>
    <row r="61" customHeight="1" spans="1:40">
      <c r="A61" s="58" t="str">
        <f>INDEX('[1]6店'!$A:$A,MATCH(B:B,'[1]6店'!$B:$B,0))</f>
        <v>美珠</v>
      </c>
      <c r="B61" s="116" t="s">
        <v>2039</v>
      </c>
      <c r="C61" s="45" t="s">
        <v>2040</v>
      </c>
      <c r="D61" s="59">
        <f>VLOOKUP(B:B,'[1]6店'!$B:$L,3,0)</f>
        <v>45133</v>
      </c>
      <c r="E61" s="45" t="s">
        <v>2041</v>
      </c>
      <c r="F61" s="45">
        <v>18</v>
      </c>
      <c r="G61" s="45">
        <v>0</v>
      </c>
      <c r="H61" s="45">
        <v>0</v>
      </c>
      <c r="I61" s="45">
        <v>0</v>
      </c>
      <c r="J61" s="45">
        <v>0</v>
      </c>
      <c r="K61" s="63">
        <f t="shared" si="34"/>
        <v>18</v>
      </c>
      <c r="L61" s="124">
        <f>VLOOKUP($B:$B,'[1]6店'!$B:$L,11,0)</f>
        <v>26.013</v>
      </c>
      <c r="M61" s="44">
        <f t="shared" si="33"/>
        <v>468.234</v>
      </c>
      <c r="N61" s="65">
        <f>IFERROR(VLOOKUP(B:B,'6店辅助表'!B:C,2,FALSE),0)</f>
        <v>0</v>
      </c>
      <c r="O61" s="65">
        <f>IFERROR(VLOOKUP(B:B,'6店辅助表'!E:F,2,FALSE),0)</f>
        <v>0</v>
      </c>
      <c r="P61" s="65">
        <f>IFERROR(VLOOKUP(B:B,'6店辅助表'!H:I,2,FALSE),0)</f>
        <v>0</v>
      </c>
      <c r="Q61" s="65">
        <f>IFERROR(VLOOKUP(B:B,'[1]6店'!$B:$N,13,FALSE),0)</f>
        <v>0</v>
      </c>
      <c r="R61" s="79">
        <f t="shared" si="35"/>
        <v>0</v>
      </c>
      <c r="S61" s="80" t="str">
        <f t="shared" si="36"/>
        <v>-</v>
      </c>
      <c r="T61" s="44" t="str">
        <f t="shared" si="37"/>
        <v>-</v>
      </c>
      <c r="U61" s="44" t="str">
        <f>IFERROR(VLOOKUP(B:B,'[1]6店'!$B:$T,19,0),"-")</f>
        <v>-</v>
      </c>
      <c r="V61" s="81" t="str">
        <f t="shared" si="38"/>
        <v>-</v>
      </c>
      <c r="W61" s="82" t="str">
        <f t="shared" si="39"/>
        <v>有库存无销量</v>
      </c>
      <c r="X61" s="83" t="str">
        <f t="shared" si="40"/>
        <v>有库存无销量</v>
      </c>
      <c r="Y61" s="44">
        <f>IFERROR(SUMIF('6店辅助表'!K:K,B:B,'6店辅助表'!N:N),0)</f>
        <v>0</v>
      </c>
      <c r="Z61" s="44">
        <f>IFERROR(SUMIF('6店辅助表'!T:T,B:B,'6店辅助表'!W:W),0)</f>
        <v>0</v>
      </c>
      <c r="AA61" s="44">
        <f>IFERROR(SUMIF('6店辅助表'!AC:AC,B:B,'6店辅助表'!AF:AF),0)</f>
        <v>0</v>
      </c>
      <c r="AB61" s="91" t="str">
        <f>IFERROR(SUMIF('6店辅助表'!K:K,B:B,'6店辅助表'!N:N)/SUMIF('6店辅助表'!K:K,B:B,'6店辅助表'!O:O),"-")</f>
        <v>-</v>
      </c>
      <c r="AC61" s="91" t="str">
        <f>IFERROR(VLOOKUP(B:B,'[1]6店'!$B:$AB,27,FALSE),"-")</f>
        <v>-</v>
      </c>
      <c r="AD61" s="92" t="str">
        <f t="shared" si="41"/>
        <v>-</v>
      </c>
      <c r="AE61" s="91" t="str">
        <f>IFERROR(SUMIF('6店辅助表'!T:T,B:B,'6店辅助表'!W:W)/SUMIF('6店辅助表'!T:T,B:B,'6店辅助表'!X:X),"-")</f>
        <v>-</v>
      </c>
      <c r="AF61" s="91" t="str">
        <f>IFERROR(SUMIF('6店辅助表'!AC:AC,B:B,'6店辅助表'!AF:AF)/SUMIF('6店辅助表'!AC:AC,B:B,'6店辅助表'!AG:AG),"-")</f>
        <v>-</v>
      </c>
      <c r="AG61" s="99">
        <f>IFERROR(AK61/((SUMIF('6店辅助表'!AT:AT,B:B,'6店辅助表'!AU:AU)+M61)/2),"-")</f>
        <v>0</v>
      </c>
      <c r="AH61" s="99">
        <f>IFERROR(AL61/((SUMIF('6店辅助表'!AW:AW,B:B,'6店辅助表'!AX:AX)+M61)/2),"-")</f>
        <v>0</v>
      </c>
      <c r="AI61" s="100" t="str">
        <f>IFERROR((SUMIF('6店辅助表'!AP:AP,B:B,'6店辅助表'!AR:AR)-SUMIF('6店辅助表'!AP:AP,B:B,'6店辅助表'!AR:AR)*0.15-(L61+IFERROR(VLOOKUP(B:B,'6店辅助表'!AZ:BA,2,0),0))*O61-IF(AN:AN="US",6.85,4.9)*(Z61+4.03*O61))/SUMIF('6店辅助表'!AP:AP,B:B,'6店辅助表'!AR:AR),"-")</f>
        <v>-</v>
      </c>
      <c r="AJ61" s="100" t="str">
        <f t="shared" si="42"/>
        <v>-</v>
      </c>
      <c r="AK61" s="101">
        <f t="shared" si="43"/>
        <v>0</v>
      </c>
      <c r="AL61" s="101">
        <f t="shared" si="44"/>
        <v>0</v>
      </c>
      <c r="AM61" s="1" t="str">
        <f>VLOOKUP(B:B,'6店辅助表'!AZ:AZ,1,FALSE)</f>
        <v>Y6608-GR</v>
      </c>
      <c r="AN61" t="str">
        <f>VLOOKUP(B:B,'6店辅助表'!AZ:BB,3,FALSE)</f>
        <v>CA</v>
      </c>
    </row>
    <row r="62" customHeight="1" spans="1:40">
      <c r="A62" s="58" t="str">
        <f>INDEX('[1]6店'!$A:$A,MATCH(B:B,'[1]6店'!$B:$B,0))</f>
        <v>美珠</v>
      </c>
      <c r="B62" s="116" t="s">
        <v>2042</v>
      </c>
      <c r="C62" s="45" t="s">
        <v>2043</v>
      </c>
      <c r="D62" s="59">
        <f>VLOOKUP(B:B,'[1]6店'!$B:$L,3,0)</f>
        <v>45133</v>
      </c>
      <c r="E62" s="45" t="s">
        <v>2044</v>
      </c>
      <c r="F62" s="45">
        <v>15</v>
      </c>
      <c r="G62" s="45">
        <v>0</v>
      </c>
      <c r="H62" s="45">
        <v>0</v>
      </c>
      <c r="I62" s="45">
        <v>0</v>
      </c>
      <c r="J62" s="45">
        <v>0</v>
      </c>
      <c r="K62" s="63">
        <f t="shared" si="34"/>
        <v>15</v>
      </c>
      <c r="L62" s="124">
        <f>VLOOKUP($B:$B,'[1]6店'!$B:$L,11,0)</f>
        <v>31.089</v>
      </c>
      <c r="M62" s="44">
        <f t="shared" si="33"/>
        <v>466.335</v>
      </c>
      <c r="N62" s="65">
        <f>IFERROR(VLOOKUP(B:B,'6店辅助表'!B:C,2,FALSE),0)</f>
        <v>0</v>
      </c>
      <c r="O62" s="65">
        <f>IFERROR(VLOOKUP(B:B,'6店辅助表'!E:F,2,FALSE),0)</f>
        <v>0</v>
      </c>
      <c r="P62" s="65">
        <f>IFERROR(VLOOKUP(B:B,'6店辅助表'!H:I,2,FALSE),0)</f>
        <v>0</v>
      </c>
      <c r="Q62" s="65">
        <f>IFERROR(VLOOKUP(B:B,'[1]6店'!$B:$N,13,FALSE),0)</f>
        <v>0</v>
      </c>
      <c r="R62" s="79">
        <f t="shared" si="35"/>
        <v>0</v>
      </c>
      <c r="S62" s="80" t="str">
        <f t="shared" si="36"/>
        <v>-</v>
      </c>
      <c r="T62" s="44" t="str">
        <f t="shared" si="37"/>
        <v>-</v>
      </c>
      <c r="U62" s="44" t="str">
        <f>IFERROR(VLOOKUP(B:B,'[1]6店'!$B:$T,19,0),"-")</f>
        <v>-</v>
      </c>
      <c r="V62" s="81" t="str">
        <f t="shared" si="38"/>
        <v>-</v>
      </c>
      <c r="W62" s="82" t="str">
        <f t="shared" si="39"/>
        <v>有库存无销量</v>
      </c>
      <c r="X62" s="83" t="str">
        <f t="shared" si="40"/>
        <v>有库存无销量</v>
      </c>
      <c r="Y62" s="44">
        <f>IFERROR(SUMIF('6店辅助表'!K:K,B:B,'6店辅助表'!N:N),0)</f>
        <v>0</v>
      </c>
      <c r="Z62" s="44">
        <f>IFERROR(SUMIF('6店辅助表'!T:T,B:B,'6店辅助表'!W:W),0)</f>
        <v>0</v>
      </c>
      <c r="AA62" s="44">
        <f>IFERROR(SUMIF('6店辅助表'!AC:AC,B:B,'6店辅助表'!AF:AF),0)</f>
        <v>0</v>
      </c>
      <c r="AB62" s="91" t="str">
        <f>IFERROR(SUMIF('6店辅助表'!K:K,B:B,'6店辅助表'!N:N)/SUMIF('6店辅助表'!K:K,B:B,'6店辅助表'!O:O),"-")</f>
        <v>-</v>
      </c>
      <c r="AC62" s="91" t="str">
        <f>IFERROR(VLOOKUP(B:B,'[1]6店'!$B:$AB,27,FALSE),"-")</f>
        <v>-</v>
      </c>
      <c r="AD62" s="92" t="str">
        <f t="shared" si="41"/>
        <v>-</v>
      </c>
      <c r="AE62" s="91" t="str">
        <f>IFERROR(SUMIF('6店辅助表'!T:T,B:B,'6店辅助表'!W:W)/SUMIF('6店辅助表'!T:T,B:B,'6店辅助表'!X:X),"-")</f>
        <v>-</v>
      </c>
      <c r="AF62" s="91" t="str">
        <f>IFERROR(SUMIF('6店辅助表'!AC:AC,B:B,'6店辅助表'!AF:AF)/SUMIF('6店辅助表'!AC:AC,B:B,'6店辅助表'!AG:AG),"-")</f>
        <v>-</v>
      </c>
      <c r="AG62" s="99">
        <f>IFERROR(AK62/((SUMIF('6店辅助表'!AT:AT,B:B,'6店辅助表'!AU:AU)+M62)/2),"-")</f>
        <v>0</v>
      </c>
      <c r="AH62" s="99">
        <f>IFERROR(AL62/((SUMIF('6店辅助表'!AW:AW,B:B,'6店辅助表'!AX:AX)+M62)/2),"-")</f>
        <v>0</v>
      </c>
      <c r="AI62" s="100" t="str">
        <f>IFERROR((SUMIF('6店辅助表'!AP:AP,B:B,'6店辅助表'!AR:AR)-SUMIF('6店辅助表'!AP:AP,B:B,'6店辅助表'!AR:AR)*0.15-(L62+IFERROR(VLOOKUP(B:B,'6店辅助表'!AZ:BA,2,0),0))*O62-IF(AN:AN="US",6.85,4.9)*(Z62+4.03*O62))/SUMIF('6店辅助表'!AP:AP,B:B,'6店辅助表'!AR:AR),"-")</f>
        <v>-</v>
      </c>
      <c r="AJ62" s="100" t="str">
        <f t="shared" si="42"/>
        <v>-</v>
      </c>
      <c r="AK62" s="101">
        <f t="shared" si="43"/>
        <v>0</v>
      </c>
      <c r="AL62" s="101">
        <f t="shared" si="44"/>
        <v>0</v>
      </c>
      <c r="AM62" s="1" t="str">
        <f>VLOOKUP(B:B,'6店辅助表'!AZ:AZ,1,FALSE)</f>
        <v>Y6609-RE</v>
      </c>
      <c r="AN62" t="str">
        <f>VLOOKUP(B:B,'6店辅助表'!AZ:BB,3,FALSE)</f>
        <v>CA</v>
      </c>
    </row>
    <row r="63" customHeight="1" spans="1:40">
      <c r="A63" s="58" t="str">
        <f>INDEX('[1]6店'!$A:$A,MATCH(B:B,'[1]6店'!$B:$B,0))</f>
        <v>美珠</v>
      </c>
      <c r="B63" s="116" t="s">
        <v>2045</v>
      </c>
      <c r="C63" s="45" t="s">
        <v>2046</v>
      </c>
      <c r="D63" s="59">
        <f>VLOOKUP(B:B,'[1]6店'!$B:$L,3,0)</f>
        <v>45133</v>
      </c>
      <c r="E63" s="45" t="s">
        <v>2047</v>
      </c>
      <c r="F63" s="45">
        <v>25</v>
      </c>
      <c r="G63" s="45">
        <v>0</v>
      </c>
      <c r="H63" s="45">
        <v>0</v>
      </c>
      <c r="I63" s="45">
        <v>0</v>
      </c>
      <c r="J63" s="45">
        <v>0</v>
      </c>
      <c r="K63" s="63">
        <f t="shared" si="34"/>
        <v>25</v>
      </c>
      <c r="L63" s="124">
        <f>VLOOKUP($B:$B,'[1]6店'!$B:$L,11,0)</f>
        <v>31.089</v>
      </c>
      <c r="M63" s="44">
        <f t="shared" si="33"/>
        <v>777.225</v>
      </c>
      <c r="N63" s="65">
        <f>IFERROR(VLOOKUP(B:B,'6店辅助表'!B:C,2,FALSE),0)</f>
        <v>0</v>
      </c>
      <c r="O63" s="65">
        <f>IFERROR(VLOOKUP(B:B,'6店辅助表'!E:F,2,FALSE),0)</f>
        <v>0</v>
      </c>
      <c r="P63" s="65">
        <f>IFERROR(VLOOKUP(B:B,'6店辅助表'!H:I,2,FALSE),0)</f>
        <v>0</v>
      </c>
      <c r="Q63" s="65">
        <f>IFERROR(VLOOKUP(B:B,'[1]6店'!$B:$N,13,FALSE),0)</f>
        <v>0</v>
      </c>
      <c r="R63" s="79">
        <f t="shared" si="35"/>
        <v>0</v>
      </c>
      <c r="S63" s="80" t="str">
        <f t="shared" si="36"/>
        <v>-</v>
      </c>
      <c r="T63" s="44" t="str">
        <f t="shared" si="37"/>
        <v>-</v>
      </c>
      <c r="U63" s="44" t="str">
        <f>IFERROR(VLOOKUP(B:B,'[1]6店'!$B:$T,19,0),"-")</f>
        <v>-</v>
      </c>
      <c r="V63" s="81" t="str">
        <f t="shared" si="38"/>
        <v>-</v>
      </c>
      <c r="W63" s="82" t="str">
        <f t="shared" si="39"/>
        <v>有库存无销量</v>
      </c>
      <c r="X63" s="83" t="str">
        <f t="shared" si="40"/>
        <v>有库存无销量</v>
      </c>
      <c r="Y63" s="44">
        <f>IFERROR(SUMIF('6店辅助表'!K:K,B:B,'6店辅助表'!N:N),0)</f>
        <v>0</v>
      </c>
      <c r="Z63" s="44">
        <f>IFERROR(SUMIF('6店辅助表'!T:T,B:B,'6店辅助表'!W:W),0)</f>
        <v>0</v>
      </c>
      <c r="AA63" s="44">
        <f>IFERROR(SUMIF('6店辅助表'!AC:AC,B:B,'6店辅助表'!AF:AF),0)</f>
        <v>0</v>
      </c>
      <c r="AB63" s="91" t="str">
        <f>IFERROR(SUMIF('6店辅助表'!K:K,B:B,'6店辅助表'!N:N)/SUMIF('6店辅助表'!K:K,B:B,'6店辅助表'!O:O),"-")</f>
        <v>-</v>
      </c>
      <c r="AC63" s="91" t="str">
        <f>IFERROR(VLOOKUP(B:B,'[1]6店'!$B:$AB,27,FALSE),"-")</f>
        <v>-</v>
      </c>
      <c r="AD63" s="92" t="str">
        <f t="shared" si="41"/>
        <v>-</v>
      </c>
      <c r="AE63" s="91" t="str">
        <f>IFERROR(SUMIF('6店辅助表'!T:T,B:B,'6店辅助表'!W:W)/SUMIF('6店辅助表'!T:T,B:B,'6店辅助表'!X:X),"-")</f>
        <v>-</v>
      </c>
      <c r="AF63" s="91" t="str">
        <f>IFERROR(SUMIF('6店辅助表'!AC:AC,B:B,'6店辅助表'!AF:AF)/SUMIF('6店辅助表'!AC:AC,B:B,'6店辅助表'!AG:AG),"-")</f>
        <v>-</v>
      </c>
      <c r="AG63" s="99">
        <f>IFERROR(AK63/((SUMIF('6店辅助表'!AT:AT,B:B,'6店辅助表'!AU:AU)+M63)/2),"-")</f>
        <v>0</v>
      </c>
      <c r="AH63" s="99">
        <f>IFERROR(AL63/((SUMIF('6店辅助表'!AW:AW,B:B,'6店辅助表'!AX:AX)+M63)/2),"-")</f>
        <v>0</v>
      </c>
      <c r="AI63" s="100" t="str">
        <f>IFERROR((SUMIF('6店辅助表'!AP:AP,B:B,'6店辅助表'!AR:AR)-SUMIF('6店辅助表'!AP:AP,B:B,'6店辅助表'!AR:AR)*0.15-(L63+IFERROR(VLOOKUP(B:B,'6店辅助表'!AZ:BA,2,0),0))*O63-IF(AN:AN="US",6.85,4.9)*(Z63+4.03*O63))/SUMIF('6店辅助表'!AP:AP,B:B,'6店辅助表'!AR:AR),"-")</f>
        <v>-</v>
      </c>
      <c r="AJ63" s="100" t="str">
        <f t="shared" si="42"/>
        <v>-</v>
      </c>
      <c r="AK63" s="101">
        <f t="shared" si="43"/>
        <v>0</v>
      </c>
      <c r="AL63" s="101">
        <f t="shared" si="44"/>
        <v>0</v>
      </c>
      <c r="AM63" s="1" t="str">
        <f>VLOOKUP(B:B,'6店辅助表'!AZ:AZ,1,FALSE)</f>
        <v>Y6609-BL</v>
      </c>
      <c r="AN63" t="str">
        <f>VLOOKUP(B:B,'6店辅助表'!AZ:BB,3,FALSE)</f>
        <v>CA</v>
      </c>
    </row>
    <row r="64" customHeight="1" spans="1:40">
      <c r="A64" s="58" t="str">
        <f>INDEX('[1]6店'!$A:$A,MATCH(B:B,'[1]6店'!$B:$B,0))</f>
        <v>美珠</v>
      </c>
      <c r="B64" s="116" t="s">
        <v>2048</v>
      </c>
      <c r="C64" s="45" t="s">
        <v>2049</v>
      </c>
      <c r="D64" s="59">
        <f>VLOOKUP(B:B,'[1]6店'!$B:$L,3,0)</f>
        <v>45133</v>
      </c>
      <c r="E64" s="45" t="s">
        <v>2050</v>
      </c>
      <c r="F64" s="45">
        <v>20</v>
      </c>
      <c r="G64" s="45">
        <v>0</v>
      </c>
      <c r="H64" s="45">
        <v>0</v>
      </c>
      <c r="I64" s="45">
        <v>0</v>
      </c>
      <c r="J64" s="45">
        <v>0</v>
      </c>
      <c r="K64" s="63">
        <f t="shared" si="34"/>
        <v>20</v>
      </c>
      <c r="L64" s="124">
        <f>VLOOKUP($B:$B,'[1]6店'!$B:$L,11,0)</f>
        <v>32.089</v>
      </c>
      <c r="M64" s="44">
        <f t="shared" si="33"/>
        <v>641.78</v>
      </c>
      <c r="N64" s="65">
        <f>IFERROR(VLOOKUP(B:B,'6店辅助表'!B:C,2,FALSE),0)</f>
        <v>0</v>
      </c>
      <c r="O64" s="65">
        <f>IFERROR(VLOOKUP(B:B,'6店辅助表'!E:F,2,FALSE),0)</f>
        <v>0</v>
      </c>
      <c r="P64" s="65">
        <f>IFERROR(VLOOKUP(B:B,'6店辅助表'!H:I,2,FALSE),0)</f>
        <v>0</v>
      </c>
      <c r="Q64" s="65">
        <f>IFERROR(VLOOKUP(B:B,'[1]6店'!$B:$N,13,FALSE),0)</f>
        <v>0</v>
      </c>
      <c r="R64" s="79">
        <f t="shared" si="35"/>
        <v>0</v>
      </c>
      <c r="S64" s="80" t="str">
        <f t="shared" si="36"/>
        <v>-</v>
      </c>
      <c r="T64" s="44" t="str">
        <f t="shared" si="37"/>
        <v>-</v>
      </c>
      <c r="U64" s="44" t="str">
        <f>IFERROR(VLOOKUP(B:B,'[1]6店'!$B:$T,19,0),"-")</f>
        <v>-</v>
      </c>
      <c r="V64" s="81" t="str">
        <f t="shared" si="38"/>
        <v>-</v>
      </c>
      <c r="W64" s="82" t="str">
        <f t="shared" si="39"/>
        <v>有库存无销量</v>
      </c>
      <c r="X64" s="83" t="str">
        <f t="shared" si="40"/>
        <v>有库存无销量</v>
      </c>
      <c r="Y64" s="44">
        <f>IFERROR(SUMIF('6店辅助表'!K:K,B:B,'6店辅助表'!N:N),0)</f>
        <v>0</v>
      </c>
      <c r="Z64" s="44">
        <f>IFERROR(SUMIF('6店辅助表'!T:T,B:B,'6店辅助表'!W:W),0)</f>
        <v>0</v>
      </c>
      <c r="AA64" s="44">
        <f>IFERROR(SUMIF('6店辅助表'!AC:AC,B:B,'6店辅助表'!AF:AF),0)</f>
        <v>0</v>
      </c>
      <c r="AB64" s="91" t="str">
        <f>IFERROR(SUMIF('6店辅助表'!K:K,B:B,'6店辅助表'!N:N)/SUMIF('6店辅助表'!K:K,B:B,'6店辅助表'!O:O),"-")</f>
        <v>-</v>
      </c>
      <c r="AC64" s="91" t="str">
        <f>IFERROR(VLOOKUP(B:B,'[1]6店'!$B:$AB,27,FALSE),"-")</f>
        <v>-</v>
      </c>
      <c r="AD64" s="92" t="str">
        <f t="shared" si="41"/>
        <v>-</v>
      </c>
      <c r="AE64" s="91" t="str">
        <f>IFERROR(SUMIF('6店辅助表'!T:T,B:B,'6店辅助表'!W:W)/SUMIF('6店辅助表'!T:T,B:B,'6店辅助表'!X:X),"-")</f>
        <v>-</v>
      </c>
      <c r="AF64" s="91" t="str">
        <f>IFERROR(SUMIF('6店辅助表'!AC:AC,B:B,'6店辅助表'!AF:AF)/SUMIF('6店辅助表'!AC:AC,B:B,'6店辅助表'!AG:AG),"-")</f>
        <v>-</v>
      </c>
      <c r="AG64" s="99">
        <f>IFERROR(AK64/((SUMIF('6店辅助表'!AT:AT,B:B,'6店辅助表'!AU:AU)+M64)/2),"-")</f>
        <v>0</v>
      </c>
      <c r="AH64" s="99">
        <f>IFERROR(AL64/((SUMIF('6店辅助表'!AW:AW,B:B,'6店辅助表'!AX:AX)+M64)/2),"-")</f>
        <v>0</v>
      </c>
      <c r="AI64" s="100" t="str">
        <f>IFERROR((SUMIF('6店辅助表'!AP:AP,B:B,'6店辅助表'!AR:AR)-SUMIF('6店辅助表'!AP:AP,B:B,'6店辅助表'!AR:AR)*0.15-(L64+IFERROR(VLOOKUP(B:B,'6店辅助表'!AZ:BA,2,0),0))*O64-IF(AN:AN="US",6.85,4.9)*(Z64+4.03*O64))/SUMIF('6店辅助表'!AP:AP,B:B,'6店辅助表'!AR:AR),"-")</f>
        <v>-</v>
      </c>
      <c r="AJ64" s="100" t="str">
        <f t="shared" si="42"/>
        <v>-</v>
      </c>
      <c r="AK64" s="101">
        <f t="shared" si="43"/>
        <v>0</v>
      </c>
      <c r="AL64" s="101">
        <f t="shared" si="44"/>
        <v>0</v>
      </c>
      <c r="AM64" s="1" t="str">
        <f>VLOOKUP(B:B,'6店辅助表'!AZ:AZ,1,FALSE)</f>
        <v>Y6610-BL</v>
      </c>
      <c r="AN64" t="str">
        <f>VLOOKUP(B:B,'6店辅助表'!AZ:BB,3,FALSE)</f>
        <v>CA</v>
      </c>
    </row>
    <row r="65" customHeight="1" spans="1:40">
      <c r="A65" s="58" t="str">
        <f>INDEX('[1]6店'!$A:$A,MATCH(B:B,'[1]6店'!$B:$B,0))</f>
        <v>美珠</v>
      </c>
      <c r="B65" s="116" t="s">
        <v>2051</v>
      </c>
      <c r="C65" s="45" t="s">
        <v>2049</v>
      </c>
      <c r="D65" s="59">
        <f>VLOOKUP(B:B,'[1]6店'!$B:$L,3,0)</f>
        <v>45133</v>
      </c>
      <c r="E65" s="45" t="s">
        <v>2052</v>
      </c>
      <c r="F65" s="45">
        <v>11</v>
      </c>
      <c r="G65" s="45">
        <v>0</v>
      </c>
      <c r="H65" s="45">
        <v>0</v>
      </c>
      <c r="I65" s="45">
        <v>0</v>
      </c>
      <c r="J65" s="45">
        <v>0</v>
      </c>
      <c r="K65" s="63">
        <f t="shared" si="34"/>
        <v>11</v>
      </c>
      <c r="L65" s="124">
        <f>VLOOKUP($B:$B,'[1]6店'!$B:$L,11,0)</f>
        <v>32.089</v>
      </c>
      <c r="M65" s="44">
        <f t="shared" si="33"/>
        <v>352.979</v>
      </c>
      <c r="N65" s="65">
        <f>IFERROR(VLOOKUP(B:B,'6店辅助表'!B:C,2,FALSE),0)</f>
        <v>0</v>
      </c>
      <c r="O65" s="65">
        <f>IFERROR(VLOOKUP(B:B,'6店辅助表'!E:F,2,FALSE),0)</f>
        <v>0</v>
      </c>
      <c r="P65" s="65">
        <f>IFERROR(VLOOKUP(B:B,'6店辅助表'!H:I,2,FALSE),0)</f>
        <v>0</v>
      </c>
      <c r="Q65" s="65">
        <f>IFERROR(VLOOKUP(B:B,'[1]6店'!$B:$N,13,FALSE),0)</f>
        <v>0</v>
      </c>
      <c r="R65" s="79">
        <f t="shared" si="35"/>
        <v>0</v>
      </c>
      <c r="S65" s="80" t="str">
        <f t="shared" si="36"/>
        <v>-</v>
      </c>
      <c r="T65" s="44" t="str">
        <f t="shared" si="37"/>
        <v>-</v>
      </c>
      <c r="U65" s="44" t="str">
        <f>IFERROR(VLOOKUP(B:B,'[1]6店'!$B:$T,19,0),"-")</f>
        <v>-</v>
      </c>
      <c r="V65" s="81" t="str">
        <f t="shared" si="38"/>
        <v>-</v>
      </c>
      <c r="W65" s="82" t="str">
        <f t="shared" si="39"/>
        <v>有库存无销量</v>
      </c>
      <c r="X65" s="83" t="str">
        <f t="shared" si="40"/>
        <v>有库存无销量</v>
      </c>
      <c r="Y65" s="44">
        <f>IFERROR(SUMIF('6店辅助表'!K:K,B:B,'6店辅助表'!N:N),0)</f>
        <v>0</v>
      </c>
      <c r="Z65" s="44">
        <f>IFERROR(SUMIF('6店辅助表'!T:T,B:B,'6店辅助表'!W:W),0)</f>
        <v>0</v>
      </c>
      <c r="AA65" s="44">
        <f>IFERROR(SUMIF('6店辅助表'!AC:AC,B:B,'6店辅助表'!AF:AF),0)</f>
        <v>0</v>
      </c>
      <c r="AB65" s="91" t="str">
        <f>IFERROR(SUMIF('6店辅助表'!K:K,B:B,'6店辅助表'!N:N)/SUMIF('6店辅助表'!K:K,B:B,'6店辅助表'!O:O),"-")</f>
        <v>-</v>
      </c>
      <c r="AC65" s="91" t="str">
        <f>IFERROR(VLOOKUP(B:B,'[1]6店'!$B:$AB,27,FALSE),"-")</f>
        <v>-</v>
      </c>
      <c r="AD65" s="92" t="str">
        <f t="shared" si="41"/>
        <v>-</v>
      </c>
      <c r="AE65" s="91" t="str">
        <f>IFERROR(SUMIF('6店辅助表'!T:T,B:B,'6店辅助表'!W:W)/SUMIF('6店辅助表'!T:T,B:B,'6店辅助表'!X:X),"-")</f>
        <v>-</v>
      </c>
      <c r="AF65" s="91" t="str">
        <f>IFERROR(SUMIF('6店辅助表'!AC:AC,B:B,'6店辅助表'!AF:AF)/SUMIF('6店辅助表'!AC:AC,B:B,'6店辅助表'!AG:AG),"-")</f>
        <v>-</v>
      </c>
      <c r="AG65" s="99">
        <f>IFERROR(AK65/((SUMIF('6店辅助表'!AT:AT,B:B,'6店辅助表'!AU:AU)+M65)/2),"-")</f>
        <v>0</v>
      </c>
      <c r="AH65" s="99">
        <f>IFERROR(AL65/((SUMIF('6店辅助表'!AW:AW,B:B,'6店辅助表'!AX:AX)+M65)/2),"-")</f>
        <v>0</v>
      </c>
      <c r="AI65" s="100" t="str">
        <f>IFERROR((SUMIF('6店辅助表'!AP:AP,B:B,'6店辅助表'!AR:AR)-SUMIF('6店辅助表'!AP:AP,B:B,'6店辅助表'!AR:AR)*0.15-(L65+IFERROR(VLOOKUP(B:B,'6店辅助表'!AZ:BA,2,0),0))*O65-IF(AN:AN="US",6.85,4.9)*(Z65+4.03*O65))/SUMIF('6店辅助表'!AP:AP,B:B,'6店辅助表'!AR:AR),"-")</f>
        <v>-</v>
      </c>
      <c r="AJ65" s="100" t="str">
        <f t="shared" si="42"/>
        <v>-</v>
      </c>
      <c r="AK65" s="101">
        <f t="shared" si="43"/>
        <v>0</v>
      </c>
      <c r="AL65" s="101">
        <f t="shared" si="44"/>
        <v>0</v>
      </c>
      <c r="AM65" s="1" t="str">
        <f>VLOOKUP(B:B,'6店辅助表'!AZ:AZ,1,FALSE)</f>
        <v>Y6610-RE</v>
      </c>
      <c r="AN65" t="str">
        <f>VLOOKUP(B:B,'6店辅助表'!AZ:BB,3,FALSE)</f>
        <v>CA</v>
      </c>
    </row>
    <row r="66" customHeight="1" spans="1:40">
      <c r="A66" s="58" t="str">
        <f>INDEX('[1]6店'!$A:$A,MATCH(B:B,'[1]6店'!$B:$B,0))</f>
        <v>美珠</v>
      </c>
      <c r="B66" s="116" t="s">
        <v>2053</v>
      </c>
      <c r="C66" s="45" t="s">
        <v>2054</v>
      </c>
      <c r="D66" s="59">
        <f>VLOOKUP(B:B,'[1]6店'!$B:$L,3,0)</f>
        <v>45133</v>
      </c>
      <c r="E66" s="45" t="s">
        <v>2055</v>
      </c>
      <c r="F66" s="45">
        <v>15</v>
      </c>
      <c r="G66" s="45">
        <v>0</v>
      </c>
      <c r="H66" s="45">
        <v>0</v>
      </c>
      <c r="I66" s="45">
        <v>0</v>
      </c>
      <c r="J66" s="45">
        <v>0</v>
      </c>
      <c r="K66" s="63">
        <f t="shared" si="34"/>
        <v>15</v>
      </c>
      <c r="L66" s="124">
        <f>VLOOKUP($B:$B,'[1]6店'!$B:$L,11,0)</f>
        <v>10.114</v>
      </c>
      <c r="M66" s="44">
        <f t="shared" si="33"/>
        <v>151.71</v>
      </c>
      <c r="N66" s="65">
        <f>IFERROR(VLOOKUP(B:B,'6店辅助表'!B:C,2,FALSE),0)</f>
        <v>0</v>
      </c>
      <c r="O66" s="65">
        <f>IFERROR(VLOOKUP(B:B,'6店辅助表'!E:F,2,FALSE),0)</f>
        <v>0</v>
      </c>
      <c r="P66" s="65">
        <f>IFERROR(VLOOKUP(B:B,'6店辅助表'!H:I,2,FALSE),0)</f>
        <v>0</v>
      </c>
      <c r="Q66" s="65">
        <f>IFERROR(VLOOKUP(B:B,'[1]6店'!$B:$N,13,FALSE),0)</f>
        <v>0</v>
      </c>
      <c r="R66" s="79">
        <f t="shared" si="35"/>
        <v>0</v>
      </c>
      <c r="S66" s="80" t="str">
        <f t="shared" si="36"/>
        <v>-</v>
      </c>
      <c r="T66" s="44" t="str">
        <f t="shared" si="37"/>
        <v>-</v>
      </c>
      <c r="U66" s="44" t="str">
        <f>IFERROR(VLOOKUP(B:B,'[1]6店'!$B:$T,19,0),"-")</f>
        <v>-</v>
      </c>
      <c r="V66" s="81" t="str">
        <f t="shared" si="38"/>
        <v>-</v>
      </c>
      <c r="W66" s="82" t="str">
        <f t="shared" si="39"/>
        <v>有库存无销量</v>
      </c>
      <c r="X66" s="83" t="str">
        <f t="shared" si="40"/>
        <v>有库存无销量</v>
      </c>
      <c r="Y66" s="44">
        <f>IFERROR(SUMIF('6店辅助表'!K:K,B:B,'6店辅助表'!N:N),0)</f>
        <v>0</v>
      </c>
      <c r="Z66" s="44">
        <f>IFERROR(SUMIF('6店辅助表'!T:T,B:B,'6店辅助表'!W:W),0)</f>
        <v>0</v>
      </c>
      <c r="AA66" s="44">
        <f>IFERROR(SUMIF('6店辅助表'!AC:AC,B:B,'6店辅助表'!AF:AF),0)</f>
        <v>0.5</v>
      </c>
      <c r="AB66" s="91" t="str">
        <f>IFERROR(SUMIF('6店辅助表'!K:K,B:B,'6店辅助表'!N:N)/SUMIF('6店辅助表'!K:K,B:B,'6店辅助表'!O:O),"-")</f>
        <v>-</v>
      </c>
      <c r="AC66" s="91" t="str">
        <f>IFERROR(VLOOKUP(B:B,'[1]6店'!$B:$AB,27,FALSE),"-")</f>
        <v>-</v>
      </c>
      <c r="AD66" s="92" t="str">
        <f t="shared" si="41"/>
        <v>-</v>
      </c>
      <c r="AE66" s="91" t="str">
        <f>IFERROR(SUMIF('6店辅助表'!T:T,B:B,'6店辅助表'!W:W)/SUMIF('6店辅助表'!T:T,B:B,'6店辅助表'!X:X),"-")</f>
        <v>-</v>
      </c>
      <c r="AF66" s="91" t="str">
        <f>IFERROR(SUMIF('6店辅助表'!AC:AC,B:B,'6店辅助表'!AF:AF)/SUMIF('6店辅助表'!AC:AC,B:B,'6店辅助表'!AG:AG),"-")</f>
        <v>-</v>
      </c>
      <c r="AG66" s="99">
        <f>IFERROR(AK66/((SUMIF('6店辅助表'!AT:AT,B:B,'6店辅助表'!AU:AU)+M66)/2),"-")</f>
        <v>0</v>
      </c>
      <c r="AH66" s="99">
        <f>IFERROR(AL66/((SUMIF('6店辅助表'!AW:AW,B:B,'6店辅助表'!AX:AX)+M66)/2),"-")</f>
        <v>0</v>
      </c>
      <c r="AI66" s="100" t="str">
        <f>IFERROR((SUMIF('6店辅助表'!AP:AP,B:B,'6店辅助表'!AR:AR)-SUMIF('6店辅助表'!AP:AP,B:B,'6店辅助表'!AR:AR)*0.15-(L66+IFERROR(VLOOKUP(B:B,'6店辅助表'!AZ:BA,2,0),0))*O66-IF(AN:AN="US",6.85,4.9)*(Z66+4.03*O66))/SUMIF('6店辅助表'!AP:AP,B:B,'6店辅助表'!AR:AR),"-")</f>
        <v>-</v>
      </c>
      <c r="AJ66" s="100" t="str">
        <f t="shared" si="42"/>
        <v>-</v>
      </c>
      <c r="AK66" s="101">
        <f t="shared" si="43"/>
        <v>0</v>
      </c>
      <c r="AL66" s="101">
        <f t="shared" si="44"/>
        <v>0</v>
      </c>
      <c r="AM66" s="1" t="str">
        <f>VLOOKUP(B:B,'6店辅助表'!AZ:AZ,1,FALSE)</f>
        <v>Y6611</v>
      </c>
      <c r="AN66" t="str">
        <f>VLOOKUP(B:B,'6店辅助表'!AZ:BB,3,FALSE)</f>
        <v>CA</v>
      </c>
    </row>
    <row r="67" customHeight="1" spans="1:40">
      <c r="A67" s="58" t="str">
        <f>INDEX('[1]6店'!$A:$A,MATCH(B:B,'[1]6店'!$B:$B,0))</f>
        <v>美珠</v>
      </c>
      <c r="B67" s="116" t="s">
        <v>2056</v>
      </c>
      <c r="C67" s="45" t="s">
        <v>2057</v>
      </c>
      <c r="D67" s="59">
        <f>VLOOKUP(B:B,'[1]6店'!$B:$L,3,0)</f>
        <v>45133</v>
      </c>
      <c r="E67" s="45" t="s">
        <v>2058</v>
      </c>
      <c r="F67" s="45">
        <v>15</v>
      </c>
      <c r="G67" s="45">
        <v>0</v>
      </c>
      <c r="H67" s="45">
        <v>0</v>
      </c>
      <c r="I67" s="45">
        <v>0</v>
      </c>
      <c r="J67" s="45">
        <v>0</v>
      </c>
      <c r="K67" s="63">
        <f t="shared" si="34"/>
        <v>15</v>
      </c>
      <c r="L67" s="124">
        <f>VLOOKUP($B:$B,'[1]6店'!$B:$L,11,0)</f>
        <v>9.044</v>
      </c>
      <c r="M67" s="44">
        <f t="shared" si="33"/>
        <v>135.66</v>
      </c>
      <c r="N67" s="65">
        <f>IFERROR(VLOOKUP(B:B,'6店辅助表'!B:C,2,FALSE),0)</f>
        <v>0</v>
      </c>
      <c r="O67" s="65">
        <f>IFERROR(VLOOKUP(B:B,'6店辅助表'!E:F,2,FALSE),0)</f>
        <v>0</v>
      </c>
      <c r="P67" s="65">
        <f>IFERROR(VLOOKUP(B:B,'6店辅助表'!H:I,2,FALSE),0)</f>
        <v>0</v>
      </c>
      <c r="Q67" s="65">
        <f>IFERROR(VLOOKUP(B:B,'[1]6店'!$B:$N,13,FALSE),0)</f>
        <v>0</v>
      </c>
      <c r="R67" s="79">
        <f t="shared" si="35"/>
        <v>0</v>
      </c>
      <c r="S67" s="80" t="str">
        <f t="shared" si="36"/>
        <v>-</v>
      </c>
      <c r="T67" s="44" t="str">
        <f t="shared" si="37"/>
        <v>-</v>
      </c>
      <c r="U67" s="44" t="str">
        <f>IFERROR(VLOOKUP(B:B,'[1]6店'!$B:$T,19,0),"-")</f>
        <v>-</v>
      </c>
      <c r="V67" s="81" t="str">
        <f t="shared" si="38"/>
        <v>-</v>
      </c>
      <c r="W67" s="82" t="str">
        <f t="shared" si="39"/>
        <v>有库存无销量</v>
      </c>
      <c r="X67" s="83" t="str">
        <f t="shared" si="40"/>
        <v>有库存无销量</v>
      </c>
      <c r="Y67" s="44">
        <f>IFERROR(SUMIF('6店辅助表'!K:K,B:B,'6店辅助表'!N:N),0)</f>
        <v>0.59</v>
      </c>
      <c r="Z67" s="44">
        <f>IFERROR(SUMIF('6店辅助表'!T:T,B:B,'6店辅助表'!W:W),0)</f>
        <v>2.86</v>
      </c>
      <c r="AA67" s="44">
        <f>IFERROR(SUMIF('6店辅助表'!AC:AC,B:B,'6店辅助表'!AF:AF),0)</f>
        <v>3.49</v>
      </c>
      <c r="AB67" s="91" t="str">
        <f>IFERROR(SUMIF('6店辅助表'!K:K,B:B,'6店辅助表'!N:N)/SUMIF('6店辅助表'!K:K,B:B,'6店辅助表'!O:O),"-")</f>
        <v>-</v>
      </c>
      <c r="AC67" s="91" t="str">
        <f>IFERROR(VLOOKUP(B:B,'[1]6店'!$B:$AB,27,FALSE),"-")</f>
        <v>-</v>
      </c>
      <c r="AD67" s="92" t="str">
        <f t="shared" si="41"/>
        <v>-</v>
      </c>
      <c r="AE67" s="91" t="str">
        <f>IFERROR(SUMIF('6店辅助表'!T:T,B:B,'6店辅助表'!W:W)/SUMIF('6店辅助表'!T:T,B:B,'6店辅助表'!X:X),"-")</f>
        <v>-</v>
      </c>
      <c r="AF67" s="91" t="str">
        <f>IFERROR(SUMIF('6店辅助表'!AC:AC,B:B,'6店辅助表'!AF:AF)/SUMIF('6店辅助表'!AC:AC,B:B,'6店辅助表'!AG:AG),"-")</f>
        <v>-</v>
      </c>
      <c r="AG67" s="99">
        <f>IFERROR(AK67/((SUMIF('6店辅助表'!AT:AT,B:B,'6店辅助表'!AU:AU)+M67)/2),"-")</f>
        <v>0</v>
      </c>
      <c r="AH67" s="99">
        <f>IFERROR(AL67/((SUMIF('6店辅助表'!AW:AW,B:B,'6店辅助表'!AX:AX)+M67)/2),"-")</f>
        <v>0</v>
      </c>
      <c r="AI67" s="100" t="str">
        <f>IFERROR((SUMIF('6店辅助表'!AP:AP,B:B,'6店辅助表'!AR:AR)-SUMIF('6店辅助表'!AP:AP,B:B,'6店辅助表'!AR:AR)*0.15-(L67+IFERROR(VLOOKUP(B:B,'6店辅助表'!AZ:BA,2,0),0))*O67-IF(AN:AN="US",6.85,4.9)*(Z67+4.03*O67))/SUMIF('6店辅助表'!AP:AP,B:B,'6店辅助表'!AR:AR),"-")</f>
        <v>-</v>
      </c>
      <c r="AJ67" s="100" t="str">
        <f t="shared" si="42"/>
        <v>-</v>
      </c>
      <c r="AK67" s="101">
        <f t="shared" si="43"/>
        <v>0</v>
      </c>
      <c r="AL67" s="101">
        <f t="shared" si="44"/>
        <v>0</v>
      </c>
      <c r="AM67" s="1" t="str">
        <f>VLOOKUP(B:B,'6店辅助表'!AZ:AZ,1,FALSE)</f>
        <v>Y6612-BL</v>
      </c>
      <c r="AN67" t="str">
        <f>VLOOKUP(B:B,'6店辅助表'!AZ:BB,3,FALSE)</f>
        <v>CA</v>
      </c>
    </row>
    <row r="68" customHeight="1" spans="1:40">
      <c r="A68" s="58" t="str">
        <f>INDEX('[1]6店'!$A:$A,MATCH(B:B,'[1]6店'!$B:$B,0))</f>
        <v>美珠</v>
      </c>
      <c r="B68" s="116" t="s">
        <v>2059</v>
      </c>
      <c r="C68" s="45" t="s">
        <v>2060</v>
      </c>
      <c r="D68" s="59">
        <f>VLOOKUP(B:B,'[1]6店'!$B:$L,3,0)</f>
        <v>45133</v>
      </c>
      <c r="E68" s="45" t="s">
        <v>2061</v>
      </c>
      <c r="F68" s="45">
        <v>15</v>
      </c>
      <c r="G68" s="45">
        <v>0</v>
      </c>
      <c r="H68" s="45">
        <v>0</v>
      </c>
      <c r="I68" s="45">
        <v>0</v>
      </c>
      <c r="J68" s="45">
        <v>0</v>
      </c>
      <c r="K68" s="63">
        <f t="shared" si="34"/>
        <v>15</v>
      </c>
      <c r="L68" s="124">
        <f>VLOOKUP($B:$B,'[1]6店'!$B:$L,11,0)</f>
        <v>9.044</v>
      </c>
      <c r="M68" s="44">
        <f t="shared" si="33"/>
        <v>135.66</v>
      </c>
      <c r="N68" s="65">
        <f>IFERROR(VLOOKUP(B:B,'6店辅助表'!B:C,2,FALSE),0)</f>
        <v>0</v>
      </c>
      <c r="O68" s="65">
        <f>IFERROR(VLOOKUP(B:B,'6店辅助表'!E:F,2,FALSE),0)</f>
        <v>0</v>
      </c>
      <c r="P68" s="65">
        <f>IFERROR(VLOOKUP(B:B,'6店辅助表'!H:I,2,FALSE),0)</f>
        <v>0</v>
      </c>
      <c r="Q68" s="65">
        <f>IFERROR(VLOOKUP(B:B,'[1]6店'!$B:$N,13,FALSE),0)</f>
        <v>0</v>
      </c>
      <c r="R68" s="79">
        <f t="shared" si="35"/>
        <v>0</v>
      </c>
      <c r="S68" s="80" t="str">
        <f t="shared" si="36"/>
        <v>-</v>
      </c>
      <c r="T68" s="44" t="str">
        <f t="shared" si="37"/>
        <v>-</v>
      </c>
      <c r="U68" s="44" t="str">
        <f>IFERROR(VLOOKUP(B:B,'[1]6店'!$B:$T,19,0),"-")</f>
        <v>-</v>
      </c>
      <c r="V68" s="81" t="str">
        <f t="shared" si="38"/>
        <v>-</v>
      </c>
      <c r="W68" s="82" t="str">
        <f t="shared" si="39"/>
        <v>有库存无销量</v>
      </c>
      <c r="X68" s="83" t="str">
        <f t="shared" si="40"/>
        <v>有库存无销量</v>
      </c>
      <c r="Y68" s="44">
        <f>IFERROR(SUMIF('6店辅助表'!K:K,B:B,'6店辅助表'!N:N),0)</f>
        <v>0</v>
      </c>
      <c r="Z68" s="44">
        <f>IFERROR(SUMIF('6店辅助表'!T:T,B:B,'6店辅助表'!W:W),0)</f>
        <v>0</v>
      </c>
      <c r="AA68" s="44">
        <f>IFERROR(SUMIF('6店辅助表'!AC:AC,B:B,'6店辅助表'!AF:AF),0)</f>
        <v>0.54</v>
      </c>
      <c r="AB68" s="91" t="str">
        <f>IFERROR(SUMIF('6店辅助表'!K:K,B:B,'6店辅助表'!N:N)/SUMIF('6店辅助表'!K:K,B:B,'6店辅助表'!O:O),"-")</f>
        <v>-</v>
      </c>
      <c r="AC68" s="91" t="str">
        <f>IFERROR(VLOOKUP(B:B,'[1]6店'!$B:$AB,27,FALSE),"-")</f>
        <v>-</v>
      </c>
      <c r="AD68" s="92" t="str">
        <f t="shared" si="41"/>
        <v>-</v>
      </c>
      <c r="AE68" s="91" t="str">
        <f>IFERROR(SUMIF('6店辅助表'!T:T,B:B,'6店辅助表'!W:W)/SUMIF('6店辅助表'!T:T,B:B,'6店辅助表'!X:X),"-")</f>
        <v>-</v>
      </c>
      <c r="AF68" s="91" t="str">
        <f>IFERROR(SUMIF('6店辅助表'!AC:AC,B:B,'6店辅助表'!AF:AF)/SUMIF('6店辅助表'!AC:AC,B:B,'6店辅助表'!AG:AG),"-")</f>
        <v>-</v>
      </c>
      <c r="AG68" s="99">
        <f>IFERROR(AK68/((SUMIF('6店辅助表'!AT:AT,B:B,'6店辅助表'!AU:AU)+M68)/2),"-")</f>
        <v>0</v>
      </c>
      <c r="AH68" s="99">
        <f>IFERROR(AL68/((SUMIF('6店辅助表'!AW:AW,B:B,'6店辅助表'!AX:AX)+M68)/2),"-")</f>
        <v>0</v>
      </c>
      <c r="AI68" s="100" t="str">
        <f>IFERROR((SUMIF('6店辅助表'!AP:AP,B:B,'6店辅助表'!AR:AR)-SUMIF('6店辅助表'!AP:AP,B:B,'6店辅助表'!AR:AR)*0.15-(L68+IFERROR(VLOOKUP(B:B,'6店辅助表'!AZ:BA,2,0),0))*O68-IF(AN:AN="US",6.85,4.9)*(Z68+4.03*O68))/SUMIF('6店辅助表'!AP:AP,B:B,'6店辅助表'!AR:AR),"-")</f>
        <v>-</v>
      </c>
      <c r="AJ68" s="100" t="str">
        <f t="shared" si="42"/>
        <v>-</v>
      </c>
      <c r="AK68" s="101">
        <f t="shared" si="43"/>
        <v>0</v>
      </c>
      <c r="AL68" s="101">
        <f t="shared" si="44"/>
        <v>0</v>
      </c>
      <c r="AM68" s="1" t="str">
        <f>VLOOKUP(B:B,'6店辅助表'!AZ:AZ,1,FALSE)</f>
        <v>Y6612-GR</v>
      </c>
      <c r="AN68" t="str">
        <f>VLOOKUP(B:B,'6店辅助表'!AZ:BB,3,FALSE)</f>
        <v>CA</v>
      </c>
    </row>
    <row r="69" customHeight="1" spans="1:40">
      <c r="A69" s="58" t="str">
        <f>INDEX('[1]6店'!$A:$A,MATCH(B:B,'[1]6店'!$B:$B,0))</f>
        <v>美珠</v>
      </c>
      <c r="B69" s="116" t="s">
        <v>2062</v>
      </c>
      <c r="C69" s="45" t="s">
        <v>2063</v>
      </c>
      <c r="D69" s="59">
        <f>VLOOKUP(B:B,'[1]6店'!$B:$L,3,0)</f>
        <v>45133</v>
      </c>
      <c r="E69" s="45" t="s">
        <v>2064</v>
      </c>
      <c r="F69" s="45">
        <v>14</v>
      </c>
      <c r="G69" s="45">
        <v>0</v>
      </c>
      <c r="H69" s="45">
        <v>0</v>
      </c>
      <c r="I69" s="45">
        <v>0</v>
      </c>
      <c r="J69" s="45">
        <v>0</v>
      </c>
      <c r="K69" s="63">
        <f t="shared" si="34"/>
        <v>14</v>
      </c>
      <c r="L69" s="124">
        <f>VLOOKUP($B:$B,'[1]6店'!$B:$L,11,0)</f>
        <v>9.044</v>
      </c>
      <c r="M69" s="44">
        <f t="shared" ref="M69:M90" si="45">K69*L69</f>
        <v>126.616</v>
      </c>
      <c r="N69" s="65">
        <f>IFERROR(VLOOKUP(B:B,'6店辅助表'!B:C,2,FALSE),0)</f>
        <v>0</v>
      </c>
      <c r="O69" s="65">
        <f>IFERROR(VLOOKUP(B:B,'6店辅助表'!E:F,2,FALSE),0)</f>
        <v>0</v>
      </c>
      <c r="P69" s="65">
        <f>IFERROR(VLOOKUP(B:B,'6店辅助表'!H:I,2,FALSE),0)</f>
        <v>0</v>
      </c>
      <c r="Q69" s="65">
        <f>IFERROR(VLOOKUP(B:B,'[1]6店'!$B:$N,13,FALSE),0)</f>
        <v>0</v>
      </c>
      <c r="R69" s="79">
        <f t="shared" si="35"/>
        <v>0</v>
      </c>
      <c r="S69" s="80" t="str">
        <f t="shared" si="36"/>
        <v>-</v>
      </c>
      <c r="T69" s="44" t="str">
        <f t="shared" si="37"/>
        <v>-</v>
      </c>
      <c r="U69" s="44" t="str">
        <f>IFERROR(VLOOKUP(B:B,'[1]6店'!$B:$T,19,0),"-")</f>
        <v>-</v>
      </c>
      <c r="V69" s="81" t="str">
        <f t="shared" si="38"/>
        <v>-</v>
      </c>
      <c r="W69" s="82" t="str">
        <f t="shared" si="39"/>
        <v>有库存无销量</v>
      </c>
      <c r="X69" s="83" t="str">
        <f t="shared" si="40"/>
        <v>有库存无销量</v>
      </c>
      <c r="Y69" s="44">
        <f>IFERROR(SUMIF('6店辅助表'!K:K,B:B,'6店辅助表'!N:N),0)</f>
        <v>0</v>
      </c>
      <c r="Z69" s="44">
        <f>IFERROR(SUMIF('6店辅助表'!T:T,B:B,'6店辅助表'!W:W),0)</f>
        <v>0</v>
      </c>
      <c r="AA69" s="44">
        <f>IFERROR(SUMIF('6店辅助表'!AC:AC,B:B,'6店辅助表'!AF:AF),0)</f>
        <v>0</v>
      </c>
      <c r="AB69" s="91" t="str">
        <f>IFERROR(SUMIF('6店辅助表'!K:K,B:B,'6店辅助表'!N:N)/SUMIF('6店辅助表'!K:K,B:B,'6店辅助表'!O:O),"-")</f>
        <v>-</v>
      </c>
      <c r="AC69" s="91" t="str">
        <f>IFERROR(VLOOKUP(B:B,'[1]6店'!$B:$AB,27,FALSE),"-")</f>
        <v>-</v>
      </c>
      <c r="AD69" s="92" t="str">
        <f t="shared" si="41"/>
        <v>-</v>
      </c>
      <c r="AE69" s="91" t="str">
        <f>IFERROR(SUMIF('6店辅助表'!T:T,B:B,'6店辅助表'!W:W)/SUMIF('6店辅助表'!T:T,B:B,'6店辅助表'!X:X),"-")</f>
        <v>-</v>
      </c>
      <c r="AF69" s="91" t="str">
        <f>IFERROR(SUMIF('6店辅助表'!AC:AC,B:B,'6店辅助表'!AF:AF)/SUMIF('6店辅助表'!AC:AC,B:B,'6店辅助表'!AG:AG),"-")</f>
        <v>-</v>
      </c>
      <c r="AG69" s="99">
        <f>IFERROR(AK69/((SUMIF('6店辅助表'!AT:AT,B:B,'6店辅助表'!AU:AU)+M69)/2),"-")</f>
        <v>0</v>
      </c>
      <c r="AH69" s="99">
        <f>IFERROR(AL69/((SUMIF('6店辅助表'!AW:AW,B:B,'6店辅助表'!AX:AX)+M69)/2),"-")</f>
        <v>0</v>
      </c>
      <c r="AI69" s="100" t="str">
        <f>IFERROR((SUMIF('6店辅助表'!AP:AP,B:B,'6店辅助表'!AR:AR)-SUMIF('6店辅助表'!AP:AP,B:B,'6店辅助表'!AR:AR)*0.15-(L69+IFERROR(VLOOKUP(B:B,'6店辅助表'!AZ:BA,2,0),0))*O69-IF(AN:AN="US",6.85,4.9)*(Z69+4.03*O69))/SUMIF('6店辅助表'!AP:AP,B:B,'6店辅助表'!AR:AR),"-")</f>
        <v>-</v>
      </c>
      <c r="AJ69" s="100" t="str">
        <f t="shared" si="42"/>
        <v>-</v>
      </c>
      <c r="AK69" s="101">
        <f t="shared" si="43"/>
        <v>0</v>
      </c>
      <c r="AL69" s="101">
        <f t="shared" si="44"/>
        <v>0</v>
      </c>
      <c r="AM69" s="1" t="str">
        <f>VLOOKUP(B:B,'6店辅助表'!AZ:AZ,1,FALSE)</f>
        <v>Y6612-SC</v>
      </c>
      <c r="AN69" t="str">
        <f>VLOOKUP(B:B,'6店辅助表'!AZ:BB,3,FALSE)</f>
        <v>CA</v>
      </c>
    </row>
    <row r="70" customHeight="1" spans="1:40">
      <c r="A70" s="58" t="str">
        <f>INDEX('[1]6店'!$A:$A,MATCH(B:B,'[1]6店'!$B:$B,0))</f>
        <v>美珠</v>
      </c>
      <c r="B70" s="116" t="s">
        <v>2065</v>
      </c>
      <c r="C70" s="45" t="s">
        <v>2066</v>
      </c>
      <c r="D70" s="59">
        <f>VLOOKUP(B:B,'[1]6店'!$B:$L,3,0)</f>
        <v>45133</v>
      </c>
      <c r="E70" s="45" t="s">
        <v>2067</v>
      </c>
      <c r="F70" s="45">
        <v>18</v>
      </c>
      <c r="G70" s="45">
        <v>1</v>
      </c>
      <c r="H70" s="45">
        <v>2</v>
      </c>
      <c r="I70" s="45">
        <v>0</v>
      </c>
      <c r="J70" s="45">
        <v>0</v>
      </c>
      <c r="K70" s="63">
        <f t="shared" si="34"/>
        <v>21</v>
      </c>
      <c r="L70" s="124">
        <f>VLOOKUP($B:$B,'[1]6店'!$B:$L,11,0)</f>
        <v>42.375</v>
      </c>
      <c r="M70" s="44">
        <f t="shared" si="45"/>
        <v>889.875</v>
      </c>
      <c r="N70" s="65">
        <f>IFERROR(VLOOKUP(B:B,'6店辅助表'!B:C,2,FALSE),0)</f>
        <v>4</v>
      </c>
      <c r="O70" s="65">
        <f>IFERROR(VLOOKUP(B:B,'6店辅助表'!E:F,2,FALSE),0)</f>
        <v>7</v>
      </c>
      <c r="P70" s="65">
        <f>IFERROR(VLOOKUP(B:B,'6店辅助表'!H:I,2,FALSE),0)</f>
        <v>13</v>
      </c>
      <c r="Q70" s="65">
        <f>IFERROR(VLOOKUP(B:B,'[1]6店'!$B:$N,13,FALSE),0)</f>
        <v>3</v>
      </c>
      <c r="R70" s="79">
        <f t="shared" si="35"/>
        <v>1</v>
      </c>
      <c r="S70" s="80">
        <f t="shared" si="36"/>
        <v>42.8155339805825</v>
      </c>
      <c r="T70" s="44">
        <f t="shared" si="37"/>
        <v>1.42718446601942</v>
      </c>
      <c r="U70" s="44">
        <f>IFERROR(VLOOKUP(B:B,'[1]6店'!$B:$T,19,0),"-")</f>
        <v>2.0655737704918</v>
      </c>
      <c r="V70" s="81">
        <f t="shared" si="38"/>
        <v>-0.63838930447238</v>
      </c>
      <c r="W70" s="82" t="str">
        <f t="shared" si="39"/>
        <v>正常</v>
      </c>
      <c r="X70" s="83" t="str">
        <f t="shared" si="40"/>
        <v>正常</v>
      </c>
      <c r="Y70" s="44">
        <f>IFERROR(SUMIF('6店辅助表'!K:K,B:B,'6店辅助表'!N:N),0)</f>
        <v>23.75</v>
      </c>
      <c r="Z70" s="44">
        <f>IFERROR(SUMIF('6店辅助表'!T:T,B:B,'6店辅助表'!W:W),0)</f>
        <v>50.6</v>
      </c>
      <c r="AA70" s="44">
        <f>IFERROR(SUMIF('6店辅助表'!AC:AC,B:B,'6店辅助表'!AF:AF),0)</f>
        <v>98.85</v>
      </c>
      <c r="AB70" s="91">
        <f>IFERROR(SUMIF('6店辅助表'!K:K,B:B,'6店辅助表'!N:N)/SUMIF('6店辅助表'!K:K,B:B,'6店辅助表'!O:O),"-")</f>
        <v>0.565610859728507</v>
      </c>
      <c r="AC70" s="91">
        <f>IFERROR(VLOOKUP(B:B,'[1]6店'!$B:$AB,27,FALSE),"-")</f>
        <v>0.306501547987616</v>
      </c>
      <c r="AD70" s="92">
        <f t="shared" si="41"/>
        <v>0.259109311740891</v>
      </c>
      <c r="AE70" s="91">
        <f>IFERROR(SUMIF('6店辅助表'!T:T,B:B,'6店辅助表'!W:W)/SUMIF('6店辅助表'!T:T,B:B,'6店辅助表'!X:X),"-")</f>
        <v>0.401682940382631</v>
      </c>
      <c r="AF70" s="91">
        <f>IFERROR(SUMIF('6店辅助表'!AC:AC,B:B,'6店辅助表'!AF:AF)/SUMIF('6店辅助表'!AC:AC,B:B,'6店辅助表'!AG:AG),"-")</f>
        <v>0.29426649202191</v>
      </c>
      <c r="AG70" s="99">
        <f>IFERROR(AK70/((SUMIF('6店辅助表'!AT:AT,B:B,'6店辅助表'!AU:AU)+M70)/2),"-")</f>
        <v>0.177777777777778</v>
      </c>
      <c r="AH70" s="99">
        <f>IFERROR(AL70/((SUMIF('6店辅助表'!AW:AW,B:B,'6店辅助表'!AX:AX)+M70)/2),"-")</f>
        <v>0.264150943396226</v>
      </c>
      <c r="AI70" s="100">
        <f>IFERROR((SUMIF('6店辅助表'!AP:AP,B:B,'6店辅助表'!AR:AR)-SUMIF('6店辅助表'!AP:AP,B:B,'6店辅助表'!AR:AR)*0.15-(L70+IFERROR(VLOOKUP(B:B,'6店辅助表'!AZ:BA,2,0),0))*O70-IF(AN:AN="US",6.85,4.9)*(Z70+4.03*O70))/SUMIF('6店辅助表'!AP:AP,B:B,'6店辅助表'!AR:AR),"-")</f>
        <v>0.317910241019485</v>
      </c>
      <c r="AJ70" s="100">
        <f t="shared" si="42"/>
        <v>0.0839762900806186</v>
      </c>
      <c r="AK70" s="101">
        <f t="shared" si="43"/>
        <v>169.5</v>
      </c>
      <c r="AL70" s="101">
        <f t="shared" si="44"/>
        <v>296.625</v>
      </c>
      <c r="AM70" s="1" t="str">
        <f>VLOOKUP(B:B,'6店辅助表'!AZ:AZ,1,FALSE)</f>
        <v>Y6607</v>
      </c>
      <c r="AN70" t="str">
        <f>VLOOKUP(B:B,'6店辅助表'!AZ:BB,3,FALSE)</f>
        <v>CA</v>
      </c>
    </row>
    <row r="71" customHeight="1" spans="1:40">
      <c r="A71" s="58" t="str">
        <f>INDEX('[1]6店'!$A:$A,MATCH(B:B,'[1]6店'!$B:$B,0))</f>
        <v>美珠</v>
      </c>
      <c r="B71" s="116" t="s">
        <v>2068</v>
      </c>
      <c r="C71" s="45" t="s">
        <v>2069</v>
      </c>
      <c r="D71" s="59">
        <f>VLOOKUP(B:B,'[1]6店'!$B:$L,3,0)</f>
        <v>44667</v>
      </c>
      <c r="E71" s="45" t="s">
        <v>2070</v>
      </c>
      <c r="F71" s="45">
        <v>2</v>
      </c>
      <c r="G71" s="45">
        <v>0</v>
      </c>
      <c r="H71" s="45">
        <v>0</v>
      </c>
      <c r="I71" s="45">
        <v>0</v>
      </c>
      <c r="J71" s="45">
        <v>0</v>
      </c>
      <c r="K71" s="63">
        <f t="shared" si="34"/>
        <v>2</v>
      </c>
      <c r="L71" s="124">
        <f>VLOOKUP($B:$B,'[1]6店'!$B:$L,11,0)</f>
        <v>31.356</v>
      </c>
      <c r="M71" s="44">
        <f t="shared" si="45"/>
        <v>62.712</v>
      </c>
      <c r="N71" s="65">
        <f>IFERROR(VLOOKUP(B:B,'6店辅助表'!B:C,2,FALSE),0)</f>
        <v>0</v>
      </c>
      <c r="O71" s="65">
        <f>IFERROR(VLOOKUP(B:B,'6店辅助表'!E:F,2,FALSE),0)</f>
        <v>1</v>
      </c>
      <c r="P71" s="65">
        <f>IFERROR(VLOOKUP(B:B,'6店辅助表'!H:I,2,FALSE),0)</f>
        <v>1</v>
      </c>
      <c r="Q71" s="65">
        <f>IFERROR(VLOOKUP(B:B,'[1]6店'!$B:$N,13,FALSE),0)</f>
        <v>1</v>
      </c>
      <c r="R71" s="79">
        <f t="shared" si="35"/>
        <v>-1</v>
      </c>
      <c r="S71" s="80">
        <f t="shared" si="36"/>
        <v>60</v>
      </c>
      <c r="T71" s="44">
        <f t="shared" si="37"/>
        <v>2</v>
      </c>
      <c r="U71" s="44">
        <f>IFERROR(VLOOKUP(B:B,'[1]6店'!$B:$T,19,0),"-")</f>
        <v>0.823529411764706</v>
      </c>
      <c r="V71" s="81">
        <f t="shared" si="38"/>
        <v>1.17647058823529</v>
      </c>
      <c r="W71" s="82" t="str">
        <f t="shared" si="39"/>
        <v>有库存无销量</v>
      </c>
      <c r="X71" s="83" t="str">
        <f t="shared" si="40"/>
        <v>库存过高</v>
      </c>
      <c r="Y71" s="44">
        <f>IFERROR(SUMIF('6店辅助表'!K:K,B:B,'6店辅助表'!N:N),0)</f>
        <v>0</v>
      </c>
      <c r="Z71" s="44">
        <f>IFERROR(SUMIF('6店辅助表'!T:T,B:B,'6店辅助表'!W:W),0)</f>
        <v>0</v>
      </c>
      <c r="AA71" s="44">
        <f>IFERROR(SUMIF('6店辅助表'!AC:AC,B:B,'6店辅助表'!AF:AF),0)</f>
        <v>0</v>
      </c>
      <c r="AB71" s="91" t="str">
        <f>IFERROR(SUMIF('6店辅助表'!K:K,B:B,'6店辅助表'!N:N)/SUMIF('6店辅助表'!K:K,B:B,'6店辅助表'!O:O),"-")</f>
        <v>-</v>
      </c>
      <c r="AC71" s="91" t="str">
        <f>IFERROR(VLOOKUP(B:B,'[1]6店'!$B:$AB,27,FALSE),"-")</f>
        <v>-</v>
      </c>
      <c r="AD71" s="92" t="str">
        <f t="shared" si="41"/>
        <v>-</v>
      </c>
      <c r="AE71" s="91" t="str">
        <f>IFERROR(SUMIF('6店辅助表'!T:T,B:B,'6店辅助表'!W:W)/SUMIF('6店辅助表'!T:T,B:B,'6店辅助表'!X:X),"-")</f>
        <v>-</v>
      </c>
      <c r="AF71" s="91" t="str">
        <f>IFERROR(SUMIF('6店辅助表'!AC:AC,B:B,'6店辅助表'!AF:AF)/SUMIF('6店辅助表'!AC:AC,B:B,'6店辅助表'!AG:AG),"-")</f>
        <v>-</v>
      </c>
      <c r="AG71" s="99">
        <f>IFERROR(AK71/((SUMIF('6店辅助表'!AT:AT,B:B,'6店辅助表'!AU:AU)+M71)/2),"-")</f>
        <v>0</v>
      </c>
      <c r="AH71" s="99">
        <f>IFERROR(AL71/((SUMIF('6店辅助表'!AW:AW,B:B,'6店辅助表'!AX:AX)+M71)/2),"-")</f>
        <v>0.5</v>
      </c>
      <c r="AI71" s="100">
        <f>IFERROR((SUMIF('6店辅助表'!AP:AP,B:B,'6店辅助表'!AR:AR)-SUMIF('6店辅助表'!AP:AP,B:B,'6店辅助表'!AR:AR)*0.15-(L71+IFERROR(VLOOKUP(B:B,'6店辅助表'!AZ:BA,2,0),0))*O71-IF(AN:AN="US",6.85,4.9)*(Z71+4.03*O71))/SUMIF('6店辅助表'!AP:AP,B:B,'6店辅助表'!AR:AR),"-")</f>
        <v>0.0659368786708412</v>
      </c>
      <c r="AJ71" s="100">
        <f t="shared" si="42"/>
        <v>0.0329684393354206</v>
      </c>
      <c r="AK71" s="101">
        <f t="shared" si="43"/>
        <v>0</v>
      </c>
      <c r="AL71" s="101">
        <f t="shared" si="44"/>
        <v>31.356</v>
      </c>
      <c r="AM71" s="1" t="str">
        <f>VLOOKUP(B:B,'6店辅助表'!AZ:AZ,1,FALSE)</f>
        <v>Y6006-WH</v>
      </c>
      <c r="AN71" t="str">
        <f>VLOOKUP(B:B,'6店辅助表'!AZ:BB,3,FALSE)</f>
        <v>US</v>
      </c>
    </row>
    <row r="72" customHeight="1" spans="1:40">
      <c r="A72" s="58" t="str">
        <f>INDEX('[1]6店'!$A:$A,MATCH(B:B,'[1]6店'!$B:$B,0))</f>
        <v>美珠</v>
      </c>
      <c r="B72" s="116" t="s">
        <v>2071</v>
      </c>
      <c r="C72" s="45" t="s">
        <v>2072</v>
      </c>
      <c r="D72" s="59">
        <f>VLOOKUP(B:B,'[1]6店'!$B:$L,3,0)</f>
        <v>45132</v>
      </c>
      <c r="E72" s="45" t="s">
        <v>2073</v>
      </c>
      <c r="F72" s="45">
        <v>14</v>
      </c>
      <c r="G72" s="45">
        <v>0</v>
      </c>
      <c r="H72" s="45">
        <v>0</v>
      </c>
      <c r="I72" s="45">
        <v>0</v>
      </c>
      <c r="J72" s="45">
        <v>0</v>
      </c>
      <c r="K72" s="63">
        <f t="shared" si="34"/>
        <v>14</v>
      </c>
      <c r="L72" s="124">
        <f>VLOOKUP($B:$B,'[1]6店'!$B:$L,11,0)</f>
        <v>6.091</v>
      </c>
      <c r="M72" s="44">
        <f t="shared" si="45"/>
        <v>85.274</v>
      </c>
      <c r="N72" s="65">
        <f>IFERROR(VLOOKUP(B:B,'6店辅助表'!B:C,2,FALSE),0)</f>
        <v>0</v>
      </c>
      <c r="O72" s="65">
        <f>IFERROR(VLOOKUP(B:B,'6店辅助表'!E:F,2,FALSE),0)</f>
        <v>1</v>
      </c>
      <c r="P72" s="65">
        <f>IFERROR(VLOOKUP(B:B,'6店辅助表'!H:I,2,FALSE),0)</f>
        <v>2</v>
      </c>
      <c r="Q72" s="65">
        <f>IFERROR(VLOOKUP(B:B,'[1]6店'!$B:$N,13,FALSE),0)</f>
        <v>1</v>
      </c>
      <c r="R72" s="79">
        <f t="shared" si="35"/>
        <v>-1</v>
      </c>
      <c r="S72" s="80">
        <f t="shared" si="36"/>
        <v>315</v>
      </c>
      <c r="T72" s="44">
        <f t="shared" si="37"/>
        <v>10.5</v>
      </c>
      <c r="U72" s="44">
        <f>IFERROR(VLOOKUP(B:B,'[1]6店'!$B:$T,19,0),"-")</f>
        <v>4.84615384615385</v>
      </c>
      <c r="V72" s="81">
        <f t="shared" si="38"/>
        <v>5.65384615384615</v>
      </c>
      <c r="W72" s="82" t="str">
        <f t="shared" si="39"/>
        <v>有库存无销量</v>
      </c>
      <c r="X72" s="83" t="str">
        <f t="shared" si="40"/>
        <v>库存过高</v>
      </c>
      <c r="Y72" s="44">
        <f>IFERROR(SUMIF('6店辅助表'!K:K,B:B,'6店辅助表'!N:N),0)</f>
        <v>0.52</v>
      </c>
      <c r="Z72" s="44">
        <f>IFERROR(SUMIF('6店辅助表'!T:T,B:B,'6店辅助表'!W:W),0)</f>
        <v>0.52</v>
      </c>
      <c r="AA72" s="44">
        <f>IFERROR(SUMIF('6店辅助表'!AC:AC,B:B,'6店辅助表'!AF:AF),0)</f>
        <v>1.63</v>
      </c>
      <c r="AB72" s="91" t="str">
        <f>IFERROR(SUMIF('6店辅助表'!K:K,B:B,'6店辅助表'!N:N)/SUMIF('6店辅助表'!K:K,B:B,'6店辅助表'!O:O),"-")</f>
        <v>-</v>
      </c>
      <c r="AC72" s="91" t="str">
        <f>IFERROR(VLOOKUP(B:B,'[1]6店'!$B:$AB,27,FALSE),"-")</f>
        <v>-</v>
      </c>
      <c r="AD72" s="92" t="str">
        <f t="shared" si="41"/>
        <v>-</v>
      </c>
      <c r="AE72" s="91" t="str">
        <f>IFERROR(SUMIF('6店辅助表'!T:T,B:B,'6店辅助表'!W:W)/SUMIF('6店辅助表'!T:T,B:B,'6店辅助表'!X:X),"-")</f>
        <v>-</v>
      </c>
      <c r="AF72" s="91" t="str">
        <f>IFERROR(SUMIF('6店辅助表'!AC:AC,B:B,'6店辅助表'!AF:AF)/SUMIF('6店辅助表'!AC:AC,B:B,'6店辅助表'!AG:AG),"-")</f>
        <v>-</v>
      </c>
      <c r="AG72" s="99">
        <f>IFERROR(AK72/((SUMIF('6店辅助表'!AT:AT,B:B,'6店辅助表'!AU:AU)+M72)/2),"-")</f>
        <v>0</v>
      </c>
      <c r="AH72" s="99">
        <f>IFERROR(AL72/((SUMIF('6店辅助表'!AW:AW,B:B,'6店辅助表'!AX:AX)+M72)/2),"-")</f>
        <v>0.0666666666666667</v>
      </c>
      <c r="AI72" s="100">
        <f>IFERROR((SUMIF('6店辅助表'!AP:AP,B:B,'6店辅助表'!AR:AR)-SUMIF('6店辅助表'!AP:AP,B:B,'6店辅助表'!AR:AR)*0.15-(L72+IFERROR(VLOOKUP(B:B,'6店辅助表'!AZ:BA,2,0),0))*O72-IF(AN:AN="US",6.85,4.9)*(Z72+4.03*O72))/SUMIF('6店辅助表'!AP:AP,B:B,'6店辅助表'!AR:AR),"-")</f>
        <v>0.277236324950501</v>
      </c>
      <c r="AJ72" s="100">
        <f t="shared" si="42"/>
        <v>0.0184824216633667</v>
      </c>
      <c r="AK72" s="101">
        <f t="shared" si="43"/>
        <v>0</v>
      </c>
      <c r="AL72" s="101">
        <f t="shared" si="44"/>
        <v>6.091</v>
      </c>
      <c r="AM72" s="1" t="str">
        <f>VLOOKUP(B:B,'6店辅助表'!AZ:AZ,1,FALSE)</f>
        <v>Y6042</v>
      </c>
      <c r="AN72" t="str">
        <f>VLOOKUP(B:B,'6店辅助表'!AZ:BB,3,FALSE)</f>
        <v>US</v>
      </c>
    </row>
    <row r="73" customHeight="1" spans="1:40">
      <c r="A73" s="58" t="str">
        <f>INDEX('[1]6店'!$A:$A,MATCH(B:B,'[1]6店'!$B:$B,0))</f>
        <v>美珠</v>
      </c>
      <c r="B73" s="116" t="s">
        <v>2074</v>
      </c>
      <c r="C73" s="45" t="s">
        <v>2075</v>
      </c>
      <c r="D73" s="59">
        <f>VLOOKUP(B:B,'[1]6店'!$B:$L,3,0)</f>
        <v>45136</v>
      </c>
      <c r="E73" s="45" t="s">
        <v>2076</v>
      </c>
      <c r="F73" s="45">
        <v>11</v>
      </c>
      <c r="G73" s="45">
        <v>0</v>
      </c>
      <c r="H73" s="45">
        <v>1</v>
      </c>
      <c r="I73" s="45">
        <v>0</v>
      </c>
      <c r="J73" s="45">
        <v>0</v>
      </c>
      <c r="K73" s="63">
        <f t="shared" si="34"/>
        <v>12</v>
      </c>
      <c r="L73" s="124">
        <f>VLOOKUP($B:$B,'[1]6店'!$B:$L,11,0)</f>
        <v>29.0621</v>
      </c>
      <c r="M73" s="44">
        <f t="shared" si="45"/>
        <v>348.7452</v>
      </c>
      <c r="N73" s="65">
        <f>IFERROR(VLOOKUP(B:B,'6店辅助表'!B:C,2,FALSE),0)</f>
        <v>1</v>
      </c>
      <c r="O73" s="65">
        <f>IFERROR(VLOOKUP(B:B,'6店辅助表'!E:F,2,FALSE),0)</f>
        <v>6</v>
      </c>
      <c r="P73" s="65">
        <f>IFERROR(VLOOKUP(B:B,'6店辅助表'!H:I,2,FALSE),0)</f>
        <v>7</v>
      </c>
      <c r="Q73" s="65">
        <f>IFERROR(VLOOKUP(B:B,'[1]6店'!$B:$N,13,FALSE),0)</f>
        <v>5</v>
      </c>
      <c r="R73" s="79">
        <f t="shared" si="35"/>
        <v>-4</v>
      </c>
      <c r="S73" s="80">
        <f t="shared" si="36"/>
        <v>46.3803680981595</v>
      </c>
      <c r="T73" s="44">
        <f t="shared" si="37"/>
        <v>1.54601226993865</v>
      </c>
      <c r="U73" s="44">
        <f>IFERROR(VLOOKUP(B:B,'[1]6店'!$B:$T,19,0),"-")</f>
        <v>1.01486988847584</v>
      </c>
      <c r="V73" s="81">
        <f t="shared" si="38"/>
        <v>0.53114238146281</v>
      </c>
      <c r="W73" s="82" t="str">
        <f t="shared" si="39"/>
        <v>库存过高</v>
      </c>
      <c r="X73" s="83" t="str">
        <f t="shared" si="40"/>
        <v>库存过高</v>
      </c>
      <c r="Y73" s="44">
        <f>IFERROR(SUMIF('6店辅助表'!K:K,B:B,'6店辅助表'!N:N),0)</f>
        <v>3.06</v>
      </c>
      <c r="Z73" s="44">
        <f>IFERROR(SUMIF('6店辅助表'!T:T,B:B,'6店辅助表'!W:W),0)</f>
        <v>6.3</v>
      </c>
      <c r="AA73" s="44">
        <f>IFERROR(SUMIF('6店辅助表'!AC:AC,B:B,'6店辅助表'!AF:AF),0)</f>
        <v>17.29</v>
      </c>
      <c r="AB73" s="91">
        <f>IFERROR(SUMIF('6店辅助表'!K:K,B:B,'6店辅助表'!N:N)/SUMIF('6店辅助表'!K:K,B:B,'6店辅助表'!O:O),"-")</f>
        <v>0.161137440758294</v>
      </c>
      <c r="AC73" s="91">
        <f>IFERROR(VLOOKUP(B:B,'[1]6店'!$B:$AB,27,FALSE),"-")</f>
        <v>0.128386827844935</v>
      </c>
      <c r="AD73" s="92">
        <f t="shared" si="41"/>
        <v>0.032750612913359</v>
      </c>
      <c r="AE73" s="91">
        <f>IFERROR(SUMIF('6店辅助表'!T:T,B:B,'6店辅助表'!W:W)/SUMIF('6店辅助表'!T:T,B:B,'6店辅助表'!X:X),"-")</f>
        <v>0.146579804560261</v>
      </c>
      <c r="AF73" s="91">
        <f>IFERROR(SUMIF('6店辅助表'!AC:AC,B:B,'6店辅助表'!AF:AF)/SUMIF('6店辅助表'!AC:AC,B:B,'6店辅助表'!AG:AG),"-")</f>
        <v>0.303493066526242</v>
      </c>
      <c r="AG73" s="99">
        <f>IFERROR(AK73/((SUMIF('6店辅助表'!AT:AT,B:B,'6店辅助表'!AU:AU)+M73)/2),"-")</f>
        <v>0.08</v>
      </c>
      <c r="AH73" s="99">
        <f>IFERROR(AL73/((SUMIF('6店辅助表'!AW:AW,B:B,'6店辅助表'!AX:AX)+M73)/2),"-")</f>
        <v>0.387096774193548</v>
      </c>
      <c r="AI73" s="100">
        <f>IFERROR((SUMIF('6店辅助表'!AP:AP,B:B,'6店辅助表'!AR:AR)-SUMIF('6店辅助表'!AP:AP,B:B,'6店辅助表'!AR:AR)*0.15-(L73+IFERROR(VLOOKUP(B:B,'6店辅助表'!AZ:BA,2,0),0))*O73-IF(AN:AN="US",6.85,4.9)*(Z73+4.03*O73))/SUMIF('6店辅助表'!AP:AP,B:B,'6店辅助表'!AR:AR),"-")</f>
        <v>0.36573546069137</v>
      </c>
      <c r="AJ73" s="100">
        <f t="shared" si="42"/>
        <v>0.141575017041821</v>
      </c>
      <c r="AK73" s="101">
        <f t="shared" si="43"/>
        <v>29.0621</v>
      </c>
      <c r="AL73" s="101">
        <f t="shared" si="44"/>
        <v>174.3726</v>
      </c>
      <c r="AM73" s="1" t="str">
        <f>VLOOKUP(B:B,'6店辅助表'!AZ:AZ,1,FALSE)</f>
        <v>Y6075-1-1</v>
      </c>
      <c r="AN73" t="str">
        <f>VLOOKUP(B:B,'6店辅助表'!AZ:BB,3,FALSE)</f>
        <v>US</v>
      </c>
    </row>
    <row r="74" customHeight="1" spans="1:40">
      <c r="A74" s="58" t="str">
        <f>INDEX('[1]6店'!$A:$A,MATCH(B:B,'[1]6店'!$B:$B,0))</f>
        <v>美珠</v>
      </c>
      <c r="B74" s="116" t="s">
        <v>2077</v>
      </c>
      <c r="C74" s="45" t="s">
        <v>1803</v>
      </c>
      <c r="D74" s="59">
        <f>VLOOKUP(B:B,'[1]6店'!$B:$L,3,0)</f>
        <v>45147</v>
      </c>
      <c r="E74" s="45" t="s">
        <v>2078</v>
      </c>
      <c r="F74" s="45">
        <v>24</v>
      </c>
      <c r="G74" s="45">
        <v>0</v>
      </c>
      <c r="H74" s="45">
        <v>0</v>
      </c>
      <c r="I74" s="45">
        <v>0</v>
      </c>
      <c r="J74" s="45">
        <v>2</v>
      </c>
      <c r="K74" s="63">
        <f t="shared" si="34"/>
        <v>26</v>
      </c>
      <c r="L74" s="124">
        <f>VLOOKUP($B:$B,'[1]6店'!$B:$L,11,0)</f>
        <v>25</v>
      </c>
      <c r="M74" s="44">
        <f t="shared" si="45"/>
        <v>650</v>
      </c>
      <c r="N74" s="65">
        <f>IFERROR(VLOOKUP(B:B,'6店辅助表'!B:C,2,FALSE),0)</f>
        <v>1</v>
      </c>
      <c r="O74" s="65">
        <f>IFERROR(VLOOKUP(B:B,'6店辅助表'!E:F,2,FALSE),0)</f>
        <v>3</v>
      </c>
      <c r="P74" s="65">
        <f>IFERROR(VLOOKUP(B:B,'6店辅助表'!H:I,2,FALSE),0)</f>
        <v>4</v>
      </c>
      <c r="Q74" s="65">
        <f>IFERROR(VLOOKUP(B:B,'[1]6店'!$B:$N,13,FALSE),0)</f>
        <v>2</v>
      </c>
      <c r="R74" s="79">
        <f t="shared" si="35"/>
        <v>-1</v>
      </c>
      <c r="S74" s="80">
        <f t="shared" si="36"/>
        <v>163.8</v>
      </c>
      <c r="T74" s="44">
        <f t="shared" si="37"/>
        <v>5.46</v>
      </c>
      <c r="U74" s="44">
        <f>IFERROR(VLOOKUP(B:B,'[1]6店'!$B:$T,19,0),"-")</f>
        <v>5.39449541284404</v>
      </c>
      <c r="V74" s="81">
        <f t="shared" si="38"/>
        <v>0.0655045871559601</v>
      </c>
      <c r="W74" s="82" t="str">
        <f t="shared" si="39"/>
        <v>库存过高</v>
      </c>
      <c r="X74" s="83" t="str">
        <f t="shared" si="40"/>
        <v>库存过高</v>
      </c>
      <c r="Y74" s="44">
        <f>IFERROR(SUMIF('6店辅助表'!K:K,B:B,'6店辅助表'!N:N),0)</f>
        <v>21.75</v>
      </c>
      <c r="Z74" s="44">
        <f>IFERROR(SUMIF('6店辅助表'!T:T,B:B,'6店辅助表'!W:W),0)</f>
        <v>34.29</v>
      </c>
      <c r="AA74" s="44">
        <f>IFERROR(SUMIF('6店辅助表'!AC:AC,B:B,'6店辅助表'!AF:AF),0)</f>
        <v>51.5</v>
      </c>
      <c r="AB74" s="91">
        <f>IFERROR(SUMIF('6店辅助表'!K:K,B:B,'6店辅助表'!N:N)/SUMIF('6店辅助表'!K:K,B:B,'6店辅助表'!O:O),"-")</f>
        <v>1.36022514071295</v>
      </c>
      <c r="AC74" s="91">
        <f>IFERROR(VLOOKUP(B:B,'[1]6店'!$B:$AB,27,FALSE),"-")</f>
        <v>0.774859287054409</v>
      </c>
      <c r="AD74" s="92">
        <f t="shared" si="41"/>
        <v>0.585365853658541</v>
      </c>
      <c r="AE74" s="91">
        <f>IFERROR(SUMIF('6店辅助表'!T:T,B:B,'6店辅助表'!W:W)/SUMIF('6店辅助表'!T:T,B:B,'6店辅助表'!X:X),"-")</f>
        <v>1.07223264540338</v>
      </c>
      <c r="AF74" s="91">
        <f>IFERROR(SUMIF('6店辅助表'!AC:AC,B:B,'6店辅助表'!AF:AF)/SUMIF('6店辅助表'!AC:AC,B:B,'6店辅助表'!AG:AG),"-")</f>
        <v>1.61038148843027</v>
      </c>
      <c r="AG74" s="99">
        <f>IFERROR(AK74/((SUMIF('6店辅助表'!AT:AT,B:B,'6店辅助表'!AU:AU)+M74)/2),"-")</f>
        <v>0.037037037037037</v>
      </c>
      <c r="AH74" s="99">
        <f>IFERROR(AL74/((SUMIF('6店辅助表'!AW:AW,B:B,'6店辅助表'!AX:AX)+M74)/2),"-")</f>
        <v>0.107142857142857</v>
      </c>
      <c r="AI74" s="100">
        <f>IFERROR((SUMIF('6店辅助表'!AP:AP,B:B,'6店辅助表'!AR:AR)-SUMIF('6店辅助表'!AP:AP,B:B,'6店辅助表'!AR:AR)*0.15-(L74+IFERROR(VLOOKUP(B:B,'6店辅助表'!AZ:BA,2,0),0))*O74-IF(AN:AN="US",6.85,4.9)*(Z74+4.03*O74))/SUMIF('6店辅助表'!AP:AP,B:B,'6店辅助表'!AR:AR),"-")</f>
        <v>-0.425276975116747</v>
      </c>
      <c r="AJ74" s="100">
        <f t="shared" si="42"/>
        <v>-0.0455653901910801</v>
      </c>
      <c r="AK74" s="101">
        <f t="shared" si="43"/>
        <v>25</v>
      </c>
      <c r="AL74" s="101">
        <f t="shared" si="44"/>
        <v>75</v>
      </c>
      <c r="AM74" s="1" t="str">
        <f>VLOOKUP(B:B,'6店辅助表'!AZ:AZ,1,FALSE)</f>
        <v>Y6078-1</v>
      </c>
      <c r="AN74" t="str">
        <f>VLOOKUP(B:B,'6店辅助表'!AZ:BB,3,FALSE)</f>
        <v>US</v>
      </c>
    </row>
    <row r="75" customHeight="1" spans="1:40">
      <c r="A75" s="58" t="str">
        <f>INDEX('[1]6店'!$A:$A,MATCH(B:B,'[1]6店'!$B:$B,0))</f>
        <v>美珠</v>
      </c>
      <c r="B75" s="116" t="s">
        <v>2079</v>
      </c>
      <c r="C75" s="45" t="s">
        <v>2080</v>
      </c>
      <c r="D75" s="59">
        <f>VLOOKUP(B:B,'[1]6店'!$B:$L,3,0)</f>
        <v>45147</v>
      </c>
      <c r="E75" s="45" t="s">
        <v>2081</v>
      </c>
      <c r="F75" s="45">
        <v>14</v>
      </c>
      <c r="G75" s="45">
        <v>0</v>
      </c>
      <c r="H75" s="45">
        <v>0</v>
      </c>
      <c r="I75" s="45">
        <v>0</v>
      </c>
      <c r="J75" s="45">
        <v>0</v>
      </c>
      <c r="K75" s="63">
        <f t="shared" si="34"/>
        <v>14</v>
      </c>
      <c r="L75" s="124">
        <f>VLOOKUP($B:$B,'[1]6店'!$B:$L,11,0)</f>
        <v>50.67</v>
      </c>
      <c r="M75" s="44">
        <f t="shared" si="45"/>
        <v>709.38</v>
      </c>
      <c r="N75" s="65">
        <f>IFERROR(VLOOKUP(B:B,'6店辅助表'!B:C,2,FALSE),0)</f>
        <v>0</v>
      </c>
      <c r="O75" s="65">
        <f>IFERROR(VLOOKUP(B:B,'6店辅助表'!E:F,2,FALSE),0)</f>
        <v>0</v>
      </c>
      <c r="P75" s="65">
        <f>IFERROR(VLOOKUP(B:B,'6店辅助表'!H:I,2,FALSE),0)</f>
        <v>0</v>
      </c>
      <c r="Q75" s="65">
        <f>IFERROR(VLOOKUP(B:B,'[1]6店'!$B:$N,13,FALSE),0)</f>
        <v>0</v>
      </c>
      <c r="R75" s="79">
        <f t="shared" si="35"/>
        <v>0</v>
      </c>
      <c r="S75" s="80" t="str">
        <f t="shared" si="36"/>
        <v>-</v>
      </c>
      <c r="T75" s="44" t="str">
        <f t="shared" si="37"/>
        <v>-</v>
      </c>
      <c r="U75" s="44">
        <f>IFERROR(VLOOKUP(B:B,'[1]6店'!$B:$T,19,0),"-")</f>
        <v>10.5</v>
      </c>
      <c r="V75" s="81" t="str">
        <f t="shared" si="38"/>
        <v>-</v>
      </c>
      <c r="W75" s="82" t="str">
        <f t="shared" si="39"/>
        <v>有库存无销量</v>
      </c>
      <c r="X75" s="83" t="str">
        <f t="shared" si="40"/>
        <v>有库存无销量</v>
      </c>
      <c r="Y75" s="44">
        <f>IFERROR(SUMIF('6店辅助表'!K:K,B:B,'6店辅助表'!N:N),0)</f>
        <v>0</v>
      </c>
      <c r="Z75" s="44">
        <f>IFERROR(SUMIF('6店辅助表'!T:T,B:B,'6店辅助表'!W:W),0)</f>
        <v>0.65</v>
      </c>
      <c r="AA75" s="44">
        <f>IFERROR(SUMIF('6店辅助表'!AC:AC,B:B,'6店辅助表'!AF:AF),0)</f>
        <v>3</v>
      </c>
      <c r="AB75" s="91" t="str">
        <f>IFERROR(SUMIF('6店辅助表'!K:K,B:B,'6店辅助表'!N:N)/SUMIF('6店辅助表'!K:K,B:B,'6店辅助表'!O:O),"-")</f>
        <v>-</v>
      </c>
      <c r="AC75" s="91" t="str">
        <f>IFERROR(VLOOKUP(B:B,'[1]6店'!$B:$AB,27,FALSE),"-")</f>
        <v>-</v>
      </c>
      <c r="AD75" s="92" t="str">
        <f t="shared" si="41"/>
        <v>-</v>
      </c>
      <c r="AE75" s="91" t="str">
        <f>IFERROR(SUMIF('6店辅助表'!T:T,B:B,'6店辅助表'!W:W)/SUMIF('6店辅助表'!T:T,B:B,'6店辅助表'!X:X),"-")</f>
        <v>-</v>
      </c>
      <c r="AF75" s="91" t="str">
        <f>IFERROR(SUMIF('6店辅助表'!AC:AC,B:B,'6店辅助表'!AF:AF)/SUMIF('6店辅助表'!AC:AC,B:B,'6店辅助表'!AG:AG),"-")</f>
        <v>-</v>
      </c>
      <c r="AG75" s="99">
        <f>IFERROR(AK75/((SUMIF('6店辅助表'!AT:AT,B:B,'6店辅助表'!AU:AU)+M75)/2),"-")</f>
        <v>0</v>
      </c>
      <c r="AH75" s="99">
        <f>IFERROR(AL75/((SUMIF('6店辅助表'!AW:AW,B:B,'6店辅助表'!AX:AX)+M75)/2),"-")</f>
        <v>0</v>
      </c>
      <c r="AI75" s="100" t="str">
        <f>IFERROR((SUMIF('6店辅助表'!AP:AP,B:B,'6店辅助表'!AR:AR)-SUMIF('6店辅助表'!AP:AP,B:B,'6店辅助表'!AR:AR)*0.15-(L75+IFERROR(VLOOKUP(B:B,'6店辅助表'!AZ:BA,2,0),0))*O75-IF(AN:AN="US",6.85,4.9)*(Z75+4.03*O75))/SUMIF('6店辅助表'!AP:AP,B:B,'6店辅助表'!AR:AR),"-")</f>
        <v>-</v>
      </c>
      <c r="AJ75" s="100" t="str">
        <f t="shared" si="42"/>
        <v>-</v>
      </c>
      <c r="AK75" s="101">
        <f t="shared" si="43"/>
        <v>0</v>
      </c>
      <c r="AL75" s="101">
        <f t="shared" si="44"/>
        <v>0</v>
      </c>
      <c r="AM75" s="1" t="str">
        <f>VLOOKUP(B:B,'6店辅助表'!AZ:AZ,1,FALSE)</f>
        <v>Y6078-2</v>
      </c>
      <c r="AN75" t="str">
        <f>VLOOKUP(B:B,'6店辅助表'!AZ:BB,3,FALSE)</f>
        <v>US</v>
      </c>
    </row>
    <row r="76" customHeight="1" spans="1:40">
      <c r="A76" s="58" t="str">
        <f>INDEX('[1]6店'!$A:$A,MATCH(B:B,'[1]6店'!$B:$B,0))</f>
        <v>美珠</v>
      </c>
      <c r="B76" s="116" t="s">
        <v>2082</v>
      </c>
      <c r="C76" s="45" t="s">
        <v>2083</v>
      </c>
      <c r="D76" s="59">
        <f>VLOOKUP(B:B,'[1]6店'!$B:$L,3,0)</f>
        <v>45147</v>
      </c>
      <c r="E76" s="45" t="s">
        <v>2084</v>
      </c>
      <c r="F76" s="45">
        <v>18</v>
      </c>
      <c r="G76" s="45">
        <v>1</v>
      </c>
      <c r="H76" s="45">
        <v>2</v>
      </c>
      <c r="I76" s="45">
        <v>0</v>
      </c>
      <c r="J76" s="45">
        <v>0</v>
      </c>
      <c r="K76" s="63">
        <f t="shared" si="34"/>
        <v>21</v>
      </c>
      <c r="L76" s="124">
        <f>VLOOKUP($B:$B,'[1]6店'!$B:$L,11,0)</f>
        <v>8</v>
      </c>
      <c r="M76" s="44">
        <f t="shared" si="45"/>
        <v>168</v>
      </c>
      <c r="N76" s="65">
        <f>IFERROR(VLOOKUP(B:B,'6店辅助表'!B:C,2,FALSE),0)</f>
        <v>6</v>
      </c>
      <c r="O76" s="65">
        <f>IFERROR(VLOOKUP(B:B,'6店辅助表'!E:F,2,FALSE),0)</f>
        <v>14</v>
      </c>
      <c r="P76" s="65">
        <f>IFERROR(VLOOKUP(B:B,'6店辅助表'!H:I,2,FALSE),0)</f>
        <v>19</v>
      </c>
      <c r="Q76" s="65">
        <f>IFERROR(VLOOKUP(B:B,'[1]6店'!$B:$N,13,FALSE),0)</f>
        <v>8</v>
      </c>
      <c r="R76" s="79">
        <f t="shared" si="35"/>
        <v>-2</v>
      </c>
      <c r="S76" s="80">
        <f t="shared" si="36"/>
        <v>25.992141453831</v>
      </c>
      <c r="T76" s="44">
        <f t="shared" si="37"/>
        <v>0.866404715127702</v>
      </c>
      <c r="U76" s="44">
        <f>IFERROR(VLOOKUP(B:B,'[1]6店'!$B:$T,19,0),"-")</f>
        <v>1.29299363057325</v>
      </c>
      <c r="V76" s="81">
        <f t="shared" si="38"/>
        <v>-0.426588915445548</v>
      </c>
      <c r="W76" s="82" t="str">
        <f t="shared" si="39"/>
        <v>正常</v>
      </c>
      <c r="X76" s="83" t="str">
        <f t="shared" si="40"/>
        <v>正常</v>
      </c>
      <c r="Y76" s="44">
        <f>IFERROR(SUMIF('6店辅助表'!K:K,B:B,'6店辅助表'!N:N),0)</f>
        <v>5.47</v>
      </c>
      <c r="Z76" s="44">
        <f>IFERROR(SUMIF('6店辅助表'!T:T,B:B,'6店辅助表'!W:W),0)</f>
        <v>7.86</v>
      </c>
      <c r="AA76" s="44">
        <f>IFERROR(SUMIF('6店辅助表'!AC:AC,B:B,'6店辅助表'!AF:AF),0)</f>
        <v>12.38</v>
      </c>
      <c r="AB76" s="91">
        <f>IFERROR(SUMIF('6店辅助表'!K:K,B:B,'6店辅助表'!N:N)/SUMIF('6店辅助表'!K:K,B:B,'6店辅助表'!O:O),"-")</f>
        <v>0.273773773773774</v>
      </c>
      <c r="AC76" s="91" t="str">
        <f>IFERROR(VLOOKUP(B:B,'[1]6店'!$B:$AB,27,FALSE),"-")</f>
        <v>-</v>
      </c>
      <c r="AD76" s="92" t="str">
        <f t="shared" si="41"/>
        <v>-</v>
      </c>
      <c r="AE76" s="91">
        <f>IFERROR(SUMIF('6店辅助表'!T:T,B:B,'6店辅助表'!W:W)/SUMIF('6店辅助表'!T:T,B:B,'6店辅助表'!X:X),"-")</f>
        <v>0.393393393393393</v>
      </c>
      <c r="AF76" s="91">
        <f>IFERROR(SUMIF('6店辅助表'!AC:AC,B:B,'6店辅助表'!AF:AF)/SUMIF('6店辅助表'!AC:AC,B:B,'6店辅助表'!AG:AG),"-")</f>
        <v>0.20653987320654</v>
      </c>
      <c r="AG76" s="99">
        <f>IFERROR(AK76/((SUMIF('6店辅助表'!AT:AT,B:B,'6店辅助表'!AU:AU)+M76)/2),"-")</f>
        <v>0.24</v>
      </c>
      <c r="AH76" s="99">
        <f>IFERROR(AL76/((SUMIF('6店辅助表'!AW:AW,B:B,'6店辅助表'!AX:AX)+M76)/2),"-")</f>
        <v>0.466666666666667</v>
      </c>
      <c r="AI76" s="100">
        <f>IFERROR((SUMIF('6店辅助表'!AP:AP,B:B,'6店辅助表'!AR:AR)-SUMIF('6店辅助表'!AP:AP,B:B,'6店辅助表'!AR:AR)*0.15-(L76+IFERROR(VLOOKUP(B:B,'6店辅助表'!AZ:BA,2,0),0))*O76-IF(AN:AN="US",6.85,4.9)*(Z76+4.03*O76))/SUMIF('6店辅助表'!AP:AP,B:B,'6店辅助表'!AR:AR),"-")</f>
        <v>0.245829614807717</v>
      </c>
      <c r="AJ76" s="100">
        <f t="shared" si="42"/>
        <v>0.114720486910268</v>
      </c>
      <c r="AK76" s="101">
        <f t="shared" si="43"/>
        <v>48</v>
      </c>
      <c r="AL76" s="101">
        <f t="shared" si="44"/>
        <v>112</v>
      </c>
      <c r="AM76" s="1" t="str">
        <f>VLOOKUP(B:B,'6店辅助表'!AZ:AZ,1,FALSE)</f>
        <v>Y6079-1</v>
      </c>
      <c r="AN76" t="str">
        <f>VLOOKUP(B:B,'6店辅助表'!AZ:BB,3,FALSE)</f>
        <v>US</v>
      </c>
    </row>
    <row r="77" customHeight="1" spans="1:40">
      <c r="A77" s="58" t="str">
        <f>INDEX('[1]6店'!$A:$A,MATCH(B:B,'[1]6店'!$B:$B,0))</f>
        <v>美珠</v>
      </c>
      <c r="B77" s="116" t="s">
        <v>2085</v>
      </c>
      <c r="C77" s="45" t="s">
        <v>2086</v>
      </c>
      <c r="D77" s="59">
        <f>VLOOKUP(B:B,'[1]6店'!$B:$L,3,0)</f>
        <v>45147</v>
      </c>
      <c r="E77" s="45" t="s">
        <v>2087</v>
      </c>
      <c r="F77" s="45">
        <v>0</v>
      </c>
      <c r="G77" s="45">
        <v>0</v>
      </c>
      <c r="H77" s="45">
        <v>0</v>
      </c>
      <c r="I77" s="45">
        <v>0</v>
      </c>
      <c r="J77" s="45">
        <v>0</v>
      </c>
      <c r="K77" s="63">
        <f t="shared" si="34"/>
        <v>0</v>
      </c>
      <c r="L77" s="124">
        <f>VLOOKUP($B:$B,'[1]6店'!$B:$L,11,0)</f>
        <v>16</v>
      </c>
      <c r="M77" s="44">
        <f t="shared" si="45"/>
        <v>0</v>
      </c>
      <c r="N77" s="65">
        <f>IFERROR(VLOOKUP(B:B,'6店辅助表'!B:C,2,FALSE),0)</f>
        <v>0</v>
      </c>
      <c r="O77" s="65">
        <f>IFERROR(VLOOKUP(B:B,'6店辅助表'!E:F,2,FALSE),0)</f>
        <v>4</v>
      </c>
      <c r="P77" s="65">
        <f>IFERROR(VLOOKUP(B:B,'6店辅助表'!H:I,2,FALSE),0)</f>
        <v>10</v>
      </c>
      <c r="Q77" s="65">
        <f>IFERROR(VLOOKUP(B:B,'[1]6店'!$B:$N,13,FALSE),0)</f>
        <v>4</v>
      </c>
      <c r="R77" s="79">
        <f t="shared" si="35"/>
        <v>-4</v>
      </c>
      <c r="S77" s="80">
        <f t="shared" si="36"/>
        <v>0</v>
      </c>
      <c r="T77" s="44">
        <f t="shared" si="37"/>
        <v>0</v>
      </c>
      <c r="U77" s="44">
        <f>IFERROR(VLOOKUP(B:B,'[1]6店'!$B:$T,19,0),"-")</f>
        <v>0.0679611650485437</v>
      </c>
      <c r="V77" s="81">
        <f t="shared" si="38"/>
        <v>-0.0679611650485437</v>
      </c>
      <c r="W77" s="82" t="str">
        <f t="shared" si="39"/>
        <v>无库存无销量</v>
      </c>
      <c r="X77" s="83" t="str">
        <f t="shared" si="40"/>
        <v>无库存有销量</v>
      </c>
      <c r="Y77" s="44">
        <f>IFERROR(SUMIF('6店辅助表'!K:K,B:B,'6店辅助表'!N:N),0)</f>
        <v>0</v>
      </c>
      <c r="Z77" s="44">
        <f>IFERROR(SUMIF('6店辅助表'!T:T,B:B,'6店辅助表'!W:W),0)</f>
        <v>2.61</v>
      </c>
      <c r="AA77" s="44">
        <f>IFERROR(SUMIF('6店辅助表'!AC:AC,B:B,'6店辅助表'!AF:AF),0)</f>
        <v>8.05</v>
      </c>
      <c r="AB77" s="91" t="str">
        <f>IFERROR(SUMIF('6店辅助表'!K:K,B:B,'6店辅助表'!N:N)/SUMIF('6店辅助表'!K:K,B:B,'6店辅助表'!O:O),"-")</f>
        <v>-</v>
      </c>
      <c r="AC77" s="91">
        <f>IFERROR(VLOOKUP(B:B,'[1]6店'!$B:$AB,27,FALSE),"-")</f>
        <v>0.0943942133815552</v>
      </c>
      <c r="AD77" s="92" t="str">
        <f t="shared" si="41"/>
        <v>-</v>
      </c>
      <c r="AE77" s="91">
        <f>IFERROR(SUMIF('6店辅助表'!T:T,B:B,'6店辅助表'!W:W)/SUMIF('6店辅助表'!T:T,B:B,'6店辅助表'!X:X),"-")</f>
        <v>0.0943942133815552</v>
      </c>
      <c r="AF77" s="91">
        <f>IFERROR(SUMIF('6店辅助表'!AC:AC,B:B,'6店辅助表'!AF:AF)/SUMIF('6店辅助表'!AC:AC,B:B,'6店辅助表'!AG:AG),"-")</f>
        <v>0.144706093834262</v>
      </c>
      <c r="AG77" s="99">
        <f>IFERROR(AK77/((SUMIF('6店辅助表'!AT:AT,B:B,'6店辅助表'!AU:AU)+M77)/2),"-")</f>
        <v>0</v>
      </c>
      <c r="AH77" s="99">
        <f>IFERROR(AL77/((SUMIF('6店辅助表'!AW:AW,B:B,'6店辅助表'!AX:AX)+M77)/2),"-")</f>
        <v>0.8</v>
      </c>
      <c r="AI77" s="100">
        <f>IFERROR((SUMIF('6店辅助表'!AP:AP,B:B,'6店辅助表'!AR:AR)-SUMIF('6店辅助表'!AP:AP,B:B,'6店辅助表'!AR:AR)*0.15-(L77+IFERROR(VLOOKUP(B:B,'6店辅助表'!AZ:BA,2,0),0))*O77-IF(AN:AN="US",6.85,4.9)*(Z77+4.03*O77))/SUMIF('6店辅助表'!AP:AP,B:B,'6店辅助表'!AR:AR),"-")</f>
        <v>0.309377718528704</v>
      </c>
      <c r="AJ77" s="100">
        <f t="shared" si="42"/>
        <v>0.247502174822964</v>
      </c>
      <c r="AK77" s="101">
        <f t="shared" si="43"/>
        <v>0</v>
      </c>
      <c r="AL77" s="101">
        <f t="shared" si="44"/>
        <v>64</v>
      </c>
      <c r="AM77" s="1" t="str">
        <f>VLOOKUP(B:B,'6店辅助表'!AZ:AZ,1,FALSE)</f>
        <v>Y6079-2</v>
      </c>
      <c r="AN77" t="str">
        <f>VLOOKUP(B:B,'6店辅助表'!AZ:BB,3,FALSE)</f>
        <v>US</v>
      </c>
    </row>
    <row r="78" customHeight="1" spans="1:40">
      <c r="A78" s="58" t="str">
        <f>INDEX('[1]6店'!$A:$A,MATCH(B:B,'[1]6店'!$B:$B,0))</f>
        <v>美珠</v>
      </c>
      <c r="B78" s="116" t="s">
        <v>2088</v>
      </c>
      <c r="C78" s="45" t="s">
        <v>1794</v>
      </c>
      <c r="D78" s="59">
        <f>VLOOKUP(B:B,'[1]6店'!$B:$L,3,0)</f>
        <v>45147</v>
      </c>
      <c r="E78" s="45" t="s">
        <v>2089</v>
      </c>
      <c r="F78" s="45">
        <v>0</v>
      </c>
      <c r="G78" s="45">
        <v>0</v>
      </c>
      <c r="H78" s="45">
        <v>0</v>
      </c>
      <c r="I78" s="45">
        <v>0</v>
      </c>
      <c r="J78" s="45">
        <v>0</v>
      </c>
      <c r="K78" s="63">
        <f t="shared" si="34"/>
        <v>0</v>
      </c>
      <c r="L78" s="124">
        <f>VLOOKUP($B:$B,'[1]6店'!$B:$L,11,0)</f>
        <v>29.69</v>
      </c>
      <c r="M78" s="44">
        <f t="shared" si="45"/>
        <v>0</v>
      </c>
      <c r="N78" s="65">
        <f>IFERROR(VLOOKUP(B:B,'6店辅助表'!B:C,2,FALSE),0)</f>
        <v>20</v>
      </c>
      <c r="O78" s="65">
        <f>IFERROR(VLOOKUP(B:B,'6店辅助表'!E:F,2,FALSE),0)</f>
        <v>51</v>
      </c>
      <c r="P78" s="65">
        <f>IFERROR(VLOOKUP(B:B,'6店辅助表'!H:I,2,FALSE),0)</f>
        <v>70</v>
      </c>
      <c r="Q78" s="65">
        <f>IFERROR(VLOOKUP(B:B,'[1]6店'!$B:$N,13,FALSE),0)</f>
        <v>27</v>
      </c>
      <c r="R78" s="79">
        <f t="shared" si="35"/>
        <v>-7</v>
      </c>
      <c r="S78" s="80">
        <f t="shared" si="36"/>
        <v>0</v>
      </c>
      <c r="T78" s="44">
        <f t="shared" si="37"/>
        <v>0</v>
      </c>
      <c r="U78" s="44">
        <f>IFERROR(VLOOKUP(B:B,'[1]6店'!$B:$T,19,0),"-")</f>
        <v>0.322283609576427</v>
      </c>
      <c r="V78" s="81">
        <f t="shared" si="38"/>
        <v>-0.322283609576427</v>
      </c>
      <c r="W78" s="82" t="str">
        <f t="shared" si="39"/>
        <v>无库存有销量</v>
      </c>
      <c r="X78" s="83" t="str">
        <f t="shared" si="40"/>
        <v>无库存有销量</v>
      </c>
      <c r="Y78" s="44">
        <f>IFERROR(SUMIF('6店辅助表'!K:K,B:B,'6店辅助表'!N:N),0)</f>
        <v>35.66</v>
      </c>
      <c r="Z78" s="44">
        <f>IFERROR(SUMIF('6店辅助表'!T:T,B:B,'6店辅助表'!W:W),0)</f>
        <v>103.08</v>
      </c>
      <c r="AA78" s="44">
        <f>IFERROR(SUMIF('6店辅助表'!AC:AC,B:B,'6店辅助表'!AF:AF),0)</f>
        <v>143.85</v>
      </c>
      <c r="AB78" s="91">
        <f>IFERROR(SUMIF('6店辅助表'!K:K,B:B,'6店辅助表'!N:N)/SUMIF('6店辅助表'!K:K,B:B,'6店辅助表'!O:O),"-")</f>
        <v>0.169922805679977</v>
      </c>
      <c r="AC78" s="91">
        <f>IFERROR(VLOOKUP(B:B,'[1]6店'!$B:$AB,27,FALSE),"-")</f>
        <v>0.160886691897737</v>
      </c>
      <c r="AD78" s="92">
        <f t="shared" si="41"/>
        <v>0.00903611378224001</v>
      </c>
      <c r="AE78" s="91">
        <f>IFERROR(SUMIF('6店辅助表'!T:T,B:B,'6店辅助表'!W:W)/SUMIF('6店辅助表'!T:T,B:B,'6店辅助表'!X:X),"-")</f>
        <v>0.149779863704393</v>
      </c>
      <c r="AF78" s="91">
        <f>IFERROR(SUMIF('6店辅助表'!AC:AC,B:B,'6店辅助表'!AF:AF)/SUMIF('6店辅助表'!AC:AC,B:B,'6店辅助表'!AG:AG),"-")</f>
        <v>0.152538598574822</v>
      </c>
      <c r="AG78" s="99">
        <f>IFERROR(AK78/((SUMIF('6店辅助表'!AT:AT,B:B,'6店辅助表'!AU:AU)+M78)/2),"-")</f>
        <v>1.6</v>
      </c>
      <c r="AH78" s="99">
        <f>IFERROR(AL78/((SUMIF('6店辅助表'!AW:AW,B:B,'6店辅助表'!AX:AX)+M78)/2),"-")</f>
        <v>6</v>
      </c>
      <c r="AI78" s="100">
        <f>IFERROR((SUMIF('6店辅助表'!AP:AP,B:B,'6店辅助表'!AR:AR)-SUMIF('6店辅助表'!AP:AP,B:B,'6店辅助表'!AR:AR)*0.15-(L78+IFERROR(VLOOKUP(B:B,'6店辅助表'!AZ:BA,2,0),0))*O78-IF(AN:AN="US",6.85,4.9)*(Z78+4.03*O78))/SUMIF('6店辅助表'!AP:AP,B:B,'6店辅助表'!AR:AR),"-")</f>
        <v>0.109687752173275</v>
      </c>
      <c r="AJ78" s="100">
        <f t="shared" si="42"/>
        <v>0.658126513039651</v>
      </c>
      <c r="AK78" s="101">
        <f t="shared" si="43"/>
        <v>593.8</v>
      </c>
      <c r="AL78" s="101">
        <f t="shared" si="44"/>
        <v>1514.19</v>
      </c>
      <c r="AM78" s="1" t="str">
        <f>VLOOKUP(B:B,'6店辅助表'!AZ:AZ,1,FALSE)</f>
        <v>Y6080</v>
      </c>
      <c r="AN78" t="str">
        <f>VLOOKUP(B:B,'6店辅助表'!AZ:BB,3,FALSE)</f>
        <v>US</v>
      </c>
    </row>
    <row r="79" customHeight="1" spans="1:40">
      <c r="A79" s="58" t="str">
        <f>INDEX('[1]6店'!$A:$A,MATCH(B:B,'[1]6店'!$B:$B,0))</f>
        <v>美珠</v>
      </c>
      <c r="B79" s="116" t="s">
        <v>2090</v>
      </c>
      <c r="C79" s="45" t="s">
        <v>2091</v>
      </c>
      <c r="D79" s="59">
        <f>VLOOKUP(B:B,'[1]6店'!$B:$L,3,0)</f>
        <v>45163</v>
      </c>
      <c r="E79" s="45" t="s">
        <v>2092</v>
      </c>
      <c r="F79" s="45">
        <v>3</v>
      </c>
      <c r="G79" s="45">
        <v>0</v>
      </c>
      <c r="H79" s="45">
        <v>11</v>
      </c>
      <c r="I79" s="45">
        <v>1</v>
      </c>
      <c r="J79" s="45">
        <v>0</v>
      </c>
      <c r="K79" s="63">
        <f t="shared" si="34"/>
        <v>15</v>
      </c>
      <c r="L79" s="124">
        <f>VLOOKUP($B:$B,'[1]6店'!$B:$L,11,0)</f>
        <v>30</v>
      </c>
      <c r="M79" s="44">
        <f t="shared" si="45"/>
        <v>450</v>
      </c>
      <c r="N79" s="65">
        <f>IFERROR(VLOOKUP(B:B,'6店辅助表'!B:C,2,FALSE),0)</f>
        <v>11</v>
      </c>
      <c r="O79" s="65">
        <f>IFERROR(VLOOKUP(B:B,'6店辅助表'!E:F,2,FALSE),0)</f>
        <v>22</v>
      </c>
      <c r="P79" s="65">
        <f>IFERROR(VLOOKUP(B:B,'6店辅助表'!H:I,2,FALSE),0)</f>
        <v>29</v>
      </c>
      <c r="Q79" s="65">
        <f>IFERROR(VLOOKUP(B:B,'[1]6店'!$B:$N,13,FALSE),0)</f>
        <v>9</v>
      </c>
      <c r="R79" s="79">
        <f t="shared" si="35"/>
        <v>2</v>
      </c>
      <c r="S79" s="80">
        <f t="shared" si="36"/>
        <v>11.2366230677765</v>
      </c>
      <c r="T79" s="44">
        <f t="shared" si="37"/>
        <v>0.374554102259215</v>
      </c>
      <c r="U79" s="44">
        <f>IFERROR(VLOOKUP(B:B,'[1]6店'!$B:$T,19,0),"-")</f>
        <v>0.761329305135952</v>
      </c>
      <c r="V79" s="81">
        <f t="shared" si="38"/>
        <v>-0.386775202876737</v>
      </c>
      <c r="W79" s="82" t="str">
        <f t="shared" si="39"/>
        <v>库存过低</v>
      </c>
      <c r="X79" s="83" t="str">
        <f t="shared" si="40"/>
        <v>库存过低</v>
      </c>
      <c r="Y79" s="44">
        <f>IFERROR(SUMIF('6店辅助表'!K:K,B:B,'6店辅助表'!N:N),0)</f>
        <v>0</v>
      </c>
      <c r="Z79" s="44">
        <f>IFERROR(SUMIF('6店辅助表'!T:T,B:B,'6店辅助表'!W:W),0)</f>
        <v>0</v>
      </c>
      <c r="AA79" s="44">
        <f>IFERROR(SUMIF('6店辅助表'!AC:AC,B:B,'6店辅助表'!AF:AF),0)</f>
        <v>0</v>
      </c>
      <c r="AB79" s="91" t="str">
        <f>IFERROR(SUMIF('6店辅助表'!K:K,B:B,'6店辅助表'!N:N)/SUMIF('6店辅助表'!K:K,B:B,'6店辅助表'!O:O),"-")</f>
        <v>-</v>
      </c>
      <c r="AC79" s="91" t="str">
        <f>IFERROR(VLOOKUP(B:B,'[1]6店'!$B:$AB,27,FALSE),"-")</f>
        <v>-</v>
      </c>
      <c r="AD79" s="92" t="str">
        <f t="shared" si="41"/>
        <v>-</v>
      </c>
      <c r="AE79" s="91" t="str">
        <f>IFERROR(SUMIF('6店辅助表'!T:T,B:B,'6店辅助表'!W:W)/SUMIF('6店辅助表'!T:T,B:B,'6店辅助表'!X:X),"-")</f>
        <v>-</v>
      </c>
      <c r="AF79" s="91" t="str">
        <f>IFERROR(SUMIF('6店辅助表'!AC:AC,B:B,'6店辅助表'!AF:AF)/SUMIF('6店辅助表'!AC:AC,B:B,'6店辅助表'!AG:AG),"-")</f>
        <v>-</v>
      </c>
      <c r="AG79" s="99">
        <f>IFERROR(AK79/((SUMIF('6店辅助表'!AT:AT,B:B,'6店辅助表'!AU:AU)+M79)/2),"-")</f>
        <v>0.564102564102564</v>
      </c>
      <c r="AH79" s="99">
        <f>IFERROR(AL79/((SUMIF('6店辅助表'!AW:AW,B:B,'6店辅助表'!AX:AX)+M79)/2),"-")</f>
        <v>1.29411764705882</v>
      </c>
      <c r="AI79" s="100">
        <f>IFERROR((SUMIF('6店辅助表'!AP:AP,B:B,'6店辅助表'!AR:AR)-SUMIF('6店辅助表'!AP:AP,B:B,'6店辅助表'!AR:AR)*0.15-(L79+IFERROR(VLOOKUP(B:B,'6店辅助表'!AZ:BA,2,0),0))*O79-IF(AN:AN="US",6.85,4.9)*(Z79+4.03*O79))/SUMIF('6店辅助表'!AP:AP,B:B,'6店辅助表'!AR:AR),"-")</f>
        <v>0.399447846157986</v>
      </c>
      <c r="AJ79" s="100">
        <f t="shared" si="42"/>
        <v>0.516932506792687</v>
      </c>
      <c r="AK79" s="101">
        <f t="shared" si="43"/>
        <v>330</v>
      </c>
      <c r="AL79" s="101">
        <f t="shared" si="44"/>
        <v>660</v>
      </c>
      <c r="AM79" s="1" t="str">
        <f>VLOOKUP(B:B,'6店辅助表'!AZ:AZ,1,FALSE)</f>
        <v>Y6081-RE</v>
      </c>
      <c r="AN79" t="str">
        <f>VLOOKUP(B:B,'6店辅助表'!AZ:BB,3,FALSE)</f>
        <v>US</v>
      </c>
    </row>
    <row r="80" customHeight="1" spans="1:40">
      <c r="A80" s="58" t="str">
        <f>INDEX('[1]6店'!$A:$A,MATCH(B:B,'[1]6店'!$B:$B,0))</f>
        <v>美珠</v>
      </c>
      <c r="B80" s="116" t="s">
        <v>2093</v>
      </c>
      <c r="C80" s="45" t="s">
        <v>2094</v>
      </c>
      <c r="D80" s="59">
        <f>VLOOKUP(B:B,'[1]6店'!$B:$L,3,0)</f>
        <v>45163</v>
      </c>
      <c r="E80" s="45" t="s">
        <v>2095</v>
      </c>
      <c r="F80" s="45">
        <v>1</v>
      </c>
      <c r="G80" s="45">
        <v>0</v>
      </c>
      <c r="H80" s="45">
        <v>10</v>
      </c>
      <c r="I80" s="45">
        <v>3</v>
      </c>
      <c r="J80" s="45">
        <v>1</v>
      </c>
      <c r="K80" s="63">
        <f t="shared" si="34"/>
        <v>15</v>
      </c>
      <c r="L80" s="124">
        <f>VLOOKUP($B:$B,'[1]6店'!$B:$L,11,0)</f>
        <v>30</v>
      </c>
      <c r="M80" s="44">
        <f t="shared" si="45"/>
        <v>450</v>
      </c>
      <c r="N80" s="65">
        <f>IFERROR(VLOOKUP(B:B,'6店辅助表'!B:C,2,FALSE),0)</f>
        <v>10</v>
      </c>
      <c r="O80" s="65">
        <f>IFERROR(VLOOKUP(B:B,'6店辅助表'!E:F,2,FALSE),0)</f>
        <v>19</v>
      </c>
      <c r="P80" s="65">
        <f>IFERROR(VLOOKUP(B:B,'6店辅助表'!H:I,2,FALSE),0)</f>
        <v>27</v>
      </c>
      <c r="Q80" s="65">
        <f>IFERROR(VLOOKUP(B:B,'[1]6店'!$B:$N,13,FALSE),0)</f>
        <v>7</v>
      </c>
      <c r="R80" s="79">
        <f t="shared" si="35"/>
        <v>3</v>
      </c>
      <c r="S80" s="80">
        <f t="shared" si="36"/>
        <v>12.5165562913907</v>
      </c>
      <c r="T80" s="44">
        <f t="shared" si="37"/>
        <v>0.417218543046358</v>
      </c>
      <c r="U80" s="44">
        <f>IFERROR(VLOOKUP(B:B,'[1]6店'!$B:$T,19,0),"-")</f>
        <v>0.8625</v>
      </c>
      <c r="V80" s="81">
        <f t="shared" si="38"/>
        <v>-0.445281456953642</v>
      </c>
      <c r="W80" s="82" t="str">
        <f t="shared" si="39"/>
        <v>库存过低</v>
      </c>
      <c r="X80" s="83" t="str">
        <f t="shared" si="40"/>
        <v>库存过低</v>
      </c>
      <c r="Y80" s="44">
        <f>IFERROR(SUMIF('6店辅助表'!K:K,B:B,'6店辅助表'!N:N),0)</f>
        <v>0</v>
      </c>
      <c r="Z80" s="44">
        <f>IFERROR(SUMIF('6店辅助表'!T:T,B:B,'6店辅助表'!W:W),0)</f>
        <v>0</v>
      </c>
      <c r="AA80" s="44">
        <f>IFERROR(SUMIF('6店辅助表'!AC:AC,B:B,'6店辅助表'!AF:AF),0)</f>
        <v>0</v>
      </c>
      <c r="AB80" s="91" t="str">
        <f>IFERROR(SUMIF('6店辅助表'!K:K,B:B,'6店辅助表'!N:N)/SUMIF('6店辅助表'!K:K,B:B,'6店辅助表'!O:O),"-")</f>
        <v>-</v>
      </c>
      <c r="AC80" s="91" t="str">
        <f>IFERROR(VLOOKUP(B:B,'[1]6店'!$B:$AB,27,FALSE),"-")</f>
        <v>-</v>
      </c>
      <c r="AD80" s="92" t="str">
        <f t="shared" si="41"/>
        <v>-</v>
      </c>
      <c r="AE80" s="91" t="str">
        <f>IFERROR(SUMIF('6店辅助表'!T:T,B:B,'6店辅助表'!W:W)/SUMIF('6店辅助表'!T:T,B:B,'6店辅助表'!X:X),"-")</f>
        <v>-</v>
      </c>
      <c r="AF80" s="91" t="str">
        <f>IFERROR(SUMIF('6店辅助表'!AC:AC,B:B,'6店辅助表'!AF:AF)/SUMIF('6店辅助表'!AC:AC,B:B,'6店辅助表'!AG:AG),"-")</f>
        <v>-</v>
      </c>
      <c r="AG80" s="99">
        <f>IFERROR(AK80/((SUMIF('6店辅助表'!AT:AT,B:B,'6店辅助表'!AU:AU)+M80)/2),"-")</f>
        <v>0.526315789473684</v>
      </c>
      <c r="AH80" s="99">
        <f>IFERROR(AL80/((SUMIF('6店辅助表'!AW:AW,B:B,'6店辅助表'!AX:AX)+M80)/2),"-")</f>
        <v>0.974358974358974</v>
      </c>
      <c r="AI80" s="100">
        <f>IFERROR((SUMIF('6店辅助表'!AP:AP,B:B,'6店辅助表'!AR:AR)-SUMIF('6店辅助表'!AP:AP,B:B,'6店辅助表'!AR:AR)*0.15-(L80+IFERROR(VLOOKUP(B:B,'6店辅助表'!AZ:BA,2,0),0))*O80-IF(AN:AN="US",6.85,4.9)*(Z80+4.03*O80))/SUMIF('6店辅助表'!AP:AP,B:B,'6店辅助表'!AR:AR),"-")</f>
        <v>0.396861468514165</v>
      </c>
      <c r="AJ80" s="100">
        <f t="shared" si="42"/>
        <v>0.386685533424059</v>
      </c>
      <c r="AK80" s="101">
        <f t="shared" si="43"/>
        <v>300</v>
      </c>
      <c r="AL80" s="101">
        <f t="shared" si="44"/>
        <v>570</v>
      </c>
      <c r="AM80" s="1" t="str">
        <f>VLOOKUP(B:B,'6店辅助表'!AZ:AZ,1,FALSE)</f>
        <v>Y6081-GN</v>
      </c>
      <c r="AN80" t="str">
        <f>VLOOKUP(B:B,'6店辅助表'!AZ:BB,3,FALSE)</f>
        <v>US</v>
      </c>
    </row>
    <row r="81" customHeight="1" spans="1:40">
      <c r="A81" s="58" t="str">
        <f>INDEX('[1]6店'!$A:$A,MATCH(B:B,'[1]6店'!$B:$B,0))</f>
        <v>美珠</v>
      </c>
      <c r="B81" s="116" t="s">
        <v>2096</v>
      </c>
      <c r="C81" s="45" t="s">
        <v>1775</v>
      </c>
      <c r="D81" s="59">
        <f>VLOOKUP(B:B,'[1]6店'!$B:$L,3,0)</f>
        <v>45163</v>
      </c>
      <c r="E81" s="45" t="s">
        <v>2097</v>
      </c>
      <c r="F81" s="45">
        <v>4</v>
      </c>
      <c r="G81" s="45">
        <v>0</v>
      </c>
      <c r="H81" s="45">
        <v>14</v>
      </c>
      <c r="I81" s="45">
        <v>0</v>
      </c>
      <c r="J81" s="45">
        <v>1</v>
      </c>
      <c r="K81" s="63">
        <f t="shared" si="34"/>
        <v>19</v>
      </c>
      <c r="L81" s="124">
        <f>VLOOKUP($B:$B,'[1]6店'!$B:$L,11,0)</f>
        <v>13.4</v>
      </c>
      <c r="M81" s="44">
        <f t="shared" si="45"/>
        <v>254.6</v>
      </c>
      <c r="N81" s="65">
        <f>IFERROR(VLOOKUP(B:B,'6店辅助表'!B:C,2,FALSE),0)</f>
        <v>3</v>
      </c>
      <c r="O81" s="65">
        <f>IFERROR(VLOOKUP(B:B,'6店辅助表'!E:F,2,FALSE),0)</f>
        <v>6</v>
      </c>
      <c r="P81" s="65">
        <f>IFERROR(VLOOKUP(B:B,'6店辅助表'!H:I,2,FALSE),0)</f>
        <v>8</v>
      </c>
      <c r="Q81" s="65">
        <f>IFERROR(VLOOKUP(B:B,'[1]6店'!$B:$N,13,FALSE),0)</f>
        <v>3</v>
      </c>
      <c r="R81" s="79">
        <f t="shared" si="35"/>
        <v>0</v>
      </c>
      <c r="S81" s="80">
        <f t="shared" si="36"/>
        <v>52.0434782608696</v>
      </c>
      <c r="T81" s="44">
        <f t="shared" si="37"/>
        <v>1.73478260869565</v>
      </c>
      <c r="U81" s="44">
        <f>IFERROR(VLOOKUP(B:B,'[1]6店'!$B:$T,19,0),"-")</f>
        <v>2.56914893617021</v>
      </c>
      <c r="V81" s="81">
        <f t="shared" si="38"/>
        <v>-0.83436632747456</v>
      </c>
      <c r="W81" s="82" t="str">
        <f t="shared" si="39"/>
        <v>正常</v>
      </c>
      <c r="X81" s="83" t="str">
        <f t="shared" si="40"/>
        <v>库存过高</v>
      </c>
      <c r="Y81" s="44">
        <f>IFERROR(SUMIF('6店辅助表'!K:K,B:B,'6店辅助表'!N:N),0)</f>
        <v>2.48</v>
      </c>
      <c r="Z81" s="44">
        <f>IFERROR(SUMIF('6店辅助表'!T:T,B:B,'6店辅助表'!W:W),0)</f>
        <v>5.63</v>
      </c>
      <c r="AA81" s="44">
        <f>IFERROR(SUMIF('6店辅助表'!AC:AC,B:B,'6店辅助表'!AF:AF),0)</f>
        <v>8.21</v>
      </c>
      <c r="AB81" s="91" t="str">
        <f>IFERROR(SUMIF('6店辅助表'!K:K,B:B,'6店辅助表'!N:N)/SUMIF('6店辅助表'!K:K,B:B,'6店辅助表'!O:O),"-")</f>
        <v>-</v>
      </c>
      <c r="AC81" s="91" t="str">
        <f>IFERROR(VLOOKUP(B:B,'[1]6店'!$B:$AB,27,FALSE),"-")</f>
        <v>-</v>
      </c>
      <c r="AD81" s="92" t="str">
        <f t="shared" si="41"/>
        <v>-</v>
      </c>
      <c r="AE81" s="91" t="str">
        <f>IFERROR(SUMIF('6店辅助表'!T:T,B:B,'6店辅助表'!W:W)/SUMIF('6店辅助表'!T:T,B:B,'6店辅助表'!X:X),"-")</f>
        <v>-</v>
      </c>
      <c r="AF81" s="91">
        <f>IFERROR(SUMIF('6店辅助表'!AC:AC,B:B,'6店辅助表'!AF:AF)/SUMIF('6店辅助表'!AC:AC,B:B,'6店辅助表'!AG:AG),"-")</f>
        <v>0.586847748391708</v>
      </c>
      <c r="AG81" s="99">
        <f>IFERROR(AK81/((SUMIF('6店辅助表'!AT:AT,B:B,'6店辅助表'!AU:AU)+M81)/2),"-")</f>
        <v>0.142857142857143</v>
      </c>
      <c r="AH81" s="99">
        <f>IFERROR(AL81/((SUMIF('6店辅助表'!AW:AW,B:B,'6店辅助表'!AX:AX)+M81)/2),"-")</f>
        <v>0.444444444444444</v>
      </c>
      <c r="AI81" s="100">
        <f>IFERROR((SUMIF('6店辅助表'!AP:AP,B:B,'6店辅助表'!AR:AR)-SUMIF('6店辅助表'!AP:AP,B:B,'6店辅助表'!AR:AR)*0.15-(L81+IFERROR(VLOOKUP(B:B,'6店辅助表'!AZ:BA,2,0),0))*O81-IF(AN:AN="US",6.85,4.9)*(Z81+4.03*O81))/SUMIF('6店辅助表'!AP:AP,B:B,'6店辅助表'!AR:AR),"-")</f>
        <v>0.344465981088334</v>
      </c>
      <c r="AJ81" s="100">
        <f t="shared" si="42"/>
        <v>0.153095991594815</v>
      </c>
      <c r="AK81" s="101">
        <f t="shared" si="43"/>
        <v>40.2</v>
      </c>
      <c r="AL81" s="101">
        <f t="shared" si="44"/>
        <v>80.4</v>
      </c>
      <c r="AM81" s="1" t="str">
        <f>VLOOKUP(B:B,'6店辅助表'!AZ:AZ,1,FALSE)</f>
        <v>Y6082-1-4</v>
      </c>
      <c r="AN81" t="str">
        <f>VLOOKUP(B:B,'6店辅助表'!AZ:BB,3,FALSE)</f>
        <v>US</v>
      </c>
    </row>
    <row r="82" customHeight="1" spans="1:40">
      <c r="A82" s="58" t="str">
        <f>INDEX('[1]6店'!$A:$A,MATCH(B:B,'[1]6店'!$B:$B,0))</f>
        <v>美珠</v>
      </c>
      <c r="B82" s="116" t="s">
        <v>2098</v>
      </c>
      <c r="C82" s="45" t="s">
        <v>2099</v>
      </c>
      <c r="D82" s="59">
        <f>VLOOKUP(B:B,'[1]6店'!$B:$L,3,0)</f>
        <v>45163</v>
      </c>
      <c r="E82" s="45" t="s">
        <v>2100</v>
      </c>
      <c r="F82" s="45">
        <v>12</v>
      </c>
      <c r="G82" s="45">
        <v>1</v>
      </c>
      <c r="H82" s="45">
        <v>20</v>
      </c>
      <c r="I82" s="45">
        <v>2</v>
      </c>
      <c r="J82" s="45">
        <v>3</v>
      </c>
      <c r="K82" s="63">
        <f t="shared" si="34"/>
        <v>38</v>
      </c>
      <c r="L82" s="124">
        <f>VLOOKUP($B:$B,'[1]6店'!$B:$L,11,0)</f>
        <v>13.4</v>
      </c>
      <c r="M82" s="44">
        <f t="shared" si="45"/>
        <v>509.2</v>
      </c>
      <c r="N82" s="65">
        <f>IFERROR(VLOOKUP(B:B,'6店辅助表'!B:C,2,FALSE),0)</f>
        <v>16</v>
      </c>
      <c r="O82" s="65">
        <f>IFERROR(VLOOKUP(B:B,'6店辅助表'!E:F,2,FALSE),0)</f>
        <v>26</v>
      </c>
      <c r="P82" s="65">
        <f>IFERROR(VLOOKUP(B:B,'6店辅助表'!H:I,2,FALSE),0)</f>
        <v>43</v>
      </c>
      <c r="Q82" s="65">
        <f>IFERROR(VLOOKUP(B:B,'[1]6店'!$B:$N,13,FALSE),0)</f>
        <v>9</v>
      </c>
      <c r="R82" s="79">
        <f t="shared" si="35"/>
        <v>7</v>
      </c>
      <c r="S82" s="80">
        <f t="shared" si="36"/>
        <v>20.9082969432314</v>
      </c>
      <c r="T82" s="44">
        <f t="shared" si="37"/>
        <v>0.696943231441048</v>
      </c>
      <c r="U82" s="44">
        <f>IFERROR(VLOOKUP(B:B,'[1]6店'!$B:$T,19,0),"-")</f>
        <v>1.0545193687231</v>
      </c>
      <c r="V82" s="81">
        <f t="shared" si="38"/>
        <v>-0.357576137282052</v>
      </c>
      <c r="W82" s="82" t="str">
        <f t="shared" si="39"/>
        <v>正常</v>
      </c>
      <c r="X82" s="83" t="str">
        <f t="shared" si="40"/>
        <v>正常</v>
      </c>
      <c r="Y82" s="44">
        <f>IFERROR(SUMIF('6店辅助表'!K:K,B:B,'6店辅助表'!N:N),0)</f>
        <v>22.93</v>
      </c>
      <c r="Z82" s="44">
        <f>IFERROR(SUMIF('6店辅助表'!T:T,B:B,'6店辅助表'!W:W),0)</f>
        <v>36.25</v>
      </c>
      <c r="AA82" s="44">
        <f>IFERROR(SUMIF('6店辅助表'!AC:AC,B:B,'6店辅助表'!AF:AF),0)</f>
        <v>51.25</v>
      </c>
      <c r="AB82" s="91">
        <f>IFERROR(SUMIF('6店辅助表'!K:K,B:B,'6店辅助表'!N:N)/SUMIF('6店辅助表'!K:K,B:B,'6店辅助表'!O:O),"-")</f>
        <v>0.273171312842507</v>
      </c>
      <c r="AC82" s="91">
        <f>IFERROR(VLOOKUP(B:B,'[1]6店'!$B:$AB,27,FALSE),"-")</f>
        <v>0.208184417441029</v>
      </c>
      <c r="AD82" s="92">
        <f t="shared" si="41"/>
        <v>0.064986895401478</v>
      </c>
      <c r="AE82" s="91">
        <f>IFERROR(SUMIF('6店辅助表'!T:T,B:B,'6店辅助表'!W:W)/SUMIF('6店辅助表'!T:T,B:B,'6店辅助表'!X:X),"-")</f>
        <v>0.259113652609006</v>
      </c>
      <c r="AF82" s="91">
        <f>IFERROR(SUMIF('6店辅助表'!AC:AC,B:B,'6店辅助表'!AF:AF)/SUMIF('6店辅助表'!AC:AC,B:B,'6店辅助表'!AG:AG),"-")</f>
        <v>0.228958184417441</v>
      </c>
      <c r="AG82" s="99">
        <f>IFERROR(AK82/((SUMIF('6店辅助表'!AT:AT,B:B,'6店辅助表'!AU:AU)+M82)/2),"-")</f>
        <v>0.438356164383562</v>
      </c>
      <c r="AH82" s="99">
        <f>IFERROR(AL82/((SUMIF('6店辅助表'!AW:AW,B:B,'6店辅助表'!AX:AX)+M82)/2),"-")</f>
        <v>0.611764705882353</v>
      </c>
      <c r="AI82" s="100">
        <f>IFERROR((SUMIF('6店辅助表'!AP:AP,B:B,'6店辅助表'!AR:AR)-SUMIF('6店辅助表'!AP:AP,B:B,'6店辅助表'!AR:AR)*0.15-(L82+IFERROR(VLOOKUP(B:B,'6店辅助表'!AZ:BA,2,0),0))*O82-IF(AN:AN="US",6.85,4.9)*(Z82+4.03*O82))/SUMIF('6店辅助表'!AP:AP,B:B,'6店辅助表'!AR:AR),"-")</f>
        <v>0.312108171433915</v>
      </c>
      <c r="AJ82" s="100">
        <f t="shared" si="42"/>
        <v>0.190936763700748</v>
      </c>
      <c r="AK82" s="101">
        <f t="shared" si="43"/>
        <v>214.4</v>
      </c>
      <c r="AL82" s="101">
        <f t="shared" si="44"/>
        <v>348.4</v>
      </c>
      <c r="AM82" s="1" t="str">
        <f>VLOOKUP(B:B,'6店辅助表'!AZ:AZ,1,FALSE)</f>
        <v>Y6082-5</v>
      </c>
      <c r="AN82" t="str">
        <f>VLOOKUP(B:B,'6店辅助表'!AZ:BB,3,FALSE)</f>
        <v>US</v>
      </c>
    </row>
    <row r="83" customHeight="1" spans="1:40">
      <c r="A83" s="58" t="str">
        <f>INDEX('[1]6店'!$A:$A,MATCH(B:B,'[1]6店'!$B:$B,0))</f>
        <v>美珠</v>
      </c>
      <c r="B83" s="116" t="s">
        <v>2101</v>
      </c>
      <c r="C83" s="45" t="s">
        <v>1788</v>
      </c>
      <c r="D83" s="59">
        <f>VLOOKUP(B:B,'[1]6店'!$B:$L,3,0)</f>
        <v>45188</v>
      </c>
      <c r="E83" s="45" t="s">
        <v>2102</v>
      </c>
      <c r="F83" s="45">
        <v>13</v>
      </c>
      <c r="G83" s="45">
        <v>0</v>
      </c>
      <c r="H83" s="45">
        <v>0</v>
      </c>
      <c r="I83" s="45">
        <v>0</v>
      </c>
      <c r="J83" s="45">
        <v>0</v>
      </c>
      <c r="K83" s="63">
        <f t="shared" si="34"/>
        <v>13</v>
      </c>
      <c r="L83" s="124">
        <f>VLOOKUP($B:$B,'[1]6店'!$B:$L,11,0)</f>
        <v>55</v>
      </c>
      <c r="M83" s="44">
        <f t="shared" si="45"/>
        <v>715</v>
      </c>
      <c r="N83" s="65">
        <f>IFERROR(VLOOKUP(B:B,'6店辅助表'!B:C,2,FALSE),0)</f>
        <v>2</v>
      </c>
      <c r="O83" s="65">
        <f>IFERROR(VLOOKUP(B:B,'6店辅助表'!E:F,2,FALSE),0)</f>
        <v>2</v>
      </c>
      <c r="P83" s="65">
        <f>IFERROR(VLOOKUP(B:B,'6店辅助表'!H:I,2,FALSE),0)</f>
        <v>3</v>
      </c>
      <c r="Q83" s="65">
        <f>IFERROR(VLOOKUP(B:B,'[1]6店'!$B:$N,13,FALSE),0)</f>
        <v>0</v>
      </c>
      <c r="R83" s="79">
        <f t="shared" si="35"/>
        <v>2</v>
      </c>
      <c r="S83" s="80">
        <f t="shared" si="36"/>
        <v>75.1376146788991</v>
      </c>
      <c r="T83" s="44">
        <f t="shared" si="37"/>
        <v>2.5045871559633</v>
      </c>
      <c r="U83" s="44">
        <f>IFERROR(VLOOKUP(B:B,'[1]6店'!$B:$T,19,0),"-")</f>
        <v>14</v>
      </c>
      <c r="V83" s="81">
        <f t="shared" si="38"/>
        <v>-11.4954128440367</v>
      </c>
      <c r="W83" s="82" t="str">
        <f t="shared" si="39"/>
        <v>库存过高</v>
      </c>
      <c r="X83" s="83" t="str">
        <f t="shared" si="40"/>
        <v>库存过高</v>
      </c>
      <c r="Y83" s="44">
        <f>IFERROR(SUMIF('6店辅助表'!K:K,B:B,'6店辅助表'!N:N),0)</f>
        <v>9.94</v>
      </c>
      <c r="Z83" s="44">
        <f>IFERROR(SUMIF('6店辅助表'!T:T,B:B,'6店辅助表'!W:W),0)</f>
        <v>13.56</v>
      </c>
      <c r="AA83" s="44">
        <f>IFERROR(SUMIF('6店辅助表'!AC:AC,B:B,'6店辅助表'!AF:AF),0)</f>
        <v>19.19</v>
      </c>
      <c r="AB83" s="91">
        <f>IFERROR(SUMIF('6店辅助表'!K:K,B:B,'6店辅助表'!N:N)/SUMIF('6店辅助表'!K:K,B:B,'6店辅助表'!O:O),"-")</f>
        <v>0.184142274916636</v>
      </c>
      <c r="AC83" s="91" t="str">
        <f>IFERROR(VLOOKUP(B:B,'[1]6店'!$B:$AB,27,FALSE),"-")</f>
        <v>-</v>
      </c>
      <c r="AD83" s="92" t="str">
        <f t="shared" si="41"/>
        <v>-</v>
      </c>
      <c r="AE83" s="91">
        <f>IFERROR(SUMIF('6店辅助表'!T:T,B:B,'6店辅助表'!W:W)/SUMIF('6店辅助表'!T:T,B:B,'6店辅助表'!X:X),"-")</f>
        <v>0.251204149685069</v>
      </c>
      <c r="AF83" s="91">
        <f>IFERROR(SUMIF('6店辅助表'!AC:AC,B:B,'6店辅助表'!AF:AF)/SUMIF('6店辅助表'!AC:AC,B:B,'6店辅助表'!AG:AG),"-")</f>
        <v>0.231288417500301</v>
      </c>
      <c r="AG83" s="99">
        <f>IFERROR(AK83/((SUMIF('6店辅助表'!AT:AT,B:B,'6店辅助表'!AU:AU)+M83)/2),"-")</f>
        <v>0.148148148148148</v>
      </c>
      <c r="AH83" s="99">
        <f>IFERROR(AL83/((SUMIF('6店辅助表'!AW:AW,B:B,'6店辅助表'!AX:AX)+M83)/2),"-")</f>
        <v>0.142857142857143</v>
      </c>
      <c r="AI83" s="100">
        <f>IFERROR((SUMIF('6店辅助表'!AP:AP,B:B,'6店辅助表'!AR:AR)-SUMIF('6店辅助表'!AP:AP,B:B,'6店辅助表'!AR:AR)*0.15-(L83+IFERROR(VLOOKUP(B:B,'6店辅助表'!AZ:BA,2,0),0))*O83-IF(AN:AN="US",6.85,4.9)*(Z83+4.03*O83))/SUMIF('6店辅助表'!AP:AP,B:B,'6店辅助表'!AR:AR),"-")</f>
        <v>0.116457163101771</v>
      </c>
      <c r="AJ83" s="100">
        <f t="shared" si="42"/>
        <v>0.0166367375859672</v>
      </c>
      <c r="AK83" s="101">
        <f t="shared" si="43"/>
        <v>110</v>
      </c>
      <c r="AL83" s="101">
        <f t="shared" si="44"/>
        <v>110</v>
      </c>
      <c r="AM83" s="1" t="str">
        <f>VLOOKUP(B:B,'6店辅助表'!AZ:AZ,1,FALSE)</f>
        <v>Y6083</v>
      </c>
      <c r="AN83" t="str">
        <f>VLOOKUP(B:B,'6店辅助表'!AZ:BB,3,FALSE)</f>
        <v>US</v>
      </c>
    </row>
    <row r="84" customHeight="1" spans="1:40">
      <c r="A84" s="58" t="str">
        <f>INDEX('[1]6店'!$A:$A,MATCH(B:B,'[1]6店'!$B:$B,0))</f>
        <v>美珠</v>
      </c>
      <c r="B84" s="116" t="s">
        <v>2103</v>
      </c>
      <c r="C84" s="45" t="s">
        <v>2104</v>
      </c>
      <c r="D84" s="59">
        <f>VLOOKUP(B:B,'[1]6店'!$B:$L,3,0)</f>
        <v>45191</v>
      </c>
      <c r="E84" s="45" t="s">
        <v>2105</v>
      </c>
      <c r="F84" s="45">
        <v>9</v>
      </c>
      <c r="G84" s="45">
        <v>0</v>
      </c>
      <c r="H84" s="45">
        <v>0</v>
      </c>
      <c r="I84" s="45">
        <v>1</v>
      </c>
      <c r="J84" s="45">
        <v>0</v>
      </c>
      <c r="K84" s="63">
        <f t="shared" si="34"/>
        <v>10</v>
      </c>
      <c r="L84" s="124">
        <f>VLOOKUP($B:$B,'[1]6店'!$B:$L,11,0)</f>
        <v>24.445</v>
      </c>
      <c r="M84" s="44">
        <f t="shared" si="45"/>
        <v>244.45</v>
      </c>
      <c r="N84" s="65">
        <f>IFERROR(VLOOKUP(B:B,'6店辅助表'!B:C,2,FALSE),0)</f>
        <v>1</v>
      </c>
      <c r="O84" s="65">
        <f>IFERROR(VLOOKUP(B:B,'6店辅助表'!E:F,2,FALSE),0)</f>
        <v>3</v>
      </c>
      <c r="P84" s="65">
        <f>IFERROR(VLOOKUP(B:B,'6店辅助表'!H:I,2,FALSE),0)</f>
        <v>6</v>
      </c>
      <c r="Q84" s="65">
        <f>IFERROR(VLOOKUP(B:B,'[1]6店'!$B:$N,13,FALSE),0)</f>
        <v>2</v>
      </c>
      <c r="R84" s="79">
        <f t="shared" si="35"/>
        <v>-1</v>
      </c>
      <c r="S84" s="80">
        <f t="shared" si="36"/>
        <v>55.2631578947368</v>
      </c>
      <c r="T84" s="44">
        <f t="shared" si="37"/>
        <v>1.84210526315789</v>
      </c>
      <c r="U84" s="44">
        <f>IFERROR(VLOOKUP(B:B,'[1]6店'!$B:$T,19,0),"-")</f>
        <v>1.52727272727273</v>
      </c>
      <c r="V84" s="81">
        <f t="shared" si="38"/>
        <v>0.31483253588516</v>
      </c>
      <c r="W84" s="82" t="str">
        <f t="shared" si="39"/>
        <v>库存过高</v>
      </c>
      <c r="X84" s="83" t="str">
        <f t="shared" si="40"/>
        <v>库存过高</v>
      </c>
      <c r="Y84" s="44">
        <f>IFERROR(SUMIF('6店辅助表'!K:K,B:B,'6店辅助表'!N:N),0)</f>
        <v>16.34</v>
      </c>
      <c r="Z84" s="44">
        <f>IFERROR(SUMIF('6店辅助表'!T:T,B:B,'6店辅助表'!W:W),0)</f>
        <v>28.35</v>
      </c>
      <c r="AA84" s="44">
        <f>IFERROR(SUMIF('6店辅助表'!AC:AC,B:B,'6店辅助表'!AF:AF),0)</f>
        <v>29.15</v>
      </c>
      <c r="AB84" s="91" t="str">
        <f>IFERROR(SUMIF('6店辅助表'!K:K,B:B,'6店辅助表'!N:N)/SUMIF('6店辅助表'!K:K,B:B,'6店辅助表'!O:O),"-")</f>
        <v>-</v>
      </c>
      <c r="AC84" s="91">
        <f>IFERROR(VLOOKUP(B:B,'[1]6店'!$B:$AB,27,FALSE),"-")</f>
        <v>0.549236440231701</v>
      </c>
      <c r="AD84" s="92" t="str">
        <f t="shared" si="41"/>
        <v>-</v>
      </c>
      <c r="AE84" s="91">
        <f>IFERROR(SUMIF('6店辅助表'!T:T,B:B,'6店辅助表'!W:W)/SUMIF('6店辅助表'!T:T,B:B,'6店辅助表'!X:X),"-")</f>
        <v>1.49289099526066</v>
      </c>
      <c r="AF84" s="91">
        <f>IFERROR(SUMIF('6店辅助表'!AC:AC,B:B,'6店辅助表'!AF:AF)/SUMIF('6店辅助表'!AC:AC,B:B,'6店辅助表'!AG:AG),"-")</f>
        <v>1.53501843075303</v>
      </c>
      <c r="AG84" s="99">
        <f>IFERROR(AK84/((SUMIF('6店辅助表'!AT:AT,B:B,'6店辅助表'!AU:AU)+M84)/2),"-")</f>
        <v>0.0909090909090909</v>
      </c>
      <c r="AH84" s="99">
        <f>IFERROR(AL84/((SUMIF('6店辅助表'!AW:AW,B:B,'6店辅助表'!AX:AX)+M84)/2),"-")</f>
        <v>0.24</v>
      </c>
      <c r="AI84" s="100">
        <f>IFERROR((SUMIF('6店辅助表'!AP:AP,B:B,'6店辅助表'!AR:AR)-SUMIF('6店辅助表'!AP:AP,B:B,'6店辅助表'!AR:AR)*0.15-(L84+IFERROR(VLOOKUP(B:B,'6店辅助表'!AZ:BA,2,0),0))*O84-IF(AN:AN="US",6.85,4.9)*(Z84+4.03*O84))/SUMIF('6店辅助表'!AP:AP,B:B,'6店辅助表'!AR:AR),"-")</f>
        <v>-0.146098599724019</v>
      </c>
      <c r="AJ84" s="100">
        <f t="shared" si="42"/>
        <v>-0.0350636639337646</v>
      </c>
      <c r="AK84" s="101">
        <f t="shared" si="43"/>
        <v>24.445</v>
      </c>
      <c r="AL84" s="101">
        <f t="shared" si="44"/>
        <v>73.335</v>
      </c>
      <c r="AM84" s="1" t="str">
        <f>VLOOKUP(B:B,'6店辅助表'!AZ:AZ,1,FALSE)</f>
        <v>Y6088-BL</v>
      </c>
      <c r="AN84" t="str">
        <f>VLOOKUP(B:B,'6店辅助表'!AZ:BB,3,FALSE)</f>
        <v>US</v>
      </c>
    </row>
    <row r="85" customHeight="1" spans="1:40">
      <c r="A85" s="58" t="str">
        <f>INDEX('[1]6店'!$A:$A,MATCH(B:B,'[1]6店'!$B:$B,0))</f>
        <v>美珠</v>
      </c>
      <c r="B85" s="116" t="s">
        <v>2106</v>
      </c>
      <c r="C85" s="45" t="s">
        <v>2107</v>
      </c>
      <c r="D85" s="59">
        <f>VLOOKUP(B:B,'[1]6店'!$B:$L,3,0)</f>
        <v>45191</v>
      </c>
      <c r="E85" s="45" t="s">
        <v>2108</v>
      </c>
      <c r="F85" s="45">
        <v>1</v>
      </c>
      <c r="G85" s="45">
        <v>0</v>
      </c>
      <c r="H85" s="45">
        <v>1</v>
      </c>
      <c r="I85" s="45">
        <v>0</v>
      </c>
      <c r="J85" s="45">
        <v>0</v>
      </c>
      <c r="K85" s="63">
        <f t="shared" si="34"/>
        <v>2</v>
      </c>
      <c r="L85" s="124">
        <f>VLOOKUP($B:$B,'[1]6店'!$B:$L,11,0)</f>
        <v>24.446</v>
      </c>
      <c r="M85" s="44">
        <f t="shared" si="45"/>
        <v>48.892</v>
      </c>
      <c r="N85" s="65">
        <f>IFERROR(VLOOKUP(B:B,'6店辅助表'!B:C,2,FALSE),0)</f>
        <v>1</v>
      </c>
      <c r="O85" s="65">
        <f>IFERROR(VLOOKUP(B:B,'6店辅助表'!E:F,2,FALSE),0)</f>
        <v>2</v>
      </c>
      <c r="P85" s="65">
        <f>IFERROR(VLOOKUP(B:B,'6店辅助表'!H:I,2,FALSE),0)</f>
        <v>2</v>
      </c>
      <c r="Q85" s="65">
        <f>IFERROR(VLOOKUP(B:B,'[1]6店'!$B:$N,13,FALSE),0)</f>
        <v>0</v>
      </c>
      <c r="R85" s="79">
        <f t="shared" si="35"/>
        <v>1</v>
      </c>
      <c r="S85" s="80">
        <f t="shared" si="36"/>
        <v>17.5</v>
      </c>
      <c r="T85" s="44">
        <f t="shared" si="37"/>
        <v>0.583333333333333</v>
      </c>
      <c r="U85" s="44">
        <f>IFERROR(VLOOKUP(B:B,'[1]6店'!$B:$T,19,0),"-")</f>
        <v>3</v>
      </c>
      <c r="V85" s="81">
        <f t="shared" si="38"/>
        <v>-2.41666666666667</v>
      </c>
      <c r="W85" s="82" t="str">
        <f t="shared" si="39"/>
        <v>库存过低</v>
      </c>
      <c r="X85" s="83" t="str">
        <f t="shared" si="40"/>
        <v>正常</v>
      </c>
      <c r="Y85" s="44">
        <f>IFERROR(SUMIF('6店辅助表'!K:K,B:B,'6店辅助表'!N:N),0)</f>
        <v>31.73</v>
      </c>
      <c r="Z85" s="44">
        <f>IFERROR(SUMIF('6店辅助表'!T:T,B:B,'6店辅助表'!W:W),0)</f>
        <v>42.8</v>
      </c>
      <c r="AA85" s="44">
        <f>IFERROR(SUMIF('6店辅助表'!AC:AC,B:B,'6店辅助表'!AF:AF),0)</f>
        <v>44.32</v>
      </c>
      <c r="AB85" s="91">
        <f>IFERROR(SUMIF('6店辅助表'!K:K,B:B,'6店辅助表'!N:N)/SUMIF('6店辅助表'!K:K,B:B,'6店辅助表'!O:O),"-")</f>
        <v>0.814007183170857</v>
      </c>
      <c r="AC85" s="91">
        <f>IFERROR(VLOOKUP(B:B,'[1]6店'!$B:$AB,27,FALSE),"-")</f>
        <v>0.582938388625592</v>
      </c>
      <c r="AD85" s="92">
        <f t="shared" si="41"/>
        <v>0.231068794545265</v>
      </c>
      <c r="AE85" s="91">
        <f>IFERROR(SUMIF('6店辅助表'!T:T,B:B,'6店辅助表'!W:W)/SUMIF('6店辅助表'!T:T,B:B,'6店辅助表'!X:X),"-")</f>
        <v>0.738312920476108</v>
      </c>
      <c r="AF85" s="91">
        <f>IFERROR(SUMIF('6店辅助表'!AC:AC,B:B,'6店辅助表'!AF:AF)/SUMIF('6店辅助表'!AC:AC,B:B,'6店辅助表'!AG:AG),"-")</f>
        <v>0.452475752935171</v>
      </c>
      <c r="AG85" s="99">
        <f>IFERROR(AK85/((SUMIF('6店辅助表'!AT:AT,B:B,'6店辅助表'!AU:AU)+M85)/2),"-")</f>
        <v>0.4</v>
      </c>
      <c r="AH85" s="99">
        <f>IFERROR(AL85/((SUMIF('6店辅助表'!AW:AW,B:B,'6店辅助表'!AX:AX)+M85)/2),"-")</f>
        <v>0.666666666666667</v>
      </c>
      <c r="AI85" s="100">
        <f>IFERROR((SUMIF('6店辅助表'!AP:AP,B:B,'6店辅助表'!AR:AR)-SUMIF('6店辅助表'!AP:AP,B:B,'6店辅助表'!AR:AR)*0.15-(L85+IFERROR(VLOOKUP(B:B,'6店辅助表'!AZ:BA,2,0),0))*O85-IF(AN:AN="US",6.85,4.9)*(Z85+4.03*O85))/SUMIF('6店辅助表'!AP:AP,B:B,'6店辅助表'!AR:AR),"-")</f>
        <v>-0.694074957186622</v>
      </c>
      <c r="AJ85" s="100">
        <f t="shared" si="42"/>
        <v>-0.462716638124415</v>
      </c>
      <c r="AK85" s="101">
        <f t="shared" si="43"/>
        <v>24.446</v>
      </c>
      <c r="AL85" s="101">
        <f t="shared" si="44"/>
        <v>48.892</v>
      </c>
      <c r="AM85" s="1" t="str">
        <f>VLOOKUP(B:B,'6店辅助表'!AZ:AZ,1,FALSE)</f>
        <v>Y6088-CA</v>
      </c>
      <c r="AN85" t="str">
        <f>VLOOKUP(B:B,'6店辅助表'!AZ:BB,3,FALSE)</f>
        <v>US</v>
      </c>
    </row>
    <row r="86" customHeight="1" spans="1:40">
      <c r="A86" s="58" t="str">
        <f>INDEX('[1]6店'!$A:$A,MATCH(B:B,'[1]6店'!$B:$B,0))</f>
        <v>美珠</v>
      </c>
      <c r="B86" s="116" t="s">
        <v>2109</v>
      </c>
      <c r="C86" s="45" t="s">
        <v>2110</v>
      </c>
      <c r="D86" s="59">
        <f>VLOOKUP(B:B,'[1]6店'!$B:$L,3,0)</f>
        <v>45189</v>
      </c>
      <c r="E86" s="45" t="s">
        <v>2111</v>
      </c>
      <c r="F86" s="45">
        <v>15</v>
      </c>
      <c r="G86" s="45">
        <v>0</v>
      </c>
      <c r="H86" s="45">
        <v>0</v>
      </c>
      <c r="I86" s="45">
        <v>0</v>
      </c>
      <c r="J86" s="45">
        <v>0</v>
      </c>
      <c r="K86" s="63">
        <f t="shared" si="34"/>
        <v>15</v>
      </c>
      <c r="L86" s="124">
        <f>VLOOKUP($B:$B,'[1]6店'!$B:$L,11,0)</f>
        <v>23.242</v>
      </c>
      <c r="M86" s="44">
        <f t="shared" si="45"/>
        <v>348.63</v>
      </c>
      <c r="N86" s="65">
        <f>IFERROR(VLOOKUP(B:B,'6店辅助表'!B:C,2,FALSE),0)</f>
        <v>0</v>
      </c>
      <c r="O86" s="65">
        <f>IFERROR(VLOOKUP(B:B,'6店辅助表'!E:F,2,FALSE),0)</f>
        <v>0</v>
      </c>
      <c r="P86" s="65">
        <f>IFERROR(VLOOKUP(B:B,'6店辅助表'!H:I,2,FALSE),0)</f>
        <v>0</v>
      </c>
      <c r="Q86" s="65">
        <f>IFERROR(VLOOKUP(B:B,'[1]6店'!$B:$N,13,FALSE),0)</f>
        <v>0</v>
      </c>
      <c r="R86" s="79">
        <f t="shared" si="35"/>
        <v>0</v>
      </c>
      <c r="S86" s="80" t="str">
        <f t="shared" si="36"/>
        <v>-</v>
      </c>
      <c r="T86" s="44" t="str">
        <f t="shared" si="37"/>
        <v>-</v>
      </c>
      <c r="U86" s="44" t="str">
        <f>IFERROR(VLOOKUP(B:B,'[1]6店'!$B:$T,19,0),"-")</f>
        <v>-</v>
      </c>
      <c r="V86" s="81" t="str">
        <f t="shared" si="38"/>
        <v>-</v>
      </c>
      <c r="W86" s="82" t="str">
        <f t="shared" si="39"/>
        <v>有库存无销量</v>
      </c>
      <c r="X86" s="83" t="str">
        <f t="shared" si="40"/>
        <v>有库存无销量</v>
      </c>
      <c r="Y86" s="44">
        <f>IFERROR(SUMIF('6店辅助表'!K:K,B:B,'6店辅助表'!N:N),0)</f>
        <v>0.66</v>
      </c>
      <c r="Z86" s="44">
        <f>IFERROR(SUMIF('6店辅助表'!T:T,B:B,'6店辅助表'!W:W),0)</f>
        <v>1.36</v>
      </c>
      <c r="AA86" s="44">
        <f>IFERROR(SUMIF('6店辅助表'!AC:AC,B:B,'6店辅助表'!AF:AF),0)</f>
        <v>1.36</v>
      </c>
      <c r="AB86" s="91" t="str">
        <f>IFERROR(SUMIF('6店辅助表'!K:K,B:B,'6店辅助表'!N:N)/SUMIF('6店辅助表'!K:K,B:B,'6店辅助表'!O:O),"-")</f>
        <v>-</v>
      </c>
      <c r="AC86" s="91" t="str">
        <f>IFERROR(VLOOKUP(B:B,'[1]6店'!$B:$AB,27,FALSE),"-")</f>
        <v>-</v>
      </c>
      <c r="AD86" s="92" t="str">
        <f t="shared" si="41"/>
        <v>-</v>
      </c>
      <c r="AE86" s="91" t="str">
        <f>IFERROR(SUMIF('6店辅助表'!T:T,B:B,'6店辅助表'!W:W)/SUMIF('6店辅助表'!T:T,B:B,'6店辅助表'!X:X),"-")</f>
        <v>-</v>
      </c>
      <c r="AF86" s="91" t="str">
        <f>IFERROR(SUMIF('6店辅助表'!AC:AC,B:B,'6店辅助表'!AF:AF)/SUMIF('6店辅助表'!AC:AC,B:B,'6店辅助表'!AG:AG),"-")</f>
        <v>-</v>
      </c>
      <c r="AG86" s="99">
        <f>IFERROR(AK86/((SUMIF('6店辅助表'!AT:AT,B:B,'6店辅助表'!AU:AU)+M86)/2),"-")</f>
        <v>0</v>
      </c>
      <c r="AH86" s="99">
        <f>IFERROR(AL86/((SUMIF('6店辅助表'!AW:AW,B:B,'6店辅助表'!AX:AX)+M86)/2),"-")</f>
        <v>0</v>
      </c>
      <c r="AI86" s="100" t="str">
        <f>IFERROR((SUMIF('6店辅助表'!AP:AP,B:B,'6店辅助表'!AR:AR)-SUMIF('6店辅助表'!AP:AP,B:B,'6店辅助表'!AR:AR)*0.15-(L86+IFERROR(VLOOKUP(B:B,'6店辅助表'!AZ:BA,2,0),0))*O86-IF(AN:AN="US",6.85,4.9)*(Z86+4.03*O86))/SUMIF('6店辅助表'!AP:AP,B:B,'6店辅助表'!AR:AR),"-")</f>
        <v>-</v>
      </c>
      <c r="AJ86" s="100" t="str">
        <f t="shared" si="42"/>
        <v>-</v>
      </c>
      <c r="AK86" s="101">
        <f t="shared" si="43"/>
        <v>0</v>
      </c>
      <c r="AL86" s="101">
        <f t="shared" si="44"/>
        <v>0</v>
      </c>
      <c r="AM86" s="1" t="str">
        <f>VLOOKUP(B:B,'6店辅助表'!AZ:AZ,1,FALSE)</f>
        <v>Y6084-BL</v>
      </c>
      <c r="AN86" t="str">
        <f>VLOOKUP(B:B,'6店辅助表'!AZ:BB,3,FALSE)</f>
        <v>US</v>
      </c>
    </row>
    <row r="87" customHeight="1" spans="1:40">
      <c r="A87" s="58" t="str">
        <f>INDEX('[1]6店'!$A:$A,MATCH(B:B,'[1]6店'!$B:$B,0))</f>
        <v>美珠</v>
      </c>
      <c r="B87" s="116" t="s">
        <v>2112</v>
      </c>
      <c r="C87" s="45" t="s">
        <v>2113</v>
      </c>
      <c r="D87" s="59">
        <f>VLOOKUP(B:B,'[1]6店'!$B:$L,3,0)</f>
        <v>45189</v>
      </c>
      <c r="E87" s="45" t="s">
        <v>2114</v>
      </c>
      <c r="F87" s="45">
        <v>4</v>
      </c>
      <c r="G87" s="45">
        <v>0</v>
      </c>
      <c r="H87" s="45">
        <v>0</v>
      </c>
      <c r="I87" s="45">
        <v>0</v>
      </c>
      <c r="J87" s="45">
        <v>0</v>
      </c>
      <c r="K87" s="63">
        <f t="shared" si="34"/>
        <v>4</v>
      </c>
      <c r="L87" s="124">
        <f>VLOOKUP($B:$B,'[1]6店'!$B:$L,11,0)</f>
        <v>23.242</v>
      </c>
      <c r="M87" s="44">
        <f t="shared" si="45"/>
        <v>92.968</v>
      </c>
      <c r="N87" s="65">
        <f>IFERROR(VLOOKUP(B:B,'6店辅助表'!B:C,2,FALSE),0)</f>
        <v>0</v>
      </c>
      <c r="O87" s="65">
        <f>IFERROR(VLOOKUP(B:B,'6店辅助表'!E:F,2,FALSE),0)</f>
        <v>0</v>
      </c>
      <c r="P87" s="65">
        <f>IFERROR(VLOOKUP(B:B,'6店辅助表'!H:I,2,FALSE),0)</f>
        <v>0</v>
      </c>
      <c r="Q87" s="65">
        <f>IFERROR(VLOOKUP(B:B,'[1]6店'!$B:$N,13,FALSE),0)</f>
        <v>0</v>
      </c>
      <c r="R87" s="79">
        <f t="shared" si="35"/>
        <v>0</v>
      </c>
      <c r="S87" s="80" t="str">
        <f t="shared" si="36"/>
        <v>-</v>
      </c>
      <c r="T87" s="44" t="str">
        <f t="shared" si="37"/>
        <v>-</v>
      </c>
      <c r="U87" s="44" t="str">
        <f>IFERROR(VLOOKUP(B:B,'[1]6店'!$B:$T,19,0),"-")</f>
        <v>-</v>
      </c>
      <c r="V87" s="81" t="str">
        <f t="shared" si="38"/>
        <v>-</v>
      </c>
      <c r="W87" s="82" t="str">
        <f t="shared" si="39"/>
        <v>有库存无销量</v>
      </c>
      <c r="X87" s="83" t="str">
        <f t="shared" si="40"/>
        <v>有库存无销量</v>
      </c>
      <c r="Y87" s="44">
        <f>IFERROR(SUMIF('6店辅助表'!K:K,B:B,'6店辅助表'!N:N),0)</f>
        <v>0.93</v>
      </c>
      <c r="Z87" s="44">
        <f>IFERROR(SUMIF('6店辅助表'!T:T,B:B,'6店辅助表'!W:W),0)</f>
        <v>1.63</v>
      </c>
      <c r="AA87" s="44">
        <f>IFERROR(SUMIF('6店辅助表'!AC:AC,B:B,'6店辅助表'!AF:AF),0)</f>
        <v>1.95</v>
      </c>
      <c r="AB87" s="91" t="str">
        <f>IFERROR(SUMIF('6店辅助表'!K:K,B:B,'6店辅助表'!N:N)/SUMIF('6店辅助表'!K:K,B:B,'6店辅助表'!O:O),"-")</f>
        <v>-</v>
      </c>
      <c r="AC87" s="91" t="str">
        <f>IFERROR(VLOOKUP(B:B,'[1]6店'!$B:$AB,27,FALSE),"-")</f>
        <v>-</v>
      </c>
      <c r="AD87" s="92" t="str">
        <f t="shared" si="41"/>
        <v>-</v>
      </c>
      <c r="AE87" s="91" t="str">
        <f>IFERROR(SUMIF('6店辅助表'!T:T,B:B,'6店辅助表'!W:W)/SUMIF('6店辅助表'!T:T,B:B,'6店辅助表'!X:X),"-")</f>
        <v>-</v>
      </c>
      <c r="AF87" s="91" t="str">
        <f>IFERROR(SUMIF('6店辅助表'!AC:AC,B:B,'6店辅助表'!AF:AF)/SUMIF('6店辅助表'!AC:AC,B:B,'6店辅助表'!AG:AG),"-")</f>
        <v>-</v>
      </c>
      <c r="AG87" s="99">
        <f>IFERROR(AK87/((SUMIF('6店辅助表'!AT:AT,B:B,'6店辅助表'!AU:AU)+M87)/2),"-")</f>
        <v>0</v>
      </c>
      <c r="AH87" s="99">
        <f>IFERROR(AL87/((SUMIF('6店辅助表'!AW:AW,B:B,'6店辅助表'!AX:AX)+M87)/2),"-")</f>
        <v>0</v>
      </c>
      <c r="AI87" s="100" t="str">
        <f>IFERROR((SUMIF('6店辅助表'!AP:AP,B:B,'6店辅助表'!AR:AR)-SUMIF('6店辅助表'!AP:AP,B:B,'6店辅助表'!AR:AR)*0.15-(L87+IFERROR(VLOOKUP(B:B,'6店辅助表'!AZ:BA,2,0),0))*O87-IF(AN:AN="US",6.85,4.9)*(Z87+4.03*O87))/SUMIF('6店辅助表'!AP:AP,B:B,'6店辅助表'!AR:AR),"-")</f>
        <v>-</v>
      </c>
      <c r="AJ87" s="100" t="str">
        <f t="shared" si="42"/>
        <v>-</v>
      </c>
      <c r="AK87" s="101">
        <f t="shared" si="43"/>
        <v>0</v>
      </c>
      <c r="AL87" s="101">
        <f t="shared" si="44"/>
        <v>0</v>
      </c>
      <c r="AM87" s="1" t="str">
        <f>VLOOKUP(B:B,'6店辅助表'!AZ:AZ,1,FALSE)</f>
        <v>Y6084-KH</v>
      </c>
      <c r="AN87" t="str">
        <f>VLOOKUP(B:B,'6店辅助表'!AZ:BB,3,FALSE)</f>
        <v>US</v>
      </c>
    </row>
    <row r="88" customHeight="1" spans="1:40">
      <c r="A88" s="58" t="str">
        <f>INDEX('[1]6店'!$A:$A,MATCH(B:B,'[1]6店'!$B:$B,0))</f>
        <v>美珠</v>
      </c>
      <c r="B88" s="116" t="s">
        <v>2115</v>
      </c>
      <c r="C88" s="45" t="s">
        <v>2116</v>
      </c>
      <c r="D88" s="59">
        <f>VLOOKUP(B:B,'[1]6店'!$B:$L,3,0)</f>
        <v>45212</v>
      </c>
      <c r="E88" s="45" t="s">
        <v>2117</v>
      </c>
      <c r="F88" s="45">
        <v>9</v>
      </c>
      <c r="G88" s="45">
        <v>0</v>
      </c>
      <c r="H88" s="45">
        <v>0</v>
      </c>
      <c r="I88" s="45">
        <v>0</v>
      </c>
      <c r="J88" s="45">
        <v>0</v>
      </c>
      <c r="K88" s="63">
        <f t="shared" si="34"/>
        <v>9</v>
      </c>
      <c r="L88" s="124">
        <f>VLOOKUP($B:$B,'[1]6店'!$B:$L,11,0)</f>
        <v>22.8</v>
      </c>
      <c r="M88" s="44">
        <f t="shared" si="45"/>
        <v>205.2</v>
      </c>
      <c r="N88" s="65">
        <f>IFERROR(VLOOKUP(B:B,'6店辅助表'!B:C,2,FALSE),0)</f>
        <v>0</v>
      </c>
      <c r="O88" s="65">
        <f>IFERROR(VLOOKUP(B:B,'6店辅助表'!E:F,2,FALSE),0)</f>
        <v>0</v>
      </c>
      <c r="P88" s="65">
        <f>IFERROR(VLOOKUP(B:B,'6店辅助表'!H:I,2,FALSE),0)</f>
        <v>0</v>
      </c>
      <c r="Q88" s="65">
        <f>IFERROR(VLOOKUP(B:B,'[1]6店'!$B:$N,13,FALSE),0)</f>
        <v>0</v>
      </c>
      <c r="R88" s="79">
        <f t="shared" si="35"/>
        <v>0</v>
      </c>
      <c r="S88" s="80" t="str">
        <f t="shared" si="36"/>
        <v>-</v>
      </c>
      <c r="T88" s="44" t="str">
        <f t="shared" si="37"/>
        <v>-</v>
      </c>
      <c r="U88" s="44" t="str">
        <f>IFERROR(VLOOKUP(B:B,'[1]6店'!$B:$T,19,0),"-")</f>
        <v>-</v>
      </c>
      <c r="V88" s="81" t="str">
        <f t="shared" si="38"/>
        <v>-</v>
      </c>
      <c r="W88" s="82" t="str">
        <f t="shared" si="39"/>
        <v>本月刚到货</v>
      </c>
      <c r="X88" s="83" t="str">
        <f t="shared" si="40"/>
        <v>本月刚到货</v>
      </c>
      <c r="Y88" s="44">
        <f>IFERROR(SUMIF('6店辅助表'!K:K,B:B,'6店辅助表'!N:N),0)</f>
        <v>0</v>
      </c>
      <c r="Z88" s="44">
        <f>IFERROR(SUMIF('6店辅助表'!T:T,B:B,'6店辅助表'!W:W),0)</f>
        <v>0</v>
      </c>
      <c r="AA88" s="44">
        <f>IFERROR(SUMIF('6店辅助表'!AC:AC,B:B,'6店辅助表'!AF:AF),0)</f>
        <v>0</v>
      </c>
      <c r="AB88" s="91" t="str">
        <f>IFERROR(SUMIF('6店辅助表'!K:K,B:B,'6店辅助表'!N:N)/SUMIF('6店辅助表'!K:K,B:B,'6店辅助表'!O:O),"-")</f>
        <v>-</v>
      </c>
      <c r="AC88" s="91" t="str">
        <f>IFERROR(VLOOKUP(B:B,'[1]6店'!$B:$AB,27,FALSE),"-")</f>
        <v>-</v>
      </c>
      <c r="AD88" s="92" t="str">
        <f t="shared" si="41"/>
        <v>-</v>
      </c>
      <c r="AE88" s="91" t="str">
        <f>IFERROR(SUMIF('6店辅助表'!T:T,B:B,'6店辅助表'!W:W)/SUMIF('6店辅助表'!T:T,B:B,'6店辅助表'!X:X),"-")</f>
        <v>-</v>
      </c>
      <c r="AF88" s="91" t="str">
        <f>IFERROR(SUMIF('6店辅助表'!AC:AC,B:B,'6店辅助表'!AF:AF)/SUMIF('6店辅助表'!AC:AC,B:B,'6店辅助表'!AG:AG),"-")</f>
        <v>-</v>
      </c>
      <c r="AG88" s="99">
        <f>IFERROR(AK88/((SUMIF('6店辅助表'!AT:AT,B:B,'6店辅助表'!AU:AU)+M88)/2),"-")</f>
        <v>0</v>
      </c>
      <c r="AH88" s="99">
        <f>IFERROR(AL88/((SUMIF('6店辅助表'!AW:AW,B:B,'6店辅助表'!AX:AX)+M88)/2),"-")</f>
        <v>0</v>
      </c>
      <c r="AI88" s="100" t="str">
        <f>IFERROR((SUMIF('6店辅助表'!AP:AP,B:B,'6店辅助表'!AR:AR)-SUMIF('6店辅助表'!AP:AP,B:B,'6店辅助表'!AR:AR)*0.15-(L88+IFERROR(VLOOKUP(B:B,'6店辅助表'!AZ:BA,2,0),0))*O88-IF(AN:AN="US",6.85,4.9)*(Z88+4.03*O88))/SUMIF('6店辅助表'!AP:AP,B:B,'6店辅助表'!AR:AR),"-")</f>
        <v>-</v>
      </c>
      <c r="AJ88" s="100" t="str">
        <f t="shared" si="42"/>
        <v>-</v>
      </c>
      <c r="AK88" s="101">
        <f t="shared" si="43"/>
        <v>0</v>
      </c>
      <c r="AL88" s="101">
        <f t="shared" si="44"/>
        <v>0</v>
      </c>
      <c r="AM88" s="1" t="str">
        <f>VLOOKUP(B:B,'6店辅助表'!AZ:AZ,1,FALSE)</f>
        <v>Y6090</v>
      </c>
      <c r="AN88" t="str">
        <f>VLOOKUP(B:B,'6店辅助表'!AZ:BB,3,FALSE)</f>
        <v>US</v>
      </c>
    </row>
    <row r="89" customHeight="1" spans="1:40">
      <c r="A89" s="58" t="s">
        <v>1431</v>
      </c>
      <c r="B89" s="116" t="s">
        <v>2118</v>
      </c>
      <c r="C89" s="45" t="s">
        <v>1806</v>
      </c>
      <c r="D89" s="59">
        <v>45219</v>
      </c>
      <c r="E89" s="45" t="s">
        <v>2119</v>
      </c>
      <c r="F89" s="45">
        <v>0</v>
      </c>
      <c r="G89" s="45">
        <v>0</v>
      </c>
      <c r="H89" s="45">
        <v>20</v>
      </c>
      <c r="I89" s="45">
        <v>0</v>
      </c>
      <c r="J89" s="45">
        <v>0</v>
      </c>
      <c r="K89" s="63">
        <f t="shared" si="34"/>
        <v>20</v>
      </c>
      <c r="L89" s="124">
        <v>32.188</v>
      </c>
      <c r="M89" s="44">
        <f t="shared" si="45"/>
        <v>643.76</v>
      </c>
      <c r="N89" s="65">
        <f>IFERROR(VLOOKUP(B:B,'6店辅助表'!B:C,2,FALSE),0)</f>
        <v>0</v>
      </c>
      <c r="O89" s="65">
        <f>IFERROR(VLOOKUP(B:B,'6店辅助表'!E:F,2,FALSE),0)</f>
        <v>0</v>
      </c>
      <c r="P89" s="65">
        <f>IFERROR(VLOOKUP(B:B,'6店辅助表'!H:I,2,FALSE),0)</f>
        <v>0</v>
      </c>
      <c r="Q89" s="65">
        <f>IFERROR(VLOOKUP(B:B,'[1]6店'!$B:$N,13,FALSE),0)</f>
        <v>0</v>
      </c>
      <c r="R89" s="79">
        <f t="shared" si="35"/>
        <v>0</v>
      </c>
      <c r="S89" s="80" t="str">
        <f t="shared" si="36"/>
        <v>-</v>
      </c>
      <c r="T89" s="44" t="str">
        <f t="shared" si="37"/>
        <v>-</v>
      </c>
      <c r="U89" s="44" t="str">
        <f>IFERROR(VLOOKUP(B:B,'[1]6店'!$B:$T,19,0),"-")</f>
        <v>-</v>
      </c>
      <c r="V89" s="81" t="str">
        <f t="shared" si="38"/>
        <v>-</v>
      </c>
      <c r="W89" s="82" t="str">
        <f t="shared" si="39"/>
        <v>本月刚到货</v>
      </c>
      <c r="X89" s="83" t="str">
        <f t="shared" si="40"/>
        <v>本月刚到货</v>
      </c>
      <c r="Y89" s="44">
        <f>IFERROR(SUMIF('6店辅助表'!K:K,B:B,'6店辅助表'!N:N),0)</f>
        <v>0</v>
      </c>
      <c r="Z89" s="44">
        <f>IFERROR(SUMIF('6店辅助表'!T:T,B:B,'6店辅助表'!W:W),0)</f>
        <v>0</v>
      </c>
      <c r="AA89" s="44">
        <f>IFERROR(SUMIF('6店辅助表'!AC:AC,B:B,'6店辅助表'!AF:AF),0)</f>
        <v>0</v>
      </c>
      <c r="AB89" s="91" t="str">
        <f>IFERROR(SUMIF('6店辅助表'!K:K,B:B,'6店辅助表'!N:N)/SUMIF('6店辅助表'!K:K,B:B,'6店辅助表'!O:O),"-")</f>
        <v>-</v>
      </c>
      <c r="AC89" s="91" t="str">
        <f>IFERROR(VLOOKUP(B:B,'[1]6店'!$B:$AB,27,FALSE),"-")</f>
        <v>-</v>
      </c>
      <c r="AD89" s="92" t="str">
        <f t="shared" si="41"/>
        <v>-</v>
      </c>
      <c r="AE89" s="91" t="str">
        <f>IFERROR(SUMIF('6店辅助表'!T:T,B:B,'6店辅助表'!W:W)/SUMIF('6店辅助表'!T:T,B:B,'6店辅助表'!X:X),"-")</f>
        <v>-</v>
      </c>
      <c r="AF89" s="91" t="str">
        <f>IFERROR(SUMIF('6店辅助表'!AC:AC,B:B,'6店辅助表'!AF:AF)/SUMIF('6店辅助表'!AC:AC,B:B,'6店辅助表'!AG:AG),"-")</f>
        <v>-</v>
      </c>
      <c r="AG89" s="99">
        <f>IFERROR(AK89/((SUMIF('6店辅助表'!AT:AT,B:B,'6店辅助表'!AU:AU)+M89)/2),"-")</f>
        <v>0</v>
      </c>
      <c r="AH89" s="99">
        <f>IFERROR(AL89/((SUMIF('6店辅助表'!AW:AW,B:B,'6店辅助表'!AX:AX)+M89)/2),"-")</f>
        <v>0</v>
      </c>
      <c r="AI89" s="100" t="str">
        <f>IFERROR((SUMIF('6店辅助表'!AP:AP,B:B,'6店辅助表'!AR:AR)-SUMIF('6店辅助表'!AP:AP,B:B,'6店辅助表'!AR:AR)*0.15-(L89+IFERROR(VLOOKUP(B:B,'6店辅助表'!AZ:BA,2,0),0))*O89-IF(AN:AN="US",6.85,4.9)*(Z89+4.03*O89))/SUMIF('6店辅助表'!AP:AP,B:B,'6店辅助表'!AR:AR),"-")</f>
        <v>-</v>
      </c>
      <c r="AJ89" s="100" t="str">
        <f t="shared" si="42"/>
        <v>-</v>
      </c>
      <c r="AK89" s="101">
        <f t="shared" si="43"/>
        <v>0</v>
      </c>
      <c r="AL89" s="101">
        <f t="shared" si="44"/>
        <v>0</v>
      </c>
      <c r="AM89" s="1" t="str">
        <f>VLOOKUP(B:B,'6店辅助表'!AZ:AZ,1,FALSE)</f>
        <v>Y6091</v>
      </c>
      <c r="AN89" t="str">
        <f>VLOOKUP(B:B,'6店辅助表'!AZ:BB,3,FALSE)</f>
        <v>US</v>
      </c>
    </row>
    <row r="90" customHeight="1" spans="1:40">
      <c r="A90" s="58" t="s">
        <v>1431</v>
      </c>
      <c r="B90" s="116" t="s">
        <v>2120</v>
      </c>
      <c r="C90" s="45" t="s">
        <v>2121</v>
      </c>
      <c r="D90" s="59">
        <v>45219</v>
      </c>
      <c r="E90" s="45" t="s">
        <v>2122</v>
      </c>
      <c r="F90" s="45">
        <v>0</v>
      </c>
      <c r="G90" s="45">
        <v>0</v>
      </c>
      <c r="H90" s="45">
        <v>9</v>
      </c>
      <c r="I90" s="45">
        <v>0</v>
      </c>
      <c r="J90" s="45">
        <v>0</v>
      </c>
      <c r="K90" s="63">
        <f t="shared" si="34"/>
        <v>9</v>
      </c>
      <c r="L90" s="124">
        <v>23.02</v>
      </c>
      <c r="M90" s="44">
        <f t="shared" si="45"/>
        <v>207.18</v>
      </c>
      <c r="N90" s="65">
        <f>IFERROR(VLOOKUP(B:B,'6店辅助表'!B:C,2,FALSE),0)</f>
        <v>0</v>
      </c>
      <c r="O90" s="65">
        <f>IFERROR(VLOOKUP(B:B,'6店辅助表'!E:F,2,FALSE),0)</f>
        <v>0</v>
      </c>
      <c r="P90" s="65">
        <f>IFERROR(VLOOKUP(B:B,'6店辅助表'!H:I,2,FALSE),0)</f>
        <v>0</v>
      </c>
      <c r="Q90" s="65">
        <f>IFERROR(VLOOKUP(B:B,'[1]6店'!$B:$N,13,FALSE),0)</f>
        <v>0</v>
      </c>
      <c r="R90" s="79">
        <f t="shared" si="35"/>
        <v>0</v>
      </c>
      <c r="S90" s="80" t="str">
        <f t="shared" si="36"/>
        <v>-</v>
      </c>
      <c r="T90" s="44" t="str">
        <f t="shared" si="37"/>
        <v>-</v>
      </c>
      <c r="U90" s="44" t="str">
        <f>IFERROR(VLOOKUP(B:B,'[1]6店'!$B:$T,19,0),"-")</f>
        <v>-</v>
      </c>
      <c r="V90" s="81" t="str">
        <f t="shared" si="38"/>
        <v>-</v>
      </c>
      <c r="W90" s="82" t="str">
        <f t="shared" si="39"/>
        <v>本月刚到货</v>
      </c>
      <c r="X90" s="83" t="str">
        <f t="shared" si="40"/>
        <v>本月刚到货</v>
      </c>
      <c r="Y90" s="44">
        <f>IFERROR(SUMIF('6店辅助表'!K:K,B:B,'6店辅助表'!N:N),0)</f>
        <v>0</v>
      </c>
      <c r="Z90" s="44">
        <f>IFERROR(SUMIF('6店辅助表'!T:T,B:B,'6店辅助表'!W:W),0)</f>
        <v>0</v>
      </c>
      <c r="AA90" s="44">
        <f>IFERROR(SUMIF('6店辅助表'!AC:AC,B:B,'6店辅助表'!AF:AF),0)</f>
        <v>0</v>
      </c>
      <c r="AB90" s="91" t="str">
        <f>IFERROR(SUMIF('6店辅助表'!K:K,B:B,'6店辅助表'!N:N)/SUMIF('6店辅助表'!K:K,B:B,'6店辅助表'!O:O),"-")</f>
        <v>-</v>
      </c>
      <c r="AC90" s="91" t="str">
        <f>IFERROR(VLOOKUP(B:B,'[1]6店'!$B:$AB,27,FALSE),"-")</f>
        <v>-</v>
      </c>
      <c r="AD90" s="92" t="str">
        <f t="shared" si="41"/>
        <v>-</v>
      </c>
      <c r="AE90" s="91" t="str">
        <f>IFERROR(SUMIF('6店辅助表'!T:T,B:B,'6店辅助表'!W:W)/SUMIF('6店辅助表'!T:T,B:B,'6店辅助表'!X:X),"-")</f>
        <v>-</v>
      </c>
      <c r="AF90" s="91" t="str">
        <f>IFERROR(SUMIF('6店辅助表'!AC:AC,B:B,'6店辅助表'!AF:AF)/SUMIF('6店辅助表'!AC:AC,B:B,'6店辅助表'!AG:AG),"-")</f>
        <v>-</v>
      </c>
      <c r="AG90" s="99">
        <f>IFERROR(AK90/((SUMIF('6店辅助表'!AT:AT,B:B,'6店辅助表'!AU:AU)+M90)/2),"-")</f>
        <v>0</v>
      </c>
      <c r="AH90" s="99">
        <f>IFERROR(AL90/((SUMIF('6店辅助表'!AW:AW,B:B,'6店辅助表'!AX:AX)+M90)/2),"-")</f>
        <v>0</v>
      </c>
      <c r="AI90" s="100" t="str">
        <f>IFERROR((SUMIF('6店辅助表'!AP:AP,B:B,'6店辅助表'!AR:AR)-SUMIF('6店辅助表'!AP:AP,B:B,'6店辅助表'!AR:AR)*0.15-(L90+IFERROR(VLOOKUP(B:B,'6店辅助表'!AZ:BA,2,0),0))*O90-IF(AN:AN="US",6.85,4.9)*(Z90+4.03*O90))/SUMIF('6店辅助表'!AP:AP,B:B,'6店辅助表'!AR:AR),"-")</f>
        <v>-</v>
      </c>
      <c r="AJ90" s="100" t="str">
        <f t="shared" si="42"/>
        <v>-</v>
      </c>
      <c r="AK90" s="101">
        <f t="shared" si="43"/>
        <v>0</v>
      </c>
      <c r="AL90" s="101">
        <f t="shared" si="44"/>
        <v>0</v>
      </c>
      <c r="AM90" s="1" t="str">
        <f>VLOOKUP(B:B,'6店辅助表'!AZ:AZ,1,FALSE)</f>
        <v>Y6092</v>
      </c>
      <c r="AN90" t="str">
        <f>VLOOKUP(B:B,'6店辅助表'!AZ:BB,3,FALSE)</f>
        <v>US</v>
      </c>
    </row>
  </sheetData>
  <autoFilter ref="A2:AP90">
    <extLst>
      <etc:autoFilterAnalysis etc:version="v1" etc:showPane="0">
        <etc:analysisCharts>
          <etc:chart etc:type="pie">
            <etc:category etc:colId="0"/>
            <etc:seriesCollections etc:count="1">
              <etc:series etc:colId="0" etc:subtotal="count"/>
            </etc:seriesCollections>
          </etc:chart>
        </etc:analysisCharts>
      </etc:autoFilterAnalysis>
    </extLst>
  </autoFilter>
  <mergeCells count="3">
    <mergeCell ref="Y1:AF1"/>
    <mergeCell ref="AG1:AH1"/>
    <mergeCell ref="B3:E3"/>
  </mergeCells>
  <conditionalFormatting sqref="E2">
    <cfRule type="duplicateValues" dxfId="984" priority="76"/>
  </conditionalFormatting>
  <conditionalFormatting sqref="V3">
    <cfRule type="iconSet" priority="79">
      <iconSet iconSet="3Arrows">
        <cfvo type="percent" val="0"/>
        <cfvo type="num" val="0"/>
        <cfvo type="num" val="0" gte="0"/>
      </iconSet>
    </cfRule>
  </conditionalFormatting>
  <conditionalFormatting sqref="AD3">
    <cfRule type="iconSet" priority="78">
      <iconSet iconSet="3Arrows">
        <cfvo type="percent" val="0"/>
        <cfvo type="num" val="0"/>
        <cfvo type="num" val="0" gte="0"/>
      </iconSet>
    </cfRule>
  </conditionalFormatting>
  <conditionalFormatting sqref="AI3:AJ3">
    <cfRule type="cellIs" dxfId="986" priority="77" operator="lessThan">
      <formula>0</formula>
    </cfRule>
  </conditionalFormatting>
  <conditionalFormatting sqref="R4:R90">
    <cfRule type="iconSet" priority="84">
      <iconSet iconSet="3Arrows">
        <cfvo type="percent" val="0"/>
        <cfvo type="num" val="0"/>
        <cfvo type="num" val="0" gte="0"/>
      </iconSet>
    </cfRule>
  </conditionalFormatting>
  <conditionalFormatting sqref="V4:V90">
    <cfRule type="iconSet" priority="83">
      <iconSet iconSet="3Arrows">
        <cfvo type="percent" val="0"/>
        <cfvo type="num" val="0"/>
        <cfvo type="num" val="0" gte="0"/>
      </iconSet>
    </cfRule>
  </conditionalFormatting>
  <conditionalFormatting sqref="X4:X1048576">
    <cfRule type="expression" dxfId="985" priority="1">
      <formula>AND($X4="库存过高",$K4&gt;2,OR($V4&gt;=0,$V4="-"))</formula>
    </cfRule>
    <cfRule type="expression" dxfId="985" priority="2">
      <formula>AND($X4="有库存无销量",$K4&gt;2,OR($V4&gt;=0,$V4="-"))</formula>
    </cfRule>
  </conditionalFormatting>
  <conditionalFormatting sqref="Y4:Y90">
    <cfRule type="expression" dxfId="985" priority="3">
      <formula>AND($Y4&gt;3,$AB4=0)</formula>
    </cfRule>
  </conditionalFormatting>
  <conditionalFormatting sqref="AB4:AB90">
    <cfRule type="expression" dxfId="985" priority="4">
      <formula>AND($AB4&gt;30%,$AD4&gt;0,$AB4&lt;&gt;"-")</formula>
    </cfRule>
  </conditionalFormatting>
  <conditionalFormatting sqref="AD4:AD90">
    <cfRule type="iconSet" priority="82">
      <iconSet iconSet="3Arrows">
        <cfvo type="percent" val="0"/>
        <cfvo type="num" val="0"/>
        <cfvo type="num" val="0" gte="0"/>
      </iconSet>
    </cfRule>
  </conditionalFormatting>
  <conditionalFormatting sqref="AI4:AI90">
    <cfRule type="cellIs" dxfId="986" priority="5" operator="lessThan">
      <formula>25%</formula>
    </cfRule>
  </conditionalFormatting>
  <conditionalFormatting sqref="D1:D3 D91:D1048576">
    <cfRule type="expression" dxfId="987" priority="71">
      <formula>(TODAY()-$D1)&lt;30</formula>
    </cfRule>
  </conditionalFormatting>
  <pageMargins left="0.75" right="0.75" top="1" bottom="1" header="0.5" footer="0.5"/>
  <headerFooter/>
  <extLst>
    <ext xmlns:x14="http://schemas.microsoft.com/office/spreadsheetml/2009/9/main" uri="{78C0D931-6437-407d-A8EE-F0AAD7539E65}">
      <x14:conditionalFormattings>
        <x14:conditionalFormatting xmlns:xm="http://schemas.microsoft.com/office/excel/2006/main">
          <x14:cfRule type="iconSet" priority="6" id="{f426059f-e889-4843-81c9-f311c48cff3e}">
            <x14:iconSet iconSet="3Arrows" custom="1">
              <x14:cfvo type="percent">
                <xm:f>0</xm:f>
              </x14:cfvo>
              <x14:cfvo type="num">
                <xm:f>0</xm:f>
              </x14:cfvo>
              <x14:cfvo type="num" gte="0">
                <xm:f>0</xm:f>
              </x14:cfvo>
              <x14:cfIcon iconSet="3Arrows" iconId="0"/>
              <x14:cfIcon iconSet="3Arrows" iconId="1"/>
              <x14:cfIcon iconSet="3Arrows" iconId="2"/>
            </x14:iconSet>
          </x14:cfRule>
          <xm:sqref>W4:W90</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B1:BB130"/>
  <sheetViews>
    <sheetView topLeftCell="AM1" workbookViewId="0">
      <pane ySplit="1" topLeftCell="A2" activePane="bottomLeft" state="frozen"/>
      <selection/>
      <selection pane="bottomLeft" activeCell="M8" sqref="M8"/>
    </sheetView>
  </sheetViews>
  <sheetFormatPr defaultColWidth="9" defaultRowHeight="14.25"/>
  <cols>
    <col min="1" max="1" width="9" style="1"/>
    <col min="2" max="2" width="12.743119266055" style="1"/>
    <col min="3" max="3" width="19.0642201834862" style="1" customWidth="1"/>
    <col min="4" max="4" width="9" style="1"/>
    <col min="5" max="5" width="12.743119266055" style="1"/>
    <col min="6" max="6" width="19.0642201834862" style="1" customWidth="1"/>
    <col min="7" max="7" width="9" style="1"/>
    <col min="8" max="8" width="12.743119266055" style="1"/>
    <col min="9" max="9" width="19.0642201834862" style="1" customWidth="1"/>
    <col min="10" max="10" width="9" style="1"/>
    <col min="11" max="11" width="12.743119266055" style="1"/>
    <col min="12" max="14" width="14.7064220183486" style="1" customWidth="1"/>
    <col min="15" max="15" width="19.1834862385321" style="1" customWidth="1"/>
    <col min="16" max="16" width="23.9174311926606" style="1"/>
    <col min="17" max="18" width="15.3302752293578" style="2" customWidth="1"/>
    <col min="19" max="19" width="9" style="1"/>
    <col min="20" max="20" width="12.743119266055" style="1"/>
    <col min="21" max="23" width="14.3302752293578" style="1" customWidth="1"/>
    <col min="24" max="24" width="19.4403669724771" style="1" customWidth="1"/>
    <col min="25" max="25" width="18.6880733944954" style="1" customWidth="1"/>
    <col min="26" max="27" width="17.1926605504587" style="2" customWidth="1"/>
    <col min="28" max="28" width="9" style="1"/>
    <col min="29" max="29" width="12.743119266055" style="1"/>
    <col min="30" max="32" width="13.954128440367" style="1" customWidth="1"/>
    <col min="33" max="33" width="19.8165137614679" style="1" customWidth="1"/>
    <col min="34" max="34" width="23.9174311926606" style="1"/>
    <col min="35" max="36" width="17.9449541284404" style="2" customWidth="1"/>
    <col min="37" max="37" width="10.0917431192661" style="2" customWidth="1"/>
    <col min="39" max="39" width="10.4954128440367"/>
    <col min="40" max="40" width="10.0917431192661" style="2" customWidth="1"/>
    <col min="41" max="41" width="9" style="1"/>
    <col min="43" max="43" width="9.4954128440367"/>
    <col min="44" max="44" width="10.4954128440367" style="1"/>
    <col min="45" max="45" width="9" style="1"/>
    <col min="46" max="46" width="12.2018348623853" style="120" customWidth="1"/>
    <col min="47" max="47" width="11.0825688073394" customWidth="1"/>
    <col min="49" max="49" width="12.2018348623853" style="120" customWidth="1"/>
    <col min="50" max="50" width="11.0825688073394" customWidth="1"/>
    <col min="51" max="51" width="9" style="1"/>
    <col min="52" max="52" width="15.1100917431193" style="136" customWidth="1"/>
    <col min="53" max="53" width="10.3394495412844" style="137" customWidth="1"/>
    <col min="54" max="16384" width="9" style="1"/>
  </cols>
  <sheetData>
    <row r="1" ht="12.9" spans="2:53">
      <c r="B1" t="s">
        <v>408</v>
      </c>
      <c r="C1" t="s">
        <v>409</v>
      </c>
      <c r="E1" t="s">
        <v>408</v>
      </c>
      <c r="F1" t="s">
        <v>409</v>
      </c>
      <c r="H1" t="s">
        <v>408</v>
      </c>
      <c r="I1" t="s">
        <v>409</v>
      </c>
      <c r="K1" t="s">
        <v>410</v>
      </c>
      <c r="L1" t="s">
        <v>411</v>
      </c>
      <c r="M1" t="s">
        <v>412</v>
      </c>
      <c r="N1" t="s">
        <v>413</v>
      </c>
      <c r="O1" t="s">
        <v>414</v>
      </c>
      <c r="P1" t="s">
        <v>415</v>
      </c>
      <c r="Q1" s="31" t="s">
        <v>416</v>
      </c>
      <c r="R1" s="31" t="s">
        <v>417</v>
      </c>
      <c r="T1" t="s">
        <v>410</v>
      </c>
      <c r="U1" t="s">
        <v>411</v>
      </c>
      <c r="V1" t="s">
        <v>412</v>
      </c>
      <c r="W1" t="s">
        <v>413</v>
      </c>
      <c r="X1" t="s">
        <v>414</v>
      </c>
      <c r="Y1" t="s">
        <v>415</v>
      </c>
      <c r="Z1" s="31" t="s">
        <v>418</v>
      </c>
      <c r="AA1" s="31" t="s">
        <v>419</v>
      </c>
      <c r="AC1" t="s">
        <v>410</v>
      </c>
      <c r="AD1" t="s">
        <v>411</v>
      </c>
      <c r="AE1" t="s">
        <v>412</v>
      </c>
      <c r="AF1" t="s">
        <v>413</v>
      </c>
      <c r="AG1" t="s">
        <v>414</v>
      </c>
      <c r="AH1" t="s">
        <v>415</v>
      </c>
      <c r="AI1" s="31" t="s">
        <v>420</v>
      </c>
      <c r="AJ1" s="31" t="s">
        <v>421</v>
      </c>
      <c r="AK1" s="32" t="s">
        <v>422</v>
      </c>
      <c r="AL1" t="s">
        <v>408</v>
      </c>
      <c r="AM1" t="s">
        <v>423</v>
      </c>
      <c r="AN1" s="1"/>
      <c r="AO1" s="32" t="s">
        <v>424</v>
      </c>
      <c r="AP1" t="s">
        <v>408</v>
      </c>
      <c r="AQ1" t="s">
        <v>423</v>
      </c>
      <c r="AS1" s="34">
        <v>6.85</v>
      </c>
      <c r="AT1" s="35">
        <v>85</v>
      </c>
      <c r="AU1" s="36"/>
      <c r="AV1" s="35"/>
      <c r="AW1" s="35">
        <v>87</v>
      </c>
      <c r="AX1" s="36"/>
      <c r="AZ1" s="140"/>
      <c r="BA1" s="141"/>
    </row>
    <row r="2" ht="12.9" spans="2:53">
      <c r="B2" t="s">
        <v>1896</v>
      </c>
      <c r="C2">
        <v>7</v>
      </c>
      <c r="D2" s="1" t="str">
        <f>VLOOKUP(B:B,'6店'!$B:$B,1,0)</f>
        <v>Y6021-GR</v>
      </c>
      <c r="E2" t="s">
        <v>1878</v>
      </c>
      <c r="F2">
        <v>8</v>
      </c>
      <c r="G2" s="1" t="str">
        <f>VLOOKUP(E:E,'6店'!$B:$B,1,0)</f>
        <v>Y6008-GR</v>
      </c>
      <c r="H2" t="s">
        <v>1890</v>
      </c>
      <c r="I2">
        <v>6</v>
      </c>
      <c r="J2" s="1" t="str">
        <f>VLOOKUP(H:H,'6店'!$B:$B,1,0)</f>
        <v>Y6008-BU</v>
      </c>
      <c r="K2" t="s">
        <v>1878</v>
      </c>
      <c r="L2">
        <v>7401</v>
      </c>
      <c r="M2">
        <v>20</v>
      </c>
      <c r="N2">
        <v>4.12</v>
      </c>
      <c r="O2">
        <v>15.99</v>
      </c>
      <c r="P2">
        <v>1</v>
      </c>
      <c r="Q2" s="31">
        <v>0.257661038148843</v>
      </c>
      <c r="R2" s="31">
        <v>0.05</v>
      </c>
      <c r="S2" s="1" t="str">
        <f>VLOOKUP(K:K,'6店'!$B:$B,1,0)</f>
        <v>Y6008-GR</v>
      </c>
      <c r="T2" t="s">
        <v>1878</v>
      </c>
      <c r="U2">
        <v>16818</v>
      </c>
      <c r="V2">
        <v>42</v>
      </c>
      <c r="W2">
        <v>8.26</v>
      </c>
      <c r="X2">
        <v>30.98</v>
      </c>
      <c r="Y2">
        <v>2</v>
      </c>
      <c r="Z2" s="31">
        <v>0.266623628147192</v>
      </c>
      <c r="AA2" s="31">
        <v>0.0476190476190476</v>
      </c>
      <c r="AB2" s="1" t="str">
        <f>VLOOKUP(T:T,'6店'!$B:$B,1,0)</f>
        <v>Y6008-GR</v>
      </c>
      <c r="AC2" t="s">
        <v>1878</v>
      </c>
      <c r="AD2">
        <v>35512</v>
      </c>
      <c r="AE2">
        <v>103</v>
      </c>
      <c r="AF2">
        <v>22.93</v>
      </c>
      <c r="AG2">
        <v>30.98</v>
      </c>
      <c r="AH2">
        <v>2</v>
      </c>
      <c r="AI2" s="31">
        <v>0.74015493867011</v>
      </c>
      <c r="AJ2" s="31">
        <v>0.0194174757281553</v>
      </c>
      <c r="AK2" s="1" t="str">
        <f>VLOOKUP(AC:AC,'6店'!$B:$B,1,0)</f>
        <v>Y6008-GR</v>
      </c>
      <c r="AL2" t="s">
        <v>1887</v>
      </c>
      <c r="AM2" s="102">
        <v>1198.1</v>
      </c>
      <c r="AN2" s="1">
        <f>AM2*$AS$1</f>
        <v>8206.985</v>
      </c>
      <c r="AP2" t="s">
        <v>1887</v>
      </c>
      <c r="AQ2" s="102">
        <v>2007.56</v>
      </c>
      <c r="AR2" s="1">
        <f>AQ2*$AS$1</f>
        <v>13751.786</v>
      </c>
      <c r="AT2" s="37" t="s">
        <v>10</v>
      </c>
      <c r="AU2" s="38" t="s">
        <v>21</v>
      </c>
      <c r="AV2" s="39"/>
      <c r="AW2" s="37" t="s">
        <v>10</v>
      </c>
      <c r="AX2" s="38" t="s">
        <v>21</v>
      </c>
      <c r="AZ2" s="140"/>
      <c r="BA2" s="141"/>
    </row>
    <row r="3" spans="2:53">
      <c r="B3" t="s">
        <v>1887</v>
      </c>
      <c r="C3">
        <v>81</v>
      </c>
      <c r="D3" s="1" t="str">
        <f>VLOOKUP(B:B,'6店'!$B:$B,1,0)</f>
        <v>Y6011-Black</v>
      </c>
      <c r="E3" t="s">
        <v>1881</v>
      </c>
      <c r="F3">
        <v>16</v>
      </c>
      <c r="G3" s="1" t="str">
        <f>VLOOKUP(E:E,'6店'!$B:$B,1,0)</f>
        <v>Y6009</v>
      </c>
      <c r="H3" t="s">
        <v>1878</v>
      </c>
      <c r="I3">
        <v>16</v>
      </c>
      <c r="J3" s="1" t="str">
        <f>VLOOKUP(H:H,'6店'!$B:$B,1,0)</f>
        <v>Y6008-GR</v>
      </c>
      <c r="K3" t="s">
        <v>1887</v>
      </c>
      <c r="L3">
        <v>19744</v>
      </c>
      <c r="M3">
        <v>185</v>
      </c>
      <c r="N3">
        <v>65.07</v>
      </c>
      <c r="O3">
        <v>388.63</v>
      </c>
      <c r="P3">
        <v>24</v>
      </c>
      <c r="Q3" s="31">
        <v>0.167434320561974</v>
      </c>
      <c r="R3" s="31">
        <v>0.12972972972973</v>
      </c>
      <c r="S3" s="1" t="str">
        <f>VLOOKUP(K:K,'6店'!$B:$B,1,0)</f>
        <v>Y6011-Black</v>
      </c>
      <c r="T3" t="s">
        <v>1887</v>
      </c>
      <c r="U3">
        <v>37068</v>
      </c>
      <c r="V3">
        <v>347</v>
      </c>
      <c r="W3">
        <v>120.81</v>
      </c>
      <c r="X3">
        <v>703.41</v>
      </c>
      <c r="Y3">
        <v>43</v>
      </c>
      <c r="Z3" s="31">
        <v>0.171749051051307</v>
      </c>
      <c r="AA3" s="31">
        <v>0.123919308357349</v>
      </c>
      <c r="AB3" s="1" t="str">
        <f>VLOOKUP(T:T,'6店'!$B:$B,1,0)</f>
        <v>Y6011-Black</v>
      </c>
      <c r="AC3" t="s">
        <v>1887</v>
      </c>
      <c r="AD3">
        <v>67775</v>
      </c>
      <c r="AE3">
        <v>626</v>
      </c>
      <c r="AF3">
        <v>226.29</v>
      </c>
      <c r="AG3">
        <v>1164.1</v>
      </c>
      <c r="AH3">
        <v>70</v>
      </c>
      <c r="AI3" s="31">
        <v>0.19439051627867</v>
      </c>
      <c r="AJ3" s="31">
        <v>0.111821086261981</v>
      </c>
      <c r="AK3" s="1" t="str">
        <f>VLOOKUP(AC:AC,'6店'!$B:$B,1,0)</f>
        <v>Y6011-Black</v>
      </c>
      <c r="AL3" t="s">
        <v>1901</v>
      </c>
      <c r="AM3" s="102">
        <v>935.61</v>
      </c>
      <c r="AN3" s="1">
        <f>AM3*$AS$1</f>
        <v>6408.9285</v>
      </c>
      <c r="AP3" t="s">
        <v>1926</v>
      </c>
      <c r="AQ3" s="102">
        <v>1331.26</v>
      </c>
      <c r="AR3" s="1">
        <f>AQ3*$AS$1</f>
        <v>9119.131</v>
      </c>
      <c r="AT3" s="138"/>
      <c r="AU3" s="139">
        <v>66901.2273</v>
      </c>
      <c r="AV3" s="42"/>
      <c r="AW3" s="138"/>
      <c r="AX3" s="139">
        <v>71999.7409</v>
      </c>
      <c r="AZ3" s="142" t="s">
        <v>408</v>
      </c>
      <c r="BA3" s="137" t="s">
        <v>2123</v>
      </c>
    </row>
    <row r="4" spans="2:54">
      <c r="B4" t="s">
        <v>426</v>
      </c>
      <c r="C4"/>
      <c r="D4" s="1" t="e">
        <f>VLOOKUP(B:B,'6店'!$B:$B,1,0)</f>
        <v>#N/A</v>
      </c>
      <c r="E4" t="s">
        <v>1896</v>
      </c>
      <c r="F4">
        <v>14</v>
      </c>
      <c r="G4" s="1" t="str">
        <f>VLOOKUP(E:E,'6店'!$B:$B,1,0)</f>
        <v>Y6021-GR</v>
      </c>
      <c r="H4" t="s">
        <v>1881</v>
      </c>
      <c r="I4">
        <v>19</v>
      </c>
      <c r="J4" s="1" t="str">
        <f>VLOOKUP(H:H,'6店'!$B:$B,1,0)</f>
        <v>Y6009</v>
      </c>
      <c r="K4" t="s">
        <v>1893</v>
      </c>
      <c r="L4">
        <v>5200</v>
      </c>
      <c r="M4">
        <v>14</v>
      </c>
      <c r="N4">
        <v>2.6</v>
      </c>
      <c r="O4">
        <v>0</v>
      </c>
      <c r="P4">
        <v>0</v>
      </c>
      <c r="Q4" s="31">
        <v>0</v>
      </c>
      <c r="R4" s="31">
        <v>0</v>
      </c>
      <c r="S4" s="1" t="str">
        <f>VLOOKUP(K:K,'6店'!$B:$B,1,0)</f>
        <v>Y6016</v>
      </c>
      <c r="T4" t="s">
        <v>1893</v>
      </c>
      <c r="U4">
        <v>11628</v>
      </c>
      <c r="V4">
        <v>41</v>
      </c>
      <c r="W4">
        <v>7.78</v>
      </c>
      <c r="X4">
        <v>0</v>
      </c>
      <c r="Y4">
        <v>0</v>
      </c>
      <c r="Z4" s="31">
        <v>0</v>
      </c>
      <c r="AA4" s="31">
        <v>0</v>
      </c>
      <c r="AB4" s="1" t="str">
        <f>VLOOKUP(T:T,'6店'!$B:$B,1,0)</f>
        <v>Y6016</v>
      </c>
      <c r="AC4" t="s">
        <v>1893</v>
      </c>
      <c r="AD4">
        <v>33883</v>
      </c>
      <c r="AE4">
        <v>85</v>
      </c>
      <c r="AF4">
        <v>19.83</v>
      </c>
      <c r="AG4">
        <v>0</v>
      </c>
      <c r="AH4">
        <v>0</v>
      </c>
      <c r="AI4" s="31">
        <v>0</v>
      </c>
      <c r="AJ4" s="31">
        <v>0</v>
      </c>
      <c r="AK4" s="1" t="str">
        <f>VLOOKUP(AC:AC,'6店'!$B:$B,1,0)</f>
        <v>Y6016</v>
      </c>
      <c r="AL4" t="s">
        <v>1947</v>
      </c>
      <c r="AM4" s="102">
        <v>447.68</v>
      </c>
      <c r="AN4" s="1">
        <f>AM4*$AS$1</f>
        <v>3066.608</v>
      </c>
      <c r="AP4" t="s">
        <v>1907</v>
      </c>
      <c r="AQ4" s="102">
        <v>1241.31</v>
      </c>
      <c r="AR4" s="1">
        <f>AQ4*$AS$1</f>
        <v>8502.9735</v>
      </c>
      <c r="AT4" s="108" t="s">
        <v>1878</v>
      </c>
      <c r="AU4" s="44">
        <v>1311.1</v>
      </c>
      <c r="AV4" s="35"/>
      <c r="AW4" s="108" t="s">
        <v>2068</v>
      </c>
      <c r="AX4" s="44">
        <v>62.712</v>
      </c>
      <c r="AZ4" s="137" t="s">
        <v>1878</v>
      </c>
      <c r="BA4" s="137">
        <v>0.328</v>
      </c>
      <c r="BB4" s="1" t="s">
        <v>430</v>
      </c>
    </row>
    <row r="5" spans="2:54">
      <c r="B5" t="s">
        <v>1926</v>
      </c>
      <c r="C5">
        <v>31</v>
      </c>
      <c r="D5" s="1" t="str">
        <f>VLOOKUP(B:B,'6店'!$B:$B,1,0)</f>
        <v>Y6040-GR</v>
      </c>
      <c r="E5" t="s">
        <v>1899</v>
      </c>
      <c r="F5">
        <v>18</v>
      </c>
      <c r="G5" s="1" t="str">
        <f>VLOOKUP(E:E,'6店'!$B:$B,1,0)</f>
        <v>Y6021-RE</v>
      </c>
      <c r="H5" t="s">
        <v>1887</v>
      </c>
      <c r="I5">
        <v>291</v>
      </c>
      <c r="J5" s="1" t="str">
        <f>VLOOKUP(H:H,'6店'!$B:$B,1,0)</f>
        <v>Y6011-Black</v>
      </c>
      <c r="K5" t="s">
        <v>1896</v>
      </c>
      <c r="L5">
        <v>1053</v>
      </c>
      <c r="M5">
        <v>20</v>
      </c>
      <c r="N5">
        <v>4.35</v>
      </c>
      <c r="O5">
        <v>27.98</v>
      </c>
      <c r="P5">
        <v>2</v>
      </c>
      <c r="Q5" s="31">
        <v>0.155468191565404</v>
      </c>
      <c r="R5" s="31">
        <v>0.1</v>
      </c>
      <c r="S5" s="1" t="str">
        <f>VLOOKUP(K:K,'6店'!$B:$B,1,0)</f>
        <v>Y6021-GR</v>
      </c>
      <c r="T5" t="s">
        <v>1896</v>
      </c>
      <c r="U5">
        <v>2747</v>
      </c>
      <c r="V5">
        <v>43</v>
      </c>
      <c r="W5">
        <v>9.76</v>
      </c>
      <c r="X5">
        <v>71.95</v>
      </c>
      <c r="Y5">
        <v>5</v>
      </c>
      <c r="Z5" s="31">
        <v>0.135649756775539</v>
      </c>
      <c r="AA5" s="31">
        <v>0.116279069767442</v>
      </c>
      <c r="AB5" s="1" t="str">
        <f>VLOOKUP(T:T,'6店'!$B:$B,1,0)</f>
        <v>Y6021-GR</v>
      </c>
      <c r="AC5" t="s">
        <v>1896</v>
      </c>
      <c r="AD5">
        <v>8384</v>
      </c>
      <c r="AE5">
        <v>90</v>
      </c>
      <c r="AF5">
        <v>22.43</v>
      </c>
      <c r="AG5">
        <v>99.93</v>
      </c>
      <c r="AH5">
        <v>7</v>
      </c>
      <c r="AI5" s="31">
        <v>0.224457119983989</v>
      </c>
      <c r="AJ5" s="31">
        <v>0.0777777777777778</v>
      </c>
      <c r="AK5" s="1" t="str">
        <f>VLOOKUP(AC:AC,'6店'!$B:$B,1,0)</f>
        <v>Y6021-GR</v>
      </c>
      <c r="AL5" t="s">
        <v>1926</v>
      </c>
      <c r="AM5" s="102">
        <v>539.7</v>
      </c>
      <c r="AN5" s="1">
        <f>AM5*$AS$1</f>
        <v>3696.945</v>
      </c>
      <c r="AP5" t="s">
        <v>1901</v>
      </c>
      <c r="AQ5" s="102">
        <v>1679.3</v>
      </c>
      <c r="AR5" s="1">
        <f>AQ5*$AS$1</f>
        <v>11503.205</v>
      </c>
      <c r="AT5" s="108" t="s">
        <v>1881</v>
      </c>
      <c r="AU5" s="44">
        <v>1909.705</v>
      </c>
      <c r="AV5" s="35"/>
      <c r="AW5" s="108" t="s">
        <v>1878</v>
      </c>
      <c r="AX5" s="44">
        <v>1599.542</v>
      </c>
      <c r="AZ5" s="137" t="s">
        <v>1890</v>
      </c>
      <c r="BA5" s="137">
        <v>0.424</v>
      </c>
      <c r="BB5" s="1" t="s">
        <v>430</v>
      </c>
    </row>
    <row r="6" spans="2:54">
      <c r="B6" t="s">
        <v>1929</v>
      </c>
      <c r="C6">
        <v>14</v>
      </c>
      <c r="D6" s="1" t="str">
        <f>VLOOKUP(B:B,'6店'!$B:$B,1,0)</f>
        <v>Y6040-RE</v>
      </c>
      <c r="E6" t="s">
        <v>1887</v>
      </c>
      <c r="F6">
        <v>135</v>
      </c>
      <c r="G6" s="1" t="str">
        <f>VLOOKUP(E:E,'6店'!$B:$B,1,0)</f>
        <v>Y6011-Black</v>
      </c>
      <c r="H6" t="s">
        <v>1893</v>
      </c>
      <c r="I6">
        <v>10</v>
      </c>
      <c r="J6" s="1" t="str">
        <f>VLOOKUP(H:H,'6店'!$B:$B,1,0)</f>
        <v>Y6016</v>
      </c>
      <c r="K6" t="s">
        <v>1899</v>
      </c>
      <c r="L6">
        <v>8723</v>
      </c>
      <c r="M6">
        <v>42</v>
      </c>
      <c r="N6">
        <v>8.03</v>
      </c>
      <c r="O6">
        <v>13.99</v>
      </c>
      <c r="P6">
        <v>1</v>
      </c>
      <c r="Q6" s="31">
        <v>0.57398141529664</v>
      </c>
      <c r="R6" s="31">
        <v>0.0238095238095238</v>
      </c>
      <c r="S6" s="1" t="str">
        <f>VLOOKUP(K:K,'6店'!$B:$B,1,0)</f>
        <v>Y6021-RE</v>
      </c>
      <c r="T6" t="s">
        <v>1899</v>
      </c>
      <c r="U6">
        <v>22829</v>
      </c>
      <c r="V6">
        <v>92</v>
      </c>
      <c r="W6">
        <v>19.51</v>
      </c>
      <c r="X6">
        <v>83.94</v>
      </c>
      <c r="Y6">
        <v>5</v>
      </c>
      <c r="Z6" s="31">
        <v>0.232427924708125</v>
      </c>
      <c r="AA6" s="31">
        <v>0.0543478260869565</v>
      </c>
      <c r="AB6" s="1" t="str">
        <f>VLOOKUP(T:T,'6店'!$B:$B,1,0)</f>
        <v>Y6021-RE</v>
      </c>
      <c r="AC6" t="s">
        <v>1899</v>
      </c>
      <c r="AD6">
        <v>42930</v>
      </c>
      <c r="AE6">
        <v>190</v>
      </c>
      <c r="AF6">
        <v>42.99</v>
      </c>
      <c r="AG6">
        <v>239.83</v>
      </c>
      <c r="AH6">
        <v>15</v>
      </c>
      <c r="AI6" s="31">
        <v>0.17925197014552</v>
      </c>
      <c r="AJ6" s="31">
        <v>0.0789473684210526</v>
      </c>
      <c r="AK6" s="1" t="str">
        <f>VLOOKUP(AC:AC,'6店'!$B:$B,1,0)</f>
        <v>Y6021-RE</v>
      </c>
      <c r="AL6" t="s">
        <v>1907</v>
      </c>
      <c r="AM6" s="102">
        <v>539.7</v>
      </c>
      <c r="AN6" s="1">
        <f>AM6*$AS$1</f>
        <v>3696.945</v>
      </c>
      <c r="AP6" t="s">
        <v>1947</v>
      </c>
      <c r="AQ6" s="102">
        <v>946.37</v>
      </c>
      <c r="AR6" s="1">
        <f>AQ6*$AS$1</f>
        <v>6482.6345</v>
      </c>
      <c r="AT6" s="108" t="s">
        <v>1884</v>
      </c>
      <c r="AU6" s="44">
        <v>376.537</v>
      </c>
      <c r="AV6" s="35"/>
      <c r="AW6" s="108" t="s">
        <v>1881</v>
      </c>
      <c r="AX6" s="44">
        <v>2182.52</v>
      </c>
      <c r="AZ6" s="137" t="s">
        <v>1893</v>
      </c>
      <c r="BA6" s="137">
        <v>0.981</v>
      </c>
      <c r="BB6" s="1" t="s">
        <v>430</v>
      </c>
    </row>
    <row r="7" spans="2:54">
      <c r="B7" t="s">
        <v>1923</v>
      </c>
      <c r="C7">
        <v>10</v>
      </c>
      <c r="D7" s="1" t="str">
        <f>VLOOKUP(B:B,'6店'!$B:$B,1,0)</f>
        <v>Y6041</v>
      </c>
      <c r="E7" t="s">
        <v>426</v>
      </c>
      <c r="F7"/>
      <c r="G7" s="1" t="e">
        <f>VLOOKUP(E:E,'6店'!$B:$B,1,0)</f>
        <v>#N/A</v>
      </c>
      <c r="H7" t="s">
        <v>1896</v>
      </c>
      <c r="I7">
        <v>24</v>
      </c>
      <c r="J7" s="1" t="str">
        <f>VLOOKUP(H:H,'6店'!$B:$B,1,0)</f>
        <v>Y6021-GR</v>
      </c>
      <c r="K7" t="s">
        <v>1904</v>
      </c>
      <c r="L7">
        <v>1094</v>
      </c>
      <c r="M7">
        <v>7</v>
      </c>
      <c r="N7">
        <v>3.12</v>
      </c>
      <c r="O7">
        <v>0</v>
      </c>
      <c r="P7">
        <v>0</v>
      </c>
      <c r="Q7" s="31">
        <v>0</v>
      </c>
      <c r="R7" s="31">
        <v>0</v>
      </c>
      <c r="S7" s="1" t="str">
        <f>VLOOKUP(K:K,'6店'!$B:$B,1,0)</f>
        <v>Y6018</v>
      </c>
      <c r="T7" t="s">
        <v>1904</v>
      </c>
      <c r="U7">
        <v>3258</v>
      </c>
      <c r="V7">
        <v>11</v>
      </c>
      <c r="W7">
        <v>4.76</v>
      </c>
      <c r="X7">
        <v>0</v>
      </c>
      <c r="Y7">
        <v>0</v>
      </c>
      <c r="Z7" s="31">
        <v>0</v>
      </c>
      <c r="AA7" s="31">
        <v>0</v>
      </c>
      <c r="AB7" s="1" t="str">
        <f>VLOOKUP(T:T,'6店'!$B:$B,1,0)</f>
        <v>Y6018</v>
      </c>
      <c r="AC7" t="s">
        <v>1904</v>
      </c>
      <c r="AD7">
        <v>6090</v>
      </c>
      <c r="AE7">
        <v>30</v>
      </c>
      <c r="AF7">
        <v>13.58</v>
      </c>
      <c r="AG7">
        <v>0</v>
      </c>
      <c r="AH7">
        <v>0</v>
      </c>
      <c r="AI7" s="31">
        <v>0</v>
      </c>
      <c r="AJ7" s="31">
        <v>0</v>
      </c>
      <c r="AK7" s="1" t="str">
        <f>VLOOKUP(AC:AC,'6店'!$B:$B,1,0)</f>
        <v>Y6018</v>
      </c>
      <c r="AL7" t="s">
        <v>2088</v>
      </c>
      <c r="AM7" s="102">
        <v>299.8</v>
      </c>
      <c r="AN7" s="1">
        <f>AM7*$AS$1</f>
        <v>2053.63</v>
      </c>
      <c r="AP7" t="s">
        <v>2088</v>
      </c>
      <c r="AQ7" s="102">
        <v>764.16</v>
      </c>
      <c r="AR7" s="1">
        <f>AQ7*$AS$1</f>
        <v>5234.496</v>
      </c>
      <c r="AT7" s="108" t="s">
        <v>1887</v>
      </c>
      <c r="AU7" s="44">
        <v>7361.723</v>
      </c>
      <c r="AV7" s="35"/>
      <c r="AW7" s="108" t="s">
        <v>1884</v>
      </c>
      <c r="AX7" s="44">
        <v>484.119</v>
      </c>
      <c r="AZ7" s="137" t="s">
        <v>1896</v>
      </c>
      <c r="BA7" s="137">
        <v>0.935</v>
      </c>
      <c r="BB7" s="1" t="s">
        <v>430</v>
      </c>
    </row>
    <row r="8" spans="2:54">
      <c r="B8" t="s">
        <v>1899</v>
      </c>
      <c r="C8">
        <v>6</v>
      </c>
      <c r="D8" s="1" t="str">
        <f>VLOOKUP(B:B,'6店'!$B:$B,1,0)</f>
        <v>Y6021-RE</v>
      </c>
      <c r="E8" t="s">
        <v>1926</v>
      </c>
      <c r="F8">
        <v>75</v>
      </c>
      <c r="G8" s="1" t="str">
        <f>VLOOKUP(E:E,'6店'!$B:$B,1,0)</f>
        <v>Y6040-GR</v>
      </c>
      <c r="H8" t="s">
        <v>1899</v>
      </c>
      <c r="I8">
        <v>43</v>
      </c>
      <c r="J8" s="1" t="str">
        <f>VLOOKUP(H:H,'6店'!$B:$B,1,0)</f>
        <v>Y6021-RE</v>
      </c>
      <c r="K8" t="s">
        <v>1914</v>
      </c>
      <c r="L8">
        <v>463</v>
      </c>
      <c r="M8">
        <v>0</v>
      </c>
      <c r="N8">
        <v>0</v>
      </c>
      <c r="O8">
        <v>0</v>
      </c>
      <c r="P8">
        <v>0</v>
      </c>
      <c r="Q8" s="31">
        <v>0</v>
      </c>
      <c r="R8" s="31">
        <v>0</v>
      </c>
      <c r="S8" s="1" t="str">
        <f>VLOOKUP(K:K,'6店'!$B:$B,1,0)</f>
        <v>Y6026</v>
      </c>
      <c r="T8" t="s">
        <v>1914</v>
      </c>
      <c r="U8">
        <v>975</v>
      </c>
      <c r="V8">
        <v>1</v>
      </c>
      <c r="W8">
        <v>0.61</v>
      </c>
      <c r="X8">
        <v>0</v>
      </c>
      <c r="Y8">
        <v>0</v>
      </c>
      <c r="Z8" s="31">
        <v>0</v>
      </c>
      <c r="AA8" s="31">
        <v>0</v>
      </c>
      <c r="AB8" s="1" t="str">
        <f>VLOOKUP(T:T,'6店'!$B:$B,1,0)</f>
        <v>Y6026</v>
      </c>
      <c r="AC8" t="s">
        <v>1901</v>
      </c>
      <c r="AD8">
        <v>60106</v>
      </c>
      <c r="AE8">
        <v>653</v>
      </c>
      <c r="AF8">
        <v>206.54</v>
      </c>
      <c r="AG8">
        <v>1222.5</v>
      </c>
      <c r="AH8">
        <v>49</v>
      </c>
      <c r="AI8" s="31">
        <v>0.168948875255624</v>
      </c>
      <c r="AJ8" s="31">
        <v>0.0750382848392037</v>
      </c>
      <c r="AK8" s="1" t="str">
        <f>VLOOKUP(AC:AC,'6店'!$B:$B,1,0)</f>
        <v>Y6022</v>
      </c>
      <c r="AL8" t="s">
        <v>2098</v>
      </c>
      <c r="AM8" s="102">
        <v>223.84</v>
      </c>
      <c r="AN8" s="1">
        <f t="shared" ref="AN8:AN37" si="0">AM8*$AS$1</f>
        <v>1533.304</v>
      </c>
      <c r="AP8" t="s">
        <v>1929</v>
      </c>
      <c r="AQ8" s="102">
        <v>485.63</v>
      </c>
      <c r="AR8" s="1">
        <f>AQ8*$AS$1</f>
        <v>3326.5655</v>
      </c>
      <c r="AT8" s="108" t="s">
        <v>1890</v>
      </c>
      <c r="AU8" s="44">
        <v>104.148</v>
      </c>
      <c r="AV8" s="35"/>
      <c r="AW8" s="108" t="s">
        <v>1887</v>
      </c>
      <c r="AX8" s="44">
        <v>8237.467</v>
      </c>
      <c r="AZ8" s="137" t="s">
        <v>1899</v>
      </c>
      <c r="BA8" s="137">
        <v>0.961</v>
      </c>
      <c r="BB8" s="1" t="s">
        <v>430</v>
      </c>
    </row>
    <row r="9" spans="2:54">
      <c r="B9" t="s">
        <v>1907</v>
      </c>
      <c r="C9">
        <v>30</v>
      </c>
      <c r="D9" s="1" t="str">
        <f>VLOOKUP(B:B,'6店'!$B:$B,1,0)</f>
        <v>Y6028-BL</v>
      </c>
      <c r="E9" t="s">
        <v>1929</v>
      </c>
      <c r="F9">
        <v>27</v>
      </c>
      <c r="G9" s="1" t="str">
        <f>VLOOKUP(E:E,'6店'!$B:$B,1,0)</f>
        <v>Y6040-RE</v>
      </c>
      <c r="H9" t="s">
        <v>1904</v>
      </c>
      <c r="I9">
        <v>3</v>
      </c>
      <c r="J9" s="1" t="str">
        <f>VLOOKUP(H:H,'6店'!$B:$B,1,0)</f>
        <v>Y6018</v>
      </c>
      <c r="K9" t="s">
        <v>1917</v>
      </c>
      <c r="L9">
        <v>203</v>
      </c>
      <c r="M9">
        <v>0</v>
      </c>
      <c r="N9">
        <v>0</v>
      </c>
      <c r="O9">
        <v>0</v>
      </c>
      <c r="P9">
        <v>0</v>
      </c>
      <c r="Q9" s="31">
        <v>0</v>
      </c>
      <c r="R9" s="31">
        <v>0</v>
      </c>
      <c r="S9" s="1" t="str">
        <f>VLOOKUP(K:K,'6店'!$B:$B,1,0)</f>
        <v>Y6027</v>
      </c>
      <c r="T9" t="s">
        <v>1917</v>
      </c>
      <c r="U9">
        <v>410</v>
      </c>
      <c r="V9">
        <v>1</v>
      </c>
      <c r="W9">
        <v>0.71</v>
      </c>
      <c r="X9">
        <v>0</v>
      </c>
      <c r="Y9">
        <v>0</v>
      </c>
      <c r="Z9" s="31">
        <v>0</v>
      </c>
      <c r="AA9" s="31">
        <v>0</v>
      </c>
      <c r="AB9" s="1" t="str">
        <f>VLOOKUP(T:T,'6店'!$B:$B,1,0)</f>
        <v>Y6027</v>
      </c>
      <c r="AC9" t="s">
        <v>1914</v>
      </c>
      <c r="AD9">
        <v>1480</v>
      </c>
      <c r="AE9">
        <v>1</v>
      </c>
      <c r="AF9">
        <v>0.61</v>
      </c>
      <c r="AG9">
        <v>0</v>
      </c>
      <c r="AH9">
        <v>0</v>
      </c>
      <c r="AI9" s="31">
        <v>0</v>
      </c>
      <c r="AJ9" s="31">
        <v>0</v>
      </c>
      <c r="AK9" s="1" t="str">
        <f>VLOOKUP(AC:AC,'6店'!$B:$B,1,0)</f>
        <v>Y6026</v>
      </c>
      <c r="AL9" t="s">
        <v>1929</v>
      </c>
      <c r="AM9" s="102">
        <v>251.86</v>
      </c>
      <c r="AN9" s="1">
        <f t="shared" si="0"/>
        <v>1725.241</v>
      </c>
      <c r="AP9" t="s">
        <v>2098</v>
      </c>
      <c r="AQ9" s="102">
        <v>363.74</v>
      </c>
      <c r="AR9" s="1">
        <f>AQ9*$AS$1</f>
        <v>2491.619</v>
      </c>
      <c r="AT9" s="108" t="s">
        <v>1893</v>
      </c>
      <c r="AU9" s="44">
        <v>337.704</v>
      </c>
      <c r="AV9" s="35"/>
      <c r="AW9" s="108" t="s">
        <v>1890</v>
      </c>
      <c r="AX9" s="44">
        <v>130.185</v>
      </c>
      <c r="AZ9" s="137" t="s">
        <v>1907</v>
      </c>
      <c r="BA9" s="137">
        <v>2.004</v>
      </c>
      <c r="BB9" s="1" t="s">
        <v>430</v>
      </c>
    </row>
    <row r="10" spans="2:54">
      <c r="B10" t="s">
        <v>1947</v>
      </c>
      <c r="C10">
        <v>32</v>
      </c>
      <c r="D10" s="1" t="str">
        <f>VLOOKUP(B:B,'6店'!$B:$B,1,0)</f>
        <v>Y6051</v>
      </c>
      <c r="E10" t="s">
        <v>1923</v>
      </c>
      <c r="F10">
        <v>18</v>
      </c>
      <c r="G10" s="1" t="str">
        <f>VLOOKUP(E:E,'6店'!$B:$B,1,0)</f>
        <v>Y6041</v>
      </c>
      <c r="H10" t="s">
        <v>1901</v>
      </c>
      <c r="I10">
        <v>126</v>
      </c>
      <c r="J10" s="1" t="str">
        <f>VLOOKUP(H:H,'6店'!$B:$B,1,0)</f>
        <v>Y6022</v>
      </c>
      <c r="K10" t="s">
        <v>426</v>
      </c>
      <c r="L10"/>
      <c r="M10"/>
      <c r="N10"/>
      <c r="O10"/>
      <c r="P10"/>
      <c r="Q10" s="31">
        <v>0</v>
      </c>
      <c r="R10" s="31">
        <v>0</v>
      </c>
      <c r="S10" s="1" t="e">
        <f>VLOOKUP(K:K,'6店'!$B:$B,1,0)</f>
        <v>#N/A</v>
      </c>
      <c r="T10" t="s">
        <v>426</v>
      </c>
      <c r="U10"/>
      <c r="V10"/>
      <c r="W10"/>
      <c r="X10"/>
      <c r="Y10"/>
      <c r="Z10" s="31">
        <v>0</v>
      </c>
      <c r="AA10" s="31">
        <v>0</v>
      </c>
      <c r="AB10" s="1" t="e">
        <f>VLOOKUP(T:T,'6店'!$B:$B,1,0)</f>
        <v>#N/A</v>
      </c>
      <c r="AC10" t="s">
        <v>1917</v>
      </c>
      <c r="AD10">
        <v>831</v>
      </c>
      <c r="AE10">
        <v>1</v>
      </c>
      <c r="AF10">
        <v>0.71</v>
      </c>
      <c r="AG10">
        <v>0</v>
      </c>
      <c r="AH10">
        <v>0</v>
      </c>
      <c r="AI10" s="31">
        <v>0</v>
      </c>
      <c r="AJ10" s="31">
        <v>0</v>
      </c>
      <c r="AK10" s="1" t="str">
        <f>VLOOKUP(AC:AC,'6店'!$B:$B,1,0)</f>
        <v>Y6027</v>
      </c>
      <c r="AL10" t="s">
        <v>1881</v>
      </c>
      <c r="AM10" s="102">
        <v>311.88</v>
      </c>
      <c r="AN10" s="1">
        <f t="shared" si="0"/>
        <v>2136.378</v>
      </c>
      <c r="AP10" t="s">
        <v>1991</v>
      </c>
      <c r="AQ10" s="102">
        <v>1127.76</v>
      </c>
      <c r="AR10" s="1">
        <f>AQ10*$AS$1</f>
        <v>7725.156</v>
      </c>
      <c r="AT10" s="108" t="s">
        <v>1896</v>
      </c>
      <c r="AU10" s="44">
        <v>1552.045</v>
      </c>
      <c r="AV10" s="35"/>
      <c r="AW10" s="108" t="s">
        <v>1893</v>
      </c>
      <c r="AX10" s="44">
        <v>534.698</v>
      </c>
      <c r="AZ10" s="137" t="s">
        <v>1909</v>
      </c>
      <c r="BA10" s="137">
        <v>2.005</v>
      </c>
      <c r="BB10" s="1" t="s">
        <v>430</v>
      </c>
    </row>
    <row r="11" spans="2:54">
      <c r="B11" t="s">
        <v>1901</v>
      </c>
      <c r="C11">
        <v>40</v>
      </c>
      <c r="D11" s="1" t="str">
        <f>VLOOKUP(B:B,'6店'!$B:$B,1,0)</f>
        <v>Y6022</v>
      </c>
      <c r="E11" t="s">
        <v>1907</v>
      </c>
      <c r="F11">
        <v>70</v>
      </c>
      <c r="G11" s="1" t="str">
        <f>VLOOKUP(E:E,'6店'!$B:$B,1,0)</f>
        <v>Y6028-BL</v>
      </c>
      <c r="H11" t="s">
        <v>426</v>
      </c>
      <c r="I11"/>
      <c r="J11" s="1" t="e">
        <f>VLOOKUP(H:H,'6店'!$B:$B,1,0)</f>
        <v>#N/A</v>
      </c>
      <c r="K11" t="s">
        <v>1920</v>
      </c>
      <c r="L11">
        <v>548</v>
      </c>
      <c r="M11">
        <v>3</v>
      </c>
      <c r="N11">
        <v>0.95</v>
      </c>
      <c r="O11">
        <v>8.99</v>
      </c>
      <c r="P11">
        <v>1</v>
      </c>
      <c r="Q11" s="31">
        <v>0.10567296996663</v>
      </c>
      <c r="R11" s="31">
        <v>0.333333333333333</v>
      </c>
      <c r="S11" s="1" t="str">
        <f>VLOOKUP(K:K,'6店'!$B:$B,1,0)</f>
        <v>Y6036-ZH</v>
      </c>
      <c r="T11" t="s">
        <v>1920</v>
      </c>
      <c r="U11">
        <v>1037</v>
      </c>
      <c r="V11">
        <v>14</v>
      </c>
      <c r="W11">
        <v>4.24</v>
      </c>
      <c r="X11">
        <v>26.97</v>
      </c>
      <c r="Y11">
        <v>3</v>
      </c>
      <c r="Z11" s="31">
        <v>0.157211716722284</v>
      </c>
      <c r="AA11" s="31">
        <v>0.214285714285714</v>
      </c>
      <c r="AB11" s="1" t="str">
        <f>VLOOKUP(T:T,'6店'!$B:$B,1,0)</f>
        <v>Y6036-ZH</v>
      </c>
      <c r="AC11" t="s">
        <v>426</v>
      </c>
      <c r="AD11"/>
      <c r="AE11"/>
      <c r="AF11"/>
      <c r="AG11"/>
      <c r="AH11"/>
      <c r="AI11" s="31">
        <v>0</v>
      </c>
      <c r="AJ11" s="31">
        <v>0</v>
      </c>
      <c r="AK11" s="1" t="e">
        <f>VLOOKUP(AC:AC,'6店'!$B:$B,1,0)</f>
        <v>#N/A</v>
      </c>
      <c r="AL11" t="s">
        <v>2090</v>
      </c>
      <c r="AM11" s="102">
        <v>208.89</v>
      </c>
      <c r="AN11" s="1">
        <f t="shared" si="0"/>
        <v>1430.8965</v>
      </c>
      <c r="AP11" t="s">
        <v>2090</v>
      </c>
      <c r="AQ11" s="102">
        <v>417.78</v>
      </c>
      <c r="AR11" s="1">
        <f>AQ11*$AS$1</f>
        <v>2861.793</v>
      </c>
      <c r="AT11" s="108" t="s">
        <v>1899</v>
      </c>
      <c r="AU11" s="44">
        <v>450.016</v>
      </c>
      <c r="AV11" s="35"/>
      <c r="AW11" s="108" t="s">
        <v>1896</v>
      </c>
      <c r="AX11" s="44">
        <v>253.971</v>
      </c>
      <c r="AZ11" s="137" t="s">
        <v>1931</v>
      </c>
      <c r="BA11" s="137">
        <v>1.837</v>
      </c>
      <c r="BB11" s="1" t="s">
        <v>430</v>
      </c>
    </row>
    <row r="12" spans="2:54">
      <c r="B12" t="s">
        <v>1985</v>
      </c>
      <c r="C12">
        <v>10</v>
      </c>
      <c r="D12" s="1" t="str">
        <f>VLOOKUP(B:B,'6店'!$B:$B,1,0)</f>
        <v>Y6057</v>
      </c>
      <c r="E12" t="s">
        <v>1947</v>
      </c>
      <c r="F12">
        <v>69</v>
      </c>
      <c r="G12" s="1" t="str">
        <f>VLOOKUP(E:E,'6店'!$B:$B,1,0)</f>
        <v>Y6051</v>
      </c>
      <c r="H12" t="s">
        <v>1926</v>
      </c>
      <c r="I12">
        <v>158</v>
      </c>
      <c r="J12" s="1" t="str">
        <f>VLOOKUP(H:H,'6店'!$B:$B,1,0)</f>
        <v>Y6040-GR</v>
      </c>
      <c r="K12" t="s">
        <v>1907</v>
      </c>
      <c r="L12">
        <v>6059</v>
      </c>
      <c r="M12">
        <v>56</v>
      </c>
      <c r="N12">
        <v>6.83</v>
      </c>
      <c r="O12">
        <v>143.92</v>
      </c>
      <c r="P12">
        <v>7</v>
      </c>
      <c r="Q12" s="31">
        <v>0.0474569205113952</v>
      </c>
      <c r="R12" s="31">
        <v>0.125</v>
      </c>
      <c r="S12" s="1" t="str">
        <f>VLOOKUP(K:K,'6店'!$B:$B,1,0)</f>
        <v>Y6028-BL</v>
      </c>
      <c r="T12" t="s">
        <v>1907</v>
      </c>
      <c r="U12">
        <v>11497</v>
      </c>
      <c r="V12">
        <v>158</v>
      </c>
      <c r="W12">
        <v>19.26</v>
      </c>
      <c r="X12">
        <v>251.86</v>
      </c>
      <c r="Y12">
        <v>13</v>
      </c>
      <c r="Z12" s="31">
        <v>0.0764710553482093</v>
      </c>
      <c r="AA12" s="31">
        <v>0.0822784810126582</v>
      </c>
      <c r="AB12" s="1" t="str">
        <f>VLOOKUP(T:T,'6店'!$B:$B,1,0)</f>
        <v>Y6028-BL</v>
      </c>
      <c r="AC12" t="s">
        <v>1920</v>
      </c>
      <c r="AD12">
        <v>1685</v>
      </c>
      <c r="AE12">
        <v>18</v>
      </c>
      <c r="AF12">
        <v>5.45</v>
      </c>
      <c r="AG12">
        <v>35.96</v>
      </c>
      <c r="AH12">
        <v>4</v>
      </c>
      <c r="AI12" s="31">
        <v>0.151557285873192</v>
      </c>
      <c r="AJ12" s="31">
        <v>0.222222222222222</v>
      </c>
      <c r="AK12" s="1" t="str">
        <f>VLOOKUP(AC:AC,'6店'!$B:$B,1,0)</f>
        <v>Y6036-ZH</v>
      </c>
      <c r="AL12" t="s">
        <v>1923</v>
      </c>
      <c r="AM12" s="102">
        <v>169.24</v>
      </c>
      <c r="AN12" s="1">
        <f t="shared" si="0"/>
        <v>1159.294</v>
      </c>
      <c r="AP12" t="s">
        <v>1923</v>
      </c>
      <c r="AQ12" s="102">
        <v>305.16</v>
      </c>
      <c r="AR12" s="1">
        <f>AQ12*$AS$1</f>
        <v>2090.346</v>
      </c>
      <c r="AT12" s="108" t="s">
        <v>1901</v>
      </c>
      <c r="AU12" s="44">
        <v>5867.208</v>
      </c>
      <c r="AV12" s="35"/>
      <c r="AW12" s="108" t="s">
        <v>1899</v>
      </c>
      <c r="AX12" s="44">
        <v>984.41</v>
      </c>
      <c r="AZ12" s="137" t="s">
        <v>1934</v>
      </c>
      <c r="BA12" s="137">
        <v>1.545</v>
      </c>
      <c r="BB12" s="1" t="s">
        <v>430</v>
      </c>
    </row>
    <row r="13" spans="2:54">
      <c r="B13" t="s">
        <v>1991</v>
      </c>
      <c r="C13">
        <v>9</v>
      </c>
      <c r="D13" s="1" t="str">
        <f>VLOOKUP(B:B,'6店'!$B:$B,1,0)</f>
        <v>Y6058</v>
      </c>
      <c r="E13" t="s">
        <v>1901</v>
      </c>
      <c r="F13">
        <v>71</v>
      </c>
      <c r="G13" s="1" t="str">
        <f>VLOOKUP(E:E,'6店'!$B:$B,1,0)</f>
        <v>Y6022</v>
      </c>
      <c r="H13" t="s">
        <v>1929</v>
      </c>
      <c r="I13">
        <v>53</v>
      </c>
      <c r="J13" s="1" t="str">
        <f>VLOOKUP(H:H,'6店'!$B:$B,1,0)</f>
        <v>Y6040-RE</v>
      </c>
      <c r="K13" t="s">
        <v>1947</v>
      </c>
      <c r="L13">
        <v>12658</v>
      </c>
      <c r="M13">
        <v>134</v>
      </c>
      <c r="N13">
        <v>23.15</v>
      </c>
      <c r="O13">
        <v>111.92</v>
      </c>
      <c r="P13">
        <v>8</v>
      </c>
      <c r="Q13" s="31">
        <v>0.206844174410293</v>
      </c>
      <c r="R13" s="31">
        <v>0.0597014925373134</v>
      </c>
      <c r="S13" s="1" t="str">
        <f>VLOOKUP(K:K,'6店'!$B:$B,1,0)</f>
        <v>Y6051</v>
      </c>
      <c r="T13" t="s">
        <v>1947</v>
      </c>
      <c r="U13">
        <v>20853</v>
      </c>
      <c r="V13">
        <v>228</v>
      </c>
      <c r="W13">
        <v>39.51</v>
      </c>
      <c r="X13">
        <v>237.83</v>
      </c>
      <c r="Y13">
        <v>16</v>
      </c>
      <c r="Z13" s="31">
        <v>0.166127065551024</v>
      </c>
      <c r="AA13" s="31">
        <v>0.0701754385964912</v>
      </c>
      <c r="AB13" s="1" t="str">
        <f>VLOOKUP(T:T,'6店'!$B:$B,1,0)</f>
        <v>Y6051</v>
      </c>
      <c r="AC13" t="s">
        <v>1909</v>
      </c>
      <c r="AD13">
        <v>0</v>
      </c>
      <c r="AE13">
        <v>0</v>
      </c>
      <c r="AF13">
        <v>0</v>
      </c>
      <c r="AG13">
        <v>0</v>
      </c>
      <c r="AH13">
        <v>0</v>
      </c>
      <c r="AI13" s="31">
        <v>0</v>
      </c>
      <c r="AJ13" s="31">
        <v>0</v>
      </c>
      <c r="AK13" s="1" t="str">
        <f>VLOOKUP(AC:AC,'6店'!$B:$B,1,0)</f>
        <v>Y6028-RE</v>
      </c>
      <c r="AL13" t="s">
        <v>1985</v>
      </c>
      <c r="AM13" s="102">
        <v>143.58</v>
      </c>
      <c r="AN13" s="1">
        <f t="shared" si="0"/>
        <v>983.523</v>
      </c>
      <c r="AP13" t="s">
        <v>1985</v>
      </c>
      <c r="AQ13" s="102">
        <v>271.5</v>
      </c>
      <c r="AR13" s="1">
        <f>AQ13*$AS$1</f>
        <v>1859.775</v>
      </c>
      <c r="AT13" s="108" t="s">
        <v>1904</v>
      </c>
      <c r="AU13" s="44">
        <v>99.43</v>
      </c>
      <c r="AV13" s="35"/>
      <c r="AW13" s="108" t="s">
        <v>1901</v>
      </c>
      <c r="AX13" s="44">
        <v>7737.912</v>
      </c>
      <c r="AZ13" s="137" t="s">
        <v>1881</v>
      </c>
      <c r="BA13" s="137">
        <v>6.809</v>
      </c>
      <c r="BB13" s="1" t="s">
        <v>430</v>
      </c>
    </row>
    <row r="14" spans="2:54">
      <c r="B14" t="s">
        <v>1988</v>
      </c>
      <c r="C14">
        <v>9</v>
      </c>
      <c r="D14" s="1" t="str">
        <f>VLOOKUP(B:B,'6店'!$B:$B,1,0)</f>
        <v>Y6061</v>
      </c>
      <c r="E14" t="s">
        <v>1988</v>
      </c>
      <c r="F14">
        <v>14</v>
      </c>
      <c r="G14" s="1" t="str">
        <f>VLOOKUP(E:E,'6店'!$B:$B,1,0)</f>
        <v>Y6061</v>
      </c>
      <c r="H14" t="s">
        <v>1923</v>
      </c>
      <c r="I14">
        <v>43</v>
      </c>
      <c r="J14" s="1" t="str">
        <f>VLOOKUP(H:H,'6店'!$B:$B,1,0)</f>
        <v>Y6041</v>
      </c>
      <c r="K14" t="s">
        <v>1901</v>
      </c>
      <c r="L14">
        <v>16760</v>
      </c>
      <c r="M14">
        <v>154</v>
      </c>
      <c r="N14">
        <v>49.57</v>
      </c>
      <c r="O14">
        <v>191.92</v>
      </c>
      <c r="P14">
        <v>8</v>
      </c>
      <c r="Q14" s="31">
        <v>0.25828470195915</v>
      </c>
      <c r="R14" s="31">
        <v>0.051948051948052</v>
      </c>
      <c r="S14" s="1" t="str">
        <f>VLOOKUP(K:K,'6店'!$B:$B,1,0)</f>
        <v>Y6022</v>
      </c>
      <c r="T14" t="s">
        <v>1901</v>
      </c>
      <c r="U14">
        <v>33351</v>
      </c>
      <c r="V14">
        <v>343</v>
      </c>
      <c r="W14">
        <v>105.61</v>
      </c>
      <c r="X14">
        <v>646.74</v>
      </c>
      <c r="Y14">
        <v>25</v>
      </c>
      <c r="Z14" s="31">
        <v>0.163295914896249</v>
      </c>
      <c r="AA14" s="31">
        <v>0.0728862973760933</v>
      </c>
      <c r="AB14" s="1" t="str">
        <f>VLOOKUP(T:T,'6店'!$B:$B,1,0)</f>
        <v>Y6022</v>
      </c>
      <c r="AC14" t="s">
        <v>1907</v>
      </c>
      <c r="AD14">
        <v>16675</v>
      </c>
      <c r="AE14">
        <v>283</v>
      </c>
      <c r="AF14">
        <v>36.17</v>
      </c>
      <c r="AG14">
        <v>445.75</v>
      </c>
      <c r="AH14">
        <v>24</v>
      </c>
      <c r="AI14" s="31">
        <v>0.081144139091419</v>
      </c>
      <c r="AJ14" s="31">
        <v>0.0848056537102474</v>
      </c>
      <c r="AK14" s="1" t="str">
        <f>VLOOKUP(AC:AC,'6店'!$B:$B,1,0)</f>
        <v>Y6028-BL</v>
      </c>
      <c r="AL14" t="s">
        <v>1991</v>
      </c>
      <c r="AM14" s="102">
        <v>422.91</v>
      </c>
      <c r="AN14" s="1">
        <f t="shared" si="0"/>
        <v>2896.9335</v>
      </c>
      <c r="AP14" t="s">
        <v>2093</v>
      </c>
      <c r="AQ14" s="102">
        <v>358.72</v>
      </c>
      <c r="AR14" s="1">
        <f>AQ14*$AS$1</f>
        <v>2457.232</v>
      </c>
      <c r="AT14" s="108" t="s">
        <v>1907</v>
      </c>
      <c r="AU14" s="44">
        <v>4216.89</v>
      </c>
      <c r="AV14" s="35"/>
      <c r="AW14" s="108" t="s">
        <v>1904</v>
      </c>
      <c r="AX14" s="44">
        <v>109.373</v>
      </c>
      <c r="AZ14" s="137" t="s">
        <v>1884</v>
      </c>
      <c r="BA14" s="137">
        <v>3.573</v>
      </c>
      <c r="BB14" s="1" t="s">
        <v>430</v>
      </c>
    </row>
    <row r="15" spans="2:54">
      <c r="B15" t="s">
        <v>1938</v>
      </c>
      <c r="C15">
        <v>2</v>
      </c>
      <c r="D15" s="1" t="str">
        <f>VLOOKUP(B:B,'6店'!$B:$B,1,0)</f>
        <v>Y6049-BL</v>
      </c>
      <c r="E15" t="s">
        <v>1991</v>
      </c>
      <c r="F15">
        <v>24</v>
      </c>
      <c r="G15" s="1" t="str">
        <f>VLOOKUP(E:E,'6店'!$B:$B,1,0)</f>
        <v>Y6058</v>
      </c>
      <c r="H15" t="s">
        <v>1907</v>
      </c>
      <c r="I15">
        <v>127</v>
      </c>
      <c r="J15" s="1" t="str">
        <f>VLOOKUP(H:H,'6店'!$B:$B,1,0)</f>
        <v>Y6028-BL</v>
      </c>
      <c r="K15" t="s">
        <v>1953</v>
      </c>
      <c r="L15">
        <v>104</v>
      </c>
      <c r="M15">
        <v>0</v>
      </c>
      <c r="N15">
        <v>0</v>
      </c>
      <c r="O15">
        <v>0</v>
      </c>
      <c r="P15">
        <v>0</v>
      </c>
      <c r="Q15" s="31">
        <v>0</v>
      </c>
      <c r="R15" s="31">
        <v>0</v>
      </c>
      <c r="S15" s="1" t="str">
        <f>VLOOKUP(K:K,'6店'!$B:$B,1,0)</f>
        <v>Y6056-BL</v>
      </c>
      <c r="T15" t="s">
        <v>1938</v>
      </c>
      <c r="U15">
        <v>36460</v>
      </c>
      <c r="V15">
        <v>66</v>
      </c>
      <c r="W15">
        <v>23.85</v>
      </c>
      <c r="X15">
        <v>83.97</v>
      </c>
      <c r="Y15">
        <v>2</v>
      </c>
      <c r="Z15" s="31">
        <v>0.284030010718114</v>
      </c>
      <c r="AA15" s="31">
        <v>0.0303030303030303</v>
      </c>
      <c r="AB15" s="1" t="str">
        <f>VLOOKUP(T:T,'6店'!$B:$B,1,0)</f>
        <v>Y6049-BL</v>
      </c>
      <c r="AC15" t="s">
        <v>1938</v>
      </c>
      <c r="AD15">
        <v>55614</v>
      </c>
      <c r="AE15">
        <v>114</v>
      </c>
      <c r="AF15">
        <v>43.09</v>
      </c>
      <c r="AG15">
        <v>111.96</v>
      </c>
      <c r="AH15">
        <v>3</v>
      </c>
      <c r="AI15" s="31">
        <v>0.384869596284387</v>
      </c>
      <c r="AJ15" s="31">
        <v>0.0263157894736842</v>
      </c>
      <c r="AK15" s="1" t="str">
        <f>VLOOKUP(AC:AC,'6店'!$B:$B,1,0)</f>
        <v>Y6049-BL</v>
      </c>
      <c r="AL15" t="s">
        <v>2093</v>
      </c>
      <c r="AM15" s="102">
        <v>188.8</v>
      </c>
      <c r="AN15" s="1">
        <f t="shared" si="0"/>
        <v>1293.28</v>
      </c>
      <c r="AP15" t="s">
        <v>1881</v>
      </c>
      <c r="AQ15" s="102">
        <v>415.84</v>
      </c>
      <c r="AR15" s="1">
        <f>AQ15*$AS$1</f>
        <v>2848.504</v>
      </c>
      <c r="AT15" s="108" t="s">
        <v>1909</v>
      </c>
      <c r="AU15" s="44">
        <v>1939.56</v>
      </c>
      <c r="AV15" s="35"/>
      <c r="AW15" s="108" t="s">
        <v>1907</v>
      </c>
      <c r="AX15" s="44">
        <v>5440.11</v>
      </c>
      <c r="AZ15" s="137" t="s">
        <v>1887</v>
      </c>
      <c r="BA15" s="137">
        <v>4.405</v>
      </c>
      <c r="BB15" s="1" t="s">
        <v>430</v>
      </c>
    </row>
    <row r="16" spans="2:54">
      <c r="B16" t="s">
        <v>2082</v>
      </c>
      <c r="C16">
        <v>6</v>
      </c>
      <c r="D16" s="1" t="str">
        <f>VLOOKUP(B:B,'6店'!$B:$B,1,0)</f>
        <v>Y6079-1</v>
      </c>
      <c r="E16" t="s">
        <v>1985</v>
      </c>
      <c r="F16">
        <v>18</v>
      </c>
      <c r="G16" s="1" t="str">
        <f>VLOOKUP(E:E,'6店'!$B:$B,1,0)</f>
        <v>Y6057</v>
      </c>
      <c r="H16" t="s">
        <v>1938</v>
      </c>
      <c r="I16">
        <v>16</v>
      </c>
      <c r="J16" s="1" t="str">
        <f>VLOOKUP(H:H,'6店'!$B:$B,1,0)</f>
        <v>Y6049-BL</v>
      </c>
      <c r="K16" t="s">
        <v>1956</v>
      </c>
      <c r="L16">
        <v>109</v>
      </c>
      <c r="M16">
        <v>0</v>
      </c>
      <c r="N16">
        <v>0</v>
      </c>
      <c r="O16">
        <v>0</v>
      </c>
      <c r="P16">
        <v>0</v>
      </c>
      <c r="Q16" s="31">
        <v>0</v>
      </c>
      <c r="R16" s="31">
        <v>0</v>
      </c>
      <c r="S16" s="1" t="str">
        <f>VLOOKUP(K:K,'6店'!$B:$B,1,0)</f>
        <v>Y6056-GR</v>
      </c>
      <c r="T16" t="s">
        <v>1953</v>
      </c>
      <c r="U16">
        <v>178</v>
      </c>
      <c r="V16">
        <v>0</v>
      </c>
      <c r="W16">
        <v>0</v>
      </c>
      <c r="X16">
        <v>0</v>
      </c>
      <c r="Y16">
        <v>0</v>
      </c>
      <c r="Z16" s="31">
        <v>0</v>
      </c>
      <c r="AA16" s="31">
        <v>0</v>
      </c>
      <c r="AB16" s="1" t="str">
        <f>VLOOKUP(T:T,'6店'!$B:$B,1,0)</f>
        <v>Y6056-BL</v>
      </c>
      <c r="AC16" t="s">
        <v>1947</v>
      </c>
      <c r="AD16">
        <v>36937</v>
      </c>
      <c r="AE16">
        <v>436</v>
      </c>
      <c r="AF16">
        <v>76.29</v>
      </c>
      <c r="AG16">
        <v>475.66</v>
      </c>
      <c r="AH16">
        <v>31</v>
      </c>
      <c r="AI16" s="31">
        <v>0.160387671866459</v>
      </c>
      <c r="AJ16" s="31">
        <v>0.0711009174311927</v>
      </c>
      <c r="AK16" s="1" t="str">
        <f>VLOOKUP(AC:AC,'6店'!$B:$B,1,0)</f>
        <v>Y6051</v>
      </c>
      <c r="AL16" t="s">
        <v>1896</v>
      </c>
      <c r="AM16" s="102">
        <v>97.93</v>
      </c>
      <c r="AN16" s="1">
        <f t="shared" si="0"/>
        <v>670.8205</v>
      </c>
      <c r="AP16" t="s">
        <v>1899</v>
      </c>
      <c r="AQ16" s="102">
        <v>251.82</v>
      </c>
      <c r="AR16" s="1">
        <f>AQ16*$AS$1</f>
        <v>1724.967</v>
      </c>
      <c r="AT16" s="108" t="s">
        <v>1911</v>
      </c>
      <c r="AU16" s="44">
        <v>90</v>
      </c>
      <c r="AV16" s="35"/>
      <c r="AW16" s="108" t="s">
        <v>1909</v>
      </c>
      <c r="AX16" s="44">
        <v>1874.908</v>
      </c>
      <c r="AZ16" s="137" t="s">
        <v>2124</v>
      </c>
      <c r="BA16" s="137">
        <v>3.919</v>
      </c>
      <c r="BB16" s="1" t="s">
        <v>430</v>
      </c>
    </row>
    <row r="17" spans="2:54">
      <c r="B17" t="s">
        <v>2009</v>
      </c>
      <c r="C17">
        <v>1</v>
      </c>
      <c r="D17" s="1" t="str">
        <f>VLOOKUP(B:B,'6店'!$B:$B,1,0)</f>
        <v>Y6074-BL-2</v>
      </c>
      <c r="E17" t="s">
        <v>1893</v>
      </c>
      <c r="F17">
        <v>6</v>
      </c>
      <c r="G17" s="1" t="str">
        <f>VLOOKUP(E:E,'6店'!$B:$B,1,0)</f>
        <v>Y6016</v>
      </c>
      <c r="H17" t="s">
        <v>1947</v>
      </c>
      <c r="I17">
        <v>142</v>
      </c>
      <c r="J17" s="1" t="str">
        <f>VLOOKUP(H:H,'6店'!$B:$B,1,0)</f>
        <v>Y6051</v>
      </c>
      <c r="K17" t="s">
        <v>1959</v>
      </c>
      <c r="L17">
        <v>386</v>
      </c>
      <c r="M17">
        <v>1</v>
      </c>
      <c r="N17">
        <v>0.38</v>
      </c>
      <c r="O17">
        <v>0</v>
      </c>
      <c r="P17">
        <v>0</v>
      </c>
      <c r="Q17" s="31">
        <v>0</v>
      </c>
      <c r="R17" s="31">
        <v>0</v>
      </c>
      <c r="S17" s="1" t="str">
        <f>VLOOKUP(K:K,'6店'!$B:$B,1,0)</f>
        <v>Y6056-OR</v>
      </c>
      <c r="T17" t="s">
        <v>1956</v>
      </c>
      <c r="U17">
        <v>185</v>
      </c>
      <c r="V17">
        <v>1</v>
      </c>
      <c r="W17">
        <v>0.38</v>
      </c>
      <c r="X17">
        <v>0</v>
      </c>
      <c r="Y17">
        <v>0</v>
      </c>
      <c r="Z17" s="31">
        <v>0</v>
      </c>
      <c r="AA17" s="31">
        <v>0</v>
      </c>
      <c r="AB17" s="1" t="str">
        <f>VLOOKUP(T:T,'6店'!$B:$B,1,0)</f>
        <v>Y6056-GR</v>
      </c>
      <c r="AC17" t="s">
        <v>1953</v>
      </c>
      <c r="AD17">
        <v>864</v>
      </c>
      <c r="AE17">
        <v>3</v>
      </c>
      <c r="AF17">
        <v>0.85</v>
      </c>
      <c r="AG17">
        <v>0</v>
      </c>
      <c r="AH17">
        <v>0</v>
      </c>
      <c r="AI17" s="31">
        <v>0</v>
      </c>
      <c r="AJ17" s="31">
        <v>0</v>
      </c>
      <c r="AK17" s="1" t="str">
        <f>VLOOKUP(AC:AC,'6店'!$B:$B,1,0)</f>
        <v>Y6056-BL</v>
      </c>
      <c r="AL17" t="s">
        <v>1878</v>
      </c>
      <c r="AM17" s="102">
        <v>95.94</v>
      </c>
      <c r="AN17" s="1">
        <f t="shared" si="0"/>
        <v>657.189</v>
      </c>
      <c r="AP17" t="s">
        <v>1896</v>
      </c>
      <c r="AQ17" s="102">
        <v>195.53</v>
      </c>
      <c r="AR17" s="1">
        <f>AQ17*$AS$1</f>
        <v>1339.3805</v>
      </c>
      <c r="AT17" s="108" t="s">
        <v>1914</v>
      </c>
      <c r="AU17" s="44">
        <v>368</v>
      </c>
      <c r="AV17" s="35"/>
      <c r="AW17" s="108" t="s">
        <v>2125</v>
      </c>
      <c r="AX17" s="44">
        <v>0</v>
      </c>
      <c r="AZ17" s="137" t="s">
        <v>2126</v>
      </c>
      <c r="BA17" s="137">
        <v>8.386</v>
      </c>
      <c r="BB17" s="1" t="s">
        <v>430</v>
      </c>
    </row>
    <row r="18" spans="2:54">
      <c r="B18" t="s">
        <v>1976</v>
      </c>
      <c r="C18">
        <v>4</v>
      </c>
      <c r="D18" s="1" t="str">
        <f>VLOOKUP(B:B,'6店'!$B:$B,1,0)</f>
        <v>Y6052-PU</v>
      </c>
      <c r="E18" t="s">
        <v>1976</v>
      </c>
      <c r="F18">
        <v>5</v>
      </c>
      <c r="G18" s="1" t="str">
        <f>VLOOKUP(E:E,'6店'!$B:$B,1,0)</f>
        <v>Y6052-PU</v>
      </c>
      <c r="H18" t="s">
        <v>1988</v>
      </c>
      <c r="I18">
        <v>32</v>
      </c>
      <c r="J18" s="1" t="str">
        <f>VLOOKUP(H:H,'6店'!$B:$B,1,0)</f>
        <v>Y6061</v>
      </c>
      <c r="K18" t="s">
        <v>1991</v>
      </c>
      <c r="L18">
        <v>4855</v>
      </c>
      <c r="M18">
        <v>24</v>
      </c>
      <c r="N18">
        <v>5.77</v>
      </c>
      <c r="O18">
        <v>93.98</v>
      </c>
      <c r="P18">
        <v>2</v>
      </c>
      <c r="Q18" s="31">
        <v>0.0613960417110023</v>
      </c>
      <c r="R18" s="31">
        <v>0.0833333333333333</v>
      </c>
      <c r="S18" s="1" t="str">
        <f>VLOOKUP(K:K,'6店'!$B:$B,1,0)</f>
        <v>Y6058</v>
      </c>
      <c r="T18" t="s">
        <v>1959</v>
      </c>
      <c r="U18">
        <v>724</v>
      </c>
      <c r="V18">
        <v>2</v>
      </c>
      <c r="W18">
        <v>0.76</v>
      </c>
      <c r="X18">
        <v>0</v>
      </c>
      <c r="Y18">
        <v>0</v>
      </c>
      <c r="Z18" s="31">
        <v>0</v>
      </c>
      <c r="AA18" s="31">
        <v>0</v>
      </c>
      <c r="AB18" s="1" t="str">
        <f>VLOOKUP(T:T,'6店'!$B:$B,1,0)</f>
        <v>Y6056-OR</v>
      </c>
      <c r="AC18" t="s">
        <v>1956</v>
      </c>
      <c r="AD18">
        <v>723</v>
      </c>
      <c r="AE18">
        <v>4</v>
      </c>
      <c r="AF18">
        <v>1.6</v>
      </c>
      <c r="AG18">
        <v>0</v>
      </c>
      <c r="AH18">
        <v>0</v>
      </c>
      <c r="AI18" s="31">
        <v>0</v>
      </c>
      <c r="AJ18" s="31">
        <v>0</v>
      </c>
      <c r="AK18" s="1" t="str">
        <f>VLOOKUP(AC:AC,'6店'!$B:$B,1,0)</f>
        <v>Y6056-GR</v>
      </c>
      <c r="AL18" t="s">
        <v>1899</v>
      </c>
      <c r="AM18" s="102">
        <v>83.94</v>
      </c>
      <c r="AN18" s="1">
        <f t="shared" si="0"/>
        <v>574.989</v>
      </c>
      <c r="AP18" t="s">
        <v>2082</v>
      </c>
      <c r="AQ18" s="102">
        <v>139.86</v>
      </c>
      <c r="AR18" s="1">
        <f>AQ18*$AS$1</f>
        <v>958.041</v>
      </c>
      <c r="AT18" s="108" t="s">
        <v>1917</v>
      </c>
      <c r="AU18" s="44">
        <v>440</v>
      </c>
      <c r="AV18" s="35"/>
      <c r="AW18" s="108" t="s">
        <v>1911</v>
      </c>
      <c r="AX18" s="44">
        <v>90</v>
      </c>
      <c r="AZ18" s="143" t="s">
        <v>2127</v>
      </c>
      <c r="BA18" s="137">
        <v>6.107</v>
      </c>
      <c r="BB18" s="1" t="s">
        <v>430</v>
      </c>
    </row>
    <row r="19" spans="2:54">
      <c r="B19" t="s">
        <v>2090</v>
      </c>
      <c r="C19">
        <v>11</v>
      </c>
      <c r="D19" s="1" t="str">
        <f>VLOOKUP(B:B,'6店'!$B:$B,1,0)</f>
        <v>Y6081-RE</v>
      </c>
      <c r="E19" t="s">
        <v>2006</v>
      </c>
      <c r="F19">
        <v>2</v>
      </c>
      <c r="G19" s="1" t="str">
        <f>VLOOKUP(E:E,'6店'!$B:$B,1,0)</f>
        <v>Y6074-BL-1</v>
      </c>
      <c r="H19" t="s">
        <v>1991</v>
      </c>
      <c r="I19">
        <v>41</v>
      </c>
      <c r="J19" s="1" t="str">
        <f>VLOOKUP(H:H,'6店'!$B:$B,1,0)</f>
        <v>Y6058</v>
      </c>
      <c r="K19" t="s">
        <v>1976</v>
      </c>
      <c r="L19">
        <v>3876</v>
      </c>
      <c r="M19">
        <v>21</v>
      </c>
      <c r="N19">
        <v>6.52</v>
      </c>
      <c r="O19">
        <v>9.99</v>
      </c>
      <c r="P19">
        <v>1</v>
      </c>
      <c r="Q19" s="31">
        <v>0.652652652652653</v>
      </c>
      <c r="R19" s="31">
        <v>0.0476190476190476</v>
      </c>
      <c r="S19" s="1" t="str">
        <f>VLOOKUP(K:K,'6店'!$B:$B,1,0)</f>
        <v>Y6052-PU</v>
      </c>
      <c r="T19" t="s">
        <v>1991</v>
      </c>
      <c r="U19">
        <v>8165</v>
      </c>
      <c r="V19">
        <v>61</v>
      </c>
      <c r="W19">
        <v>14.82</v>
      </c>
      <c r="X19">
        <v>201.95</v>
      </c>
      <c r="Y19">
        <v>5</v>
      </c>
      <c r="Z19" s="31">
        <v>0.0733845011141372</v>
      </c>
      <c r="AA19" s="31">
        <v>0.0819672131147541</v>
      </c>
      <c r="AB19" s="1" t="str">
        <f>VLOOKUP(T:T,'6店'!$B:$B,1,0)</f>
        <v>Y6058</v>
      </c>
      <c r="AC19" t="s">
        <v>1959</v>
      </c>
      <c r="AD19">
        <v>3015</v>
      </c>
      <c r="AE19">
        <v>10</v>
      </c>
      <c r="AF19">
        <v>3.89</v>
      </c>
      <c r="AG19">
        <v>0</v>
      </c>
      <c r="AH19">
        <v>0</v>
      </c>
      <c r="AI19" s="31">
        <v>0</v>
      </c>
      <c r="AJ19" s="31">
        <v>0</v>
      </c>
      <c r="AK19" s="1" t="str">
        <f>VLOOKUP(AC:AC,'6店'!$B:$B,1,0)</f>
        <v>Y6056-OR</v>
      </c>
      <c r="AL19" t="s">
        <v>1988</v>
      </c>
      <c r="AM19" s="102">
        <v>133.3</v>
      </c>
      <c r="AN19" s="1">
        <f t="shared" si="0"/>
        <v>913.105</v>
      </c>
      <c r="AP19" t="s">
        <v>1988</v>
      </c>
      <c r="AQ19" s="102">
        <v>208.2</v>
      </c>
      <c r="AR19" s="1">
        <f>AQ19*$AS$1</f>
        <v>1426.17</v>
      </c>
      <c r="AT19" s="108" t="s">
        <v>1920</v>
      </c>
      <c r="AU19" s="44">
        <v>114</v>
      </c>
      <c r="AV19" s="35"/>
      <c r="AW19" s="108" t="s">
        <v>1914</v>
      </c>
      <c r="AX19" s="44">
        <v>384</v>
      </c>
      <c r="AZ19" s="137" t="s">
        <v>2128</v>
      </c>
      <c r="BA19" s="137">
        <v>0.919</v>
      </c>
      <c r="BB19" s="1" t="s">
        <v>430</v>
      </c>
    </row>
    <row r="20" spans="2:54">
      <c r="B20" t="s">
        <v>2098</v>
      </c>
      <c r="C20">
        <v>16</v>
      </c>
      <c r="D20" s="1" t="str">
        <f>VLOOKUP(B:B,'6店'!$B:$B,1,0)</f>
        <v>Y6082-5</v>
      </c>
      <c r="E20" t="s">
        <v>1938</v>
      </c>
      <c r="F20">
        <v>5</v>
      </c>
      <c r="G20" s="1" t="str">
        <f>VLOOKUP(E:E,'6店'!$B:$B,1,0)</f>
        <v>Y6049-BL</v>
      </c>
      <c r="H20" t="s">
        <v>1971</v>
      </c>
      <c r="I20">
        <v>5</v>
      </c>
      <c r="J20" s="1" t="str">
        <f>VLOOKUP(H:H,'6店'!$B:$B,1,0)</f>
        <v>Y6052-BL</v>
      </c>
      <c r="K20" t="s">
        <v>1985</v>
      </c>
      <c r="L20">
        <v>8543</v>
      </c>
      <c r="M20">
        <v>56</v>
      </c>
      <c r="N20">
        <v>11.22</v>
      </c>
      <c r="O20">
        <v>31.98</v>
      </c>
      <c r="P20">
        <v>2</v>
      </c>
      <c r="Q20" s="31">
        <v>0.350844277673546</v>
      </c>
      <c r="R20" s="31">
        <v>0.0357142857142857</v>
      </c>
      <c r="S20" s="1" t="str">
        <f>VLOOKUP(K:K,'6店'!$B:$B,1,0)</f>
        <v>Y6057</v>
      </c>
      <c r="T20" t="s">
        <v>1976</v>
      </c>
      <c r="U20">
        <v>6455</v>
      </c>
      <c r="V20">
        <v>31</v>
      </c>
      <c r="W20">
        <v>9.68</v>
      </c>
      <c r="X20">
        <v>9.99</v>
      </c>
      <c r="Y20">
        <v>1</v>
      </c>
      <c r="Z20" s="31">
        <v>0.968968968968969</v>
      </c>
      <c r="AA20" s="31">
        <v>0.032258064516129</v>
      </c>
      <c r="AB20" s="1" t="str">
        <f>VLOOKUP(T:T,'6店'!$B:$B,1,0)</f>
        <v>Y6052-PU</v>
      </c>
      <c r="AC20" t="s">
        <v>1991</v>
      </c>
      <c r="AD20">
        <v>17731</v>
      </c>
      <c r="AE20">
        <v>165</v>
      </c>
      <c r="AF20">
        <v>44.3</v>
      </c>
      <c r="AG20">
        <v>248.94</v>
      </c>
      <c r="AH20">
        <v>6</v>
      </c>
      <c r="AI20" s="31">
        <v>0.177954527195308</v>
      </c>
      <c r="AJ20" s="31">
        <v>0.0363636363636364</v>
      </c>
      <c r="AK20" s="1" t="str">
        <f>VLOOKUP(AC:AC,'6店'!$B:$B,1,0)</f>
        <v>Y6058</v>
      </c>
      <c r="AL20" t="s">
        <v>2082</v>
      </c>
      <c r="AM20" s="102">
        <v>59.94</v>
      </c>
      <c r="AN20" s="1">
        <f t="shared" si="0"/>
        <v>410.589</v>
      </c>
      <c r="AP20" t="s">
        <v>1878</v>
      </c>
      <c r="AQ20" s="102">
        <v>127.92</v>
      </c>
      <c r="AR20" s="1">
        <f>AQ20*$AS$1</f>
        <v>876.252</v>
      </c>
      <c r="AT20" s="108" t="s">
        <v>1923</v>
      </c>
      <c r="AU20" s="44">
        <v>1531.348</v>
      </c>
      <c r="AV20" s="35"/>
      <c r="AW20" s="108" t="s">
        <v>1917</v>
      </c>
      <c r="AX20" s="44">
        <v>480</v>
      </c>
      <c r="AZ20" s="137" t="s">
        <v>1904</v>
      </c>
      <c r="BA20" s="137">
        <v>3.382</v>
      </c>
      <c r="BB20" s="1" t="s">
        <v>430</v>
      </c>
    </row>
    <row r="21" spans="2:54">
      <c r="B21" t="s">
        <v>2093</v>
      </c>
      <c r="C21">
        <v>10</v>
      </c>
      <c r="D21" s="1" t="str">
        <f>VLOOKUP(B:B,'6店'!$B:$B,1,0)</f>
        <v>Y6081-GN</v>
      </c>
      <c r="E21" t="s">
        <v>1890</v>
      </c>
      <c r="F21">
        <v>6</v>
      </c>
      <c r="G21" s="1" t="str">
        <f>VLOOKUP(E:E,'6店'!$B:$B,1,0)</f>
        <v>Y6008-BU</v>
      </c>
      <c r="H21" t="s">
        <v>1976</v>
      </c>
      <c r="I21">
        <v>8</v>
      </c>
      <c r="J21" s="1" t="str">
        <f>VLOOKUP(H:H,'6店'!$B:$B,1,0)</f>
        <v>Y6052-PU</v>
      </c>
      <c r="K21" t="s">
        <v>1997</v>
      </c>
      <c r="L21">
        <v>1949</v>
      </c>
      <c r="M21">
        <v>10</v>
      </c>
      <c r="N21">
        <v>2.19</v>
      </c>
      <c r="O21">
        <v>9.99</v>
      </c>
      <c r="P21">
        <v>1</v>
      </c>
      <c r="Q21" s="31">
        <v>0.219219219219219</v>
      </c>
      <c r="R21" s="31">
        <v>0.1</v>
      </c>
      <c r="S21" s="1" t="str">
        <f>VLOOKUP(K:K,'6店'!$B:$B,1,0)</f>
        <v>Y6072-2</v>
      </c>
      <c r="T21" t="s">
        <v>1985</v>
      </c>
      <c r="U21">
        <v>16170</v>
      </c>
      <c r="V21">
        <v>119</v>
      </c>
      <c r="W21">
        <v>23.28</v>
      </c>
      <c r="X21">
        <v>63.96</v>
      </c>
      <c r="Y21">
        <v>4</v>
      </c>
      <c r="Z21" s="31">
        <v>0.363977485928705</v>
      </c>
      <c r="AA21" s="31">
        <v>0.0336134453781513</v>
      </c>
      <c r="AB21" s="1" t="str">
        <f>VLOOKUP(T:T,'6店'!$B:$B,1,0)</f>
        <v>Y6057</v>
      </c>
      <c r="AC21" t="s">
        <v>1976</v>
      </c>
      <c r="AD21">
        <v>13217</v>
      </c>
      <c r="AE21">
        <v>58</v>
      </c>
      <c r="AF21">
        <v>19.19</v>
      </c>
      <c r="AG21">
        <v>21.98</v>
      </c>
      <c r="AH21">
        <v>2</v>
      </c>
      <c r="AI21" s="31">
        <v>0.873066424021838</v>
      </c>
      <c r="AJ21" s="31">
        <v>0.0344827586206897</v>
      </c>
      <c r="AK21" s="1" t="str">
        <f>VLOOKUP(AC:AC,'6店'!$B:$B,1,0)</f>
        <v>Y6052-PU</v>
      </c>
      <c r="AL21" t="s">
        <v>1976</v>
      </c>
      <c r="AM21" s="102">
        <v>39.96</v>
      </c>
      <c r="AN21" s="1">
        <f t="shared" si="0"/>
        <v>273.726</v>
      </c>
      <c r="AP21" t="s">
        <v>1890</v>
      </c>
      <c r="AQ21" s="102">
        <v>89.94</v>
      </c>
      <c r="AR21" s="1">
        <f>AQ21*$AS$1</f>
        <v>616.089</v>
      </c>
      <c r="AT21" s="108" t="s">
        <v>1926</v>
      </c>
      <c r="AU21" s="44">
        <v>6650.286</v>
      </c>
      <c r="AV21" s="35"/>
      <c r="AW21" s="108" t="s">
        <v>1920</v>
      </c>
      <c r="AX21" s="44">
        <v>159.6</v>
      </c>
      <c r="AZ21" s="137" t="s">
        <v>2129</v>
      </c>
      <c r="BA21" s="137">
        <v>6.358</v>
      </c>
      <c r="BB21" s="1" t="s">
        <v>430</v>
      </c>
    </row>
    <row r="22" spans="2:54">
      <c r="B22" t="s">
        <v>2065</v>
      </c>
      <c r="C22">
        <v>4</v>
      </c>
      <c r="D22" s="1" t="str">
        <f>VLOOKUP(B:B,'6店'!$B:$B,1,0)</f>
        <v>Y6607</v>
      </c>
      <c r="E22" t="s">
        <v>2016</v>
      </c>
      <c r="F22">
        <v>1</v>
      </c>
      <c r="G22" s="1" t="str">
        <f>VLOOKUP(E:E,'6店'!$B:$B,1,0)</f>
        <v>Y6601-BL-1</v>
      </c>
      <c r="H22" t="s">
        <v>1985</v>
      </c>
      <c r="I22">
        <v>30</v>
      </c>
      <c r="J22" s="1" t="str">
        <f>VLOOKUP(H:H,'6店'!$B:$B,1,0)</f>
        <v>Y6057</v>
      </c>
      <c r="K22" t="s">
        <v>2000</v>
      </c>
      <c r="L22">
        <v>106</v>
      </c>
      <c r="M22">
        <v>0</v>
      </c>
      <c r="N22">
        <v>0</v>
      </c>
      <c r="O22">
        <v>0</v>
      </c>
      <c r="P22">
        <v>0</v>
      </c>
      <c r="Q22" s="31">
        <v>0</v>
      </c>
      <c r="R22" s="31">
        <v>0</v>
      </c>
      <c r="S22" s="1" t="str">
        <f>VLOOKUP(K:K,'6店'!$B:$B,1,0)</f>
        <v>Y6072-3</v>
      </c>
      <c r="T22" t="s">
        <v>1997</v>
      </c>
      <c r="U22">
        <v>3912</v>
      </c>
      <c r="V22">
        <v>22</v>
      </c>
      <c r="W22">
        <v>5.37</v>
      </c>
      <c r="X22">
        <v>19.98</v>
      </c>
      <c r="Y22">
        <v>2</v>
      </c>
      <c r="Z22" s="31">
        <v>0.268768768768769</v>
      </c>
      <c r="AA22" s="31">
        <v>0.0909090909090909</v>
      </c>
      <c r="AB22" s="1" t="str">
        <f>VLOOKUP(T:T,'6店'!$B:$B,1,0)</f>
        <v>Y6072-2</v>
      </c>
      <c r="AC22" t="s">
        <v>1985</v>
      </c>
      <c r="AD22">
        <v>38466</v>
      </c>
      <c r="AE22">
        <v>230</v>
      </c>
      <c r="AF22">
        <v>47.83</v>
      </c>
      <c r="AG22">
        <v>169.89</v>
      </c>
      <c r="AH22">
        <v>11</v>
      </c>
      <c r="AI22" s="31">
        <v>0.281535110954147</v>
      </c>
      <c r="AJ22" s="31">
        <v>0.0478260869565217</v>
      </c>
      <c r="AK22" s="1" t="str">
        <f>VLOOKUP(AC:AC,'6店'!$B:$B,1,0)</f>
        <v>Y6057</v>
      </c>
      <c r="AL22" t="s">
        <v>2096</v>
      </c>
      <c r="AM22" s="102">
        <v>41.97</v>
      </c>
      <c r="AN22" s="1">
        <f t="shared" si="0"/>
        <v>287.4945</v>
      </c>
      <c r="AP22" t="s">
        <v>1893</v>
      </c>
      <c r="AQ22" s="102">
        <v>89.94</v>
      </c>
      <c r="AR22" s="1">
        <f t="shared" ref="AR22:AR43" si="1">AQ22*$AS$1</f>
        <v>616.089</v>
      </c>
      <c r="AT22" s="108" t="s">
        <v>1929</v>
      </c>
      <c r="AU22" s="44">
        <v>1031.085</v>
      </c>
      <c r="AV22" s="35"/>
      <c r="AW22" s="108" t="s">
        <v>1923</v>
      </c>
      <c r="AX22" s="44">
        <v>1437.592</v>
      </c>
      <c r="AZ22" s="137" t="s">
        <v>1901</v>
      </c>
      <c r="BA22" s="137">
        <v>10.526</v>
      </c>
      <c r="BB22" s="1" t="s">
        <v>430</v>
      </c>
    </row>
    <row r="23" spans="2:54">
      <c r="B23" t="s">
        <v>2096</v>
      </c>
      <c r="C23">
        <v>3</v>
      </c>
      <c r="D23" s="1" t="str">
        <f>VLOOKUP(B:B,'6店'!$B:$B,1,0)</f>
        <v>Y6082-1-4</v>
      </c>
      <c r="E23" t="s">
        <v>2065</v>
      </c>
      <c r="F23">
        <v>7</v>
      </c>
      <c r="G23" s="1" t="str">
        <f>VLOOKUP(E:E,'6店'!$B:$B,1,0)</f>
        <v>Y6607</v>
      </c>
      <c r="H23" t="s">
        <v>2006</v>
      </c>
      <c r="I23">
        <v>3</v>
      </c>
      <c r="J23" s="1" t="str">
        <f>VLOOKUP(H:H,'6店'!$B:$B,1,0)</f>
        <v>Y6074-BL-1</v>
      </c>
      <c r="K23" t="s">
        <v>2009</v>
      </c>
      <c r="L23">
        <v>8713</v>
      </c>
      <c r="M23">
        <v>66</v>
      </c>
      <c r="N23">
        <v>10.41</v>
      </c>
      <c r="O23">
        <v>11.99</v>
      </c>
      <c r="P23">
        <v>1</v>
      </c>
      <c r="Q23" s="31">
        <v>0.868223519599666</v>
      </c>
      <c r="R23" s="31">
        <v>0.0151515151515152</v>
      </c>
      <c r="S23" s="1" t="str">
        <f>VLOOKUP(K:K,'6店'!$B:$B,1,0)</f>
        <v>Y6074-BL-2</v>
      </c>
      <c r="T23" t="s">
        <v>2000</v>
      </c>
      <c r="U23">
        <v>175</v>
      </c>
      <c r="V23">
        <v>0</v>
      </c>
      <c r="W23">
        <v>0</v>
      </c>
      <c r="X23">
        <v>0</v>
      </c>
      <c r="Y23">
        <v>0</v>
      </c>
      <c r="Z23" s="31">
        <v>0</v>
      </c>
      <c r="AA23" s="31">
        <v>0</v>
      </c>
      <c r="AB23" s="1" t="str">
        <f>VLOOKUP(T:T,'6店'!$B:$B,1,0)</f>
        <v>Y6072-3</v>
      </c>
      <c r="AC23" t="s">
        <v>2003</v>
      </c>
      <c r="AD23">
        <v>0</v>
      </c>
      <c r="AE23">
        <v>0</v>
      </c>
      <c r="AF23">
        <v>0</v>
      </c>
      <c r="AG23">
        <v>0</v>
      </c>
      <c r="AH23">
        <v>0</v>
      </c>
      <c r="AI23" s="31">
        <v>0</v>
      </c>
      <c r="AJ23" s="31">
        <v>0</v>
      </c>
      <c r="AK23" s="1" t="str">
        <f>VLOOKUP(AC:AC,'6店'!$B:$B,1,0)</f>
        <v>Y6073</v>
      </c>
      <c r="AL23" t="s">
        <v>1893</v>
      </c>
      <c r="AM23" s="102">
        <v>29.98</v>
      </c>
      <c r="AN23" s="1">
        <f t="shared" si="0"/>
        <v>205.363</v>
      </c>
      <c r="AP23" t="s">
        <v>1920</v>
      </c>
      <c r="AQ23" s="102">
        <v>53.94</v>
      </c>
      <c r="AR23" s="1">
        <f t="shared" si="1"/>
        <v>369.489</v>
      </c>
      <c r="AT23" s="108" t="s">
        <v>1931</v>
      </c>
      <c r="AU23" s="44">
        <v>1603.64</v>
      </c>
      <c r="AV23" s="35"/>
      <c r="AW23" s="108" t="s">
        <v>1926</v>
      </c>
      <c r="AX23" s="44">
        <v>6306.844</v>
      </c>
      <c r="AZ23" s="137" t="s">
        <v>1914</v>
      </c>
      <c r="BA23" s="137">
        <v>7.849</v>
      </c>
      <c r="BB23" s="1" t="s">
        <v>430</v>
      </c>
    </row>
    <row r="24" spans="2:54">
      <c r="B24" t="s">
        <v>2088</v>
      </c>
      <c r="C24">
        <v>20</v>
      </c>
      <c r="D24" s="1" t="str">
        <f>VLOOKUP(B:B,'6店'!$B:$B,1,0)</f>
        <v>Y6080</v>
      </c>
      <c r="E24" t="s">
        <v>2082</v>
      </c>
      <c r="F24">
        <v>14</v>
      </c>
      <c r="G24" s="1" t="str">
        <f>VLOOKUP(E:E,'6店'!$B:$B,1,0)</f>
        <v>Y6079-1</v>
      </c>
      <c r="H24" t="s">
        <v>2009</v>
      </c>
      <c r="I24">
        <v>10</v>
      </c>
      <c r="J24" s="1" t="str">
        <f>VLOOKUP(H:H,'6店'!$B:$B,1,0)</f>
        <v>Y6074-BL-2</v>
      </c>
      <c r="K24" t="s">
        <v>1938</v>
      </c>
      <c r="L24">
        <v>24386</v>
      </c>
      <c r="M24">
        <v>37</v>
      </c>
      <c r="N24">
        <v>13.29</v>
      </c>
      <c r="O24">
        <v>55.98</v>
      </c>
      <c r="P24">
        <v>1</v>
      </c>
      <c r="Q24" s="31">
        <v>0.237406216505895</v>
      </c>
      <c r="R24" s="31">
        <v>0.027027027027027</v>
      </c>
      <c r="S24" s="1" t="str">
        <f>VLOOKUP(K:K,'6店'!$B:$B,1,0)</f>
        <v>Y6049-BL</v>
      </c>
      <c r="T24" t="s">
        <v>2009</v>
      </c>
      <c r="U24">
        <v>17341</v>
      </c>
      <c r="V24">
        <v>122</v>
      </c>
      <c r="W24">
        <v>19.47</v>
      </c>
      <c r="X24">
        <v>68.94</v>
      </c>
      <c r="Y24">
        <v>6</v>
      </c>
      <c r="Z24" s="31">
        <v>0.282419495213229</v>
      </c>
      <c r="AA24" s="31">
        <v>0.0491803278688525</v>
      </c>
      <c r="AB24" s="1" t="str">
        <f>VLOOKUP(T:T,'6店'!$B:$B,1,0)</f>
        <v>Y6074-BL-2</v>
      </c>
      <c r="AC24" t="s">
        <v>1997</v>
      </c>
      <c r="AD24">
        <v>7805</v>
      </c>
      <c r="AE24">
        <v>47</v>
      </c>
      <c r="AF24">
        <v>11.43</v>
      </c>
      <c r="AG24">
        <v>29.97</v>
      </c>
      <c r="AH24">
        <v>3</v>
      </c>
      <c r="AI24" s="31">
        <v>0.381381381381381</v>
      </c>
      <c r="AJ24" s="31">
        <v>0.0638297872340426</v>
      </c>
      <c r="AK24" s="1" t="str">
        <f>VLOOKUP(AC:AC,'6店'!$B:$B,1,0)</f>
        <v>Y6072-2</v>
      </c>
      <c r="AL24" t="s">
        <v>1920</v>
      </c>
      <c r="AM24" s="102">
        <v>26.97</v>
      </c>
      <c r="AN24" s="1">
        <f t="shared" si="0"/>
        <v>184.7445</v>
      </c>
      <c r="AP24" t="s">
        <v>1938</v>
      </c>
      <c r="AQ24" s="102">
        <v>139.95</v>
      </c>
      <c r="AR24" s="1">
        <f t="shared" si="1"/>
        <v>958.6575</v>
      </c>
      <c r="AT24" s="108" t="s">
        <v>1934</v>
      </c>
      <c r="AU24" s="44">
        <v>102.513</v>
      </c>
      <c r="AV24" s="35"/>
      <c r="AW24" s="108" t="s">
        <v>1929</v>
      </c>
      <c r="AX24" s="44">
        <v>2030.925</v>
      </c>
      <c r="AZ24" s="137" t="s">
        <v>1917</v>
      </c>
      <c r="BA24" s="137">
        <v>19.213</v>
      </c>
      <c r="BB24" s="1" t="s">
        <v>430</v>
      </c>
    </row>
    <row r="25" spans="2:54">
      <c r="B25" t="s">
        <v>1881</v>
      </c>
      <c r="C25">
        <v>12</v>
      </c>
      <c r="D25" s="1" t="str">
        <f>VLOOKUP(B:B,'6店'!$B:$B,1,0)</f>
        <v>Y6009</v>
      </c>
      <c r="E25" t="s">
        <v>2009</v>
      </c>
      <c r="F25">
        <v>5</v>
      </c>
      <c r="G25" s="1" t="str">
        <f>VLOOKUP(E:E,'6店'!$B:$B,1,0)</f>
        <v>Y6074-BL-2</v>
      </c>
      <c r="H25" t="s">
        <v>1941</v>
      </c>
      <c r="I25">
        <v>1</v>
      </c>
      <c r="J25" s="1" t="str">
        <f>VLOOKUP(H:H,'6店'!$B:$B,1,0)</f>
        <v>Y6049-SC</v>
      </c>
      <c r="K25" t="s">
        <v>2065</v>
      </c>
      <c r="L25">
        <v>75415</v>
      </c>
      <c r="M25">
        <v>91</v>
      </c>
      <c r="N25">
        <v>23.75</v>
      </c>
      <c r="O25">
        <v>41.99</v>
      </c>
      <c r="P25">
        <v>1</v>
      </c>
      <c r="Q25" s="31">
        <v>0.565610859728507</v>
      </c>
      <c r="R25" s="31">
        <v>0.010989010989011</v>
      </c>
      <c r="S25" s="1" t="str">
        <f>VLOOKUP(K:K,'6店'!$B:$B,1,0)</f>
        <v>Y6607</v>
      </c>
      <c r="T25" t="s">
        <v>2065</v>
      </c>
      <c r="U25">
        <v>140239</v>
      </c>
      <c r="V25">
        <v>183</v>
      </c>
      <c r="W25">
        <v>50.6</v>
      </c>
      <c r="X25">
        <v>125.97</v>
      </c>
      <c r="Y25">
        <v>3</v>
      </c>
      <c r="Z25" s="31">
        <v>0.401682940382631</v>
      </c>
      <c r="AA25" s="31">
        <v>0.0163934426229508</v>
      </c>
      <c r="AB25" s="1" t="str">
        <f>VLOOKUP(T:T,'6店'!$B:$B,1,0)</f>
        <v>Y6607</v>
      </c>
      <c r="AC25" t="s">
        <v>2000</v>
      </c>
      <c r="AD25">
        <v>1573</v>
      </c>
      <c r="AE25">
        <v>9</v>
      </c>
      <c r="AF25">
        <v>2.17</v>
      </c>
      <c r="AG25">
        <v>0</v>
      </c>
      <c r="AH25">
        <v>0</v>
      </c>
      <c r="AI25" s="31">
        <v>0</v>
      </c>
      <c r="AJ25" s="31">
        <v>0</v>
      </c>
      <c r="AK25" s="1" t="str">
        <f>VLOOKUP(AC:AC,'6店'!$B:$B,1,0)</f>
        <v>Y6072-3</v>
      </c>
      <c r="AL25" t="s">
        <v>1938</v>
      </c>
      <c r="AM25" s="102">
        <v>55.98</v>
      </c>
      <c r="AN25" s="1">
        <f t="shared" si="0"/>
        <v>383.463</v>
      </c>
      <c r="AP25" t="s">
        <v>1976</v>
      </c>
      <c r="AQ25" s="102">
        <v>49.95</v>
      </c>
      <c r="AR25" s="1">
        <f t="shared" si="1"/>
        <v>342.1575</v>
      </c>
      <c r="AT25" s="108" t="s">
        <v>1936</v>
      </c>
      <c r="AU25" s="44">
        <v>102.324</v>
      </c>
      <c r="AV25" s="35"/>
      <c r="AW25" s="108" t="s">
        <v>1931</v>
      </c>
      <c r="AX25" s="44">
        <v>1467.16</v>
      </c>
      <c r="AZ25" s="137" t="s">
        <v>2125</v>
      </c>
      <c r="BA25" s="137">
        <v>4.887</v>
      </c>
      <c r="BB25" s="1" t="s">
        <v>430</v>
      </c>
    </row>
    <row r="26" spans="2:54">
      <c r="B26" t="s">
        <v>1884</v>
      </c>
      <c r="C26">
        <v>1</v>
      </c>
      <c r="D26" s="1" t="str">
        <f>VLOOKUP(B:B,'6店'!$B:$B,1,0)</f>
        <v>Y6010</v>
      </c>
      <c r="E26" t="s">
        <v>2085</v>
      </c>
      <c r="F26">
        <v>4</v>
      </c>
      <c r="G26" s="1" t="str">
        <f>VLOOKUP(E:E,'6店'!$B:$B,1,0)</f>
        <v>Y6079-2</v>
      </c>
      <c r="H26" t="s">
        <v>2016</v>
      </c>
      <c r="I26">
        <v>2</v>
      </c>
      <c r="J26" s="1" t="str">
        <f>VLOOKUP(H:H,'6店'!$B:$B,1,0)</f>
        <v>Y6601-BL-1</v>
      </c>
      <c r="K26" t="s">
        <v>2053</v>
      </c>
      <c r="L26">
        <v>7</v>
      </c>
      <c r="M26">
        <v>0</v>
      </c>
      <c r="N26">
        <v>0</v>
      </c>
      <c r="O26">
        <v>0</v>
      </c>
      <c r="P26">
        <v>0</v>
      </c>
      <c r="Q26" s="31">
        <v>0</v>
      </c>
      <c r="R26" s="31">
        <v>0</v>
      </c>
      <c r="S26" s="1" t="str">
        <f>VLOOKUP(K:K,'6店'!$B:$B,1,0)</f>
        <v>Y6611</v>
      </c>
      <c r="T26" t="s">
        <v>2053</v>
      </c>
      <c r="U26">
        <v>120</v>
      </c>
      <c r="V26">
        <v>0</v>
      </c>
      <c r="W26">
        <v>0</v>
      </c>
      <c r="X26">
        <v>0</v>
      </c>
      <c r="Y26">
        <v>0</v>
      </c>
      <c r="Z26" s="31">
        <v>0</v>
      </c>
      <c r="AA26" s="31">
        <v>0</v>
      </c>
      <c r="AB26" s="1" t="str">
        <f>VLOOKUP(T:T,'6店'!$B:$B,1,0)</f>
        <v>Y6611</v>
      </c>
      <c r="AC26" t="s">
        <v>2009</v>
      </c>
      <c r="AD26">
        <v>30651</v>
      </c>
      <c r="AE26">
        <v>237</v>
      </c>
      <c r="AF26">
        <v>39.76</v>
      </c>
      <c r="AG26">
        <v>98.91</v>
      </c>
      <c r="AH26">
        <v>9</v>
      </c>
      <c r="AI26" s="31">
        <v>0.401981599433829</v>
      </c>
      <c r="AJ26" s="31">
        <v>0.0379746835443038</v>
      </c>
      <c r="AK26" s="1" t="str">
        <f>VLOOKUP(AC:AC,'6店'!$B:$B,1,0)</f>
        <v>Y6074-BL-2</v>
      </c>
      <c r="AL26" t="s">
        <v>2101</v>
      </c>
      <c r="AM26" s="102">
        <v>53.98</v>
      </c>
      <c r="AN26" s="1">
        <f t="shared" si="0"/>
        <v>369.763</v>
      </c>
      <c r="AP26" t="s">
        <v>2009</v>
      </c>
      <c r="AQ26" s="102">
        <v>59.95</v>
      </c>
      <c r="AR26" s="1">
        <f t="shared" si="1"/>
        <v>410.6575</v>
      </c>
      <c r="AT26" s="108" t="s">
        <v>1938</v>
      </c>
      <c r="AU26" s="44">
        <v>896</v>
      </c>
      <c r="AV26" s="35"/>
      <c r="AW26" s="108" t="s">
        <v>1934</v>
      </c>
      <c r="AX26" s="44">
        <v>102.513</v>
      </c>
      <c r="AZ26" s="137" t="s">
        <v>1911</v>
      </c>
      <c r="BA26" s="137">
        <v>10.877</v>
      </c>
      <c r="BB26" s="1" t="s">
        <v>430</v>
      </c>
    </row>
    <row r="27" spans="2:54">
      <c r="B27" t="s">
        <v>1920</v>
      </c>
      <c r="C27">
        <v>3</v>
      </c>
      <c r="D27" s="1" t="str">
        <f>VLOOKUP(B:B,'6店'!$B:$B,1,0)</f>
        <v>Y6036-ZH</v>
      </c>
      <c r="E27" t="s">
        <v>2090</v>
      </c>
      <c r="F27">
        <v>22</v>
      </c>
      <c r="G27" s="1" t="str">
        <f>VLOOKUP(E:E,'6店'!$B:$B,1,0)</f>
        <v>Y6081-RE</v>
      </c>
      <c r="H27" t="s">
        <v>2030</v>
      </c>
      <c r="I27">
        <v>2</v>
      </c>
      <c r="J27" s="1" t="str">
        <f>VLOOKUP(H:H,'6店'!$B:$B,1,0)</f>
        <v>Y6602-SC</v>
      </c>
      <c r="K27" t="s">
        <v>2059</v>
      </c>
      <c r="L27">
        <v>236</v>
      </c>
      <c r="M27">
        <v>0</v>
      </c>
      <c r="N27">
        <v>0</v>
      </c>
      <c r="O27">
        <v>0</v>
      </c>
      <c r="P27">
        <v>0</v>
      </c>
      <c r="Q27" s="31">
        <v>0</v>
      </c>
      <c r="R27" s="31">
        <v>0</v>
      </c>
      <c r="S27" s="1" t="str">
        <f>VLOOKUP(K:K,'6店'!$B:$B,1,0)</f>
        <v>Y6612-GR</v>
      </c>
      <c r="T27" t="s">
        <v>2059</v>
      </c>
      <c r="U27">
        <v>383</v>
      </c>
      <c r="V27">
        <v>0</v>
      </c>
      <c r="W27">
        <v>0</v>
      </c>
      <c r="X27">
        <v>0</v>
      </c>
      <c r="Y27">
        <v>0</v>
      </c>
      <c r="Z27" s="31">
        <v>0</v>
      </c>
      <c r="AA27" s="31">
        <v>0</v>
      </c>
      <c r="AB27" s="1" t="str">
        <f>VLOOKUP(T:T,'6店'!$B:$B,1,0)</f>
        <v>Y6612-GR</v>
      </c>
      <c r="AC27" t="s">
        <v>2065</v>
      </c>
      <c r="AD27">
        <v>258890</v>
      </c>
      <c r="AE27">
        <v>360</v>
      </c>
      <c r="AF27">
        <v>98.85</v>
      </c>
      <c r="AG27">
        <v>335.92</v>
      </c>
      <c r="AH27">
        <v>8</v>
      </c>
      <c r="AI27" s="31">
        <v>0.29426649202191</v>
      </c>
      <c r="AJ27" s="31">
        <v>0.0222222222222222</v>
      </c>
      <c r="AK27" s="1" t="str">
        <f>VLOOKUP(AC:AC,'6店'!$B:$B,1,0)</f>
        <v>Y6607</v>
      </c>
      <c r="AL27" t="s">
        <v>1884</v>
      </c>
      <c r="AM27" s="102">
        <v>22.99</v>
      </c>
      <c r="AN27" s="1">
        <f t="shared" si="0"/>
        <v>157.4815</v>
      </c>
      <c r="AP27" t="s">
        <v>2096</v>
      </c>
      <c r="AQ27" s="102">
        <v>83.94</v>
      </c>
      <c r="AR27" s="1">
        <f t="shared" si="1"/>
        <v>574.989</v>
      </c>
      <c r="AT27" s="108" t="s">
        <v>1941</v>
      </c>
      <c r="AU27" s="44">
        <v>704</v>
      </c>
      <c r="AV27" s="35"/>
      <c r="AW27" s="108" t="s">
        <v>1938</v>
      </c>
      <c r="AX27" s="44">
        <v>992</v>
      </c>
      <c r="AZ27" s="137" t="s">
        <v>2130</v>
      </c>
      <c r="BA27" s="137">
        <v>16.035</v>
      </c>
      <c r="BB27" s="1" t="s">
        <v>430</v>
      </c>
    </row>
    <row r="28" spans="2:54">
      <c r="B28" t="s">
        <v>2074</v>
      </c>
      <c r="C28">
        <v>1</v>
      </c>
      <c r="D28" s="1" t="str">
        <f>VLOOKUP(B:B,'6店'!$B:$B,1,0)</f>
        <v>Y6075-1-1</v>
      </c>
      <c r="E28" t="s">
        <v>2098</v>
      </c>
      <c r="F28">
        <v>26</v>
      </c>
      <c r="G28" s="1" t="str">
        <f>VLOOKUP(E:E,'6店'!$B:$B,1,0)</f>
        <v>Y6082-5</v>
      </c>
      <c r="H28" t="s">
        <v>2131</v>
      </c>
      <c r="I28">
        <v>7</v>
      </c>
      <c r="J28" s="1" t="e">
        <f>VLOOKUP(H:H,'6店'!$B:$B,1,0)</f>
        <v>#N/A</v>
      </c>
      <c r="K28" t="s">
        <v>2062</v>
      </c>
      <c r="L28">
        <v>262</v>
      </c>
      <c r="M28">
        <v>0</v>
      </c>
      <c r="N28">
        <v>0</v>
      </c>
      <c r="O28">
        <v>0</v>
      </c>
      <c r="P28">
        <v>0</v>
      </c>
      <c r="Q28" s="31">
        <v>0</v>
      </c>
      <c r="R28" s="31">
        <v>0</v>
      </c>
      <c r="S28" s="1" t="str">
        <f>VLOOKUP(K:K,'6店'!$B:$B,1,0)</f>
        <v>Y6612-SC</v>
      </c>
      <c r="T28" t="s">
        <v>2062</v>
      </c>
      <c r="U28">
        <v>498</v>
      </c>
      <c r="V28">
        <v>0</v>
      </c>
      <c r="W28">
        <v>0</v>
      </c>
      <c r="X28">
        <v>0</v>
      </c>
      <c r="Y28">
        <v>0</v>
      </c>
      <c r="Z28" s="31">
        <v>0</v>
      </c>
      <c r="AA28" s="31">
        <v>0</v>
      </c>
      <c r="AB28" s="1" t="str">
        <f>VLOOKUP(T:T,'6店'!$B:$B,1,0)</f>
        <v>Y6612-SC</v>
      </c>
      <c r="AC28" t="s">
        <v>2053</v>
      </c>
      <c r="AD28">
        <v>906</v>
      </c>
      <c r="AE28">
        <v>2</v>
      </c>
      <c r="AF28">
        <v>0.5</v>
      </c>
      <c r="AG28">
        <v>0</v>
      </c>
      <c r="AH28">
        <v>0</v>
      </c>
      <c r="AI28" s="31">
        <v>0</v>
      </c>
      <c r="AJ28" s="31">
        <v>0</v>
      </c>
      <c r="AK28" s="1" t="str">
        <f>VLOOKUP(AC:AC,'6店'!$B:$B,1,0)</f>
        <v>Y6611</v>
      </c>
      <c r="AL28" t="s">
        <v>1890</v>
      </c>
      <c r="AM28" s="102">
        <v>14.99</v>
      </c>
      <c r="AN28" s="1">
        <f>AM28*$AS$1</f>
        <v>102.6815</v>
      </c>
      <c r="AP28" t="s">
        <v>2085</v>
      </c>
      <c r="AQ28" s="102">
        <v>55.63</v>
      </c>
      <c r="AR28" s="1">
        <f t="shared" si="1"/>
        <v>381.0655</v>
      </c>
      <c r="AT28" s="108" t="s">
        <v>1944</v>
      </c>
      <c r="AU28" s="44">
        <v>40.56</v>
      </c>
      <c r="AV28" s="35"/>
      <c r="AW28" s="108" t="s">
        <v>1941</v>
      </c>
      <c r="AX28" s="44">
        <v>672</v>
      </c>
      <c r="AZ28" s="137" t="s">
        <v>2132</v>
      </c>
      <c r="BA28" s="137">
        <v>2.999</v>
      </c>
      <c r="BB28" s="1" t="s">
        <v>430</v>
      </c>
    </row>
    <row r="29" spans="2:54">
      <c r="B29" t="s">
        <v>1890</v>
      </c>
      <c r="C29">
        <v>1</v>
      </c>
      <c r="D29" s="1" t="str">
        <f>VLOOKUP(B:B,'6店'!$B:$B,1,0)</f>
        <v>Y6008-BU</v>
      </c>
      <c r="E29" t="s">
        <v>1920</v>
      </c>
      <c r="F29">
        <v>6</v>
      </c>
      <c r="G29" s="1" t="str">
        <f>VLOOKUP(E:E,'6店'!$B:$B,1,0)</f>
        <v>Y6036-ZH</v>
      </c>
      <c r="H29" t="s">
        <v>2065</v>
      </c>
      <c r="I29">
        <v>13</v>
      </c>
      <c r="J29" s="1" t="str">
        <f>VLOOKUP(H:H,'6店'!$B:$B,1,0)</f>
        <v>Y6607</v>
      </c>
      <c r="K29" t="s">
        <v>2056</v>
      </c>
      <c r="L29">
        <v>1521</v>
      </c>
      <c r="M29">
        <v>3</v>
      </c>
      <c r="N29">
        <v>0.59</v>
      </c>
      <c r="O29">
        <v>0</v>
      </c>
      <c r="P29">
        <v>0</v>
      </c>
      <c r="Q29" s="31">
        <v>0</v>
      </c>
      <c r="R29" s="31">
        <v>0</v>
      </c>
      <c r="S29" s="1" t="str">
        <f>VLOOKUP(K:K,'6店'!$B:$B,1,0)</f>
        <v>Y6612-BL</v>
      </c>
      <c r="T29" t="s">
        <v>2056</v>
      </c>
      <c r="U29">
        <v>2910</v>
      </c>
      <c r="V29">
        <v>11</v>
      </c>
      <c r="W29">
        <v>2.86</v>
      </c>
      <c r="X29">
        <v>0</v>
      </c>
      <c r="Y29">
        <v>0</v>
      </c>
      <c r="Z29" s="31">
        <v>0</v>
      </c>
      <c r="AA29" s="31">
        <v>0</v>
      </c>
      <c r="AB29" s="1" t="str">
        <f>VLOOKUP(T:T,'6店'!$B:$B,1,0)</f>
        <v>Y6612-BL</v>
      </c>
      <c r="AC29" t="s">
        <v>2059</v>
      </c>
      <c r="AD29">
        <v>718</v>
      </c>
      <c r="AE29">
        <v>2</v>
      </c>
      <c r="AF29">
        <v>0.54</v>
      </c>
      <c r="AG29">
        <v>0</v>
      </c>
      <c r="AH29">
        <v>0</v>
      </c>
      <c r="AI29" s="31">
        <v>0</v>
      </c>
      <c r="AJ29" s="31">
        <v>0</v>
      </c>
      <c r="AK29" s="1" t="str">
        <f>VLOOKUP(AC:AC,'6店'!$B:$B,1,0)</f>
        <v>Y6612-GR</v>
      </c>
      <c r="AL29" t="s">
        <v>1904</v>
      </c>
      <c r="AM29" s="102">
        <v>10.99</v>
      </c>
      <c r="AN29" s="1">
        <f t="shared" ref="AN29:AN38" si="2">AM29*$AS$1</f>
        <v>75.2815</v>
      </c>
      <c r="AP29" t="s">
        <v>1953</v>
      </c>
      <c r="AQ29" s="102">
        <v>55.96</v>
      </c>
      <c r="AR29" s="1">
        <f t="shared" si="1"/>
        <v>383.326</v>
      </c>
      <c r="AT29" s="108" t="s">
        <v>1947</v>
      </c>
      <c r="AU29" s="44">
        <v>1305</v>
      </c>
      <c r="AV29" s="35"/>
      <c r="AW29" s="108" t="s">
        <v>1944</v>
      </c>
      <c r="AX29" s="44">
        <v>334.62</v>
      </c>
      <c r="AZ29" s="137" t="s">
        <v>2133</v>
      </c>
      <c r="BA29" s="137">
        <v>5.726</v>
      </c>
      <c r="BB29" s="1" t="s">
        <v>430</v>
      </c>
    </row>
    <row r="30" spans="2:54">
      <c r="B30" t="s">
        <v>1893</v>
      </c>
      <c r="C30">
        <v>2</v>
      </c>
      <c r="D30" s="1" t="str">
        <f>VLOOKUP(B:B,'6店'!$B:$B,1,0)</f>
        <v>Y6016</v>
      </c>
      <c r="E30" t="s">
        <v>2093</v>
      </c>
      <c r="F30">
        <v>19</v>
      </c>
      <c r="G30" s="1" t="str">
        <f>VLOOKUP(E:E,'6店'!$B:$B,1,0)</f>
        <v>Y6081-GN</v>
      </c>
      <c r="H30" t="s">
        <v>2088</v>
      </c>
      <c r="I30">
        <v>70</v>
      </c>
      <c r="J30" s="1" t="str">
        <f>VLOOKUP(H:H,'6店'!$B:$B,1,0)</f>
        <v>Y6080</v>
      </c>
      <c r="K30" t="s">
        <v>2071</v>
      </c>
      <c r="L30">
        <v>2822</v>
      </c>
      <c r="M30">
        <v>3</v>
      </c>
      <c r="N30">
        <v>0.52</v>
      </c>
      <c r="O30">
        <v>0</v>
      </c>
      <c r="P30">
        <v>0</v>
      </c>
      <c r="Q30" s="31">
        <v>0</v>
      </c>
      <c r="R30" s="31">
        <v>0</v>
      </c>
      <c r="S30" s="1" t="str">
        <f>VLOOKUP(K:K,'6店'!$B:$B,1,0)</f>
        <v>Y6042</v>
      </c>
      <c r="T30" t="s">
        <v>2071</v>
      </c>
      <c r="U30">
        <v>3545</v>
      </c>
      <c r="V30">
        <v>3</v>
      </c>
      <c r="W30">
        <v>0.52</v>
      </c>
      <c r="X30">
        <v>0</v>
      </c>
      <c r="Y30">
        <v>0</v>
      </c>
      <c r="Z30" s="31">
        <v>0</v>
      </c>
      <c r="AA30" s="31">
        <v>0</v>
      </c>
      <c r="AB30" s="1" t="str">
        <f>VLOOKUP(T:T,'6店'!$B:$B,1,0)</f>
        <v>Y6042</v>
      </c>
      <c r="AC30" t="s">
        <v>2062</v>
      </c>
      <c r="AD30">
        <v>866</v>
      </c>
      <c r="AE30">
        <v>0</v>
      </c>
      <c r="AF30">
        <v>0</v>
      </c>
      <c r="AG30">
        <v>0</v>
      </c>
      <c r="AH30">
        <v>0</v>
      </c>
      <c r="AI30" s="31">
        <v>0</v>
      </c>
      <c r="AJ30" s="31">
        <v>0</v>
      </c>
      <c r="AK30" s="1" t="str">
        <f>VLOOKUP(AC:AC,'6店'!$B:$B,1,0)</f>
        <v>Y6612-SC</v>
      </c>
      <c r="AL30" t="s">
        <v>1941</v>
      </c>
      <c r="AM30" s="102">
        <v>27.99</v>
      </c>
      <c r="AN30" s="1">
        <f t="shared" si="2"/>
        <v>191.7315</v>
      </c>
      <c r="AP30" t="s">
        <v>1997</v>
      </c>
      <c r="AQ30" s="102">
        <v>29.97</v>
      </c>
      <c r="AR30" s="1">
        <f t="shared" si="1"/>
        <v>205.2945</v>
      </c>
      <c r="AT30" s="108" t="s">
        <v>1950</v>
      </c>
      <c r="AU30" s="44">
        <v>9.2</v>
      </c>
      <c r="AV30" s="35"/>
      <c r="AW30" s="108" t="s">
        <v>1947</v>
      </c>
      <c r="AX30" s="44">
        <v>1905</v>
      </c>
      <c r="AZ30" s="137" t="s">
        <v>2134</v>
      </c>
      <c r="BA30" s="137">
        <v>2.212</v>
      </c>
      <c r="BB30" s="1" t="s">
        <v>430</v>
      </c>
    </row>
    <row r="31" spans="2:54">
      <c r="B31" t="s">
        <v>1953</v>
      </c>
      <c r="C31">
        <v>1</v>
      </c>
      <c r="D31" s="1" t="str">
        <f>VLOOKUP(B:B,'6店'!$B:$B,1,0)</f>
        <v>Y6056-BL</v>
      </c>
      <c r="E31" t="s">
        <v>2071</v>
      </c>
      <c r="F31">
        <v>1</v>
      </c>
      <c r="G31" s="1" t="str">
        <f>VLOOKUP(E:E,'6店'!$B:$B,1,0)</f>
        <v>Y6042</v>
      </c>
      <c r="H31" t="s">
        <v>2082</v>
      </c>
      <c r="I31">
        <v>19</v>
      </c>
      <c r="J31" s="1" t="str">
        <f>VLOOKUP(H:H,'6店'!$B:$B,1,0)</f>
        <v>Y6079-1</v>
      </c>
      <c r="K31" t="s">
        <v>1988</v>
      </c>
      <c r="L31">
        <v>8265</v>
      </c>
      <c r="M31">
        <v>72</v>
      </c>
      <c r="N31">
        <v>21.8</v>
      </c>
      <c r="O31">
        <v>74.9</v>
      </c>
      <c r="P31">
        <v>3</v>
      </c>
      <c r="Q31" s="31">
        <v>0.291054739652871</v>
      </c>
      <c r="R31" s="31">
        <v>0.0416666666666667</v>
      </c>
      <c r="S31" s="1" t="str">
        <f>VLOOKUP(K:K,'6店'!$B:$B,1,0)</f>
        <v>Y6061</v>
      </c>
      <c r="T31" t="s">
        <v>1988</v>
      </c>
      <c r="U31">
        <v>13575</v>
      </c>
      <c r="V31">
        <v>113</v>
      </c>
      <c r="W31">
        <v>35.24</v>
      </c>
      <c r="X31">
        <v>89.88</v>
      </c>
      <c r="Y31">
        <v>4</v>
      </c>
      <c r="Z31" s="31">
        <v>0.392078326657766</v>
      </c>
      <c r="AA31" s="31">
        <v>0.0353982300884956</v>
      </c>
      <c r="AB31" s="1" t="str">
        <f>VLOOKUP(T:T,'6店'!$B:$B,1,0)</f>
        <v>Y6061</v>
      </c>
      <c r="AC31" t="s">
        <v>2056</v>
      </c>
      <c r="AD31">
        <v>4717</v>
      </c>
      <c r="AE31">
        <v>14</v>
      </c>
      <c r="AF31">
        <v>3.49</v>
      </c>
      <c r="AG31">
        <v>0</v>
      </c>
      <c r="AH31">
        <v>0</v>
      </c>
      <c r="AI31" s="31">
        <v>0</v>
      </c>
      <c r="AJ31" s="31">
        <v>0</v>
      </c>
      <c r="AK31" s="1" t="str">
        <f>VLOOKUP(AC:AC,'6店'!$B:$B,1,0)</f>
        <v>Y6612-BL</v>
      </c>
      <c r="AL31" t="s">
        <v>1953</v>
      </c>
      <c r="AM31" s="102">
        <v>13.99</v>
      </c>
      <c r="AN31" s="1">
        <f t="shared" si="2"/>
        <v>95.8315</v>
      </c>
      <c r="AP31" t="s">
        <v>2074</v>
      </c>
      <c r="AQ31" s="102">
        <v>134.94</v>
      </c>
      <c r="AR31" s="1">
        <f t="shared" si="1"/>
        <v>924.339</v>
      </c>
      <c r="AT31" s="108" t="s">
        <v>1953</v>
      </c>
      <c r="AU31" s="44">
        <v>172.387</v>
      </c>
      <c r="AV31" s="35"/>
      <c r="AW31" s="108" t="s">
        <v>1950</v>
      </c>
      <c r="AX31" s="44">
        <v>184</v>
      </c>
      <c r="AZ31" s="137" t="s">
        <v>1920</v>
      </c>
      <c r="BA31" s="137">
        <v>8.558</v>
      </c>
      <c r="BB31" s="1" t="s">
        <v>430</v>
      </c>
    </row>
    <row r="32" spans="2:54">
      <c r="B32" t="s">
        <v>1997</v>
      </c>
      <c r="C32">
        <v>1</v>
      </c>
      <c r="D32" s="1" t="str">
        <f>VLOOKUP(B:B,'6店'!$B:$B,1,0)</f>
        <v>Y6072-2</v>
      </c>
      <c r="E32" t="s">
        <v>1917</v>
      </c>
      <c r="F32">
        <v>1</v>
      </c>
      <c r="G32" s="1" t="str">
        <f>VLOOKUP(E:E,'6店'!$B:$B,1,0)</f>
        <v>Y6027</v>
      </c>
      <c r="H32" t="s">
        <v>2085</v>
      </c>
      <c r="I32">
        <v>10</v>
      </c>
      <c r="J32" s="1" t="str">
        <f>VLOOKUP(H:H,'6店'!$B:$B,1,0)</f>
        <v>Y6079-2</v>
      </c>
      <c r="K32" t="s">
        <v>2074</v>
      </c>
      <c r="L32">
        <v>2408</v>
      </c>
      <c r="M32">
        <v>27</v>
      </c>
      <c r="N32">
        <v>3.06</v>
      </c>
      <c r="O32">
        <v>18.99</v>
      </c>
      <c r="P32">
        <v>1</v>
      </c>
      <c r="Q32" s="31">
        <v>0.161137440758294</v>
      </c>
      <c r="R32" s="31">
        <v>0.037037037037037</v>
      </c>
      <c r="S32" s="1" t="str">
        <f>VLOOKUP(K:K,'6店'!$B:$B,1,0)</f>
        <v>Y6075-1-1</v>
      </c>
      <c r="T32" t="s">
        <v>2074</v>
      </c>
      <c r="U32">
        <v>4932</v>
      </c>
      <c r="V32">
        <v>57</v>
      </c>
      <c r="W32">
        <v>6.3</v>
      </c>
      <c r="X32">
        <v>42.98</v>
      </c>
      <c r="Y32">
        <v>2</v>
      </c>
      <c r="Z32" s="31">
        <v>0.146579804560261</v>
      </c>
      <c r="AA32" s="31">
        <v>0.0350877192982456</v>
      </c>
      <c r="AB32" s="1" t="str">
        <f>VLOOKUP(T:T,'6店'!$B:$B,1,0)</f>
        <v>Y6075-1-1</v>
      </c>
      <c r="AC32" t="s">
        <v>2071</v>
      </c>
      <c r="AD32">
        <v>4938</v>
      </c>
      <c r="AE32">
        <v>9</v>
      </c>
      <c r="AF32">
        <v>1.63</v>
      </c>
      <c r="AG32">
        <v>0</v>
      </c>
      <c r="AH32">
        <v>0</v>
      </c>
      <c r="AI32" s="31">
        <v>0</v>
      </c>
      <c r="AJ32" s="31">
        <v>0</v>
      </c>
      <c r="AK32" s="1" t="str">
        <f>VLOOKUP(AC:AC,'6店'!$B:$B,1,0)</f>
        <v>Y6042</v>
      </c>
      <c r="AL32" t="s">
        <v>1997</v>
      </c>
      <c r="AM32" s="102">
        <v>9.99</v>
      </c>
      <c r="AN32" s="1">
        <f t="shared" si="2"/>
        <v>68.4315</v>
      </c>
      <c r="AP32" t="s">
        <v>2077</v>
      </c>
      <c r="AQ32" s="102">
        <v>47.97</v>
      </c>
      <c r="AR32" s="1">
        <f t="shared" si="1"/>
        <v>328.5945</v>
      </c>
      <c r="AT32" s="108" t="s">
        <v>1956</v>
      </c>
      <c r="AU32" s="44">
        <v>219.775</v>
      </c>
      <c r="AV32" s="35"/>
      <c r="AW32" s="108" t="s">
        <v>2135</v>
      </c>
      <c r="AX32" s="44">
        <v>64.4</v>
      </c>
      <c r="AZ32" s="137" t="s">
        <v>1926</v>
      </c>
      <c r="BA32" s="137">
        <v>0.905</v>
      </c>
      <c r="BB32" s="1" t="s">
        <v>430</v>
      </c>
    </row>
    <row r="33" spans="2:54">
      <c r="B33" t="s">
        <v>2077</v>
      </c>
      <c r="C33">
        <v>1</v>
      </c>
      <c r="D33" s="1" t="str">
        <f>VLOOKUP(B:B,'6店'!$B:$B,1,0)</f>
        <v>Y6078-1</v>
      </c>
      <c r="E33" t="s">
        <v>1953</v>
      </c>
      <c r="F33">
        <v>4</v>
      </c>
      <c r="G33" s="1" t="str">
        <f>VLOOKUP(E:E,'6店'!$B:$B,1,0)</f>
        <v>Y6056-BL</v>
      </c>
      <c r="H33" t="s">
        <v>1914</v>
      </c>
      <c r="I33">
        <v>1</v>
      </c>
      <c r="J33" s="1" t="str">
        <f>VLOOKUP(H:H,'6店'!$B:$B,1,0)</f>
        <v>Y6026</v>
      </c>
      <c r="K33" t="s">
        <v>2079</v>
      </c>
      <c r="L33">
        <v>6</v>
      </c>
      <c r="M33">
        <v>0</v>
      </c>
      <c r="N33">
        <v>0</v>
      </c>
      <c r="O33">
        <v>0</v>
      </c>
      <c r="P33">
        <v>0</v>
      </c>
      <c r="Q33" s="31">
        <v>0</v>
      </c>
      <c r="R33" s="31">
        <v>0</v>
      </c>
      <c r="S33" s="1" t="str">
        <f>VLOOKUP(K:K,'6店'!$B:$B,1,0)</f>
        <v>Y6078-2</v>
      </c>
      <c r="T33" t="s">
        <v>2077</v>
      </c>
      <c r="U33">
        <v>18220</v>
      </c>
      <c r="V33">
        <v>99</v>
      </c>
      <c r="W33">
        <v>34.29</v>
      </c>
      <c r="X33">
        <v>31.98</v>
      </c>
      <c r="Y33">
        <v>2</v>
      </c>
      <c r="Z33" s="31">
        <v>1.07223264540338</v>
      </c>
      <c r="AA33" s="31">
        <v>0.0202020202020202</v>
      </c>
      <c r="AB33" s="1" t="str">
        <f>VLOOKUP(T:T,'6店'!$B:$B,1,0)</f>
        <v>Y6078-1</v>
      </c>
      <c r="AC33" t="s">
        <v>1988</v>
      </c>
      <c r="AD33">
        <v>23845</v>
      </c>
      <c r="AE33">
        <v>203</v>
      </c>
      <c r="AF33">
        <v>69.23</v>
      </c>
      <c r="AG33">
        <v>222.77</v>
      </c>
      <c r="AH33">
        <v>11</v>
      </c>
      <c r="AI33" s="31">
        <v>0.310768954527091</v>
      </c>
      <c r="AJ33" s="31">
        <v>0.0541871921182266</v>
      </c>
      <c r="AK33" s="1" t="str">
        <f>VLOOKUP(AC:AC,'6店'!$B:$B,1,0)</f>
        <v>Y6061</v>
      </c>
      <c r="AL33" t="s">
        <v>2012</v>
      </c>
      <c r="AM33" s="102">
        <v>8.99</v>
      </c>
      <c r="AN33" s="1">
        <f t="shared" si="2"/>
        <v>61.5815</v>
      </c>
      <c r="AP33" t="s">
        <v>2103</v>
      </c>
      <c r="AQ33" s="102">
        <v>56.97</v>
      </c>
      <c r="AR33" s="1">
        <f t="shared" si="1"/>
        <v>390.2445</v>
      </c>
      <c r="AT33" s="108" t="s">
        <v>1959</v>
      </c>
      <c r="AU33" s="44">
        <v>110.838</v>
      </c>
      <c r="AV33" s="35"/>
      <c r="AW33" s="108" t="s">
        <v>2136</v>
      </c>
      <c r="AX33" s="44">
        <v>55.2</v>
      </c>
      <c r="AZ33" s="137" t="s">
        <v>1929</v>
      </c>
      <c r="BA33" s="137">
        <v>0.959</v>
      </c>
      <c r="BB33" s="1" t="s">
        <v>430</v>
      </c>
    </row>
    <row r="34" spans="2:54">
      <c r="B34" t="s">
        <v>2103</v>
      </c>
      <c r="C34">
        <v>1</v>
      </c>
      <c r="D34" s="1" t="str">
        <f>VLOOKUP(B:B,'6店'!$B:$B,1,0)</f>
        <v>Y6088-BL</v>
      </c>
      <c r="E34" t="s">
        <v>2096</v>
      </c>
      <c r="F34">
        <v>6</v>
      </c>
      <c r="G34" s="1" t="str">
        <f>VLOOKUP(E:E,'6店'!$B:$B,1,0)</f>
        <v>Y6082-1-4</v>
      </c>
      <c r="H34" t="s">
        <v>1953</v>
      </c>
      <c r="I34">
        <v>7</v>
      </c>
      <c r="J34" s="1" t="str">
        <f>VLOOKUP(H:H,'6店'!$B:$B,1,0)</f>
        <v>Y6056-BL</v>
      </c>
      <c r="K34" t="s">
        <v>2082</v>
      </c>
      <c r="L34">
        <v>2836</v>
      </c>
      <c r="M34">
        <v>16</v>
      </c>
      <c r="N34">
        <v>5.47</v>
      </c>
      <c r="O34">
        <v>19.98</v>
      </c>
      <c r="P34">
        <v>2</v>
      </c>
      <c r="Q34" s="31">
        <v>0.273773773773774</v>
      </c>
      <c r="R34" s="31">
        <v>0.125</v>
      </c>
      <c r="S34" s="1" t="str">
        <f>VLOOKUP(K:K,'6店'!$B:$B,1,0)</f>
        <v>Y6079-1</v>
      </c>
      <c r="T34" t="s">
        <v>2079</v>
      </c>
      <c r="U34">
        <v>383</v>
      </c>
      <c r="V34">
        <v>3</v>
      </c>
      <c r="W34">
        <v>0.65</v>
      </c>
      <c r="X34">
        <v>0</v>
      </c>
      <c r="Y34">
        <v>0</v>
      </c>
      <c r="Z34" s="31">
        <v>0</v>
      </c>
      <c r="AA34" s="31">
        <v>0</v>
      </c>
      <c r="AB34" s="1" t="str">
        <f>VLOOKUP(T:T,'6店'!$B:$B,1,0)</f>
        <v>Y6078-2</v>
      </c>
      <c r="AC34" t="s">
        <v>2074</v>
      </c>
      <c r="AD34">
        <v>11139</v>
      </c>
      <c r="AE34">
        <v>117</v>
      </c>
      <c r="AF34">
        <v>17.29</v>
      </c>
      <c r="AG34">
        <v>56.97</v>
      </c>
      <c r="AH34">
        <v>3</v>
      </c>
      <c r="AI34" s="31">
        <v>0.303493066526242</v>
      </c>
      <c r="AJ34" s="31">
        <v>0.0256410256410256</v>
      </c>
      <c r="AK34" s="1" t="str">
        <f>VLOOKUP(AC:AC,'6店'!$B:$B,1,0)</f>
        <v>Y6075-1-1</v>
      </c>
      <c r="AL34" t="s">
        <v>2009</v>
      </c>
      <c r="AM34" s="102">
        <v>11.99</v>
      </c>
      <c r="AN34" s="1">
        <f t="shared" si="2"/>
        <v>82.1315</v>
      </c>
      <c r="AP34" t="s">
        <v>1884</v>
      </c>
      <c r="AQ34" s="102">
        <v>45.98</v>
      </c>
      <c r="AR34" s="1">
        <f t="shared" si="1"/>
        <v>314.963</v>
      </c>
      <c r="AT34" s="108" t="s">
        <v>1962</v>
      </c>
      <c r="AU34" s="44">
        <v>145.017</v>
      </c>
      <c r="AV34" s="35"/>
      <c r="AW34" s="108" t="s">
        <v>1953</v>
      </c>
      <c r="AX34" s="44">
        <v>217.752</v>
      </c>
      <c r="AZ34" s="137" t="s">
        <v>1923</v>
      </c>
      <c r="BA34" s="137">
        <v>0.942</v>
      </c>
      <c r="BB34" s="1" t="s">
        <v>430</v>
      </c>
    </row>
    <row r="35" spans="2:54">
      <c r="B35" t="s">
        <v>1878</v>
      </c>
      <c r="C35">
        <v>6</v>
      </c>
      <c r="D35" s="1" t="str">
        <f>VLOOKUP(B:B,'6店'!$B:$B,1,0)</f>
        <v>Y6008-GR</v>
      </c>
      <c r="E35" t="s">
        <v>2088</v>
      </c>
      <c r="F35">
        <v>51</v>
      </c>
      <c r="G35" s="1" t="str">
        <f>VLOOKUP(E:E,'6店'!$B:$B,1,0)</f>
        <v>Y6080</v>
      </c>
      <c r="H35" t="s">
        <v>1973</v>
      </c>
      <c r="I35">
        <v>1</v>
      </c>
      <c r="J35" s="1" t="str">
        <f>VLOOKUP(H:H,'6店'!$B:$B,1,0)</f>
        <v>Y6052-NF</v>
      </c>
      <c r="K35" t="s">
        <v>1911</v>
      </c>
      <c r="L35">
        <v>2260</v>
      </c>
      <c r="M35">
        <v>5</v>
      </c>
      <c r="N35">
        <v>1.82</v>
      </c>
      <c r="O35">
        <v>0</v>
      </c>
      <c r="P35">
        <v>0</v>
      </c>
      <c r="Q35" s="31">
        <v>0</v>
      </c>
      <c r="R35" s="31">
        <v>0</v>
      </c>
      <c r="S35" s="1" t="str">
        <f>VLOOKUP(K:K,'6店'!$B:$B,1,0)</f>
        <v>Y6030</v>
      </c>
      <c r="T35" t="s">
        <v>2085</v>
      </c>
      <c r="U35">
        <v>1342</v>
      </c>
      <c r="V35">
        <v>8</v>
      </c>
      <c r="W35">
        <v>2.61</v>
      </c>
      <c r="X35">
        <v>27.65</v>
      </c>
      <c r="Y35">
        <v>2</v>
      </c>
      <c r="Z35" s="31">
        <v>0.0943942133815552</v>
      </c>
      <c r="AA35" s="31">
        <v>0.25</v>
      </c>
      <c r="AB35" s="1" t="str">
        <f>VLOOKUP(T:T,'6店'!$B:$B,1,0)</f>
        <v>Y6079-2</v>
      </c>
      <c r="AC35" t="s">
        <v>2077</v>
      </c>
      <c r="AD35">
        <v>32257</v>
      </c>
      <c r="AE35">
        <v>156</v>
      </c>
      <c r="AF35">
        <v>51.5</v>
      </c>
      <c r="AG35">
        <v>31.98</v>
      </c>
      <c r="AH35">
        <v>2</v>
      </c>
      <c r="AI35" s="31">
        <v>1.61038148843027</v>
      </c>
      <c r="AJ35" s="31">
        <v>0.0128205128205128</v>
      </c>
      <c r="AK35" s="1" t="str">
        <f>VLOOKUP(AC:AC,'6店'!$B:$B,1,0)</f>
        <v>Y6078-1</v>
      </c>
      <c r="AL35" t="s">
        <v>2074</v>
      </c>
      <c r="AM35" s="102">
        <v>18.99</v>
      </c>
      <c r="AN35" s="1">
        <f t="shared" si="2"/>
        <v>130.0815</v>
      </c>
      <c r="AP35" t="s">
        <v>2006</v>
      </c>
      <c r="AQ35" s="102">
        <v>17.98</v>
      </c>
      <c r="AR35" s="1">
        <f t="shared" si="1"/>
        <v>123.163</v>
      </c>
      <c r="AT35" s="108" t="s">
        <v>1965</v>
      </c>
      <c r="AU35" s="44">
        <v>177.243</v>
      </c>
      <c r="AV35" s="35"/>
      <c r="AW35" s="108" t="s">
        <v>1956</v>
      </c>
      <c r="AX35" s="44">
        <v>228.566</v>
      </c>
      <c r="AZ35" s="137" t="s">
        <v>1938</v>
      </c>
      <c r="BA35" s="137">
        <v>4.568</v>
      </c>
      <c r="BB35" s="1" t="s">
        <v>430</v>
      </c>
    </row>
    <row r="36" spans="2:54">
      <c r="B36" t="s">
        <v>2101</v>
      </c>
      <c r="C36">
        <v>2</v>
      </c>
      <c r="D36" s="1" t="str">
        <f>VLOOKUP(B:B,'6店'!$B:$B,1,0)</f>
        <v>Y6083</v>
      </c>
      <c r="E36" t="s">
        <v>1884</v>
      </c>
      <c r="F36">
        <v>2</v>
      </c>
      <c r="G36" s="1" t="str">
        <f>VLOOKUP(E:E,'6店'!$B:$B,1,0)</f>
        <v>Y6010</v>
      </c>
      <c r="H36" t="s">
        <v>2019</v>
      </c>
      <c r="I36">
        <v>3</v>
      </c>
      <c r="J36" s="1" t="str">
        <f>VLOOKUP(H:H,'6店'!$B:$B,1,0)</f>
        <v>Y6601-SC-1</v>
      </c>
      <c r="K36" t="s">
        <v>2077</v>
      </c>
      <c r="L36">
        <v>11671</v>
      </c>
      <c r="M36">
        <v>64</v>
      </c>
      <c r="N36">
        <v>21.75</v>
      </c>
      <c r="O36">
        <v>15.99</v>
      </c>
      <c r="P36">
        <v>1</v>
      </c>
      <c r="Q36" s="31">
        <v>1.36022514071295</v>
      </c>
      <c r="R36" s="31">
        <v>0.015625</v>
      </c>
      <c r="S36" s="1" t="str">
        <f>VLOOKUP(K:K,'6店'!$B:$B,1,0)</f>
        <v>Y6078-1</v>
      </c>
      <c r="T36" t="s">
        <v>2082</v>
      </c>
      <c r="U36">
        <v>4013</v>
      </c>
      <c r="V36">
        <v>23</v>
      </c>
      <c r="W36">
        <v>7.86</v>
      </c>
      <c r="X36">
        <v>19.98</v>
      </c>
      <c r="Y36">
        <v>2</v>
      </c>
      <c r="Z36" s="31">
        <v>0.393393393393393</v>
      </c>
      <c r="AA36" s="31">
        <v>0.0869565217391304</v>
      </c>
      <c r="AB36" s="1" t="str">
        <f>VLOOKUP(T:T,'6店'!$B:$B,1,0)</f>
        <v>Y6079-1</v>
      </c>
      <c r="AC36" t="s">
        <v>2079</v>
      </c>
      <c r="AD36">
        <v>1889</v>
      </c>
      <c r="AE36">
        <v>10</v>
      </c>
      <c r="AF36">
        <v>3</v>
      </c>
      <c r="AG36">
        <v>0</v>
      </c>
      <c r="AH36">
        <v>0</v>
      </c>
      <c r="AI36" s="31">
        <v>0</v>
      </c>
      <c r="AJ36" s="31">
        <v>0</v>
      </c>
      <c r="AK36" s="1" t="str">
        <f>VLOOKUP(AC:AC,'6店'!$B:$B,1,0)</f>
        <v>Y6078-2</v>
      </c>
      <c r="AL36" t="s">
        <v>2077</v>
      </c>
      <c r="AM36" s="102">
        <v>15.99</v>
      </c>
      <c r="AN36" s="1">
        <f t="shared" si="2"/>
        <v>109.5315</v>
      </c>
      <c r="AP36" t="s">
        <v>2101</v>
      </c>
      <c r="AQ36" s="102">
        <v>53.98</v>
      </c>
      <c r="AR36" s="1">
        <f t="shared" si="1"/>
        <v>369.763</v>
      </c>
      <c r="AT36" s="108" t="s">
        <v>1968</v>
      </c>
      <c r="AU36" s="44">
        <v>209.469</v>
      </c>
      <c r="AV36" s="35"/>
      <c r="AW36" s="108" t="s">
        <v>1959</v>
      </c>
      <c r="AX36" s="44">
        <v>136.416</v>
      </c>
      <c r="AZ36" s="137" t="s">
        <v>1941</v>
      </c>
      <c r="BA36" s="137">
        <v>4.515</v>
      </c>
      <c r="BB36" s="1" t="s">
        <v>430</v>
      </c>
    </row>
    <row r="37" spans="2:54">
      <c r="B37" t="s">
        <v>1904</v>
      </c>
      <c r="C37">
        <v>1</v>
      </c>
      <c r="D37" s="1" t="str">
        <f>VLOOKUP(B:B,'6店'!$B:$B,1,0)</f>
        <v>Y6018</v>
      </c>
      <c r="E37" t="s">
        <v>2074</v>
      </c>
      <c r="F37">
        <v>6</v>
      </c>
      <c r="G37" s="1" t="str">
        <f>VLOOKUP(E:E,'6店'!$B:$B,1,0)</f>
        <v>Y6075-1-1</v>
      </c>
      <c r="H37" t="s">
        <v>2090</v>
      </c>
      <c r="I37">
        <v>29</v>
      </c>
      <c r="J37" s="1" t="str">
        <f>VLOOKUP(H:H,'6店'!$B:$B,1,0)</f>
        <v>Y6081-RE</v>
      </c>
      <c r="K37" t="s">
        <v>2088</v>
      </c>
      <c r="L37">
        <v>44494</v>
      </c>
      <c r="M37">
        <v>134</v>
      </c>
      <c r="N37">
        <v>35.66</v>
      </c>
      <c r="O37">
        <v>209.86</v>
      </c>
      <c r="P37">
        <v>13</v>
      </c>
      <c r="Q37" s="31">
        <v>0.169922805679977</v>
      </c>
      <c r="R37" s="31">
        <v>0.0970149253731343</v>
      </c>
      <c r="S37" s="1" t="str">
        <f>VLOOKUP(K:K,'6店'!$B:$B,1,0)</f>
        <v>Y6080</v>
      </c>
      <c r="T37" t="s">
        <v>2088</v>
      </c>
      <c r="U37">
        <v>116382</v>
      </c>
      <c r="V37">
        <v>378</v>
      </c>
      <c r="W37">
        <v>103.08</v>
      </c>
      <c r="X37">
        <v>688.21</v>
      </c>
      <c r="Y37">
        <v>43</v>
      </c>
      <c r="Z37" s="31">
        <v>0.149779863704393</v>
      </c>
      <c r="AA37" s="31">
        <v>0.113756613756614</v>
      </c>
      <c r="AB37" s="1" t="str">
        <f>VLOOKUP(T:T,'6店'!$B:$B,1,0)</f>
        <v>Y6080</v>
      </c>
      <c r="AC37" t="s">
        <v>2085</v>
      </c>
      <c r="AD37">
        <v>4366</v>
      </c>
      <c r="AE37">
        <v>28</v>
      </c>
      <c r="AF37">
        <v>8.05</v>
      </c>
      <c r="AG37">
        <v>55.63</v>
      </c>
      <c r="AH37">
        <v>4</v>
      </c>
      <c r="AI37" s="31">
        <v>0.144706093834262</v>
      </c>
      <c r="AJ37" s="31">
        <v>0.142857142857143</v>
      </c>
      <c r="AK37" s="1" t="str">
        <f>VLOOKUP(AC:AC,'6店'!$B:$B,1,0)</f>
        <v>Y6079-2</v>
      </c>
      <c r="AL37" t="s">
        <v>2106</v>
      </c>
      <c r="AM37" s="102">
        <v>19.99</v>
      </c>
      <c r="AN37" s="1">
        <f t="shared" si="2"/>
        <v>136.9315</v>
      </c>
      <c r="AP37" t="s">
        <v>2106</v>
      </c>
      <c r="AQ37" s="102">
        <v>39.98</v>
      </c>
      <c r="AR37" s="1">
        <f t="shared" si="1"/>
        <v>273.863</v>
      </c>
      <c r="AT37" s="108" t="s">
        <v>1971</v>
      </c>
      <c r="AU37" s="44">
        <v>554.098</v>
      </c>
      <c r="AV37" s="35"/>
      <c r="AW37" s="108" t="s">
        <v>1962</v>
      </c>
      <c r="AX37" s="44">
        <v>145.017</v>
      </c>
      <c r="AZ37" s="137" t="s">
        <v>1944</v>
      </c>
      <c r="BA37" s="137">
        <v>1.523</v>
      </c>
      <c r="BB37" s="1" t="s">
        <v>430</v>
      </c>
    </row>
    <row r="38" spans="2:54">
      <c r="B38" t="s">
        <v>1941</v>
      </c>
      <c r="C38">
        <v>1</v>
      </c>
      <c r="D38" s="1" t="str">
        <f>VLOOKUP(B:B,'6店'!$B:$B,1,0)</f>
        <v>Y6049-SC</v>
      </c>
      <c r="E38" t="s">
        <v>2103</v>
      </c>
      <c r="F38">
        <v>3</v>
      </c>
      <c r="G38" s="1" t="str">
        <f>VLOOKUP(E:E,'6店'!$B:$B,1,0)</f>
        <v>Y6088-BL</v>
      </c>
      <c r="H38" t="s">
        <v>2098</v>
      </c>
      <c r="I38">
        <v>43</v>
      </c>
      <c r="J38" s="1" t="str">
        <f>VLOOKUP(H:H,'6店'!$B:$B,1,0)</f>
        <v>Y6082-5</v>
      </c>
      <c r="K38" t="s">
        <v>2096</v>
      </c>
      <c r="L38">
        <v>1544</v>
      </c>
      <c r="M38">
        <v>10</v>
      </c>
      <c r="N38">
        <v>2.48</v>
      </c>
      <c r="O38">
        <v>0</v>
      </c>
      <c r="P38">
        <v>0</v>
      </c>
      <c r="Q38" s="31">
        <v>0</v>
      </c>
      <c r="R38" s="31">
        <v>0</v>
      </c>
      <c r="S38" s="1" t="str">
        <f>VLOOKUP(K:K,'6店'!$B:$B,1,0)</f>
        <v>Y6082-1-4</v>
      </c>
      <c r="T38" t="s">
        <v>1911</v>
      </c>
      <c r="U38">
        <v>3326</v>
      </c>
      <c r="V38">
        <v>10</v>
      </c>
      <c r="W38">
        <v>3.34</v>
      </c>
      <c r="X38">
        <v>0</v>
      </c>
      <c r="Y38">
        <v>0</v>
      </c>
      <c r="Z38" s="31">
        <v>0</v>
      </c>
      <c r="AA38" s="31">
        <v>0</v>
      </c>
      <c r="AB38" s="1" t="str">
        <f>VLOOKUP(T:T,'6店'!$B:$B,1,0)</f>
        <v>Y6030</v>
      </c>
      <c r="AC38" t="s">
        <v>2082</v>
      </c>
      <c r="AD38">
        <v>7264</v>
      </c>
      <c r="AE38">
        <v>37</v>
      </c>
      <c r="AF38">
        <v>12.38</v>
      </c>
      <c r="AG38">
        <v>59.94</v>
      </c>
      <c r="AH38">
        <v>5</v>
      </c>
      <c r="AI38" s="31">
        <v>0.20653987320654</v>
      </c>
      <c r="AJ38" s="31">
        <v>0.135135135135135</v>
      </c>
      <c r="AK38" s="1" t="str">
        <f>VLOOKUP(AC:AC,'6店'!$B:$B,1,0)</f>
        <v>Y6079-1</v>
      </c>
      <c r="AL38" t="s">
        <v>2103</v>
      </c>
      <c r="AM38" s="102">
        <v>18.99</v>
      </c>
      <c r="AN38" s="1">
        <f t="shared" si="2"/>
        <v>130.0815</v>
      </c>
      <c r="AP38" t="s">
        <v>1904</v>
      </c>
      <c r="AQ38" s="102">
        <v>10.99</v>
      </c>
      <c r="AR38" s="1">
        <f t="shared" si="1"/>
        <v>75.2815</v>
      </c>
      <c r="AT38" s="108" t="s">
        <v>1973</v>
      </c>
      <c r="AU38" s="44">
        <v>338.373</v>
      </c>
      <c r="AV38" s="35"/>
      <c r="AW38" s="108" t="s">
        <v>1965</v>
      </c>
      <c r="AX38" s="44">
        <v>177.243</v>
      </c>
      <c r="AZ38" s="137" t="s">
        <v>1947</v>
      </c>
      <c r="BA38" s="137">
        <v>0.998</v>
      </c>
      <c r="BB38" s="1" t="s">
        <v>430</v>
      </c>
    </row>
    <row r="39" spans="2:54">
      <c r="B39" t="s">
        <v>2012</v>
      </c>
      <c r="C39">
        <v>1</v>
      </c>
      <c r="D39" s="1" t="str">
        <f>VLOOKUP(B:B,'6店'!$B:$B,1,0)</f>
        <v>Y6074-GA-1</v>
      </c>
      <c r="E39" t="s">
        <v>1997</v>
      </c>
      <c r="F39">
        <v>3</v>
      </c>
      <c r="G39" s="1" t="str">
        <f>VLOOKUP(E:E,'6店'!$B:$B,1,0)</f>
        <v>Y6072-2</v>
      </c>
      <c r="H39" t="s">
        <v>1920</v>
      </c>
      <c r="I39">
        <v>7</v>
      </c>
      <c r="J39" s="1" t="str">
        <f>VLOOKUP(H:H,'6店'!$B:$B,1,0)</f>
        <v>Y6036-ZH</v>
      </c>
      <c r="K39" t="s">
        <v>2098</v>
      </c>
      <c r="L39">
        <v>13772</v>
      </c>
      <c r="M39">
        <v>83</v>
      </c>
      <c r="N39">
        <v>22.93</v>
      </c>
      <c r="O39">
        <v>83.94</v>
      </c>
      <c r="P39">
        <v>6</v>
      </c>
      <c r="Q39" s="31">
        <v>0.273171312842507</v>
      </c>
      <c r="R39" s="31">
        <v>0.072289156626506</v>
      </c>
      <c r="S39" s="1" t="str">
        <f>VLOOKUP(K:K,'6店'!$B:$B,1,0)</f>
        <v>Y6082-5</v>
      </c>
      <c r="T39" t="s">
        <v>2096</v>
      </c>
      <c r="U39">
        <v>3533</v>
      </c>
      <c r="V39">
        <v>21</v>
      </c>
      <c r="W39">
        <v>5.63</v>
      </c>
      <c r="X39">
        <v>0</v>
      </c>
      <c r="Y39">
        <v>0</v>
      </c>
      <c r="Z39" s="31">
        <v>0</v>
      </c>
      <c r="AA39" s="31">
        <v>0</v>
      </c>
      <c r="AB39" s="1" t="str">
        <f>VLOOKUP(T:T,'6店'!$B:$B,1,0)</f>
        <v>Y6082-1-4</v>
      </c>
      <c r="AC39" t="s">
        <v>2088</v>
      </c>
      <c r="AD39">
        <v>129415</v>
      </c>
      <c r="AE39">
        <v>520</v>
      </c>
      <c r="AF39">
        <v>143.85</v>
      </c>
      <c r="AG39">
        <v>943.04</v>
      </c>
      <c r="AH39">
        <v>60</v>
      </c>
      <c r="AI39" s="31">
        <v>0.152538598574822</v>
      </c>
      <c r="AJ39" s="31">
        <v>0.115384615384615</v>
      </c>
      <c r="AK39" s="1" t="str">
        <f>VLOOKUP(AC:AC,'6店'!$B:$B,1,0)</f>
        <v>Y6080</v>
      </c>
      <c r="AL39" s="29" t="s">
        <v>2065</v>
      </c>
      <c r="AM39" s="107">
        <v>167.96</v>
      </c>
      <c r="AN39" s="1">
        <f>AM39*4.9</f>
        <v>823.004</v>
      </c>
      <c r="AP39" t="s">
        <v>1917</v>
      </c>
      <c r="AQ39" s="102">
        <v>18.99</v>
      </c>
      <c r="AR39" s="1">
        <f t="shared" si="1"/>
        <v>130.0815</v>
      </c>
      <c r="AT39" s="108" t="s">
        <v>1976</v>
      </c>
      <c r="AU39" s="44">
        <v>195.54</v>
      </c>
      <c r="AV39" s="35"/>
      <c r="AW39" s="108" t="s">
        <v>1968</v>
      </c>
      <c r="AX39" s="44">
        <v>209.469</v>
      </c>
      <c r="AZ39" s="137" t="s">
        <v>1971</v>
      </c>
      <c r="BA39" s="137">
        <v>0.468</v>
      </c>
      <c r="BB39" s="1" t="s">
        <v>430</v>
      </c>
    </row>
    <row r="40" spans="2:54">
      <c r="B40" t="s">
        <v>2106</v>
      </c>
      <c r="C40">
        <v>1</v>
      </c>
      <c r="D40" s="1" t="str">
        <f>VLOOKUP(B:B,'6店'!$B:$B,1,0)</f>
        <v>Y6088-CA</v>
      </c>
      <c r="E40" t="s">
        <v>2077</v>
      </c>
      <c r="F40">
        <v>3</v>
      </c>
      <c r="G40" s="1" t="str">
        <f>VLOOKUP(E:E,'6店'!$B:$B,1,0)</f>
        <v>Y6078-1</v>
      </c>
      <c r="H40" t="s">
        <v>2093</v>
      </c>
      <c r="I40">
        <v>27</v>
      </c>
      <c r="J40" s="1" t="str">
        <f>VLOOKUP(H:H,'6店'!$B:$B,1,0)</f>
        <v>Y6081-GN</v>
      </c>
      <c r="K40" t="s">
        <v>2101</v>
      </c>
      <c r="L40">
        <v>15137</v>
      </c>
      <c r="M40">
        <v>52</v>
      </c>
      <c r="N40">
        <v>9.94</v>
      </c>
      <c r="O40">
        <v>53.98</v>
      </c>
      <c r="P40">
        <v>2</v>
      </c>
      <c r="Q40" s="31">
        <v>0.184142274916636</v>
      </c>
      <c r="R40" s="31">
        <v>0.0384615384615385</v>
      </c>
      <c r="S40" s="1" t="str">
        <f>VLOOKUP(K:K,'6店'!$B:$B,1,0)</f>
        <v>Y6083</v>
      </c>
      <c r="T40" t="s">
        <v>2098</v>
      </c>
      <c r="U40">
        <v>22018</v>
      </c>
      <c r="V40">
        <v>134</v>
      </c>
      <c r="W40">
        <v>36.25</v>
      </c>
      <c r="X40">
        <v>139.9</v>
      </c>
      <c r="Y40">
        <v>10</v>
      </c>
      <c r="Z40" s="31">
        <v>0.259113652609006</v>
      </c>
      <c r="AA40" s="31">
        <v>0.0746268656716418</v>
      </c>
      <c r="AB40" s="1" t="str">
        <f>VLOOKUP(T:T,'6店'!$B:$B,1,0)</f>
        <v>Y6082-5</v>
      </c>
      <c r="AC40" t="s">
        <v>1911</v>
      </c>
      <c r="AD40">
        <v>4194</v>
      </c>
      <c r="AE40">
        <v>12</v>
      </c>
      <c r="AF40">
        <v>3.96</v>
      </c>
      <c r="AG40">
        <v>0</v>
      </c>
      <c r="AH40">
        <v>0</v>
      </c>
      <c r="AI40" s="31">
        <v>0</v>
      </c>
      <c r="AJ40" s="31">
        <v>0</v>
      </c>
      <c r="AK40" s="1" t="str">
        <f>VLOOKUP(AC:AC,'6店'!$B:$B,1,0)</f>
        <v>Y6030</v>
      </c>
      <c r="AL40" s="29" t="s">
        <v>2019</v>
      </c>
      <c r="AM40" s="107">
        <v>39.99</v>
      </c>
      <c r="AN40" s="1">
        <f>AM40*4.9</f>
        <v>195.951</v>
      </c>
      <c r="AP40" t="s">
        <v>1941</v>
      </c>
      <c r="AQ40" s="102">
        <v>27.99</v>
      </c>
      <c r="AR40" s="1">
        <f t="shared" si="1"/>
        <v>191.7315</v>
      </c>
      <c r="AT40" s="108" t="s">
        <v>1979</v>
      </c>
      <c r="AU40" s="44">
        <v>80.452</v>
      </c>
      <c r="AV40" s="35"/>
      <c r="AW40" s="108" t="s">
        <v>1971</v>
      </c>
      <c r="AX40" s="44">
        <v>325.94</v>
      </c>
      <c r="AZ40" s="137" t="s">
        <v>1973</v>
      </c>
      <c r="BA40" s="137">
        <v>0.53</v>
      </c>
      <c r="BB40" s="1" t="s">
        <v>430</v>
      </c>
    </row>
    <row r="41" spans="2:54">
      <c r="B41" t="s">
        <v>2019</v>
      </c>
      <c r="C41">
        <v>1</v>
      </c>
      <c r="D41" s="1" t="str">
        <f>VLOOKUP(B:B,'6店'!$B:$B,1,0)</f>
        <v>Y6601-SC-1</v>
      </c>
      <c r="E41" t="s">
        <v>1973</v>
      </c>
      <c r="F41">
        <v>1</v>
      </c>
      <c r="G41" s="1" t="str">
        <f>VLOOKUP(E:E,'6店'!$B:$B,1,0)</f>
        <v>Y6052-NF</v>
      </c>
      <c r="H41" t="s">
        <v>2071</v>
      </c>
      <c r="I41">
        <v>2</v>
      </c>
      <c r="J41" s="1" t="str">
        <f>VLOOKUP(H:H,'6店'!$B:$B,1,0)</f>
        <v>Y6042</v>
      </c>
      <c r="K41" t="s">
        <v>1929</v>
      </c>
      <c r="L41">
        <v>15164</v>
      </c>
      <c r="M41">
        <v>99</v>
      </c>
      <c r="N41">
        <v>23.82</v>
      </c>
      <c r="O41">
        <v>126.93</v>
      </c>
      <c r="P41">
        <v>7</v>
      </c>
      <c r="Q41" s="31">
        <v>0.187662491136847</v>
      </c>
      <c r="R41" s="31">
        <v>0.0707070707070707</v>
      </c>
      <c r="S41" s="1" t="str">
        <f>VLOOKUP(K:K,'6店'!$B:$B,1,0)</f>
        <v>Y6040-RE</v>
      </c>
      <c r="T41" t="s">
        <v>2101</v>
      </c>
      <c r="U41">
        <v>21860</v>
      </c>
      <c r="V41">
        <v>69</v>
      </c>
      <c r="W41">
        <v>13.56</v>
      </c>
      <c r="X41">
        <v>53.98</v>
      </c>
      <c r="Y41">
        <v>2</v>
      </c>
      <c r="Z41" s="31">
        <v>0.251204149685069</v>
      </c>
      <c r="AA41" s="31">
        <v>0.0289855072463768</v>
      </c>
      <c r="AB41" s="1" t="str">
        <f>VLOOKUP(T:T,'6店'!$B:$B,1,0)</f>
        <v>Y6083</v>
      </c>
      <c r="AC41" t="s">
        <v>2096</v>
      </c>
      <c r="AD41">
        <v>6081</v>
      </c>
      <c r="AE41">
        <v>30</v>
      </c>
      <c r="AF41">
        <v>8.21</v>
      </c>
      <c r="AG41">
        <v>13.99</v>
      </c>
      <c r="AH41">
        <v>1</v>
      </c>
      <c r="AI41" s="31">
        <v>0.586847748391708</v>
      </c>
      <c r="AJ41" s="31">
        <v>0.0333333333333333</v>
      </c>
      <c r="AK41" s="1" t="str">
        <f>VLOOKUP(AC:AC,'6店'!$B:$B,1,0)</f>
        <v>Y6082-1-4</v>
      </c>
      <c r="AN41" s="1">
        <f>AM41*4.9</f>
        <v>0</v>
      </c>
      <c r="AP41" t="s">
        <v>1973</v>
      </c>
      <c r="AQ41" s="102">
        <v>11.99</v>
      </c>
      <c r="AR41" s="1">
        <f t="shared" si="1"/>
        <v>82.1315</v>
      </c>
      <c r="AT41" s="108" t="s">
        <v>1982</v>
      </c>
      <c r="AU41" s="44">
        <v>281.582</v>
      </c>
      <c r="AV41" s="35"/>
      <c r="AW41" s="108" t="s">
        <v>1973</v>
      </c>
      <c r="AX41" s="44">
        <v>354.486</v>
      </c>
      <c r="AZ41" s="137" t="s">
        <v>1976</v>
      </c>
      <c r="BA41" s="137">
        <v>0.486</v>
      </c>
      <c r="BB41" s="1" t="s">
        <v>430</v>
      </c>
    </row>
    <row r="42" spans="2:54">
      <c r="B42" t="s">
        <v>439</v>
      </c>
      <c r="C42">
        <v>393</v>
      </c>
      <c r="E42" t="s">
        <v>2101</v>
      </c>
      <c r="F42">
        <v>2</v>
      </c>
      <c r="G42" s="1" t="str">
        <f>VLOOKUP(E:E,'6店'!$B:$B,1,0)</f>
        <v>Y6083</v>
      </c>
      <c r="H42" t="s">
        <v>1917</v>
      </c>
      <c r="I42">
        <v>2</v>
      </c>
      <c r="J42" s="1" t="str">
        <f>VLOOKUP(H:H,'6店'!$B:$B,1,0)</f>
        <v>Y6027</v>
      </c>
      <c r="K42" t="s">
        <v>2103</v>
      </c>
      <c r="L42">
        <v>9384</v>
      </c>
      <c r="M42">
        <v>48</v>
      </c>
      <c r="N42">
        <v>16.34</v>
      </c>
      <c r="O42">
        <v>0</v>
      </c>
      <c r="P42">
        <v>0</v>
      </c>
      <c r="Q42" s="31">
        <v>0</v>
      </c>
      <c r="R42" s="31">
        <v>0</v>
      </c>
      <c r="S42" s="1" t="str">
        <f>VLOOKUP(K:K,'6店'!$B:$B,1,0)</f>
        <v>Y6088-BL</v>
      </c>
      <c r="T42" t="s">
        <v>1929</v>
      </c>
      <c r="U42">
        <v>16487</v>
      </c>
      <c r="V42">
        <v>105</v>
      </c>
      <c r="W42">
        <v>25.5</v>
      </c>
      <c r="X42">
        <v>126.93</v>
      </c>
      <c r="Y42">
        <v>7</v>
      </c>
      <c r="Z42" s="31">
        <v>0.200898132829118</v>
      </c>
      <c r="AA42" s="31">
        <v>0.0666666666666667</v>
      </c>
      <c r="AB42" s="1" t="str">
        <f>VLOOKUP(T:T,'6店'!$B:$B,1,0)</f>
        <v>Y6040-RE</v>
      </c>
      <c r="AC42" t="s">
        <v>2098</v>
      </c>
      <c r="AD42">
        <v>35942</v>
      </c>
      <c r="AE42">
        <v>189</v>
      </c>
      <c r="AF42">
        <v>51.25</v>
      </c>
      <c r="AG42">
        <v>223.84</v>
      </c>
      <c r="AH42">
        <v>17</v>
      </c>
      <c r="AI42" s="31">
        <v>0.228958184417441</v>
      </c>
      <c r="AJ42" s="31">
        <v>0.0899470899470899</v>
      </c>
      <c r="AK42" s="1" t="str">
        <f>VLOOKUP(AC:AC,'6店'!$B:$B,1,0)</f>
        <v>Y6082-5</v>
      </c>
      <c r="AN42" s="1">
        <f t="shared" ref="AN39:AN44" si="3">AM42*4.9</f>
        <v>0</v>
      </c>
      <c r="AP42" t="s">
        <v>2012</v>
      </c>
      <c r="AQ42" s="102">
        <v>8.99</v>
      </c>
      <c r="AR42" s="1">
        <f t="shared" si="1"/>
        <v>61.5815</v>
      </c>
      <c r="AT42" s="108" t="s">
        <v>1985</v>
      </c>
      <c r="AU42" s="44">
        <v>1210.68</v>
      </c>
      <c r="AV42" s="35"/>
      <c r="AW42" s="108" t="s">
        <v>1976</v>
      </c>
      <c r="AX42" s="44">
        <v>277.015</v>
      </c>
      <c r="AZ42" s="137" t="s">
        <v>1965</v>
      </c>
      <c r="BA42" s="137">
        <v>0.608</v>
      </c>
      <c r="BB42" s="1" t="s">
        <v>430</v>
      </c>
    </row>
    <row r="43" spans="2:54">
      <c r="B43"/>
      <c r="C43"/>
      <c r="E43" t="s">
        <v>2106</v>
      </c>
      <c r="F43">
        <v>2</v>
      </c>
      <c r="G43" s="1" t="str">
        <f>VLOOKUP(E:E,'6店'!$B:$B,1,0)</f>
        <v>Y6088-CA</v>
      </c>
      <c r="H43" t="s">
        <v>2012</v>
      </c>
      <c r="I43">
        <v>3</v>
      </c>
      <c r="J43" s="1" t="str">
        <f>VLOOKUP(H:H,'6店'!$B:$B,1,0)</f>
        <v>Y6074-GA-1</v>
      </c>
      <c r="K43" t="s">
        <v>2106</v>
      </c>
      <c r="L43">
        <v>14586</v>
      </c>
      <c r="M43">
        <v>91</v>
      </c>
      <c r="N43">
        <v>31.73</v>
      </c>
      <c r="O43">
        <v>38.98</v>
      </c>
      <c r="P43">
        <v>2</v>
      </c>
      <c r="Q43" s="31">
        <v>0.814007183170857</v>
      </c>
      <c r="R43" s="31">
        <v>0.021978021978022</v>
      </c>
      <c r="S43" s="1" t="str">
        <f>VLOOKUP(K:K,'6店'!$B:$B,1,0)</f>
        <v>Y6088-CA</v>
      </c>
      <c r="T43" t="s">
        <v>1926</v>
      </c>
      <c r="U43">
        <v>0</v>
      </c>
      <c r="V43">
        <v>0</v>
      </c>
      <c r="W43">
        <v>0</v>
      </c>
      <c r="X43">
        <v>0</v>
      </c>
      <c r="Y43">
        <v>0</v>
      </c>
      <c r="Z43" s="31">
        <v>0</v>
      </c>
      <c r="AA43" s="31">
        <v>0</v>
      </c>
      <c r="AB43" s="1" t="str">
        <f>VLOOKUP(T:T,'6店'!$B:$B,1,0)</f>
        <v>Y6040-GR</v>
      </c>
      <c r="AC43" t="s">
        <v>2101</v>
      </c>
      <c r="AD43">
        <v>28801</v>
      </c>
      <c r="AE43">
        <v>86</v>
      </c>
      <c r="AF43">
        <v>19.19</v>
      </c>
      <c r="AG43">
        <v>82.97</v>
      </c>
      <c r="AH43">
        <v>3</v>
      </c>
      <c r="AI43" s="31">
        <v>0.231288417500301</v>
      </c>
      <c r="AJ43" s="31">
        <v>0.0348837209302326</v>
      </c>
      <c r="AK43" s="1" t="str">
        <f>VLOOKUP(AC:AC,'6店'!$B:$B,1,0)</f>
        <v>Y6083</v>
      </c>
      <c r="AN43" s="1">
        <f t="shared" si="3"/>
        <v>0</v>
      </c>
      <c r="AP43" t="s">
        <v>2071</v>
      </c>
      <c r="AQ43" s="102">
        <v>9.88</v>
      </c>
      <c r="AR43" s="1">
        <f t="shared" si="1"/>
        <v>67.678</v>
      </c>
      <c r="AT43" s="108" t="s">
        <v>1988</v>
      </c>
      <c r="AU43" s="44">
        <v>993.6</v>
      </c>
      <c r="AV43" s="35"/>
      <c r="AW43" s="108" t="s">
        <v>1979</v>
      </c>
      <c r="AX43" s="44">
        <v>80.452</v>
      </c>
      <c r="AZ43" s="137" t="s">
        <v>1968</v>
      </c>
      <c r="BA43" s="137">
        <v>0.505</v>
      </c>
      <c r="BB43" s="1" t="s">
        <v>430</v>
      </c>
    </row>
    <row r="44" spans="2:54">
      <c r="B44"/>
      <c r="C44"/>
      <c r="E44" t="s">
        <v>2068</v>
      </c>
      <c r="F44">
        <v>1</v>
      </c>
      <c r="G44" s="1" t="str">
        <f>VLOOKUP(E:E,'6店'!$B:$B,1,0)</f>
        <v>Y6006-WH</v>
      </c>
      <c r="H44" t="s">
        <v>2096</v>
      </c>
      <c r="I44">
        <v>8</v>
      </c>
      <c r="J44" s="1" t="str">
        <f>VLOOKUP(H:H,'6店'!$B:$B,1,0)</f>
        <v>Y6082-1-4</v>
      </c>
      <c r="K44" t="s">
        <v>2109</v>
      </c>
      <c r="L44">
        <v>1266</v>
      </c>
      <c r="M44">
        <v>2</v>
      </c>
      <c r="N44">
        <v>0.66</v>
      </c>
      <c r="O44">
        <v>0</v>
      </c>
      <c r="P44">
        <v>0</v>
      </c>
      <c r="Q44" s="31">
        <v>0</v>
      </c>
      <c r="R44" s="31">
        <v>0</v>
      </c>
      <c r="S44" s="1" t="str">
        <f>VLOOKUP(K:K,'6店'!$B:$B,1,0)</f>
        <v>Y6084-BL</v>
      </c>
      <c r="T44" t="s">
        <v>2103</v>
      </c>
      <c r="U44">
        <v>20235</v>
      </c>
      <c r="V44">
        <v>77</v>
      </c>
      <c r="W44">
        <v>28.35</v>
      </c>
      <c r="X44">
        <v>18.99</v>
      </c>
      <c r="Y44">
        <v>1</v>
      </c>
      <c r="Z44" s="31">
        <v>1.49289099526066</v>
      </c>
      <c r="AA44" s="31">
        <v>0.012987012987013</v>
      </c>
      <c r="AB44" s="1" t="str">
        <f>VLOOKUP(T:T,'6店'!$B:$B,1,0)</f>
        <v>Y6088-BL</v>
      </c>
      <c r="AC44" t="s">
        <v>2128</v>
      </c>
      <c r="AD44">
        <v>4</v>
      </c>
      <c r="AE44">
        <v>0</v>
      </c>
      <c r="AF44">
        <v>0</v>
      </c>
      <c r="AG44">
        <v>0</v>
      </c>
      <c r="AH44">
        <v>0</v>
      </c>
      <c r="AI44" s="31">
        <v>0</v>
      </c>
      <c r="AJ44" s="31">
        <v>0</v>
      </c>
      <c r="AK44" s="1" t="e">
        <f>VLOOKUP(AC:AC,'6店'!$B:$B,1,0)</f>
        <v>#N/A</v>
      </c>
      <c r="AN44" s="1">
        <f t="shared" si="3"/>
        <v>0</v>
      </c>
      <c r="AP44" s="29" t="s">
        <v>2065</v>
      </c>
      <c r="AQ44" s="107">
        <v>293.93</v>
      </c>
      <c r="AR44" s="1">
        <f t="shared" ref="AR44:AR49" si="4">AQ44*4.9</f>
        <v>1440.257</v>
      </c>
      <c r="AT44" s="108" t="s">
        <v>1991</v>
      </c>
      <c r="AU44" s="44">
        <v>5281.3</v>
      </c>
      <c r="AV44" s="35"/>
      <c r="AW44" s="108" t="s">
        <v>1982</v>
      </c>
      <c r="AX44" s="44">
        <v>281.582</v>
      </c>
      <c r="AZ44" s="137" t="s">
        <v>1950</v>
      </c>
      <c r="BA44" s="137">
        <v>0.935</v>
      </c>
      <c r="BB44" s="1" t="s">
        <v>430</v>
      </c>
    </row>
    <row r="45" spans="2:54">
      <c r="B45"/>
      <c r="C45"/>
      <c r="E45" t="s">
        <v>2019</v>
      </c>
      <c r="F45">
        <v>1</v>
      </c>
      <c r="G45" s="1" t="str">
        <f>VLOOKUP(E:E,'6店'!$B:$B,1,0)</f>
        <v>Y6601-SC-1</v>
      </c>
      <c r="H45" t="s">
        <v>1884</v>
      </c>
      <c r="I45">
        <v>3</v>
      </c>
      <c r="J45" s="1" t="str">
        <f>VLOOKUP(H:H,'6店'!$B:$B,1,0)</f>
        <v>Y6010</v>
      </c>
      <c r="K45" t="s">
        <v>2112</v>
      </c>
      <c r="L45">
        <v>855</v>
      </c>
      <c r="M45">
        <v>3</v>
      </c>
      <c r="N45">
        <v>0.93</v>
      </c>
      <c r="O45">
        <v>0</v>
      </c>
      <c r="P45">
        <v>0</v>
      </c>
      <c r="Q45" s="31">
        <v>0</v>
      </c>
      <c r="R45" s="31">
        <v>0</v>
      </c>
      <c r="S45" s="1" t="str">
        <f>VLOOKUP(K:K,'6店'!$B:$B,1,0)</f>
        <v>Y6084-KH</v>
      </c>
      <c r="T45" t="s">
        <v>2106</v>
      </c>
      <c r="U45">
        <v>21653</v>
      </c>
      <c r="V45">
        <v>118</v>
      </c>
      <c r="W45">
        <v>42.8</v>
      </c>
      <c r="X45">
        <v>57.97</v>
      </c>
      <c r="Y45">
        <v>3</v>
      </c>
      <c r="Z45" s="31">
        <v>0.738312920476108</v>
      </c>
      <c r="AA45" s="31">
        <v>0.0254237288135593</v>
      </c>
      <c r="AB45" s="1" t="str">
        <f>VLOOKUP(T:T,'6店'!$B:$B,1,0)</f>
        <v>Y6088-CA</v>
      </c>
      <c r="AC45" t="s">
        <v>1929</v>
      </c>
      <c r="AD45">
        <v>24359</v>
      </c>
      <c r="AE45">
        <v>202</v>
      </c>
      <c r="AF45">
        <v>55.96</v>
      </c>
      <c r="AG45">
        <v>302.83</v>
      </c>
      <c r="AH45">
        <v>17</v>
      </c>
      <c r="AI45" s="31">
        <v>0.184790146286696</v>
      </c>
      <c r="AJ45" s="31">
        <v>0.0841584158415842</v>
      </c>
      <c r="AK45" s="1" t="str">
        <f>VLOOKUP(AC:AC,'6店'!$B:$B,1,0)</f>
        <v>Y6040-RE</v>
      </c>
      <c r="AN45" s="1">
        <f t="shared" ref="AN43:AN75" si="5">AM45*$AS$1</f>
        <v>0</v>
      </c>
      <c r="AP45" s="29" t="s">
        <v>2068</v>
      </c>
      <c r="AQ45" s="107">
        <v>17.86</v>
      </c>
      <c r="AR45" s="1">
        <f t="shared" si="4"/>
        <v>87.514</v>
      </c>
      <c r="AT45" s="108" t="s">
        <v>1994</v>
      </c>
      <c r="AU45" s="44">
        <v>108</v>
      </c>
      <c r="AV45" s="35"/>
      <c r="AW45" s="108" t="s">
        <v>1985</v>
      </c>
      <c r="AX45" s="44">
        <v>847.476</v>
      </c>
      <c r="AZ45" s="137" t="s">
        <v>2135</v>
      </c>
      <c r="BA45" s="137">
        <v>0.911</v>
      </c>
      <c r="BB45" s="1" t="s">
        <v>430</v>
      </c>
    </row>
    <row r="46" spans="2:54">
      <c r="B46"/>
      <c r="C46"/>
      <c r="E46" t="s">
        <v>1904</v>
      </c>
      <c r="F46">
        <v>1</v>
      </c>
      <c r="G46" s="1" t="str">
        <f>VLOOKUP(E:E,'6店'!$B:$B,1,0)</f>
        <v>Y6018</v>
      </c>
      <c r="H46" t="s">
        <v>2074</v>
      </c>
      <c r="I46">
        <v>7</v>
      </c>
      <c r="J46" s="1" t="str">
        <f>VLOOKUP(H:H,'6店'!$B:$B,1,0)</f>
        <v>Y6075-1-1</v>
      </c>
      <c r="K46" t="s">
        <v>439</v>
      </c>
      <c r="L46">
        <v>356844</v>
      </c>
      <c r="M46">
        <v>1653</v>
      </c>
      <c r="N46">
        <v>440.82</v>
      </c>
      <c r="O46">
        <v>1802.79</v>
      </c>
      <c r="P46">
        <v>98</v>
      </c>
      <c r="Q46" s="31">
        <v>0.244520992461684</v>
      </c>
      <c r="R46" s="31">
        <v>0.059286146400484</v>
      </c>
      <c r="T46" t="s">
        <v>2109</v>
      </c>
      <c r="U46">
        <v>1782</v>
      </c>
      <c r="V46">
        <v>4</v>
      </c>
      <c r="W46">
        <v>1.36</v>
      </c>
      <c r="X46">
        <v>0</v>
      </c>
      <c r="Y46">
        <v>0</v>
      </c>
      <c r="Z46" s="31">
        <v>0</v>
      </c>
      <c r="AA46" s="31">
        <v>0</v>
      </c>
      <c r="AB46" s="1" t="str">
        <f>VLOOKUP(T:T,'6店'!$B:$B,1,0)</f>
        <v>Y6084-BL</v>
      </c>
      <c r="AC46" t="s">
        <v>1926</v>
      </c>
      <c r="AD46">
        <v>10044</v>
      </c>
      <c r="AE46">
        <v>112</v>
      </c>
      <c r="AF46">
        <v>38.85</v>
      </c>
      <c r="AG46">
        <v>126.71</v>
      </c>
      <c r="AH46">
        <v>7</v>
      </c>
      <c r="AI46" s="31">
        <v>0.306605634914371</v>
      </c>
      <c r="AJ46" s="31">
        <v>0.0625</v>
      </c>
      <c r="AK46" s="1" t="str">
        <f>VLOOKUP(AC:AC,'6店'!$B:$B,1,0)</f>
        <v>Y6040-GR</v>
      </c>
      <c r="AN46" s="1">
        <f t="shared" si="5"/>
        <v>0</v>
      </c>
      <c r="AP46" s="29" t="s">
        <v>2019</v>
      </c>
      <c r="AQ46" s="107">
        <v>39.99</v>
      </c>
      <c r="AR46" s="1">
        <f t="shared" si="4"/>
        <v>195.951</v>
      </c>
      <c r="AT46" s="108" t="s">
        <v>1997</v>
      </c>
      <c r="AU46" s="44">
        <v>67.54</v>
      </c>
      <c r="AV46" s="35"/>
      <c r="AW46" s="108" t="s">
        <v>1988</v>
      </c>
      <c r="AX46" s="44">
        <v>1628.4</v>
      </c>
      <c r="AZ46" s="137" t="s">
        <v>2136</v>
      </c>
      <c r="BA46" s="137">
        <v>0.911</v>
      </c>
      <c r="BB46" s="1" t="s">
        <v>430</v>
      </c>
    </row>
    <row r="47" spans="5:54">
      <c r="E47" t="s">
        <v>1941</v>
      </c>
      <c r="F47">
        <v>1</v>
      </c>
      <c r="G47" s="1" t="str">
        <f>VLOOKUP(E:E,'6店'!$B:$B,1,0)</f>
        <v>Y6049-SC</v>
      </c>
      <c r="H47" t="s">
        <v>1997</v>
      </c>
      <c r="I47">
        <v>5</v>
      </c>
      <c r="J47" s="1" t="str">
        <f>VLOOKUP(H:H,'6店'!$B:$B,1,0)</f>
        <v>Y6072-2</v>
      </c>
      <c r="K47"/>
      <c r="L47"/>
      <c r="M47"/>
      <c r="N47"/>
      <c r="O47"/>
      <c r="P47"/>
      <c r="Q47"/>
      <c r="R47"/>
      <c r="T47" t="s">
        <v>2112</v>
      </c>
      <c r="U47">
        <v>1639</v>
      </c>
      <c r="V47">
        <v>5</v>
      </c>
      <c r="W47">
        <v>1.63</v>
      </c>
      <c r="X47">
        <v>0</v>
      </c>
      <c r="Y47">
        <v>0</v>
      </c>
      <c r="Z47" s="31">
        <v>0</v>
      </c>
      <c r="AA47" s="31">
        <v>0</v>
      </c>
      <c r="AB47" s="1" t="str">
        <f>VLOOKUP(T:T,'6店'!$B:$B,1,0)</f>
        <v>Y6084-KH</v>
      </c>
      <c r="AC47" t="s">
        <v>2103</v>
      </c>
      <c r="AD47">
        <v>20823</v>
      </c>
      <c r="AE47">
        <v>79</v>
      </c>
      <c r="AF47">
        <v>29.15</v>
      </c>
      <c r="AG47">
        <v>18.99</v>
      </c>
      <c r="AH47">
        <v>1</v>
      </c>
      <c r="AI47" s="31">
        <v>1.53501843075303</v>
      </c>
      <c r="AJ47" s="31">
        <v>0.0126582278481013</v>
      </c>
      <c r="AK47" s="1" t="str">
        <f>VLOOKUP(AC:AC,'6店'!$B:$B,1,0)</f>
        <v>Y6088-BL</v>
      </c>
      <c r="AN47" s="1">
        <f t="shared" si="5"/>
        <v>0</v>
      </c>
      <c r="AP47" s="29" t="s">
        <v>2016</v>
      </c>
      <c r="AQ47" s="107">
        <v>39.99</v>
      </c>
      <c r="AR47" s="1">
        <f t="shared" si="4"/>
        <v>195.951</v>
      </c>
      <c r="AT47" s="108" t="s">
        <v>2000</v>
      </c>
      <c r="AU47" s="44">
        <v>165.78</v>
      </c>
      <c r="AW47" s="108" t="s">
        <v>1991</v>
      </c>
      <c r="AX47" s="44">
        <v>3168.78</v>
      </c>
      <c r="AZ47" s="137" t="s">
        <v>1991</v>
      </c>
      <c r="BA47" s="137">
        <v>11.13</v>
      </c>
      <c r="BB47" s="1" t="s">
        <v>430</v>
      </c>
    </row>
    <row r="48" spans="5:54">
      <c r="E48" t="s">
        <v>2012</v>
      </c>
      <c r="F48">
        <v>1</v>
      </c>
      <c r="G48" s="1" t="str">
        <f>VLOOKUP(E:E,'6店'!$B:$B,1,0)</f>
        <v>Y6074-GA-1</v>
      </c>
      <c r="H48" t="s">
        <v>2103</v>
      </c>
      <c r="I48">
        <v>6</v>
      </c>
      <c r="J48" s="1" t="str">
        <f>VLOOKUP(H:H,'6店'!$B:$B,1,0)</f>
        <v>Y6088-BL</v>
      </c>
      <c r="K48"/>
      <c r="L48"/>
      <c r="M48"/>
      <c r="N48"/>
      <c r="O48"/>
      <c r="P48"/>
      <c r="Q48"/>
      <c r="R48"/>
      <c r="T48" t="s">
        <v>439</v>
      </c>
      <c r="U48">
        <v>671311</v>
      </c>
      <c r="V48">
        <v>3166</v>
      </c>
      <c r="W48">
        <v>840.86</v>
      </c>
      <c r="X48">
        <v>3926.89</v>
      </c>
      <c r="Y48">
        <v>213</v>
      </c>
      <c r="Z48" s="31">
        <v>0.214128738008959</v>
      </c>
      <c r="AA48" s="31">
        <v>0.0672773215413771</v>
      </c>
      <c r="AC48" t="s">
        <v>2106</v>
      </c>
      <c r="AD48">
        <v>22125</v>
      </c>
      <c r="AE48">
        <v>122</v>
      </c>
      <c r="AF48">
        <v>44.32</v>
      </c>
      <c r="AG48">
        <v>97.95</v>
      </c>
      <c r="AH48">
        <v>4</v>
      </c>
      <c r="AI48" s="31">
        <v>0.452475752935171</v>
      </c>
      <c r="AJ48" s="31">
        <v>0.0327868852459016</v>
      </c>
      <c r="AK48" s="1" t="str">
        <f>VLOOKUP(AC:AC,'6店'!$B:$B,1,0)</f>
        <v>Y6088-CA</v>
      </c>
      <c r="AN48" s="1">
        <f t="shared" si="5"/>
        <v>0</v>
      </c>
      <c r="AR48" s="1">
        <f t="shared" si="4"/>
        <v>0</v>
      </c>
      <c r="AT48" s="108" t="s">
        <v>2003</v>
      </c>
      <c r="AU48" s="44">
        <v>36.6</v>
      </c>
      <c r="AW48" s="108" t="s">
        <v>1994</v>
      </c>
      <c r="AX48" s="44">
        <v>108</v>
      </c>
      <c r="AZ48" s="137" t="s">
        <v>1988</v>
      </c>
      <c r="BA48" s="137">
        <v>4.319</v>
      </c>
      <c r="BB48" s="1" t="s">
        <v>430</v>
      </c>
    </row>
    <row r="49" spans="5:54">
      <c r="E49" t="s">
        <v>439</v>
      </c>
      <c r="F49">
        <v>795</v>
      </c>
      <c r="H49" t="s">
        <v>1959</v>
      </c>
      <c r="I49">
        <v>3</v>
      </c>
      <c r="J49" s="1" t="str">
        <f>VLOOKUP(H:H,'6店'!$B:$B,1,0)</f>
        <v>Y6056-OR</v>
      </c>
      <c r="K49"/>
      <c r="L49"/>
      <c r="M49"/>
      <c r="N49"/>
      <c r="O49"/>
      <c r="P49"/>
      <c r="Q49"/>
      <c r="R49"/>
      <c r="T49"/>
      <c r="U49"/>
      <c r="V49"/>
      <c r="W49"/>
      <c r="X49"/>
      <c r="Y49"/>
      <c r="Z49"/>
      <c r="AA49"/>
      <c r="AC49" t="s">
        <v>2109</v>
      </c>
      <c r="AD49">
        <v>2099</v>
      </c>
      <c r="AE49">
        <v>4</v>
      </c>
      <c r="AF49">
        <v>1.36</v>
      </c>
      <c r="AG49">
        <v>0</v>
      </c>
      <c r="AH49">
        <v>0</v>
      </c>
      <c r="AI49" s="31">
        <v>0</v>
      </c>
      <c r="AJ49" s="31">
        <v>0</v>
      </c>
      <c r="AK49" s="1" t="str">
        <f>VLOOKUP(AC:AC,'6店'!$B:$B,1,0)</f>
        <v>Y6084-BL</v>
      </c>
      <c r="AN49" s="1">
        <f t="shared" si="5"/>
        <v>0</v>
      </c>
      <c r="AR49" s="1">
        <f t="shared" si="4"/>
        <v>0</v>
      </c>
      <c r="AT49" s="108" t="s">
        <v>2006</v>
      </c>
      <c r="AU49" s="44">
        <v>8.64</v>
      </c>
      <c r="AW49" s="108" t="s">
        <v>1997</v>
      </c>
      <c r="AX49" s="44">
        <v>92.1</v>
      </c>
      <c r="AZ49" s="137" t="s">
        <v>1953</v>
      </c>
      <c r="BA49" s="137">
        <v>3.819</v>
      </c>
      <c r="BB49" s="1" t="s">
        <v>430</v>
      </c>
    </row>
    <row r="50" spans="5:54">
      <c r="E50"/>
      <c r="F50"/>
      <c r="H50" t="s">
        <v>2077</v>
      </c>
      <c r="I50">
        <v>4</v>
      </c>
      <c r="J50" s="1" t="str">
        <f>VLOOKUP(H:H,'6店'!$B:$B,1,0)</f>
        <v>Y6078-1</v>
      </c>
      <c r="K50"/>
      <c r="L50"/>
      <c r="M50"/>
      <c r="N50"/>
      <c r="O50"/>
      <c r="P50"/>
      <c r="Q50"/>
      <c r="R50"/>
      <c r="T50"/>
      <c r="U50"/>
      <c r="V50"/>
      <c r="W50"/>
      <c r="X50"/>
      <c r="Y50"/>
      <c r="Z50"/>
      <c r="AA50"/>
      <c r="AC50" t="s">
        <v>2112</v>
      </c>
      <c r="AD50">
        <v>2090</v>
      </c>
      <c r="AE50">
        <v>6</v>
      </c>
      <c r="AF50">
        <v>1.95</v>
      </c>
      <c r="AG50">
        <v>0</v>
      </c>
      <c r="AH50">
        <v>0</v>
      </c>
      <c r="AI50" s="31">
        <v>0</v>
      </c>
      <c r="AJ50" s="31">
        <v>0</v>
      </c>
      <c r="AK50" s="1" t="str">
        <f>VLOOKUP(AC:AC,'6店'!$B:$B,1,0)</f>
        <v>Y6084-KH</v>
      </c>
      <c r="AN50" s="1">
        <f t="shared" si="5"/>
        <v>0</v>
      </c>
      <c r="AR50" s="1">
        <f t="shared" ref="AR49:AR54" si="6">AQ50*4.9</f>
        <v>0</v>
      </c>
      <c r="AT50" s="108" t="s">
        <v>2009</v>
      </c>
      <c r="AU50" s="44">
        <v>328.32</v>
      </c>
      <c r="AW50" s="108" t="s">
        <v>2000</v>
      </c>
      <c r="AX50" s="44">
        <v>165.78</v>
      </c>
      <c r="AZ50" s="137" t="s">
        <v>1956</v>
      </c>
      <c r="BA50" s="137">
        <v>4.865</v>
      </c>
      <c r="BB50" s="1" t="s">
        <v>430</v>
      </c>
    </row>
    <row r="51" spans="5:54">
      <c r="E51"/>
      <c r="F51"/>
      <c r="H51" t="s">
        <v>1956</v>
      </c>
      <c r="I51">
        <v>1</v>
      </c>
      <c r="J51" s="1" t="str">
        <f>VLOOKUP(H:H,'6店'!$B:$B,1,0)</f>
        <v>Y6056-GR</v>
      </c>
      <c r="K51"/>
      <c r="L51"/>
      <c r="M51"/>
      <c r="N51"/>
      <c r="O51"/>
      <c r="P51"/>
      <c r="Q51"/>
      <c r="R51"/>
      <c r="T51"/>
      <c r="U51"/>
      <c r="V51"/>
      <c r="W51"/>
      <c r="X51"/>
      <c r="Y51"/>
      <c r="Z51"/>
      <c r="AA51"/>
      <c r="AC51" t="s">
        <v>439</v>
      </c>
      <c r="AD51">
        <v>1119719</v>
      </c>
      <c r="AE51">
        <v>5693</v>
      </c>
      <c r="AF51">
        <v>1552.44</v>
      </c>
      <c r="AG51">
        <v>6969.89</v>
      </c>
      <c r="AH51">
        <v>379</v>
      </c>
      <c r="AI51" s="31">
        <v>0.222735222507098</v>
      </c>
      <c r="AJ51" s="31">
        <v>0.0665729843667662</v>
      </c>
      <c r="AK51" s="1"/>
      <c r="AN51" s="1">
        <f t="shared" si="5"/>
        <v>0</v>
      </c>
      <c r="AR51" s="1">
        <f t="shared" si="6"/>
        <v>0</v>
      </c>
      <c r="AT51" s="116" t="s">
        <v>2012</v>
      </c>
      <c r="AU51" s="44">
        <v>86.4</v>
      </c>
      <c r="AW51" s="108" t="s">
        <v>2003</v>
      </c>
      <c r="AX51" s="44">
        <v>512.4</v>
      </c>
      <c r="AZ51" s="137" t="s">
        <v>1959</v>
      </c>
      <c r="BA51" s="137">
        <v>4.865</v>
      </c>
      <c r="BB51" s="1" t="s">
        <v>430</v>
      </c>
    </row>
    <row r="52" spans="5:54">
      <c r="E52"/>
      <c r="F52"/>
      <c r="H52" t="s">
        <v>2101</v>
      </c>
      <c r="I52">
        <v>3</v>
      </c>
      <c r="J52" s="1" t="str">
        <f>VLOOKUP(H:H,'6店'!$B:$B,1,0)</f>
        <v>Y6083</v>
      </c>
      <c r="T52"/>
      <c r="U52"/>
      <c r="V52"/>
      <c r="W52"/>
      <c r="X52"/>
      <c r="Y52"/>
      <c r="Z52"/>
      <c r="AA52"/>
      <c r="AC52"/>
      <c r="AD52"/>
      <c r="AE52"/>
      <c r="AF52"/>
      <c r="AG52"/>
      <c r="AH52"/>
      <c r="AI52"/>
      <c r="AJ52"/>
      <c r="AK52" s="1"/>
      <c r="AN52" s="1">
        <f t="shared" si="5"/>
        <v>0</v>
      </c>
      <c r="AR52" s="1">
        <f t="shared" si="6"/>
        <v>0</v>
      </c>
      <c r="AT52" s="116" t="s">
        <v>2014</v>
      </c>
      <c r="AU52" s="44">
        <v>120.96</v>
      </c>
      <c r="AW52" s="108" t="s">
        <v>2006</v>
      </c>
      <c r="AX52" s="44">
        <v>34.56</v>
      </c>
      <c r="AZ52" s="137" t="s">
        <v>1985</v>
      </c>
      <c r="BA52" s="137">
        <v>0.942</v>
      </c>
      <c r="BB52" s="1" t="s">
        <v>430</v>
      </c>
    </row>
    <row r="53" spans="5:54">
      <c r="E53"/>
      <c r="F53"/>
      <c r="H53" t="s">
        <v>2106</v>
      </c>
      <c r="I53">
        <v>2</v>
      </c>
      <c r="J53" s="1" t="str">
        <f>VLOOKUP(H:H,'6店'!$B:$B,1,0)</f>
        <v>Y6088-CA</v>
      </c>
      <c r="T53"/>
      <c r="U53"/>
      <c r="V53"/>
      <c r="W53"/>
      <c r="X53"/>
      <c r="Y53"/>
      <c r="Z53"/>
      <c r="AA53"/>
      <c r="AC53"/>
      <c r="AD53"/>
      <c r="AE53"/>
      <c r="AF53"/>
      <c r="AG53"/>
      <c r="AH53"/>
      <c r="AI53"/>
      <c r="AJ53"/>
      <c r="AK53" s="1"/>
      <c r="AN53" s="1">
        <f t="shared" si="5"/>
        <v>0</v>
      </c>
      <c r="AR53" s="1">
        <f t="shared" si="6"/>
        <v>0</v>
      </c>
      <c r="AT53" s="116" t="s">
        <v>2016</v>
      </c>
      <c r="AU53" s="44">
        <v>737.289</v>
      </c>
      <c r="AW53" s="108" t="s">
        <v>2009</v>
      </c>
      <c r="AX53" s="44">
        <v>207.36</v>
      </c>
      <c r="AZ53" s="137" t="s">
        <v>1994</v>
      </c>
      <c r="BA53" s="137">
        <v>1.888</v>
      </c>
      <c r="BB53" s="1" t="s">
        <v>430</v>
      </c>
    </row>
    <row r="54" spans="5:54">
      <c r="E54"/>
      <c r="F54"/>
      <c r="H54" t="s">
        <v>2068</v>
      </c>
      <c r="I54">
        <v>1</v>
      </c>
      <c r="J54" s="1" t="str">
        <f>VLOOKUP(H:H,'6店'!$B:$B,1,0)</f>
        <v>Y6006-WH</v>
      </c>
      <c r="AC54"/>
      <c r="AD54"/>
      <c r="AE54"/>
      <c r="AF54"/>
      <c r="AG54"/>
      <c r="AH54"/>
      <c r="AI54"/>
      <c r="AJ54"/>
      <c r="AK54" s="1"/>
      <c r="AN54" s="1">
        <f t="shared" si="5"/>
        <v>0</v>
      </c>
      <c r="AR54" s="1">
        <f t="shared" si="6"/>
        <v>0</v>
      </c>
      <c r="AT54" s="116" t="s">
        <v>2019</v>
      </c>
      <c r="AU54" s="44">
        <v>302.621</v>
      </c>
      <c r="AW54" s="108" t="s">
        <v>2012</v>
      </c>
      <c r="AX54" s="44">
        <v>103.68</v>
      </c>
      <c r="AZ54" s="137" t="s">
        <v>2003</v>
      </c>
      <c r="BA54" s="137">
        <v>1.014</v>
      </c>
      <c r="BB54" s="1" t="s">
        <v>430</v>
      </c>
    </row>
    <row r="55" spans="5:54">
      <c r="E55"/>
      <c r="F55"/>
      <c r="H55" t="s">
        <v>439</v>
      </c>
      <c r="I55">
        <v>1498</v>
      </c>
      <c r="AC55"/>
      <c r="AD55"/>
      <c r="AE55"/>
      <c r="AF55"/>
      <c r="AG55"/>
      <c r="AH55"/>
      <c r="AI55"/>
      <c r="AJ55"/>
      <c r="AK55" s="1"/>
      <c r="AN55" s="1">
        <f t="shared" si="5"/>
        <v>0</v>
      </c>
      <c r="AR55" s="1">
        <f t="shared" ref="AR41:AR81" si="7">AQ55*$AS$1</f>
        <v>0</v>
      </c>
      <c r="AT55" s="116" t="s">
        <v>2022</v>
      </c>
      <c r="AU55" s="44">
        <v>794.976</v>
      </c>
      <c r="AW55" s="108" t="s">
        <v>2014</v>
      </c>
      <c r="AX55" s="44">
        <v>120.96</v>
      </c>
      <c r="AZ55" s="137" t="s">
        <v>2137</v>
      </c>
      <c r="BA55" s="137">
        <v>10.744</v>
      </c>
      <c r="BB55" s="1" t="s">
        <v>430</v>
      </c>
    </row>
    <row r="56" spans="5:54">
      <c r="E56"/>
      <c r="F56"/>
      <c r="H56"/>
      <c r="I56"/>
      <c r="AC56"/>
      <c r="AD56"/>
      <c r="AE56"/>
      <c r="AF56"/>
      <c r="AG56"/>
      <c r="AH56"/>
      <c r="AI56"/>
      <c r="AJ56"/>
      <c r="AK56" s="1"/>
      <c r="AN56" s="1">
        <f t="shared" si="5"/>
        <v>0</v>
      </c>
      <c r="AR56" s="1">
        <f t="shared" si="7"/>
        <v>0</v>
      </c>
      <c r="AT56" s="116" t="s">
        <v>2025</v>
      </c>
      <c r="AU56" s="44">
        <v>611.52</v>
      </c>
      <c r="AW56" s="108" t="s">
        <v>2016</v>
      </c>
      <c r="AX56" s="44">
        <v>791.903</v>
      </c>
      <c r="AZ56" s="137" t="s">
        <v>1997</v>
      </c>
      <c r="BA56" s="137">
        <v>0.94</v>
      </c>
      <c r="BB56" s="1" t="s">
        <v>430</v>
      </c>
    </row>
    <row r="57" spans="8:54">
      <c r="H57"/>
      <c r="I57"/>
      <c r="AC57"/>
      <c r="AD57"/>
      <c r="AE57"/>
      <c r="AF57"/>
      <c r="AG57"/>
      <c r="AH57"/>
      <c r="AI57"/>
      <c r="AJ57"/>
      <c r="AK57" s="1"/>
      <c r="AN57" s="1">
        <f t="shared" si="5"/>
        <v>0</v>
      </c>
      <c r="AR57" s="1">
        <f t="shared" si="7"/>
        <v>0</v>
      </c>
      <c r="AT57" s="116" t="s">
        <v>2027</v>
      </c>
      <c r="AU57" s="44">
        <v>519.792</v>
      </c>
      <c r="AW57" s="108" t="s">
        <v>2019</v>
      </c>
      <c r="AX57" s="44">
        <v>357.643</v>
      </c>
      <c r="AZ57" s="137" t="s">
        <v>2000</v>
      </c>
      <c r="BA57" s="137">
        <v>1.41</v>
      </c>
      <c r="BB57" s="1" t="s">
        <v>430</v>
      </c>
    </row>
    <row r="58" spans="8:54">
      <c r="H58"/>
      <c r="I58"/>
      <c r="AC58"/>
      <c r="AD58"/>
      <c r="AE58"/>
      <c r="AF58"/>
      <c r="AG58"/>
      <c r="AH58"/>
      <c r="AI58"/>
      <c r="AJ58"/>
      <c r="AK58" s="1"/>
      <c r="AN58" s="1">
        <f t="shared" si="5"/>
        <v>0</v>
      </c>
      <c r="AR58" s="1">
        <f t="shared" si="7"/>
        <v>0</v>
      </c>
      <c r="AT58" s="116" t="s">
        <v>2030</v>
      </c>
      <c r="AU58" s="44">
        <v>193.998</v>
      </c>
      <c r="AW58" s="108" t="s">
        <v>2022</v>
      </c>
      <c r="AX58" s="44">
        <v>794.976</v>
      </c>
      <c r="AZ58" s="137" t="s">
        <v>2138</v>
      </c>
      <c r="BA58" s="137">
        <v>2.011</v>
      </c>
      <c r="BB58" s="1" t="s">
        <v>430</v>
      </c>
    </row>
    <row r="59" spans="8:54">
      <c r="H59"/>
      <c r="I59"/>
      <c r="AC59"/>
      <c r="AD59"/>
      <c r="AE59"/>
      <c r="AF59"/>
      <c r="AG59"/>
      <c r="AH59"/>
      <c r="AI59"/>
      <c r="AJ59"/>
      <c r="AN59" s="1">
        <f t="shared" si="5"/>
        <v>0</v>
      </c>
      <c r="AR59" s="1">
        <f t="shared" si="7"/>
        <v>0</v>
      </c>
      <c r="AT59" s="116" t="s">
        <v>2033</v>
      </c>
      <c r="AU59" s="44">
        <v>647.691</v>
      </c>
      <c r="AW59" s="108" t="s">
        <v>2025</v>
      </c>
      <c r="AX59" s="44">
        <v>611.52</v>
      </c>
      <c r="AZ59" s="137" t="s">
        <v>2006</v>
      </c>
      <c r="BA59" s="137">
        <v>0.946</v>
      </c>
      <c r="BB59" s="1" t="s">
        <v>430</v>
      </c>
    </row>
    <row r="60" spans="8:54">
      <c r="H60"/>
      <c r="I60"/>
      <c r="AN60" s="1">
        <f t="shared" si="5"/>
        <v>0</v>
      </c>
      <c r="AR60" s="1">
        <f t="shared" si="7"/>
        <v>0</v>
      </c>
      <c r="AT60" s="116" t="s">
        <v>2036</v>
      </c>
      <c r="AU60" s="44">
        <v>511.335</v>
      </c>
      <c r="AW60" s="108" t="s">
        <v>2027</v>
      </c>
      <c r="AX60" s="44">
        <v>519.792</v>
      </c>
      <c r="AZ60" s="137" t="s">
        <v>2009</v>
      </c>
      <c r="BA60" s="137">
        <v>2.021</v>
      </c>
      <c r="BB60" s="1" t="s">
        <v>430</v>
      </c>
    </row>
    <row r="61" spans="8:54">
      <c r="H61"/>
      <c r="I61"/>
      <c r="AN61" s="1">
        <f t="shared" si="5"/>
        <v>0</v>
      </c>
      <c r="AR61" s="1">
        <f t="shared" si="7"/>
        <v>0</v>
      </c>
      <c r="AT61" s="116" t="s">
        <v>2039</v>
      </c>
      <c r="AU61" s="44">
        <v>468.234</v>
      </c>
      <c r="AW61" s="108" t="s">
        <v>2030</v>
      </c>
      <c r="AX61" s="44">
        <v>258.664</v>
      </c>
      <c r="AZ61" s="144" t="s">
        <v>2012</v>
      </c>
      <c r="BA61" s="137">
        <v>0.94</v>
      </c>
      <c r="BB61" s="1" t="s">
        <v>430</v>
      </c>
    </row>
    <row r="62" spans="8:54">
      <c r="H62"/>
      <c r="I62"/>
      <c r="AN62" s="1">
        <f t="shared" si="5"/>
        <v>0</v>
      </c>
      <c r="AR62" s="1">
        <f t="shared" si="7"/>
        <v>0</v>
      </c>
      <c r="AT62" s="116" t="s">
        <v>2042</v>
      </c>
      <c r="AU62" s="44">
        <v>466.335</v>
      </c>
      <c r="AW62" s="108" t="s">
        <v>2131</v>
      </c>
      <c r="AX62" s="44">
        <v>329</v>
      </c>
      <c r="AZ62" s="137" t="s">
        <v>2077</v>
      </c>
      <c r="BA62" s="137">
        <v>8.782</v>
      </c>
      <c r="BB62" s="1" t="s">
        <v>430</v>
      </c>
    </row>
    <row r="63" spans="40:54">
      <c r="AN63" s="1">
        <f t="shared" si="5"/>
        <v>0</v>
      </c>
      <c r="AR63" s="1">
        <f t="shared" si="7"/>
        <v>0</v>
      </c>
      <c r="AT63" s="116" t="s">
        <v>2045</v>
      </c>
      <c r="AU63" s="44">
        <v>777.225</v>
      </c>
      <c r="AW63" s="108" t="s">
        <v>2033</v>
      </c>
      <c r="AX63" s="44">
        <v>647.691</v>
      </c>
      <c r="AZ63" s="137" t="s">
        <v>2079</v>
      </c>
      <c r="BA63" s="137">
        <v>20.006</v>
      </c>
      <c r="BB63" s="1" t="s">
        <v>430</v>
      </c>
    </row>
    <row r="64" spans="40:54">
      <c r="AN64" s="1">
        <f t="shared" si="5"/>
        <v>0</v>
      </c>
      <c r="AR64" s="1">
        <f t="shared" si="7"/>
        <v>0</v>
      </c>
      <c r="AT64" s="116" t="s">
        <v>2048</v>
      </c>
      <c r="AU64" s="44">
        <v>641.78</v>
      </c>
      <c r="AW64" s="108" t="s">
        <v>2036</v>
      </c>
      <c r="AX64" s="44">
        <v>511.335</v>
      </c>
      <c r="AZ64" s="137" t="s">
        <v>2082</v>
      </c>
      <c r="BA64" s="137">
        <v>1.893</v>
      </c>
      <c r="BB64" s="1" t="s">
        <v>430</v>
      </c>
    </row>
    <row r="65" spans="40:54">
      <c r="AN65" s="1">
        <f t="shared" si="5"/>
        <v>0</v>
      </c>
      <c r="AR65" s="1">
        <f t="shared" si="7"/>
        <v>0</v>
      </c>
      <c r="AT65" s="116" t="s">
        <v>2051</v>
      </c>
      <c r="AU65" s="44">
        <v>352.979</v>
      </c>
      <c r="AW65" s="108" t="s">
        <v>2039</v>
      </c>
      <c r="AX65" s="44">
        <v>468.234</v>
      </c>
      <c r="AZ65" s="137" t="s">
        <v>2085</v>
      </c>
      <c r="BA65" s="137">
        <v>3.428</v>
      </c>
      <c r="BB65" s="1" t="s">
        <v>430</v>
      </c>
    </row>
    <row r="66" spans="40:54">
      <c r="AN66" s="1">
        <f t="shared" si="5"/>
        <v>0</v>
      </c>
      <c r="AR66" s="1">
        <f t="shared" si="7"/>
        <v>0</v>
      </c>
      <c r="AT66" s="116" t="s">
        <v>2053</v>
      </c>
      <c r="AU66" s="44">
        <v>151.71</v>
      </c>
      <c r="AW66" s="108" t="s">
        <v>2042</v>
      </c>
      <c r="AX66" s="44">
        <v>466.335</v>
      </c>
      <c r="AZ66" s="137" t="s">
        <v>2088</v>
      </c>
      <c r="BA66" s="137">
        <v>4.843</v>
      </c>
      <c r="BB66" s="1" t="s">
        <v>430</v>
      </c>
    </row>
    <row r="67" spans="40:54">
      <c r="AN67" s="1">
        <f t="shared" si="5"/>
        <v>0</v>
      </c>
      <c r="AR67" s="1">
        <f t="shared" si="7"/>
        <v>0</v>
      </c>
      <c r="AT67" s="116" t="s">
        <v>2056</v>
      </c>
      <c r="AU67" s="44">
        <v>135.66</v>
      </c>
      <c r="AW67" s="108" t="s">
        <v>2045</v>
      </c>
      <c r="AX67" s="44">
        <v>777.225</v>
      </c>
      <c r="AZ67" s="137" t="s">
        <v>2090</v>
      </c>
      <c r="BA67" s="137">
        <v>1.003</v>
      </c>
      <c r="BB67" s="1" t="s">
        <v>430</v>
      </c>
    </row>
    <row r="68" spans="40:54">
      <c r="AN68" s="1">
        <f t="shared" si="5"/>
        <v>0</v>
      </c>
      <c r="AR68" s="1">
        <f t="shared" si="7"/>
        <v>0</v>
      </c>
      <c r="AT68" s="116" t="s">
        <v>2059</v>
      </c>
      <c r="AU68" s="44">
        <v>135.66</v>
      </c>
      <c r="AW68" s="108" t="s">
        <v>2048</v>
      </c>
      <c r="AX68" s="44">
        <v>641.78</v>
      </c>
      <c r="AZ68" s="144" t="s">
        <v>2093</v>
      </c>
      <c r="BA68" s="137">
        <v>0.998</v>
      </c>
      <c r="BB68" s="1" t="s">
        <v>430</v>
      </c>
    </row>
    <row r="69" spans="40:54">
      <c r="AN69" s="1">
        <f t="shared" si="5"/>
        <v>0</v>
      </c>
      <c r="AR69" s="1">
        <f t="shared" si="7"/>
        <v>0</v>
      </c>
      <c r="AT69" s="116" t="s">
        <v>2062</v>
      </c>
      <c r="AU69" s="44">
        <v>126.616</v>
      </c>
      <c r="AW69" s="108" t="s">
        <v>2051</v>
      </c>
      <c r="AX69" s="44">
        <v>352.979</v>
      </c>
      <c r="AZ69" s="137" t="s">
        <v>2096</v>
      </c>
      <c r="BA69" s="137">
        <v>1.013</v>
      </c>
      <c r="BB69" s="1" t="s">
        <v>430</v>
      </c>
    </row>
    <row r="70" spans="40:54">
      <c r="AN70" s="1">
        <f t="shared" si="5"/>
        <v>0</v>
      </c>
      <c r="AR70" s="1">
        <f t="shared" si="7"/>
        <v>0</v>
      </c>
      <c r="AT70" s="116" t="s">
        <v>2065</v>
      </c>
      <c r="AU70" s="44">
        <v>1017</v>
      </c>
      <c r="AW70" s="108" t="s">
        <v>2053</v>
      </c>
      <c r="AX70" s="44">
        <v>151.71</v>
      </c>
      <c r="AZ70" s="137" t="s">
        <v>2098</v>
      </c>
      <c r="BA70" s="137">
        <v>0.991</v>
      </c>
      <c r="BB70" s="1" t="s">
        <v>430</v>
      </c>
    </row>
    <row r="71" spans="40:54">
      <c r="AN71" s="1">
        <f t="shared" si="5"/>
        <v>0</v>
      </c>
      <c r="AR71" s="1">
        <f t="shared" si="7"/>
        <v>0</v>
      </c>
      <c r="AT71" s="116" t="s">
        <v>2068</v>
      </c>
      <c r="AU71" s="44">
        <v>62.712</v>
      </c>
      <c r="AW71" s="108" t="s">
        <v>2056</v>
      </c>
      <c r="AX71" s="44">
        <v>135.66</v>
      </c>
      <c r="AZ71" s="137" t="s">
        <v>2101</v>
      </c>
      <c r="BA71" s="137">
        <v>6.57</v>
      </c>
      <c r="BB71" s="1" t="s">
        <v>430</v>
      </c>
    </row>
    <row r="72" spans="40:54">
      <c r="AN72" s="1">
        <f t="shared" si="5"/>
        <v>0</v>
      </c>
      <c r="AR72" s="1">
        <f t="shared" si="7"/>
        <v>0</v>
      </c>
      <c r="AT72" s="116" t="s">
        <v>2071</v>
      </c>
      <c r="AU72" s="44">
        <v>91.365</v>
      </c>
      <c r="AW72" s="108" t="s">
        <v>2059</v>
      </c>
      <c r="AX72" s="44">
        <v>135.66</v>
      </c>
      <c r="AZ72" s="137" t="s">
        <v>2109</v>
      </c>
      <c r="BA72" s="137">
        <v>12.791</v>
      </c>
      <c r="BB72" s="1" t="s">
        <v>430</v>
      </c>
    </row>
    <row r="73" spans="40:54">
      <c r="AN73" s="1">
        <f t="shared" ref="AN73:AN91" si="8">AM73*$AS$1</f>
        <v>0</v>
      </c>
      <c r="AR73" s="1">
        <f t="shared" si="7"/>
        <v>0</v>
      </c>
      <c r="AT73" s="116" t="s">
        <v>2074</v>
      </c>
      <c r="AU73" s="44">
        <v>377.8073</v>
      </c>
      <c r="AW73" s="108" t="s">
        <v>2062</v>
      </c>
      <c r="AX73" s="44">
        <v>126.616</v>
      </c>
      <c r="AZ73" s="137" t="s">
        <v>2112</v>
      </c>
      <c r="BA73" s="137">
        <v>12.791</v>
      </c>
      <c r="BB73" s="1" t="s">
        <v>430</v>
      </c>
    </row>
    <row r="74" spans="40:54">
      <c r="AN74" s="1">
        <f t="shared" si="8"/>
        <v>0</v>
      </c>
      <c r="AR74" s="1">
        <f t="shared" si="7"/>
        <v>0</v>
      </c>
      <c r="AT74" s="116" t="s">
        <v>2077</v>
      </c>
      <c r="AU74" s="44">
        <v>700</v>
      </c>
      <c r="AW74" s="108" t="s">
        <v>2065</v>
      </c>
      <c r="AX74" s="44">
        <v>1356</v>
      </c>
      <c r="AZ74" s="137" t="s">
        <v>2103</v>
      </c>
      <c r="BA74" s="137">
        <v>12.791</v>
      </c>
      <c r="BB74" s="1" t="s">
        <v>430</v>
      </c>
    </row>
    <row r="75" spans="40:54">
      <c r="AN75" s="1">
        <f t="shared" si="8"/>
        <v>0</v>
      </c>
      <c r="AR75" s="1">
        <f t="shared" si="7"/>
        <v>0</v>
      </c>
      <c r="AT75" s="116" t="s">
        <v>2079</v>
      </c>
      <c r="AU75" s="44">
        <v>709.38</v>
      </c>
      <c r="AW75" s="108" t="s">
        <v>2071</v>
      </c>
      <c r="AX75" s="44">
        <v>97.456</v>
      </c>
      <c r="AZ75" s="137" t="s">
        <v>2106</v>
      </c>
      <c r="BA75" s="137">
        <v>12.791</v>
      </c>
      <c r="BB75" s="1" t="s">
        <v>430</v>
      </c>
    </row>
    <row r="76" spans="40:54">
      <c r="AN76" s="1">
        <f t="shared" si="8"/>
        <v>0</v>
      </c>
      <c r="AR76" s="1">
        <f t="shared" si="7"/>
        <v>0</v>
      </c>
      <c r="AT76" s="116" t="s">
        <v>2082</v>
      </c>
      <c r="AU76" s="44">
        <v>232</v>
      </c>
      <c r="AW76" s="108" t="s">
        <v>2074</v>
      </c>
      <c r="AX76" s="44">
        <v>552.1799</v>
      </c>
      <c r="AZ76" s="137" t="s">
        <v>2071</v>
      </c>
      <c r="BA76" s="137">
        <v>1.505</v>
      </c>
      <c r="BB76" s="1" t="s">
        <v>430</v>
      </c>
    </row>
    <row r="77" spans="40:54">
      <c r="AN77" s="1">
        <f t="shared" si="8"/>
        <v>0</v>
      </c>
      <c r="AR77" s="1">
        <f t="shared" si="7"/>
        <v>0</v>
      </c>
      <c r="AT77" s="116" t="s">
        <v>2085</v>
      </c>
      <c r="AU77" s="44">
        <v>16</v>
      </c>
      <c r="AW77" s="108" t="s">
        <v>2077</v>
      </c>
      <c r="AX77" s="44">
        <v>750</v>
      </c>
      <c r="AZ77" s="145" t="s">
        <v>2139</v>
      </c>
      <c r="BA77" s="137">
        <v>5.115</v>
      </c>
      <c r="BB77" s="1" t="s">
        <v>455</v>
      </c>
    </row>
    <row r="78" spans="40:54">
      <c r="AN78" s="1">
        <f t="shared" si="8"/>
        <v>0</v>
      </c>
      <c r="AR78" s="1">
        <f t="shared" si="7"/>
        <v>0</v>
      </c>
      <c r="AT78" s="116" t="s">
        <v>2088</v>
      </c>
      <c r="AU78" s="44">
        <v>742.25</v>
      </c>
      <c r="AW78" s="108" t="s">
        <v>2079</v>
      </c>
      <c r="AX78" s="44">
        <v>709.38</v>
      </c>
      <c r="AZ78" s="145" t="s">
        <v>2140</v>
      </c>
      <c r="BA78" s="137">
        <v>5.115</v>
      </c>
      <c r="BB78" s="1" t="s">
        <v>455</v>
      </c>
    </row>
    <row r="79" spans="40:54">
      <c r="AN79" s="1">
        <f t="shared" si="8"/>
        <v>0</v>
      </c>
      <c r="AR79" s="1">
        <f t="shared" si="7"/>
        <v>0</v>
      </c>
      <c r="AT79" s="116" t="s">
        <v>2090</v>
      </c>
      <c r="AU79" s="44">
        <v>720</v>
      </c>
      <c r="AW79" s="108" t="s">
        <v>2082</v>
      </c>
      <c r="AX79" s="44">
        <v>312</v>
      </c>
      <c r="AZ79" s="145" t="s">
        <v>2141</v>
      </c>
      <c r="BA79" s="137">
        <v>5.684</v>
      </c>
      <c r="BB79" s="1" t="s">
        <v>455</v>
      </c>
    </row>
    <row r="80" spans="40:54">
      <c r="AN80" s="1">
        <f t="shared" si="8"/>
        <v>0</v>
      </c>
      <c r="AR80" s="1">
        <f t="shared" si="7"/>
        <v>0</v>
      </c>
      <c r="AT80" s="116" t="s">
        <v>2093</v>
      </c>
      <c r="AU80" s="44">
        <v>690</v>
      </c>
      <c r="AW80" s="108" t="s">
        <v>2085</v>
      </c>
      <c r="AX80" s="44">
        <v>160</v>
      </c>
      <c r="AZ80" s="145" t="s">
        <v>2030</v>
      </c>
      <c r="BA80" s="137">
        <v>5.684</v>
      </c>
      <c r="BB80" s="1" t="s">
        <v>455</v>
      </c>
    </row>
    <row r="81" spans="40:54">
      <c r="AN81" s="1">
        <f t="shared" si="8"/>
        <v>0</v>
      </c>
      <c r="AR81" s="1">
        <f t="shared" ref="AR81:AR92" si="9">AQ81*$AS$1</f>
        <v>0</v>
      </c>
      <c r="AT81" s="116" t="s">
        <v>2096</v>
      </c>
      <c r="AU81" s="44">
        <v>308.2</v>
      </c>
      <c r="AW81" s="108" t="s">
        <v>2088</v>
      </c>
      <c r="AX81" s="44">
        <v>504.73</v>
      </c>
      <c r="AZ81" s="145" t="s">
        <v>2025</v>
      </c>
      <c r="BA81" s="137">
        <v>1.137</v>
      </c>
      <c r="BB81" s="1" t="s">
        <v>455</v>
      </c>
    </row>
    <row r="82" spans="40:54">
      <c r="AN82" s="1">
        <f t="shared" si="8"/>
        <v>0</v>
      </c>
      <c r="AR82" s="1">
        <f t="shared" si="9"/>
        <v>0</v>
      </c>
      <c r="AT82" s="116" t="s">
        <v>2098</v>
      </c>
      <c r="AU82" s="44">
        <v>469</v>
      </c>
      <c r="AW82" s="108" t="s">
        <v>2090</v>
      </c>
      <c r="AX82" s="44">
        <v>570</v>
      </c>
      <c r="AZ82" s="145" t="s">
        <v>2027</v>
      </c>
      <c r="BA82" s="137">
        <v>1.137</v>
      </c>
      <c r="BB82" s="1" t="s">
        <v>455</v>
      </c>
    </row>
    <row r="83" spans="40:54">
      <c r="AN83" s="1">
        <f t="shared" si="8"/>
        <v>0</v>
      </c>
      <c r="AR83" s="1">
        <f t="shared" si="9"/>
        <v>0</v>
      </c>
      <c r="AT83" s="116" t="s">
        <v>2101</v>
      </c>
      <c r="AU83" s="44">
        <v>770</v>
      </c>
      <c r="AW83" s="108" t="s">
        <v>2093</v>
      </c>
      <c r="AX83" s="44">
        <v>720</v>
      </c>
      <c r="AZ83" s="145" t="s">
        <v>2131</v>
      </c>
      <c r="BA83" s="137">
        <v>9.094</v>
      </c>
      <c r="BB83" s="1" t="s">
        <v>455</v>
      </c>
    </row>
    <row r="84" spans="40:54">
      <c r="AN84" s="1">
        <f t="shared" si="8"/>
        <v>0</v>
      </c>
      <c r="AR84" s="1">
        <f t="shared" si="9"/>
        <v>0</v>
      </c>
      <c r="AT84" s="116" t="s">
        <v>2103</v>
      </c>
      <c r="AU84" s="44">
        <v>293.34</v>
      </c>
      <c r="AW84" s="108" t="s">
        <v>2096</v>
      </c>
      <c r="AX84" s="44">
        <v>107.2</v>
      </c>
      <c r="AZ84" s="145" t="s">
        <v>2033</v>
      </c>
      <c r="BA84" s="137">
        <v>2.273</v>
      </c>
      <c r="BB84" s="1" t="s">
        <v>455</v>
      </c>
    </row>
    <row r="85" spans="40:54">
      <c r="AN85" s="1">
        <f t="shared" si="8"/>
        <v>0</v>
      </c>
      <c r="AR85" s="1">
        <f t="shared" si="9"/>
        <v>0</v>
      </c>
      <c r="AT85" s="116" t="s">
        <v>2106</v>
      </c>
      <c r="AU85" s="44">
        <v>73.338</v>
      </c>
      <c r="AW85" s="108" t="s">
        <v>2098</v>
      </c>
      <c r="AX85" s="44">
        <v>629.8</v>
      </c>
      <c r="AZ85" s="145" t="s">
        <v>2036</v>
      </c>
      <c r="BA85" s="137">
        <v>2.273</v>
      </c>
      <c r="BB85" s="1" t="s">
        <v>455</v>
      </c>
    </row>
    <row r="86" spans="40:54">
      <c r="AN86" s="1">
        <f t="shared" si="8"/>
        <v>0</v>
      </c>
      <c r="AR86" s="1">
        <f t="shared" si="9"/>
        <v>0</v>
      </c>
      <c r="AT86" s="116" t="s">
        <v>2109</v>
      </c>
      <c r="AU86" s="44">
        <v>348.63</v>
      </c>
      <c r="AW86" s="108" t="s">
        <v>2101</v>
      </c>
      <c r="AX86" s="44">
        <v>825</v>
      </c>
      <c r="AZ86" s="145" t="s">
        <v>2065</v>
      </c>
      <c r="BA86" s="137">
        <v>11.936</v>
      </c>
      <c r="BB86" s="1" t="s">
        <v>455</v>
      </c>
    </row>
    <row r="87" spans="40:54">
      <c r="AN87" s="1">
        <f t="shared" si="8"/>
        <v>0</v>
      </c>
      <c r="AR87" s="1">
        <f t="shared" si="9"/>
        <v>0</v>
      </c>
      <c r="AT87" s="116" t="s">
        <v>2112</v>
      </c>
      <c r="AU87" s="44">
        <v>92.968</v>
      </c>
      <c r="AW87" s="108" t="s">
        <v>2103</v>
      </c>
      <c r="AX87" s="44">
        <v>366.675</v>
      </c>
      <c r="AZ87" s="145" t="s">
        <v>2039</v>
      </c>
      <c r="BA87" s="137">
        <v>0.341</v>
      </c>
      <c r="BB87" s="1" t="s">
        <v>455</v>
      </c>
    </row>
    <row r="88" spans="40:54">
      <c r="AN88" s="1">
        <f t="shared" si="8"/>
        <v>0</v>
      </c>
      <c r="AR88" s="1">
        <f t="shared" si="9"/>
        <v>0</v>
      </c>
      <c r="AT88" s="116" t="s">
        <v>2115</v>
      </c>
      <c r="AU88" s="44">
        <v>205.2</v>
      </c>
      <c r="AW88" s="108" t="s">
        <v>2106</v>
      </c>
      <c r="AX88" s="44">
        <v>97.784</v>
      </c>
      <c r="AZ88" s="145" t="s">
        <v>2045</v>
      </c>
      <c r="BA88" s="137">
        <v>2.273</v>
      </c>
      <c r="BB88" s="1" t="s">
        <v>455</v>
      </c>
    </row>
    <row r="89" spans="40:54">
      <c r="AN89" s="1">
        <f t="shared" si="8"/>
        <v>0</v>
      </c>
      <c r="AR89" s="1">
        <f t="shared" si="9"/>
        <v>0</v>
      </c>
      <c r="AW89" s="108" t="s">
        <v>2109</v>
      </c>
      <c r="AX89" s="44">
        <v>348.63</v>
      </c>
      <c r="AZ89" s="145" t="s">
        <v>2042</v>
      </c>
      <c r="BA89" s="137">
        <v>2.273</v>
      </c>
      <c r="BB89" s="1" t="s">
        <v>455</v>
      </c>
    </row>
    <row r="90" spans="40:54">
      <c r="AN90" s="1">
        <f t="shared" si="8"/>
        <v>0</v>
      </c>
      <c r="AR90" s="1">
        <f t="shared" si="9"/>
        <v>0</v>
      </c>
      <c r="AW90" s="108" t="s">
        <v>2112</v>
      </c>
      <c r="AX90" s="44">
        <v>92.968</v>
      </c>
      <c r="AZ90" s="145" t="s">
        <v>2051</v>
      </c>
      <c r="BA90" s="137">
        <v>2.273</v>
      </c>
      <c r="BB90" s="1" t="s">
        <v>455</v>
      </c>
    </row>
    <row r="91" spans="40:54">
      <c r="AN91" s="1">
        <f t="shared" si="8"/>
        <v>0</v>
      </c>
      <c r="AR91" s="1">
        <f t="shared" si="9"/>
        <v>0</v>
      </c>
      <c r="AZ91" s="145" t="s">
        <v>2053</v>
      </c>
      <c r="BA91" s="137">
        <v>1.705</v>
      </c>
      <c r="BB91" s="1" t="s">
        <v>455</v>
      </c>
    </row>
    <row r="92" spans="44:54">
      <c r="AR92" s="1">
        <f t="shared" si="9"/>
        <v>0</v>
      </c>
      <c r="AZ92" s="145" t="s">
        <v>2056</v>
      </c>
      <c r="BA92" s="137">
        <v>1.137</v>
      </c>
      <c r="BB92" s="1" t="s">
        <v>455</v>
      </c>
    </row>
    <row r="93" spans="52:54">
      <c r="AZ93" s="145" t="s">
        <v>2059</v>
      </c>
      <c r="BA93" s="137">
        <v>1.137</v>
      </c>
      <c r="BB93" s="1" t="s">
        <v>455</v>
      </c>
    </row>
    <row r="94" spans="52:54">
      <c r="AZ94" s="145" t="s">
        <v>2062</v>
      </c>
      <c r="BA94" s="137">
        <v>1.137</v>
      </c>
      <c r="BB94" s="1" t="s">
        <v>455</v>
      </c>
    </row>
    <row r="95" spans="52:54">
      <c r="AZ95" s="145" t="s">
        <v>1936</v>
      </c>
      <c r="BA95" s="137">
        <v>1.795</v>
      </c>
      <c r="BB95" s="1" t="s">
        <v>430</v>
      </c>
    </row>
    <row r="96" spans="52:54">
      <c r="AZ96" s="137" t="s">
        <v>1962</v>
      </c>
      <c r="BA96" s="137">
        <v>0.508</v>
      </c>
      <c r="BB96" s="1" t="s">
        <v>430</v>
      </c>
    </row>
    <row r="97" spans="52:54">
      <c r="AZ97" s="104" t="s">
        <v>1979</v>
      </c>
      <c r="BA97" s="137">
        <v>0.443</v>
      </c>
      <c r="BB97" s="1" t="s">
        <v>430</v>
      </c>
    </row>
    <row r="98" ht="12.9" spans="52:54">
      <c r="AZ98" s="104" t="s">
        <v>1982</v>
      </c>
      <c r="BA98" s="104">
        <v>0.443</v>
      </c>
      <c r="BB98" s="1" t="s">
        <v>430</v>
      </c>
    </row>
    <row r="99" spans="52:54">
      <c r="AZ99" s="104" t="s">
        <v>2014</v>
      </c>
      <c r="BA99" s="137">
        <v>2.011</v>
      </c>
      <c r="BB99" s="1" t="s">
        <v>430</v>
      </c>
    </row>
    <row r="100" spans="52:54">
      <c r="AZ100" s="104" t="s">
        <v>2016</v>
      </c>
      <c r="BA100" s="137">
        <v>5.115</v>
      </c>
      <c r="BB100" s="1" t="s">
        <v>455</v>
      </c>
    </row>
    <row r="101" spans="52:54">
      <c r="AZ101" s="104" t="s">
        <v>2019</v>
      </c>
      <c r="BA101" s="137">
        <v>5.115</v>
      </c>
      <c r="BB101" s="1" t="s">
        <v>455</v>
      </c>
    </row>
    <row r="102" spans="52:54">
      <c r="AZ102" s="104" t="s">
        <v>2022</v>
      </c>
      <c r="BA102" s="137">
        <v>1.137</v>
      </c>
      <c r="BB102" s="1" t="s">
        <v>455</v>
      </c>
    </row>
    <row r="103" ht="12.9" spans="52:54">
      <c r="AZ103" s="104" t="s">
        <v>2048</v>
      </c>
      <c r="BA103" s="104">
        <v>2.273</v>
      </c>
      <c r="BB103" s="1" t="s">
        <v>455</v>
      </c>
    </row>
    <row r="104" spans="52:54">
      <c r="AZ104" s="104" t="s">
        <v>2068</v>
      </c>
      <c r="BA104" s="137">
        <v>9.655</v>
      </c>
      <c r="BB104" s="1" t="s">
        <v>430</v>
      </c>
    </row>
    <row r="105" spans="52:54">
      <c r="AZ105" s="104" t="s">
        <v>2074</v>
      </c>
      <c r="BA105" s="137">
        <v>10.744</v>
      </c>
      <c r="BB105" s="1" t="s">
        <v>430</v>
      </c>
    </row>
    <row r="106" spans="52:54">
      <c r="AZ106" s="104" t="s">
        <v>2115</v>
      </c>
      <c r="BA106" s="146">
        <v>1.019</v>
      </c>
      <c r="BB106" s="1" t="s">
        <v>430</v>
      </c>
    </row>
    <row r="107" ht="12.9" spans="52:54">
      <c r="AZ107" s="104" t="s">
        <v>2118</v>
      </c>
      <c r="BA107">
        <v>4.465</v>
      </c>
      <c r="BB107" s="1" t="s">
        <v>430</v>
      </c>
    </row>
    <row r="108" ht="12.9" spans="52:54">
      <c r="AZ108" s="104" t="s">
        <v>2120</v>
      </c>
      <c r="BA108">
        <v>13.396</v>
      </c>
      <c r="BB108" s="1" t="s">
        <v>430</v>
      </c>
    </row>
    <row r="109" ht="12.9" spans="52:53">
      <c r="AZ109" s="104"/>
      <c r="BA109"/>
    </row>
    <row r="110" ht="12.9" spans="52:53">
      <c r="AZ110" s="104"/>
      <c r="BA110"/>
    </row>
    <row r="111" ht="12.9" spans="52:53">
      <c r="AZ111" s="104"/>
      <c r="BA111"/>
    </row>
    <row r="112" ht="12.9" spans="52:53">
      <c r="AZ112" s="104"/>
      <c r="BA112"/>
    </row>
    <row r="113" ht="12.9" spans="52:53">
      <c r="AZ113" s="104"/>
      <c r="BA113"/>
    </row>
    <row r="114" ht="12.9" spans="52:53">
      <c r="AZ114" s="104"/>
      <c r="BA114" s="104"/>
    </row>
    <row r="115" ht="12.9" spans="52:53">
      <c r="AZ115" s="104"/>
      <c r="BA115"/>
    </row>
    <row r="116" ht="12.9" spans="52:53">
      <c r="AZ116" s="104"/>
      <c r="BA116" s="104"/>
    </row>
    <row r="117" ht="12.9" spans="52:53">
      <c r="AZ117" s="104"/>
      <c r="BA117"/>
    </row>
    <row r="118" ht="12.9" spans="52:53">
      <c r="AZ118" s="104"/>
      <c r="BA118"/>
    </row>
    <row r="119" ht="12.9" spans="52:53">
      <c r="AZ119" s="104"/>
      <c r="BA119"/>
    </row>
    <row r="120" ht="12.9" spans="52:53">
      <c r="AZ120" s="104"/>
      <c r="BA120"/>
    </row>
    <row r="121" ht="12.9" spans="52:53">
      <c r="AZ121" s="104"/>
      <c r="BA121"/>
    </row>
    <row r="122" ht="12.9" spans="52:53">
      <c r="AZ122" s="104"/>
      <c r="BA122"/>
    </row>
    <row r="123" ht="12.9" spans="52:53">
      <c r="AZ123" s="104"/>
      <c r="BA123"/>
    </row>
    <row r="124" ht="12.9" spans="52:53">
      <c r="AZ124" s="104"/>
      <c r="BA124"/>
    </row>
    <row r="125" spans="52:53">
      <c r="AZ125" s="146"/>
      <c r="BA125"/>
    </row>
    <row r="126" spans="52:53">
      <c r="AZ126" s="146"/>
      <c r="BA126"/>
    </row>
    <row r="127" spans="52:53">
      <c r="AZ127" s="146"/>
      <c r="BA127"/>
    </row>
    <row r="128" spans="52:53">
      <c r="AZ128" s="146"/>
      <c r="BA128"/>
    </row>
    <row r="129" spans="52:53">
      <c r="AZ129" s="146"/>
      <c r="BA129"/>
    </row>
    <row r="130" spans="52:53">
      <c r="AZ130" s="146"/>
      <c r="BA130"/>
    </row>
  </sheetData>
  <autoFilter ref="B1:BB134">
    <extLst/>
  </autoFilter>
  <conditionalFormatting sqref="AT3">
    <cfRule type="duplicateValues" dxfId="984" priority="53"/>
    <cfRule type="duplicateValues" dxfId="984" priority="54"/>
  </conditionalFormatting>
  <conditionalFormatting sqref="AW3">
    <cfRule type="duplicateValues" dxfId="984" priority="2"/>
    <cfRule type="duplicateValues" dxfId="984" priority="1"/>
  </conditionalFormatting>
  <conditionalFormatting sqref="AZ71:AZ75">
    <cfRule type="duplicateValues" dxfId="988" priority="3"/>
  </conditionalFormatting>
  <conditionalFormatting sqref="AZ3:AZ60 AZ62:AZ67 AZ69:AZ70 AZ76">
    <cfRule type="duplicateValues" dxfId="988" priority="4"/>
  </conditionalFormatting>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tabColor rgb="FFFFFF00"/>
  </sheetPr>
  <dimension ref="A1:AP200"/>
  <sheetViews>
    <sheetView workbookViewId="0">
      <pane ySplit="3" topLeftCell="A4" activePane="bottomLeft" state="frozen"/>
      <selection/>
      <selection pane="bottomLeft" activeCell="M8" sqref="M8"/>
    </sheetView>
  </sheetViews>
  <sheetFormatPr defaultColWidth="9" defaultRowHeight="20" customHeight="1"/>
  <cols>
    <col min="1" max="1" width="5.48623853211009" customWidth="1"/>
    <col min="2" max="2" width="15.2018348623853" style="120" customWidth="1"/>
    <col min="3" max="3" width="11.4587155963303" customWidth="1"/>
    <col min="4" max="4" width="10.9633027522936" customWidth="1"/>
    <col min="5" max="5" width="11.5045871559633" customWidth="1"/>
    <col min="6" max="10" width="9" hidden="1" customWidth="1"/>
    <col min="11" max="11" width="8.10091743119266" customWidth="1"/>
    <col min="13" max="13" width="12.2110091743119" customWidth="1"/>
    <col min="14" max="14" width="7.59633027522936" customWidth="1"/>
    <col min="22" max="22" width="10.5779816513761" customWidth="1"/>
    <col min="23" max="24" width="12.8807339449541" customWidth="1"/>
    <col min="25" max="27" width="9.3302752293578"/>
    <col min="30" max="30" width="10.3761467889908" customWidth="1"/>
    <col min="32" max="32" width="9.72477064220183" customWidth="1"/>
    <col min="34" max="34" width="9" style="103"/>
    <col min="35" max="35" width="11.3394495412844" customWidth="1"/>
    <col min="36" max="36" width="12.0825688073394" customWidth="1"/>
    <col min="37" max="37" width="10.3761467889908" customWidth="1"/>
    <col min="38" max="38" width="11.6330275229358"/>
    <col min="39" max="39" width="10.4954128440367"/>
  </cols>
  <sheetData>
    <row r="1" s="1" customFormat="1" ht="150" customHeight="1" spans="2:37">
      <c r="B1" s="35">
        <f>COUNTA(B4:B1047441)</f>
        <v>197</v>
      </c>
      <c r="C1" s="51" t="s">
        <v>0</v>
      </c>
      <c r="D1" s="130"/>
      <c r="K1" s="35">
        <f>SUM(K4:K1047714)</f>
        <v>8884</v>
      </c>
      <c r="M1" s="36"/>
      <c r="T1" s="66" t="s">
        <v>1</v>
      </c>
      <c r="W1" s="67" t="s">
        <v>2</v>
      </c>
      <c r="X1" s="68" t="s">
        <v>3</v>
      </c>
      <c r="Y1" s="84" t="s">
        <v>4</v>
      </c>
      <c r="Z1" s="85"/>
      <c r="AA1" s="85"/>
      <c r="AB1" s="85"/>
      <c r="AC1" s="85"/>
      <c r="AD1" s="86"/>
      <c r="AE1" s="85"/>
      <c r="AF1" s="85"/>
      <c r="AG1" s="93" t="s">
        <v>587</v>
      </c>
      <c r="AH1" s="133"/>
      <c r="AI1" s="94" t="s">
        <v>6</v>
      </c>
      <c r="AJ1" s="94" t="s">
        <v>7</v>
      </c>
      <c r="AK1" s="95" t="s">
        <v>8</v>
      </c>
    </row>
    <row r="2" s="1" customFormat="1" ht="51.6" spans="1:40">
      <c r="A2" s="37" t="s">
        <v>9</v>
      </c>
      <c r="B2" s="37" t="s">
        <v>10</v>
      </c>
      <c r="C2" s="37" t="s">
        <v>11</v>
      </c>
      <c r="D2" s="122"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88" t="s">
        <v>30</v>
      </c>
      <c r="W2" s="73" t="s">
        <v>458</v>
      </c>
      <c r="X2" s="74" t="s">
        <v>32</v>
      </c>
      <c r="Y2" s="38" t="s">
        <v>33</v>
      </c>
      <c r="Z2" s="38" t="s">
        <v>34</v>
      </c>
      <c r="AA2" s="38" t="s">
        <v>35</v>
      </c>
      <c r="AB2" s="87" t="s">
        <v>36</v>
      </c>
      <c r="AC2" s="88" t="s">
        <v>37</v>
      </c>
      <c r="AD2" s="88" t="s">
        <v>38</v>
      </c>
      <c r="AE2" s="38" t="s">
        <v>39</v>
      </c>
      <c r="AF2" s="38" t="s">
        <v>40</v>
      </c>
      <c r="AG2" s="96" t="s">
        <v>41</v>
      </c>
      <c r="AH2" s="134" t="s">
        <v>42</v>
      </c>
      <c r="AI2" s="97" t="s">
        <v>43</v>
      </c>
      <c r="AJ2" s="97" t="s">
        <v>44</v>
      </c>
      <c r="AK2" s="38" t="s">
        <v>45</v>
      </c>
      <c r="AL2" s="38" t="s">
        <v>46</v>
      </c>
      <c r="AM2" s="24">
        <v>45200</v>
      </c>
      <c r="AN2" s="24" t="s">
        <v>47</v>
      </c>
    </row>
    <row r="3" s="49" customFormat="1" customHeight="1" spans="2:38">
      <c r="B3" s="40" t="s">
        <v>48</v>
      </c>
      <c r="C3" s="54"/>
      <c r="D3" s="54"/>
      <c r="E3" s="131"/>
      <c r="F3" s="57"/>
      <c r="G3" s="57"/>
      <c r="H3" s="57"/>
      <c r="I3" s="57"/>
      <c r="J3" s="57"/>
      <c r="K3" s="57">
        <f>SUM(K4:K1047671)</f>
        <v>8884</v>
      </c>
      <c r="L3" s="41"/>
      <c r="M3" s="41">
        <f t="shared" ref="M3:R3" si="0">SUM(M4:M1047671)</f>
        <v>123487.6</v>
      </c>
      <c r="N3" s="57">
        <f t="shared" si="0"/>
        <v>847</v>
      </c>
      <c r="O3" s="57">
        <f t="shared" si="0"/>
        <v>1791</v>
      </c>
      <c r="P3" s="57">
        <f t="shared" si="0"/>
        <v>3706</v>
      </c>
      <c r="Q3" s="57">
        <f t="shared" si="0"/>
        <v>866</v>
      </c>
      <c r="R3" s="57">
        <f t="shared" si="0"/>
        <v>-19</v>
      </c>
      <c r="S3" s="75"/>
      <c r="T3" s="76"/>
      <c r="U3" s="77"/>
      <c r="V3" s="78"/>
      <c r="W3" s="76"/>
      <c r="X3" s="76"/>
      <c r="Y3" s="57">
        <f>SUM(Y4:Y1047671)</f>
        <v>842.74</v>
      </c>
      <c r="Z3" s="57">
        <f>SUM(Z4:Z1047671)</f>
        <v>1806.52</v>
      </c>
      <c r="AA3" s="57">
        <f>SUM(AA4:AA1047671)</f>
        <v>3627.39</v>
      </c>
      <c r="AB3" s="89"/>
      <c r="AC3" s="89"/>
      <c r="AD3" s="90"/>
      <c r="AE3" s="89"/>
      <c r="AF3" s="89"/>
      <c r="AG3" s="89"/>
      <c r="AH3" s="135"/>
      <c r="AI3" s="98"/>
      <c r="AJ3" s="89"/>
      <c r="AK3" s="41">
        <f>SUM(AK4:AK1046367)</f>
        <v>11773.3</v>
      </c>
      <c r="AL3" s="57">
        <f>SUM(AL4:AL1047671)</f>
        <v>24894.9</v>
      </c>
    </row>
    <row r="4" s="1" customFormat="1" customHeight="1" spans="1:41">
      <c r="A4" s="58" t="str">
        <f>INDEX('[1]7店'!$A:$A,MATCH(B:B,'[1]7店'!$B:$B,0))</f>
        <v>美珠</v>
      </c>
      <c r="B4" s="125" t="s">
        <v>2142</v>
      </c>
      <c r="C4" s="123" t="s">
        <v>2143</v>
      </c>
      <c r="D4" s="59"/>
      <c r="E4" s="125" t="s">
        <v>2144</v>
      </c>
      <c r="F4" s="125">
        <v>0</v>
      </c>
      <c r="G4" s="125">
        <v>0</v>
      </c>
      <c r="H4" s="125">
        <v>0</v>
      </c>
      <c r="I4" s="125">
        <v>0</v>
      </c>
      <c r="J4" s="125">
        <v>0</v>
      </c>
      <c r="K4" s="63">
        <f t="shared" ref="K4:K17" si="1">F4+G4+H4+I4+J4</f>
        <v>0</v>
      </c>
      <c r="L4" s="132">
        <f>VLOOKUP($B:$B,'[1]7店'!$B:$L,11,FALSE)</f>
        <v>13.9</v>
      </c>
      <c r="M4" s="44">
        <f>K4*L4</f>
        <v>0</v>
      </c>
      <c r="N4" s="65">
        <f>IFERROR(VLOOKUP(B:B,'7店辅助表'!B:C,2,FALSE),0)</f>
        <v>4</v>
      </c>
      <c r="O4" s="65">
        <f>IFERROR(VLOOKUP(B:B,'7店辅助表'!E:F,2,FALSE),0)</f>
        <v>8</v>
      </c>
      <c r="P4" s="65">
        <f>IFERROR(VLOOKUP(B:B,'7店辅助表'!H:I,2,FALSE),0)</f>
        <v>10</v>
      </c>
      <c r="Q4" s="65">
        <f>IFERROR(VLOOKUP(B:B,'[1]7店'!$B:$N,13,FALSE),0)</f>
        <v>4</v>
      </c>
      <c r="R4" s="79">
        <f t="shared" ref="R4:R17" si="2">N4-Q4</f>
        <v>0</v>
      </c>
      <c r="S4" s="80">
        <f t="shared" ref="S4:S17" si="3">IFERROR(K4/((N4/7+O4/15+P4/30)/3),"-")</f>
        <v>0</v>
      </c>
      <c r="T4" s="44">
        <f t="shared" ref="T4:T17" si="4">IFERROR(S4/30,"-")</f>
        <v>0</v>
      </c>
      <c r="U4" s="44">
        <f>IFERROR(VLOOKUP($B:$B,'[1]7店'!$B:$T,19,FALSE),0)</f>
        <v>0.439330543933054</v>
      </c>
      <c r="V4" s="81">
        <f t="shared" ref="V4:V17" si="5">IFERROR(T4-U4,"-")</f>
        <v>-0.439330543933054</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无库存有销量</v>
      </c>
      <c r="X4" s="83" t="str">
        <f>_xlfn.IFS(AND(D4&lt;&gt;0,D4-$AM$2&gt;=0,K4&gt;0,D4&lt;&gt;0),"本月刚到货",AND(T4="-",K4&gt;0),"有库存无销量",AND(T4="-",K4=0),"无库存无销量",AND(T4&lt;=0.5,K4=0),"无库存有销量",T4&lt;=0.5,"库存过低",T4&lt;=1.5,"正常",T4&gt;1.5,"库存过高")</f>
        <v>无库存有销量</v>
      </c>
      <c r="Y4" s="44">
        <f>IFERROR(SUMIF('7店辅助表'!K:K,B:B,'7店辅助表'!N:N),0)</f>
        <v>0</v>
      </c>
      <c r="Z4" s="44">
        <f>IFERROR(SUMIF('7店辅助表'!T:T,B:B,'7店辅助表'!W:W),0)</f>
        <v>0</v>
      </c>
      <c r="AA4" s="44">
        <f>IFERROR(SUMIF('7店辅助表'!AC:AC,B:B,'7店辅助表'!AF:AF),0)</f>
        <v>0</v>
      </c>
      <c r="AB4" s="91" t="str">
        <f>IFERROR(SUMIF('7店辅助表'!K:K,B:B,'7店辅助表'!N:N)/SUMIF('7店辅助表'!K:K,B:B,'7店辅助表'!O:O),"-")</f>
        <v>-</v>
      </c>
      <c r="AC4" s="91" t="str">
        <f>IFERROR(VLOOKUP(B:B,'[1]7店'!$B:$AB,27,FALSE),"-")</f>
        <v>-</v>
      </c>
      <c r="AD4" s="92" t="str">
        <f t="shared" ref="AD4:AD17" si="6">IFERROR(AB4-AC4,"-")</f>
        <v>-</v>
      </c>
      <c r="AE4" s="91" t="str">
        <f>IFERROR(SUMIF('7店辅助表'!T:T,B:B,'7店辅助表'!W:W)/SUMIF('7店辅助表'!T:T,B:B,'7店辅助表'!X:X),"-")</f>
        <v>-</v>
      </c>
      <c r="AF4" s="91" t="str">
        <f>IFERROR(SUMIF('7店辅助表'!AC:AC,B:B,'7店辅助表'!AF:AF)/SUMIF('7店辅助表'!AC:AC,B:B,'7店辅助表'!AG:AG),"-")</f>
        <v>-</v>
      </c>
      <c r="AG4" s="99">
        <f>IFERROR(AK4/((SUMIF('7店辅助表'!AT:AT,B:B,'7店辅助表'!AU:AU)+M4)/2),"-")</f>
        <v>1.6</v>
      </c>
      <c r="AH4" s="99">
        <f>IFERROR(AL4/((SUMIF('7店辅助表'!AW:AW,B:B,'7店辅助表'!AX:AX)+M4)/2),"-")</f>
        <v>1.33333333333333</v>
      </c>
      <c r="AI4" s="100">
        <f>IFERROR((SUMIF('7店辅助表'!AP:AP,B:B,'7店辅助表'!AR:AR)-SUMIF('7店辅助表'!AP:AP,B:B,'7店辅助表'!AR:AR)*0.15-(L4+IFERROR(VLOOKUP(B:B,'7店辅助表'!AZ:BA,2,0),0))*O4-IF(AN:AN="US",6.85,4.9)*(Z4+4.27*O4))/SUMIF('7店辅助表'!AP:AP,B:B,'7店辅助表'!AR:AR),"-")</f>
        <v>0.278840710905362</v>
      </c>
      <c r="AJ4" s="100">
        <f t="shared" ref="AJ4:AJ17" si="7">IFERROR(AH4*AI4,"-")</f>
        <v>0.371787614540482</v>
      </c>
      <c r="AK4" s="101">
        <f t="shared" ref="AK4:AK17" si="8">N4*$L4</f>
        <v>55.6</v>
      </c>
      <c r="AL4" s="101">
        <f t="shared" ref="AL4:AL17" si="9">O4*$L4</f>
        <v>111.2</v>
      </c>
      <c r="AM4" s="1" t="str">
        <f>VLOOKUP(B:B,'7店辅助表'!AZ:AZ,1,FALSE)</f>
        <v>Y7002-BB+Y7005</v>
      </c>
      <c r="AN4" t="str">
        <f>VLOOKUP(B:B,'7店辅助表'!AZ:BB,3,FALSE)</f>
        <v>US</v>
      </c>
      <c r="AO4" s="2"/>
    </row>
    <row r="5" s="1" customFormat="1" customHeight="1" spans="1:41">
      <c r="A5" s="58" t="str">
        <f>INDEX('[1]7店'!$A:$A,MATCH(B:B,'[1]7店'!$B:$B,0))</f>
        <v>美珠</v>
      </c>
      <c r="B5" s="125" t="s">
        <v>2145</v>
      </c>
      <c r="C5" s="123" t="s">
        <v>2146</v>
      </c>
      <c r="D5" s="59"/>
      <c r="E5" s="125" t="s">
        <v>2147</v>
      </c>
      <c r="F5" s="125">
        <v>0</v>
      </c>
      <c r="G5" s="125">
        <v>0</v>
      </c>
      <c r="H5" s="125">
        <v>0</v>
      </c>
      <c r="I5" s="125">
        <v>0</v>
      </c>
      <c r="J5" s="125">
        <v>0</v>
      </c>
      <c r="K5" s="63">
        <f t="shared" si="1"/>
        <v>0</v>
      </c>
      <c r="L5" s="132">
        <f>VLOOKUP($B:$B,'[1]7店'!$B:$L,11,FALSE)</f>
        <v>13.9</v>
      </c>
      <c r="M5" s="44">
        <f t="shared" ref="M5:M36" si="10">K5*L5</f>
        <v>0</v>
      </c>
      <c r="N5" s="65">
        <f>IFERROR(VLOOKUP(B:B,'7店辅助表'!B:C,2,FALSE),0)</f>
        <v>2</v>
      </c>
      <c r="O5" s="65">
        <f>IFERROR(VLOOKUP(B:B,'7店辅助表'!E:F,2,FALSE),0)</f>
        <v>12</v>
      </c>
      <c r="P5" s="65">
        <f>IFERROR(VLOOKUP(B:B,'7店辅助表'!H:I,2,FALSE),0)</f>
        <v>19</v>
      </c>
      <c r="Q5" s="65">
        <f>IFERROR(VLOOKUP(B:B,'[1]7店'!$B:$N,13,FALSE),0)</f>
        <v>10</v>
      </c>
      <c r="R5" s="79">
        <f t="shared" si="2"/>
        <v>-8</v>
      </c>
      <c r="S5" s="80">
        <f t="shared" si="3"/>
        <v>0</v>
      </c>
      <c r="T5" s="44">
        <f t="shared" si="4"/>
        <v>0</v>
      </c>
      <c r="U5" s="44">
        <f>IFERROR(VLOOKUP($B:$B,'[1]7店'!$B:$T,19,FALSE),0)</f>
        <v>0.130637636080871</v>
      </c>
      <c r="V5" s="81">
        <f t="shared" si="5"/>
        <v>-0.130637636080871</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无库存有销量</v>
      </c>
      <c r="X5" s="83" t="str">
        <f>_xlfn.IFS(AND(D5&lt;&gt;0,D5-$AM$2&gt;=0,K5&gt;0,D5&lt;&gt;0),"本月刚到货",AND(T5="-",K5&gt;0),"有库存无销量",AND(T5="-",K5=0),"无库存无销量",AND(T5&lt;=0.5,K5=0),"无库存有销量",T5&lt;=0.5,"库存过低",T5&lt;=1.5,"正常",T5&gt;1.5,"库存过高")</f>
        <v>无库存有销量</v>
      </c>
      <c r="Y5" s="44">
        <f>IFERROR(SUMIF('7店辅助表'!K:K,B:B,'7店辅助表'!N:N),0)</f>
        <v>0</v>
      </c>
      <c r="Z5" s="44">
        <f>IFERROR(SUMIF('7店辅助表'!T:T,B:B,'7店辅助表'!W:W),0)</f>
        <v>0</v>
      </c>
      <c r="AA5" s="44">
        <f>IFERROR(SUMIF('7店辅助表'!AC:AC,B:B,'7店辅助表'!AF:AF),0)</f>
        <v>0</v>
      </c>
      <c r="AB5" s="91" t="str">
        <f>IFERROR(SUMIF('7店辅助表'!K:K,B:B,'7店辅助表'!N:N)/SUMIF('7店辅助表'!K:K,B:B,'7店辅助表'!O:O),"-")</f>
        <v>-</v>
      </c>
      <c r="AC5" s="91" t="str">
        <f>IFERROR(VLOOKUP(B:B,'[1]7店'!$B:$AB,27,FALSE),"-")</f>
        <v>-</v>
      </c>
      <c r="AD5" s="92" t="str">
        <f t="shared" si="6"/>
        <v>-</v>
      </c>
      <c r="AE5" s="91" t="str">
        <f>IFERROR(SUMIF('7店辅助表'!T:T,B:B,'7店辅助表'!W:W)/SUMIF('7店辅助表'!T:T,B:B,'7店辅助表'!X:X),"-")</f>
        <v>-</v>
      </c>
      <c r="AF5" s="91" t="str">
        <f>IFERROR(SUMIF('7店辅助表'!AC:AC,B:B,'7店辅助表'!AF:AF)/SUMIF('7店辅助表'!AC:AC,B:B,'7店辅助表'!AG:AG),"-")</f>
        <v>-</v>
      </c>
      <c r="AG5" s="99">
        <f>IFERROR(AK5/((SUMIF('7店辅助表'!AT:AT,B:B,'7店辅助表'!AU:AU)+M5)/2),"-")</f>
        <v>1</v>
      </c>
      <c r="AH5" s="99">
        <f>IFERROR(AL5/((SUMIF('7店辅助表'!AW:AW,B:B,'7店辅助表'!AX:AX)+M5)/2),"-")</f>
        <v>1.14285714285714</v>
      </c>
      <c r="AI5" s="100">
        <f>IFERROR((SUMIF('7店辅助表'!AP:AP,B:B,'7店辅助表'!AR:AR)-SUMIF('7店辅助表'!AP:AP,B:B,'7店辅助表'!AR:AR)*0.15-(L5+IFERROR(VLOOKUP(B:B,'7店辅助表'!AZ:BA,2,0),0))*O5-IF(AN:AN="US",6.85,4.9)*(Z5+4.27*O5))/SUMIF('7店辅助表'!AP:AP,B:B,'7店辅助表'!AR:AR),"-")</f>
        <v>0.269535628502802</v>
      </c>
      <c r="AJ5" s="100">
        <f t="shared" si="7"/>
        <v>0.308040718288917</v>
      </c>
      <c r="AK5" s="101">
        <f t="shared" si="8"/>
        <v>27.8</v>
      </c>
      <c r="AL5" s="101">
        <f t="shared" si="9"/>
        <v>166.8</v>
      </c>
      <c r="AM5" s="1" t="str">
        <f>VLOOKUP(B:B,'7店辅助表'!AZ:AZ,1,FALSE)</f>
        <v>Y7002-BL+Y7005</v>
      </c>
      <c r="AN5" t="str">
        <f>VLOOKUP(B:B,'7店辅助表'!AZ:BB,3,FALSE)</f>
        <v>US</v>
      </c>
      <c r="AO5" s="2"/>
    </row>
    <row r="6" s="1" customFormat="1" customHeight="1" spans="1:41">
      <c r="A6" s="58" t="str">
        <f>INDEX('[1]7店'!$A:$A,MATCH(B:B,'[1]7店'!$B:$B,0))</f>
        <v>美珠</v>
      </c>
      <c r="B6" s="125" t="s">
        <v>2148</v>
      </c>
      <c r="C6" s="123" t="s">
        <v>2149</v>
      </c>
      <c r="D6" s="59"/>
      <c r="E6" s="125" t="s">
        <v>2150</v>
      </c>
      <c r="F6" s="125">
        <v>9</v>
      </c>
      <c r="G6" s="125">
        <v>0</v>
      </c>
      <c r="H6" s="125">
        <v>0</v>
      </c>
      <c r="I6" s="125">
        <v>0</v>
      </c>
      <c r="J6" s="125">
        <v>0</v>
      </c>
      <c r="K6" s="63">
        <f t="shared" si="1"/>
        <v>9</v>
      </c>
      <c r="L6" s="132">
        <f>VLOOKUP($B:$B,'[1]7店'!$B:$L,11,FALSE)</f>
        <v>13.9</v>
      </c>
      <c r="M6" s="44">
        <f t="shared" si="10"/>
        <v>125.1</v>
      </c>
      <c r="N6" s="65">
        <f>IFERROR(VLOOKUP(B:B,'7店辅助表'!B:C,2,FALSE),0)</f>
        <v>1</v>
      </c>
      <c r="O6" s="65">
        <f>IFERROR(VLOOKUP(B:B,'7店辅助表'!E:F,2,FALSE),0)</f>
        <v>2</v>
      </c>
      <c r="P6" s="65">
        <f>IFERROR(VLOOKUP(B:B,'7店辅助表'!H:I,2,FALSE),0)</f>
        <v>3</v>
      </c>
      <c r="Q6" s="65">
        <f>IFERROR(VLOOKUP(B:B,'[1]7店'!$B:$N,13,FALSE),0)</f>
        <v>2</v>
      </c>
      <c r="R6" s="79">
        <f t="shared" si="2"/>
        <v>-1</v>
      </c>
      <c r="S6" s="80">
        <f t="shared" si="3"/>
        <v>71.7721518987342</v>
      </c>
      <c r="T6" s="44">
        <f t="shared" si="4"/>
        <v>2.39240506329114</v>
      </c>
      <c r="U6" s="44">
        <f>IFERROR(VLOOKUP($B:$B,'[1]7店'!$B:$T,19,FALSE),0)</f>
        <v>1.62931034482759</v>
      </c>
      <c r="V6" s="81">
        <f t="shared" si="5"/>
        <v>0.76309471846355</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库存过高</v>
      </c>
      <c r="X6" s="83" t="str">
        <f>_xlfn.IFS(AND(D6&lt;&gt;0,D6-$AM$2&gt;=0,K6&gt;0,D6&lt;&gt;0),"本月刚到货",AND(T6="-",K6&gt;0),"有库存无销量",AND(T6="-",K6=0),"无库存无销量",AND(T6&lt;=0.5,K6=0),"无库存有销量",T6&lt;=0.5,"库存过低",T6&lt;=1.5,"正常",T6&gt;1.5,"库存过高")</f>
        <v>库存过高</v>
      </c>
      <c r="Y6" s="44">
        <f>IFERROR(SUMIF('7店辅助表'!K:K,B:B,'7店辅助表'!N:N),0)</f>
        <v>3.34</v>
      </c>
      <c r="Z6" s="44">
        <f>IFERROR(SUMIF('7店辅助表'!T:T,B:B,'7店辅助表'!W:W),0)</f>
        <v>7.16</v>
      </c>
      <c r="AA6" s="44">
        <f>IFERROR(SUMIF('7店辅助表'!AC:AC,B:B,'7店辅助表'!AF:AF),0)</f>
        <v>13.13</v>
      </c>
      <c r="AB6" s="91" t="str">
        <f>IFERROR(SUMIF('7店辅助表'!K:K,B:B,'7店辅助表'!N:N)/SUMIF('7店辅助表'!K:K,B:B,'7店辅助表'!O:O),"-")</f>
        <v>-</v>
      </c>
      <c r="AC6" s="91">
        <f>IFERROR(VLOOKUP(B:B,'[1]7店'!$B:$AB,27,FALSE),"-")</f>
        <v>0.347588717015469</v>
      </c>
      <c r="AD6" s="92" t="str">
        <f t="shared" si="6"/>
        <v>-</v>
      </c>
      <c r="AE6" s="91">
        <f>IFERROR(SUMIF('7店辅助表'!T:T,B:B,'7店辅助表'!W:W)/SUMIF('7店辅助表'!T:T,B:B,'7店辅助表'!X:X),"-")</f>
        <v>0.302748414376321</v>
      </c>
      <c r="AF6" s="91">
        <f>IFERROR(SUMIF('7店辅助表'!AC:AC,B:B,'7店辅助表'!AF:AF)/SUMIF('7店辅助表'!AC:AC,B:B,'7店辅助表'!AG:AG),"-")</f>
        <v>0.555179704016913</v>
      </c>
      <c r="AG6" s="99">
        <f>IFERROR(AK6/((SUMIF('7店辅助表'!AT:AT,B:B,'7店辅助表'!AU:AU)+M6)/2),"-")</f>
        <v>0.111111111111111</v>
      </c>
      <c r="AH6" s="99">
        <f>IFERROR(AL6/((SUMIF('7店辅助表'!AW:AW,B:B,'7店辅助表'!AX:AX)+M6)/2),"-")</f>
        <v>0.307692307692308</v>
      </c>
      <c r="AI6" s="100">
        <f>IFERROR((SUMIF('7店辅助表'!AP:AP,B:B,'7店辅助表'!AR:AR)-SUMIF('7店辅助表'!AP:AP,B:B,'7店辅助表'!AR:AR)*0.15-(L6+IFERROR(VLOOKUP(B:B,'7店辅助表'!AZ:BA,2,0),0))*O6-IF(AN:AN="US",6.85,4.9)*(Z6+4.27*O6))/SUMIF('7店辅助表'!AP:AP,B:B,'7店辅助表'!AR:AR),"-")</f>
        <v>0.015910891589825</v>
      </c>
      <c r="AJ6" s="100">
        <f t="shared" si="7"/>
        <v>0.00489565895071538</v>
      </c>
      <c r="AK6" s="101">
        <f t="shared" si="8"/>
        <v>13.9</v>
      </c>
      <c r="AL6" s="101">
        <f t="shared" si="9"/>
        <v>27.8</v>
      </c>
      <c r="AM6" s="1" t="str">
        <f>VLOOKUP(B:B,'7店辅助表'!AZ:AZ,1,FALSE)</f>
        <v>Y7002-DB+Y7005</v>
      </c>
      <c r="AN6" t="str">
        <f>VLOOKUP(B:B,'7店辅助表'!AZ:BB,3,FALSE)</f>
        <v>US</v>
      </c>
      <c r="AO6" s="2"/>
    </row>
    <row r="7" s="1" customFormat="1" customHeight="1" spans="1:41">
      <c r="A7" s="58" t="str">
        <f>INDEX('[1]7店'!$A:$A,MATCH(B:B,'[1]7店'!$B:$B,0))</f>
        <v>美珠</v>
      </c>
      <c r="B7" s="125" t="s">
        <v>2151</v>
      </c>
      <c r="C7" s="123" t="s">
        <v>2152</v>
      </c>
      <c r="D7" s="59"/>
      <c r="E7" s="125" t="s">
        <v>2153</v>
      </c>
      <c r="F7" s="125">
        <v>2</v>
      </c>
      <c r="G7" s="125">
        <v>1</v>
      </c>
      <c r="H7" s="125">
        <v>5</v>
      </c>
      <c r="I7" s="125">
        <v>0</v>
      </c>
      <c r="J7" s="125">
        <v>0</v>
      </c>
      <c r="K7" s="63">
        <f t="shared" si="1"/>
        <v>8</v>
      </c>
      <c r="L7" s="132">
        <f>VLOOKUP($B:$B,'[1]7店'!$B:$L,11,FALSE)</f>
        <v>13.9</v>
      </c>
      <c r="M7" s="44">
        <f t="shared" si="10"/>
        <v>111.2</v>
      </c>
      <c r="N7" s="65">
        <f>IFERROR(VLOOKUP(B:B,'7店辅助表'!B:C,2,FALSE),0)</f>
        <v>6</v>
      </c>
      <c r="O7" s="65">
        <f>IFERROR(VLOOKUP(B:B,'7店辅助表'!E:F,2,FALSE),0)</f>
        <v>8</v>
      </c>
      <c r="P7" s="65">
        <f>IFERROR(VLOOKUP(B:B,'7店辅助表'!H:I,2,FALSE),0)</f>
        <v>13</v>
      </c>
      <c r="Q7" s="65">
        <f>IFERROR(VLOOKUP(B:B,'[1]7店'!$B:$N,13,FALSE),0)</f>
        <v>1</v>
      </c>
      <c r="R7" s="79">
        <f t="shared" si="2"/>
        <v>5</v>
      </c>
      <c r="S7" s="80">
        <f t="shared" si="3"/>
        <v>13.1592689295039</v>
      </c>
      <c r="T7" s="44">
        <f t="shared" si="4"/>
        <v>0.438642297650131</v>
      </c>
      <c r="U7" s="44">
        <f>IFERROR(VLOOKUP($B:$B,'[1]7店'!$B:$T,19,FALSE),0)</f>
        <v>1.92253521126761</v>
      </c>
      <c r="V7" s="81">
        <f t="shared" si="5"/>
        <v>-1.48389291361748</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库存过低</v>
      </c>
      <c r="X7" s="83" t="str">
        <f>_xlfn.IFS(AND(D7&lt;&gt;0,D7-$AM$2&gt;=0,K7&gt;0,D7&lt;&gt;0),"本月刚到货",AND(T7="-",K7&gt;0),"有库存无销量",AND(T7="-",K7=0),"无库存无销量",AND(T7&lt;=0.5,K7=0),"无库存有销量",T7&lt;=0.5,"库存过低",T7&lt;=1.5,"正常",T7&gt;1.5,"库存过高")</f>
        <v>库存过低</v>
      </c>
      <c r="Y7" s="44">
        <f>IFERROR(SUMIF('7店辅助表'!K:K,B:B,'7店辅助表'!N:N),0)</f>
        <v>0</v>
      </c>
      <c r="Z7" s="44">
        <f>IFERROR(SUMIF('7店辅助表'!T:T,B:B,'7店辅助表'!W:W),0)</f>
        <v>0.25</v>
      </c>
      <c r="AA7" s="44">
        <f>IFERROR(SUMIF('7店辅助表'!AC:AC,B:B,'7店辅助表'!AF:AF),0)</f>
        <v>1.25</v>
      </c>
      <c r="AB7" s="91" t="str">
        <f>IFERROR(SUMIF('7店辅助表'!K:K,B:B,'7店辅助表'!N:N)/SUMIF('7店辅助表'!K:K,B:B,'7店辅助表'!O:O),"-")</f>
        <v>-</v>
      </c>
      <c r="AC7" s="91" t="str">
        <f>IFERROR(VLOOKUP(B:B,'[1]7店'!$B:$AB,27,FALSE),"-")</f>
        <v>-</v>
      </c>
      <c r="AD7" s="92" t="str">
        <f t="shared" si="6"/>
        <v>-</v>
      </c>
      <c r="AE7" s="91" t="str">
        <f>IFERROR(SUMIF('7店辅助表'!T:T,B:B,'7店辅助表'!W:W)/SUMIF('7店辅助表'!T:T,B:B,'7店辅助表'!X:X),"-")</f>
        <v>-</v>
      </c>
      <c r="AF7" s="91" t="str">
        <f>IFERROR(SUMIF('7店辅助表'!AC:AC,B:B,'7店辅助表'!AF:AF)/SUMIF('7店辅助表'!AC:AC,B:B,'7店辅助表'!AG:AG),"-")</f>
        <v>-</v>
      </c>
      <c r="AG7" s="99">
        <f>IFERROR(AK7/((SUMIF('7店辅助表'!AT:AT,B:B,'7店辅助表'!AU:AU)+M7)/2),"-")</f>
        <v>0.571428571428572</v>
      </c>
      <c r="AH7" s="99">
        <f>IFERROR(AL7/((SUMIF('7店辅助表'!AW:AW,B:B,'7店辅助表'!AX:AX)+M7)/2),"-")</f>
        <v>0.941176470588235</v>
      </c>
      <c r="AI7" s="100">
        <f>IFERROR((SUMIF('7店辅助表'!AP:AP,B:B,'7店辅助表'!AR:AR)-SUMIF('7店辅助表'!AP:AP,B:B,'7店辅助表'!AR:AR)*0.15-(L7+IFERROR(VLOOKUP(B:B,'7店辅助表'!AZ:BA,2,0),0))*O7-IF(AN:AN="US",6.85,4.9)*(Z7+4.27*O7))/SUMIF('7店辅助表'!AP:AP,B:B,'7店辅助表'!AR:AR),"-")</f>
        <v>0.207205813634972</v>
      </c>
      <c r="AJ7" s="100">
        <f t="shared" si="7"/>
        <v>0.195017236362327</v>
      </c>
      <c r="AK7" s="101">
        <f t="shared" si="8"/>
        <v>83.4</v>
      </c>
      <c r="AL7" s="101">
        <f t="shared" si="9"/>
        <v>111.2</v>
      </c>
      <c r="AM7" s="1" t="str">
        <f>VLOOKUP(B:B,'7店辅助表'!AZ:AZ,1,FALSE)</f>
        <v>Y7002-OR+Y7005</v>
      </c>
      <c r="AN7" t="str">
        <f>VLOOKUP(B:B,'7店辅助表'!AZ:BB,3,FALSE)</f>
        <v>US</v>
      </c>
      <c r="AO7" s="2"/>
    </row>
    <row r="8" customHeight="1" spans="1:42">
      <c r="A8" s="58" t="str">
        <f>INDEX('[1]7店'!$A:$A,MATCH(B:B,'[1]7店'!$B:$B,0))</f>
        <v>美珠</v>
      </c>
      <c r="B8" s="108" t="s">
        <v>2154</v>
      </c>
      <c r="C8" s="123" t="s">
        <v>2155</v>
      </c>
      <c r="D8" s="59"/>
      <c r="E8" s="43" t="s">
        <v>2156</v>
      </c>
      <c r="F8" s="43">
        <v>124</v>
      </c>
      <c r="G8" s="43">
        <v>1</v>
      </c>
      <c r="H8" s="43">
        <v>1</v>
      </c>
      <c r="I8" s="43">
        <v>79</v>
      </c>
      <c r="J8" s="43">
        <v>0</v>
      </c>
      <c r="K8" s="63">
        <f t="shared" si="1"/>
        <v>205</v>
      </c>
      <c r="L8" s="132">
        <f>VLOOKUP($B:$B,'[1]7店'!$B:$L,11,FALSE)</f>
        <v>13.9</v>
      </c>
      <c r="M8" s="44">
        <f t="shared" si="10"/>
        <v>2849.5</v>
      </c>
      <c r="N8" s="65">
        <f>IFERROR(VLOOKUP(B:B,'7店辅助表'!B:C,2,FALSE),0)</f>
        <v>15</v>
      </c>
      <c r="O8" s="65">
        <f>IFERROR(VLOOKUP(B:B,'7店辅助表'!E:F,2,FALSE),0)</f>
        <v>31</v>
      </c>
      <c r="P8" s="65">
        <f>IFERROR(VLOOKUP(B:B,'7店辅助表'!H:I,2,FALSE),0)</f>
        <v>66</v>
      </c>
      <c r="Q8" s="65">
        <f>IFERROR(VLOOKUP(B:B,'[1]7店'!$B:$N,13,FALSE),0)</f>
        <v>12</v>
      </c>
      <c r="R8" s="79">
        <f t="shared" si="2"/>
        <v>3</v>
      </c>
      <c r="S8" s="80">
        <f t="shared" si="3"/>
        <v>95.9509658246657</v>
      </c>
      <c r="T8" s="44">
        <f t="shared" si="4"/>
        <v>3.19836552748886</v>
      </c>
      <c r="U8" s="44">
        <f>IFERROR(VLOOKUP($B:$B,'[1]7店'!$B:$T,19,FALSE),0)</f>
        <v>3.87259010896899</v>
      </c>
      <c r="V8" s="81">
        <f t="shared" si="5"/>
        <v>-0.67422458148013</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库存过高</v>
      </c>
      <c r="X8" s="83" t="str">
        <f>_xlfn.IFS(AND(D8&lt;&gt;0,D8-$AM$2&gt;=0,K8&gt;0,D8&lt;&gt;0),"本月刚到货",AND(T8="-",K8&gt;0),"有库存无销量",AND(T8="-",K8=0),"无库存无销量",AND(T8&lt;=0.5,K8=0),"无库存有销量",T8&lt;=0.5,"库存过低",T8&lt;=1.5,"正常",T8&gt;1.5,"库存过高")</f>
        <v>库存过高</v>
      </c>
      <c r="Y8" s="44">
        <f>IFERROR(SUMIF('7店辅助表'!K:K,B:B,'7店辅助表'!N:N),0)</f>
        <v>7.79</v>
      </c>
      <c r="Z8" s="44">
        <f>IFERROR(SUMIF('7店辅助表'!T:T,B:B,'7店辅助表'!W:W),0)</f>
        <v>18.29</v>
      </c>
      <c r="AA8" s="44">
        <f>IFERROR(SUMIF('7店辅助表'!AC:AC,B:B,'7店辅助表'!AF:AF),0)</f>
        <v>36.28</v>
      </c>
      <c r="AB8" s="91">
        <f>IFERROR(SUMIF('7店辅助表'!K:K,B:B,'7店辅助表'!N:N)/SUMIF('7店辅助表'!K:K,B:B,'7店辅助表'!O:O),"-")</f>
        <v>0.149923017705928</v>
      </c>
      <c r="AC8" s="91" t="str">
        <f>IFERROR(VLOOKUP(B:B,'[1]7店'!$B:$AB,27,FALSE),"-")</f>
        <v>-</v>
      </c>
      <c r="AD8" s="92" t="str">
        <f t="shared" si="6"/>
        <v>-</v>
      </c>
      <c r="AE8" s="91">
        <f>IFERROR(SUMIF('7店辅助表'!T:T,B:B,'7店辅助表'!W:W)/SUMIF('7店辅助表'!T:T,B:B,'7店辅助表'!X:X),"-")</f>
        <v>0.352001539645881</v>
      </c>
      <c r="AF8" s="91">
        <f>IFERROR(SUMIF('7店辅助表'!AC:AC,B:B,'7店辅助表'!AF:AF)/SUMIF('7店辅助表'!AC:AC,B:B,'7店辅助表'!AG:AG),"-")</f>
        <v>0.349114703618168</v>
      </c>
      <c r="AG8" s="99">
        <f>IFERROR(AK8/((SUMIF('7店辅助表'!AT:AT,B:B,'7店辅助表'!AU:AU)+M8)/2),"-")</f>
        <v>0.0705882352941176</v>
      </c>
      <c r="AH8" s="99">
        <f>IFERROR(AL8/((SUMIF('7店辅助表'!AW:AW,B:B,'7店辅助表'!AX:AX)+M8)/2),"-")</f>
        <v>0.132762312633833</v>
      </c>
      <c r="AI8" s="100">
        <f>IFERROR((SUMIF('7店辅助表'!AP:AP,B:B,'7店辅助表'!AR:AR)-SUMIF('7店辅助表'!AP:AP,B:B,'7店辅助表'!AR:AR)*0.15-(L8+IFERROR(VLOOKUP(B:B,'7店辅助表'!AZ:BA,2,0),0))*O8-IF(AN:AN="US",6.85,4.9)*(Z8+4.27*O8))/SUMIF('7店辅助表'!AP:AP,B:B,'7店辅助表'!AR:AR),"-")</f>
        <v>0.271604118829934</v>
      </c>
      <c r="AJ8" s="100">
        <f t="shared" si="7"/>
        <v>0.0360587909367365</v>
      </c>
      <c r="AK8" s="101">
        <f t="shared" si="8"/>
        <v>208.5</v>
      </c>
      <c r="AL8" s="101">
        <f t="shared" si="9"/>
        <v>430.9</v>
      </c>
      <c r="AM8" s="1" t="str">
        <f>VLOOKUP(B:B,'7店辅助表'!AZ:AZ,1,FALSE)</f>
        <v>Y72611-BL+Y72614+Y72635</v>
      </c>
      <c r="AN8" t="str">
        <f>VLOOKUP(B:B,'7店辅助表'!AZ:BB,3,FALSE)</f>
        <v>US</v>
      </c>
      <c r="AO8" s="2"/>
      <c r="AP8" s="1"/>
    </row>
    <row r="9" customHeight="1" spans="1:42">
      <c r="A9" s="58" t="str">
        <f>INDEX('[1]7店'!$A:$A,MATCH(B:B,'[1]7店'!$B:$B,0))</f>
        <v>美珠</v>
      </c>
      <c r="B9" s="108" t="s">
        <v>2157</v>
      </c>
      <c r="C9" s="123" t="s">
        <v>65</v>
      </c>
      <c r="D9" s="59"/>
      <c r="E9" s="43" t="s">
        <v>2158</v>
      </c>
      <c r="F9" s="43">
        <v>0</v>
      </c>
      <c r="G9" s="43">
        <v>0</v>
      </c>
      <c r="H9" s="43">
        <v>0</v>
      </c>
      <c r="I9" s="43">
        <v>0</v>
      </c>
      <c r="J9" s="43">
        <v>0</v>
      </c>
      <c r="K9" s="63">
        <f t="shared" si="1"/>
        <v>0</v>
      </c>
      <c r="L9" s="132">
        <f>VLOOKUP($B:$B,'[1]7店'!$B:$L,11,FALSE)</f>
        <v>13.9</v>
      </c>
      <c r="M9" s="44">
        <f t="shared" si="10"/>
        <v>0</v>
      </c>
      <c r="N9" s="65">
        <f>IFERROR(VLOOKUP(B:B,'7店辅助表'!B:C,2,FALSE),0)</f>
        <v>5</v>
      </c>
      <c r="O9" s="65">
        <f>IFERROR(VLOOKUP(B:B,'7店辅助表'!E:F,2,FALSE),0)</f>
        <v>9</v>
      </c>
      <c r="P9" s="65">
        <f>IFERROR(VLOOKUP(B:B,'7店辅助表'!H:I,2,FALSE),0)</f>
        <v>18</v>
      </c>
      <c r="Q9" s="65">
        <f>IFERROR(VLOOKUP(B:B,'[1]7店'!$B:$N,13,FALSE),0)</f>
        <v>4</v>
      </c>
      <c r="R9" s="79">
        <f t="shared" si="2"/>
        <v>1</v>
      </c>
      <c r="S9" s="80">
        <f t="shared" si="3"/>
        <v>0</v>
      </c>
      <c r="T9" s="44">
        <f t="shared" si="4"/>
        <v>0</v>
      </c>
      <c r="U9" s="44">
        <f>IFERROR(VLOOKUP($B:$B,'[1]7店'!$B:$T,19,FALSE),0)</f>
        <v>0.387862796833773</v>
      </c>
      <c r="V9" s="81">
        <f t="shared" si="5"/>
        <v>-0.387862796833773</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无库存有销量</v>
      </c>
      <c r="X9" s="83" t="str">
        <f>_xlfn.IFS(AND(D9&lt;&gt;0,D9-$AM$2&gt;=0,K9&gt;0,D9&lt;&gt;0),"本月刚到货",AND(T9="-",K9&gt;0),"有库存无销量",AND(T9="-",K9=0),"无库存无销量",AND(T9&lt;=0.5,K9=0),"无库存有销量",T9&lt;=0.5,"库存过低",T9&lt;=1.5,"正常",T9&gt;1.5,"库存过高")</f>
        <v>无库存有销量</v>
      </c>
      <c r="Y9" s="44">
        <f>IFERROR(SUMIF('7店辅助表'!K:K,B:B,'7店辅助表'!N:N),0)</f>
        <v>0</v>
      </c>
      <c r="Z9" s="44">
        <f>IFERROR(SUMIF('7店辅助表'!T:T,B:B,'7店辅助表'!W:W),0)</f>
        <v>0</v>
      </c>
      <c r="AA9" s="44">
        <f>IFERROR(SUMIF('7店辅助表'!AC:AC,B:B,'7店辅助表'!AF:AF),0)</f>
        <v>0</v>
      </c>
      <c r="AB9" s="91" t="str">
        <f>IFERROR(SUMIF('7店辅助表'!K:K,B:B,'7店辅助表'!N:N)/SUMIF('7店辅助表'!K:K,B:B,'7店辅助表'!O:O),"-")</f>
        <v>-</v>
      </c>
      <c r="AC9" s="91" t="str">
        <f>IFERROR(VLOOKUP(B:B,'[1]7店'!$B:$AB,27,FALSE),"-")</f>
        <v>-</v>
      </c>
      <c r="AD9" s="92" t="str">
        <f t="shared" si="6"/>
        <v>-</v>
      </c>
      <c r="AE9" s="91" t="str">
        <f>IFERROR(SUMIF('7店辅助表'!T:T,B:B,'7店辅助表'!W:W)/SUMIF('7店辅助表'!T:T,B:B,'7店辅助表'!X:X),"-")</f>
        <v>-</v>
      </c>
      <c r="AF9" s="91" t="str">
        <f>IFERROR(SUMIF('7店辅助表'!AC:AC,B:B,'7店辅助表'!AF:AF)/SUMIF('7店辅助表'!AC:AC,B:B,'7店辅助表'!AG:AG),"-")</f>
        <v>-</v>
      </c>
      <c r="AG9" s="99">
        <f>IFERROR(AK9/((SUMIF('7店辅助表'!AT:AT,B:B,'7店辅助表'!AU:AU)+M9)/2),"-")</f>
        <v>1.42857142857143</v>
      </c>
      <c r="AH9" s="99">
        <f>IFERROR(AL9/((SUMIF('7店辅助表'!AW:AW,B:B,'7店辅助表'!AX:AX)+M9)/2),"-")</f>
        <v>1.05882352941176</v>
      </c>
      <c r="AI9" s="100">
        <f>IFERROR((SUMIF('7店辅助表'!AP:AP,B:B,'7店辅助表'!AR:AR)-SUMIF('7店辅助表'!AP:AP,B:B,'7店辅助表'!AR:AR)*0.15-(L9+IFERROR(VLOOKUP(B:B,'7店辅助表'!AZ:BA,2,0),0))*O9-IF(AN:AN="US",6.85,4.9)*(Z9+4.27*O9))/SUMIF('7店辅助表'!AP:AP,B:B,'7店辅助表'!AR:AR),"-")</f>
        <v>0.276504670407992</v>
      </c>
      <c r="AJ9" s="100">
        <f t="shared" si="7"/>
        <v>0.292769651020227</v>
      </c>
      <c r="AK9" s="101">
        <f t="shared" si="8"/>
        <v>69.5</v>
      </c>
      <c r="AL9" s="101">
        <f t="shared" si="9"/>
        <v>125.1</v>
      </c>
      <c r="AM9" s="1" t="str">
        <f>VLOOKUP(B:B,'7店辅助表'!AZ:AZ,1,FALSE)</f>
        <v>Y72611-DB+Y72614+Y72635</v>
      </c>
      <c r="AN9" t="str">
        <f>VLOOKUP(B:B,'7店辅助表'!AZ:BB,3,FALSE)</f>
        <v>US</v>
      </c>
      <c r="AO9" s="2"/>
      <c r="AP9" s="1"/>
    </row>
    <row r="10" customHeight="1" spans="1:42">
      <c r="A10" s="58" t="str">
        <f>INDEX('[1]7店'!$A:$A,MATCH(B:B,'[1]7店'!$B:$B,0))</f>
        <v>美珠</v>
      </c>
      <c r="B10" s="108" t="s">
        <v>2159</v>
      </c>
      <c r="C10" s="123" t="s">
        <v>2160</v>
      </c>
      <c r="D10" s="59"/>
      <c r="E10" s="43" t="s">
        <v>2161</v>
      </c>
      <c r="F10" s="43">
        <v>122</v>
      </c>
      <c r="G10" s="43">
        <v>0</v>
      </c>
      <c r="H10" s="43">
        <v>2</v>
      </c>
      <c r="I10" s="43">
        <v>0</v>
      </c>
      <c r="J10" s="43">
        <v>0</v>
      </c>
      <c r="K10" s="63">
        <f t="shared" si="1"/>
        <v>124</v>
      </c>
      <c r="L10" s="132">
        <f>VLOOKUP($B:$B,'[1]7店'!$B:$L,11,FALSE)</f>
        <v>13.9</v>
      </c>
      <c r="M10" s="44">
        <f t="shared" si="10"/>
        <v>1723.6</v>
      </c>
      <c r="N10" s="65">
        <f>IFERROR(VLOOKUP(B:B,'7店辅助表'!B:C,2,FALSE),0)</f>
        <v>14</v>
      </c>
      <c r="O10" s="65">
        <f>IFERROR(VLOOKUP(B:B,'7店辅助表'!E:F,2,FALSE),0)</f>
        <v>23</v>
      </c>
      <c r="P10" s="65">
        <f>IFERROR(VLOOKUP(B:B,'7店辅助表'!H:I,2,FALSE),0)</f>
        <v>35</v>
      </c>
      <c r="Q10" s="65">
        <f>IFERROR(VLOOKUP(B:B,'[1]7店'!$B:$N,13,FALSE),0)</f>
        <v>9</v>
      </c>
      <c r="R10" s="79">
        <f t="shared" si="2"/>
        <v>5</v>
      </c>
      <c r="S10" s="80">
        <f t="shared" si="3"/>
        <v>79.1489361702128</v>
      </c>
      <c r="T10" s="44">
        <f t="shared" si="4"/>
        <v>2.63829787234043</v>
      </c>
      <c r="U10" s="44">
        <f>IFERROR(VLOOKUP($B:$B,'[1]7店'!$B:$T,19,FALSE),0)</f>
        <v>4.30044843049327</v>
      </c>
      <c r="V10" s="81">
        <f t="shared" si="5"/>
        <v>-1.66215055815284</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库存过高</v>
      </c>
      <c r="X10" s="83" t="str">
        <f>_xlfn.IFS(AND(D10&lt;&gt;0,D10-$AM$2&gt;=0,K10&gt;0,D10&lt;&gt;0),"本月刚到货",AND(T10="-",K10&gt;0),"有库存无销量",AND(T10="-",K10=0),"无库存无销量",AND(T10&lt;=0.5,K10=0),"无库存有销量",T10&lt;=0.5,"库存过低",T10&lt;=1.5,"正常",T10&gt;1.5,"库存过高")</f>
        <v>库存过高</v>
      </c>
      <c r="Y10" s="44">
        <f>IFERROR(SUMIF('7店辅助表'!K:K,B:B,'7店辅助表'!N:N),0)</f>
        <v>31.37</v>
      </c>
      <c r="Z10" s="44">
        <f>IFERROR(SUMIF('7店辅助表'!T:T,B:B,'7店辅助表'!W:W),0)</f>
        <v>58.06</v>
      </c>
      <c r="AA10" s="44">
        <f>IFERROR(SUMIF('7店辅助表'!AC:AC,B:B,'7店辅助表'!AF:AF),0)</f>
        <v>88.9</v>
      </c>
      <c r="AB10" s="91">
        <f>IFERROR(SUMIF('7店辅助表'!K:K,B:B,'7店辅助表'!N:N)/SUMIF('7店辅助表'!K:K,B:B,'7店辅助表'!O:O),"-")</f>
        <v>0.402489094175006</v>
      </c>
      <c r="AC10" s="91">
        <f>IFERROR(VLOOKUP(B:B,'[1]7店'!$B:$AB,27,FALSE),"-")</f>
        <v>0.288194863137586</v>
      </c>
      <c r="AD10" s="92">
        <f t="shared" si="6"/>
        <v>0.11429423103742</v>
      </c>
      <c r="AE10" s="91">
        <f>IFERROR(SUMIF('7店辅助表'!T:T,B:B,'7店辅助表'!W:W)/SUMIF('7店辅助表'!T:T,B:B,'7店辅助表'!X:X),"-")</f>
        <v>0.360912538074221</v>
      </c>
      <c r="AF10" s="91">
        <f>IFERROR(SUMIF('7店辅助表'!AC:AC,B:B,'7店辅助表'!AF:AF)/SUMIF('7店辅助表'!AC:AC,B:B,'7店辅助表'!AG:AG),"-")</f>
        <v>0.353057982525814</v>
      </c>
      <c r="AG10" s="99">
        <f>IFERROR(AK10/((SUMIF('7店辅助表'!AT:AT,B:B,'7店辅助表'!AU:AU)+M10)/2),"-")</f>
        <v>0.10727969348659</v>
      </c>
      <c r="AH10" s="99">
        <f>IFERROR(AL10/((SUMIF('7店辅助表'!AW:AW,B:B,'7店辅助表'!AX:AX)+M10)/2),"-")</f>
        <v>0.141538461538462</v>
      </c>
      <c r="AI10" s="100">
        <f>IFERROR((SUMIF('7店辅助表'!AP:AP,B:B,'7店辅助表'!AR:AR)-SUMIF('7店辅助表'!AP:AP,B:B,'7店辅助表'!AR:AR)*0.15-(L10+IFERROR(VLOOKUP(B:B,'7店辅助表'!AZ:BA,2,0),0))*O10-IF(AN:AN="US",6.85,4.9)*(Z10+4.27*O10))/SUMIF('7店辅助表'!AP:AP,B:B,'7店辅助表'!AR:AR),"-")</f>
        <v>0.142647543492797</v>
      </c>
      <c r="AJ10" s="100">
        <f t="shared" si="7"/>
        <v>0.0201901138482113</v>
      </c>
      <c r="AK10" s="101">
        <f t="shared" si="8"/>
        <v>194.6</v>
      </c>
      <c r="AL10" s="101">
        <f t="shared" si="9"/>
        <v>319.7</v>
      </c>
      <c r="AM10" s="1" t="str">
        <f>VLOOKUP(B:B,'7店辅助表'!AZ:AZ,1,FALSE)</f>
        <v>Y72611-OR+Y72614+Y72635</v>
      </c>
      <c r="AN10" t="str">
        <f>VLOOKUP(B:B,'7店辅助表'!AZ:BB,3,FALSE)</f>
        <v>US</v>
      </c>
      <c r="AO10" s="2"/>
      <c r="AP10" s="1"/>
    </row>
    <row r="11" customHeight="1" spans="1:42">
      <c r="A11" s="58" t="str">
        <f>INDEX('[1]7店'!$A:$A,MATCH(B:B,'[1]7店'!$B:$B,0))</f>
        <v>美珠</v>
      </c>
      <c r="B11" s="108" t="s">
        <v>2162</v>
      </c>
      <c r="C11" s="123" t="s">
        <v>104</v>
      </c>
      <c r="D11" s="59"/>
      <c r="E11" s="43" t="s">
        <v>2163</v>
      </c>
      <c r="F11" s="43">
        <v>79</v>
      </c>
      <c r="G11" s="43">
        <v>1</v>
      </c>
      <c r="H11" s="43">
        <v>0</v>
      </c>
      <c r="I11" s="43">
        <v>3</v>
      </c>
      <c r="J11" s="43">
        <v>0</v>
      </c>
      <c r="K11" s="63">
        <f t="shared" si="1"/>
        <v>83</v>
      </c>
      <c r="L11" s="132">
        <f>VLOOKUP($B:$B,'[1]7店'!$B:$L,11,FALSE)</f>
        <v>13.9</v>
      </c>
      <c r="M11" s="44">
        <f t="shared" si="10"/>
        <v>1153.7</v>
      </c>
      <c r="N11" s="65">
        <f>IFERROR(VLOOKUP(B:B,'7店辅助表'!B:C,2,FALSE),0)</f>
        <v>24</v>
      </c>
      <c r="O11" s="65">
        <f>IFERROR(VLOOKUP(B:B,'7店辅助表'!E:F,2,FALSE),0)</f>
        <v>43</v>
      </c>
      <c r="P11" s="65">
        <f>IFERROR(VLOOKUP(B:B,'7店辅助表'!H:I,2,FALSE),0)</f>
        <v>75</v>
      </c>
      <c r="Q11" s="65">
        <f>IFERROR(VLOOKUP(B:B,'[1]7店'!$B:$N,13,FALSE),0)</f>
        <v>18</v>
      </c>
      <c r="R11" s="79">
        <f t="shared" si="2"/>
        <v>6</v>
      </c>
      <c r="S11" s="80">
        <f t="shared" si="3"/>
        <v>28.3107742284786</v>
      </c>
      <c r="T11" s="44">
        <f t="shared" si="4"/>
        <v>0.943692474282621</v>
      </c>
      <c r="U11" s="44">
        <f>IFERROR(VLOOKUP($B:$B,'[1]7店'!$B:$T,19,FALSE),0)</f>
        <v>1.48455730954015</v>
      </c>
      <c r="V11" s="81">
        <f t="shared" si="5"/>
        <v>-0.540864835257529</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正常</v>
      </c>
      <c r="X11" s="83" t="str">
        <f>_xlfn.IFS(AND(D11&lt;&gt;0,D11-$AM$2&gt;=0,K11&gt;0,D11&lt;&gt;0),"本月刚到货",AND(T11="-",K11&gt;0),"有库存无销量",AND(T11="-",K11=0),"无库存无销量",AND(T11&lt;=0.5,K11=0),"无库存有销量",T11&lt;=0.5,"库存过低",T11&lt;=1.5,"正常",T11&gt;1.5,"库存过高")</f>
        <v>正常</v>
      </c>
      <c r="Y11" s="44">
        <f>IFERROR(SUMIF('7店辅助表'!K:K,B:B,'7店辅助表'!N:N),0)</f>
        <v>1.28</v>
      </c>
      <c r="Z11" s="44">
        <f>IFERROR(SUMIF('7店辅助表'!T:T,B:B,'7店辅助表'!W:W),0)</f>
        <v>3.85</v>
      </c>
      <c r="AA11" s="44">
        <f>IFERROR(SUMIF('7店辅助表'!AC:AC,B:B,'7店辅助表'!AF:AF),0)</f>
        <v>8.63</v>
      </c>
      <c r="AB11" s="91">
        <f>IFERROR(SUMIF('7店辅助表'!K:K,B:B,'7店辅助表'!N:N)/SUMIF('7店辅助表'!K:K,B:B,'7店辅助表'!O:O),"-")</f>
        <v>0.0985373364126251</v>
      </c>
      <c r="AC11" s="91" t="str">
        <f>IFERROR(VLOOKUP(B:B,'[1]7店'!$B:$AB,27,FALSE),"-")</f>
        <v>-</v>
      </c>
      <c r="AD11" s="92" t="str">
        <f t="shared" si="6"/>
        <v>-</v>
      </c>
      <c r="AE11" s="91">
        <f>IFERROR(SUMIF('7店辅助表'!T:T,B:B,'7店辅助表'!W:W)/SUMIF('7店辅助表'!T:T,B:B,'7店辅助表'!X:X),"-")</f>
        <v>0.296381832178599</v>
      </c>
      <c r="AF11" s="91">
        <f>IFERROR(SUMIF('7店辅助表'!AC:AC,B:B,'7店辅助表'!AF:AF)/SUMIF('7店辅助表'!AC:AC,B:B,'7店辅助表'!AG:AG),"-")</f>
        <v>0.166089299461124</v>
      </c>
      <c r="AG11" s="99">
        <f>IFERROR(AK11/((SUMIF('7店辅助表'!AT:AT,B:B,'7店辅助表'!AU:AU)+M11)/2),"-")</f>
        <v>0.258064516129032</v>
      </c>
      <c r="AH11" s="99">
        <f>IFERROR(AL11/((SUMIF('7店辅助表'!AW:AW,B:B,'7店辅助表'!AX:AX)+M11)/2),"-")</f>
        <v>0.389140271493213</v>
      </c>
      <c r="AI11" s="100">
        <f>IFERROR((SUMIF('7店辅助表'!AP:AP,B:B,'7店辅助表'!AR:AR)-SUMIF('7店辅助表'!AP:AP,B:B,'7店辅助表'!AR:AR)*0.15-(L11+IFERROR(VLOOKUP(B:B,'7店辅助表'!AZ:BA,2,0),0))*O11-IF(AN:AN="US",6.85,4.9)*(Z11+4.27*O11))/SUMIF('7店辅助表'!AP:AP,B:B,'7店辅助表'!AR:AR),"-")</f>
        <v>0.30045864783059</v>
      </c>
      <c r="AJ11" s="100">
        <f t="shared" si="7"/>
        <v>0.116920559789279</v>
      </c>
      <c r="AK11" s="101">
        <f t="shared" si="8"/>
        <v>333.6</v>
      </c>
      <c r="AL11" s="101">
        <f t="shared" si="9"/>
        <v>597.7</v>
      </c>
      <c r="AM11" s="1" t="str">
        <f>VLOOKUP(B:B,'7店辅助表'!AZ:AZ,1,FALSE)</f>
        <v>Y73475-BB+Y72615+Y73478</v>
      </c>
      <c r="AN11" t="str">
        <f>VLOOKUP(B:B,'7店辅助表'!AZ:BB,3,FALSE)</f>
        <v>US</v>
      </c>
      <c r="AO11" s="2"/>
      <c r="AP11" s="1"/>
    </row>
    <row r="12" customHeight="1" spans="1:42">
      <c r="A12" s="58" t="str">
        <f>INDEX('[1]7店'!$A:$A,MATCH(B:B,'[1]7店'!$B:$B,0))</f>
        <v>美珠</v>
      </c>
      <c r="B12" s="108" t="s">
        <v>2164</v>
      </c>
      <c r="C12" s="123" t="s">
        <v>101</v>
      </c>
      <c r="D12" s="59"/>
      <c r="E12" s="43" t="s">
        <v>2165</v>
      </c>
      <c r="F12" s="43">
        <v>318</v>
      </c>
      <c r="G12" s="43">
        <v>4</v>
      </c>
      <c r="H12" s="43">
        <v>101</v>
      </c>
      <c r="I12" s="43">
        <v>5</v>
      </c>
      <c r="J12" s="43">
        <v>0</v>
      </c>
      <c r="K12" s="63">
        <f t="shared" si="1"/>
        <v>428</v>
      </c>
      <c r="L12" s="132">
        <f>VLOOKUP($B:$B,'[1]7店'!$B:$L,11,FALSE)</f>
        <v>13.9</v>
      </c>
      <c r="M12" s="44">
        <f t="shared" si="10"/>
        <v>5949.2</v>
      </c>
      <c r="N12" s="65">
        <f>IFERROR(VLOOKUP(B:B,'7店辅助表'!B:C,2,FALSE),0)</f>
        <v>41</v>
      </c>
      <c r="O12" s="65">
        <f>IFERROR(VLOOKUP(B:B,'7店辅助表'!E:F,2,FALSE),0)</f>
        <v>93</v>
      </c>
      <c r="P12" s="65">
        <f>IFERROR(VLOOKUP(B:B,'7店辅助表'!H:I,2,FALSE),0)</f>
        <v>206</v>
      </c>
      <c r="Q12" s="65">
        <f>IFERROR(VLOOKUP(B:B,'[1]7店'!$B:$N,13,FALSE),0)</f>
        <v>45</v>
      </c>
      <c r="R12" s="79">
        <f t="shared" si="2"/>
        <v>-4</v>
      </c>
      <c r="S12" s="80">
        <f t="shared" si="3"/>
        <v>67.8510317060896</v>
      </c>
      <c r="T12" s="44">
        <f t="shared" si="4"/>
        <v>2.26170105686965</v>
      </c>
      <c r="U12" s="44">
        <f>IFERROR(VLOOKUP($B:$B,'[1]7店'!$B:$T,19,FALSE),0)</f>
        <v>2.20706618962433</v>
      </c>
      <c r="V12" s="81">
        <f t="shared" si="5"/>
        <v>0.0546348672453196</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库存过高</v>
      </c>
      <c r="X12" s="83" t="str">
        <f>_xlfn.IFS(AND(D12&lt;&gt;0,D12-$AM$2&gt;=0,K12&gt;0,D12&lt;&gt;0),"本月刚到货",AND(T12="-",K12&gt;0),"有库存无销量",AND(T12="-",K12=0),"无库存无销量",AND(T12&lt;=0.5,K12=0),"无库存有销量",T12&lt;=0.5,"库存过低",T12&lt;=1.5,"正常",T12&gt;1.5,"库存过高")</f>
        <v>库存过高</v>
      </c>
      <c r="Y12" s="44">
        <f>IFERROR(SUMIF('7店辅助表'!K:K,B:B,'7店辅助表'!N:N),0)</f>
        <v>26.68</v>
      </c>
      <c r="Z12" s="44">
        <f>IFERROR(SUMIF('7店辅助表'!T:T,B:B,'7店辅助表'!W:W),0)</f>
        <v>54.56</v>
      </c>
      <c r="AA12" s="44">
        <f>IFERROR(SUMIF('7店辅助表'!AC:AC,B:B,'7店辅助表'!AF:AF),0)</f>
        <v>89.35</v>
      </c>
      <c r="AB12" s="91">
        <f>IFERROR(SUMIF('7店辅助表'!K:K,B:B,'7店辅助表'!N:N)/SUMIF('7店辅助表'!K:K,B:B,'7店辅助表'!O:O),"-")</f>
        <v>0.171157300487555</v>
      </c>
      <c r="AC12" s="91">
        <f>IFERROR(VLOOKUP(B:B,'[1]7店'!$B:$AB,27,FALSE),"-")</f>
        <v>0.287884139879901</v>
      </c>
      <c r="AD12" s="92">
        <f t="shared" si="6"/>
        <v>-0.116726839392346</v>
      </c>
      <c r="AE12" s="91">
        <f>IFERROR(SUMIF('7店辅助表'!T:T,B:B,'7店辅助表'!W:W)/SUMIF('7店辅助表'!T:T,B:B,'7店辅助表'!X:X),"-")</f>
        <v>0.214972419227738</v>
      </c>
      <c r="AF12" s="91">
        <f>IFERROR(SUMIF('7店辅助表'!AC:AC,B:B,'7店辅助表'!AF:AF)/SUMIF('7店辅助表'!AC:AC,B:B,'7店辅助表'!AG:AG),"-")</f>
        <v>0.205091126107515</v>
      </c>
      <c r="AG12" s="99">
        <f>IFERROR(AK12/((SUMIF('7店辅助表'!AT:AT,B:B,'7店辅助表'!AU:AU)+M12)/2),"-")</f>
        <v>0.0913140311804009</v>
      </c>
      <c r="AH12" s="99">
        <f>IFERROR(AL12/((SUMIF('7店辅助表'!AW:AW,B:B,'7店辅助表'!AX:AX)+M12)/2),"-")</f>
        <v>0.236641221374046</v>
      </c>
      <c r="AI12" s="100">
        <f>IFERROR((SUMIF('7店辅助表'!AP:AP,B:B,'7店辅助表'!AR:AR)-SUMIF('7店辅助表'!AP:AP,B:B,'7店辅助表'!AR:AR)*0.15-(L12+IFERROR(VLOOKUP(B:B,'7店辅助表'!AZ:BA,2,0),0))*O12-IF(AN:AN="US",6.85,4.9)*(Z12+4.27*O12))/SUMIF('7店辅助表'!AP:AP,B:B,'7店辅助表'!AR:AR),"-")</f>
        <v>0.269993577940622</v>
      </c>
      <c r="AJ12" s="100">
        <f t="shared" si="7"/>
        <v>0.0638916100470175</v>
      </c>
      <c r="AK12" s="101">
        <f t="shared" si="8"/>
        <v>569.9</v>
      </c>
      <c r="AL12" s="101">
        <f t="shared" si="9"/>
        <v>1292.7</v>
      </c>
      <c r="AM12" s="1" t="str">
        <f>VLOOKUP(B:B,'7店辅助表'!AZ:AZ,1,FALSE)</f>
        <v>Y73475-BL+Y72615+Y73478</v>
      </c>
      <c r="AN12" t="str">
        <f>VLOOKUP(B:B,'7店辅助表'!AZ:BB,3,FALSE)</f>
        <v>US</v>
      </c>
      <c r="AO12" s="2"/>
      <c r="AP12" s="1"/>
    </row>
    <row r="13" customHeight="1" spans="1:42">
      <c r="A13" s="58" t="str">
        <f>INDEX('[1]7店'!$A:$A,MATCH(B:B,'[1]7店'!$B:$B,0))</f>
        <v>美珠</v>
      </c>
      <c r="B13" s="108" t="s">
        <v>2166</v>
      </c>
      <c r="C13" s="123" t="s">
        <v>2167</v>
      </c>
      <c r="D13" s="59"/>
      <c r="E13" s="43" t="s">
        <v>2168</v>
      </c>
      <c r="F13" s="43">
        <v>73</v>
      </c>
      <c r="G13" s="43">
        <v>0</v>
      </c>
      <c r="H13" s="43">
        <v>4</v>
      </c>
      <c r="I13" s="43">
        <v>2</v>
      </c>
      <c r="J13" s="43">
        <v>0</v>
      </c>
      <c r="K13" s="63">
        <f t="shared" si="1"/>
        <v>79</v>
      </c>
      <c r="L13" s="132">
        <f>VLOOKUP($B:$B,'[1]7店'!$B:$L,11,FALSE)</f>
        <v>13.9</v>
      </c>
      <c r="M13" s="44">
        <f t="shared" si="10"/>
        <v>1098.1</v>
      </c>
      <c r="N13" s="65">
        <f>IFERROR(VLOOKUP(B:B,'7店辅助表'!B:C,2,FALSE),0)</f>
        <v>9</v>
      </c>
      <c r="O13" s="65">
        <f>IFERROR(VLOOKUP(B:B,'7店辅助表'!E:F,2,FALSE),0)</f>
        <v>14</v>
      </c>
      <c r="P13" s="65">
        <f>IFERROR(VLOOKUP(B:B,'7店辅助表'!H:I,2,FALSE),0)</f>
        <v>28</v>
      </c>
      <c r="Q13" s="65">
        <f>IFERROR(VLOOKUP(B:B,'[1]7店'!$B:$N,13,FALSE),0)</f>
        <v>5</v>
      </c>
      <c r="R13" s="79">
        <f t="shared" si="2"/>
        <v>4</v>
      </c>
      <c r="S13" s="80">
        <f t="shared" si="3"/>
        <v>75.1812688821752</v>
      </c>
      <c r="T13" s="44">
        <f t="shared" si="4"/>
        <v>2.50604229607251</v>
      </c>
      <c r="U13" s="44">
        <f>IFERROR(VLOOKUP($B:$B,'[1]7店'!$B:$T,19,FALSE),0)</f>
        <v>3.91525423728814</v>
      </c>
      <c r="V13" s="81">
        <f t="shared" si="5"/>
        <v>-1.40921194121563</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库存过高</v>
      </c>
      <c r="X13" s="83" t="str">
        <f>_xlfn.IFS(AND(D13&lt;&gt;0,D13-$AM$2&gt;=0,K13&gt;0,D13&lt;&gt;0),"本月刚到货",AND(T13="-",K13&gt;0),"有库存无销量",AND(T13="-",K13=0),"无库存无销量",AND(T13&lt;=0.5,K13=0),"无库存有销量",T13&lt;=0.5,"库存过低",T13&lt;=1.5,"正常",T13&gt;1.5,"库存过高")</f>
        <v>库存过高</v>
      </c>
      <c r="Y13" s="44">
        <f>IFERROR(SUMIF('7店辅助表'!K:K,B:B,'7店辅助表'!N:N),0)</f>
        <v>0</v>
      </c>
      <c r="Z13" s="44">
        <f>IFERROR(SUMIF('7店辅助表'!T:T,B:B,'7店辅助表'!W:W),0)</f>
        <v>0</v>
      </c>
      <c r="AA13" s="44">
        <f>IFERROR(SUMIF('7店辅助表'!AC:AC,B:B,'7店辅助表'!AF:AF),0)</f>
        <v>0</v>
      </c>
      <c r="AB13" s="91" t="str">
        <f>IFERROR(SUMIF('7店辅助表'!K:K,B:B,'7店辅助表'!N:N)/SUMIF('7店辅助表'!K:K,B:B,'7店辅助表'!O:O),"-")</f>
        <v>-</v>
      </c>
      <c r="AC13" s="91" t="str">
        <f>IFERROR(VLOOKUP(B:B,'[1]7店'!$B:$AB,27,FALSE),"-")</f>
        <v>-</v>
      </c>
      <c r="AD13" s="92" t="str">
        <f t="shared" si="6"/>
        <v>-</v>
      </c>
      <c r="AE13" s="91" t="str">
        <f>IFERROR(SUMIF('7店辅助表'!T:T,B:B,'7店辅助表'!W:W)/SUMIF('7店辅助表'!T:T,B:B,'7店辅助表'!X:X),"-")</f>
        <v>-</v>
      </c>
      <c r="AF13" s="91" t="str">
        <f>IFERROR(SUMIF('7店辅助表'!AC:AC,B:B,'7店辅助表'!AF:AF)/SUMIF('7店辅助表'!AC:AC,B:B,'7店辅助表'!AG:AG),"-")</f>
        <v>-</v>
      </c>
      <c r="AG13" s="99">
        <f>IFERROR(AK13/((SUMIF('7店辅助表'!AT:AT,B:B,'7店辅助表'!AU:AU)+M13)/2),"-")</f>
        <v>0.107784431137725</v>
      </c>
      <c r="AH13" s="99">
        <f>IFERROR(AL13/((SUMIF('7店辅助表'!AW:AW,B:B,'7店辅助表'!AX:AX)+M13)/2),"-")</f>
        <v>0.195804195804196</v>
      </c>
      <c r="AI13" s="100">
        <f>IFERROR((SUMIF('7店辅助表'!AP:AP,B:B,'7店辅助表'!AR:AR)-SUMIF('7店辅助表'!AP:AP,B:B,'7店辅助表'!AR:AR)*0.15-(L13+IFERROR(VLOOKUP(B:B,'7店辅助表'!AZ:BA,2,0),0))*O13-IF(AN:AN="US",6.85,4.9)*(Z13+4.27*O13))/SUMIF('7店辅助表'!AP:AP,B:B,'7店辅助表'!AR:AR),"-")</f>
        <v>0.300355031965599</v>
      </c>
      <c r="AJ13" s="100">
        <f t="shared" si="7"/>
        <v>0.0588107754897676</v>
      </c>
      <c r="AK13" s="101">
        <f t="shared" si="8"/>
        <v>125.1</v>
      </c>
      <c r="AL13" s="101">
        <f t="shared" si="9"/>
        <v>194.6</v>
      </c>
      <c r="AM13" s="1" t="str">
        <f>VLOOKUP(B:B,'7店辅助表'!AZ:AZ,1,FALSE)</f>
        <v>Y73475-DB+Y72615+Y73478</v>
      </c>
      <c r="AN13" t="str">
        <f>VLOOKUP(B:B,'7店辅助表'!AZ:BB,3,FALSE)</f>
        <v>US</v>
      </c>
      <c r="AO13" s="2"/>
      <c r="AP13" s="1"/>
    </row>
    <row r="14" customHeight="1" spans="1:42">
      <c r="A14" s="58" t="str">
        <f>INDEX('[1]7店'!$A:$A,MATCH(B:B,'[1]7店'!$B:$B,0))</f>
        <v>美珠</v>
      </c>
      <c r="B14" s="108" t="s">
        <v>2169</v>
      </c>
      <c r="C14" s="123" t="s">
        <v>2170</v>
      </c>
      <c r="D14" s="59"/>
      <c r="E14" s="43" t="s">
        <v>2171</v>
      </c>
      <c r="F14" s="43">
        <v>39</v>
      </c>
      <c r="G14" s="43">
        <v>0</v>
      </c>
      <c r="H14" s="43">
        <v>0</v>
      </c>
      <c r="I14" s="43">
        <v>40</v>
      </c>
      <c r="J14" s="43">
        <v>0</v>
      </c>
      <c r="K14" s="63">
        <f t="shared" si="1"/>
        <v>79</v>
      </c>
      <c r="L14" s="132">
        <f>VLOOKUP($B:$B,'[1]7店'!$B:$L,11,FALSE)</f>
        <v>13.9</v>
      </c>
      <c r="M14" s="44">
        <f t="shared" si="10"/>
        <v>1098.1</v>
      </c>
      <c r="N14" s="65">
        <f>IFERROR(VLOOKUP(B:B,'7店辅助表'!B:C,2,FALSE),0)</f>
        <v>5</v>
      </c>
      <c r="O14" s="65">
        <f>IFERROR(VLOOKUP(B:B,'7店辅助表'!E:F,2,FALSE),0)</f>
        <v>10</v>
      </c>
      <c r="P14" s="65">
        <f>IFERROR(VLOOKUP(B:B,'7店辅助表'!H:I,2,FALSE),0)</f>
        <v>18</v>
      </c>
      <c r="Q14" s="65">
        <f>IFERROR(VLOOKUP(B:B,'[1]7店'!$B:$N,13,FALSE),0)</f>
        <v>5</v>
      </c>
      <c r="R14" s="79">
        <f t="shared" si="2"/>
        <v>0</v>
      </c>
      <c r="S14" s="80">
        <f t="shared" si="3"/>
        <v>119.639423076923</v>
      </c>
      <c r="T14" s="44">
        <f t="shared" si="4"/>
        <v>3.98798076923077</v>
      </c>
      <c r="U14" s="44">
        <f>IFERROR(VLOOKUP($B:$B,'[1]7店'!$B:$T,19,FALSE),0)</f>
        <v>5.09264305177112</v>
      </c>
      <c r="V14" s="81">
        <f t="shared" si="5"/>
        <v>-1.10466228254035</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库存过高</v>
      </c>
      <c r="X14" s="83" t="str">
        <f>_xlfn.IFS(AND(D14&lt;&gt;0,D14-$AM$2&gt;=0,K14&gt;0,D14&lt;&gt;0),"本月刚到货",AND(T14="-",K14&gt;0),"有库存无销量",AND(T14="-",K14=0),"无库存无销量",AND(T14&lt;=0.5,K14=0),"无库存有销量",T14&lt;=0.5,"库存过低",T14&lt;=1.5,"正常",T14&gt;1.5,"库存过高")</f>
        <v>库存过高</v>
      </c>
      <c r="Y14" s="44">
        <f>IFERROR(SUMIF('7店辅助表'!K:K,B:B,'7店辅助表'!N:N),0)</f>
        <v>0</v>
      </c>
      <c r="Z14" s="44">
        <f>IFERROR(SUMIF('7店辅助表'!T:T,B:B,'7店辅助表'!W:W),0)</f>
        <v>0</v>
      </c>
      <c r="AA14" s="44">
        <f>IFERROR(SUMIF('7店辅助表'!AC:AC,B:B,'7店辅助表'!AF:AF),0)</f>
        <v>0</v>
      </c>
      <c r="AB14" s="91" t="str">
        <f>IFERROR(SUMIF('7店辅助表'!K:K,B:B,'7店辅助表'!N:N)/SUMIF('7店辅助表'!K:K,B:B,'7店辅助表'!O:O),"-")</f>
        <v>-</v>
      </c>
      <c r="AC14" s="91" t="str">
        <f>IFERROR(VLOOKUP(B:B,'[1]7店'!$B:$AB,27,FALSE),"-")</f>
        <v>-</v>
      </c>
      <c r="AD14" s="92" t="str">
        <f t="shared" si="6"/>
        <v>-</v>
      </c>
      <c r="AE14" s="91" t="str">
        <f>IFERROR(SUMIF('7店辅助表'!T:T,B:B,'7店辅助表'!W:W)/SUMIF('7店辅助表'!T:T,B:B,'7店辅助表'!X:X),"-")</f>
        <v>-</v>
      </c>
      <c r="AF14" s="91" t="str">
        <f>IFERROR(SUMIF('7店辅助表'!AC:AC,B:B,'7店辅助表'!AF:AF)/SUMIF('7店辅助表'!AC:AC,B:B,'7店辅助表'!AG:AG),"-")</f>
        <v>-</v>
      </c>
      <c r="AG14" s="99">
        <f>IFERROR(AK14/((SUMIF('7店辅助表'!AT:AT,B:B,'7店辅助表'!AU:AU)+M14)/2),"-")</f>
        <v>0.0595238095238095</v>
      </c>
      <c r="AH14" s="99">
        <f>IFERROR(AL14/((SUMIF('7店辅助表'!AW:AW,B:B,'7店辅助表'!AX:AX)+M14)/2),"-")</f>
        <v>0.210526315789474</v>
      </c>
      <c r="AI14" s="100">
        <f>IFERROR((SUMIF('7店辅助表'!AP:AP,B:B,'7店辅助表'!AR:AR)-SUMIF('7店辅助表'!AP:AP,B:B,'7店辅助表'!AR:AR)*0.15-(L14+IFERROR(VLOOKUP(B:B,'7店辅助表'!AZ:BA,2,0),0))*O14-IF(AN:AN="US",6.85,4.9)*(Z14+4.27*O14))/SUMIF('7店辅助表'!AP:AP,B:B,'7店辅助表'!AR:AR),"-")</f>
        <v>0.295574346457332</v>
      </c>
      <c r="AJ14" s="100">
        <f t="shared" si="7"/>
        <v>0.0622261782015436</v>
      </c>
      <c r="AK14" s="101">
        <f t="shared" si="8"/>
        <v>69.5</v>
      </c>
      <c r="AL14" s="101">
        <f t="shared" si="9"/>
        <v>139</v>
      </c>
      <c r="AM14" s="1" t="str">
        <f>VLOOKUP(B:B,'7店辅助表'!AZ:AZ,1,FALSE)</f>
        <v>Y73475-GR+Y72615+Y73478</v>
      </c>
      <c r="AN14" t="str">
        <f>VLOOKUP(B:B,'7店辅助表'!AZ:BB,3,FALSE)</f>
        <v>US</v>
      </c>
      <c r="AO14" s="2"/>
      <c r="AP14" s="1"/>
    </row>
    <row r="15" customHeight="1" spans="1:42">
      <c r="A15" s="58" t="str">
        <f>INDEX('[1]7店'!$A:$A,MATCH(B:B,'[1]7店'!$B:$B,0))</f>
        <v>美珠</v>
      </c>
      <c r="B15" s="108" t="s">
        <v>2172</v>
      </c>
      <c r="C15" s="123" t="s">
        <v>2173</v>
      </c>
      <c r="D15" s="59"/>
      <c r="E15" s="43" t="s">
        <v>2174</v>
      </c>
      <c r="F15" s="43">
        <v>64</v>
      </c>
      <c r="G15" s="43">
        <v>0</v>
      </c>
      <c r="H15" s="43">
        <v>1</v>
      </c>
      <c r="I15" s="43">
        <v>60</v>
      </c>
      <c r="J15" s="43">
        <v>0</v>
      </c>
      <c r="K15" s="63">
        <f t="shared" si="1"/>
        <v>125</v>
      </c>
      <c r="L15" s="132">
        <f>VLOOKUP($B:$B,'[1]7店'!$B:$L,11,FALSE)</f>
        <v>13.9</v>
      </c>
      <c r="M15" s="44">
        <f t="shared" si="10"/>
        <v>1737.5</v>
      </c>
      <c r="N15" s="65">
        <f>IFERROR(VLOOKUP(B:B,'7店辅助表'!B:C,2,FALSE),0)</f>
        <v>17</v>
      </c>
      <c r="O15" s="65">
        <f>IFERROR(VLOOKUP(B:B,'7店辅助表'!E:F,2,FALSE),0)</f>
        <v>32</v>
      </c>
      <c r="P15" s="65">
        <f>IFERROR(VLOOKUP(B:B,'7店辅助表'!H:I,2,FALSE),0)</f>
        <v>55</v>
      </c>
      <c r="Q15" s="65">
        <f>IFERROR(VLOOKUP(B:B,'[1]7店'!$B:$N,13,FALSE),0)</f>
        <v>12</v>
      </c>
      <c r="R15" s="79">
        <f t="shared" si="2"/>
        <v>5</v>
      </c>
      <c r="S15" s="80">
        <f t="shared" si="3"/>
        <v>58.6373790022338</v>
      </c>
      <c r="T15" s="44">
        <f t="shared" si="4"/>
        <v>1.95457930007446</v>
      </c>
      <c r="U15" s="44">
        <f>IFERROR(VLOOKUP($B:$B,'[1]7店'!$B:$T,19,FALSE),0)</f>
        <v>2.79740980573543</v>
      </c>
      <c r="V15" s="81">
        <f t="shared" si="5"/>
        <v>-0.84283050566097</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库存过高</v>
      </c>
      <c r="X15" s="83" t="str">
        <f>_xlfn.IFS(AND(D15&lt;&gt;0,D15-$AM$2&gt;=0,K15&gt;0,D15&lt;&gt;0),"本月刚到货",AND(T15="-",K15&gt;0),"有库存无销量",AND(T15="-",K15=0),"无库存无销量",AND(T15&lt;=0.5,K15=0),"无库存有销量",T15&lt;=0.5,"库存过低",T15&lt;=1.5,"正常",T15&gt;1.5,"库存过高")</f>
        <v>库存过高</v>
      </c>
      <c r="Y15" s="44">
        <f>IFERROR(SUMIF('7店辅助表'!K:K,B:B,'7店辅助表'!N:N),0)</f>
        <v>19.86</v>
      </c>
      <c r="Z15" s="44">
        <f>IFERROR(SUMIF('7店辅助表'!T:T,B:B,'7店辅助表'!W:W),0)</f>
        <v>46.09</v>
      </c>
      <c r="AA15" s="44">
        <f>IFERROR(SUMIF('7店辅助表'!AC:AC,B:B,'7店辅助表'!AF:AF),0)</f>
        <v>100.3</v>
      </c>
      <c r="AB15" s="91">
        <f>IFERROR(SUMIF('7店辅助表'!K:K,B:B,'7店辅助表'!N:N)/SUMIF('7店辅助表'!K:K,B:B,'7店辅助表'!O:O),"-")</f>
        <v>0.127947429454967</v>
      </c>
      <c r="AC15" s="91">
        <f>IFERROR(VLOOKUP(B:B,'[1]7店'!$B:$AB,27,FALSE),"-")</f>
        <v>0.157645419714385</v>
      </c>
      <c r="AD15" s="92">
        <f t="shared" si="6"/>
        <v>-0.029697990259418</v>
      </c>
      <c r="AE15" s="91">
        <f>IFERROR(SUMIF('7店辅助表'!T:T,B:B,'7店辅助表'!W:W)/SUMIF('7店辅助表'!T:T,B:B,'7店辅助表'!X:X),"-")</f>
        <v>0.126718354778401</v>
      </c>
      <c r="AF15" s="91">
        <f>IFERROR(SUMIF('7店辅助表'!AC:AC,B:B,'7店辅助表'!AF:AF)/SUMIF('7店辅助表'!AC:AC,B:B,'7店辅助表'!AG:AG),"-")</f>
        <v>0.131095688088983</v>
      </c>
      <c r="AG15" s="99">
        <f>IFERROR(AK15/((SUMIF('7店辅助表'!AT:AT,B:B,'7店辅助表'!AU:AU)+M15)/2),"-")</f>
        <v>0.12639405204461</v>
      </c>
      <c r="AH15" s="99">
        <f>IFERROR(AL15/((SUMIF('7店辅助表'!AW:AW,B:B,'7店辅助表'!AX:AX)+M15)/2),"-")</f>
        <v>0.351648351648352</v>
      </c>
      <c r="AI15" s="100">
        <f>IFERROR((SUMIF('7店辅助表'!AP:AP,B:B,'7店辅助表'!AR:AR)-SUMIF('7店辅助表'!AP:AP,B:B,'7店辅助表'!AR:AR)*0.15-(L15+IFERROR(VLOOKUP(B:B,'7店辅助表'!AZ:BA,2,0),0))*O15-IF(AN:AN="US",6.85,4.9)*(Z15+4.27*O15))/SUMIF('7店辅助表'!AP:AP,B:B,'7店辅助表'!AR:AR),"-")</f>
        <v>0.193287956846759</v>
      </c>
      <c r="AJ15" s="100">
        <f t="shared" si="7"/>
        <v>0.0679693914186406</v>
      </c>
      <c r="AK15" s="101">
        <f t="shared" si="8"/>
        <v>236.3</v>
      </c>
      <c r="AL15" s="101">
        <f t="shared" si="9"/>
        <v>444.8</v>
      </c>
      <c r="AM15" s="1" t="str">
        <f>VLOOKUP(B:B,'7店辅助表'!AZ:AZ,1,FALSE)</f>
        <v>Y73475-OR+Y72615+Y73478</v>
      </c>
      <c r="AN15" t="str">
        <f>VLOOKUP(B:B,'7店辅助表'!AZ:BB,3,FALSE)</f>
        <v>US</v>
      </c>
      <c r="AO15" s="2"/>
      <c r="AP15" s="1"/>
    </row>
    <row r="16" customHeight="1" spans="1:42">
      <c r="A16" s="58" t="str">
        <f>INDEX('[1]7店'!$A:$A,MATCH(B:B,'[1]7店'!$B:$B,0))</f>
        <v>美珠</v>
      </c>
      <c r="B16" s="108" t="s">
        <v>2175</v>
      </c>
      <c r="C16" s="123" t="s">
        <v>2176</v>
      </c>
      <c r="D16" s="59"/>
      <c r="E16" s="43" t="s">
        <v>2177</v>
      </c>
      <c r="F16" s="43">
        <v>2</v>
      </c>
      <c r="G16" s="43">
        <v>0</v>
      </c>
      <c r="H16" s="43">
        <v>0</v>
      </c>
      <c r="I16" s="43">
        <v>0</v>
      </c>
      <c r="J16" s="43">
        <v>0</v>
      </c>
      <c r="K16" s="63">
        <f t="shared" si="1"/>
        <v>2</v>
      </c>
      <c r="L16" s="132">
        <f>VLOOKUP($B:$B,'[1]7店'!$B:$L,11,FALSE)</f>
        <v>13.9</v>
      </c>
      <c r="M16" s="44">
        <f t="shared" si="10"/>
        <v>27.8</v>
      </c>
      <c r="N16" s="65">
        <f>IFERROR(VLOOKUP(B:B,'7店辅助表'!B:C,2,FALSE),0)</f>
        <v>0</v>
      </c>
      <c r="O16" s="65">
        <f>IFERROR(VLOOKUP(B:B,'7店辅助表'!E:F,2,FALSE),0)</f>
        <v>0</v>
      </c>
      <c r="P16" s="65">
        <f>IFERROR(VLOOKUP(B:B,'7店辅助表'!H:I,2,FALSE),0)</f>
        <v>0</v>
      </c>
      <c r="Q16" s="65">
        <f>IFERROR(VLOOKUP(B:B,'[1]7店'!$B:$N,13,FALSE),0)</f>
        <v>0</v>
      </c>
      <c r="R16" s="79">
        <f t="shared" si="2"/>
        <v>0</v>
      </c>
      <c r="S16" s="80" t="str">
        <f t="shared" si="3"/>
        <v>-</v>
      </c>
      <c r="T16" s="44" t="str">
        <f t="shared" si="4"/>
        <v>-</v>
      </c>
      <c r="U16" s="44" t="str">
        <f>IFERROR(VLOOKUP($B:$B,'[1]7店'!$B:$T,19,FALSE),0)</f>
        <v>-</v>
      </c>
      <c r="V16" s="81" t="str">
        <f t="shared" si="5"/>
        <v>-</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有库存无销量</v>
      </c>
      <c r="X16" s="83" t="str">
        <f>_xlfn.IFS(AND(D16&lt;&gt;0,D16-$AM$2&gt;=0,K16&gt;0,D16&lt;&gt;0),"本月刚到货",AND(T16="-",K16&gt;0),"有库存无销量",AND(T16="-",K16=0),"无库存无销量",AND(T16&lt;=0.5,K16=0),"无库存有销量",T16&lt;=0.5,"库存过低",T16&lt;=1.5,"正常",T16&gt;1.5,"库存过高")</f>
        <v>有库存无销量</v>
      </c>
      <c r="Y16" s="44">
        <f>IFERROR(SUMIF('7店辅助表'!K:K,B:B,'7店辅助表'!N:N),0)</f>
        <v>0</v>
      </c>
      <c r="Z16" s="44">
        <f>IFERROR(SUMIF('7店辅助表'!T:T,B:B,'7店辅助表'!W:W),0)</f>
        <v>0</v>
      </c>
      <c r="AA16" s="44">
        <f>IFERROR(SUMIF('7店辅助表'!AC:AC,B:B,'7店辅助表'!AF:AF),0)</f>
        <v>0</v>
      </c>
      <c r="AB16" s="91" t="str">
        <f>IFERROR(SUMIF('7店辅助表'!K:K,B:B,'7店辅助表'!N:N)/SUMIF('7店辅助表'!K:K,B:B,'7店辅助表'!O:O),"-")</f>
        <v>-</v>
      </c>
      <c r="AC16" s="91" t="str">
        <f>IFERROR(VLOOKUP(B:B,'[1]7店'!$B:$AB,27,FALSE),"-")</f>
        <v>-</v>
      </c>
      <c r="AD16" s="92" t="str">
        <f t="shared" si="6"/>
        <v>-</v>
      </c>
      <c r="AE16" s="91" t="str">
        <f>IFERROR(SUMIF('7店辅助表'!T:T,B:B,'7店辅助表'!W:W)/SUMIF('7店辅助表'!T:T,B:B,'7店辅助表'!X:X),"-")</f>
        <v>-</v>
      </c>
      <c r="AF16" s="91" t="str">
        <f>IFERROR(SUMIF('7店辅助表'!AC:AC,B:B,'7店辅助表'!AF:AF)/SUMIF('7店辅助表'!AC:AC,B:B,'7店辅助表'!AG:AG),"-")</f>
        <v>-</v>
      </c>
      <c r="AG16" s="99">
        <f>IFERROR(AK16/((SUMIF('7店辅助表'!AT:AT,B:B,'7店辅助表'!AU:AU)+M16)/2),"-")</f>
        <v>0</v>
      </c>
      <c r="AH16" s="99">
        <f>IFERROR(AL16/((SUMIF('7店辅助表'!AW:AW,B:B,'7店辅助表'!AX:AX)+M16)/2),"-")</f>
        <v>0</v>
      </c>
      <c r="AI16" s="100" t="str">
        <f>IFERROR((SUMIF('7店辅助表'!AP:AP,B:B,'7店辅助表'!AR:AR)-SUMIF('7店辅助表'!AP:AP,B:B,'7店辅助表'!AR:AR)*0.15-(L16+IFERROR(VLOOKUP(B:B,'7店辅助表'!AZ:BA,2,0),0))*O16-IF(AN:AN="US",6.85,4.9)*(Z16+4.27*O16))/SUMIF('7店辅助表'!AP:AP,B:B,'7店辅助表'!AR:AR),"-")</f>
        <v>-</v>
      </c>
      <c r="AJ16" s="100" t="str">
        <f t="shared" si="7"/>
        <v>-</v>
      </c>
      <c r="AK16" s="101">
        <f t="shared" si="8"/>
        <v>0</v>
      </c>
      <c r="AL16" s="101">
        <f t="shared" si="9"/>
        <v>0</v>
      </c>
      <c r="AM16" s="1" t="str">
        <f>VLOOKUP(B:B,'7店辅助表'!AZ:AZ,1,FALSE)</f>
        <v>Y73694-BB+Y73712+Y73744</v>
      </c>
      <c r="AN16" t="str">
        <f>VLOOKUP(B:B,'7店辅助表'!AZ:BB,3,FALSE)</f>
        <v>US</v>
      </c>
      <c r="AO16" s="2"/>
      <c r="AP16" s="1"/>
    </row>
    <row r="17" customHeight="1" spans="1:42">
      <c r="A17" s="58" t="str">
        <f>INDEX('[1]7店'!$A:$A,MATCH(B:B,'[1]7店'!$B:$B,0))</f>
        <v>美珠</v>
      </c>
      <c r="B17" s="108" t="s">
        <v>2178</v>
      </c>
      <c r="C17" s="123" t="s">
        <v>2179</v>
      </c>
      <c r="D17" s="59"/>
      <c r="E17" s="43" t="s">
        <v>2180</v>
      </c>
      <c r="F17" s="43">
        <v>7</v>
      </c>
      <c r="G17" s="43">
        <v>0</v>
      </c>
      <c r="H17" s="43">
        <v>0</v>
      </c>
      <c r="I17" s="43">
        <v>0</v>
      </c>
      <c r="J17" s="43">
        <v>0</v>
      </c>
      <c r="K17" s="63">
        <f t="shared" si="1"/>
        <v>7</v>
      </c>
      <c r="L17" s="132">
        <f>VLOOKUP($B:$B,'[1]7店'!$B:$L,11,FALSE)</f>
        <v>13.9</v>
      </c>
      <c r="M17" s="44">
        <f t="shared" si="10"/>
        <v>97.3</v>
      </c>
      <c r="N17" s="65">
        <f>IFERROR(VLOOKUP(B:B,'7店辅助表'!B:C,2,FALSE),0)</f>
        <v>0</v>
      </c>
      <c r="O17" s="65">
        <f>IFERROR(VLOOKUP(B:B,'7店辅助表'!E:F,2,FALSE),0)</f>
        <v>0</v>
      </c>
      <c r="P17" s="65">
        <f>IFERROR(VLOOKUP(B:B,'7店辅助表'!H:I,2,FALSE),0)</f>
        <v>1</v>
      </c>
      <c r="Q17" s="65">
        <f>IFERROR(VLOOKUP(B:B,'[1]7店'!$B:$N,13,FALSE),0)</f>
        <v>0</v>
      </c>
      <c r="R17" s="79">
        <f t="shared" si="2"/>
        <v>0</v>
      </c>
      <c r="S17" s="80">
        <f t="shared" si="3"/>
        <v>630</v>
      </c>
      <c r="T17" s="44">
        <f t="shared" si="4"/>
        <v>21</v>
      </c>
      <c r="U17" s="44">
        <f>IFERROR(VLOOKUP($B:$B,'[1]7店'!$B:$T,19,FALSE),0)</f>
        <v>5.25</v>
      </c>
      <c r="V17" s="81">
        <f t="shared" si="5"/>
        <v>15.75</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有库存无销量</v>
      </c>
      <c r="X17" s="83" t="str">
        <f>_xlfn.IFS(AND(D17&lt;&gt;0,D17-$AM$2&gt;=0,K17&gt;0,D17&lt;&gt;0),"本月刚到货",AND(T17="-",K17&gt;0),"有库存无销量",AND(T17="-",K17=0),"无库存无销量",AND(T17&lt;=0.5,K17=0),"无库存有销量",T17&lt;=0.5,"库存过低",T17&lt;=1.5,"正常",T17&gt;1.5,"库存过高")</f>
        <v>库存过高</v>
      </c>
      <c r="Y17" s="44">
        <f>IFERROR(SUMIF('7店辅助表'!K:K,B:B,'7店辅助表'!N:N),0)</f>
        <v>1.17</v>
      </c>
      <c r="Z17" s="44">
        <f>IFERROR(SUMIF('7店辅助表'!T:T,B:B,'7店辅助表'!W:W),0)</f>
        <v>3.55</v>
      </c>
      <c r="AA17" s="44">
        <f>IFERROR(SUMIF('7店辅助表'!AC:AC,B:B,'7店辅助表'!AF:AF),0)</f>
        <v>5.49</v>
      </c>
      <c r="AB17" s="91" t="str">
        <f>IFERROR(SUMIF('7店辅助表'!K:K,B:B,'7店辅助表'!N:N)/SUMIF('7店辅助表'!K:K,B:B,'7店辅助表'!O:O),"-")</f>
        <v>-</v>
      </c>
      <c r="AC17" s="91" t="str">
        <f>IFERROR(VLOOKUP(B:B,'[1]7店'!$B:$AB,27,FALSE),"-")</f>
        <v>-</v>
      </c>
      <c r="AD17" s="92" t="str">
        <f t="shared" si="6"/>
        <v>-</v>
      </c>
      <c r="AE17" s="91" t="str">
        <f>IFERROR(SUMIF('7店辅助表'!T:T,B:B,'7店辅助表'!W:W)/SUMIF('7店辅助表'!T:T,B:B,'7店辅助表'!X:X),"-")</f>
        <v>-</v>
      </c>
      <c r="AF17" s="91">
        <f>IFERROR(SUMIF('7店辅助表'!AC:AC,B:B,'7店辅助表'!AF:AF)/SUMIF('7店辅助表'!AC:AC,B:B,'7店辅助表'!AG:AG),"-")</f>
        <v>0.211316397228637</v>
      </c>
      <c r="AG17" s="99">
        <f>IFERROR(AK17/((SUMIF('7店辅助表'!AT:AT,B:B,'7店辅助表'!AU:AU)+M17)/2),"-")</f>
        <v>0</v>
      </c>
      <c r="AH17" s="99">
        <f>IFERROR(AL17/((SUMIF('7店辅助表'!AW:AW,B:B,'7店辅助表'!AX:AX)+M17)/2),"-")</f>
        <v>0</v>
      </c>
      <c r="AI17" s="100" t="str">
        <f>IFERROR((SUMIF('7店辅助表'!AP:AP,B:B,'7店辅助表'!AR:AR)-SUMIF('7店辅助表'!AP:AP,B:B,'7店辅助表'!AR:AR)*0.15-(L17+IFERROR(VLOOKUP(B:B,'7店辅助表'!AZ:BA,2,0),0))*O17-IF(AN:AN="US",6.85,4.9)*(Z17+4.27*O17))/SUMIF('7店辅助表'!AP:AP,B:B,'7店辅助表'!AR:AR),"-")</f>
        <v>-</v>
      </c>
      <c r="AJ17" s="100" t="str">
        <f t="shared" si="7"/>
        <v>-</v>
      </c>
      <c r="AK17" s="101">
        <f t="shared" si="8"/>
        <v>0</v>
      </c>
      <c r="AL17" s="101">
        <f t="shared" si="9"/>
        <v>0</v>
      </c>
      <c r="AM17" s="1" t="str">
        <f>VLOOKUP(B:B,'7店辅助表'!AZ:AZ,1,FALSE)</f>
        <v>Y73694-BL+Y73712+Y73744</v>
      </c>
      <c r="AN17" t="str">
        <f>VLOOKUP(B:B,'7店辅助表'!AZ:BB,3,FALSE)</f>
        <v>US</v>
      </c>
      <c r="AO17" s="2"/>
      <c r="AP17" s="1"/>
    </row>
    <row r="18" customHeight="1" spans="1:42">
      <c r="A18" s="58" t="str">
        <f>INDEX('[1]7店'!$A:$A,MATCH(B:B,'[1]7店'!$B:$B,0))</f>
        <v>美珠</v>
      </c>
      <c r="B18" s="108" t="s">
        <v>2181</v>
      </c>
      <c r="C18" s="123" t="s">
        <v>2182</v>
      </c>
      <c r="D18" s="59"/>
      <c r="E18" s="43" t="s">
        <v>2183</v>
      </c>
      <c r="F18" s="43">
        <v>13</v>
      </c>
      <c r="G18" s="43">
        <v>0</v>
      </c>
      <c r="H18" s="43">
        <v>0</v>
      </c>
      <c r="I18" s="43">
        <v>1</v>
      </c>
      <c r="J18" s="43">
        <v>0</v>
      </c>
      <c r="K18" s="63">
        <f t="shared" ref="K18:K66" si="11">F18+G18+H18+I18+J18</f>
        <v>14</v>
      </c>
      <c r="L18" s="132">
        <f>VLOOKUP($B:$B,'[1]7店'!$B:$L,11,FALSE)</f>
        <v>13.9</v>
      </c>
      <c r="M18" s="44">
        <f t="shared" si="10"/>
        <v>194.6</v>
      </c>
      <c r="N18" s="65">
        <f>IFERROR(VLOOKUP(B:B,'7店辅助表'!B:C,2,FALSE),0)</f>
        <v>0</v>
      </c>
      <c r="O18" s="65">
        <f>IFERROR(VLOOKUP(B:B,'7店辅助表'!E:F,2,FALSE),0)</f>
        <v>0</v>
      </c>
      <c r="P18" s="65">
        <f>IFERROR(VLOOKUP(B:B,'7店辅助表'!H:I,2,FALSE),0)</f>
        <v>0</v>
      </c>
      <c r="Q18" s="65">
        <f>IFERROR(VLOOKUP(B:B,'[1]7店'!$B:$N,13,FALSE),0)</f>
        <v>0</v>
      </c>
      <c r="R18" s="79">
        <f t="shared" ref="R18:R30" si="12">N18-Q18</f>
        <v>0</v>
      </c>
      <c r="S18" s="80" t="str">
        <f t="shared" ref="S18:S30" si="13">IFERROR(K18/((N18/7+O18/15+P18/30)/3),"-")</f>
        <v>-</v>
      </c>
      <c r="T18" s="44" t="str">
        <f t="shared" ref="T18:T30" si="14">IFERROR(S18/30,"-")</f>
        <v>-</v>
      </c>
      <c r="U18" s="44" t="str">
        <f>IFERROR(VLOOKUP($B:$B,'[1]7店'!$B:$T,19,FALSE),0)</f>
        <v>-</v>
      </c>
      <c r="V18" s="81" t="str">
        <f t="shared" ref="V18:V30" si="15">IFERROR(T18-U18,"-")</f>
        <v>-</v>
      </c>
      <c r="W18" s="82" t="str">
        <f t="shared" ref="W18:W30" si="16">_xlfn.IFS(AND(D18&lt;&gt;0,D18-$AM$2&gt;=0,B18&gt;0,D18&lt;&gt;0),"本月刚到货",AND(IFERROR((K18/(N18/7))/30,"-")="-",K18&gt;0),"有库存无销量",AND(IFERROR((K18/(N18/7))/30,"-")="-",K18=0),"无库存无销量",AND(IFERROR((K18/(N18/7))/30,"-")&lt;=0.5,K18=0),"无库存有销量",IFERROR((K18/(N18/7))/30,"-")&lt;=0.5,"库存过低",IFERROR((K18/(N18/7))/30,"-")&lt;=1.5,"正常",IFERROR((K18/(N18/7))/30,"-")&gt;1.5,"库存过高")</f>
        <v>有库存无销量</v>
      </c>
      <c r="X18" s="83" t="str">
        <f t="shared" ref="X18:X30" si="17">_xlfn.IFS(AND(D18&lt;&gt;0,D18-$AM$2&gt;=0,K18&gt;0,D18&lt;&gt;0),"本月刚到货",AND(T18="-",K18&gt;0),"有库存无销量",AND(T18="-",K18=0),"无库存无销量",AND(T18&lt;=0.5,K18=0),"无库存有销量",T18&lt;=0.5,"库存过低",T18&lt;=1.5,"正常",T18&gt;1.5,"库存过高")</f>
        <v>有库存无销量</v>
      </c>
      <c r="Y18" s="44">
        <f>IFERROR(SUMIF('7店辅助表'!K:K,B:B,'7店辅助表'!N:N),0)</f>
        <v>0.04</v>
      </c>
      <c r="Z18" s="44">
        <f>IFERROR(SUMIF('7店辅助表'!T:T,B:B,'7店辅助表'!W:W),0)</f>
        <v>0.04</v>
      </c>
      <c r="AA18" s="44">
        <f>IFERROR(SUMIF('7店辅助表'!AC:AC,B:B,'7店辅助表'!AF:AF),0)</f>
        <v>0.59</v>
      </c>
      <c r="AB18" s="91" t="str">
        <f>IFERROR(SUMIF('7店辅助表'!K:K,B:B,'7店辅助表'!N:N)/SUMIF('7店辅助表'!K:K,B:B,'7店辅助表'!O:O),"-")</f>
        <v>-</v>
      </c>
      <c r="AC18" s="91" t="str">
        <f>IFERROR(VLOOKUP(B:B,'[1]7店'!$B:$AB,27,FALSE),"-")</f>
        <v>-</v>
      </c>
      <c r="AD18" s="92" t="str">
        <f t="shared" ref="AD18:AD30" si="18">IFERROR(AB18-AC18,"-")</f>
        <v>-</v>
      </c>
      <c r="AE18" s="91" t="str">
        <f>IFERROR(SUMIF('7店辅助表'!T:T,B:B,'7店辅助表'!W:W)/SUMIF('7店辅助表'!T:T,B:B,'7店辅助表'!X:X),"-")</f>
        <v>-</v>
      </c>
      <c r="AF18" s="91" t="str">
        <f>IFERROR(SUMIF('7店辅助表'!AC:AC,B:B,'7店辅助表'!AF:AF)/SUMIF('7店辅助表'!AC:AC,B:B,'7店辅助表'!AG:AG),"-")</f>
        <v>-</v>
      </c>
      <c r="AG18" s="99">
        <f>IFERROR(AK18/((SUMIF('7店辅助表'!AT:AT,B:B,'7店辅助表'!AU:AU)+M18)/2),"-")</f>
        <v>0</v>
      </c>
      <c r="AH18" s="99">
        <f>IFERROR(AL18/((SUMIF('7店辅助表'!AW:AW,B:B,'7店辅助表'!AX:AX)+M18)/2),"-")</f>
        <v>0</v>
      </c>
      <c r="AI18" s="100" t="str">
        <f>IFERROR((SUMIF('7店辅助表'!AP:AP,B:B,'7店辅助表'!AR:AR)-SUMIF('7店辅助表'!AP:AP,B:B,'7店辅助表'!AR:AR)*0.15-(L18+IFERROR(VLOOKUP(B:B,'7店辅助表'!AZ:BA,2,0),0))*O18-IF(AN:AN="US",6.85,4.9)*(Z18+4.27*O18))/SUMIF('7店辅助表'!AP:AP,B:B,'7店辅助表'!AR:AR),"-")</f>
        <v>-</v>
      </c>
      <c r="AJ18" s="100" t="str">
        <f t="shared" ref="AJ18:AJ30" si="19">IFERROR(AH18*AI18,"-")</f>
        <v>-</v>
      </c>
      <c r="AK18" s="101">
        <f t="shared" ref="AK18:AK30" si="20">N18*$L18</f>
        <v>0</v>
      </c>
      <c r="AL18" s="101">
        <f t="shared" ref="AL18:AL30" si="21">O18*$L18</f>
        <v>0</v>
      </c>
      <c r="AM18" s="1" t="str">
        <f>VLOOKUP(B:B,'7店辅助表'!AZ:AZ,1,FALSE)</f>
        <v>Y73694-OR+Y73712+Y73744</v>
      </c>
      <c r="AN18" t="str">
        <f>VLOOKUP(B:B,'7店辅助表'!AZ:BB,3,FALSE)</f>
        <v>US</v>
      </c>
      <c r="AO18" s="2"/>
      <c r="AP18" s="1"/>
    </row>
    <row r="19" customHeight="1" spans="1:42">
      <c r="A19" s="58" t="str">
        <f>INDEX('[1]7店'!$A:$A,MATCH(B:B,'[1]7店'!$B:$B,0))</f>
        <v>美珠</v>
      </c>
      <c r="B19" s="108" t="s">
        <v>2184</v>
      </c>
      <c r="C19" s="123" t="s">
        <v>2185</v>
      </c>
      <c r="D19" s="59"/>
      <c r="E19" s="43" t="s">
        <v>2186</v>
      </c>
      <c r="F19" s="43">
        <v>2</v>
      </c>
      <c r="G19" s="43">
        <v>0</v>
      </c>
      <c r="H19" s="43">
        <v>1</v>
      </c>
      <c r="I19" s="43">
        <v>0</v>
      </c>
      <c r="J19" s="43">
        <v>0</v>
      </c>
      <c r="K19" s="63">
        <f t="shared" si="11"/>
        <v>3</v>
      </c>
      <c r="L19" s="132">
        <f>VLOOKUP($B:$B,'[1]7店'!$B:$L,11,FALSE)</f>
        <v>13.9</v>
      </c>
      <c r="M19" s="44">
        <f t="shared" si="10"/>
        <v>41.7</v>
      </c>
      <c r="N19" s="65">
        <f>IFERROR(VLOOKUP(B:B,'7店辅助表'!B:C,2,FALSE),0)</f>
        <v>5</v>
      </c>
      <c r="O19" s="65">
        <f>IFERROR(VLOOKUP(B:B,'7店辅助表'!E:F,2,FALSE),0)</f>
        <v>12</v>
      </c>
      <c r="P19" s="65">
        <f>IFERROR(VLOOKUP(B:B,'7店辅助表'!H:I,2,FALSE),0)</f>
        <v>25</v>
      </c>
      <c r="Q19" s="65">
        <f>IFERROR(VLOOKUP(B:B,'[1]7店'!$B:$N,13,FALSE),0)</f>
        <v>7</v>
      </c>
      <c r="R19" s="79">
        <f t="shared" si="12"/>
        <v>-2</v>
      </c>
      <c r="S19" s="80">
        <f t="shared" si="13"/>
        <v>3.83367139959432</v>
      </c>
      <c r="T19" s="44">
        <f t="shared" si="14"/>
        <v>0.127789046653144</v>
      </c>
      <c r="U19" s="44">
        <f>IFERROR(VLOOKUP($B:$B,'[1]7店'!$B:$T,19,FALSE),0)</f>
        <v>0.16</v>
      </c>
      <c r="V19" s="81">
        <f t="shared" si="15"/>
        <v>-0.032210953346856</v>
      </c>
      <c r="W19" s="82" t="str">
        <f t="shared" si="16"/>
        <v>库存过低</v>
      </c>
      <c r="X19" s="83" t="str">
        <f t="shared" si="17"/>
        <v>库存过低</v>
      </c>
      <c r="Y19" s="44">
        <f>IFERROR(SUMIF('7店辅助表'!K:K,B:B,'7店辅助表'!N:N),0)</f>
        <v>0</v>
      </c>
      <c r="Z19" s="44">
        <f>IFERROR(SUMIF('7店辅助表'!T:T,B:B,'7店辅助表'!W:W),0)</f>
        <v>0</v>
      </c>
      <c r="AA19" s="44">
        <f>IFERROR(SUMIF('7店辅助表'!AC:AC,B:B,'7店辅助表'!AF:AF),0)</f>
        <v>0</v>
      </c>
      <c r="AB19" s="91" t="str">
        <f>IFERROR(SUMIF('7店辅助表'!K:K,B:B,'7店辅助表'!N:N)/SUMIF('7店辅助表'!K:K,B:B,'7店辅助表'!O:O),"-")</f>
        <v>-</v>
      </c>
      <c r="AC19" s="91" t="str">
        <f>IFERROR(VLOOKUP(B:B,'[1]7店'!$B:$AB,27,FALSE),"-")</f>
        <v>-</v>
      </c>
      <c r="AD19" s="92" t="str">
        <f t="shared" si="18"/>
        <v>-</v>
      </c>
      <c r="AE19" s="91" t="str">
        <f>IFERROR(SUMIF('7店辅助表'!T:T,B:B,'7店辅助表'!W:W)/SUMIF('7店辅助表'!T:T,B:B,'7店辅助表'!X:X),"-")</f>
        <v>-</v>
      </c>
      <c r="AF19" s="91" t="str">
        <f>IFERROR(SUMIF('7店辅助表'!AC:AC,B:B,'7店辅助表'!AF:AF)/SUMIF('7店辅助表'!AC:AC,B:B,'7店辅助表'!AG:AG),"-")</f>
        <v>-</v>
      </c>
      <c r="AG19" s="99">
        <f>IFERROR(AK19/((SUMIF('7店辅助表'!AT:AT,B:B,'7店辅助表'!AU:AU)+M19)/2),"-")</f>
        <v>1.42857142857143</v>
      </c>
      <c r="AH19" s="99">
        <f>IFERROR(AL19/((SUMIF('7店辅助表'!AW:AW,B:B,'7店辅助表'!AX:AX)+M19)/2),"-")</f>
        <v>0.888888888888889</v>
      </c>
      <c r="AI19" s="100">
        <f>IFERROR((SUMIF('7店辅助表'!AP:AP,B:B,'7店辅助表'!AR:AR)-SUMIF('7店辅助表'!AP:AP,B:B,'7店辅助表'!AR:AR)*0.15-(L19+IFERROR(VLOOKUP(B:B,'7店辅助表'!AZ:BA,2,0),0))*O19-IF(AN:AN="US",6.85,4.9)*(Z19+4.27*O19))/SUMIF('7店辅助表'!AP:AP,B:B,'7店辅助表'!AR:AR),"-")</f>
        <v>0.316490225496311</v>
      </c>
      <c r="AJ19" s="100">
        <f t="shared" si="19"/>
        <v>0.28132464488561</v>
      </c>
      <c r="AK19" s="101">
        <f t="shared" si="20"/>
        <v>69.5</v>
      </c>
      <c r="AL19" s="101">
        <f t="shared" si="21"/>
        <v>166.8</v>
      </c>
      <c r="AM19" s="1" t="str">
        <f>VLOOKUP(B:B,'7店辅助表'!AZ:AZ,1,FALSE)</f>
        <v>Y72488-BL+Y72490+Y72380</v>
      </c>
      <c r="AN19" t="str">
        <f>VLOOKUP(B:B,'7店辅助表'!AZ:BB,3,FALSE)</f>
        <v>US</v>
      </c>
      <c r="AO19" s="2"/>
      <c r="AP19" s="1"/>
    </row>
    <row r="20" customHeight="1" spans="1:42">
      <c r="A20" s="58" t="str">
        <f>INDEX('[1]7店'!$A:$A,MATCH(B:B,'[1]7店'!$B:$B,0))</f>
        <v>美珠</v>
      </c>
      <c r="B20" s="108" t="s">
        <v>2187</v>
      </c>
      <c r="C20" s="123" t="s">
        <v>2188</v>
      </c>
      <c r="D20" s="59"/>
      <c r="E20" s="43" t="s">
        <v>2189</v>
      </c>
      <c r="F20" s="43">
        <v>40</v>
      </c>
      <c r="G20" s="43">
        <v>0</v>
      </c>
      <c r="H20" s="43">
        <v>0</v>
      </c>
      <c r="I20" s="43">
        <v>31</v>
      </c>
      <c r="J20" s="43">
        <v>0</v>
      </c>
      <c r="K20" s="63">
        <f t="shared" si="11"/>
        <v>71</v>
      </c>
      <c r="L20" s="132">
        <f>VLOOKUP($B:$B,'[1]7店'!$B:$L,11,FALSE)</f>
        <v>13.9</v>
      </c>
      <c r="M20" s="44">
        <f t="shared" si="10"/>
        <v>986.9</v>
      </c>
      <c r="N20" s="65">
        <f>IFERROR(VLOOKUP(B:B,'7店辅助表'!B:C,2,FALSE),0)</f>
        <v>8</v>
      </c>
      <c r="O20" s="65">
        <f>IFERROR(VLOOKUP(B:B,'7店辅助表'!E:F,2,FALSE),0)</f>
        <v>14</v>
      </c>
      <c r="P20" s="65">
        <f>IFERROR(VLOOKUP(B:B,'7店辅助表'!H:I,2,FALSE),0)</f>
        <v>22</v>
      </c>
      <c r="Q20" s="65">
        <f>IFERROR(VLOOKUP(B:B,'[1]7店'!$B:$N,13,FALSE),0)</f>
        <v>5</v>
      </c>
      <c r="R20" s="79">
        <f t="shared" si="12"/>
        <v>3</v>
      </c>
      <c r="S20" s="80">
        <f t="shared" si="13"/>
        <v>75.8135593220339</v>
      </c>
      <c r="T20" s="44">
        <f t="shared" si="14"/>
        <v>2.5271186440678</v>
      </c>
      <c r="U20" s="44">
        <f>IFERROR(VLOOKUP($B:$B,'[1]7店'!$B:$T,19,FALSE),0)</f>
        <v>4.68243243243243</v>
      </c>
      <c r="V20" s="81">
        <f t="shared" si="15"/>
        <v>-2.15531378836463</v>
      </c>
      <c r="W20" s="82" t="str">
        <f t="shared" si="16"/>
        <v>库存过高</v>
      </c>
      <c r="X20" s="83" t="str">
        <f t="shared" si="17"/>
        <v>库存过高</v>
      </c>
      <c r="Y20" s="44">
        <f>IFERROR(SUMIF('7店辅助表'!K:K,B:B,'7店辅助表'!N:N),0)</f>
        <v>0</v>
      </c>
      <c r="Z20" s="44">
        <f>IFERROR(SUMIF('7店辅助表'!T:T,B:B,'7店辅助表'!W:W),0)</f>
        <v>0</v>
      </c>
      <c r="AA20" s="44">
        <f>IFERROR(SUMIF('7店辅助表'!AC:AC,B:B,'7店辅助表'!AF:AF),0)</f>
        <v>0</v>
      </c>
      <c r="AB20" s="91" t="str">
        <f>IFERROR(SUMIF('7店辅助表'!K:K,B:B,'7店辅助表'!N:N)/SUMIF('7店辅助表'!K:K,B:B,'7店辅助表'!O:O),"-")</f>
        <v>-</v>
      </c>
      <c r="AC20" s="91" t="str">
        <f>IFERROR(VLOOKUP(B:B,'[1]7店'!$B:$AB,27,FALSE),"-")</f>
        <v>-</v>
      </c>
      <c r="AD20" s="92" t="str">
        <f t="shared" si="18"/>
        <v>-</v>
      </c>
      <c r="AE20" s="91" t="str">
        <f>IFERROR(SUMIF('7店辅助表'!T:T,B:B,'7店辅助表'!W:W)/SUMIF('7店辅助表'!T:T,B:B,'7店辅助表'!X:X),"-")</f>
        <v>-</v>
      </c>
      <c r="AF20" s="91" t="str">
        <f>IFERROR(SUMIF('7店辅助表'!AC:AC,B:B,'7店辅助表'!AF:AF)/SUMIF('7店辅助表'!AC:AC,B:B,'7店辅助表'!AG:AG),"-")</f>
        <v>-</v>
      </c>
      <c r="AG20" s="99">
        <f>IFERROR(AK20/((SUMIF('7店辅助表'!AT:AT,B:B,'7店辅助表'!AU:AU)+M20)/2),"-")</f>
        <v>0.0941176470588235</v>
      </c>
      <c r="AH20" s="99">
        <f>IFERROR(AL20/((SUMIF('7店辅助表'!AW:AW,B:B,'7店辅助表'!AX:AX)+M20)/2),"-")</f>
        <v>0.341463414634146</v>
      </c>
      <c r="AI20" s="100">
        <f>IFERROR((SUMIF('7店辅助表'!AP:AP,B:B,'7店辅助表'!AR:AR)-SUMIF('7店辅助表'!AP:AP,B:B,'7店辅助表'!AR:AR)*0.15-(L20+IFERROR(VLOOKUP(B:B,'7店辅助表'!AZ:BA,2,0),0))*O20-IF(AN:AN="US",6.85,4.9)*(Z20+4.27*O20))/SUMIF('7店辅助表'!AP:AP,B:B,'7店辅助表'!AR:AR),"-")</f>
        <v>0.320153908396689</v>
      </c>
      <c r="AJ20" s="100">
        <f t="shared" si="19"/>
        <v>0.109320846769601</v>
      </c>
      <c r="AK20" s="101">
        <f t="shared" si="20"/>
        <v>111.2</v>
      </c>
      <c r="AL20" s="101">
        <f t="shared" si="21"/>
        <v>194.6</v>
      </c>
      <c r="AM20" s="1" t="str">
        <f>VLOOKUP(B:B,'7店辅助表'!AZ:AZ,1,FALSE)</f>
        <v>Y72488-DB+Y72490+Y72380</v>
      </c>
      <c r="AN20" t="str">
        <f>VLOOKUP(B:B,'7店辅助表'!AZ:BB,3,FALSE)</f>
        <v>US</v>
      </c>
      <c r="AO20" s="2"/>
      <c r="AP20" s="1"/>
    </row>
    <row r="21" customHeight="1" spans="1:42">
      <c r="A21" s="58" t="str">
        <f>INDEX('[1]7店'!$A:$A,MATCH(B:B,'[1]7店'!$B:$B,0))</f>
        <v>美珠</v>
      </c>
      <c r="B21" s="108" t="s">
        <v>2190</v>
      </c>
      <c r="C21" s="123" t="s">
        <v>2191</v>
      </c>
      <c r="D21" s="59"/>
      <c r="E21" s="43" t="s">
        <v>2192</v>
      </c>
      <c r="F21" s="43">
        <v>31</v>
      </c>
      <c r="G21" s="43">
        <v>0</v>
      </c>
      <c r="H21" s="43">
        <v>1</v>
      </c>
      <c r="I21" s="43">
        <v>0</v>
      </c>
      <c r="J21" s="43">
        <v>0</v>
      </c>
      <c r="K21" s="63">
        <f t="shared" si="11"/>
        <v>32</v>
      </c>
      <c r="L21" s="132">
        <f>VLOOKUP($B:$B,'[1]7店'!$B:$L,11,FALSE)</f>
        <v>13.9</v>
      </c>
      <c r="M21" s="44">
        <f t="shared" si="10"/>
        <v>444.8</v>
      </c>
      <c r="N21" s="65">
        <f>IFERROR(VLOOKUP(B:B,'7店辅助表'!B:C,2,FALSE),0)</f>
        <v>5</v>
      </c>
      <c r="O21" s="65">
        <f>IFERROR(VLOOKUP(B:B,'7店辅助表'!E:F,2,FALSE),0)</f>
        <v>12</v>
      </c>
      <c r="P21" s="65">
        <f>IFERROR(VLOOKUP(B:B,'7店辅助表'!H:I,2,FALSE),0)</f>
        <v>30</v>
      </c>
      <c r="Q21" s="65">
        <f>IFERROR(VLOOKUP(B:B,'[1]7店'!$B:$N,13,FALSE),0)</f>
        <v>7</v>
      </c>
      <c r="R21" s="79">
        <f t="shared" si="12"/>
        <v>-2</v>
      </c>
      <c r="S21" s="80">
        <f t="shared" si="13"/>
        <v>38.1818181818182</v>
      </c>
      <c r="T21" s="44">
        <f t="shared" si="14"/>
        <v>1.27272727272727</v>
      </c>
      <c r="U21" s="44">
        <f>IFERROR(VLOOKUP($B:$B,'[1]7店'!$B:$T,19,FALSE),0)</f>
        <v>2.57647058823529</v>
      </c>
      <c r="V21" s="81">
        <f t="shared" si="15"/>
        <v>-1.30374331550802</v>
      </c>
      <c r="W21" s="82" t="str">
        <f t="shared" si="16"/>
        <v>正常</v>
      </c>
      <c r="X21" s="83" t="str">
        <f t="shared" si="17"/>
        <v>正常</v>
      </c>
      <c r="Y21" s="44">
        <f>IFERROR(SUMIF('7店辅助表'!K:K,B:B,'7店辅助表'!N:N),0)</f>
        <v>22.28</v>
      </c>
      <c r="Z21" s="44">
        <f>IFERROR(SUMIF('7店辅助表'!T:T,B:B,'7店辅助表'!W:W),0)</f>
        <v>59.43</v>
      </c>
      <c r="AA21" s="44">
        <f>IFERROR(SUMIF('7店辅助表'!AC:AC,B:B,'7店辅助表'!AF:AF),0)</f>
        <v>119</v>
      </c>
      <c r="AB21" s="91">
        <f>IFERROR(SUMIF('7店辅助表'!K:K,B:B,'7店辅助表'!N:N)/SUMIF('7店辅助表'!K:K,B:B,'7店辅助表'!O:O),"-")</f>
        <v>0.245023644561751</v>
      </c>
      <c r="AC21" s="91">
        <f>IFERROR(VLOOKUP(B:B,'[1]7店'!$B:$AB,27,FALSE),"-")</f>
        <v>0.239492028435365</v>
      </c>
      <c r="AD21" s="92">
        <f t="shared" si="18"/>
        <v>0.005531616126386</v>
      </c>
      <c r="AE21" s="91">
        <f>IFERROR(SUMIF('7店辅助表'!T:T,B:B,'7店辅助表'!W:W)/SUMIF('7店辅助表'!T:T,B:B,'7店辅助表'!X:X),"-")</f>
        <v>0.274085689249643</v>
      </c>
      <c r="AF21" s="91">
        <f>IFERROR(SUMIF('7店辅助表'!AC:AC,B:B,'7店辅助表'!AF:AF)/SUMIF('7店辅助表'!AC:AC,B:B,'7店辅助表'!AG:AG),"-")</f>
        <v>0.24984253621667</v>
      </c>
      <c r="AG21" s="99">
        <f>IFERROR(AK21/((SUMIF('7店辅助表'!AT:AT,B:B,'7店辅助表'!AU:AU)+M21)/2),"-")</f>
        <v>0.0952380952380952</v>
      </c>
      <c r="AH21" s="99">
        <f>IFERROR(AL21/((SUMIF('7店辅助表'!AW:AW,B:B,'7店辅助表'!AX:AX)+M21)/2),"-")</f>
        <v>0.296296296296296</v>
      </c>
      <c r="AI21" s="100">
        <f>IFERROR((SUMIF('7店辅助表'!AP:AP,B:B,'7店辅助表'!AR:AR)-SUMIF('7店辅助表'!AP:AP,B:B,'7店辅助表'!AR:AR)*0.15-(L21+IFERROR(VLOOKUP(B:B,'7店辅助表'!AZ:BA,2,0),0))*O21-IF(AN:AN="US",6.85,4.9)*(Z21+4.27*O21))/SUMIF('7店辅助表'!AP:AP,B:B,'7店辅助表'!AR:AR),"-")</f>
        <v>-0.075435783689632</v>
      </c>
      <c r="AJ21" s="100">
        <f t="shared" si="19"/>
        <v>-0.0223513433154465</v>
      </c>
      <c r="AK21" s="101">
        <f t="shared" si="20"/>
        <v>69.5</v>
      </c>
      <c r="AL21" s="101">
        <f t="shared" si="21"/>
        <v>166.8</v>
      </c>
      <c r="AM21" s="1" t="str">
        <f>VLOOKUP(B:B,'7店辅助表'!AZ:AZ,1,FALSE)</f>
        <v>Y72488-OR+Y72490+Y72380</v>
      </c>
      <c r="AN21" t="str">
        <f>VLOOKUP(B:B,'7店辅助表'!AZ:BB,3,FALSE)</f>
        <v>US</v>
      </c>
      <c r="AO21" s="2"/>
      <c r="AP21" s="1"/>
    </row>
    <row r="22" customHeight="1" spans="1:42">
      <c r="A22" s="58" t="str">
        <f>INDEX('[1]7店'!$A:$A,MATCH(B:B,'[1]7店'!$B:$B,0))</f>
        <v>美珠</v>
      </c>
      <c r="B22" s="108" t="s">
        <v>2193</v>
      </c>
      <c r="C22" s="123" t="s">
        <v>71</v>
      </c>
      <c r="D22" s="59"/>
      <c r="E22" s="43" t="s">
        <v>2194</v>
      </c>
      <c r="F22" s="43">
        <v>43</v>
      </c>
      <c r="G22" s="43">
        <v>1</v>
      </c>
      <c r="H22" s="43">
        <v>5</v>
      </c>
      <c r="I22" s="43">
        <v>1</v>
      </c>
      <c r="J22" s="43">
        <v>8</v>
      </c>
      <c r="K22" s="63">
        <f t="shared" si="11"/>
        <v>58</v>
      </c>
      <c r="L22" s="132">
        <f>VLOOKUP($B:$B,'[1]7店'!$B:$L,11,FALSE)</f>
        <v>13.9</v>
      </c>
      <c r="M22" s="44">
        <f t="shared" si="10"/>
        <v>806.2</v>
      </c>
      <c r="N22" s="65">
        <f>IFERROR(VLOOKUP(B:B,'7店辅助表'!B:C,2,FALSE),0)</f>
        <v>11</v>
      </c>
      <c r="O22" s="65">
        <f>IFERROR(VLOOKUP(B:B,'7店辅助表'!E:F,2,FALSE),0)</f>
        <v>23</v>
      </c>
      <c r="P22" s="65">
        <f>IFERROR(VLOOKUP(B:B,'7店辅助表'!H:I,2,FALSE),0)</f>
        <v>58</v>
      </c>
      <c r="Q22" s="65">
        <f>IFERROR(VLOOKUP(B:B,'[1]7店'!$B:$N,13,FALSE),0)</f>
        <v>9</v>
      </c>
      <c r="R22" s="79">
        <f t="shared" si="12"/>
        <v>2</v>
      </c>
      <c r="S22" s="80">
        <f t="shared" si="13"/>
        <v>34.5368620037807</v>
      </c>
      <c r="T22" s="44">
        <f t="shared" si="14"/>
        <v>1.15122873345936</v>
      </c>
      <c r="U22" s="44">
        <f>IFERROR(VLOOKUP($B:$B,'[1]7店'!$B:$T,19,FALSE),0)</f>
        <v>1.64035801464605</v>
      </c>
      <c r="V22" s="81">
        <f t="shared" si="15"/>
        <v>-0.48912928118669</v>
      </c>
      <c r="W22" s="82" t="str">
        <f t="shared" si="16"/>
        <v>正常</v>
      </c>
      <c r="X22" s="83" t="str">
        <f t="shared" si="17"/>
        <v>正常</v>
      </c>
      <c r="Y22" s="44">
        <f>IFERROR(SUMIF('7店辅助表'!K:K,B:B,'7店辅助表'!N:N),0)</f>
        <v>2.75</v>
      </c>
      <c r="Z22" s="44">
        <f>IFERROR(SUMIF('7店辅助表'!T:T,B:B,'7店辅助表'!W:W),0)</f>
        <v>2.75</v>
      </c>
      <c r="AA22" s="44">
        <f>IFERROR(SUMIF('7店辅助表'!AC:AC,B:B,'7店辅助表'!AF:AF),0)</f>
        <v>2.75</v>
      </c>
      <c r="AB22" s="91" t="str">
        <f>IFERROR(SUMIF('7店辅助表'!K:K,B:B,'7店辅助表'!N:N)/SUMIF('7店辅助表'!K:K,B:B,'7店辅助表'!O:O),"-")</f>
        <v>-</v>
      </c>
      <c r="AC22" s="91" t="str">
        <f>IFERROR(VLOOKUP(B:B,'[1]7店'!$B:$AB,27,FALSE),"-")</f>
        <v>-</v>
      </c>
      <c r="AD22" s="92" t="str">
        <f t="shared" si="18"/>
        <v>-</v>
      </c>
      <c r="AE22" s="91" t="str">
        <f>IFERROR(SUMIF('7店辅助表'!T:T,B:B,'7店辅助表'!W:W)/SUMIF('7店辅助表'!T:T,B:B,'7店辅助表'!X:X),"-")</f>
        <v>-</v>
      </c>
      <c r="AF22" s="91" t="str">
        <f>IFERROR(SUMIF('7店辅助表'!AC:AC,B:B,'7店辅助表'!AF:AF)/SUMIF('7店辅助表'!AC:AC,B:B,'7店辅助表'!AG:AG),"-")</f>
        <v>-</v>
      </c>
      <c r="AG22" s="99">
        <f>IFERROR(AK22/((SUMIF('7店辅助表'!AT:AT,B:B,'7店辅助表'!AU:AU)+M22)/2),"-")</f>
        <v>0.142857142857143</v>
      </c>
      <c r="AH22" s="99">
        <f>IFERROR(AL22/((SUMIF('7店辅助表'!AW:AW,B:B,'7店辅助表'!AX:AX)+M22)/2),"-")</f>
        <v>0.403508771929825</v>
      </c>
      <c r="AI22" s="100">
        <f>IFERROR((SUMIF('7店辅助表'!AP:AP,B:B,'7店辅助表'!AR:AR)-SUMIF('7店辅助表'!AP:AP,B:B,'7店辅助表'!AR:AR)*0.15-(L22+IFERROR(VLOOKUP(B:B,'7店辅助表'!AZ:BA,2,0),0))*O22-IF(AN:AN="US",6.85,4.9)*(Z22+4.27*O22))/SUMIF('7店辅助表'!AP:AP,B:B,'7店辅助表'!AR:AR),"-")</f>
        <v>0.323555863234427</v>
      </c>
      <c r="AJ22" s="100">
        <f t="shared" si="19"/>
        <v>0.130557629024418</v>
      </c>
      <c r="AK22" s="101">
        <f t="shared" si="20"/>
        <v>152.9</v>
      </c>
      <c r="AL22" s="101">
        <f t="shared" si="21"/>
        <v>319.7</v>
      </c>
      <c r="AM22" s="1" t="str">
        <f>VLOOKUP(B:B,'7店辅助表'!AZ:AZ,1,FALSE)</f>
        <v>Y72648-BL+Y72649+Y72381</v>
      </c>
      <c r="AN22" t="str">
        <f>VLOOKUP(B:B,'7店辅助表'!AZ:BB,3,FALSE)</f>
        <v>US</v>
      </c>
      <c r="AO22" s="2"/>
      <c r="AP22" s="1"/>
    </row>
    <row r="23" customHeight="1" spans="1:42">
      <c r="A23" s="58" t="str">
        <f>INDEX('[1]7店'!$A:$A,MATCH(B:B,'[1]7店'!$B:$B,0))</f>
        <v>美珠</v>
      </c>
      <c r="B23" s="108" t="s">
        <v>2195</v>
      </c>
      <c r="C23" s="123" t="s">
        <v>74</v>
      </c>
      <c r="D23" s="59"/>
      <c r="E23" s="43" t="s">
        <v>2196</v>
      </c>
      <c r="F23" s="43">
        <v>20</v>
      </c>
      <c r="G23" s="43">
        <v>0</v>
      </c>
      <c r="H23" s="43">
        <v>6</v>
      </c>
      <c r="I23" s="43">
        <v>29</v>
      </c>
      <c r="J23" s="43">
        <v>0</v>
      </c>
      <c r="K23" s="63">
        <f t="shared" si="11"/>
        <v>55</v>
      </c>
      <c r="L23" s="132">
        <f>VLOOKUP($B:$B,'[1]7店'!$B:$L,11,FALSE)</f>
        <v>13.9</v>
      </c>
      <c r="M23" s="44">
        <f t="shared" si="10"/>
        <v>764.5</v>
      </c>
      <c r="N23" s="65">
        <f>IFERROR(VLOOKUP(B:B,'7店辅助表'!B:C,2,FALSE),0)</f>
        <v>3</v>
      </c>
      <c r="O23" s="65">
        <f>IFERROR(VLOOKUP(B:B,'7店辅助表'!E:F,2,FALSE),0)</f>
        <v>9</v>
      </c>
      <c r="P23" s="65">
        <f>IFERROR(VLOOKUP(B:B,'7店辅助表'!H:I,2,FALSE),0)</f>
        <v>22</v>
      </c>
      <c r="Q23" s="65">
        <f>IFERROR(VLOOKUP(B:B,'[1]7店'!$B:$N,13,FALSE),0)</f>
        <v>6</v>
      </c>
      <c r="R23" s="79">
        <f t="shared" si="12"/>
        <v>-3</v>
      </c>
      <c r="S23" s="80">
        <f t="shared" si="13"/>
        <v>93.6486486486486</v>
      </c>
      <c r="T23" s="44">
        <f t="shared" si="14"/>
        <v>3.12162162162162</v>
      </c>
      <c r="U23" s="44">
        <f>IFERROR(VLOOKUP($B:$B,'[1]7店'!$B:$T,19,FALSE),0)</f>
        <v>1.24193548387097</v>
      </c>
      <c r="V23" s="81">
        <f t="shared" si="15"/>
        <v>1.87968613775065</v>
      </c>
      <c r="W23" s="82" t="str">
        <f t="shared" si="16"/>
        <v>库存过高</v>
      </c>
      <c r="X23" s="83" t="str">
        <f t="shared" si="17"/>
        <v>库存过高</v>
      </c>
      <c r="Y23" s="44">
        <f>IFERROR(SUMIF('7店辅助表'!K:K,B:B,'7店辅助表'!N:N),0)</f>
        <v>0</v>
      </c>
      <c r="Z23" s="44">
        <f>IFERROR(SUMIF('7店辅助表'!T:T,B:B,'7店辅助表'!W:W),0)</f>
        <v>0</v>
      </c>
      <c r="AA23" s="44">
        <f>IFERROR(SUMIF('7店辅助表'!AC:AC,B:B,'7店辅助表'!AF:AF),0)</f>
        <v>0</v>
      </c>
      <c r="AB23" s="91" t="str">
        <f>IFERROR(SUMIF('7店辅助表'!K:K,B:B,'7店辅助表'!N:N)/SUMIF('7店辅助表'!K:K,B:B,'7店辅助表'!O:O),"-")</f>
        <v>-</v>
      </c>
      <c r="AC23" s="91" t="str">
        <f>IFERROR(VLOOKUP(B:B,'[1]7店'!$B:$AB,27,FALSE),"-")</f>
        <v>-</v>
      </c>
      <c r="AD23" s="92" t="str">
        <f t="shared" si="18"/>
        <v>-</v>
      </c>
      <c r="AE23" s="91" t="str">
        <f>IFERROR(SUMIF('7店辅助表'!T:T,B:B,'7店辅助表'!W:W)/SUMIF('7店辅助表'!T:T,B:B,'7店辅助表'!X:X),"-")</f>
        <v>-</v>
      </c>
      <c r="AF23" s="91" t="str">
        <f>IFERROR(SUMIF('7店辅助表'!AC:AC,B:B,'7店辅助表'!AF:AF)/SUMIF('7店辅助表'!AC:AC,B:B,'7店辅助表'!AG:AG),"-")</f>
        <v>-</v>
      </c>
      <c r="AG23" s="99">
        <f>IFERROR(AK23/((SUMIF('7店辅助表'!AT:AT,B:B,'7店辅助表'!AU:AU)+M23)/2),"-")</f>
        <v>0.0681818181818182</v>
      </c>
      <c r="AH23" s="99">
        <f>IFERROR(AL23/((SUMIF('7店辅助表'!AW:AW,B:B,'7店辅助表'!AX:AX)+M23)/2),"-")</f>
        <v>0.147540983606557</v>
      </c>
      <c r="AI23" s="100">
        <f>IFERROR((SUMIF('7店辅助表'!AP:AP,B:B,'7店辅助表'!AR:AR)-SUMIF('7店辅助表'!AP:AP,B:B,'7店辅助表'!AR:AR)*0.15-(L23+IFERROR(VLOOKUP(B:B,'7店辅助表'!AZ:BA,2,0),0))*O23-IF(AN:AN="US",6.85,4.9)*(Z23+4.27*O23))/SUMIF('7店辅助表'!AP:AP,B:B,'7店辅助表'!AR:AR),"-")</f>
        <v>0.292070805091522</v>
      </c>
      <c r="AJ23" s="100">
        <f t="shared" si="19"/>
        <v>0.0430924138659623</v>
      </c>
      <c r="AK23" s="101">
        <f t="shared" si="20"/>
        <v>41.7</v>
      </c>
      <c r="AL23" s="101">
        <f t="shared" si="21"/>
        <v>125.1</v>
      </c>
      <c r="AM23" s="1" t="str">
        <f>VLOOKUP(B:B,'7店辅助表'!AZ:AZ,1,FALSE)</f>
        <v>Y72648-NB+Y72649+Y72381</v>
      </c>
      <c r="AN23" t="str">
        <f>VLOOKUP(B:B,'7店辅助表'!AZ:BB,3,FALSE)</f>
        <v>US</v>
      </c>
      <c r="AO23" s="2"/>
      <c r="AP23" s="1"/>
    </row>
    <row r="24" customHeight="1" spans="1:42">
      <c r="A24" s="58" t="str">
        <f>INDEX('[1]7店'!$A:$A,MATCH(B:B,'[1]7店'!$B:$B,0))</f>
        <v>美珠</v>
      </c>
      <c r="B24" s="108" t="s">
        <v>2197</v>
      </c>
      <c r="C24" s="123" t="s">
        <v>2198</v>
      </c>
      <c r="D24" s="59"/>
      <c r="E24" s="43" t="s">
        <v>2199</v>
      </c>
      <c r="F24" s="43">
        <v>106</v>
      </c>
      <c r="G24" s="43">
        <v>1</v>
      </c>
      <c r="H24" s="43">
        <v>43</v>
      </c>
      <c r="I24" s="43">
        <v>30</v>
      </c>
      <c r="J24" s="43">
        <v>0</v>
      </c>
      <c r="K24" s="63">
        <f t="shared" si="11"/>
        <v>180</v>
      </c>
      <c r="L24" s="132">
        <f>VLOOKUP($B:$B,'[1]7店'!$B:$L,11,FALSE)</f>
        <v>13.9</v>
      </c>
      <c r="M24" s="44">
        <f t="shared" si="10"/>
        <v>2502</v>
      </c>
      <c r="N24" s="65">
        <f>IFERROR(VLOOKUP(B:B,'7店辅助表'!B:C,2,FALSE),0)</f>
        <v>9</v>
      </c>
      <c r="O24" s="65">
        <f>IFERROR(VLOOKUP(B:B,'7店辅助表'!E:F,2,FALSE),0)</f>
        <v>17</v>
      </c>
      <c r="P24" s="65">
        <f>IFERROR(VLOOKUP(B:B,'7店辅助表'!H:I,2,FALSE),0)</f>
        <v>37</v>
      </c>
      <c r="Q24" s="65">
        <f>IFERROR(VLOOKUP(B:B,'[1]7店'!$B:$N,13,FALSE),0)</f>
        <v>8</v>
      </c>
      <c r="R24" s="79">
        <f t="shared" si="12"/>
        <v>1</v>
      </c>
      <c r="S24" s="80">
        <f t="shared" si="13"/>
        <v>147.848761408083</v>
      </c>
      <c r="T24" s="44">
        <f t="shared" si="14"/>
        <v>4.92829204693611</v>
      </c>
      <c r="U24" s="44">
        <f>IFERROR(VLOOKUP($B:$B,'[1]7店'!$B:$T,19,FALSE),0)</f>
        <v>4.27072538860104</v>
      </c>
      <c r="V24" s="81">
        <f t="shared" si="15"/>
        <v>0.65756665833507</v>
      </c>
      <c r="W24" s="82" t="str">
        <f t="shared" si="16"/>
        <v>库存过高</v>
      </c>
      <c r="X24" s="83" t="str">
        <f t="shared" si="17"/>
        <v>库存过高</v>
      </c>
      <c r="Y24" s="44">
        <f>IFERROR(SUMIF('7店辅助表'!K:K,B:B,'7店辅助表'!N:N),0)</f>
        <v>28.35</v>
      </c>
      <c r="Z24" s="44">
        <f>IFERROR(SUMIF('7店辅助表'!T:T,B:B,'7店辅助表'!W:W),0)</f>
        <v>64.88</v>
      </c>
      <c r="AA24" s="44">
        <f>IFERROR(SUMIF('7店辅助表'!AC:AC,B:B,'7店辅助表'!AF:AF),0)</f>
        <v>124.3</v>
      </c>
      <c r="AB24" s="91">
        <f>IFERROR(SUMIF('7店辅助表'!K:K,B:B,'7店辅助表'!N:N)/SUMIF('7店辅助表'!K:K,B:B,'7店辅助表'!O:O),"-")</f>
        <v>0.181870669745958</v>
      </c>
      <c r="AC24" s="91">
        <f>IFERROR(VLOOKUP(B:B,'[1]7店'!$B:$AB,27,FALSE),"-")</f>
        <v>0.260129136400323</v>
      </c>
      <c r="AD24" s="92">
        <f t="shared" si="18"/>
        <v>-0.078258466654365</v>
      </c>
      <c r="AE24" s="91">
        <f>IFERROR(SUMIF('7店辅助表'!T:T,B:B,'7店辅助表'!W:W)/SUMIF('7店辅助表'!T:T,B:B,'7店辅助表'!X:X),"-")</f>
        <v>0.212192569335426</v>
      </c>
      <c r="AF24" s="91">
        <f>IFERROR(SUMIF('7店辅助表'!AC:AC,B:B,'7店辅助表'!AF:AF)/SUMIF('7店辅助表'!AC:AC,B:B,'7店辅助表'!AG:AG),"-")</f>
        <v>0.230364357463212</v>
      </c>
      <c r="AG24" s="99">
        <f>IFERROR(AK24/((SUMIF('7店辅助表'!AT:AT,B:B,'7店辅助表'!AU:AU)+M24)/2),"-")</f>
        <v>0.0534124629080119</v>
      </c>
      <c r="AH24" s="99">
        <f>IFERROR(AL24/((SUMIF('7店辅助表'!AW:AW,B:B,'7店辅助表'!AX:AX)+M24)/2),"-")</f>
        <v>0.0913978494623656</v>
      </c>
      <c r="AI24" s="100">
        <f>IFERROR((SUMIF('7店辅助表'!AP:AP,B:B,'7店辅助表'!AR:AR)-SUMIF('7店辅助表'!AP:AP,B:B,'7店辅助表'!AR:AR)*0.15-(L24+IFERROR(VLOOKUP(B:B,'7店辅助表'!AZ:BA,2,0),0))*O24-IF(AN:AN="US",6.85,4.9)*(Z24+4.27*O24))/SUMIF('7店辅助表'!AP:AP,B:B,'7店辅助表'!AR:AR),"-")</f>
        <v>-0.024006385797487</v>
      </c>
      <c r="AJ24" s="100">
        <f t="shared" si="19"/>
        <v>-0.00219413203525419</v>
      </c>
      <c r="AK24" s="101">
        <f t="shared" si="20"/>
        <v>125.1</v>
      </c>
      <c r="AL24" s="101">
        <f t="shared" si="21"/>
        <v>236.3</v>
      </c>
      <c r="AM24" s="1" t="str">
        <f>VLOOKUP(B:B,'7店辅助表'!AZ:AZ,1,FALSE)</f>
        <v>Y72648-OR+Y72649+Y72381</v>
      </c>
      <c r="AN24" t="str">
        <f>VLOOKUP(B:B,'7店辅助表'!AZ:BB,3,FALSE)</f>
        <v>US</v>
      </c>
      <c r="AO24" s="2"/>
      <c r="AP24" s="1"/>
    </row>
    <row r="25" customHeight="1" spans="1:42">
      <c r="A25" s="58" t="str">
        <f>INDEX('[1]7店'!$A:$A,MATCH(B:B,'[1]7店'!$B:$B,0))</f>
        <v>美珠</v>
      </c>
      <c r="B25" s="108" t="s">
        <v>2200</v>
      </c>
      <c r="C25" s="123" t="s">
        <v>2201</v>
      </c>
      <c r="D25" s="59"/>
      <c r="E25" s="43" t="s">
        <v>2202</v>
      </c>
      <c r="F25" s="43">
        <v>0</v>
      </c>
      <c r="G25" s="43">
        <v>0</v>
      </c>
      <c r="H25" s="43">
        <v>0</v>
      </c>
      <c r="I25" s="43">
        <v>2</v>
      </c>
      <c r="J25" s="43">
        <v>0</v>
      </c>
      <c r="K25" s="63">
        <f t="shared" si="11"/>
        <v>2</v>
      </c>
      <c r="L25" s="132">
        <f>VLOOKUP($B:$B,'[1]7店'!$B:$L,11,FALSE)</f>
        <v>13.9</v>
      </c>
      <c r="M25" s="44">
        <f t="shared" si="10"/>
        <v>27.8</v>
      </c>
      <c r="N25" s="65">
        <f>IFERROR(VLOOKUP(B:B,'7店辅助表'!B:C,2,FALSE),0)</f>
        <v>0</v>
      </c>
      <c r="O25" s="65">
        <f>IFERROR(VLOOKUP(B:B,'7店辅助表'!E:F,2,FALSE),0)</f>
        <v>0</v>
      </c>
      <c r="P25" s="65">
        <f>IFERROR(VLOOKUP(B:B,'7店辅助表'!H:I,2,FALSE),0)</f>
        <v>0</v>
      </c>
      <c r="Q25" s="65">
        <f>IFERROR(VLOOKUP(B:B,'[1]7店'!$B:$N,13,FALSE),0)</f>
        <v>0</v>
      </c>
      <c r="R25" s="79">
        <f t="shared" si="12"/>
        <v>0</v>
      </c>
      <c r="S25" s="80" t="str">
        <f t="shared" si="13"/>
        <v>-</v>
      </c>
      <c r="T25" s="44" t="str">
        <f t="shared" si="14"/>
        <v>-</v>
      </c>
      <c r="U25" s="44" t="str">
        <f>IFERROR(VLOOKUP($B:$B,'[1]7店'!$B:$T,19,FALSE),0)</f>
        <v>-</v>
      </c>
      <c r="V25" s="81" t="str">
        <f t="shared" si="15"/>
        <v>-</v>
      </c>
      <c r="W25" s="82" t="str">
        <f t="shared" si="16"/>
        <v>有库存无销量</v>
      </c>
      <c r="X25" s="83" t="str">
        <f t="shared" si="17"/>
        <v>有库存无销量</v>
      </c>
      <c r="Y25" s="44">
        <f>IFERROR(SUMIF('7店辅助表'!K:K,B:B,'7店辅助表'!N:N),0)</f>
        <v>0</v>
      </c>
      <c r="Z25" s="44">
        <f>IFERROR(SUMIF('7店辅助表'!T:T,B:B,'7店辅助表'!W:W),0)</f>
        <v>0</v>
      </c>
      <c r="AA25" s="44">
        <f>IFERROR(SUMIF('7店辅助表'!AC:AC,B:B,'7店辅助表'!AF:AF),0)</f>
        <v>0</v>
      </c>
      <c r="AB25" s="91" t="str">
        <f>IFERROR(SUMIF('7店辅助表'!K:K,B:B,'7店辅助表'!N:N)/SUMIF('7店辅助表'!K:K,B:B,'7店辅助表'!O:O),"-")</f>
        <v>-</v>
      </c>
      <c r="AC25" s="91" t="str">
        <f>IFERROR(VLOOKUP(B:B,'[1]7店'!$B:$AB,27,FALSE),"-")</f>
        <v>-</v>
      </c>
      <c r="AD25" s="92" t="str">
        <f t="shared" si="18"/>
        <v>-</v>
      </c>
      <c r="AE25" s="91" t="str">
        <f>IFERROR(SUMIF('7店辅助表'!T:T,B:B,'7店辅助表'!W:W)/SUMIF('7店辅助表'!T:T,B:B,'7店辅助表'!X:X),"-")</f>
        <v>-</v>
      </c>
      <c r="AF25" s="91" t="str">
        <f>IFERROR(SUMIF('7店辅助表'!AC:AC,B:B,'7店辅助表'!AF:AF)/SUMIF('7店辅助表'!AC:AC,B:B,'7店辅助表'!AG:AG),"-")</f>
        <v>-</v>
      </c>
      <c r="AG25" s="99">
        <f>IFERROR(AK25/((SUMIF('7店辅助表'!AT:AT,B:B,'7店辅助表'!AU:AU)+M25)/2),"-")</f>
        <v>0</v>
      </c>
      <c r="AH25" s="99">
        <f>IFERROR(AL25/((SUMIF('7店辅助表'!AW:AW,B:B,'7店辅助表'!AX:AX)+M25)/2),"-")</f>
        <v>0</v>
      </c>
      <c r="AI25" s="100" t="str">
        <f>IFERROR((SUMIF('7店辅助表'!AP:AP,B:B,'7店辅助表'!AR:AR)-SUMIF('7店辅助表'!AP:AP,B:B,'7店辅助表'!AR:AR)*0.15-(L25+IFERROR(VLOOKUP(B:B,'7店辅助表'!AZ:BA,2,0),0))*O25-IF(AN:AN="US",6.85,4.9)*(Z25+4.27*O25))/SUMIF('7店辅助表'!AP:AP,B:B,'7店辅助表'!AR:AR),"-")</f>
        <v>-</v>
      </c>
      <c r="AJ25" s="100" t="str">
        <f t="shared" si="19"/>
        <v>-</v>
      </c>
      <c r="AK25" s="101">
        <f t="shared" si="20"/>
        <v>0</v>
      </c>
      <c r="AL25" s="101">
        <f t="shared" si="21"/>
        <v>0</v>
      </c>
      <c r="AM25" s="1" t="str">
        <f>VLOOKUP(B:B,'7店辅助表'!AZ:AZ,1,FALSE)</f>
        <v>Y73106-BL+Y73109+Y73112</v>
      </c>
      <c r="AN25" t="str">
        <f>VLOOKUP(B:B,'7店辅助表'!AZ:BB,3,FALSE)</f>
        <v>US</v>
      </c>
      <c r="AO25" s="2"/>
      <c r="AP25" s="1"/>
    </row>
    <row r="26" customHeight="1" spans="1:42">
      <c r="A26" s="58" t="str">
        <f>INDEX('[1]7店'!$A:$A,MATCH(B:B,'[1]7店'!$B:$B,0))</f>
        <v>美珠</v>
      </c>
      <c r="B26" s="108" t="s">
        <v>2203</v>
      </c>
      <c r="C26" s="123" t="s">
        <v>2204</v>
      </c>
      <c r="D26" s="59"/>
      <c r="E26" s="43" t="s">
        <v>2205</v>
      </c>
      <c r="F26" s="43">
        <v>3</v>
      </c>
      <c r="G26" s="43">
        <v>0</v>
      </c>
      <c r="H26" s="43">
        <v>6</v>
      </c>
      <c r="I26" s="43">
        <v>1</v>
      </c>
      <c r="J26" s="43">
        <v>0</v>
      </c>
      <c r="K26" s="63">
        <f t="shared" si="11"/>
        <v>10</v>
      </c>
      <c r="L26" s="132">
        <f>VLOOKUP($B:$B,'[1]7店'!$B:$L,11,FALSE)</f>
        <v>13.9</v>
      </c>
      <c r="M26" s="44">
        <f t="shared" si="10"/>
        <v>139</v>
      </c>
      <c r="N26" s="65">
        <f>IFERROR(VLOOKUP(B:B,'7店辅助表'!B:C,2,FALSE),0)</f>
        <v>0</v>
      </c>
      <c r="O26" s="65">
        <f>IFERROR(VLOOKUP(B:B,'7店辅助表'!E:F,2,FALSE),0)</f>
        <v>0</v>
      </c>
      <c r="P26" s="65">
        <f>IFERROR(VLOOKUP(B:B,'7店辅助表'!H:I,2,FALSE),0)</f>
        <v>2</v>
      </c>
      <c r="Q26" s="65">
        <f>IFERROR(VLOOKUP(B:B,'[1]7店'!$B:$N,13,FALSE),0)</f>
        <v>0</v>
      </c>
      <c r="R26" s="79">
        <f t="shared" si="12"/>
        <v>0</v>
      </c>
      <c r="S26" s="80">
        <f t="shared" si="13"/>
        <v>450</v>
      </c>
      <c r="T26" s="44">
        <f t="shared" si="14"/>
        <v>15</v>
      </c>
      <c r="U26" s="44">
        <f>IFERROR(VLOOKUP($B:$B,'[1]7店'!$B:$T,19,FALSE),0)</f>
        <v>6</v>
      </c>
      <c r="V26" s="81">
        <f t="shared" si="15"/>
        <v>9</v>
      </c>
      <c r="W26" s="82" t="str">
        <f t="shared" si="16"/>
        <v>有库存无销量</v>
      </c>
      <c r="X26" s="83" t="str">
        <f t="shared" si="17"/>
        <v>库存过高</v>
      </c>
      <c r="Y26" s="44">
        <f>IFERROR(SUMIF('7店辅助表'!K:K,B:B,'7店辅助表'!N:N),0)</f>
        <v>4.5</v>
      </c>
      <c r="Z26" s="44">
        <f>IFERROR(SUMIF('7店辅助表'!T:T,B:B,'7店辅助表'!W:W),0)</f>
        <v>4.76</v>
      </c>
      <c r="AA26" s="44">
        <f>IFERROR(SUMIF('7店辅助表'!AC:AC,B:B,'7店辅助表'!AF:AF),0)</f>
        <v>5.4</v>
      </c>
      <c r="AB26" s="91" t="str">
        <f>IFERROR(SUMIF('7店辅助表'!K:K,B:B,'7店辅助表'!N:N)/SUMIF('7店辅助表'!K:K,B:B,'7店辅助表'!O:O),"-")</f>
        <v>-</v>
      </c>
      <c r="AC26" s="91" t="str">
        <f>IFERROR(VLOOKUP(B:B,'[1]7店'!$B:$AB,27,FALSE),"-")</f>
        <v>-</v>
      </c>
      <c r="AD26" s="92" t="str">
        <f t="shared" si="18"/>
        <v>-</v>
      </c>
      <c r="AE26" s="91" t="str">
        <f>IFERROR(SUMIF('7店辅助表'!T:T,B:B,'7店辅助表'!W:W)/SUMIF('7店辅助表'!T:T,B:B,'7店辅助表'!X:X),"-")</f>
        <v>-</v>
      </c>
      <c r="AF26" s="91" t="str">
        <f>IFERROR(SUMIF('7店辅助表'!AC:AC,B:B,'7店辅助表'!AF:AF)/SUMIF('7店辅助表'!AC:AC,B:B,'7店辅助表'!AG:AG),"-")</f>
        <v>-</v>
      </c>
      <c r="AG26" s="99">
        <f>IFERROR(AK26/((SUMIF('7店辅助表'!AT:AT,B:B,'7店辅助表'!AU:AU)+M26)/2),"-")</f>
        <v>0</v>
      </c>
      <c r="AH26" s="99">
        <f>IFERROR(AL26/((SUMIF('7店辅助表'!AW:AW,B:B,'7店辅助表'!AX:AX)+M26)/2),"-")</f>
        <v>0</v>
      </c>
      <c r="AI26" s="100" t="str">
        <f>IFERROR((SUMIF('7店辅助表'!AP:AP,B:B,'7店辅助表'!AR:AR)-SUMIF('7店辅助表'!AP:AP,B:B,'7店辅助表'!AR:AR)*0.15-(L26+IFERROR(VLOOKUP(B:B,'7店辅助表'!AZ:BA,2,0),0))*O26-IF(AN:AN="US",6.85,4.9)*(Z26+4.27*O26))/SUMIF('7店辅助表'!AP:AP,B:B,'7店辅助表'!AR:AR),"-")</f>
        <v>-</v>
      </c>
      <c r="AJ26" s="100" t="str">
        <f t="shared" si="19"/>
        <v>-</v>
      </c>
      <c r="AK26" s="101">
        <f t="shared" si="20"/>
        <v>0</v>
      </c>
      <c r="AL26" s="101">
        <f t="shared" si="21"/>
        <v>0</v>
      </c>
      <c r="AM26" s="1" t="str">
        <f>VLOOKUP(B:B,'7店辅助表'!AZ:AZ,1,FALSE)</f>
        <v>Y73106-DB+Y73109+Y73112</v>
      </c>
      <c r="AN26" t="str">
        <f>VLOOKUP(B:B,'7店辅助表'!AZ:BB,3,FALSE)</f>
        <v>US</v>
      </c>
      <c r="AO26" s="2"/>
      <c r="AP26" s="1"/>
    </row>
    <row r="27" customHeight="1" spans="1:42">
      <c r="A27" s="58" t="str">
        <f>INDEX('[1]7店'!$A:$A,MATCH(B:B,'[1]7店'!$B:$B,0))</f>
        <v>美珠</v>
      </c>
      <c r="B27" s="108" t="s">
        <v>2206</v>
      </c>
      <c r="C27" s="123" t="s">
        <v>2207</v>
      </c>
      <c r="D27" s="59"/>
      <c r="E27" s="43" t="s">
        <v>2208</v>
      </c>
      <c r="F27" s="43">
        <v>8</v>
      </c>
      <c r="G27" s="43">
        <v>0</v>
      </c>
      <c r="H27" s="43">
        <v>0</v>
      </c>
      <c r="I27" s="43">
        <v>0</v>
      </c>
      <c r="J27" s="43">
        <v>0</v>
      </c>
      <c r="K27" s="63">
        <f t="shared" si="11"/>
        <v>8</v>
      </c>
      <c r="L27" s="132">
        <f>VLOOKUP($B:$B,'[1]7店'!$B:$L,11,FALSE)</f>
        <v>13.9</v>
      </c>
      <c r="M27" s="44">
        <f t="shared" si="10"/>
        <v>111.2</v>
      </c>
      <c r="N27" s="65">
        <f>IFERROR(VLOOKUP(B:B,'7店辅助表'!B:C,2,FALSE),0)</f>
        <v>1</v>
      </c>
      <c r="O27" s="65">
        <f>IFERROR(VLOOKUP(B:B,'7店辅助表'!E:F,2,FALSE),0)</f>
        <v>3</v>
      </c>
      <c r="P27" s="65">
        <f>IFERROR(VLOOKUP(B:B,'7店辅助表'!H:I,2,FALSE),0)</f>
        <v>5</v>
      </c>
      <c r="Q27" s="65">
        <f>IFERROR(VLOOKUP(B:B,'[1]7店'!$B:$N,13,FALSE),0)</f>
        <v>2</v>
      </c>
      <c r="R27" s="79">
        <f t="shared" si="12"/>
        <v>-1</v>
      </c>
      <c r="S27" s="80">
        <f t="shared" si="13"/>
        <v>47.1028037383178</v>
      </c>
      <c r="T27" s="44">
        <f t="shared" si="14"/>
        <v>1.57009345794393</v>
      </c>
      <c r="U27" s="44">
        <f>IFERROR(VLOOKUP($B:$B,'[1]7店'!$B:$T,19,FALSE),0)</f>
        <v>1.39072847682119</v>
      </c>
      <c r="V27" s="81">
        <f t="shared" si="15"/>
        <v>0.17936498112274</v>
      </c>
      <c r="W27" s="82" t="str">
        <f t="shared" si="16"/>
        <v>库存过高</v>
      </c>
      <c r="X27" s="83" t="str">
        <f t="shared" si="17"/>
        <v>库存过高</v>
      </c>
      <c r="Y27" s="44">
        <f>IFERROR(SUMIF('7店辅助表'!K:K,B:B,'7店辅助表'!N:N),0)</f>
        <v>1.56</v>
      </c>
      <c r="Z27" s="44">
        <f>IFERROR(SUMIF('7店辅助表'!T:T,B:B,'7店辅助表'!W:W),0)</f>
        <v>3.64</v>
      </c>
      <c r="AA27" s="44">
        <f>IFERROR(SUMIF('7店辅助表'!AC:AC,B:B,'7店辅助表'!AF:AF),0)</f>
        <v>6.71</v>
      </c>
      <c r="AB27" s="91">
        <f>IFERROR(SUMIF('7店辅助表'!K:K,B:B,'7店辅助表'!N:N)/SUMIF('7店辅助表'!K:K,B:B,'7店辅助表'!O:O),"-")</f>
        <v>0.120092378752887</v>
      </c>
      <c r="AC27" s="91" t="str">
        <f>IFERROR(VLOOKUP(B:B,'[1]7店'!$B:$AB,27,FALSE),"-")</f>
        <v>-</v>
      </c>
      <c r="AD27" s="92" t="str">
        <f t="shared" si="18"/>
        <v>-</v>
      </c>
      <c r="AE27" s="91">
        <f>IFERROR(SUMIF('7店辅助表'!T:T,B:B,'7店辅助表'!W:W)/SUMIF('7店辅助表'!T:T,B:B,'7店辅助表'!X:X),"-")</f>
        <v>0.280215550423403</v>
      </c>
      <c r="AF27" s="91">
        <f>IFERROR(SUMIF('7店辅助表'!AC:AC,B:B,'7店辅助表'!AF:AF)/SUMIF('7店辅助表'!AC:AC,B:B,'7店辅助表'!AG:AG),"-")</f>
        <v>0.258275596612779</v>
      </c>
      <c r="AG27" s="99">
        <f>IFERROR(AK27/((SUMIF('7店辅助表'!AT:AT,B:B,'7店辅助表'!AU:AU)+M27)/2),"-")</f>
        <v>0.111111111111111</v>
      </c>
      <c r="AH27" s="99">
        <f>IFERROR(AL27/((SUMIF('7店辅助表'!AW:AW,B:B,'7店辅助表'!AX:AX)+M27)/2),"-")</f>
        <v>0.461538461538462</v>
      </c>
      <c r="AI27" s="100">
        <f>IFERROR((SUMIF('7店辅助表'!AP:AP,B:B,'7店辅助表'!AR:AR)-SUMIF('7店辅助表'!AP:AP,B:B,'7店辅助表'!AR:AR)*0.15-(L27+IFERROR(VLOOKUP(B:B,'7店辅助表'!AZ:BA,2,0),0))*O27-IF(AN:AN="US",6.85,4.9)*(Z27+4.27*O27))/SUMIF('7店辅助表'!AP:AP,B:B,'7店辅助表'!AR:AR),"-")</f>
        <v>0.162753090392881</v>
      </c>
      <c r="AJ27" s="100">
        <f t="shared" si="19"/>
        <v>0.0751168109505606</v>
      </c>
      <c r="AK27" s="101">
        <f t="shared" si="20"/>
        <v>13.9</v>
      </c>
      <c r="AL27" s="101">
        <f t="shared" si="21"/>
        <v>41.7</v>
      </c>
      <c r="AM27" s="1" t="str">
        <f>VLOOKUP(B:B,'7店辅助表'!AZ:AZ,1,FALSE)</f>
        <v>Y73106-OR+Y73109+Y73112</v>
      </c>
      <c r="AN27" t="str">
        <f>VLOOKUP(B:B,'7店辅助表'!AZ:BB,3,FALSE)</f>
        <v>US</v>
      </c>
      <c r="AO27" s="2"/>
      <c r="AP27" s="1"/>
    </row>
    <row r="28" customHeight="1" spans="1:42">
      <c r="A28" s="58" t="str">
        <f>INDEX('[1]7店'!$A:$A,MATCH(B:B,'[1]7店'!$B:$B,0))</f>
        <v>美珠</v>
      </c>
      <c r="B28" s="108" t="s">
        <v>2209</v>
      </c>
      <c r="C28" s="123" t="s">
        <v>92</v>
      </c>
      <c r="D28" s="59"/>
      <c r="E28" s="43" t="s">
        <v>2210</v>
      </c>
      <c r="F28" s="43">
        <v>17</v>
      </c>
      <c r="G28" s="43">
        <v>0</v>
      </c>
      <c r="H28" s="43">
        <v>1</v>
      </c>
      <c r="I28" s="43">
        <v>0</v>
      </c>
      <c r="J28" s="43">
        <v>0</v>
      </c>
      <c r="K28" s="63">
        <f t="shared" si="11"/>
        <v>18</v>
      </c>
      <c r="L28" s="132">
        <f>VLOOKUP($B:$B,'[1]7店'!$B:$L,11,FALSE)</f>
        <v>13.9</v>
      </c>
      <c r="M28" s="44">
        <f t="shared" si="10"/>
        <v>250.2</v>
      </c>
      <c r="N28" s="65">
        <f>IFERROR(VLOOKUP(B:B,'7店辅助表'!B:C,2,FALSE),0)</f>
        <v>0</v>
      </c>
      <c r="O28" s="65">
        <f>IFERROR(VLOOKUP(B:B,'7店辅助表'!E:F,2,FALSE),0)</f>
        <v>0</v>
      </c>
      <c r="P28" s="65">
        <f>IFERROR(VLOOKUP(B:B,'7店辅助表'!H:I,2,FALSE),0)</f>
        <v>2</v>
      </c>
      <c r="Q28" s="65">
        <f>IFERROR(VLOOKUP(B:B,'[1]7店'!$B:$N,13,FALSE),0)</f>
        <v>0</v>
      </c>
      <c r="R28" s="79">
        <f t="shared" si="12"/>
        <v>0</v>
      </c>
      <c r="S28" s="80">
        <f t="shared" si="13"/>
        <v>810</v>
      </c>
      <c r="T28" s="44">
        <f t="shared" si="14"/>
        <v>27</v>
      </c>
      <c r="U28" s="44">
        <f>IFERROR(VLOOKUP($B:$B,'[1]7店'!$B:$T,19,FALSE),0)</f>
        <v>6.75</v>
      </c>
      <c r="V28" s="81">
        <f t="shared" si="15"/>
        <v>20.25</v>
      </c>
      <c r="W28" s="82" t="str">
        <f t="shared" si="16"/>
        <v>有库存无销量</v>
      </c>
      <c r="X28" s="83" t="str">
        <f t="shared" si="17"/>
        <v>库存过高</v>
      </c>
      <c r="Y28" s="44">
        <f>IFERROR(SUMIF('7店辅助表'!K:K,B:B,'7店辅助表'!N:N),0)</f>
        <v>5.75</v>
      </c>
      <c r="Z28" s="44">
        <f>IFERROR(SUMIF('7店辅助表'!T:T,B:B,'7店辅助表'!W:W),0)</f>
        <v>11.71</v>
      </c>
      <c r="AA28" s="44">
        <f>IFERROR(SUMIF('7店辅助表'!AC:AC,B:B,'7店辅助表'!AF:AF),0)</f>
        <v>19.14</v>
      </c>
      <c r="AB28" s="91" t="str">
        <f>IFERROR(SUMIF('7店辅助表'!K:K,B:B,'7店辅助表'!N:N)/SUMIF('7店辅助表'!K:K,B:B,'7店辅助表'!O:O),"-")</f>
        <v>-</v>
      </c>
      <c r="AC28" s="91" t="str">
        <f>IFERROR(VLOOKUP(B:B,'[1]7店'!$B:$AB,27,FALSE),"-")</f>
        <v>-</v>
      </c>
      <c r="AD28" s="92" t="str">
        <f t="shared" si="18"/>
        <v>-</v>
      </c>
      <c r="AE28" s="91" t="str">
        <f>IFERROR(SUMIF('7店辅助表'!T:T,B:B,'7店辅助表'!W:W)/SUMIF('7店辅助表'!T:T,B:B,'7店辅助表'!X:X),"-")</f>
        <v>-</v>
      </c>
      <c r="AF28" s="91">
        <f>IFERROR(SUMIF('7店辅助表'!AC:AC,B:B,'7店辅助表'!AF:AF)/SUMIF('7店辅助表'!AC:AC,B:B,'7店辅助表'!AG:AG),"-")</f>
        <v>1.47344110854503</v>
      </c>
      <c r="AG28" s="99">
        <f>IFERROR(AK28/((SUMIF('7店辅助表'!AT:AT,B:B,'7店辅助表'!AU:AU)+M28)/2),"-")</f>
        <v>0</v>
      </c>
      <c r="AH28" s="99">
        <f>IFERROR(AL28/((SUMIF('7店辅助表'!AW:AW,B:B,'7店辅助表'!AX:AX)+M28)/2),"-")</f>
        <v>0</v>
      </c>
      <c r="AI28" s="100" t="str">
        <f>IFERROR((SUMIF('7店辅助表'!AP:AP,B:B,'7店辅助表'!AR:AR)-SUMIF('7店辅助表'!AP:AP,B:B,'7店辅助表'!AR:AR)*0.15-(L28+IFERROR(VLOOKUP(B:B,'7店辅助表'!AZ:BA,2,0),0))*O28-IF(AN:AN="US",6.85,4.9)*(Z28+4.27*O28))/SUMIF('7店辅助表'!AP:AP,B:B,'7店辅助表'!AR:AR),"-")</f>
        <v>-</v>
      </c>
      <c r="AJ28" s="100" t="str">
        <f t="shared" si="19"/>
        <v>-</v>
      </c>
      <c r="AK28" s="101">
        <f t="shared" si="20"/>
        <v>0</v>
      </c>
      <c r="AL28" s="101">
        <f t="shared" si="21"/>
        <v>0</v>
      </c>
      <c r="AM28" s="1" t="str">
        <f>VLOOKUP(B:B,'7店辅助表'!AZ:AZ,1,FALSE)</f>
        <v>Y73230-BL+Y73231+Y73240</v>
      </c>
      <c r="AN28" t="str">
        <f>VLOOKUP(B:B,'7店辅助表'!AZ:BB,3,FALSE)</f>
        <v>US</v>
      </c>
      <c r="AO28" s="2"/>
      <c r="AP28" s="1"/>
    </row>
    <row r="29" customHeight="1" spans="1:42">
      <c r="A29" s="58" t="str">
        <f>INDEX('[1]7店'!$A:$A,MATCH(B:B,'[1]7店'!$B:$B,0))</f>
        <v>美珠</v>
      </c>
      <c r="B29" s="108" t="s">
        <v>2211</v>
      </c>
      <c r="C29" s="123" t="s">
        <v>2212</v>
      </c>
      <c r="D29" s="59"/>
      <c r="E29" s="43" t="s">
        <v>2213</v>
      </c>
      <c r="F29" s="43">
        <v>12</v>
      </c>
      <c r="G29" s="43">
        <v>0</v>
      </c>
      <c r="H29" s="43">
        <v>0</v>
      </c>
      <c r="I29" s="43">
        <v>0</v>
      </c>
      <c r="J29" s="43">
        <v>0</v>
      </c>
      <c r="K29" s="63">
        <f t="shared" si="11"/>
        <v>12</v>
      </c>
      <c r="L29" s="132">
        <f>VLOOKUP($B:$B,'[1]7店'!$B:$L,11,FALSE)</f>
        <v>13.9</v>
      </c>
      <c r="M29" s="44">
        <f t="shared" si="10"/>
        <v>166.8</v>
      </c>
      <c r="N29" s="65">
        <f>IFERROR(VLOOKUP(B:B,'7店辅助表'!B:C,2,FALSE),0)</f>
        <v>2</v>
      </c>
      <c r="O29" s="65">
        <f>IFERROR(VLOOKUP(B:B,'7店辅助表'!E:F,2,FALSE),0)</f>
        <v>4</v>
      </c>
      <c r="P29" s="65">
        <f>IFERROR(VLOOKUP(B:B,'7店辅助表'!H:I,2,FALSE),0)</f>
        <v>5</v>
      </c>
      <c r="Q29" s="65">
        <f>IFERROR(VLOOKUP(B:B,'[1]7店'!$B:$N,13,FALSE),0)</f>
        <v>2</v>
      </c>
      <c r="R29" s="79">
        <f t="shared" si="12"/>
        <v>0</v>
      </c>
      <c r="S29" s="80">
        <f t="shared" si="13"/>
        <v>50.0662251655629</v>
      </c>
      <c r="T29" s="44">
        <f t="shared" si="14"/>
        <v>1.66887417218543</v>
      </c>
      <c r="U29" s="44">
        <f>IFERROR(VLOOKUP($B:$B,'[1]7店'!$B:$T,19,FALSE),0)</f>
        <v>2.69724770642202</v>
      </c>
      <c r="V29" s="81">
        <f t="shared" si="15"/>
        <v>-1.02837353423659</v>
      </c>
      <c r="W29" s="82" t="str">
        <f t="shared" si="16"/>
        <v>正常</v>
      </c>
      <c r="X29" s="83" t="str">
        <f t="shared" si="17"/>
        <v>库存过高</v>
      </c>
      <c r="Y29" s="44">
        <f>IFERROR(SUMIF('7店辅助表'!K:K,B:B,'7店辅助表'!N:N),0)</f>
        <v>1.75</v>
      </c>
      <c r="Z29" s="44">
        <f>IFERROR(SUMIF('7店辅助表'!T:T,B:B,'7店辅助表'!W:W),0)</f>
        <v>6.48</v>
      </c>
      <c r="AA29" s="44">
        <f>IFERROR(SUMIF('7店辅助表'!AC:AC,B:B,'7店辅助表'!AF:AF),0)</f>
        <v>12.27</v>
      </c>
      <c r="AB29" s="91" t="str">
        <f>IFERROR(SUMIF('7店辅助表'!K:K,B:B,'7店辅助表'!N:N)/SUMIF('7店辅助表'!K:K,B:B,'7店辅助表'!O:O),"-")</f>
        <v>-</v>
      </c>
      <c r="AC29" s="91">
        <f>IFERROR(VLOOKUP(B:B,'[1]7店'!$B:$AB,27,FALSE),"-")</f>
        <v>0.317936874518861</v>
      </c>
      <c r="AD29" s="92" t="str">
        <f t="shared" si="18"/>
        <v>-</v>
      </c>
      <c r="AE29" s="91">
        <f>IFERROR(SUMIF('7店辅助表'!T:T,B:B,'7店辅助表'!W:W)/SUMIF('7店辅助表'!T:T,B:B,'7店辅助表'!X:X),"-")</f>
        <v>0.498845265588915</v>
      </c>
      <c r="AF29" s="91">
        <f>IFERROR(SUMIF('7店辅助表'!AC:AC,B:B,'7店辅助表'!AF:AF)/SUMIF('7店辅助表'!AC:AC,B:B,'7店辅助表'!AG:AG),"-")</f>
        <v>0.944572748267898</v>
      </c>
      <c r="AG29" s="99">
        <f>IFERROR(AK29/((SUMIF('7店辅助表'!AT:AT,B:B,'7店辅助表'!AU:AU)+M29)/2),"-")</f>
        <v>0.153846153846154</v>
      </c>
      <c r="AH29" s="99">
        <f>IFERROR(AL29/((SUMIF('7店辅助表'!AW:AW,B:B,'7店辅助表'!AX:AX)+M29)/2),"-")</f>
        <v>0.266666666666667</v>
      </c>
      <c r="AI29" s="100">
        <f>IFERROR((SUMIF('7店辅助表'!AP:AP,B:B,'7店辅助表'!AR:AR)-SUMIF('7店辅助表'!AP:AP,B:B,'7店辅助表'!AR:AR)*0.15-(L29+IFERROR(VLOOKUP(B:B,'7店辅助表'!AZ:BA,2,0),0))*O29-IF(AN:AN="US",6.85,4.9)*(Z29+4.27*O29))/SUMIF('7店辅助表'!AP:AP,B:B,'7店辅助表'!AR:AR),"-")</f>
        <v>0.278452799832032</v>
      </c>
      <c r="AJ29" s="100">
        <f t="shared" si="19"/>
        <v>0.0742540799552086</v>
      </c>
      <c r="AK29" s="101">
        <f t="shared" si="20"/>
        <v>27.8</v>
      </c>
      <c r="AL29" s="101">
        <f t="shared" si="21"/>
        <v>55.6</v>
      </c>
      <c r="AM29" s="1" t="str">
        <f>VLOOKUP(B:B,'7店辅助表'!AZ:AZ,1,FALSE)</f>
        <v>Y73230-DB+Y73231+Y73240</v>
      </c>
      <c r="AN29" t="str">
        <f>VLOOKUP(B:B,'7店辅助表'!AZ:BB,3,FALSE)</f>
        <v>US</v>
      </c>
      <c r="AO29" s="2"/>
      <c r="AP29" s="1"/>
    </row>
    <row r="30" customHeight="1" spans="1:42">
      <c r="A30" s="58" t="str">
        <f>INDEX('[1]7店'!$A:$A,MATCH(B:B,'[1]7店'!$B:$B,0))</f>
        <v>美珠</v>
      </c>
      <c r="B30" s="108" t="s">
        <v>2214</v>
      </c>
      <c r="C30" s="123" t="s">
        <v>2215</v>
      </c>
      <c r="D30" s="59"/>
      <c r="E30" s="43" t="s">
        <v>2216</v>
      </c>
      <c r="F30" s="43">
        <v>8</v>
      </c>
      <c r="G30" s="43">
        <v>0</v>
      </c>
      <c r="H30" s="43">
        <v>0</v>
      </c>
      <c r="I30" s="43">
        <v>1</v>
      </c>
      <c r="J30" s="43">
        <v>0</v>
      </c>
      <c r="K30" s="63">
        <f t="shared" si="11"/>
        <v>9</v>
      </c>
      <c r="L30" s="132">
        <f>VLOOKUP($B:$B,'[1]7店'!$B:$L,11,FALSE)</f>
        <v>13.9</v>
      </c>
      <c r="M30" s="44">
        <f t="shared" si="10"/>
        <v>125.1</v>
      </c>
      <c r="N30" s="65">
        <f>IFERROR(VLOOKUP(B:B,'7店辅助表'!B:C,2,FALSE),0)</f>
        <v>2</v>
      </c>
      <c r="O30" s="65">
        <f>IFERROR(VLOOKUP(B:B,'7店辅助表'!E:F,2,FALSE),0)</f>
        <v>2</v>
      </c>
      <c r="P30" s="65">
        <f>IFERROR(VLOOKUP(B:B,'7店辅助表'!H:I,2,FALSE),0)</f>
        <v>3</v>
      </c>
      <c r="Q30" s="65">
        <f>IFERROR(VLOOKUP(B:B,'[1]7店'!$B:$N,13,FALSE),0)</f>
        <v>0</v>
      </c>
      <c r="R30" s="79">
        <f t="shared" si="12"/>
        <v>2</v>
      </c>
      <c r="S30" s="80">
        <f t="shared" si="13"/>
        <v>52.0183486238532</v>
      </c>
      <c r="T30" s="44">
        <f t="shared" si="14"/>
        <v>1.73394495412844</v>
      </c>
      <c r="U30" s="44">
        <f>IFERROR(VLOOKUP($B:$B,'[1]7店'!$B:$T,19,FALSE),0)</f>
        <v>9</v>
      </c>
      <c r="V30" s="81">
        <f t="shared" si="15"/>
        <v>-7.26605504587156</v>
      </c>
      <c r="W30" s="82" t="str">
        <f t="shared" si="16"/>
        <v>正常</v>
      </c>
      <c r="X30" s="83" t="str">
        <f t="shared" si="17"/>
        <v>库存过高</v>
      </c>
      <c r="Y30" s="44">
        <f>IFERROR(SUMIF('7店辅助表'!K:K,B:B,'7店辅助表'!N:N),0)</f>
        <v>0</v>
      </c>
      <c r="Z30" s="44">
        <f>IFERROR(SUMIF('7店辅助表'!T:T,B:B,'7店辅助表'!W:W),0)</f>
        <v>0</v>
      </c>
      <c r="AA30" s="44">
        <f>IFERROR(SUMIF('7店辅助表'!AC:AC,B:B,'7店辅助表'!AF:AF),0)</f>
        <v>0</v>
      </c>
      <c r="AB30" s="91" t="str">
        <f>IFERROR(SUMIF('7店辅助表'!K:K,B:B,'7店辅助表'!N:N)/SUMIF('7店辅助表'!K:K,B:B,'7店辅助表'!O:O),"-")</f>
        <v>-</v>
      </c>
      <c r="AC30" s="91" t="str">
        <f>IFERROR(VLOOKUP(B:B,'[1]7店'!$B:$AB,27,FALSE),"-")</f>
        <v>-</v>
      </c>
      <c r="AD30" s="92" t="str">
        <f t="shared" si="18"/>
        <v>-</v>
      </c>
      <c r="AE30" s="91" t="str">
        <f>IFERROR(SUMIF('7店辅助表'!T:T,B:B,'7店辅助表'!W:W)/SUMIF('7店辅助表'!T:T,B:B,'7店辅助表'!X:X),"-")</f>
        <v>-</v>
      </c>
      <c r="AF30" s="91" t="str">
        <f>IFERROR(SUMIF('7店辅助表'!AC:AC,B:B,'7店辅助表'!AF:AF)/SUMIF('7店辅助表'!AC:AC,B:B,'7店辅助表'!AG:AG),"-")</f>
        <v>-</v>
      </c>
      <c r="AG30" s="99">
        <f>IFERROR(AK30/((SUMIF('7店辅助表'!AT:AT,B:B,'7店辅助表'!AU:AU)+M30)/2),"-")</f>
        <v>0.222222222222222</v>
      </c>
      <c r="AH30" s="99">
        <f>IFERROR(AL30/((SUMIF('7店辅助表'!AW:AW,B:B,'7店辅助表'!AX:AX)+M30)/2),"-")</f>
        <v>0.153846153846154</v>
      </c>
      <c r="AI30" s="100">
        <f>IFERROR((SUMIF('7店辅助表'!AP:AP,B:B,'7店辅助表'!AR:AR)-SUMIF('7店辅助表'!AP:AP,B:B,'7店辅助表'!AR:AR)*0.15-(L30+IFERROR(VLOOKUP(B:B,'7店辅助表'!AZ:BA,2,0),0))*O30-IF(AN:AN="US",6.85,4.9)*(Z30+4.27*O30))/SUMIF('7店辅助表'!AP:AP,B:B,'7店辅助表'!AR:AR),"-")</f>
        <v>0.294609272713991</v>
      </c>
      <c r="AJ30" s="100">
        <f t="shared" si="19"/>
        <v>0.0453245034944602</v>
      </c>
      <c r="AK30" s="101">
        <f t="shared" si="20"/>
        <v>27.8</v>
      </c>
      <c r="AL30" s="101">
        <f t="shared" si="21"/>
        <v>27.8</v>
      </c>
      <c r="AM30" s="1" t="str">
        <f>VLOOKUP(B:B,'7店辅助表'!AZ:AZ,1,FALSE)</f>
        <v>Y73230-OR+Y73231+Y73240</v>
      </c>
      <c r="AN30" t="str">
        <f>VLOOKUP(B:B,'7店辅助表'!AZ:BB,3,FALSE)</f>
        <v>US</v>
      </c>
      <c r="AO30" s="2"/>
      <c r="AP30" s="1"/>
    </row>
    <row r="31" customHeight="1" spans="1:42">
      <c r="A31" s="58" t="str">
        <f>INDEX('[1]7店'!$A:$A,MATCH(B:B,'[1]7店'!$B:$B,0))</f>
        <v>美珠</v>
      </c>
      <c r="B31" s="108" t="s">
        <v>2217</v>
      </c>
      <c r="C31" s="123" t="s">
        <v>2218</v>
      </c>
      <c r="D31" s="59"/>
      <c r="E31" s="43" t="s">
        <v>2219</v>
      </c>
      <c r="F31" s="43">
        <v>10</v>
      </c>
      <c r="G31" s="43">
        <v>0</v>
      </c>
      <c r="H31" s="43">
        <v>0</v>
      </c>
      <c r="I31" s="43">
        <v>1</v>
      </c>
      <c r="J31" s="43">
        <v>0</v>
      </c>
      <c r="K31" s="63">
        <f t="shared" si="11"/>
        <v>11</v>
      </c>
      <c r="L31" s="132">
        <f>VLOOKUP($B:$B,'[1]7店'!$B:$L,11,FALSE)</f>
        <v>13.9</v>
      </c>
      <c r="M31" s="44">
        <f t="shared" si="10"/>
        <v>152.9</v>
      </c>
      <c r="N31" s="65">
        <f>IFERROR(VLOOKUP(B:B,'7店辅助表'!B:C,2,FALSE),0)</f>
        <v>3</v>
      </c>
      <c r="O31" s="65">
        <f>IFERROR(VLOOKUP(B:B,'7店辅助表'!E:F,2,FALSE),0)</f>
        <v>6</v>
      </c>
      <c r="P31" s="65">
        <f>IFERROR(VLOOKUP(B:B,'7店辅助表'!H:I,2,FALSE),0)</f>
        <v>10</v>
      </c>
      <c r="Q31" s="65">
        <f>IFERROR(VLOOKUP(B:B,'[1]7店'!$B:$N,13,FALSE),0)</f>
        <v>2</v>
      </c>
      <c r="R31" s="79">
        <f t="shared" ref="R31:R53" si="22">N31-Q31</f>
        <v>1</v>
      </c>
      <c r="S31" s="80">
        <f t="shared" ref="S31:S53" si="23">IFERROR(K31/((N31/7+O31/15+P31/30)/3),"-")</f>
        <v>28.4016393442623</v>
      </c>
      <c r="T31" s="44">
        <f t="shared" ref="T31:T53" si="24">IFERROR(S31/30,"-")</f>
        <v>0.94672131147541</v>
      </c>
      <c r="U31" s="44">
        <f>IFERROR(VLOOKUP($B:$B,'[1]7店'!$B:$T,19,FALSE),0)</f>
        <v>1.46774193548387</v>
      </c>
      <c r="V31" s="81">
        <f t="shared" ref="V31:V53" si="25">IFERROR(T31-U31,"-")</f>
        <v>-0.52102062400846</v>
      </c>
      <c r="W31" s="82" t="str">
        <f t="shared" ref="W31:W53" si="26">_xlfn.IFS(AND(D31&lt;&gt;0,D31-$AM$2&gt;=0,B31&gt;0,D31&lt;&gt;0),"本月刚到货",AND(IFERROR((K31/(N31/7))/30,"-")="-",K31&gt;0),"有库存无销量",AND(IFERROR((K31/(N31/7))/30,"-")="-",K31=0),"无库存无销量",AND(IFERROR((K31/(N31/7))/30,"-")&lt;=0.5,K31=0),"无库存有销量",IFERROR((K31/(N31/7))/30,"-")&lt;=0.5,"库存过低",IFERROR((K31/(N31/7))/30,"-")&lt;=1.5,"正常",IFERROR((K31/(N31/7))/30,"-")&gt;1.5,"库存过高")</f>
        <v>正常</v>
      </c>
      <c r="X31" s="83" t="str">
        <f t="shared" ref="X31:X53" si="27">_xlfn.IFS(AND(D31&lt;&gt;0,D31-$AM$2&gt;=0,K31&gt;0,D31&lt;&gt;0),"本月刚到货",AND(T31="-",K31&gt;0),"有库存无销量",AND(T31="-",K31=0),"无库存无销量",AND(T31&lt;=0.5,K31=0),"无库存有销量",T31&lt;=0.5,"库存过低",T31&lt;=1.5,"正常",T31&gt;1.5,"库存过高")</f>
        <v>正常</v>
      </c>
      <c r="Y31" s="44">
        <f>IFERROR(SUMIF('7店辅助表'!K:K,B:B,'7店辅助表'!N:N),0)</f>
        <v>0</v>
      </c>
      <c r="Z31" s="44">
        <f>IFERROR(SUMIF('7店辅助表'!T:T,B:B,'7店辅助表'!W:W),0)</f>
        <v>0</v>
      </c>
      <c r="AA31" s="44">
        <f>IFERROR(SUMIF('7店辅助表'!AC:AC,B:B,'7店辅助表'!AF:AF),0)</f>
        <v>0</v>
      </c>
      <c r="AB31" s="91" t="str">
        <f>IFERROR(SUMIF('7店辅助表'!K:K,B:B,'7店辅助表'!N:N)/SUMIF('7店辅助表'!K:K,B:B,'7店辅助表'!O:O),"-")</f>
        <v>-</v>
      </c>
      <c r="AC31" s="91" t="str">
        <f>IFERROR(VLOOKUP(B:B,'[1]7店'!$B:$AB,27,FALSE),"-")</f>
        <v>-</v>
      </c>
      <c r="AD31" s="92" t="str">
        <f t="shared" ref="AD31:AD53" si="28">IFERROR(AB31-AC31,"-")</f>
        <v>-</v>
      </c>
      <c r="AE31" s="91" t="str">
        <f>IFERROR(SUMIF('7店辅助表'!T:T,B:B,'7店辅助表'!W:W)/SUMIF('7店辅助表'!T:T,B:B,'7店辅助表'!X:X),"-")</f>
        <v>-</v>
      </c>
      <c r="AF31" s="91" t="str">
        <f>IFERROR(SUMIF('7店辅助表'!AC:AC,B:B,'7店辅助表'!AF:AF)/SUMIF('7店辅助表'!AC:AC,B:B,'7店辅助表'!AG:AG),"-")</f>
        <v>-</v>
      </c>
      <c r="AG31" s="99">
        <f>IFERROR(AK31/((SUMIF('7店辅助表'!AT:AT,B:B,'7店辅助表'!AU:AU)+M31)/2),"-")</f>
        <v>0.25</v>
      </c>
      <c r="AH31" s="99">
        <f>IFERROR(AL31/((SUMIF('7店辅助表'!AW:AW,B:B,'7店辅助表'!AX:AX)+M31)/2),"-")</f>
        <v>0.4</v>
      </c>
      <c r="AI31" s="100">
        <f>IFERROR((SUMIF('7店辅助表'!AP:AP,B:B,'7店辅助表'!AR:AR)-SUMIF('7店辅助表'!AP:AP,B:B,'7店辅助表'!AR:AR)*0.15-(L31+IFERROR(VLOOKUP(B:B,'7店辅助表'!AZ:BA,2,0),0))*O31-IF(AN:AN="US",6.85,4.9)*(Z31+4.27*O31))/SUMIF('7店辅助表'!AP:AP,B:B,'7店辅助表'!AR:AR),"-")</f>
        <v>0.276095130808226</v>
      </c>
      <c r="AJ31" s="100">
        <f t="shared" ref="AJ31:AJ53" si="29">IFERROR(AH31*AI31,"-")</f>
        <v>0.11043805232329</v>
      </c>
      <c r="AK31" s="101">
        <f t="shared" ref="AK31:AK53" si="30">N31*$L31</f>
        <v>41.7</v>
      </c>
      <c r="AL31" s="101">
        <f t="shared" ref="AL31:AL53" si="31">O31*$L31</f>
        <v>83.4</v>
      </c>
      <c r="AM31" s="1" t="str">
        <f>VLOOKUP(B:B,'7店辅助表'!AZ:AZ,1,FALSE)</f>
        <v>Y73040-BL+Y73045+Y73063</v>
      </c>
      <c r="AN31" t="str">
        <f>VLOOKUP(B:B,'7店辅助表'!AZ:BB,3,FALSE)</f>
        <v>US</v>
      </c>
      <c r="AO31" s="2"/>
      <c r="AP31" s="1"/>
    </row>
    <row r="32" customHeight="1" spans="1:40">
      <c r="A32" s="58" t="str">
        <f>INDEX('[1]7店'!$A:$A,MATCH(B:B,'[1]7店'!$B:$B,0))</f>
        <v>美珠</v>
      </c>
      <c r="B32" s="108" t="s">
        <v>2220</v>
      </c>
      <c r="C32" s="43" t="s">
        <v>2221</v>
      </c>
      <c r="D32" s="59"/>
      <c r="E32" s="43" t="s">
        <v>2222</v>
      </c>
      <c r="F32" s="43">
        <v>5</v>
      </c>
      <c r="G32" s="43">
        <v>0</v>
      </c>
      <c r="H32" s="43">
        <v>0</v>
      </c>
      <c r="I32" s="43">
        <v>0</v>
      </c>
      <c r="J32" s="43">
        <v>0</v>
      </c>
      <c r="K32" s="63">
        <f t="shared" si="11"/>
        <v>5</v>
      </c>
      <c r="L32" s="132">
        <f>VLOOKUP($B:$B,'[1]7店'!$B:$L,11,FALSE)</f>
        <v>13.9</v>
      </c>
      <c r="M32" s="44">
        <f t="shared" si="10"/>
        <v>69.5</v>
      </c>
      <c r="N32" s="65">
        <f>IFERROR(VLOOKUP(B:B,'7店辅助表'!B:C,2,FALSE),0)</f>
        <v>0</v>
      </c>
      <c r="O32" s="65">
        <f>IFERROR(VLOOKUP(B:B,'7店辅助表'!E:F,2,FALSE),0)</f>
        <v>2</v>
      </c>
      <c r="P32" s="65">
        <f>IFERROR(VLOOKUP(B:B,'7店辅助表'!H:I,2,FALSE),0)</f>
        <v>6</v>
      </c>
      <c r="Q32" s="65">
        <f>IFERROR(VLOOKUP(B:B,'[1]7店'!$B:$N,13,FALSE),0)</f>
        <v>2</v>
      </c>
      <c r="R32" s="79">
        <f t="shared" si="22"/>
        <v>-2</v>
      </c>
      <c r="S32" s="80">
        <f t="shared" si="23"/>
        <v>45</v>
      </c>
      <c r="T32" s="44">
        <f t="shared" si="24"/>
        <v>1.5</v>
      </c>
      <c r="U32" s="44">
        <f>IFERROR(VLOOKUP($B:$B,'[1]7店'!$B:$T,19,FALSE),0)</f>
        <v>0.564516129032258</v>
      </c>
      <c r="V32" s="81">
        <f t="shared" si="25"/>
        <v>0.935483870967742</v>
      </c>
      <c r="W32" s="82" t="str">
        <f t="shared" si="26"/>
        <v>有库存无销量</v>
      </c>
      <c r="X32" s="83" t="str">
        <f t="shared" si="27"/>
        <v>正常</v>
      </c>
      <c r="Y32" s="44">
        <f>IFERROR(SUMIF('7店辅助表'!K:K,B:B,'7店辅助表'!N:N),0)</f>
        <v>2</v>
      </c>
      <c r="Z32" s="44">
        <f>IFERROR(SUMIF('7店辅助表'!T:T,B:B,'7店辅助表'!W:W),0)</f>
        <v>7.88</v>
      </c>
      <c r="AA32" s="44">
        <f>IFERROR(SUMIF('7店辅助表'!AC:AC,B:B,'7店辅助表'!AF:AF),0)</f>
        <v>18.05</v>
      </c>
      <c r="AB32" s="91" t="str">
        <f>IFERROR(SUMIF('7店辅助表'!K:K,B:B,'7店辅助表'!N:N)/SUMIF('7店辅助表'!K:K,B:B,'7店辅助表'!O:O),"-")</f>
        <v>-</v>
      </c>
      <c r="AC32" s="91">
        <f>IFERROR(VLOOKUP(B:B,'[1]7店'!$B:$AB,27,FALSE),"-")</f>
        <v>0.252957233848954</v>
      </c>
      <c r="AD32" s="92" t="str">
        <f t="shared" si="28"/>
        <v>-</v>
      </c>
      <c r="AE32" s="91">
        <f>IFERROR(SUMIF('7店辅助表'!T:T,B:B,'7店辅助表'!W:W)/SUMIF('7店辅助表'!T:T,B:B,'7店辅助表'!X:X),"-")</f>
        <v>0.358507734303913</v>
      </c>
      <c r="AF32" s="91">
        <f>IFERROR(SUMIF('7店辅助表'!AC:AC,B:B,'7店辅助表'!AF:AF)/SUMIF('7店辅助表'!AC:AC,B:B,'7店辅助表'!AG:AG),"-")</f>
        <v>0.376355296080067</v>
      </c>
      <c r="AG32" s="99">
        <f>IFERROR(AK32/((SUMIF('7店辅助表'!AT:AT,B:B,'7店辅助表'!AU:AU)+M32)/2),"-")</f>
        <v>0</v>
      </c>
      <c r="AH32" s="99">
        <f>IFERROR(AL32/((SUMIF('7店辅助表'!AW:AW,B:B,'7店辅助表'!AX:AX)+M32)/2),"-")</f>
        <v>0.25</v>
      </c>
      <c r="AI32" s="100">
        <f>IFERROR((SUMIF('7店辅助表'!AP:AP,B:B,'7店辅助表'!AR:AR)-SUMIF('7店辅助表'!AP:AP,B:B,'7店辅助表'!AR:AR)*0.15-(L32+IFERROR(VLOOKUP(B:B,'7店辅助表'!AZ:BA,2,0),0))*O32-IF(AN:AN="US",6.85,4.9)*(Z32+4.27*O32))/SUMIF('7店辅助表'!AP:AP,B:B,'7店辅助表'!AR:AR),"-")</f>
        <v>-0.0837404041080461</v>
      </c>
      <c r="AJ32" s="100">
        <f t="shared" si="29"/>
        <v>-0.0209351010270115</v>
      </c>
      <c r="AK32" s="101">
        <f t="shared" si="30"/>
        <v>0</v>
      </c>
      <c r="AL32" s="101">
        <f t="shared" si="31"/>
        <v>27.8</v>
      </c>
      <c r="AM32" s="1" t="str">
        <f>VLOOKUP(B:B,'7店辅助表'!AZ:AZ,1,FALSE)</f>
        <v>Y73040-DB+Y73045+Y73063</v>
      </c>
      <c r="AN32" t="str">
        <f>VLOOKUP(B:B,'7店辅助表'!AZ:BB,3,FALSE)</f>
        <v>US</v>
      </c>
    </row>
    <row r="33" customHeight="1" spans="1:40">
      <c r="A33" s="58" t="str">
        <f>INDEX('[1]7店'!$A:$A,MATCH(B:B,'[1]7店'!$B:$B,0))</f>
        <v>美珠</v>
      </c>
      <c r="B33" s="108" t="s">
        <v>2223</v>
      </c>
      <c r="C33" s="43" t="s">
        <v>83</v>
      </c>
      <c r="D33" s="59"/>
      <c r="E33" s="43" t="s">
        <v>2224</v>
      </c>
      <c r="F33" s="43">
        <v>12</v>
      </c>
      <c r="G33" s="43">
        <v>0</v>
      </c>
      <c r="H33" s="43">
        <v>0</v>
      </c>
      <c r="I33" s="43">
        <v>0</v>
      </c>
      <c r="J33" s="43">
        <v>0</v>
      </c>
      <c r="K33" s="63">
        <f t="shared" si="11"/>
        <v>12</v>
      </c>
      <c r="L33" s="132">
        <f>VLOOKUP($B:$B,'[1]7店'!$B:$L,11,FALSE)</f>
        <v>13.9</v>
      </c>
      <c r="M33" s="44">
        <f t="shared" si="10"/>
        <v>166.8</v>
      </c>
      <c r="N33" s="65">
        <f>IFERROR(VLOOKUP(B:B,'7店辅助表'!B:C,2,FALSE),0)</f>
        <v>1</v>
      </c>
      <c r="O33" s="65">
        <f>IFERROR(VLOOKUP(B:B,'7店辅助表'!E:F,2,FALSE),0)</f>
        <v>1</v>
      </c>
      <c r="P33" s="65">
        <f>IFERROR(VLOOKUP(B:B,'7店辅助表'!H:I,2,FALSE),0)</f>
        <v>3</v>
      </c>
      <c r="Q33" s="65">
        <f>IFERROR(VLOOKUP(B:B,'[1]7店'!$B:$N,13,FALSE),0)</f>
        <v>0</v>
      </c>
      <c r="R33" s="79">
        <f t="shared" si="22"/>
        <v>1</v>
      </c>
      <c r="S33" s="80">
        <f t="shared" si="23"/>
        <v>116.307692307692</v>
      </c>
      <c r="T33" s="44">
        <f t="shared" si="24"/>
        <v>3.87692307692308</v>
      </c>
      <c r="U33" s="44">
        <f>IFERROR(VLOOKUP($B:$B,'[1]7店'!$B:$T,19,FALSE),0)</f>
        <v>6.5</v>
      </c>
      <c r="V33" s="81">
        <f t="shared" si="25"/>
        <v>-2.62307692307692</v>
      </c>
      <c r="W33" s="82" t="str">
        <f t="shared" si="26"/>
        <v>库存过高</v>
      </c>
      <c r="X33" s="83" t="str">
        <f t="shared" si="27"/>
        <v>库存过高</v>
      </c>
      <c r="Y33" s="44">
        <f>IFERROR(SUMIF('7店辅助表'!K:K,B:B,'7店辅助表'!N:N),0)</f>
        <v>1.91</v>
      </c>
      <c r="Z33" s="44">
        <f>IFERROR(SUMIF('7店辅助表'!T:T,B:B,'7店辅助表'!W:W),0)</f>
        <v>4.19</v>
      </c>
      <c r="AA33" s="44">
        <f>IFERROR(SUMIF('7店辅助表'!AC:AC,B:B,'7店辅助表'!AF:AF),0)</f>
        <v>6.57</v>
      </c>
      <c r="AB33" s="91">
        <f>IFERROR(SUMIF('7店辅助表'!K:K,B:B,'7店辅助表'!N:N)/SUMIF('7店辅助表'!K:K,B:B,'7店辅助表'!O:O),"-")</f>
        <v>0.147036181678214</v>
      </c>
      <c r="AC33" s="91" t="str">
        <f>IFERROR(VLOOKUP(B:B,'[1]7店'!$B:$AB,27,FALSE),"-")</f>
        <v>-</v>
      </c>
      <c r="AD33" s="92" t="str">
        <f t="shared" si="28"/>
        <v>-</v>
      </c>
      <c r="AE33" s="91">
        <f>IFERROR(SUMIF('7店辅助表'!T:T,B:B,'7店辅助表'!W:W)/SUMIF('7店辅助表'!T:T,B:B,'7店辅助表'!X:X),"-")</f>
        <v>0.322555812163203</v>
      </c>
      <c r="AF33" s="91">
        <f>IFERROR(SUMIF('7店辅助表'!AC:AC,B:B,'7店辅助表'!AF:AF)/SUMIF('7店辅助表'!AC:AC,B:B,'7店辅助表'!AG:AG),"-")</f>
        <v>0.505773672055427</v>
      </c>
      <c r="AG33" s="99">
        <f>IFERROR(AK33/((SUMIF('7店辅助表'!AT:AT,B:B,'7店辅助表'!AU:AU)+M33)/2),"-")</f>
        <v>0.08</v>
      </c>
      <c r="AH33" s="99">
        <f>IFERROR(AL33/((SUMIF('7店辅助表'!AW:AW,B:B,'7店辅助表'!AX:AX)+M33)/2),"-")</f>
        <v>0.0769230769230769</v>
      </c>
      <c r="AI33" s="100">
        <f>IFERROR((SUMIF('7店辅助表'!AP:AP,B:B,'7店辅助表'!AR:AR)-SUMIF('7店辅助表'!AP:AP,B:B,'7店辅助表'!AR:AR)*0.15-(L33+IFERROR(VLOOKUP(B:B,'7店辅助表'!AZ:BA,2,0),0))*O33-IF(AN:AN="US",6.85,4.9)*(Z33+4.27*O33))/SUMIF('7店辅助表'!AP:AP,B:B,'7店辅助表'!AR:AR),"-")</f>
        <v>-0.0305313464034659</v>
      </c>
      <c r="AJ33" s="100">
        <f t="shared" si="29"/>
        <v>-0.00234856510795891</v>
      </c>
      <c r="AK33" s="101">
        <f t="shared" si="30"/>
        <v>13.9</v>
      </c>
      <c r="AL33" s="101">
        <f t="shared" si="31"/>
        <v>13.9</v>
      </c>
      <c r="AM33" s="1" t="str">
        <f>VLOOKUP(B:B,'7店辅助表'!AZ:AZ,1,FALSE)</f>
        <v>Y73040-OR+Y73045+Y73063</v>
      </c>
      <c r="AN33" t="str">
        <f>VLOOKUP(B:B,'7店辅助表'!AZ:BB,3,FALSE)</f>
        <v>US</v>
      </c>
    </row>
    <row r="34" customHeight="1" spans="1:40">
      <c r="A34" s="58" t="str">
        <f>INDEX('[1]7店'!$A:$A,MATCH(B:B,'[1]7店'!$B:$B,0))</f>
        <v>美珠</v>
      </c>
      <c r="B34" s="108" t="s">
        <v>2225</v>
      </c>
      <c r="C34" s="43" t="s">
        <v>2226</v>
      </c>
      <c r="D34" s="59"/>
      <c r="E34" s="43" t="s">
        <v>2227</v>
      </c>
      <c r="F34" s="43">
        <v>108</v>
      </c>
      <c r="G34" s="43">
        <v>1</v>
      </c>
      <c r="H34" s="43">
        <v>1</v>
      </c>
      <c r="I34" s="43">
        <v>0</v>
      </c>
      <c r="J34" s="43">
        <v>0</v>
      </c>
      <c r="K34" s="63">
        <f t="shared" si="11"/>
        <v>110</v>
      </c>
      <c r="L34" s="132">
        <f>VLOOKUP($B:$B,'[1]7店'!$B:$L,11,FALSE)</f>
        <v>13.9</v>
      </c>
      <c r="M34" s="44">
        <f t="shared" si="10"/>
        <v>1529</v>
      </c>
      <c r="N34" s="65">
        <f>IFERROR(VLOOKUP(B:B,'7店辅助表'!B:C,2,FALSE),0)</f>
        <v>17</v>
      </c>
      <c r="O34" s="65">
        <f>IFERROR(VLOOKUP(B:B,'7店辅助表'!E:F,2,FALSE),0)</f>
        <v>34</v>
      </c>
      <c r="P34" s="65">
        <f>IFERROR(VLOOKUP(B:B,'7店辅助表'!H:I,2,FALSE),0)</f>
        <v>53</v>
      </c>
      <c r="Q34" s="65">
        <f>IFERROR(VLOOKUP(B:B,'[1]7店'!$B:$N,13,FALSE),0)</f>
        <v>12</v>
      </c>
      <c r="R34" s="79">
        <f t="shared" si="22"/>
        <v>5</v>
      </c>
      <c r="S34" s="80">
        <f t="shared" si="23"/>
        <v>51.0685335298452</v>
      </c>
      <c r="T34" s="44">
        <f t="shared" si="24"/>
        <v>1.70228445099484</v>
      </c>
      <c r="U34" s="44">
        <f>IFERROR(VLOOKUP($B:$B,'[1]7店'!$B:$T,19,FALSE),0)</f>
        <v>2.43198529411765</v>
      </c>
      <c r="V34" s="81">
        <f t="shared" si="25"/>
        <v>-0.72970084312281</v>
      </c>
      <c r="W34" s="82" t="str">
        <f t="shared" si="26"/>
        <v>库存过高</v>
      </c>
      <c r="X34" s="83" t="str">
        <f t="shared" si="27"/>
        <v>库存过高</v>
      </c>
      <c r="Y34" s="44">
        <f>IFERROR(SUMIF('7店辅助表'!K:K,B:B,'7店辅助表'!N:N),0)</f>
        <v>4.05</v>
      </c>
      <c r="Z34" s="44">
        <f>IFERROR(SUMIF('7店辅助表'!T:T,B:B,'7店辅助表'!W:W),0)</f>
        <v>17.2</v>
      </c>
      <c r="AA34" s="44">
        <f>IFERROR(SUMIF('7店辅助表'!AC:AC,B:B,'7店辅助表'!AF:AF),0)</f>
        <v>33.64</v>
      </c>
      <c r="AB34" s="91">
        <f>IFERROR(SUMIF('7店辅助表'!K:K,B:B,'7店辅助表'!N:N)/SUMIF('7店辅助表'!K:K,B:B,'7店辅助表'!O:O),"-")</f>
        <v>0.103926096997691</v>
      </c>
      <c r="AC34" s="91">
        <f>IFERROR(VLOOKUP(B:B,'[1]7店'!$B:$AB,27,FALSE),"-")</f>
        <v>0.336759534757912</v>
      </c>
      <c r="AD34" s="92">
        <f t="shared" si="28"/>
        <v>-0.232833437760221</v>
      </c>
      <c r="AE34" s="91">
        <f>IFERROR(SUMIF('7店辅助表'!T:T,B:B,'7店辅助表'!W:W)/SUMIF('7店辅助表'!T:T,B:B,'7店辅助表'!X:X),"-")</f>
        <v>0.193410547621725</v>
      </c>
      <c r="AF34" s="91">
        <f>IFERROR(SUMIF('7店辅助表'!AC:AC,B:B,'7店辅助表'!AF:AF)/SUMIF('7店辅助表'!AC:AC,B:B,'7店辅助表'!AG:AG),"-")</f>
        <v>0.163427905169063</v>
      </c>
      <c r="AG34" s="99">
        <f>IFERROR(AK34/((SUMIF('7店辅助表'!AT:AT,B:B,'7店辅助表'!AU:AU)+M34)/2),"-")</f>
        <v>0.144067796610169</v>
      </c>
      <c r="AH34" s="99">
        <f>IFERROR(AL34/((SUMIF('7店辅助表'!AW:AW,B:B,'7店辅助表'!AX:AX)+M34)/2),"-")</f>
        <v>0.217948717948718</v>
      </c>
      <c r="AI34" s="100">
        <f>IFERROR((SUMIF('7店辅助表'!AP:AP,B:B,'7店辅助表'!AR:AR)-SUMIF('7店辅助表'!AP:AP,B:B,'7店辅助表'!AR:AR)*0.15-(L34+IFERROR(VLOOKUP(B:B,'7店辅助表'!AZ:BA,2,0),0))*O34-IF(AN:AN="US",6.85,4.9)*(Z34+4.27*O34))/SUMIF('7店辅助表'!AP:AP,B:B,'7店辅助表'!AR:AR),"-")</f>
        <v>0.287397879024611</v>
      </c>
      <c r="AJ34" s="100">
        <f t="shared" si="29"/>
        <v>0.0626379992745946</v>
      </c>
      <c r="AK34" s="101">
        <f t="shared" si="30"/>
        <v>236.3</v>
      </c>
      <c r="AL34" s="101">
        <f t="shared" si="31"/>
        <v>472.6</v>
      </c>
      <c r="AM34" s="1" t="str">
        <f>VLOOKUP(B:B,'7店辅助表'!AZ:AZ,1,FALSE)</f>
        <v>Y72454-BL+Y72455+Y72511</v>
      </c>
      <c r="AN34" t="str">
        <f>VLOOKUP(B:B,'7店辅助表'!AZ:BB,3,FALSE)</f>
        <v>US</v>
      </c>
    </row>
    <row r="35" customHeight="1" spans="1:40">
      <c r="A35" s="58" t="str">
        <f>INDEX('[1]7店'!$A:$A,MATCH(B:B,'[1]7店'!$B:$B,0))</f>
        <v>美珠</v>
      </c>
      <c r="B35" s="108" t="s">
        <v>2228</v>
      </c>
      <c r="C35" s="43" t="s">
        <v>2229</v>
      </c>
      <c r="D35" s="59"/>
      <c r="E35" s="43" t="s">
        <v>2230</v>
      </c>
      <c r="F35" s="43">
        <v>78</v>
      </c>
      <c r="G35" s="43">
        <v>0</v>
      </c>
      <c r="H35" s="43">
        <v>2</v>
      </c>
      <c r="I35" s="43">
        <v>1</v>
      </c>
      <c r="J35" s="43">
        <v>0</v>
      </c>
      <c r="K35" s="63">
        <f t="shared" si="11"/>
        <v>81</v>
      </c>
      <c r="L35" s="132">
        <f>VLOOKUP($B:$B,'[1]7店'!$B:$L,11,FALSE)</f>
        <v>13.9</v>
      </c>
      <c r="M35" s="44">
        <f t="shared" si="10"/>
        <v>1125.9</v>
      </c>
      <c r="N35" s="65">
        <f>IFERROR(VLOOKUP(B:B,'7店辅助表'!B:C,2,FALSE),0)</f>
        <v>6</v>
      </c>
      <c r="O35" s="65">
        <f>IFERROR(VLOOKUP(B:B,'7店辅助表'!E:F,2,FALSE),0)</f>
        <v>7</v>
      </c>
      <c r="P35" s="65">
        <f>IFERROR(VLOOKUP(B:B,'7店辅助表'!H:I,2,FALSE),0)</f>
        <v>26</v>
      </c>
      <c r="Q35" s="65">
        <f>IFERROR(VLOOKUP(B:B,'[1]7店'!$B:$N,13,FALSE),0)</f>
        <v>1</v>
      </c>
      <c r="R35" s="79">
        <f t="shared" si="22"/>
        <v>5</v>
      </c>
      <c r="S35" s="80">
        <f t="shared" si="23"/>
        <v>110.934782608696</v>
      </c>
      <c r="T35" s="44">
        <f t="shared" si="24"/>
        <v>3.69782608695652</v>
      </c>
      <c r="U35" s="44">
        <f>IFERROR(VLOOKUP($B:$B,'[1]7店'!$B:$T,19,FALSE),0)</f>
        <v>5.88851351351351</v>
      </c>
      <c r="V35" s="81">
        <f t="shared" si="25"/>
        <v>-2.19068742655699</v>
      </c>
      <c r="W35" s="82" t="str">
        <f t="shared" si="26"/>
        <v>库存过高</v>
      </c>
      <c r="X35" s="83" t="str">
        <f t="shared" si="27"/>
        <v>库存过高</v>
      </c>
      <c r="Y35" s="44">
        <f>IFERROR(SUMIF('7店辅助表'!K:K,B:B,'7店辅助表'!N:N),0)</f>
        <v>0</v>
      </c>
      <c r="Z35" s="44">
        <f>IFERROR(SUMIF('7店辅助表'!T:T,B:B,'7店辅助表'!W:W),0)</f>
        <v>0</v>
      </c>
      <c r="AA35" s="44">
        <f>IFERROR(SUMIF('7店辅助表'!AC:AC,B:B,'7店辅助表'!AF:AF),0)</f>
        <v>0</v>
      </c>
      <c r="AB35" s="91" t="str">
        <f>IFERROR(SUMIF('7店辅助表'!K:K,B:B,'7店辅助表'!N:N)/SUMIF('7店辅助表'!K:K,B:B,'7店辅助表'!O:O),"-")</f>
        <v>-</v>
      </c>
      <c r="AC35" s="91" t="str">
        <f>IFERROR(VLOOKUP(B:B,'[1]7店'!$B:$AB,27,FALSE),"-")</f>
        <v>-</v>
      </c>
      <c r="AD35" s="92" t="str">
        <f t="shared" si="28"/>
        <v>-</v>
      </c>
      <c r="AE35" s="91" t="str">
        <f>IFERROR(SUMIF('7店辅助表'!T:T,B:B,'7店辅助表'!W:W)/SUMIF('7店辅助表'!T:T,B:B,'7店辅助表'!X:X),"-")</f>
        <v>-</v>
      </c>
      <c r="AF35" s="91" t="str">
        <f>IFERROR(SUMIF('7店辅助表'!AC:AC,B:B,'7店辅助表'!AF:AF)/SUMIF('7店辅助表'!AC:AC,B:B,'7店辅助表'!AG:AG),"-")</f>
        <v>-</v>
      </c>
      <c r="AG35" s="99">
        <f>IFERROR(AK35/((SUMIF('7店辅助表'!AT:AT,B:B,'7店辅助表'!AU:AU)+M35)/2),"-")</f>
        <v>0.0731707317073171</v>
      </c>
      <c r="AH35" s="99">
        <f>IFERROR(AL35/((SUMIF('7店辅助表'!AW:AW,B:B,'7店辅助表'!AX:AX)+M35)/2),"-")</f>
        <v>0.0564516129032258</v>
      </c>
      <c r="AI35" s="100">
        <f>IFERROR((SUMIF('7店辅助表'!AP:AP,B:B,'7店辅助表'!AR:AR)-SUMIF('7店辅助表'!AP:AP,B:B,'7店辅助表'!AR:AR)*0.15-(L35+IFERROR(VLOOKUP(B:B,'7店辅助表'!AZ:BA,2,0),0))*O35-IF(AN:AN="US",6.85,4.9)*(Z35+4.27*O35))/SUMIF('7店辅助表'!AP:AP,B:B,'7店辅助表'!AR:AR),"-")</f>
        <v>0.328133095081562</v>
      </c>
      <c r="AJ35" s="100">
        <f t="shared" si="29"/>
        <v>0.0185236424642817</v>
      </c>
      <c r="AK35" s="101">
        <f t="shared" si="30"/>
        <v>83.4</v>
      </c>
      <c r="AL35" s="101">
        <f t="shared" si="31"/>
        <v>97.3</v>
      </c>
      <c r="AM35" s="1" t="str">
        <f>VLOOKUP(B:B,'7店辅助表'!AZ:AZ,1,FALSE)</f>
        <v>Y72454-DB+Y72455+Y72511</v>
      </c>
      <c r="AN35" t="str">
        <f>VLOOKUP(B:B,'7店辅助表'!AZ:BB,3,FALSE)</f>
        <v>US</v>
      </c>
    </row>
    <row r="36" customHeight="1" spans="1:40">
      <c r="A36" s="58" t="str">
        <f>INDEX('[1]7店'!$A:$A,MATCH(B:B,'[1]7店'!$B:$B,0))</f>
        <v>美珠</v>
      </c>
      <c r="B36" s="108" t="s">
        <v>2231</v>
      </c>
      <c r="C36" s="43" t="s">
        <v>2232</v>
      </c>
      <c r="D36" s="59"/>
      <c r="E36" s="43" t="s">
        <v>2233</v>
      </c>
      <c r="F36" s="43">
        <v>16</v>
      </c>
      <c r="G36" s="43">
        <v>0</v>
      </c>
      <c r="H36" s="43">
        <v>1</v>
      </c>
      <c r="I36" s="43">
        <v>1</v>
      </c>
      <c r="J36" s="43">
        <v>0</v>
      </c>
      <c r="K36" s="63">
        <f t="shared" si="11"/>
        <v>18</v>
      </c>
      <c r="L36" s="132">
        <f>VLOOKUP($B:$B,'[1]7店'!$B:$L,11,FALSE)</f>
        <v>13.9</v>
      </c>
      <c r="M36" s="44">
        <f t="shared" si="10"/>
        <v>250.2</v>
      </c>
      <c r="N36" s="65">
        <f>IFERROR(VLOOKUP(B:B,'7店辅助表'!B:C,2,FALSE),0)</f>
        <v>13</v>
      </c>
      <c r="O36" s="65">
        <f>IFERROR(VLOOKUP(B:B,'7店辅助表'!E:F,2,FALSE),0)</f>
        <v>22</v>
      </c>
      <c r="P36" s="65">
        <f>IFERROR(VLOOKUP(B:B,'7店辅助表'!H:I,2,FALSE),0)</f>
        <v>45</v>
      </c>
      <c r="Q36" s="65">
        <f>IFERROR(VLOOKUP(B:B,'[1]7店'!$B:$N,13,FALSE),0)</f>
        <v>6</v>
      </c>
      <c r="R36" s="79">
        <f t="shared" si="22"/>
        <v>7</v>
      </c>
      <c r="S36" s="80">
        <f t="shared" si="23"/>
        <v>11.1944718657453</v>
      </c>
      <c r="T36" s="44">
        <f t="shared" si="24"/>
        <v>0.37314906219151</v>
      </c>
      <c r="U36" s="44">
        <f>IFERROR(VLOOKUP($B:$B,'[1]7店'!$B:$T,19,FALSE),0)</f>
        <v>0.867768595041322</v>
      </c>
      <c r="V36" s="81">
        <f t="shared" si="25"/>
        <v>-0.494619532849812</v>
      </c>
      <c r="W36" s="82" t="str">
        <f t="shared" si="26"/>
        <v>库存过低</v>
      </c>
      <c r="X36" s="83" t="str">
        <f t="shared" si="27"/>
        <v>库存过低</v>
      </c>
      <c r="Y36" s="44">
        <f>IFERROR(SUMIF('7店辅助表'!K:K,B:B,'7店辅助表'!N:N),0)</f>
        <v>18.87</v>
      </c>
      <c r="Z36" s="44">
        <f>IFERROR(SUMIF('7店辅助表'!T:T,B:B,'7店辅助表'!W:W),0)</f>
        <v>36.63</v>
      </c>
      <c r="AA36" s="44">
        <f>IFERROR(SUMIF('7店辅助表'!AC:AC,B:B,'7店辅助表'!AF:AF),0)</f>
        <v>67.28</v>
      </c>
      <c r="AB36" s="91">
        <f>IFERROR(SUMIF('7店辅助表'!K:K,B:B,'7店辅助表'!N:N)/SUMIF('7店辅助表'!K:K,B:B,'7店辅助表'!O:O),"-")</f>
        <v>0.207522269877928</v>
      </c>
      <c r="AC36" s="91">
        <f>IFERROR(VLOOKUP(B:B,'[1]7店'!$B:$AB,27,FALSE),"-")</f>
        <v>0.315736449727987</v>
      </c>
      <c r="AD36" s="92">
        <f t="shared" si="28"/>
        <v>-0.108214179850059</v>
      </c>
      <c r="AE36" s="91">
        <f>IFERROR(SUMIF('7店辅助表'!T:T,B:B,'7店辅助表'!W:W)/SUMIF('7店辅助表'!T:T,B:B,'7店辅助表'!X:X),"-")</f>
        <v>0.21994715984148</v>
      </c>
      <c r="AF36" s="91">
        <f>IFERROR(SUMIF('7店辅助表'!AC:AC,B:B,'7店辅助表'!AF:AF)/SUMIF('7店辅助表'!AC:AC,B:B,'7店辅助表'!AG:AG),"-")</f>
        <v>0.193294452265349</v>
      </c>
      <c r="AG36" s="99">
        <f>IFERROR(AK36/((SUMIF('7店辅助表'!AT:AT,B:B,'7店辅助表'!AU:AU)+M36)/2),"-")</f>
        <v>0.541666666666667</v>
      </c>
      <c r="AH36" s="99">
        <f>IFERROR(AL36/((SUMIF('7店辅助表'!AW:AW,B:B,'7店辅助表'!AX:AX)+M36)/2),"-")</f>
        <v>0.55</v>
      </c>
      <c r="AI36" s="100">
        <f>IFERROR((SUMIF('7店辅助表'!AP:AP,B:B,'7店辅助表'!AR:AR)-SUMIF('7店辅助表'!AP:AP,B:B,'7店辅助表'!AR:AR)*0.15-(L36+IFERROR(VLOOKUP(B:B,'7店辅助表'!AZ:BA,2,0),0))*O36-IF(AN:AN="US",6.85,4.9)*(Z36+4.27*O36))/SUMIF('7店辅助表'!AP:AP,B:B,'7店辅助表'!AR:AR),"-")</f>
        <v>0.174661599023978</v>
      </c>
      <c r="AJ36" s="100">
        <f t="shared" si="29"/>
        <v>0.0960638794631879</v>
      </c>
      <c r="AK36" s="101">
        <f t="shared" si="30"/>
        <v>180.7</v>
      </c>
      <c r="AL36" s="101">
        <f t="shared" si="31"/>
        <v>305.8</v>
      </c>
      <c r="AM36" s="1" t="str">
        <f>VLOOKUP(B:B,'7店辅助表'!AZ:AZ,1,FALSE)</f>
        <v>Y72454-OR+Y72455+Y72511</v>
      </c>
      <c r="AN36" t="str">
        <f>VLOOKUP(B:B,'7店辅助表'!AZ:BB,3,FALSE)</f>
        <v>US</v>
      </c>
    </row>
    <row r="37" customHeight="1" spans="1:40">
      <c r="A37" s="58" t="str">
        <f>INDEX('[1]7店'!$A:$A,MATCH(B:B,'[1]7店'!$B:$B,0))</f>
        <v>欣彤</v>
      </c>
      <c r="B37" s="108" t="s">
        <v>2234</v>
      </c>
      <c r="C37" s="43" t="s">
        <v>2235</v>
      </c>
      <c r="D37" s="59"/>
      <c r="E37" s="43" t="s">
        <v>2236</v>
      </c>
      <c r="F37" s="43">
        <v>1</v>
      </c>
      <c r="G37" s="43">
        <v>0</v>
      </c>
      <c r="H37" s="43">
        <v>0</v>
      </c>
      <c r="I37" s="43">
        <v>0</v>
      </c>
      <c r="J37" s="43">
        <v>0</v>
      </c>
      <c r="K37" s="63">
        <f t="shared" si="11"/>
        <v>1</v>
      </c>
      <c r="L37" s="132">
        <f>VLOOKUP($B:$B,'[1]7店'!$B:$L,11,FALSE)</f>
        <v>13.9</v>
      </c>
      <c r="M37" s="44">
        <f t="shared" ref="M37:M68" si="32">K37*L37</f>
        <v>13.9</v>
      </c>
      <c r="N37" s="65">
        <f>IFERROR(VLOOKUP(B:B,'7店辅助表'!B:C,2,FALSE),0)</f>
        <v>0</v>
      </c>
      <c r="O37" s="65">
        <f>IFERROR(VLOOKUP(B:B,'7店辅助表'!E:F,2,FALSE),0)</f>
        <v>0</v>
      </c>
      <c r="P37" s="65">
        <f>IFERROR(VLOOKUP(B:B,'7店辅助表'!H:I,2,FALSE),0)</f>
        <v>0</v>
      </c>
      <c r="Q37" s="65">
        <f>IFERROR(VLOOKUP(B:B,'[1]7店'!$B:$N,13,FALSE),0)</f>
        <v>0</v>
      </c>
      <c r="R37" s="79">
        <f t="shared" si="22"/>
        <v>0</v>
      </c>
      <c r="S37" s="80" t="str">
        <f t="shared" si="23"/>
        <v>-</v>
      </c>
      <c r="T37" s="44" t="str">
        <f t="shared" si="24"/>
        <v>-</v>
      </c>
      <c r="U37" s="44" t="str">
        <f>IFERROR(VLOOKUP($B:$B,'[1]7店'!$B:$T,19,FALSE),0)</f>
        <v>-</v>
      </c>
      <c r="V37" s="81" t="str">
        <f t="shared" si="25"/>
        <v>-</v>
      </c>
      <c r="W37" s="82" t="str">
        <f t="shared" si="26"/>
        <v>有库存无销量</v>
      </c>
      <c r="X37" s="83" t="str">
        <f t="shared" si="27"/>
        <v>有库存无销量</v>
      </c>
      <c r="Y37" s="44">
        <f>IFERROR(SUMIF('7店辅助表'!K:K,B:B,'7店辅助表'!N:N),0)</f>
        <v>0</v>
      </c>
      <c r="Z37" s="44">
        <f>IFERROR(SUMIF('7店辅助表'!T:T,B:B,'7店辅助表'!W:W),0)</f>
        <v>0</v>
      </c>
      <c r="AA37" s="44">
        <f>IFERROR(SUMIF('7店辅助表'!AC:AC,B:B,'7店辅助表'!AF:AF),0)</f>
        <v>0</v>
      </c>
      <c r="AB37" s="91" t="str">
        <f>IFERROR(SUMIF('7店辅助表'!K:K,B:B,'7店辅助表'!N:N)/SUMIF('7店辅助表'!K:K,B:B,'7店辅助表'!O:O),"-")</f>
        <v>-</v>
      </c>
      <c r="AC37" s="91" t="str">
        <f>IFERROR(VLOOKUP(B:B,'[1]7店'!$B:$AB,27,FALSE),"-")</f>
        <v>-</v>
      </c>
      <c r="AD37" s="92" t="str">
        <f t="shared" si="28"/>
        <v>-</v>
      </c>
      <c r="AE37" s="91" t="str">
        <f>IFERROR(SUMIF('7店辅助表'!T:T,B:B,'7店辅助表'!W:W)/SUMIF('7店辅助表'!T:T,B:B,'7店辅助表'!X:X),"-")</f>
        <v>-</v>
      </c>
      <c r="AF37" s="91" t="str">
        <f>IFERROR(SUMIF('7店辅助表'!AC:AC,B:B,'7店辅助表'!AF:AF)/SUMIF('7店辅助表'!AC:AC,B:B,'7店辅助表'!AG:AG),"-")</f>
        <v>-</v>
      </c>
      <c r="AG37" s="99">
        <f>IFERROR(AK37/((SUMIF('7店辅助表'!AT:AT,B:B,'7店辅助表'!AU:AU)+M37)/2),"-")</f>
        <v>0</v>
      </c>
      <c r="AH37" s="99">
        <f>IFERROR(AL37/((SUMIF('7店辅助表'!AW:AW,B:B,'7店辅助表'!AX:AX)+M37)/2),"-")</f>
        <v>0</v>
      </c>
      <c r="AI37" s="100" t="str">
        <f>IFERROR((SUMIF('7店辅助表'!AP:AP,B:B,'7店辅助表'!AR:AR)-SUMIF('7店辅助表'!AP:AP,B:B,'7店辅助表'!AR:AR)*0.15-(L37+IFERROR(VLOOKUP(B:B,'7店辅助表'!AZ:BA,2,0),0))*O37-IF(AN:AN="US",6.85,4.9)*(Z37+4.27*O37))/SUMIF('7店辅助表'!AP:AP,B:B,'7店辅助表'!AR:AR),"-")</f>
        <v>-</v>
      </c>
      <c r="AJ37" s="100" t="str">
        <f t="shared" si="29"/>
        <v>-</v>
      </c>
      <c r="AK37" s="101">
        <f t="shared" si="30"/>
        <v>0</v>
      </c>
      <c r="AL37" s="101">
        <f t="shared" si="31"/>
        <v>0</v>
      </c>
      <c r="AM37" s="1" t="str">
        <f>VLOOKUP(B:B,'7店辅助表'!AZ:AZ,1,FALSE)</f>
        <v>Y73452-BL+Y73456+Y73457</v>
      </c>
      <c r="AN37" t="str">
        <f>VLOOKUP(B:B,'7店辅助表'!AZ:BB,3,FALSE)</f>
        <v>US</v>
      </c>
    </row>
    <row r="38" customHeight="1" spans="1:40">
      <c r="A38" s="58" t="str">
        <f>INDEX('[1]7店'!$A:$A,MATCH(B:B,'[1]7店'!$B:$B,0))</f>
        <v>美珠</v>
      </c>
      <c r="B38" s="108" t="s">
        <v>2237</v>
      </c>
      <c r="C38" s="43" t="s">
        <v>2238</v>
      </c>
      <c r="D38" s="59"/>
      <c r="E38" s="43" t="s">
        <v>2239</v>
      </c>
      <c r="F38" s="43">
        <v>9</v>
      </c>
      <c r="G38" s="43">
        <v>0</v>
      </c>
      <c r="H38" s="43">
        <v>0</v>
      </c>
      <c r="I38" s="43">
        <v>0</v>
      </c>
      <c r="J38" s="43">
        <v>0</v>
      </c>
      <c r="K38" s="63">
        <f t="shared" si="11"/>
        <v>9</v>
      </c>
      <c r="L38" s="132">
        <f>VLOOKUP($B:$B,'[1]7店'!$B:$L,11,FALSE)</f>
        <v>13.9</v>
      </c>
      <c r="M38" s="44">
        <f t="shared" si="32"/>
        <v>125.1</v>
      </c>
      <c r="N38" s="65">
        <f>IFERROR(VLOOKUP(B:B,'7店辅助表'!B:C,2,FALSE),0)</f>
        <v>1</v>
      </c>
      <c r="O38" s="65">
        <f>IFERROR(VLOOKUP(B:B,'7店辅助表'!E:F,2,FALSE),0)</f>
        <v>5</v>
      </c>
      <c r="P38" s="65">
        <f>IFERROR(VLOOKUP(B:B,'7店辅助表'!H:I,2,FALSE),0)</f>
        <v>8</v>
      </c>
      <c r="Q38" s="65">
        <f>IFERROR(VLOOKUP(B:B,'[1]7店'!$B:$N,13,FALSE),0)</f>
        <v>4</v>
      </c>
      <c r="R38" s="79">
        <f t="shared" si="22"/>
        <v>-3</v>
      </c>
      <c r="S38" s="80">
        <f t="shared" si="23"/>
        <v>36.3461538461538</v>
      </c>
      <c r="T38" s="44">
        <f t="shared" si="24"/>
        <v>1.21153846153846</v>
      </c>
      <c r="U38" s="44">
        <f>IFERROR(VLOOKUP($B:$B,'[1]7店'!$B:$T,19,FALSE),0)</f>
        <v>0.807692307692308</v>
      </c>
      <c r="V38" s="81">
        <f t="shared" si="25"/>
        <v>0.403846153846152</v>
      </c>
      <c r="W38" s="82" t="str">
        <f t="shared" si="26"/>
        <v>库存过高</v>
      </c>
      <c r="X38" s="83" t="str">
        <f t="shared" si="27"/>
        <v>正常</v>
      </c>
      <c r="Y38" s="44">
        <f>IFERROR(SUMIF('7店辅助表'!K:K,B:B,'7店辅助表'!N:N),0)</f>
        <v>5.1</v>
      </c>
      <c r="Z38" s="44">
        <f>IFERROR(SUMIF('7店辅助表'!T:T,B:B,'7店辅助表'!W:W),0)</f>
        <v>10.87</v>
      </c>
      <c r="AA38" s="44">
        <f>IFERROR(SUMIF('7店辅助表'!AC:AC,B:B,'7店辅助表'!AF:AF),0)</f>
        <v>26.67</v>
      </c>
      <c r="AB38" s="91" t="str">
        <f>IFERROR(SUMIF('7店辅助表'!K:K,B:B,'7店辅助表'!N:N)/SUMIF('7店辅助表'!K:K,B:B,'7店辅助表'!O:O),"-")</f>
        <v>-</v>
      </c>
      <c r="AC38" s="91" t="str">
        <f>IFERROR(VLOOKUP(B:B,'[1]7店'!$B:$AB,27,FALSE),"-")</f>
        <v>-</v>
      </c>
      <c r="AD38" s="92" t="str">
        <f t="shared" si="28"/>
        <v>-</v>
      </c>
      <c r="AE38" s="91" t="str">
        <f>IFERROR(SUMIF('7店辅助表'!T:T,B:B,'7店辅助表'!W:W)/SUMIF('7店辅助表'!T:T,B:B,'7店辅助表'!X:X),"-")</f>
        <v>-</v>
      </c>
      <c r="AF38" s="91">
        <f>IFERROR(SUMIF('7店辅助表'!AC:AC,B:B,'7店辅助表'!AF:AF)/SUMIF('7店辅助表'!AC:AC,B:B,'7店辅助表'!AG:AG),"-")</f>
        <v>2.05311778290993</v>
      </c>
      <c r="AG38" s="99">
        <f>IFERROR(AK38/((SUMIF('7店辅助表'!AT:AT,B:B,'7店辅助表'!AU:AU)+M38)/2),"-")</f>
        <v>0.105263157894737</v>
      </c>
      <c r="AH38" s="99">
        <f>IFERROR(AL38/((SUMIF('7店辅助表'!AW:AW,B:B,'7店辅助表'!AX:AX)+M38)/2),"-")</f>
        <v>0.625</v>
      </c>
      <c r="AI38" s="100">
        <f>IFERROR((SUMIF('7店辅助表'!AP:AP,B:B,'7店辅助表'!AR:AR)-SUMIF('7店辅助表'!AP:AP,B:B,'7店辅助表'!AR:AR)*0.15-(L38+IFERROR(VLOOKUP(B:B,'7店辅助表'!AZ:BA,2,0),0))*O38-IF(AN:AN="US",6.85,4.9)*(Z38+4.27*O38))/SUMIF('7店辅助表'!AP:AP,B:B,'7店辅助表'!AR:AR),"-")</f>
        <v>0.18420369027227</v>
      </c>
      <c r="AJ38" s="100">
        <f t="shared" si="29"/>
        <v>0.115127306420168</v>
      </c>
      <c r="AK38" s="101">
        <f t="shared" si="30"/>
        <v>13.9</v>
      </c>
      <c r="AL38" s="101">
        <f t="shared" si="31"/>
        <v>69.5</v>
      </c>
      <c r="AM38" s="1" t="str">
        <f>VLOOKUP(B:B,'7店辅助表'!AZ:AZ,1,FALSE)</f>
        <v>Y73452-DB+Y73456+Y73457</v>
      </c>
      <c r="AN38" t="str">
        <f>VLOOKUP(B:B,'7店辅助表'!AZ:BB,3,FALSE)</f>
        <v>US</v>
      </c>
    </row>
    <row r="39" customHeight="1" spans="1:40">
      <c r="A39" s="58" t="str">
        <f>INDEX('[1]7店'!$A:$A,MATCH(B:B,'[1]7店'!$B:$B,0))</f>
        <v>美珠</v>
      </c>
      <c r="B39" s="108" t="s">
        <v>2240</v>
      </c>
      <c r="C39" s="43" t="s">
        <v>2241</v>
      </c>
      <c r="D39" s="59"/>
      <c r="E39" s="43" t="s">
        <v>2242</v>
      </c>
      <c r="F39" s="43">
        <v>8</v>
      </c>
      <c r="G39" s="43">
        <v>0</v>
      </c>
      <c r="H39" s="43">
        <v>0</v>
      </c>
      <c r="I39" s="43">
        <v>0</v>
      </c>
      <c r="J39" s="43">
        <v>0</v>
      </c>
      <c r="K39" s="63">
        <f t="shared" si="11"/>
        <v>8</v>
      </c>
      <c r="L39" s="132">
        <f>VLOOKUP($B:$B,'[1]7店'!$B:$L,11,FALSE)</f>
        <v>13.9</v>
      </c>
      <c r="M39" s="44">
        <f t="shared" si="32"/>
        <v>111.2</v>
      </c>
      <c r="N39" s="65">
        <f>IFERROR(VLOOKUP(B:B,'7店辅助表'!B:C,2,FALSE),0)</f>
        <v>0</v>
      </c>
      <c r="O39" s="65">
        <f>IFERROR(VLOOKUP(B:B,'7店辅助表'!E:F,2,FALSE),0)</f>
        <v>0</v>
      </c>
      <c r="P39" s="65">
        <f>IFERROR(VLOOKUP(B:B,'7店辅助表'!H:I,2,FALSE),0)</f>
        <v>5</v>
      </c>
      <c r="Q39" s="65">
        <f>IFERROR(VLOOKUP(B:B,'[1]7店'!$B:$N,13,FALSE),0)</f>
        <v>0</v>
      </c>
      <c r="R39" s="79">
        <f t="shared" si="22"/>
        <v>0</v>
      </c>
      <c r="S39" s="80">
        <f t="shared" si="23"/>
        <v>144</v>
      </c>
      <c r="T39" s="44">
        <f t="shared" si="24"/>
        <v>4.8</v>
      </c>
      <c r="U39" s="44">
        <f>IFERROR(VLOOKUP($B:$B,'[1]7店'!$B:$T,19,FALSE),0)</f>
        <v>1.84615384615385</v>
      </c>
      <c r="V39" s="81">
        <f t="shared" si="25"/>
        <v>2.95384615384615</v>
      </c>
      <c r="W39" s="82" t="str">
        <f t="shared" si="26"/>
        <v>有库存无销量</v>
      </c>
      <c r="X39" s="83" t="str">
        <f t="shared" si="27"/>
        <v>库存过高</v>
      </c>
      <c r="Y39" s="44">
        <f>IFERROR(SUMIF('7店辅助表'!K:K,B:B,'7店辅助表'!N:N),0)</f>
        <v>3.65</v>
      </c>
      <c r="Z39" s="44">
        <f>IFERROR(SUMIF('7店辅助表'!T:T,B:B,'7店辅助表'!W:W),0)</f>
        <v>5.02</v>
      </c>
      <c r="AA39" s="44">
        <f>IFERROR(SUMIF('7店辅助表'!AC:AC,B:B,'7店辅助表'!AF:AF),0)</f>
        <v>6.94</v>
      </c>
      <c r="AB39" s="91" t="str">
        <f>IFERROR(SUMIF('7店辅助表'!K:K,B:B,'7店辅助表'!N:N)/SUMIF('7店辅助表'!K:K,B:B,'7店辅助表'!O:O),"-")</f>
        <v>-</v>
      </c>
      <c r="AC39" s="91">
        <f>IFERROR(VLOOKUP(B:B,'[1]7店'!$B:$AB,27,FALSE),"-")</f>
        <v>0.0554272517321016</v>
      </c>
      <c r="AD39" s="92" t="str">
        <f t="shared" si="28"/>
        <v>-</v>
      </c>
      <c r="AE39" s="91">
        <f>IFERROR(SUMIF('7店辅助表'!T:T,B:B,'7店辅助表'!W:W)/SUMIF('7店辅助表'!T:T,B:B,'7店辅助表'!X:X),"-")</f>
        <v>0.386451116243264</v>
      </c>
      <c r="AF39" s="91">
        <f>IFERROR(SUMIF('7店辅助表'!AC:AC,B:B,'7店辅助表'!AF:AF)/SUMIF('7店辅助表'!AC:AC,B:B,'7店辅助表'!AG:AG),"-")</f>
        <v>0.534257120862202</v>
      </c>
      <c r="AG39" s="99">
        <f>IFERROR(AK39/((SUMIF('7店辅助表'!AT:AT,B:B,'7店辅助表'!AU:AU)+M39)/2),"-")</f>
        <v>0</v>
      </c>
      <c r="AH39" s="99">
        <f>IFERROR(AL39/((SUMIF('7店辅助表'!AW:AW,B:B,'7店辅助表'!AX:AX)+M39)/2),"-")</f>
        <v>0</v>
      </c>
      <c r="AI39" s="100" t="str">
        <f>IFERROR((SUMIF('7店辅助表'!AP:AP,B:B,'7店辅助表'!AR:AR)-SUMIF('7店辅助表'!AP:AP,B:B,'7店辅助表'!AR:AR)*0.15-(L39+IFERROR(VLOOKUP(B:B,'7店辅助表'!AZ:BA,2,0),0))*O39-IF(AN:AN="US",6.85,4.9)*(Z39+4.27*O39))/SUMIF('7店辅助表'!AP:AP,B:B,'7店辅助表'!AR:AR),"-")</f>
        <v>-</v>
      </c>
      <c r="AJ39" s="100" t="str">
        <f t="shared" si="29"/>
        <v>-</v>
      </c>
      <c r="AK39" s="101">
        <f t="shared" si="30"/>
        <v>0</v>
      </c>
      <c r="AL39" s="101">
        <f t="shared" si="31"/>
        <v>0</v>
      </c>
      <c r="AM39" s="1" t="str">
        <f>VLOOKUP(B:B,'7店辅助表'!AZ:AZ,1,FALSE)</f>
        <v>Y73452-OR+Y73456+Y73457</v>
      </c>
      <c r="AN39" t="str">
        <f>VLOOKUP(B:B,'7店辅助表'!AZ:BB,3,FALSE)</f>
        <v>US</v>
      </c>
    </row>
    <row r="40" customHeight="1" spans="1:40">
      <c r="A40" s="58" t="str">
        <f>INDEX('[1]7店'!$A:$A,MATCH(B:B,'[1]7店'!$B:$B,0))</f>
        <v>美珠</v>
      </c>
      <c r="B40" s="108" t="s">
        <v>2243</v>
      </c>
      <c r="C40" s="43" t="s">
        <v>2244</v>
      </c>
      <c r="D40" s="59"/>
      <c r="E40" s="43" t="s">
        <v>2245</v>
      </c>
      <c r="F40" s="43">
        <v>13</v>
      </c>
      <c r="G40" s="43">
        <v>0</v>
      </c>
      <c r="H40" s="43">
        <v>0</v>
      </c>
      <c r="I40" s="43">
        <v>1</v>
      </c>
      <c r="J40" s="43">
        <v>0</v>
      </c>
      <c r="K40" s="63">
        <f t="shared" si="11"/>
        <v>14</v>
      </c>
      <c r="L40" s="132">
        <f>VLOOKUP($B:$B,'[1]7店'!$B:$L,11,FALSE)</f>
        <v>13.9</v>
      </c>
      <c r="M40" s="44">
        <f t="shared" si="32"/>
        <v>194.6</v>
      </c>
      <c r="N40" s="65">
        <f>IFERROR(VLOOKUP(B:B,'7店辅助表'!B:C,2,FALSE),0)</f>
        <v>8</v>
      </c>
      <c r="O40" s="65">
        <f>IFERROR(VLOOKUP(B:B,'7店辅助表'!E:F,2,FALSE),0)</f>
        <v>21</v>
      </c>
      <c r="P40" s="65">
        <f>IFERROR(VLOOKUP(B:B,'7店辅助表'!H:I,2,FALSE),0)</f>
        <v>29</v>
      </c>
      <c r="Q40" s="65">
        <f>IFERROR(VLOOKUP(B:B,'[1]7店'!$B:$N,13,FALSE),0)</f>
        <v>13</v>
      </c>
      <c r="R40" s="79">
        <f t="shared" si="22"/>
        <v>-5</v>
      </c>
      <c r="S40" s="80">
        <f t="shared" si="23"/>
        <v>11.9674355495251</v>
      </c>
      <c r="T40" s="44">
        <f t="shared" si="24"/>
        <v>0.398914518317503</v>
      </c>
      <c r="U40" s="44">
        <f>IFERROR(VLOOKUP($B:$B,'[1]7店'!$B:$T,19,FALSE),0)</f>
        <v>0.646153846153846</v>
      </c>
      <c r="V40" s="81">
        <f t="shared" si="25"/>
        <v>-0.247239327836343</v>
      </c>
      <c r="W40" s="82" t="str">
        <f t="shared" si="26"/>
        <v>库存过低</v>
      </c>
      <c r="X40" s="83" t="str">
        <f t="shared" si="27"/>
        <v>库存过低</v>
      </c>
      <c r="Y40" s="44">
        <f>IFERROR(SUMIF('7店辅助表'!K:K,B:B,'7店辅助表'!N:N),0)</f>
        <v>2.94</v>
      </c>
      <c r="Z40" s="44">
        <f>IFERROR(SUMIF('7店辅助表'!T:T,B:B,'7店辅助表'!W:W),0)</f>
        <v>6.75</v>
      </c>
      <c r="AA40" s="44">
        <f>IFERROR(SUMIF('7店辅助表'!AC:AC,B:B,'7店辅助表'!AF:AF),0)</f>
        <v>9.26</v>
      </c>
      <c r="AB40" s="91">
        <f>IFERROR(SUMIF('7店辅助表'!K:K,B:B,'7店辅助表'!N:N)/SUMIF('7店辅助表'!K:K,B:B,'7店辅助表'!O:O),"-")</f>
        <v>0.226327944572748</v>
      </c>
      <c r="AC40" s="91">
        <f>IFERROR(VLOOKUP(B:B,'[1]7店'!$B:$AB,27,FALSE),"-")</f>
        <v>0.141947224749773</v>
      </c>
      <c r="AD40" s="92">
        <f t="shared" si="28"/>
        <v>0.084380719822975</v>
      </c>
      <c r="AE40" s="91">
        <f>IFERROR(SUMIF('7店辅助表'!T:T,B:B,'7店辅助表'!W:W)/SUMIF('7店辅助表'!T:T,B:B,'7店辅助表'!X:X),"-")</f>
        <v>0.193022590792108</v>
      </c>
      <c r="AF40" s="91">
        <f>IFERROR(SUMIF('7店辅助表'!AC:AC,B:B,'7店辅助表'!AF:AF)/SUMIF('7店辅助表'!AC:AC,B:B,'7店辅助表'!AG:AG),"-")</f>
        <v>0.125236678387882</v>
      </c>
      <c r="AG40" s="99">
        <f>IFERROR(AK40/((SUMIF('7店辅助表'!AT:AT,B:B,'7店辅助表'!AU:AU)+M40)/2),"-")</f>
        <v>0.4</v>
      </c>
      <c r="AH40" s="99">
        <f>IFERROR(AL40/((SUMIF('7店辅助表'!AW:AW,B:B,'7店辅助表'!AX:AX)+M40)/2),"-")</f>
        <v>0.792452830188679</v>
      </c>
      <c r="AI40" s="100">
        <f>IFERROR((SUMIF('7店辅助表'!AP:AP,B:B,'7店辅助表'!AR:AR)-SUMIF('7店辅助表'!AP:AP,B:B,'7店辅助表'!AR:AR)*0.15-(L40+IFERROR(VLOOKUP(B:B,'7店辅助表'!AZ:BA,2,0),0))*O40-IF(AN:AN="US",6.85,4.9)*(Z40+4.27*O40))/SUMIF('7店辅助表'!AP:AP,B:B,'7店辅助表'!AR:AR),"-")</f>
        <v>0.216376799310565</v>
      </c>
      <c r="AJ40" s="100">
        <f t="shared" si="29"/>
        <v>0.171468407000825</v>
      </c>
      <c r="AK40" s="101">
        <f t="shared" si="30"/>
        <v>111.2</v>
      </c>
      <c r="AL40" s="101">
        <f t="shared" si="31"/>
        <v>291.9</v>
      </c>
      <c r="AM40" s="1" t="str">
        <f>VLOOKUP(B:B,'7店辅助表'!AZ:AZ,1,FALSE)</f>
        <v>Y73189-BL+Y73190+Y73270</v>
      </c>
      <c r="AN40" t="str">
        <f>VLOOKUP(B:B,'7店辅助表'!AZ:BB,3,FALSE)</f>
        <v>US</v>
      </c>
    </row>
    <row r="41" customHeight="1" spans="1:40">
      <c r="A41" s="58" t="str">
        <f>INDEX('[1]7店'!$A:$A,MATCH(B:B,'[1]7店'!$B:$B,0))</f>
        <v>美珠</v>
      </c>
      <c r="B41" s="108" t="s">
        <v>2246</v>
      </c>
      <c r="C41" s="43" t="s">
        <v>2247</v>
      </c>
      <c r="D41" s="59"/>
      <c r="E41" s="43" t="s">
        <v>2248</v>
      </c>
      <c r="F41" s="43">
        <v>23</v>
      </c>
      <c r="G41" s="43">
        <v>0</v>
      </c>
      <c r="H41" s="43">
        <v>0</v>
      </c>
      <c r="I41" s="43">
        <v>0</v>
      </c>
      <c r="J41" s="43">
        <v>1</v>
      </c>
      <c r="K41" s="63">
        <f t="shared" si="11"/>
        <v>24</v>
      </c>
      <c r="L41" s="132">
        <f>VLOOKUP($B:$B,'[1]7店'!$B:$L,11,FALSE)</f>
        <v>13.9</v>
      </c>
      <c r="M41" s="44">
        <f t="shared" si="32"/>
        <v>333.6</v>
      </c>
      <c r="N41" s="65">
        <f>IFERROR(VLOOKUP(B:B,'7店辅助表'!B:C,2,FALSE),0)</f>
        <v>8</v>
      </c>
      <c r="O41" s="65">
        <f>IFERROR(VLOOKUP(B:B,'7店辅助表'!E:F,2,FALSE),0)</f>
        <v>10</v>
      </c>
      <c r="P41" s="65">
        <f>IFERROR(VLOOKUP(B:B,'7店辅助表'!H:I,2,FALSE),0)</f>
        <v>34</v>
      </c>
      <c r="Q41" s="65">
        <f>IFERROR(VLOOKUP(B:B,'[1]7店'!$B:$N,13,FALSE),0)</f>
        <v>2</v>
      </c>
      <c r="R41" s="79">
        <f t="shared" si="22"/>
        <v>6</v>
      </c>
      <c r="S41" s="80">
        <f t="shared" si="23"/>
        <v>24.4660194174757</v>
      </c>
      <c r="T41" s="44">
        <f t="shared" si="24"/>
        <v>0.815533980582524</v>
      </c>
      <c r="U41" s="44">
        <f>IFERROR(VLOOKUP($B:$B,'[1]7店'!$B:$T,19,FALSE),0)</f>
        <v>2.22115384615385</v>
      </c>
      <c r="V41" s="81">
        <f t="shared" si="25"/>
        <v>-1.40561986557133</v>
      </c>
      <c r="W41" s="82" t="str">
        <f t="shared" si="26"/>
        <v>正常</v>
      </c>
      <c r="X41" s="83" t="str">
        <f t="shared" si="27"/>
        <v>正常</v>
      </c>
      <c r="Y41" s="44">
        <f>IFERROR(SUMIF('7店辅助表'!K:K,B:B,'7店辅助表'!N:N),0)</f>
        <v>0</v>
      </c>
      <c r="Z41" s="44">
        <f>IFERROR(SUMIF('7店辅助表'!T:T,B:B,'7店辅助表'!W:W),0)</f>
        <v>0</v>
      </c>
      <c r="AA41" s="44">
        <f>IFERROR(SUMIF('7店辅助表'!AC:AC,B:B,'7店辅助表'!AF:AF),0)</f>
        <v>0.16</v>
      </c>
      <c r="AB41" s="91" t="str">
        <f>IFERROR(SUMIF('7店辅助表'!K:K,B:B,'7店辅助表'!N:N)/SUMIF('7店辅助表'!K:K,B:B,'7店辅助表'!O:O),"-")</f>
        <v>-</v>
      </c>
      <c r="AC41" s="91" t="str">
        <f>IFERROR(VLOOKUP(B:B,'[1]7店'!$B:$AB,27,FALSE),"-")</f>
        <v>-</v>
      </c>
      <c r="AD41" s="92" t="str">
        <f t="shared" si="28"/>
        <v>-</v>
      </c>
      <c r="AE41" s="91" t="str">
        <f>IFERROR(SUMIF('7店辅助表'!T:T,B:B,'7店辅助表'!W:W)/SUMIF('7店辅助表'!T:T,B:B,'7店辅助表'!X:X),"-")</f>
        <v>-</v>
      </c>
      <c r="AF41" s="91" t="str">
        <f>IFERROR(SUMIF('7店辅助表'!AC:AC,B:B,'7店辅助表'!AF:AF)/SUMIF('7店辅助表'!AC:AC,B:B,'7店辅助表'!AG:AG),"-")</f>
        <v>-</v>
      </c>
      <c r="AG41" s="99">
        <f>IFERROR(AK41/((SUMIF('7店辅助表'!AT:AT,B:B,'7店辅助表'!AU:AU)+M41)/2),"-")</f>
        <v>0.280701754385965</v>
      </c>
      <c r="AH41" s="99">
        <f>IFERROR(AL41/((SUMIF('7店辅助表'!AW:AW,B:B,'7店辅助表'!AX:AX)+M41)/2),"-")</f>
        <v>0.625</v>
      </c>
      <c r="AI41" s="100">
        <f>IFERROR((SUMIF('7店辅助表'!AP:AP,B:B,'7店辅助表'!AR:AR)-SUMIF('7店辅助表'!AP:AP,B:B,'7店辅助表'!AR:AR)*0.15-(L41+IFERROR(VLOOKUP(B:B,'7店辅助表'!AZ:BA,2,0),0))*O41-IF(AN:AN="US",6.85,4.9)*(Z41+4.27*O41))/SUMIF('7店辅助表'!AP:AP,B:B,'7店辅助表'!AR:AR),"-")</f>
        <v>0.236108117376182</v>
      </c>
      <c r="AJ41" s="100">
        <f t="shared" si="29"/>
        <v>0.147567573360114</v>
      </c>
      <c r="AK41" s="101">
        <f t="shared" si="30"/>
        <v>111.2</v>
      </c>
      <c r="AL41" s="101">
        <f t="shared" si="31"/>
        <v>139</v>
      </c>
      <c r="AM41" s="1" t="str">
        <f>VLOOKUP(B:B,'7店辅助表'!AZ:AZ,1,FALSE)</f>
        <v>Y73189-DB+Y73190+Y73270</v>
      </c>
      <c r="AN41" t="str">
        <f>VLOOKUP(B:B,'7店辅助表'!AZ:BB,3,FALSE)</f>
        <v>US</v>
      </c>
    </row>
    <row r="42" customHeight="1" spans="1:40">
      <c r="A42" s="58" t="str">
        <f>INDEX('[1]7店'!$A:$A,MATCH(B:B,'[1]7店'!$B:$B,0))</f>
        <v>美珠</v>
      </c>
      <c r="B42" s="108" t="s">
        <v>2249</v>
      </c>
      <c r="C42" s="43" t="s">
        <v>2250</v>
      </c>
      <c r="D42" s="59"/>
      <c r="E42" s="43" t="s">
        <v>2251</v>
      </c>
      <c r="F42" s="43">
        <v>3</v>
      </c>
      <c r="G42" s="43">
        <v>0</v>
      </c>
      <c r="H42" s="43">
        <v>0</v>
      </c>
      <c r="I42" s="43">
        <v>3</v>
      </c>
      <c r="J42" s="43">
        <v>0</v>
      </c>
      <c r="K42" s="63">
        <f t="shared" si="11"/>
        <v>6</v>
      </c>
      <c r="L42" s="132">
        <f>VLOOKUP($B:$B,'[1]7店'!$B:$L,11,FALSE)</f>
        <v>13.9</v>
      </c>
      <c r="M42" s="44">
        <f t="shared" si="32"/>
        <v>83.4</v>
      </c>
      <c r="N42" s="65">
        <f>IFERROR(VLOOKUP(B:B,'7店辅助表'!B:C,2,FALSE),0)</f>
        <v>5</v>
      </c>
      <c r="O42" s="65">
        <f>IFERROR(VLOOKUP(B:B,'7店辅助表'!E:F,2,FALSE),0)</f>
        <v>9</v>
      </c>
      <c r="P42" s="65">
        <f>IFERROR(VLOOKUP(B:B,'7店辅助表'!H:I,2,FALSE),0)</f>
        <v>13</v>
      </c>
      <c r="Q42" s="65">
        <f>IFERROR(VLOOKUP(B:B,'[1]7店'!$B:$N,13,FALSE),0)</f>
        <v>4</v>
      </c>
      <c r="R42" s="79">
        <f t="shared" si="22"/>
        <v>1</v>
      </c>
      <c r="S42" s="80">
        <f t="shared" si="23"/>
        <v>10.299727520436</v>
      </c>
      <c r="T42" s="44">
        <f t="shared" si="24"/>
        <v>0.343324250681199</v>
      </c>
      <c r="U42" s="44">
        <f>IFERROR(VLOOKUP($B:$B,'[1]7店'!$B:$T,19,FALSE),0)</f>
        <v>0.531645569620253</v>
      </c>
      <c r="V42" s="81">
        <f t="shared" si="25"/>
        <v>-0.188321318939054</v>
      </c>
      <c r="W42" s="82" t="str">
        <f t="shared" si="26"/>
        <v>库存过低</v>
      </c>
      <c r="X42" s="83" t="str">
        <f t="shared" si="27"/>
        <v>库存过低</v>
      </c>
      <c r="Y42" s="44">
        <f>IFERROR(SUMIF('7店辅助表'!K:K,B:B,'7店辅助表'!N:N),0)</f>
        <v>14.56</v>
      </c>
      <c r="Z42" s="44">
        <f>IFERROR(SUMIF('7店辅助表'!T:T,B:B,'7店辅助表'!W:W),0)</f>
        <v>32.79</v>
      </c>
      <c r="AA42" s="44">
        <f>IFERROR(SUMIF('7店辅助表'!AC:AC,B:B,'7店辅助表'!AF:AF),0)</f>
        <v>50.36</v>
      </c>
      <c r="AB42" s="91">
        <f>IFERROR(SUMIF('7店辅助表'!K:K,B:B,'7店辅助表'!N:N)/SUMIF('7店辅助表'!K:K,B:B,'7店辅助表'!O:O),"-")</f>
        <v>0.118181818181818</v>
      </c>
      <c r="AC42" s="91">
        <f>IFERROR(VLOOKUP(B:B,'[1]7店'!$B:$AB,27,FALSE),"-")</f>
        <v>0.106670249210721</v>
      </c>
      <c r="AD42" s="92">
        <f t="shared" si="28"/>
        <v>0.011511568971097</v>
      </c>
      <c r="AE42" s="91">
        <f>IFERROR(SUMIF('7店辅助表'!T:T,B:B,'7店辅助表'!W:W)/SUMIF('7店辅助表'!T:T,B:B,'7店辅助表'!X:X),"-")</f>
        <v>0.115028415070511</v>
      </c>
      <c r="AF42" s="91">
        <f>IFERROR(SUMIF('7店辅助表'!AC:AC,B:B,'7店辅助表'!AF:AF)/SUMIF('7店辅助表'!AC:AC,B:B,'7店辅助表'!AG:AG),"-")</f>
        <v>0.133939732439693</v>
      </c>
      <c r="AG42" s="99">
        <f>IFERROR(AK42/((SUMIF('7店辅助表'!AT:AT,B:B,'7店辅助表'!AU:AU)+M42)/2),"-")</f>
        <v>0.714285714285714</v>
      </c>
      <c r="AH42" s="99">
        <f>IFERROR(AL42/((SUMIF('7店辅助表'!AW:AW,B:B,'7店辅助表'!AX:AX)+M42)/2),"-")</f>
        <v>0.9</v>
      </c>
      <c r="AI42" s="100">
        <f>IFERROR((SUMIF('7店辅助表'!AP:AP,B:B,'7店辅助表'!AR:AR)-SUMIF('7店辅助表'!AP:AP,B:B,'7店辅助表'!AR:AR)*0.15-(L42+IFERROR(VLOOKUP(B:B,'7店辅助表'!AZ:BA,2,0),0))*O42-IF(AN:AN="US",6.85,4.9)*(Z42+4.27*O42))/SUMIF('7店辅助表'!AP:AP,B:B,'7店辅助表'!AR:AR),"-")</f>
        <v>-0.0150788981858169</v>
      </c>
      <c r="AJ42" s="100">
        <f t="shared" si="29"/>
        <v>-0.0135710083672352</v>
      </c>
      <c r="AK42" s="101">
        <f t="shared" si="30"/>
        <v>69.5</v>
      </c>
      <c r="AL42" s="101">
        <f t="shared" si="31"/>
        <v>125.1</v>
      </c>
      <c r="AM42" s="1" t="str">
        <f>VLOOKUP(B:B,'7店辅助表'!AZ:AZ,1,FALSE)</f>
        <v>Y73189-OR+Y73190+Y73270</v>
      </c>
      <c r="AN42" t="str">
        <f>VLOOKUP(B:B,'7店辅助表'!AZ:BB,3,FALSE)</f>
        <v>US</v>
      </c>
    </row>
    <row r="43" customHeight="1" spans="1:40">
      <c r="A43" s="58" t="str">
        <f>INDEX('[1]7店'!$A:$A,MATCH(B:B,'[1]7店'!$B:$B,0))</f>
        <v>美珠</v>
      </c>
      <c r="B43" s="108" t="s">
        <v>2252</v>
      </c>
      <c r="C43" s="43" t="s">
        <v>1185</v>
      </c>
      <c r="D43" s="59"/>
      <c r="E43" s="43" t="s">
        <v>2253</v>
      </c>
      <c r="F43" s="43">
        <v>15</v>
      </c>
      <c r="G43" s="43">
        <v>0</v>
      </c>
      <c r="H43" s="43">
        <v>0</v>
      </c>
      <c r="I43" s="43">
        <v>0</v>
      </c>
      <c r="J43" s="43">
        <v>0</v>
      </c>
      <c r="K43" s="63">
        <f t="shared" si="11"/>
        <v>15</v>
      </c>
      <c r="L43" s="132">
        <f>VLOOKUP($B:$B,'[1]7店'!$B:$L,11,FALSE)</f>
        <v>13.9</v>
      </c>
      <c r="M43" s="44">
        <f t="shared" si="32"/>
        <v>208.5</v>
      </c>
      <c r="N43" s="65">
        <f>IFERROR(VLOOKUP(B:B,'7店辅助表'!B:C,2,FALSE),0)</f>
        <v>0</v>
      </c>
      <c r="O43" s="65">
        <f>IFERROR(VLOOKUP(B:B,'7店辅助表'!E:F,2,FALSE),0)</f>
        <v>1</v>
      </c>
      <c r="P43" s="65">
        <f>IFERROR(VLOOKUP(B:B,'7店辅助表'!H:I,2,FALSE),0)</f>
        <v>1</v>
      </c>
      <c r="Q43" s="65">
        <f>IFERROR(VLOOKUP(B:B,'[1]7店'!$B:$N,13,FALSE),0)</f>
        <v>1</v>
      </c>
      <c r="R43" s="79">
        <f t="shared" si="22"/>
        <v>-1</v>
      </c>
      <c r="S43" s="80">
        <f t="shared" si="23"/>
        <v>450</v>
      </c>
      <c r="T43" s="44">
        <f t="shared" si="24"/>
        <v>15</v>
      </c>
      <c r="U43" s="44">
        <f>IFERROR(VLOOKUP($B:$B,'[1]7店'!$B:$T,19,FALSE),0)</f>
        <v>6.17647058823529</v>
      </c>
      <c r="V43" s="81">
        <f t="shared" si="25"/>
        <v>8.82352941176471</v>
      </c>
      <c r="W43" s="82" t="str">
        <f t="shared" si="26"/>
        <v>有库存无销量</v>
      </c>
      <c r="X43" s="83" t="str">
        <f t="shared" si="27"/>
        <v>库存过高</v>
      </c>
      <c r="Y43" s="44">
        <f>IFERROR(SUMIF('7店辅助表'!K:K,B:B,'7店辅助表'!N:N),0)</f>
        <v>0.22</v>
      </c>
      <c r="Z43" s="44">
        <f>IFERROR(SUMIF('7店辅助表'!T:T,B:B,'7店辅助表'!W:W),0)</f>
        <v>2.57</v>
      </c>
      <c r="AA43" s="44">
        <f>IFERROR(SUMIF('7店辅助表'!AC:AC,B:B,'7店辅助表'!AF:AF),0)</f>
        <v>4.67</v>
      </c>
      <c r="AB43" s="91" t="str">
        <f>IFERROR(SUMIF('7店辅助表'!K:K,B:B,'7店辅助表'!N:N)/SUMIF('7店辅助表'!K:K,B:B,'7店辅助表'!O:O),"-")</f>
        <v>-</v>
      </c>
      <c r="AC43" s="91" t="str">
        <f>IFERROR(VLOOKUP(B:B,'[1]7店'!$B:$AB,27,FALSE),"-")</f>
        <v>-</v>
      </c>
      <c r="AD43" s="92" t="str">
        <f t="shared" si="28"/>
        <v>-</v>
      </c>
      <c r="AE43" s="91" t="str">
        <f>IFERROR(SUMIF('7店辅助表'!T:T,B:B,'7店辅助表'!W:W)/SUMIF('7店辅助表'!T:T,B:B,'7店辅助表'!X:X),"-")</f>
        <v>-</v>
      </c>
      <c r="AF43" s="91" t="str">
        <f>IFERROR(SUMIF('7店辅助表'!AC:AC,B:B,'7店辅助表'!AF:AF)/SUMIF('7店辅助表'!AC:AC,B:B,'7店辅助表'!AG:AG),"-")</f>
        <v>-</v>
      </c>
      <c r="AG43" s="99">
        <f>IFERROR(AK43/((SUMIF('7店辅助表'!AT:AT,B:B,'7店辅助表'!AU:AU)+M43)/2),"-")</f>
        <v>0</v>
      </c>
      <c r="AH43" s="99">
        <f>IFERROR(AL43/((SUMIF('7店辅助表'!AW:AW,B:B,'7店辅助表'!AX:AX)+M43)/2),"-")</f>
        <v>0.0645161290322581</v>
      </c>
      <c r="AI43" s="100">
        <f>IFERROR((SUMIF('7店辅助表'!AP:AP,B:B,'7店辅助表'!AR:AR)-SUMIF('7店辅助表'!AP:AP,B:B,'7店辅助表'!AR:AR)*0.15-(L43+IFERROR(VLOOKUP(B:B,'7店辅助表'!AZ:BA,2,0),0))*O43-IF(AN:AN="US",6.85,4.9)*(Z43+4.27*O43))/SUMIF('7店辅助表'!AP:AP,B:B,'7店辅助表'!AR:AR),"-")</f>
        <v>0.0942473997403955</v>
      </c>
      <c r="AJ43" s="100">
        <f t="shared" si="29"/>
        <v>0.00608047740260616</v>
      </c>
      <c r="AK43" s="101">
        <f t="shared" si="30"/>
        <v>0</v>
      </c>
      <c r="AL43" s="101">
        <f t="shared" si="31"/>
        <v>13.9</v>
      </c>
      <c r="AM43" s="1" t="str">
        <f>VLOOKUP(B:B,'7店辅助表'!AZ:AZ,1,FALSE)</f>
        <v>Y73405-BL+Y73406+Y73397</v>
      </c>
      <c r="AN43" t="str">
        <f>VLOOKUP(B:B,'7店辅助表'!AZ:BB,3,FALSE)</f>
        <v>US</v>
      </c>
    </row>
    <row r="44" customHeight="1" spans="1:40">
      <c r="A44" s="58" t="str">
        <f>INDEX('[1]7店'!$A:$A,MATCH(B:B,'[1]7店'!$B:$B,0))</f>
        <v>美珠</v>
      </c>
      <c r="B44" s="108" t="s">
        <v>2254</v>
      </c>
      <c r="C44" s="43" t="s">
        <v>95</v>
      </c>
      <c r="D44" s="59"/>
      <c r="E44" s="43" t="s">
        <v>2255</v>
      </c>
      <c r="F44" s="43">
        <v>10</v>
      </c>
      <c r="G44" s="43">
        <v>0</v>
      </c>
      <c r="H44" s="43">
        <v>0</v>
      </c>
      <c r="I44" s="43">
        <v>0</v>
      </c>
      <c r="J44" s="43">
        <v>0</v>
      </c>
      <c r="K44" s="63">
        <f t="shared" si="11"/>
        <v>10</v>
      </c>
      <c r="L44" s="132">
        <f>VLOOKUP($B:$B,'[1]7店'!$B:$L,11,FALSE)</f>
        <v>13.9</v>
      </c>
      <c r="M44" s="44">
        <f t="shared" si="32"/>
        <v>139</v>
      </c>
      <c r="N44" s="65">
        <f>IFERROR(VLOOKUP(B:B,'7店辅助表'!B:C,2,FALSE),0)</f>
        <v>0</v>
      </c>
      <c r="O44" s="65">
        <f>IFERROR(VLOOKUP(B:B,'7店辅助表'!E:F,2,FALSE),0)</f>
        <v>5</v>
      </c>
      <c r="P44" s="65">
        <f>IFERROR(VLOOKUP(B:B,'7店辅助表'!H:I,2,FALSE),0)</f>
        <v>7</v>
      </c>
      <c r="Q44" s="65">
        <f>IFERROR(VLOOKUP(B:B,'[1]7店'!$B:$N,13,FALSE),0)</f>
        <v>5</v>
      </c>
      <c r="R44" s="79">
        <f t="shared" si="22"/>
        <v>-5</v>
      </c>
      <c r="S44" s="80">
        <f t="shared" si="23"/>
        <v>52.9411764705882</v>
      </c>
      <c r="T44" s="44">
        <f t="shared" si="24"/>
        <v>1.76470588235294</v>
      </c>
      <c r="U44" s="44">
        <f>IFERROR(VLOOKUP($B:$B,'[1]7店'!$B:$T,19,FALSE),0)</f>
        <v>1.09293680297398</v>
      </c>
      <c r="V44" s="81">
        <f t="shared" si="25"/>
        <v>0.67176907937896</v>
      </c>
      <c r="W44" s="82" t="str">
        <f t="shared" si="26"/>
        <v>有库存无销量</v>
      </c>
      <c r="X44" s="83" t="str">
        <f t="shared" si="27"/>
        <v>库存过高</v>
      </c>
      <c r="Y44" s="44">
        <f>IFERROR(SUMIF('7店辅助表'!K:K,B:B,'7店辅助表'!N:N),0)</f>
        <v>0</v>
      </c>
      <c r="Z44" s="44">
        <f>IFERROR(SUMIF('7店辅助表'!T:T,B:B,'7店辅助表'!W:W),0)</f>
        <v>4.25</v>
      </c>
      <c r="AA44" s="44">
        <f>IFERROR(SUMIF('7店辅助表'!AC:AC,B:B,'7店辅助表'!AF:AF),0)</f>
        <v>13.15</v>
      </c>
      <c r="AB44" s="91" t="str">
        <f>IFERROR(SUMIF('7店辅助表'!K:K,B:B,'7店辅助表'!N:N)/SUMIF('7店辅助表'!K:K,B:B,'7店辅助表'!O:O),"-")</f>
        <v>-</v>
      </c>
      <c r="AC44" s="91">
        <f>IFERROR(VLOOKUP(B:B,'[1]7店'!$B:$AB,27,FALSE),"-")</f>
        <v>0.0684811237928007</v>
      </c>
      <c r="AD44" s="92" t="str">
        <f t="shared" si="28"/>
        <v>-</v>
      </c>
      <c r="AE44" s="91">
        <f>IFERROR(SUMIF('7店辅助表'!T:T,B:B,'7店辅助表'!W:W)/SUMIF('7店辅助表'!T:T,B:B,'7店辅助表'!X:X),"-")</f>
        <v>0.0746268656716418</v>
      </c>
      <c r="AF44" s="91">
        <f>IFERROR(SUMIF('7店辅助表'!AC:AC,B:B,'7店辅助表'!AF:AF)/SUMIF('7店辅助表'!AC:AC,B:B,'7店辅助表'!AG:AG),"-")</f>
        <v>0.188018301401201</v>
      </c>
      <c r="AG44" s="99">
        <f>IFERROR(AK44/((SUMIF('7店辅助表'!AT:AT,B:B,'7店辅助表'!AU:AU)+M44)/2),"-")</f>
        <v>0</v>
      </c>
      <c r="AH44" s="99">
        <f>IFERROR(AL44/((SUMIF('7店辅助表'!AW:AW,B:B,'7店辅助表'!AX:AX)+M44)/2),"-")</f>
        <v>0.37037037037037</v>
      </c>
      <c r="AI44" s="100">
        <f>IFERROR((SUMIF('7店辅助表'!AP:AP,B:B,'7店辅助表'!AR:AR)-SUMIF('7店辅助表'!AP:AP,B:B,'7店辅助表'!AR:AR)*0.15-(L44+IFERROR(VLOOKUP(B:B,'7店辅助表'!AZ:BA,2,0),0))*O44-IF(AN:AN="US",6.85,4.9)*(Z44+4.27*O44))/SUMIF('7店辅助表'!AP:AP,B:B,'7店辅助表'!AR:AR),"-")</f>
        <v>0.139247194683517</v>
      </c>
      <c r="AJ44" s="100">
        <f t="shared" si="29"/>
        <v>0.0515730350679692</v>
      </c>
      <c r="AK44" s="101">
        <f t="shared" si="30"/>
        <v>0</v>
      </c>
      <c r="AL44" s="101">
        <f t="shared" si="31"/>
        <v>69.5</v>
      </c>
      <c r="AM44" s="1" t="str">
        <f>VLOOKUP(B:B,'7店辅助表'!AZ:AZ,1,FALSE)</f>
        <v>Y73405-DB+Y73406+Y73397</v>
      </c>
      <c r="AN44" t="str">
        <f>VLOOKUP(B:B,'7店辅助表'!AZ:BB,3,FALSE)</f>
        <v>US</v>
      </c>
    </row>
    <row r="45" customHeight="1" spans="1:40">
      <c r="A45" s="58" t="str">
        <f>INDEX('[1]7店'!$A:$A,MATCH(B:B,'[1]7店'!$B:$B,0))</f>
        <v>美珠</v>
      </c>
      <c r="B45" s="108" t="s">
        <v>2256</v>
      </c>
      <c r="C45" s="43" t="s">
        <v>2257</v>
      </c>
      <c r="D45" s="59"/>
      <c r="E45" s="43" t="s">
        <v>2258</v>
      </c>
      <c r="F45" s="43">
        <v>17</v>
      </c>
      <c r="G45" s="43">
        <v>0</v>
      </c>
      <c r="H45" s="43">
        <v>0</v>
      </c>
      <c r="I45" s="43">
        <v>0</v>
      </c>
      <c r="J45" s="43">
        <v>0</v>
      </c>
      <c r="K45" s="63">
        <f t="shared" si="11"/>
        <v>17</v>
      </c>
      <c r="L45" s="132">
        <f>VLOOKUP($B:$B,'[1]7店'!$B:$L,11,FALSE)</f>
        <v>13.9</v>
      </c>
      <c r="M45" s="44">
        <f t="shared" si="32"/>
        <v>236.3</v>
      </c>
      <c r="N45" s="65">
        <f>IFERROR(VLOOKUP(B:B,'7店辅助表'!B:C,2,FALSE),0)</f>
        <v>1</v>
      </c>
      <c r="O45" s="65">
        <f>IFERROR(VLOOKUP(B:B,'7店辅助表'!E:F,2,FALSE),0)</f>
        <v>1</v>
      </c>
      <c r="P45" s="65">
        <f>IFERROR(VLOOKUP(B:B,'7店辅助表'!H:I,2,FALSE),0)</f>
        <v>3</v>
      </c>
      <c r="Q45" s="65">
        <f>IFERROR(VLOOKUP(B:B,'[1]7店'!$B:$N,13,FALSE),0)</f>
        <v>0</v>
      </c>
      <c r="R45" s="79">
        <f t="shared" si="22"/>
        <v>1</v>
      </c>
      <c r="S45" s="80">
        <f t="shared" si="23"/>
        <v>164.769230769231</v>
      </c>
      <c r="T45" s="44">
        <f t="shared" si="24"/>
        <v>5.49230769230769</v>
      </c>
      <c r="U45" s="44">
        <f>IFERROR(VLOOKUP($B:$B,'[1]7店'!$B:$T,19,FALSE),0)</f>
        <v>6.375</v>
      </c>
      <c r="V45" s="81">
        <f t="shared" si="25"/>
        <v>-0.88269230769231</v>
      </c>
      <c r="W45" s="82" t="str">
        <f t="shared" si="26"/>
        <v>库存过高</v>
      </c>
      <c r="X45" s="83" t="str">
        <f t="shared" si="27"/>
        <v>库存过高</v>
      </c>
      <c r="Y45" s="44">
        <f>IFERROR(SUMIF('7店辅助表'!K:K,B:B,'7店辅助表'!N:N),0)</f>
        <v>0</v>
      </c>
      <c r="Z45" s="44">
        <f>IFERROR(SUMIF('7店辅助表'!T:T,B:B,'7店辅助表'!W:W),0)</f>
        <v>0</v>
      </c>
      <c r="AA45" s="44">
        <f>IFERROR(SUMIF('7店辅助表'!AC:AC,B:B,'7店辅助表'!AF:AF),0)</f>
        <v>0</v>
      </c>
      <c r="AB45" s="91" t="str">
        <f>IFERROR(SUMIF('7店辅助表'!K:K,B:B,'7店辅助表'!N:N)/SUMIF('7店辅助表'!K:K,B:B,'7店辅助表'!O:O),"-")</f>
        <v>-</v>
      </c>
      <c r="AC45" s="91" t="str">
        <f>IFERROR(VLOOKUP(B:B,'[1]7店'!$B:$AB,27,FALSE),"-")</f>
        <v>-</v>
      </c>
      <c r="AD45" s="92" t="str">
        <f t="shared" si="28"/>
        <v>-</v>
      </c>
      <c r="AE45" s="91" t="str">
        <f>IFERROR(SUMIF('7店辅助表'!T:T,B:B,'7店辅助表'!W:W)/SUMIF('7店辅助表'!T:T,B:B,'7店辅助表'!X:X),"-")</f>
        <v>-</v>
      </c>
      <c r="AF45" s="91" t="str">
        <f>IFERROR(SUMIF('7店辅助表'!AC:AC,B:B,'7店辅助表'!AF:AF)/SUMIF('7店辅助表'!AC:AC,B:B,'7店辅助表'!AG:AG),"-")</f>
        <v>-</v>
      </c>
      <c r="AG45" s="99">
        <f>IFERROR(AK45/((SUMIF('7店辅助表'!AT:AT,B:B,'7店辅助表'!AU:AU)+M45)/2),"-")</f>
        <v>0.0588235294117647</v>
      </c>
      <c r="AH45" s="99">
        <f>IFERROR(AL45/((SUMIF('7店辅助表'!AW:AW,B:B,'7店辅助表'!AX:AX)+M45)/2),"-")</f>
        <v>0.08</v>
      </c>
      <c r="AI45" s="100">
        <f>IFERROR((SUMIF('7店辅助表'!AP:AP,B:B,'7店辅助表'!AR:AR)-SUMIF('7店辅助表'!AP:AP,B:B,'7店辅助表'!AR:AR)*0.15-(L45+IFERROR(VLOOKUP(B:B,'7店辅助表'!AZ:BA,2,0),0))*O45-IF(AN:AN="US",6.85,4.9)*(Z45+4.27*O45))/SUMIF('7店辅助表'!AP:AP,B:B,'7店辅助表'!AR:AR),"-")</f>
        <v>0.3059599467305</v>
      </c>
      <c r="AJ45" s="100">
        <f t="shared" si="29"/>
        <v>0.02447679573844</v>
      </c>
      <c r="AK45" s="101">
        <f t="shared" si="30"/>
        <v>13.9</v>
      </c>
      <c r="AL45" s="101">
        <f t="shared" si="31"/>
        <v>13.9</v>
      </c>
      <c r="AM45" s="1" t="str">
        <f>VLOOKUP(B:B,'7店辅助表'!AZ:AZ,1,FALSE)</f>
        <v>Y73473-DB+Y72614+Y73476</v>
      </c>
      <c r="AN45" t="str">
        <f>VLOOKUP(B:B,'7店辅助表'!AZ:BB,3,FALSE)</f>
        <v>US</v>
      </c>
    </row>
    <row r="46" customHeight="1" spans="1:40">
      <c r="A46" s="58" t="str">
        <f>INDEX('[1]7店'!$A:$A,MATCH(B:B,'[1]7店'!$B:$B,0))</f>
        <v>美珠</v>
      </c>
      <c r="B46" s="108" t="s">
        <v>2259</v>
      </c>
      <c r="C46" s="43" t="s">
        <v>2260</v>
      </c>
      <c r="D46" s="59"/>
      <c r="E46" s="43" t="s">
        <v>2261</v>
      </c>
      <c r="F46" s="43">
        <v>18</v>
      </c>
      <c r="G46" s="43">
        <v>0</v>
      </c>
      <c r="H46" s="43">
        <v>0</v>
      </c>
      <c r="I46" s="43">
        <v>0</v>
      </c>
      <c r="J46" s="43">
        <v>0</v>
      </c>
      <c r="K46" s="63">
        <f t="shared" si="11"/>
        <v>18</v>
      </c>
      <c r="L46" s="132">
        <f>VLOOKUP($B:$B,'[1]7店'!$B:$L,11,FALSE)</f>
        <v>13.9</v>
      </c>
      <c r="M46" s="44">
        <f t="shared" si="32"/>
        <v>250.2</v>
      </c>
      <c r="N46" s="65">
        <f>IFERROR(VLOOKUP(B:B,'7店辅助表'!B:C,2,FALSE),0)</f>
        <v>1</v>
      </c>
      <c r="O46" s="65">
        <f>IFERROR(VLOOKUP(B:B,'7店辅助表'!E:F,2,FALSE),0)</f>
        <v>1</v>
      </c>
      <c r="P46" s="65">
        <f>IFERROR(VLOOKUP(B:B,'7店辅助表'!H:I,2,FALSE),0)</f>
        <v>2</v>
      </c>
      <c r="Q46" s="65">
        <f>IFERROR(VLOOKUP(B:B,'[1]7店'!$B:$N,13,FALSE),0)</f>
        <v>0</v>
      </c>
      <c r="R46" s="79">
        <f t="shared" si="22"/>
        <v>1</v>
      </c>
      <c r="S46" s="80">
        <f t="shared" si="23"/>
        <v>195.51724137931</v>
      </c>
      <c r="T46" s="44">
        <f t="shared" si="24"/>
        <v>6.51724137931035</v>
      </c>
      <c r="U46" s="44">
        <f>IFERROR(VLOOKUP($B:$B,'[1]7店'!$B:$T,19,FALSE),0)</f>
        <v>57</v>
      </c>
      <c r="V46" s="81">
        <f t="shared" si="25"/>
        <v>-50.4827586206897</v>
      </c>
      <c r="W46" s="82" t="str">
        <f t="shared" si="26"/>
        <v>库存过高</v>
      </c>
      <c r="X46" s="83" t="str">
        <f t="shared" si="27"/>
        <v>库存过高</v>
      </c>
      <c r="Y46" s="44">
        <f>IFERROR(SUMIF('7店辅助表'!K:K,B:B,'7店辅助表'!N:N),0)</f>
        <v>0</v>
      </c>
      <c r="Z46" s="44">
        <f>IFERROR(SUMIF('7店辅助表'!T:T,B:B,'7店辅助表'!W:W),0)</f>
        <v>0</v>
      </c>
      <c r="AA46" s="44">
        <f>IFERROR(SUMIF('7店辅助表'!AC:AC,B:B,'7店辅助表'!AF:AF),0)</f>
        <v>0</v>
      </c>
      <c r="AB46" s="91" t="str">
        <f>IFERROR(SUMIF('7店辅助表'!K:K,B:B,'7店辅助表'!N:N)/SUMIF('7店辅助表'!K:K,B:B,'7店辅助表'!O:O),"-")</f>
        <v>-</v>
      </c>
      <c r="AC46" s="91" t="str">
        <f>IFERROR(VLOOKUP(B:B,'[1]7店'!$B:$AB,27,FALSE),"-")</f>
        <v>-</v>
      </c>
      <c r="AD46" s="92" t="str">
        <f t="shared" si="28"/>
        <v>-</v>
      </c>
      <c r="AE46" s="91" t="str">
        <f>IFERROR(SUMIF('7店辅助表'!T:T,B:B,'7店辅助表'!W:W)/SUMIF('7店辅助表'!T:T,B:B,'7店辅助表'!X:X),"-")</f>
        <v>-</v>
      </c>
      <c r="AF46" s="91" t="str">
        <f>IFERROR(SUMIF('7店辅助表'!AC:AC,B:B,'7店辅助表'!AF:AF)/SUMIF('7店辅助表'!AC:AC,B:B,'7店辅助表'!AG:AG),"-")</f>
        <v>-</v>
      </c>
      <c r="AG46" s="99">
        <f>IFERROR(AK46/((SUMIF('7店辅助表'!AT:AT,B:B,'7店辅助表'!AU:AU)+M46)/2),"-")</f>
        <v>0.0540540540540541</v>
      </c>
      <c r="AH46" s="99">
        <f>IFERROR(AL46/((SUMIF('7店辅助表'!AW:AW,B:B,'7店辅助表'!AX:AX)+M46)/2),"-")</f>
        <v>0.0526315789473684</v>
      </c>
      <c r="AI46" s="100">
        <f>IFERROR((SUMIF('7店辅助表'!AP:AP,B:B,'7店辅助表'!AR:AR)-SUMIF('7店辅助表'!AP:AP,B:B,'7店辅助表'!AR:AR)*0.15-(L46+IFERROR(VLOOKUP(B:B,'7店辅助表'!AZ:BA,2,0),0))*O46-IF(AN:AN="US",6.85,4.9)*(Z46+4.27*O46))/SUMIF('7店辅助表'!AP:AP,B:B,'7店辅助表'!AR:AR),"-")</f>
        <v>0.308893140709024</v>
      </c>
      <c r="AJ46" s="100">
        <f t="shared" si="29"/>
        <v>0.0162575337215276</v>
      </c>
      <c r="AK46" s="101">
        <f t="shared" si="30"/>
        <v>13.9</v>
      </c>
      <c r="AL46" s="101">
        <f t="shared" si="31"/>
        <v>13.9</v>
      </c>
      <c r="AM46" s="1" t="str">
        <f>VLOOKUP(B:B,'7店辅助表'!AZ:AZ,1,FALSE)</f>
        <v>Y73473-GR+Y72614+Y73476</v>
      </c>
      <c r="AN46" t="str">
        <f>VLOOKUP(B:B,'7店辅助表'!AZ:BB,3,FALSE)</f>
        <v>US</v>
      </c>
    </row>
    <row r="47" customHeight="1" spans="1:40">
      <c r="A47" s="58" t="str">
        <f>INDEX('[1]7店'!$A:$A,MATCH(B:B,'[1]7店'!$B:$B,0))</f>
        <v>美珠</v>
      </c>
      <c r="B47" s="108" t="s">
        <v>2262</v>
      </c>
      <c r="C47" s="43" t="s">
        <v>2263</v>
      </c>
      <c r="D47" s="59"/>
      <c r="E47" s="43" t="s">
        <v>2264</v>
      </c>
      <c r="F47" s="43">
        <v>4</v>
      </c>
      <c r="G47" s="43">
        <v>0</v>
      </c>
      <c r="H47" s="43">
        <v>0</v>
      </c>
      <c r="I47" s="43">
        <v>0</v>
      </c>
      <c r="J47" s="43">
        <v>0</v>
      </c>
      <c r="K47" s="63">
        <f t="shared" si="11"/>
        <v>4</v>
      </c>
      <c r="L47" s="132">
        <f>VLOOKUP($B:$B,'[1]7店'!$B:$L,11,FALSE)</f>
        <v>13.9</v>
      </c>
      <c r="M47" s="44">
        <f t="shared" si="32"/>
        <v>55.6</v>
      </c>
      <c r="N47" s="65">
        <f>IFERROR(VLOOKUP(B:B,'7店辅助表'!B:C,2,FALSE),0)</f>
        <v>0</v>
      </c>
      <c r="O47" s="65">
        <f>IFERROR(VLOOKUP(B:B,'7店辅助表'!E:F,2,FALSE),0)</f>
        <v>0</v>
      </c>
      <c r="P47" s="65">
        <f>IFERROR(VLOOKUP(B:B,'7店辅助表'!H:I,2,FALSE),0)</f>
        <v>8</v>
      </c>
      <c r="Q47" s="65">
        <f>IFERROR(VLOOKUP(B:B,'[1]7店'!$B:$N,13,FALSE),0)</f>
        <v>0</v>
      </c>
      <c r="R47" s="79">
        <f t="shared" si="22"/>
        <v>0</v>
      </c>
      <c r="S47" s="80">
        <f t="shared" si="23"/>
        <v>45</v>
      </c>
      <c r="T47" s="44">
        <f t="shared" si="24"/>
        <v>1.5</v>
      </c>
      <c r="U47" s="44">
        <f>IFERROR(VLOOKUP($B:$B,'[1]7店'!$B:$T,19,FALSE),0)</f>
        <v>0.923076923076923</v>
      </c>
      <c r="V47" s="81">
        <f t="shared" si="25"/>
        <v>0.576923076923077</v>
      </c>
      <c r="W47" s="82" t="str">
        <f t="shared" si="26"/>
        <v>有库存无销量</v>
      </c>
      <c r="X47" s="83" t="str">
        <f t="shared" si="27"/>
        <v>正常</v>
      </c>
      <c r="Y47" s="44">
        <f>IFERROR(SUMIF('7店辅助表'!K:K,B:B,'7店辅助表'!N:N),0)</f>
        <v>2.48</v>
      </c>
      <c r="Z47" s="44">
        <f>IFERROR(SUMIF('7店辅助表'!T:T,B:B,'7店辅助表'!W:W),0)</f>
        <v>2.48</v>
      </c>
      <c r="AA47" s="44">
        <f>IFERROR(SUMIF('7店辅助表'!AC:AC,B:B,'7店辅助表'!AF:AF),0)</f>
        <v>2.48</v>
      </c>
      <c r="AB47" s="91" t="str">
        <f>IFERROR(SUMIF('7店辅助表'!K:K,B:B,'7店辅助表'!N:N)/SUMIF('7店辅助表'!K:K,B:B,'7店辅助表'!O:O),"-")</f>
        <v>-</v>
      </c>
      <c r="AC47" s="91" t="str">
        <f>IFERROR(VLOOKUP(B:B,'[1]7店'!$B:$AB,27,FALSE),"-")</f>
        <v>-</v>
      </c>
      <c r="AD47" s="92" t="str">
        <f t="shared" si="28"/>
        <v>-</v>
      </c>
      <c r="AE47" s="91" t="str">
        <f>IFERROR(SUMIF('7店辅助表'!T:T,B:B,'7店辅助表'!W:W)/SUMIF('7店辅助表'!T:T,B:B,'7店辅助表'!X:X),"-")</f>
        <v>-</v>
      </c>
      <c r="AF47" s="91" t="str">
        <f>IFERROR(SUMIF('7店辅助表'!AC:AC,B:B,'7店辅助表'!AF:AF)/SUMIF('7店辅助表'!AC:AC,B:B,'7店辅助表'!AG:AG),"-")</f>
        <v>-</v>
      </c>
      <c r="AG47" s="99">
        <f>IFERROR(AK47/((SUMIF('7店辅助表'!AT:AT,B:B,'7店辅助表'!AU:AU)+M47)/2),"-")</f>
        <v>0</v>
      </c>
      <c r="AH47" s="99">
        <f>IFERROR(AL47/((SUMIF('7店辅助表'!AW:AW,B:B,'7店辅助表'!AX:AX)+M47)/2),"-")</f>
        <v>0</v>
      </c>
      <c r="AI47" s="100" t="str">
        <f>IFERROR((SUMIF('7店辅助表'!AP:AP,B:B,'7店辅助表'!AR:AR)-SUMIF('7店辅助表'!AP:AP,B:B,'7店辅助表'!AR:AR)*0.15-(L47+IFERROR(VLOOKUP(B:B,'7店辅助表'!AZ:BA,2,0),0))*O47-IF(AN:AN="US",6.85,4.9)*(Z47+4.27*O47))/SUMIF('7店辅助表'!AP:AP,B:B,'7店辅助表'!AR:AR),"-")</f>
        <v>-</v>
      </c>
      <c r="AJ47" s="100" t="str">
        <f t="shared" si="29"/>
        <v>-</v>
      </c>
      <c r="AK47" s="101">
        <f t="shared" si="30"/>
        <v>0</v>
      </c>
      <c r="AL47" s="101">
        <f t="shared" si="31"/>
        <v>0</v>
      </c>
      <c r="AM47" s="1" t="str">
        <f>VLOOKUP(B:B,'7店辅助表'!AZ:AZ,1,FALSE)</f>
        <v>Y73473-OR+Y72614+Y73476</v>
      </c>
      <c r="AN47" t="str">
        <f>VLOOKUP(B:B,'7店辅助表'!AZ:BB,3,FALSE)</f>
        <v>US</v>
      </c>
    </row>
    <row r="48" customHeight="1" spans="1:40">
      <c r="A48" s="58" t="str">
        <f>INDEX('[1]7店'!$A:$A,MATCH(B:B,'[1]7店'!$B:$B,0))</f>
        <v>美珠</v>
      </c>
      <c r="B48" s="108" t="s">
        <v>2265</v>
      </c>
      <c r="C48" s="43" t="s">
        <v>2266</v>
      </c>
      <c r="D48" s="59"/>
      <c r="E48" s="43" t="s">
        <v>2267</v>
      </c>
      <c r="F48" s="43">
        <v>8</v>
      </c>
      <c r="G48" s="43">
        <v>1</v>
      </c>
      <c r="H48" s="43">
        <v>0</v>
      </c>
      <c r="I48" s="43">
        <v>0</v>
      </c>
      <c r="J48" s="43">
        <v>0</v>
      </c>
      <c r="K48" s="63">
        <f t="shared" si="11"/>
        <v>9</v>
      </c>
      <c r="L48" s="132">
        <f>VLOOKUP($B:$B,'[1]7店'!$B:$L,11,FALSE)</f>
        <v>13.9</v>
      </c>
      <c r="M48" s="44">
        <f t="shared" si="32"/>
        <v>125.1</v>
      </c>
      <c r="N48" s="65">
        <f>IFERROR(VLOOKUP(B:B,'7店辅助表'!B:C,2,FALSE),0)</f>
        <v>0</v>
      </c>
      <c r="O48" s="65">
        <f>IFERROR(VLOOKUP(B:B,'7店辅助表'!E:F,2,FALSE),0)</f>
        <v>2</v>
      </c>
      <c r="P48" s="65">
        <f>IFERROR(VLOOKUP(B:B,'7店辅助表'!H:I,2,FALSE),0)</f>
        <v>6</v>
      </c>
      <c r="Q48" s="65">
        <f>IFERROR(VLOOKUP(B:B,'[1]7店'!$B:$N,13,FALSE),0)</f>
        <v>2</v>
      </c>
      <c r="R48" s="79">
        <f t="shared" si="22"/>
        <v>-2</v>
      </c>
      <c r="S48" s="80">
        <f t="shared" si="23"/>
        <v>81</v>
      </c>
      <c r="T48" s="44">
        <f t="shared" si="24"/>
        <v>2.7</v>
      </c>
      <c r="U48" s="44">
        <f>IFERROR(VLOOKUP($B:$B,'[1]7店'!$B:$T,19,FALSE),0)</f>
        <v>1.34302325581395</v>
      </c>
      <c r="V48" s="81">
        <f t="shared" si="25"/>
        <v>1.35697674418605</v>
      </c>
      <c r="W48" s="82" t="str">
        <f t="shared" si="26"/>
        <v>有库存无销量</v>
      </c>
      <c r="X48" s="83" t="str">
        <f t="shared" si="27"/>
        <v>库存过高</v>
      </c>
      <c r="Y48" s="44">
        <f>IFERROR(SUMIF('7店辅助表'!K:K,B:B,'7店辅助表'!N:N),0)</f>
        <v>4.68</v>
      </c>
      <c r="Z48" s="44">
        <f>IFERROR(SUMIF('7店辅助表'!T:T,B:B,'7店辅助表'!W:W),0)</f>
        <v>11.07</v>
      </c>
      <c r="AA48" s="44">
        <f>IFERROR(SUMIF('7店辅助表'!AC:AC,B:B,'7店辅助表'!AF:AF),0)</f>
        <v>20.27</v>
      </c>
      <c r="AB48" s="91" t="str">
        <f>IFERROR(SUMIF('7店辅助表'!K:K,B:B,'7店辅助表'!N:N)/SUMIF('7店辅助表'!K:K,B:B,'7店辅助表'!O:O),"-")</f>
        <v>-</v>
      </c>
      <c r="AC48" s="91">
        <f>IFERROR(VLOOKUP(B:B,'[1]7店'!$B:$AB,27,FALSE),"-")</f>
        <v>0.465878070973612</v>
      </c>
      <c r="AD48" s="92" t="str">
        <f t="shared" si="28"/>
        <v>-</v>
      </c>
      <c r="AE48" s="91">
        <f>IFERROR(SUMIF('7店辅助表'!T:T,B:B,'7店辅助表'!W:W)/SUMIF('7店辅助表'!T:T,B:B,'7店辅助表'!X:X),"-")</f>
        <v>1.00727934485896</v>
      </c>
      <c r="AF48" s="91">
        <f>IFERROR(SUMIF('7店辅助表'!AC:AC,B:B,'7店辅助表'!AF:AF)/SUMIF('7店辅助表'!AC:AC,B:B,'7店辅助表'!AG:AG),"-")</f>
        <v>0.548282391127942</v>
      </c>
      <c r="AG48" s="99">
        <f>IFERROR(AK48/((SUMIF('7店辅助表'!AT:AT,B:B,'7店辅助表'!AU:AU)+M48)/2),"-")</f>
        <v>0</v>
      </c>
      <c r="AH48" s="99">
        <f>IFERROR(AL48/((SUMIF('7店辅助表'!AW:AW,B:B,'7店辅助表'!AX:AX)+M48)/2),"-")</f>
        <v>0.173913043478261</v>
      </c>
      <c r="AI48" s="100">
        <f>IFERROR((SUMIF('7店辅助表'!AP:AP,B:B,'7店辅助表'!AR:AR)-SUMIF('7店辅助表'!AP:AP,B:B,'7店辅助表'!AR:AR)*0.15-(L48+IFERROR(VLOOKUP(B:B,'7店辅助表'!AZ:BA,2,0),0))*O48-IF(AN:AN="US",6.85,4.9)*(Z48+4.27*O48))/SUMIF('7店辅助表'!AP:AP,B:B,'7店辅助表'!AR:AR),"-")</f>
        <v>-0.316438633661657</v>
      </c>
      <c r="AJ48" s="100">
        <f t="shared" si="29"/>
        <v>-0.0550328058542012</v>
      </c>
      <c r="AK48" s="101">
        <f t="shared" si="30"/>
        <v>0</v>
      </c>
      <c r="AL48" s="101">
        <f t="shared" si="31"/>
        <v>27.8</v>
      </c>
      <c r="AM48" s="1" t="str">
        <f>VLOOKUP(B:B,'7店辅助表'!AZ:AZ,1,FALSE)</f>
        <v>Y73474-DB+Y72614+Y73477</v>
      </c>
      <c r="AN48" t="str">
        <f>VLOOKUP(B:B,'7店辅助表'!AZ:BB,3,FALSE)</f>
        <v>US</v>
      </c>
    </row>
    <row r="49" customHeight="1" spans="1:40">
      <c r="A49" s="58" t="str">
        <f>INDEX('[1]7店'!$A:$A,MATCH(B:B,'[1]7店'!$B:$B,0))</f>
        <v>美珠</v>
      </c>
      <c r="B49" s="108" t="s">
        <v>2268</v>
      </c>
      <c r="C49" s="43" t="s">
        <v>2269</v>
      </c>
      <c r="D49" s="59"/>
      <c r="E49" s="43" t="s">
        <v>2270</v>
      </c>
      <c r="F49" s="43">
        <v>1</v>
      </c>
      <c r="G49" s="43">
        <v>0</v>
      </c>
      <c r="H49" s="43">
        <v>0</v>
      </c>
      <c r="I49" s="43">
        <v>0</v>
      </c>
      <c r="J49" s="43">
        <v>0</v>
      </c>
      <c r="K49" s="63">
        <f t="shared" si="11"/>
        <v>1</v>
      </c>
      <c r="L49" s="132">
        <f>VLOOKUP($B:$B,'[1]7店'!$B:$L,11,FALSE)</f>
        <v>13.9</v>
      </c>
      <c r="M49" s="44">
        <f t="shared" si="32"/>
        <v>13.9</v>
      </c>
      <c r="N49" s="65">
        <f>IFERROR(VLOOKUP(B:B,'7店辅助表'!B:C,2,FALSE),0)</f>
        <v>0</v>
      </c>
      <c r="O49" s="65">
        <f>IFERROR(VLOOKUP(B:B,'7店辅助表'!E:F,2,FALSE),0)</f>
        <v>0</v>
      </c>
      <c r="P49" s="65">
        <f>IFERROR(VLOOKUP(B:B,'7店辅助表'!H:I,2,FALSE),0)</f>
        <v>1</v>
      </c>
      <c r="Q49" s="65">
        <f>IFERROR(VLOOKUP(B:B,'[1]7店'!$B:$N,13,FALSE),0)</f>
        <v>0</v>
      </c>
      <c r="R49" s="79">
        <f t="shared" si="22"/>
        <v>0</v>
      </c>
      <c r="S49" s="80">
        <f t="shared" si="23"/>
        <v>90</v>
      </c>
      <c r="T49" s="44">
        <f t="shared" si="24"/>
        <v>3</v>
      </c>
      <c r="U49" s="44">
        <f>IFERROR(VLOOKUP($B:$B,'[1]7店'!$B:$T,19,FALSE),0)</f>
        <v>0</v>
      </c>
      <c r="V49" s="81">
        <f t="shared" si="25"/>
        <v>3</v>
      </c>
      <c r="W49" s="82" t="str">
        <f t="shared" si="26"/>
        <v>有库存无销量</v>
      </c>
      <c r="X49" s="83" t="str">
        <f t="shared" si="27"/>
        <v>库存过高</v>
      </c>
      <c r="Y49" s="44">
        <f>IFERROR(SUMIF('7店辅助表'!K:K,B:B,'7店辅助表'!N:N),0)</f>
        <v>0</v>
      </c>
      <c r="Z49" s="44">
        <f>IFERROR(SUMIF('7店辅助表'!T:T,B:B,'7店辅助表'!W:W),0)</f>
        <v>0</v>
      </c>
      <c r="AA49" s="44">
        <f>IFERROR(SUMIF('7店辅助表'!AC:AC,B:B,'7店辅助表'!AF:AF),0)</f>
        <v>0</v>
      </c>
      <c r="AB49" s="91" t="str">
        <f>IFERROR(SUMIF('7店辅助表'!K:K,B:B,'7店辅助表'!N:N)/SUMIF('7店辅助表'!K:K,B:B,'7店辅助表'!O:O),"-")</f>
        <v>-</v>
      </c>
      <c r="AC49" s="91" t="str">
        <f>IFERROR(VLOOKUP(B:B,'[1]7店'!$B:$AB,27,FALSE),"-")</f>
        <v>-</v>
      </c>
      <c r="AD49" s="92" t="str">
        <f t="shared" si="28"/>
        <v>-</v>
      </c>
      <c r="AE49" s="91" t="str">
        <f>IFERROR(SUMIF('7店辅助表'!T:T,B:B,'7店辅助表'!W:W)/SUMIF('7店辅助表'!T:T,B:B,'7店辅助表'!X:X),"-")</f>
        <v>-</v>
      </c>
      <c r="AF49" s="91" t="str">
        <f>IFERROR(SUMIF('7店辅助表'!AC:AC,B:B,'7店辅助表'!AF:AF)/SUMIF('7店辅助表'!AC:AC,B:B,'7店辅助表'!AG:AG),"-")</f>
        <v>-</v>
      </c>
      <c r="AG49" s="99">
        <f>IFERROR(AK49/((SUMIF('7店辅助表'!AT:AT,B:B,'7店辅助表'!AU:AU)+M49)/2),"-")</f>
        <v>0</v>
      </c>
      <c r="AH49" s="99">
        <f>IFERROR(AL49/((SUMIF('7店辅助表'!AW:AW,B:B,'7店辅助表'!AX:AX)+M49)/2),"-")</f>
        <v>0</v>
      </c>
      <c r="AI49" s="100" t="str">
        <f>IFERROR((SUMIF('7店辅助表'!AP:AP,B:B,'7店辅助表'!AR:AR)-SUMIF('7店辅助表'!AP:AP,B:B,'7店辅助表'!AR:AR)*0.15-(L49+IFERROR(VLOOKUP(B:B,'7店辅助表'!AZ:BA,2,0),0))*O49-IF(AN:AN="US",6.85,4.9)*(Z49+4.27*O49))/SUMIF('7店辅助表'!AP:AP,B:B,'7店辅助表'!AR:AR),"-")</f>
        <v>-</v>
      </c>
      <c r="AJ49" s="100" t="str">
        <f t="shared" si="29"/>
        <v>-</v>
      </c>
      <c r="AK49" s="101">
        <f t="shared" si="30"/>
        <v>0</v>
      </c>
      <c r="AL49" s="101">
        <f t="shared" si="31"/>
        <v>0</v>
      </c>
      <c r="AM49" s="1" t="str">
        <f>VLOOKUP(B:B,'7店辅助表'!AZ:AZ,1,FALSE)</f>
        <v>Y72056-BL+Y72059-Y72740</v>
      </c>
      <c r="AN49" t="str">
        <f>VLOOKUP(B:B,'7店辅助表'!AZ:BB,3,FALSE)</f>
        <v>US</v>
      </c>
    </row>
    <row r="50" customHeight="1" spans="1:40">
      <c r="A50" s="58" t="str">
        <f>INDEX('[1]7店'!$A:$A,MATCH(B:B,'[1]7店'!$B:$B,0))</f>
        <v>美珠</v>
      </c>
      <c r="B50" s="108" t="s">
        <v>2271</v>
      </c>
      <c r="C50" s="43" t="s">
        <v>2272</v>
      </c>
      <c r="D50" s="59"/>
      <c r="E50" s="43" t="s">
        <v>2273</v>
      </c>
      <c r="F50" s="43">
        <v>0</v>
      </c>
      <c r="G50" s="43">
        <v>0</v>
      </c>
      <c r="H50" s="43">
        <v>0</v>
      </c>
      <c r="I50" s="43">
        <v>0</v>
      </c>
      <c r="J50" s="43">
        <v>0</v>
      </c>
      <c r="K50" s="63">
        <f t="shared" si="11"/>
        <v>0</v>
      </c>
      <c r="L50" s="132">
        <f>VLOOKUP($B:$B,'[1]7店'!$B:$L,11,FALSE)</f>
        <v>13.9</v>
      </c>
      <c r="M50" s="44">
        <f t="shared" si="32"/>
        <v>0</v>
      </c>
      <c r="N50" s="65">
        <f>IFERROR(VLOOKUP(B:B,'7店辅助表'!B:C,2,FALSE),0)</f>
        <v>3</v>
      </c>
      <c r="O50" s="65">
        <f>IFERROR(VLOOKUP(B:B,'7店辅助表'!E:F,2,FALSE),0)</f>
        <v>14</v>
      </c>
      <c r="P50" s="65">
        <f>IFERROR(VLOOKUP(B:B,'7店辅助表'!H:I,2,FALSE),0)</f>
        <v>19</v>
      </c>
      <c r="Q50" s="65">
        <f>IFERROR(VLOOKUP(B:B,'[1]7店'!$B:$N,13,FALSE),0)</f>
        <v>10</v>
      </c>
      <c r="R50" s="79">
        <f t="shared" si="22"/>
        <v>-7</v>
      </c>
      <c r="S50" s="80">
        <f t="shared" si="23"/>
        <v>0</v>
      </c>
      <c r="T50" s="44">
        <f t="shared" si="24"/>
        <v>0</v>
      </c>
      <c r="U50" s="44">
        <f>IFERROR(VLOOKUP($B:$B,'[1]7店'!$B:$T,19,FALSE),0)</f>
        <v>0.239024390243902</v>
      </c>
      <c r="V50" s="81">
        <f t="shared" si="25"/>
        <v>-0.239024390243902</v>
      </c>
      <c r="W50" s="82" t="str">
        <f t="shared" si="26"/>
        <v>无库存有销量</v>
      </c>
      <c r="X50" s="83" t="str">
        <f t="shared" si="27"/>
        <v>无库存有销量</v>
      </c>
      <c r="Y50" s="44">
        <f>IFERROR(SUMIF('7店辅助表'!K:K,B:B,'7店辅助表'!N:N),0)</f>
        <v>1.93</v>
      </c>
      <c r="Z50" s="44">
        <f>IFERROR(SUMIF('7店辅助表'!T:T,B:B,'7店辅助表'!W:W),0)</f>
        <v>6.77</v>
      </c>
      <c r="AA50" s="44">
        <f>IFERROR(SUMIF('7店辅助表'!AC:AC,B:B,'7店辅助表'!AF:AF),0)</f>
        <v>12.81</v>
      </c>
      <c r="AB50" s="91">
        <f>IFERROR(SUMIF('7店辅助表'!K:K,B:B,'7店辅助表'!N:N)/SUMIF('7店辅助表'!K:K,B:B,'7店辅助表'!O:O),"-")</f>
        <v>0.148575827559661</v>
      </c>
      <c r="AC50" s="91">
        <f>IFERROR(VLOOKUP(B:B,'[1]7店'!$B:$AB,27,FALSE),"-")</f>
        <v>0.119556397078712</v>
      </c>
      <c r="AD50" s="92">
        <f t="shared" si="28"/>
        <v>0.029019430480949</v>
      </c>
      <c r="AE50" s="91">
        <f>IFERROR(SUMIF('7店辅助表'!T:T,B:B,'7店辅助表'!W:W)/SUMIF('7店辅助表'!T:T,B:B,'7店辅助表'!X:X),"-")</f>
        <v>0.0891493284171714</v>
      </c>
      <c r="AF50" s="91">
        <f>IFERROR(SUMIF('7店辅助表'!AC:AC,B:B,'7店辅助表'!AF:AF)/SUMIF('7店辅助表'!AC:AC,B:B,'7店辅助表'!AG:AG),"-")</f>
        <v>0.125686813186813</v>
      </c>
      <c r="AG50" s="99">
        <f>IFERROR(AK50/((SUMIF('7店辅助表'!AT:AT,B:B,'7店辅助表'!AU:AU)+M50)/2),"-")</f>
        <v>0.857142857142857</v>
      </c>
      <c r="AH50" s="99">
        <f>IFERROR(AL50/((SUMIF('7店辅助表'!AW:AW,B:B,'7店辅助表'!AX:AX)+M50)/2),"-")</f>
        <v>1.4</v>
      </c>
      <c r="AI50" s="100">
        <f>IFERROR((SUMIF('7店辅助表'!AP:AP,B:B,'7店辅助表'!AR:AR)-SUMIF('7店辅助表'!AP:AP,B:B,'7店辅助表'!AR:AR)*0.15-(L50+IFERROR(VLOOKUP(B:B,'7店辅助表'!AZ:BA,2,0),0))*O50-IF(AN:AN="US",6.85,4.9)*(Z50+4.27*O50))/SUMIF('7店辅助表'!AP:AP,B:B,'7店辅助表'!AR:AR),"-")</f>
        <v>0.272567077773314</v>
      </c>
      <c r="AJ50" s="100">
        <f t="shared" si="29"/>
        <v>0.381593908882639</v>
      </c>
      <c r="AK50" s="101">
        <f t="shared" si="30"/>
        <v>41.7</v>
      </c>
      <c r="AL50" s="101">
        <f t="shared" si="31"/>
        <v>194.6</v>
      </c>
      <c r="AM50" s="1" t="str">
        <f>VLOOKUP(B:B,'7店辅助表'!AZ:AZ,1,FALSE)</f>
        <v>Y72563-BL+Y72564+Y72571</v>
      </c>
      <c r="AN50" t="str">
        <f>VLOOKUP(B:B,'7店辅助表'!AZ:BB,3,FALSE)</f>
        <v>US</v>
      </c>
    </row>
    <row r="51" customHeight="1" spans="1:40">
      <c r="A51" s="58" t="str">
        <f>INDEX('[1]7店'!$A:$A,MATCH(B:B,'[1]7店'!$B:$B,0))</f>
        <v>美珠</v>
      </c>
      <c r="B51" s="108" t="s">
        <v>2274</v>
      </c>
      <c r="C51" s="43" t="s">
        <v>59</v>
      </c>
      <c r="D51" s="59"/>
      <c r="E51" s="43" t="s">
        <v>2275</v>
      </c>
      <c r="F51" s="43">
        <v>7</v>
      </c>
      <c r="G51" s="43">
        <v>0</v>
      </c>
      <c r="H51" s="43">
        <v>1</v>
      </c>
      <c r="I51" s="43">
        <v>0</v>
      </c>
      <c r="J51" s="43">
        <v>0</v>
      </c>
      <c r="K51" s="63">
        <f t="shared" si="11"/>
        <v>8</v>
      </c>
      <c r="L51" s="132">
        <f>VLOOKUP($B:$B,'[1]7店'!$B:$L,11,FALSE)</f>
        <v>13.9</v>
      </c>
      <c r="M51" s="44">
        <f t="shared" si="32"/>
        <v>111.2</v>
      </c>
      <c r="N51" s="65">
        <f>IFERROR(VLOOKUP(B:B,'7店辅助表'!B:C,2,FALSE),0)</f>
        <v>4</v>
      </c>
      <c r="O51" s="65">
        <f>IFERROR(VLOOKUP(B:B,'7店辅助表'!E:F,2,FALSE),0)</f>
        <v>6</v>
      </c>
      <c r="P51" s="65">
        <f>IFERROR(VLOOKUP(B:B,'7店辅助表'!H:I,2,FALSE),0)</f>
        <v>6</v>
      </c>
      <c r="Q51" s="65">
        <f>IFERROR(VLOOKUP(B:B,'[1]7店'!$B:$N,13,FALSE),0)</f>
        <v>2</v>
      </c>
      <c r="R51" s="79">
        <f t="shared" si="22"/>
        <v>2</v>
      </c>
      <c r="S51" s="80">
        <f t="shared" si="23"/>
        <v>20.4878048780488</v>
      </c>
      <c r="T51" s="44">
        <f t="shared" si="24"/>
        <v>0.682926829268293</v>
      </c>
      <c r="U51" s="44">
        <f>IFERROR(VLOOKUP($B:$B,'[1]7店'!$B:$T,19,FALSE),0)</f>
        <v>2.17241379310345</v>
      </c>
      <c r="V51" s="81">
        <f t="shared" si="25"/>
        <v>-1.48948696383516</v>
      </c>
      <c r="W51" s="82" t="str">
        <f t="shared" si="26"/>
        <v>库存过低</v>
      </c>
      <c r="X51" s="83" t="str">
        <f t="shared" si="27"/>
        <v>正常</v>
      </c>
      <c r="Y51" s="44">
        <f>IFERROR(SUMIF('7店辅助表'!K:K,B:B,'7店辅助表'!N:N),0)</f>
        <v>9.97</v>
      </c>
      <c r="Z51" s="44">
        <f>IFERROR(SUMIF('7店辅助表'!T:T,B:B,'7店辅助表'!W:W),0)</f>
        <v>17.29</v>
      </c>
      <c r="AA51" s="44">
        <f>IFERROR(SUMIF('7店辅助表'!AC:AC,B:B,'7店辅助表'!AF:AF),0)</f>
        <v>26.84</v>
      </c>
      <c r="AB51" s="91">
        <f>IFERROR(SUMIF('7店辅助表'!K:K,B:B,'7店辅助表'!N:N)/SUMIF('7店辅助表'!K:K,B:B,'7店辅助表'!O:O),"-")</f>
        <v>0.767513471901463</v>
      </c>
      <c r="AC51" s="91">
        <f>IFERROR(VLOOKUP(B:B,'[1]7店'!$B:$AB,27,FALSE),"-")</f>
        <v>0.153213253279964</v>
      </c>
      <c r="AD51" s="92">
        <f t="shared" si="28"/>
        <v>0.614300218621499</v>
      </c>
      <c r="AE51" s="91">
        <f>IFERROR(SUMIF('7店辅助表'!T:T,B:B,'7店辅助表'!W:W)/SUMIF('7店辅助表'!T:T,B:B,'7店辅助表'!X:X),"-")</f>
        <v>0.298309178743961</v>
      </c>
      <c r="AF51" s="91">
        <f>IFERROR(SUMIF('7店辅助表'!AC:AC,B:B,'7店辅助表'!AF:AF)/SUMIF('7店辅助表'!AC:AC,B:B,'7店辅助表'!AG:AG),"-")</f>
        <v>0.378294573643411</v>
      </c>
      <c r="AG51" s="99">
        <f>IFERROR(AK51/((SUMIF('7店辅助表'!AT:AT,B:B,'7店辅助表'!AU:AU)+M51)/2),"-")</f>
        <v>0.4</v>
      </c>
      <c r="AH51" s="99">
        <f>IFERROR(AL51/((SUMIF('7店辅助表'!AW:AW,B:B,'7店辅助表'!AX:AX)+M51)/2),"-")</f>
        <v>0.571428571428572</v>
      </c>
      <c r="AI51" s="100">
        <f>IFERROR((SUMIF('7店辅助表'!AP:AP,B:B,'7店辅助表'!AR:AR)-SUMIF('7店辅助表'!AP:AP,B:B,'7店辅助表'!AR:AR)*0.15-(L51+IFERROR(VLOOKUP(B:B,'7店辅助表'!AZ:BA,2,0),0))*O51-IF(AN:AN="US",6.85,4.9)*(Z51+4.27*O51))/SUMIF('7店辅助表'!AP:AP,B:B,'7店辅助表'!AR:AR),"-")</f>
        <v>0.0472850252504378</v>
      </c>
      <c r="AJ51" s="100">
        <f t="shared" si="29"/>
        <v>0.0270200144288216</v>
      </c>
      <c r="AK51" s="101">
        <f t="shared" si="30"/>
        <v>55.6</v>
      </c>
      <c r="AL51" s="101">
        <f t="shared" si="31"/>
        <v>83.4</v>
      </c>
      <c r="AM51" s="1" t="str">
        <f>VLOOKUP(B:B,'7店辅助表'!AZ:AZ,1,FALSE)</f>
        <v>Y72563-OR+Y72564+Y72571</v>
      </c>
      <c r="AN51" t="str">
        <f>VLOOKUP(B:B,'7店辅助表'!AZ:BB,3,FALSE)</f>
        <v>US</v>
      </c>
    </row>
    <row r="52" customHeight="1" spans="1:40">
      <c r="A52" s="58" t="str">
        <f>INDEX('[1]7店'!$A:$A,MATCH(B:B,'[1]7店'!$B:$B,0))</f>
        <v>美珠</v>
      </c>
      <c r="B52" s="108" t="s">
        <v>2276</v>
      </c>
      <c r="C52" s="43" t="s">
        <v>2277</v>
      </c>
      <c r="D52" s="59"/>
      <c r="E52" s="43" t="s">
        <v>2278</v>
      </c>
      <c r="F52" s="43">
        <v>79</v>
      </c>
      <c r="G52" s="43">
        <v>5</v>
      </c>
      <c r="H52" s="43">
        <v>3</v>
      </c>
      <c r="I52" s="43">
        <v>3</v>
      </c>
      <c r="J52" s="43">
        <v>17</v>
      </c>
      <c r="K52" s="63">
        <f t="shared" si="11"/>
        <v>107</v>
      </c>
      <c r="L52" s="132">
        <f>VLOOKUP($B:$B,'[1]7店'!$B:$L,11,FALSE)</f>
        <v>13.9</v>
      </c>
      <c r="M52" s="44">
        <f t="shared" si="32"/>
        <v>1487.3</v>
      </c>
      <c r="N52" s="65">
        <f>IFERROR(VLOOKUP(B:B,'7店辅助表'!B:C,2,FALSE),0)</f>
        <v>17</v>
      </c>
      <c r="O52" s="65">
        <f>IFERROR(VLOOKUP(B:B,'7店辅助表'!E:F,2,FALSE),0)</f>
        <v>52</v>
      </c>
      <c r="P52" s="65">
        <f>IFERROR(VLOOKUP(B:B,'7店辅助表'!H:I,2,FALSE),0)</f>
        <v>72</v>
      </c>
      <c r="Q52" s="65">
        <f>IFERROR(VLOOKUP(B:B,'[1]7店'!$B:$N,13,FALSE),0)</f>
        <v>34</v>
      </c>
      <c r="R52" s="79">
        <f t="shared" si="22"/>
        <v>-17</v>
      </c>
      <c r="S52" s="80">
        <f t="shared" si="23"/>
        <v>38.6969001148106</v>
      </c>
      <c r="T52" s="44">
        <f t="shared" si="24"/>
        <v>1.28989667049369</v>
      </c>
      <c r="U52" s="44">
        <f>IFERROR(VLOOKUP($B:$B,'[1]7店'!$B:$T,19,FALSE),0)</f>
        <v>1.22339913336543</v>
      </c>
      <c r="V52" s="81">
        <f t="shared" si="25"/>
        <v>0.0664975371282601</v>
      </c>
      <c r="W52" s="82" t="str">
        <f t="shared" si="26"/>
        <v>正常</v>
      </c>
      <c r="X52" s="83" t="str">
        <f t="shared" si="27"/>
        <v>正常</v>
      </c>
      <c r="Y52" s="44">
        <f>IFERROR(SUMIF('7店辅助表'!K:K,B:B,'7店辅助表'!N:N),0)</f>
        <v>0</v>
      </c>
      <c r="Z52" s="44">
        <f>IFERROR(SUMIF('7店辅助表'!T:T,B:B,'7店辅助表'!W:W),0)</f>
        <v>0.53</v>
      </c>
      <c r="AA52" s="44">
        <f>IFERROR(SUMIF('7店辅助表'!AC:AC,B:B,'7店辅助表'!AF:AF),0)</f>
        <v>0.53</v>
      </c>
      <c r="AB52" s="91" t="str">
        <f>IFERROR(SUMIF('7店辅助表'!K:K,B:B,'7店辅助表'!N:N)/SUMIF('7店辅助表'!K:K,B:B,'7店辅助表'!O:O),"-")</f>
        <v>-</v>
      </c>
      <c r="AC52" s="91" t="str">
        <f>IFERROR(VLOOKUP(B:B,'[1]7店'!$B:$AB,27,FALSE),"-")</f>
        <v>-</v>
      </c>
      <c r="AD52" s="92" t="str">
        <f t="shared" si="28"/>
        <v>-</v>
      </c>
      <c r="AE52" s="91" t="str">
        <f>IFERROR(SUMIF('7店辅助表'!T:T,B:B,'7店辅助表'!W:W)/SUMIF('7店辅助表'!T:T,B:B,'7店辅助表'!X:X),"-")</f>
        <v>-</v>
      </c>
      <c r="AF52" s="91" t="str">
        <f>IFERROR(SUMIF('7店辅助表'!AC:AC,B:B,'7店辅助表'!AF:AF)/SUMIF('7店辅助表'!AC:AC,B:B,'7店辅助表'!AG:AG),"-")</f>
        <v>-</v>
      </c>
      <c r="AG52" s="99">
        <f>IFERROR(AK52/((SUMIF('7店辅助表'!AT:AT,B:B,'7店辅助表'!AU:AU)+M52)/2),"-")</f>
        <v>0.149122807017544</v>
      </c>
      <c r="AH52" s="99">
        <f>IFERROR(AL52/((SUMIF('7店辅助表'!AW:AW,B:B,'7店辅助表'!AX:AX)+M52)/2),"-")</f>
        <v>0.5</v>
      </c>
      <c r="AI52" s="100">
        <f>IFERROR((SUMIF('7店辅助表'!AP:AP,B:B,'7店辅助表'!AR:AR)-SUMIF('7店辅助表'!AP:AP,B:B,'7店辅助表'!AR:AR)*0.15-(L52+IFERROR(VLOOKUP(B:B,'7店辅助表'!AZ:BA,2,0),0))*O52-IF(AN:AN="US",6.85,4.9)*(Z52+4.27*O52))/SUMIF('7店辅助表'!AP:AP,B:B,'7店辅助表'!AR:AR),"-")</f>
        <v>0.291432396251673</v>
      </c>
      <c r="AJ52" s="100">
        <f t="shared" si="29"/>
        <v>0.145716198125837</v>
      </c>
      <c r="AK52" s="101">
        <f t="shared" si="30"/>
        <v>236.3</v>
      </c>
      <c r="AL52" s="101">
        <f t="shared" si="31"/>
        <v>722.8</v>
      </c>
      <c r="AM52" s="1" t="str">
        <f>VLOOKUP(B:B,'7店辅助表'!AZ:AZ,1,FALSE)</f>
        <v>Y72612-BL+Y72615+Y72636</v>
      </c>
      <c r="AN52" t="str">
        <f>VLOOKUP(B:B,'7店辅助表'!AZ:BB,3,FALSE)</f>
        <v>US</v>
      </c>
    </row>
    <row r="53" customHeight="1" spans="1:40">
      <c r="A53" s="58" t="str">
        <f>INDEX('[1]7店'!$A:$A,MATCH(B:B,'[1]7店'!$B:$B,0))</f>
        <v>美珠</v>
      </c>
      <c r="B53" s="108" t="s">
        <v>2279</v>
      </c>
      <c r="C53" s="43" t="s">
        <v>2280</v>
      </c>
      <c r="D53" s="59"/>
      <c r="E53" s="43" t="s">
        <v>2281</v>
      </c>
      <c r="F53" s="43">
        <v>86</v>
      </c>
      <c r="G53" s="43">
        <v>0</v>
      </c>
      <c r="H53" s="43">
        <v>0</v>
      </c>
      <c r="I53" s="43">
        <v>0</v>
      </c>
      <c r="J53" s="43">
        <v>0</v>
      </c>
      <c r="K53" s="63">
        <f t="shared" si="11"/>
        <v>86</v>
      </c>
      <c r="L53" s="132">
        <f>VLOOKUP($B:$B,'[1]7店'!$B:$L,11,FALSE)</f>
        <v>13.9</v>
      </c>
      <c r="M53" s="44">
        <f t="shared" si="32"/>
        <v>1195.4</v>
      </c>
      <c r="N53" s="65">
        <f>IFERROR(VLOOKUP(B:B,'7店辅助表'!B:C,2,FALSE),0)</f>
        <v>9</v>
      </c>
      <c r="O53" s="65">
        <f>IFERROR(VLOOKUP(B:B,'7店辅助表'!E:F,2,FALSE),0)</f>
        <v>13</v>
      </c>
      <c r="P53" s="65">
        <f>IFERROR(VLOOKUP(B:B,'7店辅助表'!H:I,2,FALSE),0)</f>
        <v>27</v>
      </c>
      <c r="Q53" s="65">
        <f>IFERROR(VLOOKUP(B:B,'[1]7店'!$B:$N,13,FALSE),0)</f>
        <v>4</v>
      </c>
      <c r="R53" s="79">
        <f t="shared" si="22"/>
        <v>5</v>
      </c>
      <c r="S53" s="80">
        <f t="shared" si="23"/>
        <v>84.5241809672387</v>
      </c>
      <c r="T53" s="44">
        <f t="shared" si="24"/>
        <v>2.81747269890796</v>
      </c>
      <c r="U53" s="44">
        <f>IFERROR(VLOOKUP($B:$B,'[1]7店'!$B:$T,19,FALSE),0)</f>
        <v>4.60526315789474</v>
      </c>
      <c r="V53" s="81">
        <f t="shared" si="25"/>
        <v>-1.78779045898678</v>
      </c>
      <c r="W53" s="82" t="str">
        <f t="shared" si="26"/>
        <v>库存过高</v>
      </c>
      <c r="X53" s="83" t="str">
        <f t="shared" si="27"/>
        <v>库存过高</v>
      </c>
      <c r="Y53" s="44">
        <f>IFERROR(SUMIF('7店辅助表'!K:K,B:B,'7店辅助表'!N:N),0)</f>
        <v>0</v>
      </c>
      <c r="Z53" s="44">
        <f>IFERROR(SUMIF('7店辅助表'!T:T,B:B,'7店辅助表'!W:W),0)</f>
        <v>0.33</v>
      </c>
      <c r="AA53" s="44">
        <f>IFERROR(SUMIF('7店辅助表'!AC:AC,B:B,'7店辅助表'!AF:AF),0)</f>
        <v>0.33</v>
      </c>
      <c r="AB53" s="91" t="str">
        <f>IFERROR(SUMIF('7店辅助表'!K:K,B:B,'7店辅助表'!N:N)/SUMIF('7店辅助表'!K:K,B:B,'7店辅助表'!O:O),"-")</f>
        <v>-</v>
      </c>
      <c r="AC53" s="91" t="str">
        <f>IFERROR(VLOOKUP(B:B,'[1]7店'!$B:$AB,27,FALSE),"-")</f>
        <v>-</v>
      </c>
      <c r="AD53" s="92" t="str">
        <f t="shared" si="28"/>
        <v>-</v>
      </c>
      <c r="AE53" s="91" t="str">
        <f>IFERROR(SUMIF('7店辅助表'!T:T,B:B,'7店辅助表'!W:W)/SUMIF('7店辅助表'!T:T,B:B,'7店辅助表'!X:X),"-")</f>
        <v>-</v>
      </c>
      <c r="AF53" s="91" t="str">
        <f>IFERROR(SUMIF('7店辅助表'!AC:AC,B:B,'7店辅助表'!AF:AF)/SUMIF('7店辅助表'!AC:AC,B:B,'7店辅助表'!AG:AG),"-")</f>
        <v>-</v>
      </c>
      <c r="AG53" s="99">
        <f>IFERROR(AK53/((SUMIF('7店辅助表'!AT:AT,B:B,'7店辅助表'!AU:AU)+M53)/2),"-")</f>
        <v>0.0967741935483871</v>
      </c>
      <c r="AH53" s="99">
        <f>IFERROR(AL53/((SUMIF('7店辅助表'!AW:AW,B:B,'7店辅助表'!AX:AX)+M53)/2),"-")</f>
        <v>0.136842105263158</v>
      </c>
      <c r="AI53" s="100">
        <f>IFERROR((SUMIF('7店辅助表'!AP:AP,B:B,'7店辅助表'!AR:AR)-SUMIF('7店辅助表'!AP:AP,B:B,'7店辅助表'!AR:AR)*0.15-(L53+IFERROR(VLOOKUP(B:B,'7店辅助表'!AZ:BA,2,0),0))*O53-IF(AN:AN="US",6.85,4.9)*(Z53+4.27*O53))/SUMIF('7店辅助表'!AP:AP,B:B,'7店辅助表'!AR:AR),"-")</f>
        <v>0.319083904785649</v>
      </c>
      <c r="AJ53" s="100">
        <f t="shared" si="29"/>
        <v>0.0436641132864572</v>
      </c>
      <c r="AK53" s="101">
        <f t="shared" si="30"/>
        <v>125.1</v>
      </c>
      <c r="AL53" s="101">
        <f t="shared" si="31"/>
        <v>180.7</v>
      </c>
      <c r="AM53" s="1" t="str">
        <f>VLOOKUP(B:B,'7店辅助表'!AZ:AZ,1,FALSE)</f>
        <v>Y72612-DB+Y72615+Y72636</v>
      </c>
      <c r="AN53" t="str">
        <f>VLOOKUP(B:B,'7店辅助表'!AZ:BB,3,FALSE)</f>
        <v>US</v>
      </c>
    </row>
    <row r="54" customHeight="1" spans="1:40">
      <c r="A54" s="58" t="str">
        <f>INDEX('[1]7店'!$A:$A,MATCH(B:B,'[1]7店'!$B:$B,0))</f>
        <v>美珠</v>
      </c>
      <c r="B54" s="108" t="s">
        <v>2282</v>
      </c>
      <c r="C54" s="43" t="s">
        <v>2283</v>
      </c>
      <c r="D54" s="59">
        <f>VLOOKUP(B:B,'[1]7店'!$B:$L,3,0)</f>
        <v>44809</v>
      </c>
      <c r="E54" s="43" t="s">
        <v>2284</v>
      </c>
      <c r="F54" s="43">
        <v>21</v>
      </c>
      <c r="G54" s="43">
        <v>1</v>
      </c>
      <c r="H54" s="43">
        <v>1</v>
      </c>
      <c r="I54" s="43">
        <v>13</v>
      </c>
      <c r="J54" s="43">
        <v>29</v>
      </c>
      <c r="K54" s="63">
        <f t="shared" si="11"/>
        <v>65</v>
      </c>
      <c r="L54" s="132">
        <f>VLOOKUP($B:$B,'[1]7店'!$B:$L,11,FALSE)</f>
        <v>13.9</v>
      </c>
      <c r="M54" s="44">
        <f t="shared" si="32"/>
        <v>903.5</v>
      </c>
      <c r="N54" s="65">
        <f>IFERROR(VLOOKUP(B:B,'7店辅助表'!B:C,2,FALSE),0)</f>
        <v>38</v>
      </c>
      <c r="O54" s="65">
        <f>IFERROR(VLOOKUP(B:B,'7店辅助表'!E:F,2,FALSE),0)</f>
        <v>90</v>
      </c>
      <c r="P54" s="65">
        <f>IFERROR(VLOOKUP(B:B,'7店辅助表'!H:I,2,FALSE),0)</f>
        <v>102</v>
      </c>
      <c r="Q54" s="65">
        <f>IFERROR(VLOOKUP(B:B,'[1]7店'!$B:$N,13,FALSE),0)</f>
        <v>50</v>
      </c>
      <c r="R54" s="79">
        <f t="shared" ref="R54:R61" si="33">N54-Q54</f>
        <v>-12</v>
      </c>
      <c r="S54" s="80">
        <f t="shared" ref="S54:S61" si="34">IFERROR(K54/((N54/7+O54/15+P54/30)/3),"-")</f>
        <v>13.150289017341</v>
      </c>
      <c r="T54" s="44">
        <f t="shared" ref="T54:T61" si="35">IFERROR(S54/30,"-")</f>
        <v>0.438342967244701</v>
      </c>
      <c r="U54" s="44">
        <f>IFERROR(VLOOKUP($B:$B,'[1]7店'!$B:$T,19,FALSE),0)</f>
        <v>0.680313278746885</v>
      </c>
      <c r="V54" s="81">
        <f t="shared" ref="V54:V61" si="36">IFERROR(T54-U54,"-")</f>
        <v>-0.241970311502184</v>
      </c>
      <c r="W54" s="82" t="str">
        <f t="shared" ref="W54:W61" si="37">_xlfn.IFS(AND(D54&lt;&gt;0,D54-$AM$2&gt;=0,B54&gt;0,D54&lt;&gt;0),"本月刚到货",AND(IFERROR((K54/(N54/7))/30,"-")="-",K54&gt;0),"有库存无销量",AND(IFERROR((K54/(N54/7))/30,"-")="-",K54=0),"无库存无销量",AND(IFERROR((K54/(N54/7))/30,"-")&lt;=0.5,K54=0),"无库存有销量",IFERROR((K54/(N54/7))/30,"-")&lt;=0.5,"库存过低",IFERROR((K54/(N54/7))/30,"-")&lt;=1.5,"正常",IFERROR((K54/(N54/7))/30,"-")&gt;1.5,"库存过高")</f>
        <v>库存过低</v>
      </c>
      <c r="X54" s="83" t="str">
        <f t="shared" ref="X54:X61" si="38">_xlfn.IFS(AND(D54&lt;&gt;0,D54-$AM$2&gt;=0,K54&gt;0,D54&lt;&gt;0),"本月刚到货",AND(T54="-",K54&gt;0),"有库存无销量",AND(T54="-",K54=0),"无库存无销量",AND(T54&lt;=0.5,K54=0),"无库存有销量",T54&lt;=0.5,"库存过低",T54&lt;=1.5,"正常",T54&gt;1.5,"库存过高")</f>
        <v>库存过低</v>
      </c>
      <c r="Y54" s="44">
        <f>IFERROR(SUMIF('7店辅助表'!K:K,B:B,'7店辅助表'!N:N),0)</f>
        <v>0.47</v>
      </c>
      <c r="Z54" s="44">
        <f>IFERROR(SUMIF('7店辅助表'!T:T,B:B,'7店辅助表'!W:W),0)</f>
        <v>1.11</v>
      </c>
      <c r="AA54" s="44">
        <f>IFERROR(SUMIF('7店辅助表'!AC:AC,B:B,'7店辅助表'!AF:AF),0)</f>
        <v>1.74</v>
      </c>
      <c r="AB54" s="91" t="str">
        <f>IFERROR(SUMIF('7店辅助表'!K:K,B:B,'7店辅助表'!N:N)/SUMIF('7店辅助表'!K:K,B:B,'7店辅助表'!O:O),"-")</f>
        <v>-</v>
      </c>
      <c r="AC54" s="91" t="str">
        <f>IFERROR(VLOOKUP(B:B,'[1]7店'!$B:$AB,27,FALSE),"-")</f>
        <v>-</v>
      </c>
      <c r="AD54" s="92" t="str">
        <f t="shared" ref="AD54:AD61" si="39">IFERROR(AB54-AC54,"-")</f>
        <v>-</v>
      </c>
      <c r="AE54" s="91" t="str">
        <f>IFERROR(SUMIF('7店辅助表'!T:T,B:B,'7店辅助表'!W:W)/SUMIF('7店辅助表'!T:T,B:B,'7店辅助表'!X:X),"-")</f>
        <v>-</v>
      </c>
      <c r="AF54" s="91">
        <f>IFERROR(SUMIF('7店辅助表'!AC:AC,B:B,'7店辅助表'!AF:AF)/SUMIF('7店辅助表'!AC:AC,B:B,'7店辅助表'!AG:AG),"-")</f>
        <v>0.133949191685912</v>
      </c>
      <c r="AG54" s="99">
        <f>IFERROR(AK54/((SUMIF('7店辅助表'!AT:AT,B:B,'7店辅助表'!AU:AU)+M54)/2),"-")</f>
        <v>0.487179487179487</v>
      </c>
      <c r="AH54" s="99">
        <f>IFERROR(AL54/((SUMIF('7店辅助表'!AW:AW,B:B,'7店辅助表'!AX:AX)+M54)/2),"-")</f>
        <v>1.85567010309278</v>
      </c>
      <c r="AI54" s="100">
        <f>IFERROR((SUMIF('7店辅助表'!AP:AP,B:B,'7店辅助表'!AR:AR)-SUMIF('7店辅助表'!AP:AP,B:B,'7店辅助表'!AR:AR)*0.15-(L54+IFERROR(VLOOKUP(B:B,'7店辅助表'!AZ:BA,2,0),0))*O54-IF(AN:AN="US",6.85,4.9)*(Z54+4.27*O54))/SUMIF('7店辅助表'!AP:AP,B:B,'7店辅助表'!AR:AR),"-")</f>
        <v>0.316190942285672</v>
      </c>
      <c r="AJ54" s="100">
        <f t="shared" ref="AJ54:AJ61" si="40">IFERROR(AH54*AI54,"-")</f>
        <v>0.586746078468257</v>
      </c>
      <c r="AK54" s="101">
        <f t="shared" ref="AK54:AK61" si="41">N54*$L54</f>
        <v>528.2</v>
      </c>
      <c r="AL54" s="101">
        <f t="shared" ref="AL54:AL61" si="42">O54*$L54</f>
        <v>1251</v>
      </c>
      <c r="AM54" s="1" t="str">
        <f>VLOOKUP(B:B,'7店辅助表'!AZ:AZ,1,FALSE)</f>
        <v>Y7010-BL+Y7018+Y7014</v>
      </c>
      <c r="AN54" t="str">
        <f>VLOOKUP(B:B,'7店辅助表'!AZ:BB,3,FALSE)</f>
        <v>US</v>
      </c>
    </row>
    <row r="55" customHeight="1" spans="1:40">
      <c r="A55" s="58" t="str">
        <f>INDEX('[1]7店'!$A:$A,MATCH(B:B,'[1]7店'!$B:$B,0))</f>
        <v>美珠</v>
      </c>
      <c r="B55" s="108" t="s">
        <v>2285</v>
      </c>
      <c r="C55" s="43" t="s">
        <v>2286</v>
      </c>
      <c r="D55" s="59">
        <f>VLOOKUP(B:B,'[1]7店'!$B:$L,3,0)</f>
        <v>44809</v>
      </c>
      <c r="E55" s="43" t="s">
        <v>2287</v>
      </c>
      <c r="F55" s="43">
        <v>75</v>
      </c>
      <c r="G55" s="43">
        <v>0</v>
      </c>
      <c r="H55" s="43">
        <v>0</v>
      </c>
      <c r="I55" s="43">
        <v>1</v>
      </c>
      <c r="J55" s="43">
        <v>6</v>
      </c>
      <c r="K55" s="63">
        <f t="shared" si="11"/>
        <v>82</v>
      </c>
      <c r="L55" s="132">
        <f>VLOOKUP($B:$B,'[1]7店'!$B:$L,11,FALSE)</f>
        <v>13.9</v>
      </c>
      <c r="M55" s="44">
        <f t="shared" si="32"/>
        <v>1139.8</v>
      </c>
      <c r="N55" s="65">
        <f>IFERROR(VLOOKUP(B:B,'7店辅助表'!B:C,2,FALSE),0)</f>
        <v>11</v>
      </c>
      <c r="O55" s="65">
        <f>IFERROR(VLOOKUP(B:B,'7店辅助表'!E:F,2,FALSE),0)</f>
        <v>21</v>
      </c>
      <c r="P55" s="65">
        <f>IFERROR(VLOOKUP(B:B,'7店辅助表'!H:I,2,FALSE),0)</f>
        <v>47</v>
      </c>
      <c r="Q55" s="65">
        <f>IFERROR(VLOOKUP(B:B,'[1]7店'!$B:$N,13,FALSE),0)</f>
        <v>10</v>
      </c>
      <c r="R55" s="79">
        <f t="shared" si="33"/>
        <v>1</v>
      </c>
      <c r="S55" s="80">
        <f t="shared" si="34"/>
        <v>54.2077649527807</v>
      </c>
      <c r="T55" s="44">
        <f t="shared" si="35"/>
        <v>1.80692549842602</v>
      </c>
      <c r="U55" s="44">
        <f>IFERROR(VLOOKUP($B:$B,'[1]7店'!$B:$T,19,FALSE),0)</f>
        <v>3.06333973128599</v>
      </c>
      <c r="V55" s="81">
        <f t="shared" si="36"/>
        <v>-1.25641423285997</v>
      </c>
      <c r="W55" s="82" t="str">
        <f t="shared" si="37"/>
        <v>库存过高</v>
      </c>
      <c r="X55" s="83" t="str">
        <f t="shared" si="38"/>
        <v>库存过高</v>
      </c>
      <c r="Y55" s="44">
        <f>IFERROR(SUMIF('7店辅助表'!K:K,B:B,'7店辅助表'!N:N),0)</f>
        <v>21.08</v>
      </c>
      <c r="Z55" s="44">
        <f>IFERROR(SUMIF('7店辅助表'!T:T,B:B,'7店辅助表'!W:W),0)</f>
        <v>48.82</v>
      </c>
      <c r="AA55" s="44">
        <f>IFERROR(SUMIF('7店辅助表'!AC:AC,B:B,'7店辅助表'!AF:AF),0)</f>
        <v>110.11</v>
      </c>
      <c r="AB55" s="91">
        <f>IFERROR(SUMIF('7店辅助表'!K:K,B:B,'7店辅助表'!N:N)/SUMIF('7店辅助表'!K:K,B:B,'7店辅助表'!O:O),"-")</f>
        <v>0.124829750695801</v>
      </c>
      <c r="AC55" s="91">
        <f>IFERROR(VLOOKUP(B:B,'[1]7店'!$B:$AB,27,FALSE),"-")</f>
        <v>0.254289215686274</v>
      </c>
      <c r="AD55" s="92">
        <f t="shared" si="39"/>
        <v>-0.129459464990473</v>
      </c>
      <c r="AE55" s="91">
        <f>IFERROR(SUMIF('7店辅助表'!T:T,B:B,'7店辅助表'!W:W)/SUMIF('7店辅助表'!T:T,B:B,'7店辅助表'!X:X),"-")</f>
        <v>0.166752057929433</v>
      </c>
      <c r="AF55" s="91">
        <f>IFERROR(SUMIF('7店辅助表'!AC:AC,B:B,'7店辅助表'!AF:AF)/SUMIF('7店辅助表'!AC:AC,B:B,'7店辅助表'!AG:AG),"-")</f>
        <v>0.219951658976049</v>
      </c>
      <c r="AG55" s="99">
        <f>IFERROR(AK55/((SUMIF('7店辅助表'!AT:AT,B:B,'7店辅助表'!AU:AU)+M55)/2),"-")</f>
        <v>0.094017094017094</v>
      </c>
      <c r="AH55" s="99">
        <f>IFERROR(AL55/((SUMIF('7店辅助表'!AW:AW,B:B,'7店辅助表'!AX:AX)+M55)/2),"-")</f>
        <v>0.302158273381295</v>
      </c>
      <c r="AI55" s="100">
        <f>IFERROR((SUMIF('7店辅助表'!AP:AP,B:B,'7店辅助表'!AR:AR)-SUMIF('7店辅助表'!AP:AP,B:B,'7店辅助表'!AR:AR)*0.15-(L55+IFERROR(VLOOKUP(B:B,'7店辅助表'!AZ:BA,2,0),0))*O55-IF(AN:AN="US",6.85,4.9)*(Z55+4.27*O55))/SUMIF('7店辅助表'!AP:AP,B:B,'7店辅助表'!AR:AR),"-")</f>
        <v>0.143288441686961</v>
      </c>
      <c r="AJ55" s="100">
        <f t="shared" si="40"/>
        <v>0.0432957881356284</v>
      </c>
      <c r="AK55" s="101">
        <f t="shared" si="41"/>
        <v>152.9</v>
      </c>
      <c r="AL55" s="101">
        <f t="shared" si="42"/>
        <v>291.9</v>
      </c>
      <c r="AM55" s="1" t="str">
        <f>VLOOKUP(B:B,'7店辅助表'!AZ:AZ,1,FALSE)</f>
        <v>Y7010-BU+Y7018+Y7014</v>
      </c>
      <c r="AN55" t="str">
        <f>VLOOKUP(B:B,'7店辅助表'!AZ:BB,3,FALSE)</f>
        <v>US</v>
      </c>
    </row>
    <row r="56" customHeight="1" spans="1:40">
      <c r="A56" s="58" t="str">
        <f>INDEX('[1]7店'!$A:$A,MATCH(B:B,'[1]7店'!$B:$B,0))</f>
        <v>美珠</v>
      </c>
      <c r="B56" s="108" t="s">
        <v>2288</v>
      </c>
      <c r="C56" s="43" t="s">
        <v>2289</v>
      </c>
      <c r="D56" s="59">
        <f>VLOOKUP(B:B,'[1]7店'!$B:$L,3,0)</f>
        <v>44809</v>
      </c>
      <c r="E56" s="43" t="s">
        <v>2290</v>
      </c>
      <c r="F56" s="43">
        <v>23</v>
      </c>
      <c r="G56" s="43">
        <v>0</v>
      </c>
      <c r="H56" s="43">
        <v>8</v>
      </c>
      <c r="I56" s="43">
        <v>0</v>
      </c>
      <c r="J56" s="43">
        <v>0</v>
      </c>
      <c r="K56" s="63">
        <f t="shared" si="11"/>
        <v>31</v>
      </c>
      <c r="L56" s="132">
        <f>VLOOKUP($B:$B,'[1]7店'!$B:$L,11,FALSE)</f>
        <v>13.9</v>
      </c>
      <c r="M56" s="44">
        <f t="shared" si="32"/>
        <v>430.9</v>
      </c>
      <c r="N56" s="65">
        <f>IFERROR(VLOOKUP(B:B,'7店辅助表'!B:C,2,FALSE),0)</f>
        <v>1</v>
      </c>
      <c r="O56" s="65">
        <f>IFERROR(VLOOKUP(B:B,'7店辅助表'!E:F,2,FALSE),0)</f>
        <v>4</v>
      </c>
      <c r="P56" s="65">
        <f>IFERROR(VLOOKUP(B:B,'7店辅助表'!H:I,2,FALSE),0)</f>
        <v>7</v>
      </c>
      <c r="Q56" s="65">
        <f>IFERROR(VLOOKUP(B:B,'[1]7店'!$B:$N,13,FALSE),0)</f>
        <v>3</v>
      </c>
      <c r="R56" s="79">
        <f t="shared" si="33"/>
        <v>-2</v>
      </c>
      <c r="S56" s="80">
        <f t="shared" si="34"/>
        <v>144.666666666667</v>
      </c>
      <c r="T56" s="44">
        <f t="shared" si="35"/>
        <v>4.82222222222222</v>
      </c>
      <c r="U56" s="44">
        <f>IFERROR(VLOOKUP($B:$B,'[1]7店'!$B:$T,19,FALSE),0)</f>
        <v>3.57446808510638</v>
      </c>
      <c r="V56" s="81">
        <f t="shared" si="36"/>
        <v>1.24775413711584</v>
      </c>
      <c r="W56" s="82" t="str">
        <f t="shared" si="37"/>
        <v>库存过高</v>
      </c>
      <c r="X56" s="83" t="str">
        <f t="shared" si="38"/>
        <v>库存过高</v>
      </c>
      <c r="Y56" s="44">
        <f>IFERROR(SUMIF('7店辅助表'!K:K,B:B,'7店辅助表'!N:N),0)</f>
        <v>0</v>
      </c>
      <c r="Z56" s="44">
        <f>IFERROR(SUMIF('7店辅助表'!T:T,B:B,'7店辅助表'!W:W),0)</f>
        <v>0</v>
      </c>
      <c r="AA56" s="44">
        <f>IFERROR(SUMIF('7店辅助表'!AC:AC,B:B,'7店辅助表'!AF:AF),0)</f>
        <v>0</v>
      </c>
      <c r="AB56" s="91" t="str">
        <f>IFERROR(SUMIF('7店辅助表'!K:K,B:B,'7店辅助表'!N:N)/SUMIF('7店辅助表'!K:K,B:B,'7店辅助表'!O:O),"-")</f>
        <v>-</v>
      </c>
      <c r="AC56" s="91" t="str">
        <f>IFERROR(VLOOKUP(B:B,'[1]7店'!$B:$AB,27,FALSE),"-")</f>
        <v>-</v>
      </c>
      <c r="AD56" s="92" t="str">
        <f t="shared" si="39"/>
        <v>-</v>
      </c>
      <c r="AE56" s="91" t="str">
        <f>IFERROR(SUMIF('7店辅助表'!T:T,B:B,'7店辅助表'!W:W)/SUMIF('7店辅助表'!T:T,B:B,'7店辅助表'!X:X),"-")</f>
        <v>-</v>
      </c>
      <c r="AF56" s="91" t="str">
        <f>IFERROR(SUMIF('7店辅助表'!AC:AC,B:B,'7店辅助表'!AF:AF)/SUMIF('7店辅助表'!AC:AC,B:B,'7店辅助表'!AG:AG),"-")</f>
        <v>-</v>
      </c>
      <c r="AG56" s="99">
        <f>IFERROR(AK56/((SUMIF('7店辅助表'!AT:AT,B:B,'7店辅助表'!AU:AU)+M56)/2),"-")</f>
        <v>0.0317460317460317</v>
      </c>
      <c r="AH56" s="99">
        <f>IFERROR(AL56/((SUMIF('7店辅助表'!AW:AW,B:B,'7店辅助表'!AX:AX)+M56)/2),"-")</f>
        <v>0.150943396226415</v>
      </c>
      <c r="AI56" s="100">
        <f>IFERROR((SUMIF('7店辅助表'!AP:AP,B:B,'7店辅助表'!AR:AR)-SUMIF('7店辅助表'!AP:AP,B:B,'7店辅助表'!AR:AR)*0.15-(L56+IFERROR(VLOOKUP(B:B,'7店辅助表'!AZ:BA,2,0),0))*O56-IF(AN:AN="US",6.85,4.9)*(Z56+4.27*O56))/SUMIF('7店辅助表'!AP:AP,B:B,'7店辅助表'!AR:AR),"-")</f>
        <v>0.278824507040539</v>
      </c>
      <c r="AJ56" s="100">
        <f t="shared" si="40"/>
        <v>0.0420867180438549</v>
      </c>
      <c r="AK56" s="101">
        <f t="shared" si="41"/>
        <v>13.9</v>
      </c>
      <c r="AL56" s="101">
        <f t="shared" si="42"/>
        <v>55.6</v>
      </c>
      <c r="AM56" s="1" t="str">
        <f>VLOOKUP(B:B,'7店辅助表'!AZ:AZ,1,FALSE)</f>
        <v>Y7010-DB+Y7018+Y7014</v>
      </c>
      <c r="AN56" t="str">
        <f>VLOOKUP(B:B,'7店辅助表'!AZ:BB,3,FALSE)</f>
        <v>US</v>
      </c>
    </row>
    <row r="57" customHeight="1" spans="1:40">
      <c r="A57" s="58" t="str">
        <f>INDEX('[1]7店'!$A:$A,MATCH(B:B,'[1]7店'!$B:$B,0))</f>
        <v>美珠</v>
      </c>
      <c r="B57" s="108" t="s">
        <v>2291</v>
      </c>
      <c r="C57" s="43" t="s">
        <v>2292</v>
      </c>
      <c r="D57" s="59">
        <f>VLOOKUP(B:B,'[1]7店'!$B:$L,3,0)</f>
        <v>44809</v>
      </c>
      <c r="E57" s="43" t="s">
        <v>2293</v>
      </c>
      <c r="F57" s="43">
        <v>31</v>
      </c>
      <c r="G57" s="43">
        <v>0</v>
      </c>
      <c r="H57" s="43">
        <v>0</v>
      </c>
      <c r="I57" s="43">
        <v>29</v>
      </c>
      <c r="J57" s="43">
        <v>0</v>
      </c>
      <c r="K57" s="63">
        <f t="shared" si="11"/>
        <v>60</v>
      </c>
      <c r="L57" s="132">
        <f>VLOOKUP($B:$B,'[1]7店'!$B:$L,11,FALSE)</f>
        <v>13.9</v>
      </c>
      <c r="M57" s="44">
        <f t="shared" si="32"/>
        <v>834</v>
      </c>
      <c r="N57" s="65">
        <f>IFERROR(VLOOKUP(B:B,'7店辅助表'!B:C,2,FALSE),0)</f>
        <v>1</v>
      </c>
      <c r="O57" s="65">
        <f>IFERROR(VLOOKUP(B:B,'7店辅助表'!E:F,2,FALSE),0)</f>
        <v>1</v>
      </c>
      <c r="P57" s="65">
        <f>IFERROR(VLOOKUP(B:B,'7店辅助表'!H:I,2,FALSE),0)</f>
        <v>2</v>
      </c>
      <c r="Q57" s="65">
        <f>IFERROR(VLOOKUP(B:B,'[1]7店'!$B:$N,13,FALSE),0)</f>
        <v>0</v>
      </c>
      <c r="R57" s="79">
        <f t="shared" si="33"/>
        <v>1</v>
      </c>
      <c r="S57" s="80">
        <f t="shared" si="34"/>
        <v>651.724137931035</v>
      </c>
      <c r="T57" s="44">
        <f t="shared" si="35"/>
        <v>21.7241379310345</v>
      </c>
      <c r="U57" s="44">
        <f>IFERROR(VLOOKUP($B:$B,'[1]7店'!$B:$T,19,FALSE),0)</f>
        <v>47.25</v>
      </c>
      <c r="V57" s="81">
        <f t="shared" si="36"/>
        <v>-25.5258620689655</v>
      </c>
      <c r="W57" s="82" t="str">
        <f t="shared" si="37"/>
        <v>库存过高</v>
      </c>
      <c r="X57" s="83" t="str">
        <f t="shared" si="38"/>
        <v>库存过高</v>
      </c>
      <c r="Y57" s="44">
        <f>IFERROR(SUMIF('7店辅助表'!K:K,B:B,'7店辅助表'!N:N),0)</f>
        <v>0</v>
      </c>
      <c r="Z57" s="44">
        <f>IFERROR(SUMIF('7店辅助表'!T:T,B:B,'7店辅助表'!W:W),0)</f>
        <v>0</v>
      </c>
      <c r="AA57" s="44">
        <f>IFERROR(SUMIF('7店辅助表'!AC:AC,B:B,'7店辅助表'!AF:AF),0)</f>
        <v>0</v>
      </c>
      <c r="AB57" s="91" t="str">
        <f>IFERROR(SUMIF('7店辅助表'!K:K,B:B,'7店辅助表'!N:N)/SUMIF('7店辅助表'!K:K,B:B,'7店辅助表'!O:O),"-")</f>
        <v>-</v>
      </c>
      <c r="AC57" s="91" t="str">
        <f>IFERROR(VLOOKUP(B:B,'[1]7店'!$B:$AB,27,FALSE),"-")</f>
        <v>-</v>
      </c>
      <c r="AD57" s="92" t="str">
        <f t="shared" si="39"/>
        <v>-</v>
      </c>
      <c r="AE57" s="91" t="str">
        <f>IFERROR(SUMIF('7店辅助表'!T:T,B:B,'7店辅助表'!W:W)/SUMIF('7店辅助表'!T:T,B:B,'7店辅助表'!X:X),"-")</f>
        <v>-</v>
      </c>
      <c r="AF57" s="91" t="str">
        <f>IFERROR(SUMIF('7店辅助表'!AC:AC,B:B,'7店辅助表'!AF:AF)/SUMIF('7店辅助表'!AC:AC,B:B,'7店辅助表'!AG:AG),"-")</f>
        <v>-</v>
      </c>
      <c r="AG57" s="99">
        <f>IFERROR(AK57/((SUMIF('7店辅助表'!AT:AT,B:B,'7店辅助表'!AU:AU)+M57)/2),"-")</f>
        <v>0.016260162601626</v>
      </c>
      <c r="AH57" s="99">
        <f>IFERROR(AL57/((SUMIF('7店辅助表'!AW:AW,B:B,'7店辅助表'!AX:AX)+M57)/2),"-")</f>
        <v>0.0161290322580645</v>
      </c>
      <c r="AI57" s="100">
        <f>IFERROR((SUMIF('7店辅助表'!AP:AP,B:B,'7店辅助表'!AR:AR)-SUMIF('7店辅助表'!AP:AP,B:B,'7店辅助表'!AR:AR)*0.15-(L57+IFERROR(VLOOKUP(B:B,'7店辅助表'!AZ:BA,2,0),0))*O57-IF(AN:AN="US",6.85,4.9)*(Z57+4.27*O57))/SUMIF('7店辅助表'!AP:AP,B:B,'7店辅助表'!AR:AR),"-")</f>
        <v>0.311657760320966</v>
      </c>
      <c r="AJ57" s="100">
        <f t="shared" si="40"/>
        <v>0.005026738069693</v>
      </c>
      <c r="AK57" s="101">
        <f t="shared" si="41"/>
        <v>13.9</v>
      </c>
      <c r="AL57" s="101">
        <f t="shared" si="42"/>
        <v>13.9</v>
      </c>
      <c r="AM57" s="1" t="str">
        <f>VLOOKUP(B:B,'7店辅助表'!AZ:AZ,1,FALSE)</f>
        <v>Y7010-GE+Y7018+Y7014</v>
      </c>
      <c r="AN57" t="str">
        <f>VLOOKUP(B:B,'7店辅助表'!AZ:BB,3,FALSE)</f>
        <v>US</v>
      </c>
    </row>
    <row r="58" customHeight="1" spans="1:40">
      <c r="A58" s="58" t="str">
        <f>INDEX('[1]7店'!$A:$A,MATCH(B:B,'[1]7店'!$B:$B,0))</f>
        <v>美珠</v>
      </c>
      <c r="B58" s="108" t="s">
        <v>2294</v>
      </c>
      <c r="C58" s="43" t="s">
        <v>2295</v>
      </c>
      <c r="D58" s="59">
        <f>VLOOKUP(B:B,'[1]7店'!$B:$L,3,0)</f>
        <v>44809</v>
      </c>
      <c r="E58" s="43" t="s">
        <v>2296</v>
      </c>
      <c r="F58" s="43">
        <v>18</v>
      </c>
      <c r="G58" s="43">
        <v>0</v>
      </c>
      <c r="H58" s="43">
        <v>0</v>
      </c>
      <c r="I58" s="43">
        <v>2</v>
      </c>
      <c r="J58" s="43">
        <v>0</v>
      </c>
      <c r="K58" s="63">
        <f t="shared" si="11"/>
        <v>20</v>
      </c>
      <c r="L58" s="132">
        <f>VLOOKUP($B:$B,'[1]7店'!$B:$L,11,FALSE)</f>
        <v>13.9</v>
      </c>
      <c r="M58" s="44">
        <f t="shared" si="32"/>
        <v>278</v>
      </c>
      <c r="N58" s="65">
        <f>IFERROR(VLOOKUP(B:B,'7店辅助表'!B:C,2,FALSE),0)</f>
        <v>4</v>
      </c>
      <c r="O58" s="65">
        <f>IFERROR(VLOOKUP(B:B,'7店辅助表'!E:F,2,FALSE),0)</f>
        <v>8</v>
      </c>
      <c r="P58" s="65">
        <f>IFERROR(VLOOKUP(B:B,'7店辅助表'!H:I,2,FALSE),0)</f>
        <v>19</v>
      </c>
      <c r="Q58" s="65">
        <f>IFERROR(VLOOKUP(B:B,'[1]7店'!$B:$N,13,FALSE),0)</f>
        <v>4</v>
      </c>
      <c r="R58" s="79">
        <f t="shared" si="33"/>
        <v>0</v>
      </c>
      <c r="S58" s="80">
        <f t="shared" si="34"/>
        <v>34.5205479452055</v>
      </c>
      <c r="T58" s="44">
        <f t="shared" si="35"/>
        <v>1.15068493150685</v>
      </c>
      <c r="U58" s="44">
        <f>IFERROR(VLOOKUP($B:$B,'[1]7店'!$B:$T,19,FALSE),0)</f>
        <v>1.31623931623932</v>
      </c>
      <c r="V58" s="81">
        <f t="shared" si="36"/>
        <v>-0.16555438473247</v>
      </c>
      <c r="W58" s="82" t="str">
        <f t="shared" si="37"/>
        <v>正常</v>
      </c>
      <c r="X58" s="83" t="str">
        <f t="shared" si="38"/>
        <v>正常</v>
      </c>
      <c r="Y58" s="44">
        <f>IFERROR(SUMIF('7店辅助表'!K:K,B:B,'7店辅助表'!N:N),0)</f>
        <v>0</v>
      </c>
      <c r="Z58" s="44">
        <f>IFERROR(SUMIF('7店辅助表'!T:T,B:B,'7店辅助表'!W:W),0)</f>
        <v>0</v>
      </c>
      <c r="AA58" s="44">
        <f>IFERROR(SUMIF('7店辅助表'!AC:AC,B:B,'7店辅助表'!AF:AF),0)</f>
        <v>0</v>
      </c>
      <c r="AB58" s="91" t="str">
        <f>IFERROR(SUMIF('7店辅助表'!K:K,B:B,'7店辅助表'!N:N)/SUMIF('7店辅助表'!K:K,B:B,'7店辅助表'!O:O),"-")</f>
        <v>-</v>
      </c>
      <c r="AC58" s="91" t="str">
        <f>IFERROR(VLOOKUP(B:B,'[1]7店'!$B:$AB,27,FALSE),"-")</f>
        <v>-</v>
      </c>
      <c r="AD58" s="92" t="str">
        <f t="shared" si="39"/>
        <v>-</v>
      </c>
      <c r="AE58" s="91" t="str">
        <f>IFERROR(SUMIF('7店辅助表'!T:T,B:B,'7店辅助表'!W:W)/SUMIF('7店辅助表'!T:T,B:B,'7店辅助表'!X:X),"-")</f>
        <v>-</v>
      </c>
      <c r="AF58" s="91" t="str">
        <f>IFERROR(SUMIF('7店辅助表'!AC:AC,B:B,'7店辅助表'!AF:AF)/SUMIF('7店辅助表'!AC:AC,B:B,'7店辅助表'!AG:AG),"-")</f>
        <v>-</v>
      </c>
      <c r="AG58" s="99">
        <f>IFERROR(AK58/((SUMIF('7店辅助表'!AT:AT,B:B,'7店辅助表'!AU:AU)+M58)/2),"-")</f>
        <v>0.19047619047619</v>
      </c>
      <c r="AH58" s="99">
        <f>IFERROR(AL58/((SUMIF('7店辅助表'!AW:AW,B:B,'7店辅助表'!AX:AX)+M58)/2),"-")</f>
        <v>0.432432432432432</v>
      </c>
      <c r="AI58" s="100">
        <f>IFERROR((SUMIF('7店辅助表'!AP:AP,B:B,'7店辅助表'!AR:AR)-SUMIF('7店辅助表'!AP:AP,B:B,'7店辅助表'!AR:AR)*0.15-(L58+IFERROR(VLOOKUP(B:B,'7店辅助表'!AZ:BA,2,0),0))*O58-IF(AN:AN="US",6.85,4.9)*(Z58+4.27*O58))/SUMIF('7店辅助表'!AP:AP,B:B,'7店辅助表'!AR:AR),"-")</f>
        <v>0.30223005563687</v>
      </c>
      <c r="AJ58" s="100">
        <f t="shared" si="40"/>
        <v>0.130694078113241</v>
      </c>
      <c r="AK58" s="101">
        <f t="shared" si="41"/>
        <v>55.6</v>
      </c>
      <c r="AL58" s="101">
        <f t="shared" si="42"/>
        <v>111.2</v>
      </c>
      <c r="AM58" s="1" t="str">
        <f>VLOOKUP(B:B,'7店辅助表'!AZ:AZ,1,FALSE)</f>
        <v>Y7010-OR+Y7018+Y7014</v>
      </c>
      <c r="AN58" t="str">
        <f>VLOOKUP(B:B,'7店辅助表'!AZ:BB,3,FALSE)</f>
        <v>US</v>
      </c>
    </row>
    <row r="59" customHeight="1" spans="1:40">
      <c r="A59" s="58" t="str">
        <f>INDEX('[1]7店'!$A:$A,MATCH(B:B,'[1]7店'!$B:$B,0))</f>
        <v>美珠</v>
      </c>
      <c r="B59" s="108" t="s">
        <v>2297</v>
      </c>
      <c r="C59" s="43" t="s">
        <v>2298</v>
      </c>
      <c r="D59" s="59">
        <f>VLOOKUP(B:B,'[1]7店'!$B:$L,3,0)</f>
        <v>44809</v>
      </c>
      <c r="E59" s="43" t="s">
        <v>2299</v>
      </c>
      <c r="F59" s="43">
        <v>109</v>
      </c>
      <c r="G59" s="43">
        <v>5</v>
      </c>
      <c r="H59" s="43">
        <v>1</v>
      </c>
      <c r="I59" s="43">
        <v>2</v>
      </c>
      <c r="J59" s="43">
        <v>0</v>
      </c>
      <c r="K59" s="63">
        <f t="shared" si="11"/>
        <v>117</v>
      </c>
      <c r="L59" s="132">
        <f>VLOOKUP($B:$B,'[1]7店'!$B:$L,11,FALSE)</f>
        <v>13.9</v>
      </c>
      <c r="M59" s="44">
        <f t="shared" si="32"/>
        <v>1626.3</v>
      </c>
      <c r="N59" s="65">
        <f>IFERROR(VLOOKUP(B:B,'7店辅助表'!B:C,2,FALSE),0)</f>
        <v>11</v>
      </c>
      <c r="O59" s="65">
        <f>IFERROR(VLOOKUP(B:B,'7店辅助表'!E:F,2,FALSE),0)</f>
        <v>23</v>
      </c>
      <c r="P59" s="65">
        <f>IFERROR(VLOOKUP(B:B,'7店辅助表'!H:I,2,FALSE),0)</f>
        <v>41</v>
      </c>
      <c r="Q59" s="65">
        <f>IFERROR(VLOOKUP(B:B,'[1]7店'!$B:$N,13,FALSE),0)</f>
        <v>11</v>
      </c>
      <c r="R59" s="79">
        <f t="shared" si="33"/>
        <v>0</v>
      </c>
      <c r="S59" s="80">
        <f t="shared" si="34"/>
        <v>78.4984025559105</v>
      </c>
      <c r="T59" s="44">
        <f t="shared" si="35"/>
        <v>2.61661341853035</v>
      </c>
      <c r="U59" s="44">
        <f>IFERROR(VLOOKUP($B:$B,'[1]7店'!$B:$T,19,FALSE),0)</f>
        <v>1.85840707964602</v>
      </c>
      <c r="V59" s="81">
        <f t="shared" si="36"/>
        <v>0.75820633888433</v>
      </c>
      <c r="W59" s="82" t="str">
        <f t="shared" si="37"/>
        <v>库存过高</v>
      </c>
      <c r="X59" s="83" t="str">
        <f t="shared" si="38"/>
        <v>库存过高</v>
      </c>
      <c r="Y59" s="44">
        <f>IFERROR(SUMIF('7店辅助表'!K:K,B:B,'7店辅助表'!N:N),0)</f>
        <v>3.91</v>
      </c>
      <c r="Z59" s="44">
        <f>IFERROR(SUMIF('7店辅助表'!T:T,B:B,'7店辅助表'!W:W),0)</f>
        <v>3.91</v>
      </c>
      <c r="AA59" s="44">
        <f>IFERROR(SUMIF('7店辅助表'!AC:AC,B:B,'7店辅助表'!AF:AF),0)</f>
        <v>3.91</v>
      </c>
      <c r="AB59" s="91">
        <f>IFERROR(SUMIF('7店辅助表'!K:K,B:B,'7店辅助表'!N:N)/SUMIF('7店辅助表'!K:K,B:B,'7店辅助表'!O:O),"-")</f>
        <v>0.301000769822941</v>
      </c>
      <c r="AC59" s="91" t="str">
        <f>IFERROR(VLOOKUP(B:B,'[1]7店'!$B:$AB,27,FALSE),"-")</f>
        <v>-</v>
      </c>
      <c r="AD59" s="92" t="str">
        <f t="shared" si="39"/>
        <v>-</v>
      </c>
      <c r="AE59" s="91">
        <f>IFERROR(SUMIF('7店辅助表'!T:T,B:B,'7店辅助表'!W:W)/SUMIF('7店辅助表'!T:T,B:B,'7店辅助表'!X:X),"-")</f>
        <v>0.301000769822941</v>
      </c>
      <c r="AF59" s="91">
        <f>IFERROR(SUMIF('7店辅助表'!AC:AC,B:B,'7店辅助表'!AF:AF)/SUMIF('7店辅助表'!AC:AC,B:B,'7店辅助表'!AG:AG),"-")</f>
        <v>0.301000769822941</v>
      </c>
      <c r="AG59" s="99">
        <f>IFERROR(AK59/((SUMIF('7店辅助表'!AT:AT,B:B,'7店辅助表'!AU:AU)+M59)/2),"-")</f>
        <v>0.111675126903553</v>
      </c>
      <c r="AH59" s="99">
        <f>IFERROR(AL59/((SUMIF('7店辅助表'!AW:AW,B:B,'7店辅助表'!AX:AX)+M59)/2),"-")</f>
        <v>0.158620689655172</v>
      </c>
      <c r="AI59" s="100">
        <f>IFERROR((SUMIF('7店辅助表'!AP:AP,B:B,'7店辅助表'!AR:AR)-SUMIF('7店辅助表'!AP:AP,B:B,'7店辅助表'!AR:AR)*0.15-(L59+IFERROR(VLOOKUP(B:B,'7店辅助表'!AZ:BA,2,0),0))*O59-IF(AN:AN="US",6.85,4.9)*(Z59+4.27*O59))/SUMIF('7店辅助表'!AP:AP,B:B,'7店辅助表'!AR:AR),"-")</f>
        <v>0.309851521422985</v>
      </c>
      <c r="AJ59" s="100">
        <f t="shared" si="40"/>
        <v>0.0491488620188183</v>
      </c>
      <c r="AK59" s="101">
        <f t="shared" si="41"/>
        <v>152.9</v>
      </c>
      <c r="AL59" s="101">
        <f t="shared" si="42"/>
        <v>319.7</v>
      </c>
      <c r="AM59" s="1" t="str">
        <f>VLOOKUP(B:B,'7店辅助表'!AZ:AZ,1,FALSE)</f>
        <v>Y7011-BL+Y7019+Y7015</v>
      </c>
      <c r="AN59" t="str">
        <f>VLOOKUP(B:B,'7店辅助表'!AZ:BB,3,FALSE)</f>
        <v>US</v>
      </c>
    </row>
    <row r="60" customHeight="1" spans="1:40">
      <c r="A60" s="58" t="str">
        <f>INDEX('[1]7店'!$A:$A,MATCH(B:B,'[1]7店'!$B:$B,0))</f>
        <v>美珠</v>
      </c>
      <c r="B60" s="108" t="s">
        <v>2300</v>
      </c>
      <c r="C60" s="43" t="s">
        <v>2301</v>
      </c>
      <c r="D60" s="59">
        <f>VLOOKUP(B:B,'[1]7店'!$B:$L,3,0)</f>
        <v>44809</v>
      </c>
      <c r="E60" s="43" t="s">
        <v>2302</v>
      </c>
      <c r="F60" s="43">
        <v>42</v>
      </c>
      <c r="G60" s="43">
        <v>0</v>
      </c>
      <c r="H60" s="43">
        <v>0</v>
      </c>
      <c r="I60" s="43">
        <v>0</v>
      </c>
      <c r="J60" s="43">
        <v>0</v>
      </c>
      <c r="K60" s="63">
        <f t="shared" si="11"/>
        <v>42</v>
      </c>
      <c r="L60" s="132">
        <f>VLOOKUP($B:$B,'[1]7店'!$B:$L,11,FALSE)</f>
        <v>13.9</v>
      </c>
      <c r="M60" s="44">
        <f t="shared" si="32"/>
        <v>583.8</v>
      </c>
      <c r="N60" s="65">
        <f>IFERROR(VLOOKUP(B:B,'7店辅助表'!B:C,2,FALSE),0)</f>
        <v>2</v>
      </c>
      <c r="O60" s="65">
        <f>IFERROR(VLOOKUP(B:B,'7店辅助表'!E:F,2,FALSE),0)</f>
        <v>4</v>
      </c>
      <c r="P60" s="65">
        <f>IFERROR(VLOOKUP(B:B,'7店辅助表'!H:I,2,FALSE),0)</f>
        <v>5</v>
      </c>
      <c r="Q60" s="65">
        <f>IFERROR(VLOOKUP(B:B,'[1]7店'!$B:$N,13,FALSE),0)</f>
        <v>2</v>
      </c>
      <c r="R60" s="79">
        <f t="shared" si="33"/>
        <v>0</v>
      </c>
      <c r="S60" s="80">
        <f t="shared" si="34"/>
        <v>175.23178807947</v>
      </c>
      <c r="T60" s="44">
        <f t="shared" si="35"/>
        <v>5.84105960264901</v>
      </c>
      <c r="U60" s="44">
        <f>IFERROR(VLOOKUP($B:$B,'[1]7店'!$B:$T,19,FALSE),0)</f>
        <v>6.8978102189781</v>
      </c>
      <c r="V60" s="81">
        <f t="shared" si="36"/>
        <v>-1.05675061632909</v>
      </c>
      <c r="W60" s="82" t="str">
        <f t="shared" si="37"/>
        <v>库存过高</v>
      </c>
      <c r="X60" s="83" t="str">
        <f t="shared" si="38"/>
        <v>库存过高</v>
      </c>
      <c r="Y60" s="44">
        <f>IFERROR(SUMIF('7店辅助表'!K:K,B:B,'7店辅助表'!N:N),0)</f>
        <v>4.65</v>
      </c>
      <c r="Z60" s="44">
        <f>IFERROR(SUMIF('7店辅助表'!T:T,B:B,'7店辅助表'!W:W),0)</f>
        <v>19.16</v>
      </c>
      <c r="AA60" s="44">
        <f>IFERROR(SUMIF('7店辅助表'!AC:AC,B:B,'7店辅助表'!AF:AF),0)</f>
        <v>38.41</v>
      </c>
      <c r="AB60" s="91" t="str">
        <f>IFERROR(SUMIF('7店辅助表'!K:K,B:B,'7店辅助表'!N:N)/SUMIF('7店辅助表'!K:K,B:B,'7店辅助表'!O:O),"-")</f>
        <v>-</v>
      </c>
      <c r="AC60" s="91">
        <f>IFERROR(VLOOKUP(B:B,'[1]7店'!$B:$AB,27,FALSE),"-")</f>
        <v>0.182013154132113</v>
      </c>
      <c r="AD60" s="92" t="str">
        <f t="shared" si="39"/>
        <v>-</v>
      </c>
      <c r="AE60" s="91">
        <f>IFERROR(SUMIF('7店辅助表'!T:T,B:B,'7店辅助表'!W:W)/SUMIF('7店辅助表'!T:T,B:B,'7店辅助表'!X:X),"-")</f>
        <v>0.27394909922791</v>
      </c>
      <c r="AF60" s="91">
        <f>IFERROR(SUMIF('7店辅助表'!AC:AC,B:B,'7店辅助表'!AF:AF)/SUMIF('7店辅助表'!AC:AC,B:B,'7店辅助表'!AG:AG),"-")</f>
        <v>0.239255014326648</v>
      </c>
      <c r="AG60" s="99">
        <f>IFERROR(AK60/((SUMIF('7店辅助表'!AT:AT,B:B,'7店辅助表'!AU:AU)+M60)/2),"-")</f>
        <v>0.0459770114942529</v>
      </c>
      <c r="AH60" s="99">
        <f>IFERROR(AL60/((SUMIF('7店辅助表'!AW:AW,B:B,'7店辅助表'!AX:AX)+M60)/2),"-")</f>
        <v>0.10958904109589</v>
      </c>
      <c r="AI60" s="100">
        <f>IFERROR((SUMIF('7店辅助表'!AP:AP,B:B,'7店辅助表'!AR:AR)-SUMIF('7店辅助表'!AP:AP,B:B,'7店辅助表'!AR:AR)*0.15-(L60+IFERROR(VLOOKUP(B:B,'7店辅助表'!AZ:BA,2,0),0))*O60-IF(AN:AN="US",6.85,4.9)*(Z60+4.27*O60))/SUMIF('7店辅助表'!AP:AP,B:B,'7店辅助表'!AR:AR),"-")</f>
        <v>-0.0764170460455954</v>
      </c>
      <c r="AJ60" s="100">
        <f t="shared" si="40"/>
        <v>-0.0083744707995173</v>
      </c>
      <c r="AK60" s="101">
        <f t="shared" si="41"/>
        <v>27.8</v>
      </c>
      <c r="AL60" s="101">
        <f t="shared" si="42"/>
        <v>55.6</v>
      </c>
      <c r="AM60" s="1" t="str">
        <f>VLOOKUP(B:B,'7店辅助表'!AZ:AZ,1,FALSE)</f>
        <v>Y7011-BU+Y7019+Y7015</v>
      </c>
      <c r="AN60" t="str">
        <f>VLOOKUP(B:B,'7店辅助表'!AZ:BB,3,FALSE)</f>
        <v>US</v>
      </c>
    </row>
    <row r="61" customHeight="1" spans="1:40">
      <c r="A61" s="58" t="str">
        <f>INDEX('[1]7店'!$A:$A,MATCH(B:B,'[1]7店'!$B:$B,0))</f>
        <v>美珠</v>
      </c>
      <c r="B61" s="108" t="s">
        <v>2303</v>
      </c>
      <c r="C61" s="43" t="s">
        <v>2304</v>
      </c>
      <c r="D61" s="59">
        <f>VLOOKUP(B:B,'[1]7店'!$B:$L,3,0)</f>
        <v>44809</v>
      </c>
      <c r="E61" s="43" t="s">
        <v>2305</v>
      </c>
      <c r="F61" s="43">
        <v>77</v>
      </c>
      <c r="G61" s="43">
        <v>0</v>
      </c>
      <c r="H61" s="43">
        <v>0</v>
      </c>
      <c r="I61" s="43">
        <v>0</v>
      </c>
      <c r="J61" s="43">
        <v>0</v>
      </c>
      <c r="K61" s="63">
        <f t="shared" si="11"/>
        <v>77</v>
      </c>
      <c r="L61" s="132">
        <f>VLOOKUP($B:$B,'[1]7店'!$B:$L,11,FALSE)</f>
        <v>13.9</v>
      </c>
      <c r="M61" s="44">
        <f t="shared" si="32"/>
        <v>1070.3</v>
      </c>
      <c r="N61" s="65">
        <f>IFERROR(VLOOKUP(B:B,'7店辅助表'!B:C,2,FALSE),0)</f>
        <v>1</v>
      </c>
      <c r="O61" s="65">
        <f>IFERROR(VLOOKUP(B:B,'7店辅助表'!E:F,2,FALSE),0)</f>
        <v>3</v>
      </c>
      <c r="P61" s="65">
        <f>IFERROR(VLOOKUP(B:B,'7店辅助表'!H:I,2,FALSE),0)</f>
        <v>3</v>
      </c>
      <c r="Q61" s="65">
        <f>IFERROR(VLOOKUP(B:B,'[1]7店'!$B:$N,13,FALSE),0)</f>
        <v>2</v>
      </c>
      <c r="R61" s="79">
        <f t="shared" si="33"/>
        <v>-1</v>
      </c>
      <c r="S61" s="80">
        <f t="shared" si="34"/>
        <v>521.612903225806</v>
      </c>
      <c r="T61" s="44">
        <f t="shared" si="35"/>
        <v>17.3870967741935</v>
      </c>
      <c r="U61" s="44">
        <f>IFERROR(VLOOKUP($B:$B,'[1]7店'!$B:$T,19,FALSE),0)</f>
        <v>16.2647058823529</v>
      </c>
      <c r="V61" s="81">
        <f t="shared" si="36"/>
        <v>1.1223908918406</v>
      </c>
      <c r="W61" s="82" t="str">
        <f t="shared" si="37"/>
        <v>库存过高</v>
      </c>
      <c r="X61" s="83" t="str">
        <f t="shared" si="38"/>
        <v>库存过高</v>
      </c>
      <c r="Y61" s="44">
        <f>IFERROR(SUMIF('7店辅助表'!K:K,B:B,'7店辅助表'!N:N),0)</f>
        <v>1.6</v>
      </c>
      <c r="Z61" s="44">
        <f>IFERROR(SUMIF('7店辅助表'!T:T,B:B,'7店辅助表'!W:W),0)</f>
        <v>1.6</v>
      </c>
      <c r="AA61" s="44">
        <f>IFERROR(SUMIF('7店辅助表'!AC:AC,B:B,'7店辅助表'!AF:AF),0)</f>
        <v>1.6</v>
      </c>
      <c r="AB61" s="91" t="str">
        <f>IFERROR(SUMIF('7店辅助表'!K:K,B:B,'7店辅助表'!N:N)/SUMIF('7店辅助表'!K:K,B:B,'7店辅助表'!O:O),"-")</f>
        <v>-</v>
      </c>
      <c r="AC61" s="91" t="str">
        <f>IFERROR(VLOOKUP(B:B,'[1]7店'!$B:$AB,27,FALSE),"-")</f>
        <v>-</v>
      </c>
      <c r="AD61" s="92" t="str">
        <f t="shared" si="39"/>
        <v>-</v>
      </c>
      <c r="AE61" s="91" t="str">
        <f>IFERROR(SUMIF('7店辅助表'!T:T,B:B,'7店辅助表'!W:W)/SUMIF('7店辅助表'!T:T,B:B,'7店辅助表'!X:X),"-")</f>
        <v>-</v>
      </c>
      <c r="AF61" s="91" t="str">
        <f>IFERROR(SUMIF('7店辅助表'!AC:AC,B:B,'7店辅助表'!AF:AF)/SUMIF('7店辅助表'!AC:AC,B:B,'7店辅助表'!AG:AG),"-")</f>
        <v>-</v>
      </c>
      <c r="AG61" s="99">
        <f>IFERROR(AK61/((SUMIF('7店辅助表'!AT:AT,B:B,'7店辅助表'!AU:AU)+M61)/2),"-")</f>
        <v>0.0128205128205128</v>
      </c>
      <c r="AH61" s="99">
        <f>IFERROR(AL61/((SUMIF('7店辅助表'!AW:AW,B:B,'7店辅助表'!AX:AX)+M61)/2),"-")</f>
        <v>0.0382165605095541</v>
      </c>
      <c r="AI61" s="100">
        <f>IFERROR((SUMIF('7店辅助表'!AP:AP,B:B,'7店辅助表'!AR:AR)-SUMIF('7店辅助表'!AP:AP,B:B,'7店辅助表'!AR:AR)*0.15-(L61+IFERROR(VLOOKUP(B:B,'7店辅助表'!AZ:BA,2,0),0))*O61-IF(AN:AN="US",6.85,4.9)*(Z61+4.27*O61))/SUMIF('7店辅助表'!AP:AP,B:B,'7店辅助表'!AR:AR),"-")</f>
        <v>0.250652334009228</v>
      </c>
      <c r="AJ61" s="100">
        <f t="shared" si="40"/>
        <v>0.00957907008952465</v>
      </c>
      <c r="AK61" s="101">
        <f t="shared" si="41"/>
        <v>13.9</v>
      </c>
      <c r="AL61" s="101">
        <f t="shared" si="42"/>
        <v>41.7</v>
      </c>
      <c r="AM61" s="1" t="str">
        <f>VLOOKUP(B:B,'7店辅助表'!AZ:AZ,1,FALSE)</f>
        <v>Y7011-DB+Y7019+Y7015</v>
      </c>
      <c r="AN61" t="str">
        <f>VLOOKUP(B:B,'7店辅助表'!AZ:BB,3,FALSE)</f>
        <v>US</v>
      </c>
    </row>
    <row r="62" customHeight="1" spans="1:40">
      <c r="A62" s="58" t="str">
        <f>INDEX('[1]7店'!$A:$A,MATCH(B:B,'[1]7店'!$B:$B,0))</f>
        <v>美珠</v>
      </c>
      <c r="B62" s="108" t="s">
        <v>2306</v>
      </c>
      <c r="C62" s="43" t="s">
        <v>2307</v>
      </c>
      <c r="D62" s="59">
        <f>VLOOKUP(B:B,'[1]7店'!$B:$L,3,0)</f>
        <v>44809</v>
      </c>
      <c r="E62" s="43" t="s">
        <v>2308</v>
      </c>
      <c r="F62" s="43">
        <v>34</v>
      </c>
      <c r="G62" s="43">
        <v>1</v>
      </c>
      <c r="H62" s="43">
        <v>0</v>
      </c>
      <c r="I62" s="43">
        <v>36</v>
      </c>
      <c r="J62" s="43">
        <v>0</v>
      </c>
      <c r="K62" s="63">
        <f t="shared" si="11"/>
        <v>71</v>
      </c>
      <c r="L62" s="132">
        <f>VLOOKUP($B:$B,'[1]7店'!$B:$L,11,FALSE)</f>
        <v>13.9</v>
      </c>
      <c r="M62" s="44">
        <f t="shared" si="32"/>
        <v>986.9</v>
      </c>
      <c r="N62" s="65">
        <f>IFERROR(VLOOKUP(B:B,'7店辅助表'!B:C,2,FALSE),0)</f>
        <v>0</v>
      </c>
      <c r="O62" s="65">
        <f>IFERROR(VLOOKUP(B:B,'7店辅助表'!E:F,2,FALSE),0)</f>
        <v>1</v>
      </c>
      <c r="P62" s="65">
        <f>IFERROR(VLOOKUP(B:B,'7店辅助表'!H:I,2,FALSE),0)</f>
        <v>3</v>
      </c>
      <c r="Q62" s="65">
        <f>IFERROR(VLOOKUP(B:B,'[1]7店'!$B:$N,13,FALSE),0)</f>
        <v>1</v>
      </c>
      <c r="R62" s="79">
        <f t="shared" ref="R62:R75" si="43">N62-Q62</f>
        <v>-1</v>
      </c>
      <c r="S62" s="80">
        <f t="shared" ref="S62:S75" si="44">IFERROR(K62/((N62/7+O62/15+P62/30)/3),"-")</f>
        <v>1278</v>
      </c>
      <c r="T62" s="44">
        <f t="shared" ref="T62:T75" si="45">IFERROR(S62/30,"-")</f>
        <v>42.6</v>
      </c>
      <c r="U62" s="44">
        <f>IFERROR(VLOOKUP($B:$B,'[1]7店'!$B:$T,19,FALSE),0)</f>
        <v>14.7</v>
      </c>
      <c r="V62" s="81">
        <f t="shared" ref="V62:V75" si="46">IFERROR(T62-U62,"-")</f>
        <v>27.9</v>
      </c>
      <c r="W62" s="82" t="str">
        <f t="shared" ref="W62:W75" si="47">_xlfn.IFS(AND(D62&lt;&gt;0,D62-$AM$2&gt;=0,B62&gt;0,D62&lt;&gt;0),"本月刚到货",AND(IFERROR((K62/(N62/7))/30,"-")="-",K62&gt;0),"有库存无销量",AND(IFERROR((K62/(N62/7))/30,"-")="-",K62=0),"无库存无销量",AND(IFERROR((K62/(N62/7))/30,"-")&lt;=0.5,K62=0),"无库存有销量",IFERROR((K62/(N62/7))/30,"-")&lt;=0.5,"库存过低",IFERROR((K62/(N62/7))/30,"-")&lt;=1.5,"正常",IFERROR((K62/(N62/7))/30,"-")&gt;1.5,"库存过高")</f>
        <v>有库存无销量</v>
      </c>
      <c r="X62" s="83" t="str">
        <f t="shared" ref="X62:X75" si="48">_xlfn.IFS(AND(D62&lt;&gt;0,D62-$AM$2&gt;=0,K62&gt;0,D62&lt;&gt;0),"本月刚到货",AND(T62="-",K62&gt;0),"有库存无销量",AND(T62="-",K62=0),"无库存无销量",AND(T62&lt;=0.5,K62=0),"无库存有销量",T62&lt;=0.5,"库存过低",T62&lt;=1.5,"正常",T62&gt;1.5,"库存过高")</f>
        <v>库存过高</v>
      </c>
      <c r="Y62" s="44">
        <f>IFERROR(SUMIF('7店辅助表'!K:K,B:B,'7店辅助表'!N:N),0)</f>
        <v>0</v>
      </c>
      <c r="Z62" s="44">
        <f>IFERROR(SUMIF('7店辅助表'!T:T,B:B,'7店辅助表'!W:W),0)</f>
        <v>0</v>
      </c>
      <c r="AA62" s="44">
        <f>IFERROR(SUMIF('7店辅助表'!AC:AC,B:B,'7店辅助表'!AF:AF),0)</f>
        <v>0</v>
      </c>
      <c r="AB62" s="91" t="str">
        <f>IFERROR(SUMIF('7店辅助表'!K:K,B:B,'7店辅助表'!N:N)/SUMIF('7店辅助表'!K:K,B:B,'7店辅助表'!O:O),"-")</f>
        <v>-</v>
      </c>
      <c r="AC62" s="91" t="str">
        <f>IFERROR(VLOOKUP(B:B,'[1]7店'!$B:$AB,27,FALSE),"-")</f>
        <v>-</v>
      </c>
      <c r="AD62" s="92" t="str">
        <f t="shared" ref="AD62:AD75" si="49">IFERROR(AB62-AC62,"-")</f>
        <v>-</v>
      </c>
      <c r="AE62" s="91" t="str">
        <f>IFERROR(SUMIF('7店辅助表'!T:T,B:B,'7店辅助表'!W:W)/SUMIF('7店辅助表'!T:T,B:B,'7店辅助表'!X:X),"-")</f>
        <v>-</v>
      </c>
      <c r="AF62" s="91" t="str">
        <f>IFERROR(SUMIF('7店辅助表'!AC:AC,B:B,'7店辅助表'!AF:AF)/SUMIF('7店辅助表'!AC:AC,B:B,'7店辅助表'!AG:AG),"-")</f>
        <v>-</v>
      </c>
      <c r="AG62" s="99">
        <f>IFERROR(AK62/((SUMIF('7店辅助表'!AT:AT,B:B,'7店辅助表'!AU:AU)+M62)/2),"-")</f>
        <v>0</v>
      </c>
      <c r="AH62" s="99">
        <f>IFERROR(AL62/((SUMIF('7店辅助表'!AW:AW,B:B,'7店辅助表'!AX:AX)+M62)/2),"-")</f>
        <v>0.013986013986014</v>
      </c>
      <c r="AI62" s="100">
        <f>IFERROR((SUMIF('7店辅助表'!AP:AP,B:B,'7店辅助表'!AR:AR)-SUMIF('7店辅助表'!AP:AP,B:B,'7店辅助表'!AR:AR)*0.15-(L62+IFERROR(VLOOKUP(B:B,'7店辅助表'!AZ:BA,2,0),0))*O62-IF(AN:AN="US",6.85,4.9)*(Z62+4.27*O62))/SUMIF('7店辅助表'!AP:AP,B:B,'7店辅助表'!AR:AR),"-")</f>
        <v>0.310376595134944</v>
      </c>
      <c r="AJ62" s="100">
        <f t="shared" ref="AJ62:AJ75" si="50">IFERROR(AH62*AI62,"-")</f>
        <v>0.00434093140048873</v>
      </c>
      <c r="AK62" s="101">
        <f t="shared" ref="AK62:AK75" si="51">N62*$L62</f>
        <v>0</v>
      </c>
      <c r="AL62" s="101">
        <f t="shared" ref="AL62:AL75" si="52">O62*$L62</f>
        <v>13.9</v>
      </c>
      <c r="AM62" s="1" t="str">
        <f>VLOOKUP(B:B,'7店辅助表'!AZ:AZ,1,FALSE)</f>
        <v>Y7011-GE+Y7019+Y7015</v>
      </c>
      <c r="AN62" t="str">
        <f>VLOOKUP(B:B,'7店辅助表'!AZ:BB,3,FALSE)</f>
        <v>US</v>
      </c>
    </row>
    <row r="63" customHeight="1" spans="1:40">
      <c r="A63" s="58" t="str">
        <f>INDEX('[1]7店'!$A:$A,MATCH(B:B,'[1]7店'!$B:$B,0))</f>
        <v>美珠</v>
      </c>
      <c r="B63" s="108" t="s">
        <v>2309</v>
      </c>
      <c r="C63" s="43" t="s">
        <v>2310</v>
      </c>
      <c r="D63" s="59">
        <f>VLOOKUP(B:B,'[1]7店'!$B:$L,3,0)</f>
        <v>44809</v>
      </c>
      <c r="E63" s="43" t="s">
        <v>2311</v>
      </c>
      <c r="F63" s="43">
        <v>39</v>
      </c>
      <c r="G63" s="43">
        <v>0</v>
      </c>
      <c r="H63" s="43">
        <v>0</v>
      </c>
      <c r="I63" s="43">
        <v>1</v>
      </c>
      <c r="J63" s="43">
        <v>0</v>
      </c>
      <c r="K63" s="63">
        <f t="shared" si="11"/>
        <v>40</v>
      </c>
      <c r="L63" s="132">
        <f>VLOOKUP($B:$B,'[1]7店'!$B:$L,11,FALSE)</f>
        <v>13.9</v>
      </c>
      <c r="M63" s="44">
        <f t="shared" si="32"/>
        <v>556</v>
      </c>
      <c r="N63" s="65">
        <f>IFERROR(VLOOKUP(B:B,'7店辅助表'!B:C,2,FALSE),0)</f>
        <v>1</v>
      </c>
      <c r="O63" s="65">
        <f>IFERROR(VLOOKUP(B:B,'7店辅助表'!E:F,2,FALSE),0)</f>
        <v>1</v>
      </c>
      <c r="P63" s="65">
        <f>IFERROR(VLOOKUP(B:B,'7店辅助表'!H:I,2,FALSE),0)</f>
        <v>3</v>
      </c>
      <c r="Q63" s="65">
        <f>IFERROR(VLOOKUP(B:B,'[1]7店'!$B:$N,13,FALSE),0)</f>
        <v>0</v>
      </c>
      <c r="R63" s="79">
        <f t="shared" si="43"/>
        <v>1</v>
      </c>
      <c r="S63" s="80">
        <f t="shared" si="44"/>
        <v>387.692307692308</v>
      </c>
      <c r="T63" s="44">
        <f t="shared" si="45"/>
        <v>12.9230769230769</v>
      </c>
      <c r="U63" s="44">
        <f>IFERROR(VLOOKUP($B:$B,'[1]7店'!$B:$T,19,FALSE),0)</f>
        <v>24</v>
      </c>
      <c r="V63" s="81">
        <f t="shared" si="46"/>
        <v>-11.0769230769231</v>
      </c>
      <c r="W63" s="82" t="str">
        <f t="shared" si="47"/>
        <v>库存过高</v>
      </c>
      <c r="X63" s="83" t="str">
        <f t="shared" si="48"/>
        <v>库存过高</v>
      </c>
      <c r="Y63" s="44">
        <f>IFERROR(SUMIF('7店辅助表'!K:K,B:B,'7店辅助表'!N:N),0)</f>
        <v>0</v>
      </c>
      <c r="Z63" s="44">
        <f>IFERROR(SUMIF('7店辅助表'!T:T,B:B,'7店辅助表'!W:W),0)</f>
        <v>0</v>
      </c>
      <c r="AA63" s="44">
        <f>IFERROR(SUMIF('7店辅助表'!AC:AC,B:B,'7店辅助表'!AF:AF),0)</f>
        <v>0</v>
      </c>
      <c r="AB63" s="91" t="str">
        <f>IFERROR(SUMIF('7店辅助表'!K:K,B:B,'7店辅助表'!N:N)/SUMIF('7店辅助表'!K:K,B:B,'7店辅助表'!O:O),"-")</f>
        <v>-</v>
      </c>
      <c r="AC63" s="91" t="str">
        <f>IFERROR(VLOOKUP(B:B,'[1]7店'!$B:$AB,27,FALSE),"-")</f>
        <v>-</v>
      </c>
      <c r="AD63" s="92" t="str">
        <f t="shared" si="49"/>
        <v>-</v>
      </c>
      <c r="AE63" s="91" t="str">
        <f>IFERROR(SUMIF('7店辅助表'!T:T,B:B,'7店辅助表'!W:W)/SUMIF('7店辅助表'!T:T,B:B,'7店辅助表'!X:X),"-")</f>
        <v>-</v>
      </c>
      <c r="AF63" s="91" t="str">
        <f>IFERROR(SUMIF('7店辅助表'!AC:AC,B:B,'7店辅助表'!AF:AF)/SUMIF('7店辅助表'!AC:AC,B:B,'7店辅助表'!AG:AG),"-")</f>
        <v>-</v>
      </c>
      <c r="AG63" s="99">
        <f>IFERROR(AK63/((SUMIF('7店辅助表'!AT:AT,B:B,'7店辅助表'!AU:AU)+M63)/2),"-")</f>
        <v>0.025</v>
      </c>
      <c r="AH63" s="99">
        <f>IFERROR(AL63/((SUMIF('7店辅助表'!AW:AW,B:B,'7店辅助表'!AX:AX)+M63)/2),"-")</f>
        <v>0.0246913580246914</v>
      </c>
      <c r="AI63" s="100">
        <f>IFERROR((SUMIF('7店辅助表'!AP:AP,B:B,'7店辅助表'!AR:AR)-SUMIF('7店辅助表'!AP:AP,B:B,'7店辅助表'!AR:AR)*0.15-(L63+IFERROR(VLOOKUP(B:B,'7店辅助表'!AZ:BA,2,0),0))*O63-IF(AN:AN="US",6.85,4.9)*(Z63+4.27*O63))/SUMIF('7店辅助表'!AP:AP,B:B,'7店辅助表'!AR:AR),"-")</f>
        <v>0.322457758073307</v>
      </c>
      <c r="AJ63" s="100">
        <f t="shared" si="50"/>
        <v>0.00796191995242734</v>
      </c>
      <c r="AK63" s="101">
        <f t="shared" si="51"/>
        <v>13.9</v>
      </c>
      <c r="AL63" s="101">
        <f t="shared" si="52"/>
        <v>13.9</v>
      </c>
      <c r="AM63" s="1" t="str">
        <f>VLOOKUP(B:B,'7店辅助表'!AZ:AZ,1,FALSE)</f>
        <v>Y7011-OR+Y7019+Y7015</v>
      </c>
      <c r="AN63" t="str">
        <f>VLOOKUP(B:B,'7店辅助表'!AZ:BB,3,FALSE)</f>
        <v>US</v>
      </c>
    </row>
    <row r="64" customHeight="1" spans="1:40">
      <c r="A64" s="58" t="str">
        <f>INDEX('[1]7店'!$A:$A,MATCH(B:B,'[1]7店'!$B:$B,0))</f>
        <v>美珠</v>
      </c>
      <c r="B64" s="108" t="s">
        <v>2312</v>
      </c>
      <c r="C64" s="43" t="s">
        <v>2313</v>
      </c>
      <c r="D64" s="59">
        <f>VLOOKUP(B:B,'[1]7店'!$B:$L,3,0)</f>
        <v>44809</v>
      </c>
      <c r="E64" s="43" t="s">
        <v>2314</v>
      </c>
      <c r="F64" s="43">
        <v>82</v>
      </c>
      <c r="G64" s="43">
        <v>0</v>
      </c>
      <c r="H64" s="43">
        <v>0</v>
      </c>
      <c r="I64" s="43">
        <v>4</v>
      </c>
      <c r="J64" s="43">
        <v>0</v>
      </c>
      <c r="K64" s="63">
        <f t="shared" si="11"/>
        <v>86</v>
      </c>
      <c r="L64" s="132">
        <f>VLOOKUP($B:$B,'[1]7店'!$B:$L,11,FALSE)</f>
        <v>13.9</v>
      </c>
      <c r="M64" s="44">
        <f t="shared" si="32"/>
        <v>1195.4</v>
      </c>
      <c r="N64" s="65">
        <f>IFERROR(VLOOKUP(B:B,'7店辅助表'!B:C,2,FALSE),0)</f>
        <v>7</v>
      </c>
      <c r="O64" s="65">
        <f>IFERROR(VLOOKUP(B:B,'7店辅助表'!E:F,2,FALSE),0)</f>
        <v>11</v>
      </c>
      <c r="P64" s="65">
        <f>IFERROR(VLOOKUP(B:B,'7店辅助表'!H:I,2,FALSE),0)</f>
        <v>36</v>
      </c>
      <c r="Q64" s="65">
        <f>IFERROR(VLOOKUP(B:B,'[1]7店'!$B:$N,13,FALSE),0)</f>
        <v>4</v>
      </c>
      <c r="R64" s="79">
        <f t="shared" si="43"/>
        <v>3</v>
      </c>
      <c r="S64" s="80">
        <f t="shared" si="44"/>
        <v>87.9545454545455</v>
      </c>
      <c r="T64" s="44">
        <f t="shared" si="45"/>
        <v>2.93181818181818</v>
      </c>
      <c r="U64" s="44">
        <f>IFERROR(VLOOKUP($B:$B,'[1]7店'!$B:$T,19,FALSE),0)</f>
        <v>2.92868462757528</v>
      </c>
      <c r="V64" s="81">
        <f t="shared" si="46"/>
        <v>0.00313355424290007</v>
      </c>
      <c r="W64" s="82" t="str">
        <f t="shared" si="47"/>
        <v>库存过高</v>
      </c>
      <c r="X64" s="83" t="str">
        <f t="shared" si="48"/>
        <v>库存过高</v>
      </c>
      <c r="Y64" s="44">
        <f>IFERROR(SUMIF('7店辅助表'!K:K,B:B,'7店辅助表'!N:N),0)</f>
        <v>0</v>
      </c>
      <c r="Z64" s="44">
        <f>IFERROR(SUMIF('7店辅助表'!T:T,B:B,'7店辅助表'!W:W),0)</f>
        <v>0</v>
      </c>
      <c r="AA64" s="44">
        <f>IFERROR(SUMIF('7店辅助表'!AC:AC,B:B,'7店辅助表'!AF:AF),0)</f>
        <v>0</v>
      </c>
      <c r="AB64" s="91" t="str">
        <f>IFERROR(SUMIF('7店辅助表'!K:K,B:B,'7店辅助表'!N:N)/SUMIF('7店辅助表'!K:K,B:B,'7店辅助表'!O:O),"-")</f>
        <v>-</v>
      </c>
      <c r="AC64" s="91" t="str">
        <f>IFERROR(VLOOKUP(B:B,'[1]7店'!$B:$AB,27,FALSE),"-")</f>
        <v>-</v>
      </c>
      <c r="AD64" s="92" t="str">
        <f t="shared" si="49"/>
        <v>-</v>
      </c>
      <c r="AE64" s="91" t="str">
        <f>IFERROR(SUMIF('7店辅助表'!T:T,B:B,'7店辅助表'!W:W)/SUMIF('7店辅助表'!T:T,B:B,'7店辅助表'!X:X),"-")</f>
        <v>-</v>
      </c>
      <c r="AF64" s="91" t="str">
        <f>IFERROR(SUMIF('7店辅助表'!AC:AC,B:B,'7店辅助表'!AF:AF)/SUMIF('7店辅助表'!AC:AC,B:B,'7店辅助表'!AG:AG),"-")</f>
        <v>-</v>
      </c>
      <c r="AG64" s="99">
        <f>IFERROR(AK64/((SUMIF('7店辅助表'!AT:AT,B:B,'7店辅助表'!AU:AU)+M64)/2),"-")</f>
        <v>0.0804597701149425</v>
      </c>
      <c r="AH64" s="99">
        <f>IFERROR(AL64/((SUMIF('7店辅助表'!AW:AW,B:B,'7店辅助表'!AX:AX)+M64)/2),"-")</f>
        <v>0.106796116504854</v>
      </c>
      <c r="AI64" s="100">
        <f>IFERROR((SUMIF('7店辅助表'!AP:AP,B:B,'7店辅助表'!AR:AR)-SUMIF('7店辅助表'!AP:AP,B:B,'7店辅助表'!AR:AR)*0.15-(L64+IFERROR(VLOOKUP(B:B,'7店辅助表'!AZ:BA,2,0),0))*O64-IF(AN:AN="US",6.85,4.9)*(Z64+4.27*O64))/SUMIF('7店辅助表'!AP:AP,B:B,'7店辅助表'!AR:AR),"-")</f>
        <v>0.311863726696218</v>
      </c>
      <c r="AJ64" s="100">
        <f t="shared" si="50"/>
        <v>0.0333058348898873</v>
      </c>
      <c r="AK64" s="101">
        <f t="shared" si="51"/>
        <v>97.3</v>
      </c>
      <c r="AL64" s="101">
        <f t="shared" si="52"/>
        <v>152.9</v>
      </c>
      <c r="AM64" s="1" t="str">
        <f>VLOOKUP(B:B,'7店辅助表'!AZ:AZ,1,FALSE)</f>
        <v>Y7012-BL+Y7020+Y7016</v>
      </c>
      <c r="AN64" t="str">
        <f>VLOOKUP(B:B,'7店辅助表'!AZ:BB,3,FALSE)</f>
        <v>US</v>
      </c>
    </row>
    <row r="65" customHeight="1" spans="1:40">
      <c r="A65" s="58" t="str">
        <f>INDEX('[1]7店'!$A:$A,MATCH(B:B,'[1]7店'!$B:$B,0))</f>
        <v>美珠</v>
      </c>
      <c r="B65" s="108" t="s">
        <v>2315</v>
      </c>
      <c r="C65" s="43" t="s">
        <v>2316</v>
      </c>
      <c r="D65" s="59">
        <f>VLOOKUP(B:B,'[1]7店'!$B:$L,3,0)</f>
        <v>44809</v>
      </c>
      <c r="E65" s="43" t="s">
        <v>2317</v>
      </c>
      <c r="F65" s="43">
        <v>76</v>
      </c>
      <c r="G65" s="43">
        <v>2</v>
      </c>
      <c r="H65" s="43">
        <v>56</v>
      </c>
      <c r="I65" s="43">
        <v>5</v>
      </c>
      <c r="J65" s="43">
        <v>0</v>
      </c>
      <c r="K65" s="63">
        <f t="shared" si="11"/>
        <v>139</v>
      </c>
      <c r="L65" s="132">
        <f>VLOOKUP($B:$B,'[1]7店'!$B:$L,11,FALSE)</f>
        <v>13.9</v>
      </c>
      <c r="M65" s="44">
        <f t="shared" si="32"/>
        <v>1932.1</v>
      </c>
      <c r="N65" s="65">
        <f>IFERROR(VLOOKUP(B:B,'7店辅助表'!B:C,2,FALSE),0)</f>
        <v>6</v>
      </c>
      <c r="O65" s="65">
        <f>IFERROR(VLOOKUP(B:B,'7店辅助表'!E:F,2,FALSE),0)</f>
        <v>16</v>
      </c>
      <c r="P65" s="65">
        <f>IFERROR(VLOOKUP(B:B,'7店辅助表'!H:I,2,FALSE),0)</f>
        <v>39</v>
      </c>
      <c r="Q65" s="65">
        <f>IFERROR(VLOOKUP(B:B,'[1]7店'!$B:$N,13,FALSE),0)</f>
        <v>11</v>
      </c>
      <c r="R65" s="79">
        <f t="shared" si="43"/>
        <v>-5</v>
      </c>
      <c r="S65" s="80">
        <f t="shared" si="44"/>
        <v>129.350073855244</v>
      </c>
      <c r="T65" s="44">
        <f t="shared" si="45"/>
        <v>4.31166912850812</v>
      </c>
      <c r="U65" s="44">
        <f>IFERROR(VLOOKUP($B:$B,'[1]7店'!$B:$T,19,FALSE),0)</f>
        <v>2.43390804597701</v>
      </c>
      <c r="V65" s="81">
        <f t="shared" si="46"/>
        <v>1.87776108253111</v>
      </c>
      <c r="W65" s="82" t="str">
        <f t="shared" si="47"/>
        <v>库存过高</v>
      </c>
      <c r="X65" s="83" t="str">
        <f t="shared" si="48"/>
        <v>库存过高</v>
      </c>
      <c r="Y65" s="44">
        <f>IFERROR(SUMIF('7店辅助表'!K:K,B:B,'7店辅助表'!N:N),0)</f>
        <v>19.82</v>
      </c>
      <c r="Z65" s="44">
        <f>IFERROR(SUMIF('7店辅助表'!T:T,B:B,'7店辅助表'!W:W),0)</f>
        <v>40.27</v>
      </c>
      <c r="AA65" s="44">
        <f>IFERROR(SUMIF('7店辅助表'!AC:AC,B:B,'7店辅助表'!AF:AF),0)</f>
        <v>98.01</v>
      </c>
      <c r="AB65" s="91">
        <f>IFERROR(SUMIF('7店辅助表'!K:K,B:B,'7店辅助表'!N:N)/SUMIF('7店辅助表'!K:K,B:B,'7店辅助表'!O:O),"-")</f>
        <v>0.217969866930606</v>
      </c>
      <c r="AC65" s="91">
        <f>IFERROR(VLOOKUP(B:B,'[1]7店'!$B:$AB,27,FALSE),"-")</f>
        <v>0.13781512605042</v>
      </c>
      <c r="AD65" s="92">
        <f t="shared" si="49"/>
        <v>0.080154740880186</v>
      </c>
      <c r="AE65" s="91">
        <f>IFERROR(SUMIF('7店辅助表'!T:T,B:B,'7店辅助表'!W:W)/SUMIF('7店辅助表'!T:T,B:B,'7店辅助表'!X:X),"-")</f>
        <v>0.185721532998201</v>
      </c>
      <c r="AF65" s="91">
        <f>IFERROR(SUMIF('7店辅助表'!AC:AC,B:B,'7店辅助表'!AF:AF)/SUMIF('7店辅助表'!AC:AC,B:B,'7店辅助表'!AG:AG),"-")</f>
        <v>0.238073260785076</v>
      </c>
      <c r="AG65" s="99">
        <f>IFERROR(AK65/((SUMIF('7店辅助表'!AT:AT,B:B,'7店辅助表'!AU:AU)+M65)/2),"-")</f>
        <v>0.0461538461538462</v>
      </c>
      <c r="AH65" s="99">
        <f>IFERROR(AL65/((SUMIF('7店辅助表'!AW:AW,B:B,'7店辅助表'!AX:AX)+M65)/2),"-")</f>
        <v>0.113074204946996</v>
      </c>
      <c r="AI65" s="100">
        <f>IFERROR((SUMIF('7店辅助表'!AP:AP,B:B,'7店辅助表'!AR:AR)-SUMIF('7店辅助表'!AP:AP,B:B,'7店辅助表'!AR:AR)*0.15-(L65+IFERROR(VLOOKUP(B:B,'7店辅助表'!AZ:BA,2,0),0))*O65-IF(AN:AN="US",6.85,4.9)*(Z65+4.27*O65))/SUMIF('7店辅助表'!AP:AP,B:B,'7店辅助表'!AR:AR),"-")</f>
        <v>0.161593164119033</v>
      </c>
      <c r="AJ65" s="100">
        <f t="shared" si="50"/>
        <v>0.0182720185576291</v>
      </c>
      <c r="AK65" s="101">
        <f t="shared" si="51"/>
        <v>83.4</v>
      </c>
      <c r="AL65" s="101">
        <f t="shared" si="52"/>
        <v>222.4</v>
      </c>
      <c r="AM65" s="1" t="str">
        <f>VLOOKUP(B:B,'7店辅助表'!AZ:AZ,1,FALSE)</f>
        <v>Y7012-BU+Y7020+Y7016</v>
      </c>
      <c r="AN65" t="str">
        <f>VLOOKUP(B:B,'7店辅助表'!AZ:BB,3,FALSE)</f>
        <v>US</v>
      </c>
    </row>
    <row r="66" customHeight="1" spans="1:40">
      <c r="A66" s="58" t="str">
        <f>INDEX('[1]7店'!$A:$A,MATCH(B:B,'[1]7店'!$B:$B,0))</f>
        <v>美珠</v>
      </c>
      <c r="B66" s="108" t="s">
        <v>2318</v>
      </c>
      <c r="C66" s="43" t="s">
        <v>2319</v>
      </c>
      <c r="D66" s="59">
        <f>VLOOKUP(B:B,'[1]7店'!$B:$L,3,0)</f>
        <v>44809</v>
      </c>
      <c r="E66" s="43" t="s">
        <v>2320</v>
      </c>
      <c r="F66" s="43">
        <v>43</v>
      </c>
      <c r="G66" s="43">
        <v>0</v>
      </c>
      <c r="H66" s="43">
        <v>1</v>
      </c>
      <c r="I66" s="43">
        <v>0</v>
      </c>
      <c r="J66" s="43">
        <v>0</v>
      </c>
      <c r="K66" s="63">
        <f t="shared" si="11"/>
        <v>44</v>
      </c>
      <c r="L66" s="132">
        <f>VLOOKUP($B:$B,'[1]7店'!$B:$L,11,FALSE)</f>
        <v>13.9</v>
      </c>
      <c r="M66" s="44">
        <f t="shared" si="32"/>
        <v>611.6</v>
      </c>
      <c r="N66" s="65">
        <f>IFERROR(VLOOKUP(B:B,'7店辅助表'!B:C,2,FALSE),0)</f>
        <v>1</v>
      </c>
      <c r="O66" s="65">
        <f>IFERROR(VLOOKUP(B:B,'7店辅助表'!E:F,2,FALSE),0)</f>
        <v>5</v>
      </c>
      <c r="P66" s="65">
        <f>IFERROR(VLOOKUP(B:B,'7店辅助表'!H:I,2,FALSE),0)</f>
        <v>13</v>
      </c>
      <c r="Q66" s="65">
        <f>IFERROR(VLOOKUP(B:B,'[1]7店'!$B:$N,13,FALSE),0)</f>
        <v>4</v>
      </c>
      <c r="R66" s="79">
        <f t="shared" si="43"/>
        <v>-3</v>
      </c>
      <c r="S66" s="80">
        <f t="shared" si="44"/>
        <v>145.130890052356</v>
      </c>
      <c r="T66" s="44">
        <f t="shared" si="45"/>
        <v>4.83769633507853</v>
      </c>
      <c r="U66" s="44">
        <f>IFERROR(VLOOKUP($B:$B,'[1]7店'!$B:$T,19,FALSE),0)</f>
        <v>3.13220338983051</v>
      </c>
      <c r="V66" s="81">
        <f t="shared" si="46"/>
        <v>1.70549294524802</v>
      </c>
      <c r="W66" s="82" t="str">
        <f t="shared" si="47"/>
        <v>库存过高</v>
      </c>
      <c r="X66" s="83" t="str">
        <f t="shared" si="48"/>
        <v>库存过高</v>
      </c>
      <c r="Y66" s="44">
        <f>IFERROR(SUMIF('7店辅助表'!K:K,B:B,'7店辅助表'!N:N),0)</f>
        <v>0</v>
      </c>
      <c r="Z66" s="44">
        <f>IFERROR(SUMIF('7店辅助表'!T:T,B:B,'7店辅助表'!W:W),0)</f>
        <v>0</v>
      </c>
      <c r="AA66" s="44">
        <f>IFERROR(SUMIF('7店辅助表'!AC:AC,B:B,'7店辅助表'!AF:AF),0)</f>
        <v>0</v>
      </c>
      <c r="AB66" s="91" t="str">
        <f>IFERROR(SUMIF('7店辅助表'!K:K,B:B,'7店辅助表'!N:N)/SUMIF('7店辅助表'!K:K,B:B,'7店辅助表'!O:O),"-")</f>
        <v>-</v>
      </c>
      <c r="AC66" s="91" t="str">
        <f>IFERROR(VLOOKUP(B:B,'[1]7店'!$B:$AB,27,FALSE),"-")</f>
        <v>-</v>
      </c>
      <c r="AD66" s="92" t="str">
        <f t="shared" si="49"/>
        <v>-</v>
      </c>
      <c r="AE66" s="91" t="str">
        <f>IFERROR(SUMIF('7店辅助表'!T:T,B:B,'7店辅助表'!W:W)/SUMIF('7店辅助表'!T:T,B:B,'7店辅助表'!X:X),"-")</f>
        <v>-</v>
      </c>
      <c r="AF66" s="91" t="str">
        <f>IFERROR(SUMIF('7店辅助表'!AC:AC,B:B,'7店辅助表'!AF:AF)/SUMIF('7店辅助表'!AC:AC,B:B,'7店辅助表'!AG:AG),"-")</f>
        <v>-</v>
      </c>
      <c r="AG66" s="99">
        <f>IFERROR(AK66/((SUMIF('7店辅助表'!AT:AT,B:B,'7店辅助表'!AU:AU)+M66)/2),"-")</f>
        <v>0.0227272727272727</v>
      </c>
      <c r="AH66" s="99">
        <f>IFERROR(AL66/((SUMIF('7店辅助表'!AW:AW,B:B,'7店辅助表'!AX:AX)+M66)/2),"-")</f>
        <v>0.101010101010101</v>
      </c>
      <c r="AI66" s="100">
        <f>IFERROR((SUMIF('7店辅助表'!AP:AP,B:B,'7店辅助表'!AR:AR)-SUMIF('7店辅助表'!AP:AP,B:B,'7店辅助表'!AR:AR)*0.15-(L66+IFERROR(VLOOKUP(B:B,'7店辅助表'!AZ:BA,2,0),0))*O66-IF(AN:AN="US",6.85,4.9)*(Z66+4.27*O66))/SUMIF('7店辅助表'!AP:AP,B:B,'7店辅助表'!AR:AR),"-")</f>
        <v>0.297908121410993</v>
      </c>
      <c r="AJ66" s="100">
        <f t="shared" si="50"/>
        <v>0.0300917294354538</v>
      </c>
      <c r="AK66" s="101">
        <f t="shared" si="51"/>
        <v>13.9</v>
      </c>
      <c r="AL66" s="101">
        <f t="shared" si="52"/>
        <v>69.5</v>
      </c>
      <c r="AM66" s="1" t="str">
        <f>VLOOKUP(B:B,'7店辅助表'!AZ:AZ,1,FALSE)</f>
        <v>Y7012-DB+Y7020+Y7016</v>
      </c>
      <c r="AN66" t="str">
        <f>VLOOKUP(B:B,'7店辅助表'!AZ:BB,3,FALSE)</f>
        <v>US</v>
      </c>
    </row>
    <row r="67" customHeight="1" spans="1:40">
      <c r="A67" s="58" t="str">
        <f>INDEX('[1]7店'!$A:$A,MATCH(B:B,'[1]7店'!$B:$B,0))</f>
        <v>美珠</v>
      </c>
      <c r="B67" s="108" t="s">
        <v>2321</v>
      </c>
      <c r="C67" s="43" t="s">
        <v>2322</v>
      </c>
      <c r="D67" s="59">
        <f>VLOOKUP(B:B,'[1]7店'!$B:$L,3,0)</f>
        <v>44809</v>
      </c>
      <c r="E67" s="43" t="s">
        <v>2323</v>
      </c>
      <c r="F67" s="43">
        <v>23</v>
      </c>
      <c r="G67" s="43">
        <v>0</v>
      </c>
      <c r="H67" s="43">
        <v>0</v>
      </c>
      <c r="I67" s="43">
        <v>1</v>
      </c>
      <c r="J67" s="43">
        <v>0</v>
      </c>
      <c r="K67" s="63">
        <f t="shared" ref="K67:K75" si="53">F67+G67+H67+I67+J67</f>
        <v>24</v>
      </c>
      <c r="L67" s="132">
        <f>VLOOKUP($B:$B,'[1]7店'!$B:$L,11,FALSE)</f>
        <v>13.9</v>
      </c>
      <c r="M67" s="44">
        <f t="shared" si="32"/>
        <v>333.6</v>
      </c>
      <c r="N67" s="65">
        <f>IFERROR(VLOOKUP(B:B,'7店辅助表'!B:C,2,FALSE),0)</f>
        <v>1</v>
      </c>
      <c r="O67" s="65">
        <f>IFERROR(VLOOKUP(B:B,'7店辅助表'!E:F,2,FALSE),0)</f>
        <v>3</v>
      </c>
      <c r="P67" s="65">
        <f>IFERROR(VLOOKUP(B:B,'7店辅助表'!H:I,2,FALSE),0)</f>
        <v>12</v>
      </c>
      <c r="Q67" s="65">
        <f>IFERROR(VLOOKUP(B:B,'[1]7店'!$B:$N,13,FALSE),0)</f>
        <v>2</v>
      </c>
      <c r="R67" s="79">
        <f t="shared" si="43"/>
        <v>-1</v>
      </c>
      <c r="S67" s="80">
        <f t="shared" si="44"/>
        <v>96.9230769230769</v>
      </c>
      <c r="T67" s="44">
        <f t="shared" si="45"/>
        <v>3.23076923076923</v>
      </c>
      <c r="U67" s="44">
        <f>IFERROR(VLOOKUP($B:$B,'[1]7店'!$B:$T,19,FALSE),0)</f>
        <v>2.21052631578947</v>
      </c>
      <c r="V67" s="81">
        <f t="shared" si="46"/>
        <v>1.02024291497976</v>
      </c>
      <c r="W67" s="82" t="str">
        <f t="shared" si="47"/>
        <v>库存过高</v>
      </c>
      <c r="X67" s="83" t="str">
        <f t="shared" si="48"/>
        <v>库存过高</v>
      </c>
      <c r="Y67" s="44">
        <f>IFERROR(SUMIF('7店辅助表'!K:K,B:B,'7店辅助表'!N:N),0)</f>
        <v>0</v>
      </c>
      <c r="Z67" s="44">
        <f>IFERROR(SUMIF('7店辅助表'!T:T,B:B,'7店辅助表'!W:W),0)</f>
        <v>0</v>
      </c>
      <c r="AA67" s="44">
        <f>IFERROR(SUMIF('7店辅助表'!AC:AC,B:B,'7店辅助表'!AF:AF),0)</f>
        <v>0</v>
      </c>
      <c r="AB67" s="91" t="str">
        <f>IFERROR(SUMIF('7店辅助表'!K:K,B:B,'7店辅助表'!N:N)/SUMIF('7店辅助表'!K:K,B:B,'7店辅助表'!O:O),"-")</f>
        <v>-</v>
      </c>
      <c r="AC67" s="91" t="str">
        <f>IFERROR(VLOOKUP(B:B,'[1]7店'!$B:$AB,27,FALSE),"-")</f>
        <v>-</v>
      </c>
      <c r="AD67" s="92" t="str">
        <f t="shared" si="49"/>
        <v>-</v>
      </c>
      <c r="AE67" s="91" t="str">
        <f>IFERROR(SUMIF('7店辅助表'!T:T,B:B,'7店辅助表'!W:W)/SUMIF('7店辅助表'!T:T,B:B,'7店辅助表'!X:X),"-")</f>
        <v>-</v>
      </c>
      <c r="AF67" s="91" t="str">
        <f>IFERROR(SUMIF('7店辅助表'!AC:AC,B:B,'7店辅助表'!AF:AF)/SUMIF('7店辅助表'!AC:AC,B:B,'7店辅助表'!AG:AG),"-")</f>
        <v>-</v>
      </c>
      <c r="AG67" s="99">
        <f>IFERROR(AK67/((SUMIF('7店辅助表'!AT:AT,B:B,'7店辅助表'!AU:AU)+M67)/2),"-")</f>
        <v>0.0416666666666667</v>
      </c>
      <c r="AH67" s="99">
        <f>IFERROR(AL67/((SUMIF('7店辅助表'!AW:AW,B:B,'7店辅助表'!AX:AX)+M67)/2),"-")</f>
        <v>0.101694915254237</v>
      </c>
      <c r="AI67" s="100">
        <f>IFERROR((SUMIF('7店辅助表'!AP:AP,B:B,'7店辅助表'!AR:AR)-SUMIF('7店辅助表'!AP:AP,B:B,'7店辅助表'!AR:AR)*0.15-(L67+IFERROR(VLOOKUP(B:B,'7店辅助表'!AZ:BA,2,0),0))*O67-IF(AN:AN="US",6.85,4.9)*(Z67+4.27*O67))/SUMIF('7店辅助表'!AP:AP,B:B,'7店辅助表'!AR:AR),"-")</f>
        <v>0.320985541938493</v>
      </c>
      <c r="AJ67" s="100">
        <f t="shared" si="50"/>
        <v>0.0326425974852705</v>
      </c>
      <c r="AK67" s="101">
        <f t="shared" si="51"/>
        <v>13.9</v>
      </c>
      <c r="AL67" s="101">
        <f t="shared" si="52"/>
        <v>41.7</v>
      </c>
      <c r="AM67" s="1" t="str">
        <f>VLOOKUP(B:B,'7店辅助表'!AZ:AZ,1,FALSE)</f>
        <v>Y7012-GE+Y7020+Y7016</v>
      </c>
      <c r="AN67" t="str">
        <f>VLOOKUP(B:B,'7店辅助表'!AZ:BB,3,FALSE)</f>
        <v>US</v>
      </c>
    </row>
    <row r="68" customHeight="1" spans="1:40">
      <c r="A68" s="58" t="str">
        <f>INDEX('[1]7店'!$A:$A,MATCH(B:B,'[1]7店'!$B:$B,0))</f>
        <v>美珠</v>
      </c>
      <c r="B68" s="108" t="s">
        <v>2324</v>
      </c>
      <c r="C68" s="43" t="s">
        <v>2325</v>
      </c>
      <c r="D68" s="59">
        <f>VLOOKUP(B:B,'[1]7店'!$B:$L,3,0)</f>
        <v>44809</v>
      </c>
      <c r="E68" s="43" t="s">
        <v>2326</v>
      </c>
      <c r="F68" s="43">
        <v>34</v>
      </c>
      <c r="G68" s="43">
        <v>1</v>
      </c>
      <c r="H68" s="43">
        <v>1</v>
      </c>
      <c r="I68" s="43">
        <v>2</v>
      </c>
      <c r="J68" s="43">
        <v>0</v>
      </c>
      <c r="K68" s="63">
        <f t="shared" si="53"/>
        <v>38</v>
      </c>
      <c r="L68" s="132">
        <f>VLOOKUP($B:$B,'[1]7店'!$B:$L,11,FALSE)</f>
        <v>13.9</v>
      </c>
      <c r="M68" s="44">
        <f t="shared" si="32"/>
        <v>528.2</v>
      </c>
      <c r="N68" s="65">
        <f>IFERROR(VLOOKUP(B:B,'7店辅助表'!B:C,2,FALSE),0)</f>
        <v>6</v>
      </c>
      <c r="O68" s="65">
        <f>IFERROR(VLOOKUP(B:B,'7店辅助表'!E:F,2,FALSE),0)</f>
        <v>12</v>
      </c>
      <c r="P68" s="65">
        <f>IFERROR(VLOOKUP(B:B,'7店辅助表'!H:I,2,FALSE),0)</f>
        <v>22</v>
      </c>
      <c r="Q68" s="65">
        <f>IFERROR(VLOOKUP(B:B,'[1]7店'!$B:$N,13,FALSE),0)</f>
        <v>6</v>
      </c>
      <c r="R68" s="79">
        <f t="shared" si="43"/>
        <v>0</v>
      </c>
      <c r="S68" s="80">
        <f t="shared" si="44"/>
        <v>47.6892430278885</v>
      </c>
      <c r="T68" s="44">
        <f t="shared" si="45"/>
        <v>1.58964143426295</v>
      </c>
      <c r="U68" s="44">
        <f>IFERROR(VLOOKUP($B:$B,'[1]7店'!$B:$T,19,FALSE),0)</f>
        <v>1.69506726457399</v>
      </c>
      <c r="V68" s="81">
        <f t="shared" si="46"/>
        <v>-0.10542583031104</v>
      </c>
      <c r="W68" s="82" t="str">
        <f t="shared" si="47"/>
        <v>正常</v>
      </c>
      <c r="X68" s="83" t="str">
        <f t="shared" si="48"/>
        <v>库存过高</v>
      </c>
      <c r="Y68" s="44">
        <f>IFERROR(SUMIF('7店辅助表'!K:K,B:B,'7店辅助表'!N:N),0)</f>
        <v>0.4</v>
      </c>
      <c r="Z68" s="44">
        <f>IFERROR(SUMIF('7店辅助表'!T:T,B:B,'7店辅助表'!W:W),0)</f>
        <v>1.2</v>
      </c>
      <c r="AA68" s="44">
        <f>IFERROR(SUMIF('7店辅助表'!AC:AC,B:B,'7店辅助表'!AF:AF),0)</f>
        <v>3.4</v>
      </c>
      <c r="AB68" s="91" t="str">
        <f>IFERROR(SUMIF('7店辅助表'!K:K,B:B,'7店辅助表'!N:N)/SUMIF('7店辅助表'!K:K,B:B,'7店辅助表'!O:O),"-")</f>
        <v>-</v>
      </c>
      <c r="AC68" s="91" t="str">
        <f>IFERROR(VLOOKUP(B:B,'[1]7店'!$B:$AB,27,FALSE),"-")</f>
        <v>-</v>
      </c>
      <c r="AD68" s="92" t="str">
        <f t="shared" si="49"/>
        <v>-</v>
      </c>
      <c r="AE68" s="91" t="str">
        <f>IFERROR(SUMIF('7店辅助表'!T:T,B:B,'7店辅助表'!W:W)/SUMIF('7店辅助表'!T:T,B:B,'7店辅助表'!X:X),"-")</f>
        <v>-</v>
      </c>
      <c r="AF68" s="91" t="str">
        <f>IFERROR(SUMIF('7店辅助表'!AC:AC,B:B,'7店辅助表'!AF:AF)/SUMIF('7店辅助表'!AC:AC,B:B,'7店辅助表'!AG:AG),"-")</f>
        <v>-</v>
      </c>
      <c r="AG68" s="99">
        <f>IFERROR(AK68/((SUMIF('7店辅助表'!AT:AT,B:B,'7店辅助表'!AU:AU)+M68)/2),"-")</f>
        <v>0.162162162162162</v>
      </c>
      <c r="AH68" s="99">
        <f>IFERROR(AL68/((SUMIF('7店辅助表'!AW:AW,B:B,'7店辅助表'!AX:AX)+M68)/2),"-")</f>
        <v>0.252631578947368</v>
      </c>
      <c r="AI68" s="100">
        <f>IFERROR((SUMIF('7店辅助表'!AP:AP,B:B,'7店辅助表'!AR:AR)-SUMIF('7店辅助表'!AP:AP,B:B,'7店辅助表'!AR:AR)*0.15-(L68+IFERROR(VLOOKUP(B:B,'7店辅助表'!AZ:BA,2,0),0))*O68-IF(AN:AN="US",6.85,4.9)*(Z68+4.27*O68))/SUMIF('7店辅助表'!AP:AP,B:B,'7店辅助表'!AR:AR),"-")</f>
        <v>0.316842112253552</v>
      </c>
      <c r="AJ68" s="100">
        <f t="shared" si="50"/>
        <v>0.0800443230956343</v>
      </c>
      <c r="AK68" s="101">
        <f t="shared" si="51"/>
        <v>83.4</v>
      </c>
      <c r="AL68" s="101">
        <f t="shared" si="52"/>
        <v>166.8</v>
      </c>
      <c r="AM68" s="1" t="str">
        <f>VLOOKUP(B:B,'7店辅助表'!AZ:AZ,1,FALSE)</f>
        <v>Y7012-OR+Y7020+Y7016</v>
      </c>
      <c r="AN68" t="str">
        <f>VLOOKUP(B:B,'7店辅助表'!AZ:BB,3,FALSE)</f>
        <v>US</v>
      </c>
    </row>
    <row r="69" customHeight="1" spans="1:40">
      <c r="A69" s="58" t="str">
        <f>INDEX('[1]7店'!$A:$A,MATCH(B:B,'[1]7店'!$B:$B,0))</f>
        <v>美珠</v>
      </c>
      <c r="B69" s="108" t="s">
        <v>2327</v>
      </c>
      <c r="C69" s="43" t="s">
        <v>2328</v>
      </c>
      <c r="D69" s="59">
        <f>VLOOKUP(B:B,'[1]7店'!$B:$L,3,0)</f>
        <v>44809</v>
      </c>
      <c r="E69" s="43" t="s">
        <v>2329</v>
      </c>
      <c r="F69" s="43">
        <v>459</v>
      </c>
      <c r="G69" s="43">
        <v>8</v>
      </c>
      <c r="H69" s="43">
        <v>79</v>
      </c>
      <c r="I69" s="43">
        <v>284</v>
      </c>
      <c r="J69" s="43">
        <v>0</v>
      </c>
      <c r="K69" s="63">
        <f t="shared" si="53"/>
        <v>830</v>
      </c>
      <c r="L69" s="132">
        <f>VLOOKUP($B:$B,'[1]7店'!$B:$L,11,FALSE)</f>
        <v>13.9</v>
      </c>
      <c r="M69" s="44">
        <f t="shared" ref="M69:M100" si="54">K69*L69</f>
        <v>11537</v>
      </c>
      <c r="N69" s="65">
        <f>IFERROR(VLOOKUP(B:B,'7店辅助表'!B:C,2,FALSE),0)</f>
        <v>100</v>
      </c>
      <c r="O69" s="65">
        <f>IFERROR(VLOOKUP(B:B,'7店辅助表'!E:F,2,FALSE),0)</f>
        <v>188</v>
      </c>
      <c r="P69" s="65">
        <f>IFERROR(VLOOKUP(B:B,'7店辅助表'!H:I,2,FALSE),0)</f>
        <v>371</v>
      </c>
      <c r="Q69" s="65">
        <f>IFERROR(VLOOKUP(B:B,'[1]7店'!$B:$N,13,FALSE),0)</f>
        <v>78</v>
      </c>
      <c r="R69" s="79">
        <f t="shared" si="43"/>
        <v>22</v>
      </c>
      <c r="S69" s="80">
        <f t="shared" si="44"/>
        <v>63.5435654393</v>
      </c>
      <c r="T69" s="44">
        <f t="shared" si="45"/>
        <v>2.11811884797667</v>
      </c>
      <c r="U69" s="44">
        <f>IFERROR(VLOOKUP($B:$B,'[1]7店'!$B:$T,19,FALSE),0)</f>
        <v>3.03492333901192</v>
      </c>
      <c r="V69" s="81">
        <f t="shared" si="46"/>
        <v>-0.91680449103525</v>
      </c>
      <c r="W69" s="82" t="str">
        <f t="shared" si="47"/>
        <v>库存过高</v>
      </c>
      <c r="X69" s="83" t="str">
        <f t="shared" si="48"/>
        <v>库存过高</v>
      </c>
      <c r="Y69" s="44">
        <f>IFERROR(SUMIF('7店辅助表'!K:K,B:B,'7店辅助表'!N:N),0)</f>
        <v>74.86</v>
      </c>
      <c r="Z69" s="44">
        <f>IFERROR(SUMIF('7店辅助表'!T:T,B:B,'7店辅助表'!W:W),0)</f>
        <v>147.95</v>
      </c>
      <c r="AA69" s="44">
        <f>IFERROR(SUMIF('7店辅助表'!AC:AC,B:B,'7店辅助表'!AF:AF),0)</f>
        <v>298.37</v>
      </c>
      <c r="AB69" s="91">
        <f>IFERROR(SUMIF('7店辅助表'!K:K,B:B,'7店辅助表'!N:N)/SUMIF('7店辅助表'!K:K,B:B,'7店辅助表'!O:O),"-")</f>
        <v>0.180233537980017</v>
      </c>
      <c r="AC69" s="91">
        <f>IFERROR(VLOOKUP(B:B,'[1]7店'!$B:$AB,27,FALSE),"-")</f>
        <v>0.256955177743431</v>
      </c>
      <c r="AD69" s="92">
        <f t="shared" si="49"/>
        <v>-0.076721639763414</v>
      </c>
      <c r="AE69" s="91">
        <f>IFERROR(SUMIF('7店辅助表'!T:T,B:B,'7店辅助表'!W:W)/SUMIF('7店辅助表'!T:T,B:B,'7店辅助表'!X:X),"-")</f>
        <v>0.200175889595454</v>
      </c>
      <c r="AF69" s="91">
        <f>IFERROR(SUMIF('7店辅助表'!AC:AC,B:B,'7店辅助表'!AF:AF)/SUMIF('7店辅助表'!AC:AC,B:B,'7店辅助表'!AG:AG),"-")</f>
        <v>0.19995442939572</v>
      </c>
      <c r="AG69" s="99">
        <f>IFERROR(AK69/((SUMIF('7店辅助表'!AT:AT,B:B,'7店辅助表'!AU:AU)+M69)/2),"-")</f>
        <v>0.108225108225108</v>
      </c>
      <c r="AH69" s="99">
        <f>IFERROR(AL69/((SUMIF('7店辅助表'!AW:AW,B:B,'7店辅助表'!AX:AX)+M69)/2),"-")</f>
        <v>0.248677248677249</v>
      </c>
      <c r="AI69" s="100">
        <f>IFERROR((SUMIF('7店辅助表'!AP:AP,B:B,'7店辅助表'!AR:AR)-SUMIF('7店辅助表'!AP:AP,B:B,'7店辅助表'!AR:AR)*0.15-(L69+IFERROR(VLOOKUP(B:B,'7店辅助表'!AZ:BA,2,0),0))*O69-IF(AN:AN="US",6.85,4.9)*(Z69+4.27*O69))/SUMIF('7店辅助表'!AP:AP,B:B,'7店辅助表'!AR:AR),"-")</f>
        <v>0.270383810809011</v>
      </c>
      <c r="AJ69" s="100">
        <f t="shared" si="50"/>
        <v>0.0672383021588547</v>
      </c>
      <c r="AK69" s="101">
        <f t="shared" si="51"/>
        <v>1390</v>
      </c>
      <c r="AL69" s="101">
        <f t="shared" si="52"/>
        <v>2613.2</v>
      </c>
      <c r="AM69" s="1" t="str">
        <f>VLOOKUP(B:B,'7店辅助表'!AZ:AZ,1,FALSE)</f>
        <v>Y7013-BL+Y7021+Y7017</v>
      </c>
      <c r="AN69" t="str">
        <f>VLOOKUP(B:B,'7店辅助表'!AZ:BB,3,FALSE)</f>
        <v>US</v>
      </c>
    </row>
    <row r="70" customHeight="1" spans="1:40">
      <c r="A70" s="58" t="str">
        <f>INDEX('[1]7店'!$A:$A,MATCH(B:B,'[1]7店'!$B:$B,0))</f>
        <v>美珠</v>
      </c>
      <c r="B70" s="108" t="s">
        <v>2330</v>
      </c>
      <c r="C70" s="43" t="s">
        <v>2331</v>
      </c>
      <c r="D70" s="59">
        <f>VLOOKUP(B:B,'[1]7店'!$B:$L,3,0)</f>
        <v>44809</v>
      </c>
      <c r="E70" s="43" t="s">
        <v>2332</v>
      </c>
      <c r="F70" s="43">
        <v>85</v>
      </c>
      <c r="G70" s="43">
        <v>0</v>
      </c>
      <c r="H70" s="43">
        <v>1</v>
      </c>
      <c r="I70" s="43">
        <v>1</v>
      </c>
      <c r="J70" s="43">
        <v>30</v>
      </c>
      <c r="K70" s="63">
        <f t="shared" si="53"/>
        <v>117</v>
      </c>
      <c r="L70" s="132">
        <f>VLOOKUP($B:$B,'[1]7店'!$B:$L,11,FALSE)</f>
        <v>13.9</v>
      </c>
      <c r="M70" s="44">
        <f t="shared" si="54"/>
        <v>1626.3</v>
      </c>
      <c r="N70" s="65">
        <f>IFERROR(VLOOKUP(B:B,'7店辅助表'!B:C,2,FALSE),0)</f>
        <v>19</v>
      </c>
      <c r="O70" s="65">
        <f>IFERROR(VLOOKUP(B:B,'7店辅助表'!E:F,2,FALSE),0)</f>
        <v>40</v>
      </c>
      <c r="P70" s="65">
        <f>IFERROR(VLOOKUP(B:B,'7店辅助表'!H:I,2,FALSE),0)</f>
        <v>72</v>
      </c>
      <c r="Q70" s="65">
        <f>IFERROR(VLOOKUP(B:B,'[1]7店'!$B:$N,13,FALSE),0)</f>
        <v>18</v>
      </c>
      <c r="R70" s="79">
        <f t="shared" si="43"/>
        <v>1</v>
      </c>
      <c r="S70" s="80">
        <f t="shared" si="44"/>
        <v>45.110159118727</v>
      </c>
      <c r="T70" s="44">
        <f t="shared" si="45"/>
        <v>1.50367197062423</v>
      </c>
      <c r="U70" s="44">
        <f>IFERROR(VLOOKUP($B:$B,'[1]7店'!$B:$T,19,FALSE),0)</f>
        <v>2.42361574382922</v>
      </c>
      <c r="V70" s="81">
        <f t="shared" si="46"/>
        <v>-0.91994377320499</v>
      </c>
      <c r="W70" s="82" t="str">
        <f t="shared" si="47"/>
        <v>正常</v>
      </c>
      <c r="X70" s="83" t="str">
        <f t="shared" si="48"/>
        <v>库存过高</v>
      </c>
      <c r="Y70" s="44">
        <f>IFERROR(SUMIF('7店辅助表'!K:K,B:B,'7店辅助表'!N:N),0)</f>
        <v>0</v>
      </c>
      <c r="Z70" s="44">
        <f>IFERROR(SUMIF('7店辅助表'!T:T,B:B,'7店辅助表'!W:W),0)</f>
        <v>0</v>
      </c>
      <c r="AA70" s="44">
        <f>IFERROR(SUMIF('7店辅助表'!AC:AC,B:B,'7店辅助表'!AF:AF),0)</f>
        <v>0</v>
      </c>
      <c r="AB70" s="91" t="str">
        <f>IFERROR(SUMIF('7店辅助表'!K:K,B:B,'7店辅助表'!N:N)/SUMIF('7店辅助表'!K:K,B:B,'7店辅助表'!O:O),"-")</f>
        <v>-</v>
      </c>
      <c r="AC70" s="91" t="str">
        <f>IFERROR(VLOOKUP(B:B,'[1]7店'!$B:$AB,27,FALSE),"-")</f>
        <v>-</v>
      </c>
      <c r="AD70" s="92" t="str">
        <f t="shared" si="49"/>
        <v>-</v>
      </c>
      <c r="AE70" s="91" t="str">
        <f>IFERROR(SUMIF('7店辅助表'!T:T,B:B,'7店辅助表'!W:W)/SUMIF('7店辅助表'!T:T,B:B,'7店辅助表'!X:X),"-")</f>
        <v>-</v>
      </c>
      <c r="AF70" s="91" t="str">
        <f>IFERROR(SUMIF('7店辅助表'!AC:AC,B:B,'7店辅助表'!AF:AF)/SUMIF('7店辅助表'!AC:AC,B:B,'7店辅助表'!AG:AG),"-")</f>
        <v>-</v>
      </c>
      <c r="AG70" s="99">
        <f>IFERROR(AK70/((SUMIF('7店辅助表'!AT:AT,B:B,'7店辅助表'!AU:AU)+M70)/2),"-")</f>
        <v>0.131034482758621</v>
      </c>
      <c r="AH70" s="99">
        <f>IFERROR(AL70/((SUMIF('7店辅助表'!AW:AW,B:B,'7店辅助表'!AX:AX)+M70)/2),"-")</f>
        <v>0.293040293040293</v>
      </c>
      <c r="AI70" s="100">
        <f>IFERROR((SUMIF('7店辅助表'!AP:AP,B:B,'7店辅助表'!AR:AR)-SUMIF('7店辅助表'!AP:AP,B:B,'7店辅助表'!AR:AR)*0.15-(L70+IFERROR(VLOOKUP(B:B,'7店辅助表'!AZ:BA,2,0),0))*O70-IF(AN:AN="US",6.85,4.9)*(Z70+4.27*O70))/SUMIF('7店辅助表'!AP:AP,B:B,'7店辅助表'!AR:AR),"-")</f>
        <v>0.34419142592783</v>
      </c>
      <c r="AJ70" s="100">
        <f t="shared" si="50"/>
        <v>0.100861956315848</v>
      </c>
      <c r="AK70" s="101">
        <f t="shared" si="51"/>
        <v>264.1</v>
      </c>
      <c r="AL70" s="101">
        <f t="shared" si="52"/>
        <v>556</v>
      </c>
      <c r="AM70" s="1" t="str">
        <f>VLOOKUP(B:B,'7店辅助表'!AZ:AZ,1,FALSE)</f>
        <v>Y7013-BU+Y7021+Y7017</v>
      </c>
      <c r="AN70" t="str">
        <f>VLOOKUP(B:B,'7店辅助表'!AZ:BB,3,FALSE)</f>
        <v>US</v>
      </c>
    </row>
    <row r="71" customHeight="1" spans="1:40">
      <c r="A71" s="58" t="str">
        <f>INDEX('[1]7店'!$A:$A,MATCH(B:B,'[1]7店'!$B:$B,0))</f>
        <v>美珠</v>
      </c>
      <c r="B71" s="108" t="s">
        <v>2333</v>
      </c>
      <c r="C71" s="43" t="s">
        <v>2334</v>
      </c>
      <c r="D71" s="59">
        <f>VLOOKUP(B:B,'[1]7店'!$B:$L,3,0)</f>
        <v>44809</v>
      </c>
      <c r="E71" s="43" t="s">
        <v>2335</v>
      </c>
      <c r="F71" s="43">
        <v>39</v>
      </c>
      <c r="G71" s="43">
        <v>0</v>
      </c>
      <c r="H71" s="43">
        <v>4</v>
      </c>
      <c r="I71" s="43">
        <v>2</v>
      </c>
      <c r="J71" s="43">
        <v>1</v>
      </c>
      <c r="K71" s="63">
        <f t="shared" si="53"/>
        <v>46</v>
      </c>
      <c r="L71" s="132">
        <f>VLOOKUP($B:$B,'[1]7店'!$B:$L,11,FALSE)</f>
        <v>13.9</v>
      </c>
      <c r="M71" s="44">
        <f t="shared" si="54"/>
        <v>639.4</v>
      </c>
      <c r="N71" s="65">
        <f>IFERROR(VLOOKUP(B:B,'7店辅助表'!B:C,2,FALSE),0)</f>
        <v>13</v>
      </c>
      <c r="O71" s="65">
        <f>IFERROR(VLOOKUP(B:B,'7店辅助表'!E:F,2,FALSE),0)</f>
        <v>21</v>
      </c>
      <c r="P71" s="65">
        <f>IFERROR(VLOOKUP(B:B,'7店辅助表'!H:I,2,FALSE),0)</f>
        <v>41</v>
      </c>
      <c r="Q71" s="65">
        <f>IFERROR(VLOOKUP(B:B,'[1]7店'!$B:$N,13,FALSE),0)</f>
        <v>8</v>
      </c>
      <c r="R71" s="79">
        <f t="shared" si="43"/>
        <v>5</v>
      </c>
      <c r="S71" s="80">
        <f t="shared" si="44"/>
        <v>29.8455200823893</v>
      </c>
      <c r="T71" s="44">
        <f t="shared" si="45"/>
        <v>0.994850669412976</v>
      </c>
      <c r="U71" s="44">
        <f>IFERROR(VLOOKUP($B:$B,'[1]7店'!$B:$T,19,FALSE),0)</f>
        <v>1.61095890410959</v>
      </c>
      <c r="V71" s="81">
        <f t="shared" si="46"/>
        <v>-0.616108234696614</v>
      </c>
      <c r="W71" s="82" t="str">
        <f t="shared" si="47"/>
        <v>正常</v>
      </c>
      <c r="X71" s="83" t="str">
        <f t="shared" si="48"/>
        <v>正常</v>
      </c>
      <c r="Y71" s="44">
        <f>IFERROR(SUMIF('7店辅助表'!K:K,B:B,'7店辅助表'!N:N),0)</f>
        <v>0</v>
      </c>
      <c r="Z71" s="44">
        <f>IFERROR(SUMIF('7店辅助表'!T:T,B:B,'7店辅助表'!W:W),0)</f>
        <v>0</v>
      </c>
      <c r="AA71" s="44">
        <f>IFERROR(SUMIF('7店辅助表'!AC:AC,B:B,'7店辅助表'!AF:AF),0)</f>
        <v>0</v>
      </c>
      <c r="AB71" s="91" t="str">
        <f>IFERROR(SUMIF('7店辅助表'!K:K,B:B,'7店辅助表'!N:N)/SUMIF('7店辅助表'!K:K,B:B,'7店辅助表'!O:O),"-")</f>
        <v>-</v>
      </c>
      <c r="AC71" s="91" t="str">
        <f>IFERROR(VLOOKUP(B:B,'[1]7店'!$B:$AB,27,FALSE),"-")</f>
        <v>-</v>
      </c>
      <c r="AD71" s="92" t="str">
        <f t="shared" si="49"/>
        <v>-</v>
      </c>
      <c r="AE71" s="91" t="str">
        <f>IFERROR(SUMIF('7店辅助表'!T:T,B:B,'7店辅助表'!W:W)/SUMIF('7店辅助表'!T:T,B:B,'7店辅助表'!X:X),"-")</f>
        <v>-</v>
      </c>
      <c r="AF71" s="91" t="str">
        <f>IFERROR(SUMIF('7店辅助表'!AC:AC,B:B,'7店辅助表'!AF:AF)/SUMIF('7店辅助表'!AC:AC,B:B,'7店辅助表'!AG:AG),"-")</f>
        <v>-</v>
      </c>
      <c r="AG71" s="99">
        <f>IFERROR(AK71/((SUMIF('7店辅助表'!AT:AT,B:B,'7店辅助表'!AU:AU)+M71)/2),"-")</f>
        <v>0.254901960784314</v>
      </c>
      <c r="AH71" s="99">
        <f>IFERROR(AL71/((SUMIF('7店辅助表'!AW:AW,B:B,'7店辅助表'!AX:AX)+M71)/2),"-")</f>
        <v>0.42</v>
      </c>
      <c r="AI71" s="100">
        <f>IFERROR((SUMIF('7店辅助表'!AP:AP,B:B,'7店辅助表'!AR:AR)-SUMIF('7店辅助表'!AP:AP,B:B,'7店辅助表'!AR:AR)*0.15-(L71+IFERROR(VLOOKUP(B:B,'7店辅助表'!AZ:BA,2,0),0))*O71-IF(AN:AN="US",6.85,4.9)*(Z71+4.27*O71))/SUMIF('7店辅助表'!AP:AP,B:B,'7店辅助表'!AR:AR),"-")</f>
        <v>0.325173074294919</v>
      </c>
      <c r="AJ71" s="100">
        <f t="shared" si="50"/>
        <v>0.136572691203866</v>
      </c>
      <c r="AK71" s="101">
        <f t="shared" si="51"/>
        <v>180.7</v>
      </c>
      <c r="AL71" s="101">
        <f t="shared" si="52"/>
        <v>291.9</v>
      </c>
      <c r="AM71" s="1" t="str">
        <f>VLOOKUP(B:B,'7店辅助表'!AZ:AZ,1,FALSE)</f>
        <v>Y7013-DB+Y7021+Y7017</v>
      </c>
      <c r="AN71" t="str">
        <f>VLOOKUP(B:B,'7店辅助表'!AZ:BB,3,FALSE)</f>
        <v>US</v>
      </c>
    </row>
    <row r="72" customHeight="1" spans="1:40">
      <c r="A72" s="58" t="str">
        <f>INDEX('[1]7店'!$A:$A,MATCH(B:B,'[1]7店'!$B:$B,0))</f>
        <v>美珠</v>
      </c>
      <c r="B72" s="108" t="s">
        <v>2336</v>
      </c>
      <c r="C72" s="43" t="s">
        <v>2337</v>
      </c>
      <c r="D72" s="59">
        <f>VLOOKUP(B:B,'[1]7店'!$B:$L,3,0)</f>
        <v>44809</v>
      </c>
      <c r="E72" s="43" t="s">
        <v>2338</v>
      </c>
      <c r="F72" s="43">
        <v>29</v>
      </c>
      <c r="G72" s="43">
        <v>0</v>
      </c>
      <c r="H72" s="43">
        <v>10</v>
      </c>
      <c r="I72" s="43">
        <v>1</v>
      </c>
      <c r="J72" s="43">
        <v>0</v>
      </c>
      <c r="K72" s="63">
        <f t="shared" si="53"/>
        <v>40</v>
      </c>
      <c r="L72" s="132">
        <f>VLOOKUP($B:$B,'[1]7店'!$B:$L,11,FALSE)</f>
        <v>13.9</v>
      </c>
      <c r="M72" s="44">
        <f t="shared" si="54"/>
        <v>556</v>
      </c>
      <c r="N72" s="65">
        <f>IFERROR(VLOOKUP(B:B,'7店辅助表'!B:C,2,FALSE),0)</f>
        <v>4</v>
      </c>
      <c r="O72" s="65">
        <f>IFERROR(VLOOKUP(B:B,'7店辅助表'!E:F,2,FALSE),0)</f>
        <v>11</v>
      </c>
      <c r="P72" s="65">
        <f>IFERROR(VLOOKUP(B:B,'7店辅助表'!H:I,2,FALSE),0)</f>
        <v>23</v>
      </c>
      <c r="Q72" s="65">
        <f>IFERROR(VLOOKUP(B:B,'[1]7店'!$B:$N,13,FALSE),0)</f>
        <v>7</v>
      </c>
      <c r="R72" s="79">
        <f t="shared" si="43"/>
        <v>-3</v>
      </c>
      <c r="S72" s="80">
        <f t="shared" si="44"/>
        <v>57.9310344827586</v>
      </c>
      <c r="T72" s="44">
        <f t="shared" si="45"/>
        <v>1.93103448275862</v>
      </c>
      <c r="U72" s="44">
        <f>IFERROR(VLOOKUP($B:$B,'[1]7店'!$B:$T,19,FALSE),0)</f>
        <v>1.53658536585366</v>
      </c>
      <c r="V72" s="81">
        <f t="shared" si="46"/>
        <v>0.39444911690496</v>
      </c>
      <c r="W72" s="82" t="str">
        <f t="shared" si="47"/>
        <v>库存过高</v>
      </c>
      <c r="X72" s="83" t="str">
        <f t="shared" si="48"/>
        <v>库存过高</v>
      </c>
      <c r="Y72" s="44">
        <f>IFERROR(SUMIF('7店辅助表'!K:K,B:B,'7店辅助表'!N:N),0)</f>
        <v>0</v>
      </c>
      <c r="Z72" s="44">
        <f>IFERROR(SUMIF('7店辅助表'!T:T,B:B,'7店辅助表'!W:W),0)</f>
        <v>0</v>
      </c>
      <c r="AA72" s="44">
        <f>IFERROR(SUMIF('7店辅助表'!AC:AC,B:B,'7店辅助表'!AF:AF),0)</f>
        <v>0</v>
      </c>
      <c r="AB72" s="91" t="str">
        <f>IFERROR(SUMIF('7店辅助表'!K:K,B:B,'7店辅助表'!N:N)/SUMIF('7店辅助表'!K:K,B:B,'7店辅助表'!O:O),"-")</f>
        <v>-</v>
      </c>
      <c r="AC72" s="91" t="str">
        <f>IFERROR(VLOOKUP(B:B,'[1]7店'!$B:$AB,27,FALSE),"-")</f>
        <v>-</v>
      </c>
      <c r="AD72" s="92" t="str">
        <f t="shared" si="49"/>
        <v>-</v>
      </c>
      <c r="AE72" s="91" t="str">
        <f>IFERROR(SUMIF('7店辅助表'!T:T,B:B,'7店辅助表'!W:W)/SUMIF('7店辅助表'!T:T,B:B,'7店辅助表'!X:X),"-")</f>
        <v>-</v>
      </c>
      <c r="AF72" s="91" t="str">
        <f>IFERROR(SUMIF('7店辅助表'!AC:AC,B:B,'7店辅助表'!AF:AF)/SUMIF('7店辅助表'!AC:AC,B:B,'7店辅助表'!AG:AG),"-")</f>
        <v>-</v>
      </c>
      <c r="AG72" s="99">
        <f>IFERROR(AK72/((SUMIF('7店辅助表'!AT:AT,B:B,'7店辅助表'!AU:AU)+M72)/2),"-")</f>
        <v>0.0975609756097561</v>
      </c>
      <c r="AH72" s="99">
        <f>IFERROR(AL72/((SUMIF('7店辅助表'!AW:AW,B:B,'7店辅助表'!AX:AX)+M72)/2),"-")</f>
        <v>0.314285714285714</v>
      </c>
      <c r="AI72" s="100">
        <f>IFERROR((SUMIF('7店辅助表'!AP:AP,B:B,'7店辅助表'!AR:AR)-SUMIF('7店辅助表'!AP:AP,B:B,'7店辅助表'!AR:AR)*0.15-(L72+IFERROR(VLOOKUP(B:B,'7店辅助表'!AZ:BA,2,0),0))*O72-IF(AN:AN="US",6.85,4.9)*(Z72+4.27*O72))/SUMIF('7店辅助表'!AP:AP,B:B,'7店辅助表'!AR:AR),"-")</f>
        <v>0.320167816741377</v>
      </c>
      <c r="AJ72" s="100">
        <f t="shared" si="50"/>
        <v>0.100624170975861</v>
      </c>
      <c r="AK72" s="101">
        <f t="shared" si="51"/>
        <v>55.6</v>
      </c>
      <c r="AL72" s="101">
        <f t="shared" si="52"/>
        <v>152.9</v>
      </c>
      <c r="AM72" s="1" t="str">
        <f>VLOOKUP(B:B,'7店辅助表'!AZ:AZ,1,FALSE)</f>
        <v>Y7013-GE+Y7021+Y7017</v>
      </c>
      <c r="AN72" t="str">
        <f>VLOOKUP(B:B,'7店辅助表'!AZ:BB,3,FALSE)</f>
        <v>US</v>
      </c>
    </row>
    <row r="73" customHeight="1" spans="1:40">
      <c r="A73" s="58" t="str">
        <f>INDEX('[1]7店'!$A:$A,MATCH(B:B,'[1]7店'!$B:$B,0))</f>
        <v>美珠</v>
      </c>
      <c r="B73" s="108" t="s">
        <v>2339</v>
      </c>
      <c r="C73" s="43" t="s">
        <v>2340</v>
      </c>
      <c r="D73" s="59">
        <f>VLOOKUP(B:B,'[1]7店'!$B:$L,3,0)</f>
        <v>44809</v>
      </c>
      <c r="E73" s="43" t="s">
        <v>2341</v>
      </c>
      <c r="F73" s="43">
        <v>113</v>
      </c>
      <c r="G73" s="43">
        <v>1</v>
      </c>
      <c r="H73" s="43">
        <v>0</v>
      </c>
      <c r="I73" s="43">
        <v>1</v>
      </c>
      <c r="J73" s="43">
        <v>0</v>
      </c>
      <c r="K73" s="63">
        <f t="shared" si="53"/>
        <v>115</v>
      </c>
      <c r="L73" s="132">
        <f>VLOOKUP($B:$B,'[1]7店'!$B:$L,11,FALSE)</f>
        <v>13.9</v>
      </c>
      <c r="M73" s="44">
        <f t="shared" si="54"/>
        <v>1598.5</v>
      </c>
      <c r="N73" s="65">
        <f>IFERROR(VLOOKUP(B:B,'7店辅助表'!B:C,2,FALSE),0)</f>
        <v>11</v>
      </c>
      <c r="O73" s="65">
        <f>IFERROR(VLOOKUP(B:B,'7店辅助表'!E:F,2,FALSE),0)</f>
        <v>33</v>
      </c>
      <c r="P73" s="65">
        <f>IFERROR(VLOOKUP(B:B,'7店辅助表'!H:I,2,FALSE),0)</f>
        <v>67</v>
      </c>
      <c r="Q73" s="65">
        <f>IFERROR(VLOOKUP(B:B,'[1]7店'!$B:$N,13,FALSE),0)</f>
        <v>21</v>
      </c>
      <c r="R73" s="79">
        <f t="shared" si="43"/>
        <v>-10</v>
      </c>
      <c r="S73" s="80">
        <f t="shared" si="44"/>
        <v>57.4544012688343</v>
      </c>
      <c r="T73" s="44">
        <f t="shared" si="45"/>
        <v>1.91514670896114</v>
      </c>
      <c r="U73" s="44">
        <f>IFERROR(VLOOKUP($B:$B,'[1]7店'!$B:$T,19,FALSE),0)</f>
        <v>1.54393305439331</v>
      </c>
      <c r="V73" s="81">
        <f t="shared" si="46"/>
        <v>0.37121365456783</v>
      </c>
      <c r="W73" s="82" t="str">
        <f t="shared" si="47"/>
        <v>库存过高</v>
      </c>
      <c r="X73" s="83" t="str">
        <f t="shared" si="48"/>
        <v>库存过高</v>
      </c>
      <c r="Y73" s="44">
        <f>IFERROR(SUMIF('7店辅助表'!K:K,B:B,'7店辅助表'!N:N),0)</f>
        <v>1.84</v>
      </c>
      <c r="Z73" s="44">
        <f>IFERROR(SUMIF('7店辅助表'!T:T,B:B,'7店辅助表'!W:W),0)</f>
        <v>40.82</v>
      </c>
      <c r="AA73" s="44">
        <f>IFERROR(SUMIF('7店辅助表'!AC:AC,B:B,'7店辅助表'!AF:AF),0)</f>
        <v>114.93</v>
      </c>
      <c r="AB73" s="91" t="str">
        <f>IFERROR(SUMIF('7店辅助表'!K:K,B:B,'7店辅助表'!N:N)/SUMIF('7店辅助表'!K:K,B:B,'7店辅助表'!O:O),"-")</f>
        <v>-</v>
      </c>
      <c r="AC73" s="91">
        <f>IFERROR(VLOOKUP(B:B,'[1]7店'!$B:$AB,27,FALSE),"-")</f>
        <v>0.217937276899541</v>
      </c>
      <c r="AD73" s="92" t="str">
        <f t="shared" si="49"/>
        <v>-</v>
      </c>
      <c r="AE73" s="91">
        <f>IFERROR(SUMIF('7店辅助表'!T:T,B:B,'7店辅助表'!W:W)/SUMIF('7店辅助表'!T:T,B:B,'7店辅助表'!X:X),"-")</f>
        <v>0.208424814909369</v>
      </c>
      <c r="AF73" s="91">
        <f>IFERROR(SUMIF('7店辅助表'!AC:AC,B:B,'7店辅助表'!AF:AF)/SUMIF('7店辅助表'!AC:AC,B:B,'7店辅助表'!AG:AG),"-")</f>
        <v>0.200730054492106</v>
      </c>
      <c r="AG73" s="99">
        <f>IFERROR(AK73/((SUMIF('7店辅助表'!AT:AT,B:B,'7店辅助表'!AU:AU)+M73)/2),"-")</f>
        <v>0.092436974789916</v>
      </c>
      <c r="AH73" s="99">
        <f>IFERROR(AL73/((SUMIF('7店辅助表'!AW:AW,B:B,'7店辅助表'!AX:AX)+M73)/2),"-")</f>
        <v>0.222222222222222</v>
      </c>
      <c r="AI73" s="100">
        <f>IFERROR((SUMIF('7店辅助表'!AP:AP,B:B,'7店辅助表'!AR:AR)-SUMIF('7店辅助表'!AP:AP,B:B,'7店辅助表'!AR:AR)*0.15-(L73+IFERROR(VLOOKUP(B:B,'7店辅助表'!AZ:BA,2,0),0))*O73-IF(AN:AN="US",6.85,4.9)*(Z73+4.27*O73))/SUMIF('7店辅助表'!AP:AP,B:B,'7店辅助表'!AR:AR),"-")</f>
        <v>0.236798332909456</v>
      </c>
      <c r="AJ73" s="100">
        <f t="shared" si="50"/>
        <v>0.0526218517576569</v>
      </c>
      <c r="AK73" s="101">
        <f t="shared" si="51"/>
        <v>152.9</v>
      </c>
      <c r="AL73" s="101">
        <f t="shared" si="52"/>
        <v>458.7</v>
      </c>
      <c r="AM73" s="1" t="str">
        <f>VLOOKUP(B:B,'7店辅助表'!AZ:AZ,1,FALSE)</f>
        <v>Y7013-OR+Y7021+Y7017</v>
      </c>
      <c r="AN73" t="str">
        <f>VLOOKUP(B:B,'7店辅助表'!AZ:BB,3,FALSE)</f>
        <v>US</v>
      </c>
    </row>
    <row r="74" customHeight="1" spans="1:40">
      <c r="A74" s="58" t="str">
        <f>INDEX('[1]7店'!$A:$A,MATCH(B:B,'[1]7店'!$B:$B,0))</f>
        <v>美珠</v>
      </c>
      <c r="B74" s="108" t="s">
        <v>2342</v>
      </c>
      <c r="C74" s="43" t="s">
        <v>2343</v>
      </c>
      <c r="D74" s="59"/>
      <c r="E74" s="43" t="s">
        <v>2344</v>
      </c>
      <c r="F74" s="43">
        <v>98</v>
      </c>
      <c r="G74" s="43">
        <v>1</v>
      </c>
      <c r="H74" s="43">
        <v>0</v>
      </c>
      <c r="I74" s="43">
        <v>2</v>
      </c>
      <c r="J74" s="43">
        <v>0</v>
      </c>
      <c r="K74" s="63">
        <f t="shared" si="53"/>
        <v>101</v>
      </c>
      <c r="L74" s="132">
        <f>VLOOKUP($B:$B,'[1]7店'!$B:$L,11,FALSE)</f>
        <v>13.9</v>
      </c>
      <c r="M74" s="44">
        <f t="shared" si="54"/>
        <v>1403.9</v>
      </c>
      <c r="N74" s="65">
        <f>IFERROR(VLOOKUP(B:B,'7店辅助表'!B:C,2,FALSE),0)</f>
        <v>10</v>
      </c>
      <c r="O74" s="65">
        <f>IFERROR(VLOOKUP(B:B,'7店辅助表'!E:F,2,FALSE),0)</f>
        <v>19</v>
      </c>
      <c r="P74" s="65">
        <f>IFERROR(VLOOKUP(B:B,'7店辅助表'!H:I,2,FALSE),0)</f>
        <v>35</v>
      </c>
      <c r="Q74" s="65">
        <f>IFERROR(VLOOKUP(B:B,'[1]7店'!$B:$N,13,FALSE),0)</f>
        <v>9</v>
      </c>
      <c r="R74" s="79">
        <f t="shared" si="43"/>
        <v>1</v>
      </c>
      <c r="S74" s="80">
        <f t="shared" si="44"/>
        <v>78.4586929716399</v>
      </c>
      <c r="T74" s="44">
        <f t="shared" si="45"/>
        <v>2.61528976572133</v>
      </c>
      <c r="U74" s="44">
        <f>IFERROR(VLOOKUP($B:$B,'[1]7店'!$B:$T,19,FALSE),0)</f>
        <v>2.85152284263959</v>
      </c>
      <c r="V74" s="81">
        <f t="shared" si="46"/>
        <v>-0.23623307691826</v>
      </c>
      <c r="W74" s="82" t="str">
        <f t="shared" si="47"/>
        <v>库存过高</v>
      </c>
      <c r="X74" s="83" t="str">
        <f t="shared" si="48"/>
        <v>库存过高</v>
      </c>
      <c r="Y74" s="44">
        <f>IFERROR(SUMIF('7店辅助表'!K:K,B:B,'7店辅助表'!N:N),0)</f>
        <v>46.2</v>
      </c>
      <c r="Z74" s="44">
        <f>IFERROR(SUMIF('7店辅助表'!T:T,B:B,'7店辅助表'!W:W),0)</f>
        <v>91.98</v>
      </c>
      <c r="AA74" s="44">
        <f>IFERROR(SUMIF('7店辅助表'!AC:AC,B:B,'7店辅助表'!AF:AF),0)</f>
        <v>159.36</v>
      </c>
      <c r="AB74" s="91">
        <f>IFERROR(SUMIF('7店辅助表'!K:K,B:B,'7店辅助表'!N:N)/SUMIF('7店辅助表'!K:K,B:B,'7店辅助表'!O:O),"-")</f>
        <v>0.20952380952381</v>
      </c>
      <c r="AC74" s="91">
        <f>IFERROR(VLOOKUP(B:B,'[1]7店'!$B:$AB,27,FALSE),"-")</f>
        <v>0.470838605774761</v>
      </c>
      <c r="AD74" s="92">
        <f t="shared" si="49"/>
        <v>-0.261314796250951</v>
      </c>
      <c r="AE74" s="91">
        <f>IFERROR(SUMIF('7店辅助表'!T:T,B:B,'7店辅助表'!W:W)/SUMIF('7店辅助表'!T:T,B:B,'7店辅助表'!X:X),"-")</f>
        <v>0.287060732788215</v>
      </c>
      <c r="AF74" s="91">
        <f>IFERROR(SUMIF('7店辅助表'!AC:AC,B:B,'7店辅助表'!AF:AF)/SUMIF('7店辅助表'!AC:AC,B:B,'7店辅助表'!AG:AG),"-")</f>
        <v>0.294429561200924</v>
      </c>
      <c r="AG74" s="99">
        <f>IFERROR(AK74/((SUMIF('7店辅助表'!AT:AT,B:B,'7店辅助表'!AU:AU)+M74)/2),"-")</f>
        <v>0.0961538461538462</v>
      </c>
      <c r="AH74" s="99">
        <f>IFERROR(AL74/((SUMIF('7店辅助表'!AW:AW,B:B,'7店辅助表'!AX:AX)+M74)/2),"-")</f>
        <v>0.265734265734266</v>
      </c>
      <c r="AI74" s="100">
        <f>IFERROR((SUMIF('7店辅助表'!AP:AP,B:B,'7店辅助表'!AR:AR)-SUMIF('7店辅助表'!AP:AP,B:B,'7店辅助表'!AR:AR)*0.15-(L74+IFERROR(VLOOKUP(B:B,'7店辅助表'!AZ:BA,2,0),0))*O74-IF(AN:AN="US",6.85,4.9)*(Z74+4.27*O74))/SUMIF('7店辅助表'!AP:AP,B:B,'7店辅助表'!AR:AR),"-")</f>
        <v>-0.0476445164711276</v>
      </c>
      <c r="AJ74" s="100">
        <f t="shared" si="50"/>
        <v>-0.0126607806007192</v>
      </c>
      <c r="AK74" s="101">
        <f t="shared" si="51"/>
        <v>139</v>
      </c>
      <c r="AL74" s="101">
        <f t="shared" si="52"/>
        <v>264.1</v>
      </c>
      <c r="AM74" s="1" t="str">
        <f>VLOOKUP(B:B,'7店辅助表'!AZ:AZ,1,FALSE)</f>
        <v>Y72612-OR+Y72615+Y72636</v>
      </c>
      <c r="AN74" t="str">
        <f>VLOOKUP(B:B,'7店辅助表'!AZ:BB,3,FALSE)</f>
        <v>US</v>
      </c>
    </row>
    <row r="75" customHeight="1" spans="1:40">
      <c r="A75" s="58" t="str">
        <f>INDEX('[1]7店'!$A:$A,MATCH(B:B,'[1]7店'!$B:$B,0))</f>
        <v>美珠</v>
      </c>
      <c r="B75" s="108" t="s">
        <v>2345</v>
      </c>
      <c r="C75" s="43" t="s">
        <v>2346</v>
      </c>
      <c r="D75" s="59"/>
      <c r="E75" s="43" t="s">
        <v>2347</v>
      </c>
      <c r="F75" s="43">
        <v>24</v>
      </c>
      <c r="G75" s="43">
        <v>0</v>
      </c>
      <c r="H75" s="43">
        <v>0</v>
      </c>
      <c r="I75" s="43">
        <v>0</v>
      </c>
      <c r="J75" s="43">
        <v>0</v>
      </c>
      <c r="K75" s="63">
        <f t="shared" si="53"/>
        <v>24</v>
      </c>
      <c r="L75" s="132">
        <f>VLOOKUP($B:$B,'[1]7店'!$B:$L,11,FALSE)</f>
        <v>13.9</v>
      </c>
      <c r="M75" s="44">
        <f t="shared" si="54"/>
        <v>333.6</v>
      </c>
      <c r="N75" s="65">
        <f>IFERROR(VLOOKUP(B:B,'7店辅助表'!B:C,2,FALSE),0)</f>
        <v>0</v>
      </c>
      <c r="O75" s="65">
        <f>IFERROR(VLOOKUP(B:B,'7店辅助表'!E:F,2,FALSE),0)</f>
        <v>1</v>
      </c>
      <c r="P75" s="65">
        <f>IFERROR(VLOOKUP(B:B,'7店辅助表'!H:I,2,FALSE),0)</f>
        <v>3</v>
      </c>
      <c r="Q75" s="65">
        <f>IFERROR(VLOOKUP(B:B,'[1]7店'!$B:$N,13,FALSE),0)</f>
        <v>1</v>
      </c>
      <c r="R75" s="79">
        <f t="shared" si="43"/>
        <v>-1</v>
      </c>
      <c r="S75" s="80">
        <f t="shared" si="44"/>
        <v>432</v>
      </c>
      <c r="T75" s="44">
        <f t="shared" si="45"/>
        <v>14.4</v>
      </c>
      <c r="U75" s="44">
        <f>IFERROR(VLOOKUP($B:$B,'[1]7店'!$B:$T,19,FALSE),0)</f>
        <v>5.04</v>
      </c>
      <c r="V75" s="81">
        <f t="shared" si="46"/>
        <v>9.36</v>
      </c>
      <c r="W75" s="82" t="str">
        <f t="shared" si="47"/>
        <v>有库存无销量</v>
      </c>
      <c r="X75" s="83" t="str">
        <f t="shared" si="48"/>
        <v>库存过高</v>
      </c>
      <c r="Y75" s="44">
        <f>IFERROR(SUMIF('7店辅助表'!K:K,B:B,'7店辅助表'!N:N),0)</f>
        <v>4.21</v>
      </c>
      <c r="Z75" s="44">
        <f>IFERROR(SUMIF('7店辅助表'!T:T,B:B,'7店辅助表'!W:W),0)</f>
        <v>7.24</v>
      </c>
      <c r="AA75" s="44">
        <f>IFERROR(SUMIF('7店辅助表'!AC:AC,B:B,'7店辅助表'!AF:AF),0)</f>
        <v>18.54</v>
      </c>
      <c r="AB75" s="91" t="str">
        <f>IFERROR(SUMIF('7店辅助表'!K:K,B:B,'7店辅助表'!N:N)/SUMIF('7店辅助表'!K:K,B:B,'7店辅助表'!O:O),"-")</f>
        <v>-</v>
      </c>
      <c r="AC75" s="91" t="str">
        <f>IFERROR(VLOOKUP(B:B,'[1]7店'!$B:$AB,27,FALSE),"-")</f>
        <v>-</v>
      </c>
      <c r="AD75" s="92" t="str">
        <f t="shared" si="49"/>
        <v>-</v>
      </c>
      <c r="AE75" s="91" t="str">
        <f>IFERROR(SUMIF('7店辅助表'!T:T,B:B,'7店辅助表'!W:W)/SUMIF('7店辅助表'!T:T,B:B,'7店辅助表'!X:X),"-")</f>
        <v>-</v>
      </c>
      <c r="AF75" s="91">
        <f>IFERROR(SUMIF('7店辅助表'!AC:AC,B:B,'7店辅助表'!AF:AF)/SUMIF('7店辅助表'!AC:AC,B:B,'7店辅助表'!AG:AG),"-")</f>
        <v>0.713625866050808</v>
      </c>
      <c r="AG75" s="99">
        <f>IFERROR(AK75/((SUMIF('7店辅助表'!AT:AT,B:B,'7店辅助表'!AU:AU)+M75)/2),"-")</f>
        <v>0</v>
      </c>
      <c r="AH75" s="99">
        <f>IFERROR(AL75/((SUMIF('7店辅助表'!AW:AW,B:B,'7店辅助表'!AX:AX)+M75)/2),"-")</f>
        <v>0.0384615384615385</v>
      </c>
      <c r="AI75" s="100">
        <f>IFERROR((SUMIF('7店辅助表'!AP:AP,B:B,'7店辅助表'!AR:AR)-SUMIF('7店辅助表'!AP:AP,B:B,'7店辅助表'!AR:AR)*0.15-(L75+IFERROR(VLOOKUP(B:B,'7店辅助表'!AZ:BA,2,0),0))*O75-IF(AN:AN="US",6.85,4.9)*(Z75+4.27*O75))/SUMIF('7店辅助表'!AP:AP,B:B,'7店辅助表'!AR:AR),"-")</f>
        <v>-0.256516523097498</v>
      </c>
      <c r="AJ75" s="100">
        <f t="shared" si="50"/>
        <v>-0.00986602011913453</v>
      </c>
      <c r="AK75" s="101">
        <f t="shared" si="51"/>
        <v>0</v>
      </c>
      <c r="AL75" s="101">
        <f t="shared" si="52"/>
        <v>13.9</v>
      </c>
      <c r="AM75" s="1" t="str">
        <f>VLOOKUP(B:B,'7店辅助表'!AZ:AZ,1,FALSE)</f>
        <v>Y72610-OR+Y72613+Y12803</v>
      </c>
      <c r="AN75" t="str">
        <f>VLOOKUP(B:B,'7店辅助表'!AZ:BB,3,FALSE)</f>
        <v>US</v>
      </c>
    </row>
    <row r="76" customHeight="1" spans="1:40">
      <c r="A76" s="58" t="str">
        <f>INDEX('[1]7店'!$A:$A,MATCH(B:B,'[1]7店'!$B:$B,0))</f>
        <v>美珠</v>
      </c>
      <c r="B76" s="108" t="s">
        <v>2348</v>
      </c>
      <c r="C76" s="43" t="s">
        <v>2343</v>
      </c>
      <c r="D76" s="59"/>
      <c r="E76" s="43" t="s">
        <v>2344</v>
      </c>
      <c r="F76" s="43">
        <v>98</v>
      </c>
      <c r="G76" s="43">
        <v>1</v>
      </c>
      <c r="H76" s="43">
        <v>0</v>
      </c>
      <c r="I76" s="43">
        <v>0</v>
      </c>
      <c r="J76" s="43">
        <v>0</v>
      </c>
      <c r="K76" s="63">
        <f t="shared" ref="K76:K90" si="55">F76+G76+H76+I76+J76</f>
        <v>99</v>
      </c>
      <c r="L76" s="132">
        <f>VLOOKUP($B:$B,'[1]7店'!$B:$L,11,FALSE)</f>
        <v>13.9</v>
      </c>
      <c r="M76" s="44">
        <f t="shared" si="54"/>
        <v>1376.1</v>
      </c>
      <c r="N76" s="65">
        <f>IFERROR(VLOOKUP(B:B,'7店辅助表'!B:C,2,FALSE),0)</f>
        <v>0</v>
      </c>
      <c r="O76" s="65">
        <f>IFERROR(VLOOKUP(B:B,'7店辅助表'!E:F,2,FALSE),0)</f>
        <v>0</v>
      </c>
      <c r="P76" s="65">
        <f>IFERROR(VLOOKUP(B:B,'7店辅助表'!H:I,2,FALSE),0)</f>
        <v>0</v>
      </c>
      <c r="Q76" s="65">
        <f>IFERROR(VLOOKUP(B:B,'[1]7店'!$B:$N,13,FALSE),0)</f>
        <v>0</v>
      </c>
      <c r="R76" s="79">
        <f t="shared" ref="R76:R90" si="56">N76-Q76</f>
        <v>0</v>
      </c>
      <c r="S76" s="80" t="str">
        <f t="shared" ref="S76:S90" si="57">IFERROR(K76/((N76/7+O76/15+P76/30)/3),"-")</f>
        <v>-</v>
      </c>
      <c r="T76" s="44" t="str">
        <f t="shared" ref="T76:T90" si="58">IFERROR(S76/30,"-")</f>
        <v>-</v>
      </c>
      <c r="U76" s="44" t="str">
        <f>IFERROR(VLOOKUP($B:$B,'[1]7店'!$B:$T,19,FALSE),0)</f>
        <v>-</v>
      </c>
      <c r="V76" s="81" t="str">
        <f t="shared" ref="V76:V90" si="59">IFERROR(T76-U76,"-")</f>
        <v>-</v>
      </c>
      <c r="W76" s="82" t="str">
        <f t="shared" ref="W76:W90" si="60">_xlfn.IFS(AND(D76&lt;&gt;0,D76-$AM$2&gt;=0,B76&gt;0,D76&lt;&gt;0),"本月刚到货",AND(IFERROR((K76/(N76/7))/30,"-")="-",K76&gt;0),"有库存无销量",AND(IFERROR((K76/(N76/7))/30,"-")="-",K76=0),"无库存无销量",AND(IFERROR((K76/(N76/7))/30,"-")&lt;=0.5,K76=0),"无库存有销量",IFERROR((K76/(N76/7))/30,"-")&lt;=0.5,"库存过低",IFERROR((K76/(N76/7))/30,"-")&lt;=1.5,"正常",IFERROR((K76/(N76/7))/30,"-")&gt;1.5,"库存过高")</f>
        <v>有库存无销量</v>
      </c>
      <c r="X76" s="83" t="str">
        <f t="shared" ref="X76:X90" si="61">_xlfn.IFS(AND(D76&lt;&gt;0,D76-$AM$2&gt;=0,K76&gt;0,D76&lt;&gt;0),"本月刚到货",AND(T76="-",K76&gt;0),"有库存无销量",AND(T76="-",K76=0),"无库存无销量",AND(T76&lt;=0.5,K76=0),"无库存有销量",T76&lt;=0.5,"库存过低",T76&lt;=1.5,"正常",T76&gt;1.5,"库存过高")</f>
        <v>有库存无销量</v>
      </c>
      <c r="Y76" s="44">
        <f>IFERROR(SUMIF('7店辅助表'!K:K,B:B,'7店辅助表'!N:N),0)</f>
        <v>0</v>
      </c>
      <c r="Z76" s="44">
        <f>IFERROR(SUMIF('7店辅助表'!T:T,B:B,'7店辅助表'!W:W),0)</f>
        <v>0</v>
      </c>
      <c r="AA76" s="44">
        <f>IFERROR(SUMIF('7店辅助表'!AC:AC,B:B,'7店辅助表'!AF:AF),0)</f>
        <v>0</v>
      </c>
      <c r="AB76" s="91" t="str">
        <f>IFERROR(SUMIF('7店辅助表'!K:K,B:B,'7店辅助表'!N:N)/SUMIF('7店辅助表'!K:K,B:B,'7店辅助表'!O:O),"-")</f>
        <v>-</v>
      </c>
      <c r="AC76" s="91" t="str">
        <f>IFERROR(VLOOKUP(B:B,'[1]7店'!$B:$AB,27,FALSE),"-")</f>
        <v>-</v>
      </c>
      <c r="AD76" s="92" t="str">
        <f t="shared" ref="AD76:AD90" si="62">IFERROR(AB76-AC76,"-")</f>
        <v>-</v>
      </c>
      <c r="AE76" s="91" t="str">
        <f>IFERROR(SUMIF('7店辅助表'!T:T,B:B,'7店辅助表'!W:W)/SUMIF('7店辅助表'!T:T,B:B,'7店辅助表'!X:X),"-")</f>
        <v>-</v>
      </c>
      <c r="AF76" s="91" t="str">
        <f>IFERROR(SUMIF('7店辅助表'!AC:AC,B:B,'7店辅助表'!AF:AF)/SUMIF('7店辅助表'!AC:AC,B:B,'7店辅助表'!AG:AG),"-")</f>
        <v>-</v>
      </c>
      <c r="AG76" s="99">
        <f>IFERROR(AK76/((SUMIF('7店辅助表'!AT:AT,B:B,'7店辅助表'!AU:AU)+M76)/2),"-")</f>
        <v>0</v>
      </c>
      <c r="AH76" s="99">
        <f>IFERROR(AL76/((SUMIF('7店辅助表'!AW:AW,B:B,'7店辅助表'!AX:AX)+M76)/2),"-")</f>
        <v>0</v>
      </c>
      <c r="AI76" s="100" t="str">
        <f>IFERROR((SUMIF('7店辅助表'!AP:AP,B:B,'7店辅助表'!AR:AR)-SUMIF('7店辅助表'!AP:AP,B:B,'7店辅助表'!AR:AR)*0.15-(L76+IFERROR(VLOOKUP(B:B,'7店辅助表'!AZ:BA,2,0),0))*O76-IF(AN:AN="US",6.85,4.9)*(Z76+4.27*O76))/SUMIF('7店辅助表'!AP:AP,B:B,'7店辅助表'!AR:AR),"-")</f>
        <v>-</v>
      </c>
      <c r="AJ76" s="100" t="str">
        <f t="shared" ref="AJ76:AJ90" si="63">IFERROR(AH76*AI76,"-")</f>
        <v>-</v>
      </c>
      <c r="AK76" s="101">
        <f t="shared" ref="AK76:AK90" si="64">N76*$L76</f>
        <v>0</v>
      </c>
      <c r="AL76" s="101">
        <f t="shared" ref="AL76:AL90" si="65">O76*$L76</f>
        <v>0</v>
      </c>
      <c r="AM76" s="1" t="str">
        <f>VLOOKUP(B:B,'7店辅助表'!AZ:AZ,1,FALSE)</f>
        <v>AU-UFRT-YPWR</v>
      </c>
      <c r="AN76" t="str">
        <f>VLOOKUP(B:B,'7店辅助表'!AZ:BB,3,FALSE)</f>
        <v>US</v>
      </c>
    </row>
    <row r="77" customHeight="1" spans="1:40">
      <c r="A77" s="58" t="str">
        <f>INDEX('[1]7店'!$A:$A,MATCH(B:B,'[1]7店'!$B:$B,0))</f>
        <v>美珠</v>
      </c>
      <c r="B77" s="108" t="s">
        <v>2349</v>
      </c>
      <c r="C77" s="43" t="s">
        <v>2350</v>
      </c>
      <c r="D77" s="59">
        <f>VLOOKUP(B:B,'[1]7店'!$B:$L,3,0)</f>
        <v>44938</v>
      </c>
      <c r="E77" s="43" t="s">
        <v>2351</v>
      </c>
      <c r="F77" s="43">
        <v>99</v>
      </c>
      <c r="G77" s="43">
        <v>1</v>
      </c>
      <c r="H77" s="43">
        <v>24</v>
      </c>
      <c r="I77" s="43">
        <v>7</v>
      </c>
      <c r="J77" s="43">
        <v>0</v>
      </c>
      <c r="K77" s="63">
        <f t="shared" si="55"/>
        <v>131</v>
      </c>
      <c r="L77" s="132">
        <f>VLOOKUP($B:$B,'[1]7店'!$B:$L,11,FALSE)</f>
        <v>13.9</v>
      </c>
      <c r="M77" s="44">
        <f t="shared" si="54"/>
        <v>1820.9</v>
      </c>
      <c r="N77" s="65">
        <f>IFERROR(VLOOKUP(B:B,'7店辅助表'!B:C,2,FALSE),0)</f>
        <v>42</v>
      </c>
      <c r="O77" s="65">
        <f>IFERROR(VLOOKUP(B:B,'7店辅助表'!E:F,2,FALSE),0)</f>
        <v>90</v>
      </c>
      <c r="P77" s="65">
        <f>IFERROR(VLOOKUP(B:B,'7店辅助表'!H:I,2,FALSE),0)</f>
        <v>176</v>
      </c>
      <c r="Q77" s="65">
        <f>IFERROR(VLOOKUP(B:B,'[1]7店'!$B:$N,13,FALSE),0)</f>
        <v>39</v>
      </c>
      <c r="R77" s="79">
        <f t="shared" si="56"/>
        <v>3</v>
      </c>
      <c r="S77" s="80">
        <f t="shared" si="57"/>
        <v>21.9962686567164</v>
      </c>
      <c r="T77" s="44">
        <f t="shared" si="58"/>
        <v>0.733208955223881</v>
      </c>
      <c r="U77" s="44">
        <f>IFERROR(VLOOKUP($B:$B,'[1]7店'!$B:$T,19,FALSE),0)</f>
        <v>1.07676709154114</v>
      </c>
      <c r="V77" s="81">
        <f t="shared" si="59"/>
        <v>-0.343558136317259</v>
      </c>
      <c r="W77" s="82" t="str">
        <f t="shared" si="60"/>
        <v>正常</v>
      </c>
      <c r="X77" s="83" t="str">
        <f t="shared" si="61"/>
        <v>正常</v>
      </c>
      <c r="Y77" s="44">
        <f>IFERROR(SUMIF('7店辅助表'!K:K,B:B,'7店辅助表'!N:N),0)</f>
        <v>11.48</v>
      </c>
      <c r="Z77" s="44">
        <f>IFERROR(SUMIF('7店辅助表'!T:T,B:B,'7店辅助表'!W:W),0)</f>
        <v>29.21</v>
      </c>
      <c r="AA77" s="44">
        <f>IFERROR(SUMIF('7店辅助表'!AC:AC,B:B,'7店辅助表'!AF:AF),0)</f>
        <v>49.85</v>
      </c>
      <c r="AB77" s="91">
        <f>IFERROR(SUMIF('7店辅助表'!K:K,B:B,'7店辅助表'!N:N)/SUMIF('7店辅助表'!K:K,B:B,'7店辅助表'!O:O),"-")</f>
        <v>0.441878367975366</v>
      </c>
      <c r="AC77" s="91">
        <f>IFERROR(VLOOKUP(B:B,'[1]7店'!$B:$AB,27,FALSE),"-")</f>
        <v>0.752957233848954</v>
      </c>
      <c r="AD77" s="92">
        <f t="shared" si="62"/>
        <v>-0.311078865873588</v>
      </c>
      <c r="AE77" s="91">
        <f>IFERROR(SUMIF('7店辅助表'!T:T,B:B,'7店辅助表'!W:W)/SUMIF('7店辅助表'!T:T,B:B,'7店辅助表'!X:X),"-")</f>
        <v>0.609049207673061</v>
      </c>
      <c r="AF77" s="91">
        <f>IFERROR(SUMIF('7店辅助表'!AC:AC,B:B,'7店辅助表'!AF:AF)/SUMIF('7店辅助表'!AC:AC,B:B,'7店辅助表'!AG:AG),"-")</f>
        <v>0.441502081303693</v>
      </c>
      <c r="AG77" s="99">
        <f>IFERROR(AK77/((SUMIF('7店辅助表'!AT:AT,B:B,'7店辅助表'!AU:AU)+M77)/2),"-")</f>
        <v>0.272727272727273</v>
      </c>
      <c r="AH77" s="99">
        <f>IFERROR(AL77/((SUMIF('7店辅助表'!AW:AW,B:B,'7店辅助表'!AX:AX)+M77)/2),"-")</f>
        <v>0.465116279069767</v>
      </c>
      <c r="AI77" s="100">
        <f>IFERROR((SUMIF('7店辅助表'!AP:AP,B:B,'7店辅助表'!AR:AR)-SUMIF('7店辅助表'!AP:AP,B:B,'7店辅助表'!AR:AR)*0.15-(L77+IFERROR(VLOOKUP(B:B,'7店辅助表'!AZ:BA,2,0),0))*O77-IF(AN:AN="US",6.85,4.9)*(Z77+4.27*O77))/SUMIF('7店辅助表'!AP:AP,B:B,'7店辅助表'!AR:AR),"-")</f>
        <v>0.276711767912245</v>
      </c>
      <c r="AJ77" s="100">
        <f t="shared" si="63"/>
        <v>0.12870314786616</v>
      </c>
      <c r="AK77" s="101">
        <f t="shared" si="64"/>
        <v>583.8</v>
      </c>
      <c r="AL77" s="101">
        <f t="shared" si="65"/>
        <v>1251</v>
      </c>
      <c r="AM77" s="1" t="str">
        <f>VLOOKUP(B:B,'7店辅助表'!AZ:AZ,1,FALSE)</f>
        <v>Y7022-BL+Y7024+Y7023</v>
      </c>
      <c r="AN77" t="str">
        <f>VLOOKUP(B:B,'7店辅助表'!AZ:BB,3,FALSE)</f>
        <v>US</v>
      </c>
    </row>
    <row r="78" customHeight="1" spans="1:40">
      <c r="A78" s="58" t="str">
        <f>INDEX('[1]7店'!$A:$A,MATCH(B:B,'[1]7店'!$B:$B,0))</f>
        <v>美珠</v>
      </c>
      <c r="B78" s="108" t="s">
        <v>2352</v>
      </c>
      <c r="C78" s="43" t="s">
        <v>2353</v>
      </c>
      <c r="D78" s="59">
        <f>VLOOKUP(B:B,'[1]7店'!$B:$L,3,0)</f>
        <v>44938</v>
      </c>
      <c r="E78" s="43" t="s">
        <v>2354</v>
      </c>
      <c r="F78" s="43">
        <v>26</v>
      </c>
      <c r="G78" s="43">
        <v>1</v>
      </c>
      <c r="H78" s="43">
        <v>11</v>
      </c>
      <c r="I78" s="43">
        <v>2</v>
      </c>
      <c r="J78" s="43">
        <v>0</v>
      </c>
      <c r="K78" s="63">
        <f t="shared" si="55"/>
        <v>40</v>
      </c>
      <c r="L78" s="132">
        <f>VLOOKUP($B:$B,'[1]7店'!$B:$L,11,FALSE)</f>
        <v>13.9</v>
      </c>
      <c r="M78" s="44">
        <f t="shared" si="54"/>
        <v>556</v>
      </c>
      <c r="N78" s="65">
        <f>IFERROR(VLOOKUP(B:B,'7店辅助表'!B:C,2,FALSE),0)</f>
        <v>7</v>
      </c>
      <c r="O78" s="65">
        <f>IFERROR(VLOOKUP(B:B,'7店辅助表'!E:F,2,FALSE),0)</f>
        <v>15</v>
      </c>
      <c r="P78" s="65">
        <f>IFERROR(VLOOKUP(B:B,'7店辅助表'!H:I,2,FALSE),0)</f>
        <v>30</v>
      </c>
      <c r="Q78" s="65">
        <f>IFERROR(VLOOKUP(B:B,'[1]7店'!$B:$N,13,FALSE),0)</f>
        <v>7</v>
      </c>
      <c r="R78" s="79">
        <f t="shared" si="56"/>
        <v>0</v>
      </c>
      <c r="S78" s="80">
        <f t="shared" si="57"/>
        <v>40</v>
      </c>
      <c r="T78" s="44">
        <f t="shared" si="58"/>
        <v>1.33333333333333</v>
      </c>
      <c r="U78" s="44">
        <f>IFERROR(VLOOKUP($B:$B,'[1]7店'!$B:$T,19,FALSE),0)</f>
        <v>1.71428571428571</v>
      </c>
      <c r="V78" s="81">
        <f t="shared" si="59"/>
        <v>-0.38095238095238</v>
      </c>
      <c r="W78" s="82" t="str">
        <f t="shared" si="60"/>
        <v>正常</v>
      </c>
      <c r="X78" s="83" t="str">
        <f t="shared" si="61"/>
        <v>正常</v>
      </c>
      <c r="Y78" s="44">
        <f>IFERROR(SUMIF('7店辅助表'!K:K,B:B,'7店辅助表'!N:N),0)</f>
        <v>0</v>
      </c>
      <c r="Z78" s="44">
        <f>IFERROR(SUMIF('7店辅助表'!T:T,B:B,'7店辅助表'!W:W),0)</f>
        <v>0</v>
      </c>
      <c r="AA78" s="44">
        <f>IFERROR(SUMIF('7店辅助表'!AC:AC,B:B,'7店辅助表'!AF:AF),0)</f>
        <v>0.57</v>
      </c>
      <c r="AB78" s="91" t="str">
        <f>IFERROR(SUMIF('7店辅助表'!K:K,B:B,'7店辅助表'!N:N)/SUMIF('7店辅助表'!K:K,B:B,'7店辅助表'!O:O),"-")</f>
        <v>-</v>
      </c>
      <c r="AC78" s="91" t="str">
        <f>IFERROR(VLOOKUP(B:B,'[1]7店'!$B:$AB,27,FALSE),"-")</f>
        <v>-</v>
      </c>
      <c r="AD78" s="92" t="str">
        <f t="shared" si="62"/>
        <v>-</v>
      </c>
      <c r="AE78" s="91" t="str">
        <f>IFERROR(SUMIF('7店辅助表'!T:T,B:B,'7店辅助表'!W:W)/SUMIF('7店辅助表'!T:T,B:B,'7店辅助表'!X:X),"-")</f>
        <v>-</v>
      </c>
      <c r="AF78" s="91" t="str">
        <f>IFERROR(SUMIF('7店辅助表'!AC:AC,B:B,'7店辅助表'!AF:AF)/SUMIF('7店辅助表'!AC:AC,B:B,'7店辅助表'!AG:AG),"-")</f>
        <v>-</v>
      </c>
      <c r="AG78" s="99">
        <f>IFERROR(AK78/((SUMIF('7店辅助表'!AT:AT,B:B,'7店辅助表'!AU:AU)+M78)/2),"-")</f>
        <v>0.152173913043478</v>
      </c>
      <c r="AH78" s="99">
        <f>IFERROR(AL78/((SUMIF('7店辅助表'!AW:AW,B:B,'7店辅助表'!AX:AX)+M78)/2),"-")</f>
        <v>0.297029702970297</v>
      </c>
      <c r="AI78" s="100">
        <f>IFERROR((SUMIF('7店辅助表'!AP:AP,B:B,'7店辅助表'!AR:AR)-SUMIF('7店辅助表'!AP:AP,B:B,'7店辅助表'!AR:AR)*0.15-(L78+IFERROR(VLOOKUP(B:B,'7店辅助表'!AZ:BA,2,0),0))*O78-IF(AN:AN="US",6.85,4.9)*(Z78+4.27*O78))/SUMIF('7店辅助表'!AP:AP,B:B,'7店辅助表'!AR:AR),"-")</f>
        <v>0.329196984676696</v>
      </c>
      <c r="AJ78" s="100">
        <f t="shared" si="63"/>
        <v>0.0977812825772364</v>
      </c>
      <c r="AK78" s="101">
        <f t="shared" si="64"/>
        <v>97.3</v>
      </c>
      <c r="AL78" s="101">
        <f t="shared" si="65"/>
        <v>208.5</v>
      </c>
      <c r="AM78" s="1" t="str">
        <f>VLOOKUP(B:B,'7店辅助表'!AZ:AZ,1,FALSE)</f>
        <v>Y7022-BU+Y7024+Y7023</v>
      </c>
      <c r="AN78" t="str">
        <f>VLOOKUP(B:B,'7店辅助表'!AZ:BB,3,FALSE)</f>
        <v>US</v>
      </c>
    </row>
    <row r="79" customHeight="1" spans="1:40">
      <c r="A79" s="58" t="str">
        <f>INDEX('[1]7店'!$A:$A,MATCH(B:B,'[1]7店'!$B:$B,0))</f>
        <v>美珠</v>
      </c>
      <c r="B79" s="108" t="s">
        <v>2355</v>
      </c>
      <c r="C79" s="43" t="s">
        <v>2356</v>
      </c>
      <c r="D79" s="59">
        <f>VLOOKUP(B:B,'[1]7店'!$B:$L,3,0)</f>
        <v>44938</v>
      </c>
      <c r="E79" s="43" t="s">
        <v>2357</v>
      </c>
      <c r="F79" s="43">
        <v>57</v>
      </c>
      <c r="G79" s="43">
        <v>1</v>
      </c>
      <c r="H79" s="43">
        <v>1</v>
      </c>
      <c r="I79" s="43">
        <v>1</v>
      </c>
      <c r="J79" s="43">
        <v>0</v>
      </c>
      <c r="K79" s="63">
        <f t="shared" si="55"/>
        <v>60</v>
      </c>
      <c r="L79" s="132">
        <f>VLOOKUP($B:$B,'[1]7店'!$B:$L,11,FALSE)</f>
        <v>13.9</v>
      </c>
      <c r="M79" s="44">
        <f t="shared" si="54"/>
        <v>834</v>
      </c>
      <c r="N79" s="65">
        <f>IFERROR(VLOOKUP(B:B,'7店辅助表'!B:C,2,FALSE),0)</f>
        <v>5</v>
      </c>
      <c r="O79" s="65">
        <f>IFERROR(VLOOKUP(B:B,'7店辅助表'!E:F,2,FALSE),0)</f>
        <v>8</v>
      </c>
      <c r="P79" s="65">
        <f>IFERROR(VLOOKUP(B:B,'7店辅助表'!H:I,2,FALSE),0)</f>
        <v>15</v>
      </c>
      <c r="Q79" s="65">
        <f>IFERROR(VLOOKUP(B:B,'[1]7店'!$B:$N,13,FALSE),0)</f>
        <v>2</v>
      </c>
      <c r="R79" s="79">
        <f t="shared" si="56"/>
        <v>3</v>
      </c>
      <c r="S79" s="80">
        <f t="shared" si="57"/>
        <v>102.99727520436</v>
      </c>
      <c r="T79" s="44">
        <f t="shared" si="58"/>
        <v>3.43324250681199</v>
      </c>
      <c r="U79" s="44">
        <f>IFERROR(VLOOKUP($B:$B,'[1]7店'!$B:$T,19,FALSE),0)</f>
        <v>4.95422535211268</v>
      </c>
      <c r="V79" s="81">
        <f t="shared" si="59"/>
        <v>-1.52098284530069</v>
      </c>
      <c r="W79" s="82" t="str">
        <f t="shared" si="60"/>
        <v>库存过高</v>
      </c>
      <c r="X79" s="83" t="str">
        <f t="shared" si="61"/>
        <v>库存过高</v>
      </c>
      <c r="Y79" s="44">
        <f>IFERROR(SUMIF('7店辅助表'!K:K,B:B,'7店辅助表'!N:N),0)</f>
        <v>0</v>
      </c>
      <c r="Z79" s="44">
        <f>IFERROR(SUMIF('7店辅助表'!T:T,B:B,'7店辅助表'!W:W),0)</f>
        <v>0</v>
      </c>
      <c r="AA79" s="44">
        <f>IFERROR(SUMIF('7店辅助表'!AC:AC,B:B,'7店辅助表'!AF:AF),0)</f>
        <v>0</v>
      </c>
      <c r="AB79" s="91" t="str">
        <f>IFERROR(SUMIF('7店辅助表'!K:K,B:B,'7店辅助表'!N:N)/SUMIF('7店辅助表'!K:K,B:B,'7店辅助表'!O:O),"-")</f>
        <v>-</v>
      </c>
      <c r="AC79" s="91" t="str">
        <f>IFERROR(VLOOKUP(B:B,'[1]7店'!$B:$AB,27,FALSE),"-")</f>
        <v>-</v>
      </c>
      <c r="AD79" s="92" t="str">
        <f t="shared" si="62"/>
        <v>-</v>
      </c>
      <c r="AE79" s="91" t="str">
        <f>IFERROR(SUMIF('7店辅助表'!T:T,B:B,'7店辅助表'!W:W)/SUMIF('7店辅助表'!T:T,B:B,'7店辅助表'!X:X),"-")</f>
        <v>-</v>
      </c>
      <c r="AF79" s="91" t="str">
        <f>IFERROR(SUMIF('7店辅助表'!AC:AC,B:B,'7店辅助表'!AF:AF)/SUMIF('7店辅助表'!AC:AC,B:B,'7店辅助表'!AG:AG),"-")</f>
        <v>-</v>
      </c>
      <c r="AG79" s="99">
        <f>IFERROR(AK79/((SUMIF('7店辅助表'!AT:AT,B:B,'7店辅助表'!AU:AU)+M79)/2),"-")</f>
        <v>0.078740157480315</v>
      </c>
      <c r="AH79" s="99">
        <f>IFERROR(AL79/((SUMIF('7店辅助表'!AW:AW,B:B,'7店辅助表'!AX:AX)+M79)/2),"-")</f>
        <v>0.168421052631579</v>
      </c>
      <c r="AI79" s="100">
        <f>IFERROR((SUMIF('7店辅助表'!AP:AP,B:B,'7店辅助表'!AR:AR)-SUMIF('7店辅助表'!AP:AP,B:B,'7店辅助表'!AR:AR)*0.15-(L79+IFERROR(VLOOKUP(B:B,'7店辅助表'!AZ:BA,2,0),0))*O79-IF(AN:AN="US",6.85,4.9)*(Z79+4.27*O79))/SUMIF('7店辅助表'!AP:AP,B:B,'7店辅助表'!AR:AR),"-")</f>
        <v>0.25835611704769</v>
      </c>
      <c r="AJ79" s="100">
        <f t="shared" si="63"/>
        <v>0.0435126091869794</v>
      </c>
      <c r="AK79" s="101">
        <f t="shared" si="64"/>
        <v>69.5</v>
      </c>
      <c r="AL79" s="101">
        <f t="shared" si="65"/>
        <v>111.2</v>
      </c>
      <c r="AM79" s="1" t="str">
        <f>VLOOKUP(B:B,'7店辅助表'!AZ:AZ,1,FALSE)</f>
        <v>Y7022-DB+Y7024+Y7023</v>
      </c>
      <c r="AN79" t="str">
        <f>VLOOKUP(B:B,'7店辅助表'!AZ:BB,3,FALSE)</f>
        <v>US</v>
      </c>
    </row>
    <row r="80" customHeight="1" spans="1:40">
      <c r="A80" s="58" t="str">
        <f>INDEX('[1]7店'!$A:$A,MATCH(B:B,'[1]7店'!$B:$B,0))</f>
        <v>美珠</v>
      </c>
      <c r="B80" s="108" t="s">
        <v>2358</v>
      </c>
      <c r="C80" s="43" t="s">
        <v>2359</v>
      </c>
      <c r="D80" s="59">
        <f>VLOOKUP(B:B,'[1]7店'!$B:$L,3,0)</f>
        <v>44938</v>
      </c>
      <c r="E80" s="43" t="s">
        <v>2360</v>
      </c>
      <c r="F80" s="43">
        <v>64</v>
      </c>
      <c r="G80" s="43">
        <v>1</v>
      </c>
      <c r="H80" s="43">
        <v>18</v>
      </c>
      <c r="I80" s="43">
        <v>0</v>
      </c>
      <c r="J80" s="43">
        <v>4</v>
      </c>
      <c r="K80" s="63">
        <f t="shared" si="55"/>
        <v>87</v>
      </c>
      <c r="L80" s="132">
        <f>VLOOKUP($B:$B,'[1]7店'!$B:$L,11,FALSE)</f>
        <v>13.9</v>
      </c>
      <c r="M80" s="44">
        <f t="shared" si="54"/>
        <v>1209.3</v>
      </c>
      <c r="N80" s="65">
        <f>IFERROR(VLOOKUP(B:B,'7店辅助表'!B:C,2,FALSE),0)</f>
        <v>10</v>
      </c>
      <c r="O80" s="65">
        <f>IFERROR(VLOOKUP(B:B,'7店辅助表'!E:F,2,FALSE),0)</f>
        <v>18</v>
      </c>
      <c r="P80" s="65">
        <f>IFERROR(VLOOKUP(B:B,'7店辅助表'!H:I,2,FALSE),0)</f>
        <v>44</v>
      </c>
      <c r="Q80" s="65">
        <f>IFERROR(VLOOKUP(B:B,'[1]7店'!$B:$N,13,FALSE),0)</f>
        <v>7</v>
      </c>
      <c r="R80" s="79">
        <f t="shared" si="56"/>
        <v>3</v>
      </c>
      <c r="S80" s="80">
        <f t="shared" si="57"/>
        <v>63.7325581395349</v>
      </c>
      <c r="T80" s="44">
        <f t="shared" si="58"/>
        <v>2.12441860465116</v>
      </c>
      <c r="U80" s="44">
        <f>IFERROR(VLOOKUP($B:$B,'[1]7店'!$B:$T,19,FALSE),0)</f>
        <v>3.15463917525773</v>
      </c>
      <c r="V80" s="81">
        <f t="shared" si="59"/>
        <v>-1.03022057060657</v>
      </c>
      <c r="W80" s="82" t="str">
        <f t="shared" si="60"/>
        <v>库存过高</v>
      </c>
      <c r="X80" s="83" t="str">
        <f t="shared" si="61"/>
        <v>库存过高</v>
      </c>
      <c r="Y80" s="44">
        <f>IFERROR(SUMIF('7店辅助表'!K:K,B:B,'7店辅助表'!N:N),0)</f>
        <v>23.41</v>
      </c>
      <c r="Z80" s="44">
        <f>IFERROR(SUMIF('7店辅助表'!T:T,B:B,'7店辅助表'!W:W),0)</f>
        <v>52.02</v>
      </c>
      <c r="AA80" s="44">
        <f>IFERROR(SUMIF('7店辅助表'!AC:AC,B:B,'7店辅助表'!AF:AF),0)</f>
        <v>127.75</v>
      </c>
      <c r="AB80" s="91">
        <f>IFERROR(SUMIF('7店辅助表'!K:K,B:B,'7店辅助表'!N:N)/SUMIF('7店辅助表'!K:K,B:B,'7店辅助表'!O:O),"-")</f>
        <v>0.300359250705671</v>
      </c>
      <c r="AC80" s="91">
        <f>IFERROR(VLOOKUP(B:B,'[1]7店'!$B:$AB,27,FALSE),"-")</f>
        <v>0.239922872096226</v>
      </c>
      <c r="AD80" s="92">
        <f t="shared" si="62"/>
        <v>0.060436378609445</v>
      </c>
      <c r="AE80" s="91">
        <f>IFERROR(SUMIF('7店辅助表'!T:T,B:B,'7店辅助表'!W:W)/SUMIF('7店辅助表'!T:T,B:B,'7店辅助表'!X:X),"-")</f>
        <v>0.260308246597278</v>
      </c>
      <c r="AF80" s="91">
        <f>IFERROR(SUMIF('7店辅助表'!AC:AC,B:B,'7店辅助表'!AF:AF)/SUMIF('7店辅助表'!AC:AC,B:B,'7店辅助表'!AG:AG),"-")</f>
        <v>0.256212270110908</v>
      </c>
      <c r="AG80" s="99">
        <f>IFERROR(AK80/((SUMIF('7店辅助表'!AT:AT,B:B,'7店辅助表'!AU:AU)+M80)/2),"-")</f>
        <v>0.105820105820106</v>
      </c>
      <c r="AH80" s="99">
        <f>IFERROR(AL80/((SUMIF('7店辅助表'!AW:AW,B:B,'7店辅助表'!AX:AX)+M80)/2),"-")</f>
        <v>0.266666666666667</v>
      </c>
      <c r="AI80" s="100">
        <f>IFERROR((SUMIF('7店辅助表'!AP:AP,B:B,'7店辅助表'!AR:AR)-SUMIF('7店辅助表'!AP:AP,B:B,'7店辅助表'!AR:AR)*0.15-(L80+IFERROR(VLOOKUP(B:B,'7店辅助表'!AZ:BA,2,0),0))*O80-IF(AN:AN="US",6.85,4.9)*(Z80+4.27*O80))/SUMIF('7店辅助表'!AP:AP,B:B,'7店辅助表'!AR:AR),"-")</f>
        <v>0.0860338671650504</v>
      </c>
      <c r="AJ80" s="100">
        <f t="shared" si="63"/>
        <v>0.0229423645773468</v>
      </c>
      <c r="AK80" s="101">
        <f t="shared" si="64"/>
        <v>139</v>
      </c>
      <c r="AL80" s="101">
        <f t="shared" si="65"/>
        <v>250.2</v>
      </c>
      <c r="AM80" s="1" t="str">
        <f>VLOOKUP(B:B,'7店辅助表'!AZ:AZ,1,FALSE)</f>
        <v>Y7022-OR+Y7024+Y7023</v>
      </c>
      <c r="AN80" t="str">
        <f>VLOOKUP(B:B,'7店辅助表'!AZ:BB,3,FALSE)</f>
        <v>US</v>
      </c>
    </row>
    <row r="81" customHeight="1" spans="1:40">
      <c r="A81" s="58" t="str">
        <f>INDEX('[1]7店'!$A:$A,MATCH(B:B,'[1]7店'!$B:$B,0))</f>
        <v>美珠</v>
      </c>
      <c r="B81" s="108" t="s">
        <v>2361</v>
      </c>
      <c r="C81" s="43" t="s">
        <v>2362</v>
      </c>
      <c r="D81" s="59">
        <f>VLOOKUP(B:B,'[1]7店'!$B:$L,3,0)</f>
        <v>44967</v>
      </c>
      <c r="E81" s="43" t="s">
        <v>2363</v>
      </c>
      <c r="F81" s="43">
        <v>41</v>
      </c>
      <c r="G81" s="43">
        <v>0</v>
      </c>
      <c r="H81" s="43">
        <v>0</v>
      </c>
      <c r="I81" s="43">
        <v>23</v>
      </c>
      <c r="J81" s="43">
        <v>0</v>
      </c>
      <c r="K81" s="63">
        <f t="shared" si="55"/>
        <v>64</v>
      </c>
      <c r="L81" s="132">
        <f>VLOOKUP($B:$B,'[1]7店'!$B:$L,11,FALSE)</f>
        <v>13.9</v>
      </c>
      <c r="M81" s="44">
        <f t="shared" si="54"/>
        <v>889.6</v>
      </c>
      <c r="N81" s="65">
        <f>IFERROR(VLOOKUP(B:B,'7店辅助表'!B:C,2,FALSE),0)</f>
        <v>2</v>
      </c>
      <c r="O81" s="65">
        <f>IFERROR(VLOOKUP(B:B,'7店辅助表'!E:F,2,FALSE),0)</f>
        <v>9</v>
      </c>
      <c r="P81" s="65">
        <f>IFERROR(VLOOKUP(B:B,'7店辅助表'!H:I,2,FALSE),0)</f>
        <v>13</v>
      </c>
      <c r="Q81" s="65">
        <f>IFERROR(VLOOKUP(B:B,'[1]7店'!$B:$N,13,FALSE),0)</f>
        <v>7</v>
      </c>
      <c r="R81" s="79">
        <f t="shared" si="56"/>
        <v>-5</v>
      </c>
      <c r="S81" s="80">
        <f t="shared" si="57"/>
        <v>145.559566787004</v>
      </c>
      <c r="T81" s="44">
        <f t="shared" si="58"/>
        <v>4.85198555956679</v>
      </c>
      <c r="U81" s="44">
        <f>IFERROR(VLOOKUP($B:$B,'[1]7店'!$B:$T,19,FALSE),0)</f>
        <v>3.14516129032258</v>
      </c>
      <c r="V81" s="81">
        <f t="shared" si="59"/>
        <v>1.70682426924421</v>
      </c>
      <c r="W81" s="82" t="str">
        <f t="shared" si="60"/>
        <v>库存过高</v>
      </c>
      <c r="X81" s="83" t="str">
        <f t="shared" si="61"/>
        <v>库存过高</v>
      </c>
      <c r="Y81" s="44">
        <f>IFERROR(SUMIF('7店辅助表'!K:K,B:B,'7店辅助表'!N:N),0)</f>
        <v>3.19</v>
      </c>
      <c r="Z81" s="44">
        <f>IFERROR(SUMIF('7店辅助表'!T:T,B:B,'7店辅助表'!W:W),0)</f>
        <v>8.51</v>
      </c>
      <c r="AA81" s="44">
        <f>IFERROR(SUMIF('7店辅助表'!AC:AC,B:B,'7店辅助表'!AF:AF),0)</f>
        <v>16.37</v>
      </c>
      <c r="AB81" s="91">
        <f>IFERROR(SUMIF('7店辅助表'!K:K,B:B,'7店辅助表'!N:N)/SUMIF('7店辅助表'!K:K,B:B,'7店辅助表'!O:O),"-")</f>
        <v>0.245573518090839</v>
      </c>
      <c r="AC81" s="91">
        <f>IFERROR(VLOOKUP(B:B,'[1]7店'!$B:$AB,27,FALSE),"-")</f>
        <v>0.201834862385321</v>
      </c>
      <c r="AD81" s="92">
        <f t="shared" si="62"/>
        <v>0.043738655705518</v>
      </c>
      <c r="AE81" s="91">
        <f>IFERROR(SUMIF('7店辅助表'!T:T,B:B,'7店辅助表'!W:W)/SUMIF('7店辅助表'!T:T,B:B,'7店辅助表'!X:X),"-")</f>
        <v>0.230186637814444</v>
      </c>
      <c r="AF81" s="91">
        <f>IFERROR(SUMIF('7店辅助表'!AC:AC,B:B,'7店辅助表'!AF:AF)/SUMIF('7店辅助表'!AC:AC,B:B,'7店辅助表'!AG:AG),"-")</f>
        <v>0.327662129703763</v>
      </c>
      <c r="AG81" s="99">
        <f>IFERROR(AK81/((SUMIF('7店辅助表'!AT:AT,B:B,'7店辅助表'!AU:AU)+M81)/2),"-")</f>
        <v>0.0310077519379845</v>
      </c>
      <c r="AH81" s="99">
        <f>IFERROR(AL81/((SUMIF('7店辅助表'!AW:AW,B:B,'7店辅助表'!AX:AX)+M81)/2),"-")</f>
        <v>0.181818181818182</v>
      </c>
      <c r="AI81" s="100">
        <f>IFERROR((SUMIF('7店辅助表'!AP:AP,B:B,'7店辅助表'!AR:AR)-SUMIF('7店辅助表'!AP:AP,B:B,'7店辅助表'!AR:AR)*0.15-(L81+IFERROR(VLOOKUP(B:B,'7店辅助表'!AZ:BA,2,0),0))*O81-IF(AN:AN="US",6.85,4.9)*(Z81+4.27*O81))/SUMIF('7店辅助表'!AP:AP,B:B,'7店辅助表'!AR:AR),"-")</f>
        <v>0.246586778307379</v>
      </c>
      <c r="AJ81" s="100">
        <f t="shared" si="63"/>
        <v>0.0448339596922507</v>
      </c>
      <c r="AK81" s="101">
        <f t="shared" si="64"/>
        <v>27.8</v>
      </c>
      <c r="AL81" s="101">
        <f t="shared" si="65"/>
        <v>125.1</v>
      </c>
      <c r="AM81" s="1" t="str">
        <f>VLOOKUP(B:B,'7店辅助表'!AZ:AZ,1,FALSE)</f>
        <v>Y7033-BL+Y7034</v>
      </c>
      <c r="AN81" t="str">
        <f>VLOOKUP(B:B,'7店辅助表'!AZ:BB,3,FALSE)</f>
        <v>US</v>
      </c>
    </row>
    <row r="82" customHeight="1" spans="1:40">
      <c r="A82" s="58" t="str">
        <f>INDEX('[1]7店'!$A:$A,MATCH(B:B,'[1]7店'!$B:$B,0))</f>
        <v>美珠</v>
      </c>
      <c r="B82" s="116" t="s">
        <v>2364</v>
      </c>
      <c r="C82" s="45" t="s">
        <v>2365</v>
      </c>
      <c r="D82" s="59">
        <f>VLOOKUP(B:B,'[1]7店'!$B:$L,3,0)</f>
        <v>44967</v>
      </c>
      <c r="E82" s="45" t="s">
        <v>2366</v>
      </c>
      <c r="F82" s="45">
        <v>37</v>
      </c>
      <c r="G82" s="45">
        <v>2</v>
      </c>
      <c r="H82" s="45">
        <v>0</v>
      </c>
      <c r="I82" s="45">
        <v>1</v>
      </c>
      <c r="J82" s="45">
        <v>0</v>
      </c>
      <c r="K82" s="63">
        <f t="shared" si="55"/>
        <v>40</v>
      </c>
      <c r="L82" s="132">
        <f>VLOOKUP($B:$B,'[1]7店'!$B:$L,11,FALSE)</f>
        <v>13.9</v>
      </c>
      <c r="M82" s="44">
        <f t="shared" si="54"/>
        <v>556</v>
      </c>
      <c r="N82" s="65">
        <f>IFERROR(VLOOKUP(B:B,'7店辅助表'!B:C,2,FALSE),0)</f>
        <v>1</v>
      </c>
      <c r="O82" s="65">
        <f>IFERROR(VLOOKUP(B:B,'7店辅助表'!E:F,2,FALSE),0)</f>
        <v>4</v>
      </c>
      <c r="P82" s="65">
        <f>IFERROR(VLOOKUP(B:B,'7店辅助表'!H:I,2,FALSE),0)</f>
        <v>9</v>
      </c>
      <c r="Q82" s="65">
        <f>IFERROR(VLOOKUP(B:B,'[1]7店'!$B:$N,13,FALSE),0)</f>
        <v>3</v>
      </c>
      <c r="R82" s="79">
        <f t="shared" si="56"/>
        <v>-2</v>
      </c>
      <c r="S82" s="80">
        <f t="shared" si="57"/>
        <v>169.127516778524</v>
      </c>
      <c r="T82" s="44">
        <f t="shared" si="58"/>
        <v>5.63758389261745</v>
      </c>
      <c r="U82" s="44">
        <f>IFERROR(VLOOKUP($B:$B,'[1]7店'!$B:$T,19,FALSE),0)</f>
        <v>3.57847533632287</v>
      </c>
      <c r="V82" s="81">
        <f t="shared" si="59"/>
        <v>2.05910855629458</v>
      </c>
      <c r="W82" s="82" t="str">
        <f t="shared" si="60"/>
        <v>库存过高</v>
      </c>
      <c r="X82" s="83" t="str">
        <f t="shared" si="61"/>
        <v>库存过高</v>
      </c>
      <c r="Y82" s="44">
        <f>IFERROR(SUMIF('7店辅助表'!K:K,B:B,'7店辅助表'!N:N),0)</f>
        <v>0</v>
      </c>
      <c r="Z82" s="44">
        <f>IFERROR(SUMIF('7店辅助表'!T:T,B:B,'7店辅助表'!W:W),0)</f>
        <v>0</v>
      </c>
      <c r="AA82" s="44">
        <f>IFERROR(SUMIF('7店辅助表'!AC:AC,B:B,'7店辅助表'!AF:AF),0)</f>
        <v>0</v>
      </c>
      <c r="AB82" s="91" t="str">
        <f>IFERROR(SUMIF('7店辅助表'!K:K,B:B,'7店辅助表'!N:N)/SUMIF('7店辅助表'!K:K,B:B,'7店辅助表'!O:O),"-")</f>
        <v>-</v>
      </c>
      <c r="AC82" s="91" t="str">
        <f>IFERROR(VLOOKUP(B:B,'[1]7店'!$B:$AB,27,FALSE),"-")</f>
        <v>-</v>
      </c>
      <c r="AD82" s="92" t="str">
        <f t="shared" si="62"/>
        <v>-</v>
      </c>
      <c r="AE82" s="91" t="str">
        <f>IFERROR(SUMIF('7店辅助表'!T:T,B:B,'7店辅助表'!W:W)/SUMIF('7店辅助表'!T:T,B:B,'7店辅助表'!X:X),"-")</f>
        <v>-</v>
      </c>
      <c r="AF82" s="91" t="str">
        <f>IFERROR(SUMIF('7店辅助表'!AC:AC,B:B,'7店辅助表'!AF:AF)/SUMIF('7店辅助表'!AC:AC,B:B,'7店辅助表'!AG:AG),"-")</f>
        <v>-</v>
      </c>
      <c r="AG82" s="99">
        <f>IFERROR(AK82/((SUMIF('7店辅助表'!AT:AT,B:B,'7店辅助表'!AU:AU)+M82)/2),"-")</f>
        <v>0.0256410256410256</v>
      </c>
      <c r="AH82" s="99">
        <f>IFERROR(AL82/((SUMIF('7店辅助表'!AW:AW,B:B,'7店辅助表'!AX:AX)+M82)/2),"-")</f>
        <v>0.0952380952380952</v>
      </c>
      <c r="AI82" s="100">
        <f>IFERROR((SUMIF('7店辅助表'!AP:AP,B:B,'7店辅助表'!AR:AR)-SUMIF('7店辅助表'!AP:AP,B:B,'7店辅助表'!AR:AR)*0.15-(L82+IFERROR(VLOOKUP(B:B,'7店辅助表'!AZ:BA,2,0),0))*O82-IF(AN:AN="US",6.85,4.9)*(Z82+4.27*O82))/SUMIF('7店辅助表'!AP:AP,B:B,'7店辅助表'!AR:AR),"-")</f>
        <v>0.323032440550981</v>
      </c>
      <c r="AJ82" s="100">
        <f t="shared" si="63"/>
        <v>0.0307649943381887</v>
      </c>
      <c r="AK82" s="101">
        <f t="shared" si="64"/>
        <v>13.9</v>
      </c>
      <c r="AL82" s="101">
        <f t="shared" si="65"/>
        <v>55.6</v>
      </c>
      <c r="AM82" s="1" t="str">
        <f>VLOOKUP(B:B,'7店辅助表'!AZ:AZ,1,FALSE)</f>
        <v>Y7033-BU+Y7034</v>
      </c>
      <c r="AN82" t="str">
        <f>VLOOKUP(B:B,'7店辅助表'!AZ:BB,3,FALSE)</f>
        <v>US</v>
      </c>
    </row>
    <row r="83" customHeight="1" spans="1:40">
      <c r="A83" s="58" t="str">
        <f>INDEX('[1]7店'!$A:$A,MATCH(B:B,'[1]7店'!$B:$B,0))</f>
        <v>美珠</v>
      </c>
      <c r="B83" s="116" t="s">
        <v>2367</v>
      </c>
      <c r="C83" s="45" t="s">
        <v>2368</v>
      </c>
      <c r="D83" s="59">
        <f>VLOOKUP(B:B,'[1]7店'!$B:$L,3,0)</f>
        <v>44967</v>
      </c>
      <c r="E83" s="45" t="s">
        <v>2369</v>
      </c>
      <c r="F83" s="45">
        <v>49</v>
      </c>
      <c r="G83" s="45">
        <v>0</v>
      </c>
      <c r="H83" s="45">
        <v>2</v>
      </c>
      <c r="I83" s="45">
        <v>0</v>
      </c>
      <c r="J83" s="45">
        <v>0</v>
      </c>
      <c r="K83" s="63">
        <f t="shared" si="55"/>
        <v>51</v>
      </c>
      <c r="L83" s="132">
        <f>VLOOKUP($B:$B,'[1]7店'!$B:$L,11,FALSE)</f>
        <v>13.9</v>
      </c>
      <c r="M83" s="44">
        <f t="shared" si="54"/>
        <v>708.9</v>
      </c>
      <c r="N83" s="65">
        <f>IFERROR(VLOOKUP(B:B,'7店辅助表'!B:C,2,FALSE),0)</f>
        <v>1</v>
      </c>
      <c r="O83" s="65">
        <f>IFERROR(VLOOKUP(B:B,'7店辅助表'!E:F,2,FALSE),0)</f>
        <v>3</v>
      </c>
      <c r="P83" s="65">
        <f>IFERROR(VLOOKUP(B:B,'7店辅助表'!H:I,2,FALSE),0)</f>
        <v>8</v>
      </c>
      <c r="Q83" s="65">
        <f>IFERROR(VLOOKUP(B:B,'[1]7店'!$B:$N,13,FALSE),0)</f>
        <v>2</v>
      </c>
      <c r="R83" s="79">
        <f t="shared" si="56"/>
        <v>-1</v>
      </c>
      <c r="S83" s="80">
        <f t="shared" si="57"/>
        <v>251.015625</v>
      </c>
      <c r="T83" s="44">
        <f t="shared" si="58"/>
        <v>8.3671875</v>
      </c>
      <c r="U83" s="44">
        <f>IFERROR(VLOOKUP($B:$B,'[1]7店'!$B:$T,19,FALSE),0)</f>
        <v>6.61818181818182</v>
      </c>
      <c r="V83" s="81">
        <f t="shared" si="59"/>
        <v>1.74900568181818</v>
      </c>
      <c r="W83" s="82" t="str">
        <f t="shared" si="60"/>
        <v>库存过高</v>
      </c>
      <c r="X83" s="83" t="str">
        <f t="shared" si="61"/>
        <v>库存过高</v>
      </c>
      <c r="Y83" s="44">
        <f>IFERROR(SUMIF('7店辅助表'!K:K,B:B,'7店辅助表'!N:N),0)</f>
        <v>5.66</v>
      </c>
      <c r="Z83" s="44">
        <f>IFERROR(SUMIF('7店辅助表'!T:T,B:B,'7店辅助表'!W:W),0)</f>
        <v>14.47</v>
      </c>
      <c r="AA83" s="44">
        <f>IFERROR(SUMIF('7店辅助表'!AC:AC,B:B,'7店辅助表'!AF:AF),0)</f>
        <v>29.3</v>
      </c>
      <c r="AB83" s="91">
        <f>IFERROR(SUMIF('7店辅助表'!K:K,B:B,'7店辅助表'!N:N)/SUMIF('7店辅助表'!K:K,B:B,'7店辅助表'!O:O),"-")</f>
        <v>0.217859892224788</v>
      </c>
      <c r="AC83" s="91">
        <f>IFERROR(VLOOKUP(B:B,'[1]7店'!$B:$AB,27,FALSE),"-")</f>
        <v>0.378980891719745</v>
      </c>
      <c r="AD83" s="92">
        <f t="shared" si="62"/>
        <v>-0.161120999494957</v>
      </c>
      <c r="AE83" s="91">
        <f>IFERROR(SUMIF('7店辅助表'!T:T,B:B,'7店辅助表'!W:W)/SUMIF('7店辅助表'!T:T,B:B,'7店辅助表'!X:X),"-")</f>
        <v>0.301709758131776</v>
      </c>
      <c r="AF83" s="91">
        <f>IFERROR(SUMIF('7店辅助表'!AC:AC,B:B,'7店辅助表'!AF:AF)/SUMIF('7店辅助表'!AC:AC,B:B,'7店辅助表'!AG:AG),"-")</f>
        <v>0.293234587670136</v>
      </c>
      <c r="AG83" s="99">
        <f>IFERROR(AK83/((SUMIF('7店辅助表'!AT:AT,B:B,'7店辅助表'!AU:AU)+M83)/2),"-")</f>
        <v>0.0194174757281553</v>
      </c>
      <c r="AH83" s="99">
        <f>IFERROR(AL83/((SUMIF('7店辅助表'!AW:AW,B:B,'7店辅助表'!AX:AX)+M83)/2),"-")</f>
        <v>0.0740740740740741</v>
      </c>
      <c r="AI83" s="100">
        <f>IFERROR((SUMIF('7店辅助表'!AP:AP,B:B,'7店辅助表'!AR:AR)-SUMIF('7店辅助表'!AP:AP,B:B,'7店辅助表'!AR:AR)*0.15-(L83+IFERROR(VLOOKUP(B:B,'7店辅助表'!AZ:BA,2,0),0))*O83-IF(AN:AN="US",6.85,4.9)*(Z83+4.27*O83))/SUMIF('7店辅助表'!AP:AP,B:B,'7店辅助表'!AR:AR),"-")</f>
        <v>-0.0347044985006246</v>
      </c>
      <c r="AJ83" s="100">
        <f t="shared" si="63"/>
        <v>-0.00257070359263886</v>
      </c>
      <c r="AK83" s="101">
        <f t="shared" si="64"/>
        <v>13.9</v>
      </c>
      <c r="AL83" s="101">
        <f t="shared" si="65"/>
        <v>41.7</v>
      </c>
      <c r="AM83" s="1" t="str">
        <f>VLOOKUP(B:B,'7店辅助表'!AZ:AZ,1,FALSE)</f>
        <v>Y7033-DB+Y7034</v>
      </c>
      <c r="AN83" t="str">
        <f>VLOOKUP(B:B,'7店辅助表'!AZ:BB,3,FALSE)</f>
        <v>US</v>
      </c>
    </row>
    <row r="84" customHeight="1" spans="1:40">
      <c r="A84" s="58" t="str">
        <f>INDEX('[1]7店'!$A:$A,MATCH(B:B,'[1]7店'!$B:$B,0))</f>
        <v>美珠</v>
      </c>
      <c r="B84" s="116" t="s">
        <v>2370</v>
      </c>
      <c r="C84" s="45" t="s">
        <v>2371</v>
      </c>
      <c r="D84" s="59">
        <f>VLOOKUP(B:B,'[1]7店'!$B:$L,3,0)</f>
        <v>44967</v>
      </c>
      <c r="E84" s="45" t="s">
        <v>2372</v>
      </c>
      <c r="F84" s="45">
        <v>55</v>
      </c>
      <c r="G84" s="45">
        <v>0</v>
      </c>
      <c r="H84" s="45">
        <v>0</v>
      </c>
      <c r="I84" s="45">
        <v>0</v>
      </c>
      <c r="J84" s="45">
        <v>2</v>
      </c>
      <c r="K84" s="63">
        <f t="shared" si="55"/>
        <v>57</v>
      </c>
      <c r="L84" s="132">
        <f>VLOOKUP($B:$B,'[1]7店'!$B:$L,11,FALSE)</f>
        <v>13.9</v>
      </c>
      <c r="M84" s="44">
        <f t="shared" si="54"/>
        <v>792.3</v>
      </c>
      <c r="N84" s="65">
        <f>IFERROR(VLOOKUP(B:B,'7店辅助表'!B:C,2,FALSE),0)</f>
        <v>0</v>
      </c>
      <c r="O84" s="65">
        <f>IFERROR(VLOOKUP(B:B,'7店辅助表'!E:F,2,FALSE),0)</f>
        <v>2</v>
      </c>
      <c r="P84" s="65">
        <f>IFERROR(VLOOKUP(B:B,'7店辅助表'!H:I,2,FALSE),0)</f>
        <v>3</v>
      </c>
      <c r="Q84" s="65">
        <f>IFERROR(VLOOKUP(B:B,'[1]7店'!$B:$N,13,FALSE),0)</f>
        <v>1</v>
      </c>
      <c r="R84" s="79">
        <f t="shared" si="56"/>
        <v>-1</v>
      </c>
      <c r="S84" s="80">
        <f t="shared" si="57"/>
        <v>732.857142857143</v>
      </c>
      <c r="T84" s="44">
        <f t="shared" si="58"/>
        <v>24.4285714285714</v>
      </c>
      <c r="U84" s="44">
        <f>IFERROR(VLOOKUP($B:$B,'[1]7店'!$B:$T,19,FALSE),0)</f>
        <v>14</v>
      </c>
      <c r="V84" s="81">
        <f t="shared" si="59"/>
        <v>10.4285714285714</v>
      </c>
      <c r="W84" s="82" t="str">
        <f t="shared" si="60"/>
        <v>有库存无销量</v>
      </c>
      <c r="X84" s="83" t="str">
        <f t="shared" si="61"/>
        <v>库存过高</v>
      </c>
      <c r="Y84" s="44">
        <f>IFERROR(SUMIF('7店辅助表'!K:K,B:B,'7店辅助表'!N:N),0)</f>
        <v>0</v>
      </c>
      <c r="Z84" s="44">
        <f>IFERROR(SUMIF('7店辅助表'!T:T,B:B,'7店辅助表'!W:W),0)</f>
        <v>0</v>
      </c>
      <c r="AA84" s="44">
        <f>IFERROR(SUMIF('7店辅助表'!AC:AC,B:B,'7店辅助表'!AF:AF),0)</f>
        <v>0</v>
      </c>
      <c r="AB84" s="91" t="str">
        <f>IFERROR(SUMIF('7店辅助表'!K:K,B:B,'7店辅助表'!N:N)/SUMIF('7店辅助表'!K:K,B:B,'7店辅助表'!O:O),"-")</f>
        <v>-</v>
      </c>
      <c r="AC84" s="91" t="str">
        <f>IFERROR(VLOOKUP(B:B,'[1]7店'!$B:$AB,27,FALSE),"-")</f>
        <v>-</v>
      </c>
      <c r="AD84" s="92" t="str">
        <f t="shared" si="62"/>
        <v>-</v>
      </c>
      <c r="AE84" s="91" t="str">
        <f>IFERROR(SUMIF('7店辅助表'!T:T,B:B,'7店辅助表'!W:W)/SUMIF('7店辅助表'!T:T,B:B,'7店辅助表'!X:X),"-")</f>
        <v>-</v>
      </c>
      <c r="AF84" s="91" t="str">
        <f>IFERROR(SUMIF('7店辅助表'!AC:AC,B:B,'7店辅助表'!AF:AF)/SUMIF('7店辅助表'!AC:AC,B:B,'7店辅助表'!AG:AG),"-")</f>
        <v>-</v>
      </c>
      <c r="AG84" s="99">
        <f>IFERROR(AK84/((SUMIF('7店辅助表'!AT:AT,B:B,'7店辅助表'!AU:AU)+M84)/2),"-")</f>
        <v>0</v>
      </c>
      <c r="AH84" s="99">
        <f>IFERROR(AL84/((SUMIF('7店辅助表'!AW:AW,B:B,'7店辅助表'!AX:AX)+M84)/2),"-")</f>
        <v>0.0449438202247191</v>
      </c>
      <c r="AI84" s="100">
        <f>IFERROR((SUMIF('7店辅助表'!AP:AP,B:B,'7店辅助表'!AR:AR)-SUMIF('7店辅助表'!AP:AP,B:B,'7店辅助表'!AR:AR)*0.15-(L84+IFERROR(VLOOKUP(B:B,'7店辅助表'!AZ:BA,2,0),0))*O84-IF(AN:AN="US",6.85,4.9)*(Z84+4.27*O84))/SUMIF('7店辅助表'!AP:AP,B:B,'7店辅助表'!AR:AR),"-")</f>
        <v>0.343001354214078</v>
      </c>
      <c r="AJ84" s="100">
        <f t="shared" si="63"/>
        <v>0.0154157912006327</v>
      </c>
      <c r="AK84" s="101">
        <f t="shared" si="64"/>
        <v>0</v>
      </c>
      <c r="AL84" s="101">
        <f t="shared" si="65"/>
        <v>27.8</v>
      </c>
      <c r="AM84" s="1" t="str">
        <f>VLOOKUP(B:B,'7店辅助表'!AZ:AZ,1,FALSE)</f>
        <v>Y7033-OR+Y7034</v>
      </c>
      <c r="AN84" t="str">
        <f>VLOOKUP(B:B,'7店辅助表'!AZ:BB,3,FALSE)</f>
        <v>US</v>
      </c>
    </row>
    <row r="85" customHeight="1" spans="1:40">
      <c r="A85" s="58" t="str">
        <f>INDEX('[1]7店'!$A:$A,MATCH(B:B,'[1]7店'!$B:$B,0))</f>
        <v>美珠</v>
      </c>
      <c r="B85" s="116" t="s">
        <v>2373</v>
      </c>
      <c r="C85" s="45" t="s">
        <v>2374</v>
      </c>
      <c r="D85" s="59">
        <f>VLOOKUP(B:B,'[1]7店'!$B:$L,3,0)</f>
        <v>44958</v>
      </c>
      <c r="E85" s="45" t="s">
        <v>2375</v>
      </c>
      <c r="F85" s="45">
        <v>57</v>
      </c>
      <c r="G85" s="45">
        <v>0</v>
      </c>
      <c r="H85" s="45">
        <v>0</v>
      </c>
      <c r="I85" s="45">
        <v>1</v>
      </c>
      <c r="J85" s="45">
        <v>0</v>
      </c>
      <c r="K85" s="63">
        <f t="shared" si="55"/>
        <v>58</v>
      </c>
      <c r="L85" s="132">
        <f>VLOOKUP($B:$B,'[1]7店'!$B:$L,11,FALSE)</f>
        <v>13.9</v>
      </c>
      <c r="M85" s="44">
        <f t="shared" si="54"/>
        <v>806.2</v>
      </c>
      <c r="N85" s="65">
        <f>IFERROR(VLOOKUP(B:B,'7店辅助表'!B:C,2,FALSE),0)</f>
        <v>7</v>
      </c>
      <c r="O85" s="65">
        <f>IFERROR(VLOOKUP(B:B,'7店辅助表'!E:F,2,FALSE),0)</f>
        <v>19</v>
      </c>
      <c r="P85" s="65">
        <f>IFERROR(VLOOKUP(B:B,'7店辅助表'!H:I,2,FALSE),0)</f>
        <v>29</v>
      </c>
      <c r="Q85" s="65">
        <f>IFERROR(VLOOKUP(B:B,'[1]7店'!$B:$N,13,FALSE),0)</f>
        <v>10</v>
      </c>
      <c r="R85" s="79">
        <f t="shared" si="56"/>
        <v>-3</v>
      </c>
      <c r="S85" s="80">
        <f t="shared" si="57"/>
        <v>53.8144329896907</v>
      </c>
      <c r="T85" s="44">
        <f t="shared" si="58"/>
        <v>1.79381443298969</v>
      </c>
      <c r="U85" s="44">
        <f>IFERROR(VLOOKUP($B:$B,'[1]7店'!$B:$T,19,FALSE),0)</f>
        <v>1.76203576341128</v>
      </c>
      <c r="V85" s="81">
        <f t="shared" si="59"/>
        <v>0.0317786695784099</v>
      </c>
      <c r="W85" s="82" t="str">
        <f t="shared" si="60"/>
        <v>库存过高</v>
      </c>
      <c r="X85" s="83" t="str">
        <f t="shared" si="61"/>
        <v>库存过高</v>
      </c>
      <c r="Y85" s="44">
        <f>IFERROR(SUMIF('7店辅助表'!K:K,B:B,'7店辅助表'!N:N),0)</f>
        <v>0</v>
      </c>
      <c r="Z85" s="44">
        <f>IFERROR(SUMIF('7店辅助表'!T:T,B:B,'7店辅助表'!W:W),0)</f>
        <v>0</v>
      </c>
      <c r="AA85" s="44">
        <f>IFERROR(SUMIF('7店辅助表'!AC:AC,B:B,'7店辅助表'!AF:AF),0)</f>
        <v>0</v>
      </c>
      <c r="AB85" s="91" t="str">
        <f>IFERROR(SUMIF('7店辅助表'!K:K,B:B,'7店辅助表'!N:N)/SUMIF('7店辅助表'!K:K,B:B,'7店辅助表'!O:O),"-")</f>
        <v>-</v>
      </c>
      <c r="AC85" s="91" t="str">
        <f>IFERROR(VLOOKUP(B:B,'[1]7店'!$B:$AB,27,FALSE),"-")</f>
        <v>-</v>
      </c>
      <c r="AD85" s="92" t="str">
        <f t="shared" si="62"/>
        <v>-</v>
      </c>
      <c r="AE85" s="91" t="str">
        <f>IFERROR(SUMIF('7店辅助表'!T:T,B:B,'7店辅助表'!W:W)/SUMIF('7店辅助表'!T:T,B:B,'7店辅助表'!X:X),"-")</f>
        <v>-</v>
      </c>
      <c r="AF85" s="91" t="str">
        <f>IFERROR(SUMIF('7店辅助表'!AC:AC,B:B,'7店辅助表'!AF:AF)/SUMIF('7店辅助表'!AC:AC,B:B,'7店辅助表'!AG:AG),"-")</f>
        <v>-</v>
      </c>
      <c r="AG85" s="99">
        <f>IFERROR(AK85/((SUMIF('7店辅助表'!AT:AT,B:B,'7店辅助表'!AU:AU)+M85)/2),"-")</f>
        <v>0.117647058823529</v>
      </c>
      <c r="AH85" s="99">
        <f>IFERROR(AL85/((SUMIF('7店辅助表'!AW:AW,B:B,'7店辅助表'!AX:AX)+M85)/2),"-")</f>
        <v>0.351851851851852</v>
      </c>
      <c r="AI85" s="100">
        <f>IFERROR((SUMIF('7店辅助表'!AP:AP,B:B,'7店辅助表'!AR:AR)-SUMIF('7店辅助表'!AP:AP,B:B,'7店辅助表'!AR:AR)*0.15-(L85+IFERROR(VLOOKUP(B:B,'7店辅助表'!AZ:BA,2,0),0))*O85-IF(AN:AN="US",6.85,4.9)*(Z85+4.27*O85))/SUMIF('7店辅助表'!AP:AP,B:B,'7店辅助表'!AR:AR),"-")</f>
        <v>0.30859000069965</v>
      </c>
      <c r="AJ85" s="100">
        <f t="shared" si="63"/>
        <v>0.108577963209136</v>
      </c>
      <c r="AK85" s="101">
        <f t="shared" si="64"/>
        <v>97.3</v>
      </c>
      <c r="AL85" s="101">
        <f t="shared" si="65"/>
        <v>264.1</v>
      </c>
      <c r="AM85" s="1" t="str">
        <f>VLOOKUP(B:B,'7店辅助表'!AZ:AZ,1,FALSE)</f>
        <v>Y7028-BL+Y7029+Y7030</v>
      </c>
      <c r="AN85" t="str">
        <f>VLOOKUP(B:B,'7店辅助表'!AZ:BB,3,FALSE)</f>
        <v>US</v>
      </c>
    </row>
    <row r="86" customHeight="1" spans="1:40">
      <c r="A86" s="58" t="str">
        <f>INDEX('[1]7店'!$A:$A,MATCH(B:B,'[1]7店'!$B:$B,0))</f>
        <v>美珠</v>
      </c>
      <c r="B86" s="116" t="s">
        <v>2376</v>
      </c>
      <c r="C86" s="45" t="s">
        <v>2377</v>
      </c>
      <c r="D86" s="59">
        <f>VLOOKUP(B:B,'[1]7店'!$B:$L,3,0)</f>
        <v>44958</v>
      </c>
      <c r="E86" s="45" t="s">
        <v>2378</v>
      </c>
      <c r="F86" s="45">
        <v>23</v>
      </c>
      <c r="G86" s="45">
        <v>0</v>
      </c>
      <c r="H86" s="45">
        <v>1</v>
      </c>
      <c r="I86" s="45">
        <v>1</v>
      </c>
      <c r="J86" s="45">
        <v>0</v>
      </c>
      <c r="K86" s="63">
        <f t="shared" si="55"/>
        <v>25</v>
      </c>
      <c r="L86" s="132">
        <f>VLOOKUP($B:$B,'[1]7店'!$B:$L,11,FALSE)</f>
        <v>13.9</v>
      </c>
      <c r="M86" s="44">
        <f t="shared" si="54"/>
        <v>347.5</v>
      </c>
      <c r="N86" s="65">
        <f>IFERROR(VLOOKUP(B:B,'7店辅助表'!B:C,2,FALSE),0)</f>
        <v>4</v>
      </c>
      <c r="O86" s="65">
        <f>IFERROR(VLOOKUP(B:B,'7店辅助表'!E:F,2,FALSE),0)</f>
        <v>8</v>
      </c>
      <c r="P86" s="65">
        <f>IFERROR(VLOOKUP(B:B,'7店辅助表'!H:I,2,FALSE),0)</f>
        <v>12</v>
      </c>
      <c r="Q86" s="65">
        <f>IFERROR(VLOOKUP(B:B,'[1]7店'!$B:$N,13,FALSE),0)</f>
        <v>3</v>
      </c>
      <c r="R86" s="79">
        <f t="shared" si="56"/>
        <v>1</v>
      </c>
      <c r="S86" s="80">
        <f t="shared" si="57"/>
        <v>49.8417721518987</v>
      </c>
      <c r="T86" s="44">
        <f t="shared" si="58"/>
        <v>1.66139240506329</v>
      </c>
      <c r="U86" s="44">
        <f>IFERROR(VLOOKUP($B:$B,'[1]7店'!$B:$T,19,FALSE),0)</f>
        <v>2.25896414342629</v>
      </c>
      <c r="V86" s="81">
        <f t="shared" si="59"/>
        <v>-0.597571738363</v>
      </c>
      <c r="W86" s="82" t="str">
        <f t="shared" si="60"/>
        <v>正常</v>
      </c>
      <c r="X86" s="83" t="str">
        <f t="shared" si="61"/>
        <v>库存过高</v>
      </c>
      <c r="Y86" s="44">
        <f>IFERROR(SUMIF('7店辅助表'!K:K,B:B,'7店辅助表'!N:N),0)</f>
        <v>0</v>
      </c>
      <c r="Z86" s="44">
        <f>IFERROR(SUMIF('7店辅助表'!T:T,B:B,'7店辅助表'!W:W),0)</f>
        <v>0</v>
      </c>
      <c r="AA86" s="44">
        <f>IFERROR(SUMIF('7店辅助表'!AC:AC,B:B,'7店辅助表'!AF:AF),0)</f>
        <v>0</v>
      </c>
      <c r="AB86" s="91" t="str">
        <f>IFERROR(SUMIF('7店辅助表'!K:K,B:B,'7店辅助表'!N:N)/SUMIF('7店辅助表'!K:K,B:B,'7店辅助表'!O:O),"-")</f>
        <v>-</v>
      </c>
      <c r="AC86" s="91" t="str">
        <f>IFERROR(VLOOKUP(B:B,'[1]7店'!$B:$AB,27,FALSE),"-")</f>
        <v>-</v>
      </c>
      <c r="AD86" s="92" t="str">
        <f t="shared" si="62"/>
        <v>-</v>
      </c>
      <c r="AE86" s="91" t="str">
        <f>IFERROR(SUMIF('7店辅助表'!T:T,B:B,'7店辅助表'!W:W)/SUMIF('7店辅助表'!T:T,B:B,'7店辅助表'!X:X),"-")</f>
        <v>-</v>
      </c>
      <c r="AF86" s="91" t="str">
        <f>IFERROR(SUMIF('7店辅助表'!AC:AC,B:B,'7店辅助表'!AF:AF)/SUMIF('7店辅助表'!AC:AC,B:B,'7店辅助表'!AG:AG),"-")</f>
        <v>-</v>
      </c>
      <c r="AG86" s="99">
        <f>IFERROR(AK86/((SUMIF('7店辅助表'!AT:AT,B:B,'7店辅助表'!AU:AU)+M86)/2),"-")</f>
        <v>0.153846153846154</v>
      </c>
      <c r="AH86" s="99">
        <f>IFERROR(AL86/((SUMIF('7店辅助表'!AW:AW,B:B,'7店辅助表'!AX:AX)+M86)/2),"-")</f>
        <v>0.280701754385965</v>
      </c>
      <c r="AI86" s="100">
        <f>IFERROR((SUMIF('7店辅助表'!AP:AP,B:B,'7店辅助表'!AR:AR)-SUMIF('7店辅助表'!AP:AP,B:B,'7店辅助表'!AR:AR)*0.15-(L86+IFERROR(VLOOKUP(B:B,'7店辅助表'!AZ:BA,2,0),0))*O86-IF(AN:AN="US",6.85,4.9)*(Z86+4.27*O86))/SUMIF('7店辅助表'!AP:AP,B:B,'7店辅助表'!AR:AR),"-")</f>
        <v>0.336192118621733</v>
      </c>
      <c r="AJ86" s="100">
        <f t="shared" si="63"/>
        <v>0.0943697175078549</v>
      </c>
      <c r="AK86" s="101">
        <f t="shared" si="64"/>
        <v>55.6</v>
      </c>
      <c r="AL86" s="101">
        <f t="shared" si="65"/>
        <v>111.2</v>
      </c>
      <c r="AM86" s="1" t="str">
        <f>VLOOKUP(B:B,'7店辅助表'!AZ:AZ,1,FALSE)</f>
        <v>Y7028-BU+Y7029+Y7030</v>
      </c>
      <c r="AN86" t="str">
        <f>VLOOKUP(B:B,'7店辅助表'!AZ:BB,3,FALSE)</f>
        <v>US</v>
      </c>
    </row>
    <row r="87" customHeight="1" spans="1:40">
      <c r="A87" s="58" t="str">
        <f>INDEX('[1]7店'!$A:$A,MATCH(B:B,'[1]7店'!$B:$B,0))</f>
        <v>美珠</v>
      </c>
      <c r="B87" s="116" t="s">
        <v>2379</v>
      </c>
      <c r="C87" s="45" t="s">
        <v>2380</v>
      </c>
      <c r="D87" s="59">
        <f>VLOOKUP(B:B,'[1]7店'!$B:$L,3,0)</f>
        <v>44958</v>
      </c>
      <c r="E87" s="45" t="s">
        <v>2381</v>
      </c>
      <c r="F87" s="45">
        <v>32</v>
      </c>
      <c r="G87" s="45">
        <v>1</v>
      </c>
      <c r="H87" s="45">
        <v>0</v>
      </c>
      <c r="I87" s="45">
        <v>0</v>
      </c>
      <c r="J87" s="45">
        <v>0</v>
      </c>
      <c r="K87" s="63">
        <f t="shared" si="55"/>
        <v>33</v>
      </c>
      <c r="L87" s="132">
        <f>VLOOKUP($B:$B,'[1]7店'!$B:$L,11,FALSE)</f>
        <v>13.9</v>
      </c>
      <c r="M87" s="44">
        <f t="shared" si="54"/>
        <v>458.7</v>
      </c>
      <c r="N87" s="65">
        <f>IFERROR(VLOOKUP(B:B,'7店辅助表'!B:C,2,FALSE),0)</f>
        <v>0</v>
      </c>
      <c r="O87" s="65">
        <f>IFERROR(VLOOKUP(B:B,'7店辅助表'!E:F,2,FALSE),0)</f>
        <v>4</v>
      </c>
      <c r="P87" s="65">
        <f>IFERROR(VLOOKUP(B:B,'7店辅助表'!H:I,2,FALSE),0)</f>
        <v>10</v>
      </c>
      <c r="Q87" s="65">
        <f>IFERROR(VLOOKUP(B:B,'[1]7店'!$B:$N,13,FALSE),0)</f>
        <v>4</v>
      </c>
      <c r="R87" s="79">
        <f t="shared" si="56"/>
        <v>-4</v>
      </c>
      <c r="S87" s="80">
        <f t="shared" si="57"/>
        <v>165</v>
      </c>
      <c r="T87" s="44">
        <f t="shared" si="58"/>
        <v>5.5</v>
      </c>
      <c r="U87" s="44">
        <f>IFERROR(VLOOKUP($B:$B,'[1]7店'!$B:$T,19,FALSE),0)</f>
        <v>2.90769230769231</v>
      </c>
      <c r="V87" s="81">
        <f t="shared" si="59"/>
        <v>2.59230769230769</v>
      </c>
      <c r="W87" s="82" t="str">
        <f t="shared" si="60"/>
        <v>有库存无销量</v>
      </c>
      <c r="X87" s="83" t="str">
        <f t="shared" si="61"/>
        <v>库存过高</v>
      </c>
      <c r="Y87" s="44">
        <f>IFERROR(SUMIF('7店辅助表'!K:K,B:B,'7店辅助表'!N:N),0)</f>
        <v>1.75</v>
      </c>
      <c r="Z87" s="44">
        <f>IFERROR(SUMIF('7店辅助表'!T:T,B:B,'7店辅助表'!W:W),0)</f>
        <v>5.05</v>
      </c>
      <c r="AA87" s="44">
        <f>IFERROR(SUMIF('7店辅助表'!AC:AC,B:B,'7店辅助表'!AF:AF),0)</f>
        <v>9.27</v>
      </c>
      <c r="AB87" s="91" t="str">
        <f>IFERROR(SUMIF('7店辅助表'!K:K,B:B,'7店辅助表'!N:N)/SUMIF('7店辅助表'!K:K,B:B,'7店辅助表'!O:O),"-")</f>
        <v>-</v>
      </c>
      <c r="AC87" s="91" t="str">
        <f>IFERROR(VLOOKUP(B:B,'[1]7店'!$B:$AB,27,FALSE),"-")</f>
        <v>-</v>
      </c>
      <c r="AD87" s="92" t="str">
        <f t="shared" si="62"/>
        <v>-</v>
      </c>
      <c r="AE87" s="91" t="str">
        <f>IFERROR(SUMIF('7店辅助表'!T:T,B:B,'7店辅助表'!W:W)/SUMIF('7店辅助表'!T:T,B:B,'7店辅助表'!X:X),"-")</f>
        <v>-</v>
      </c>
      <c r="AF87" s="91">
        <f>IFERROR(SUMIF('7店辅助表'!AC:AC,B:B,'7店辅助表'!AF:AF)/SUMIF('7店辅助表'!AC:AC,B:B,'7店辅助表'!AG:AG),"-")</f>
        <v>0.356812933025404</v>
      </c>
      <c r="AG87" s="99">
        <f>IFERROR(AK87/((SUMIF('7店辅助表'!AT:AT,B:B,'7店辅助表'!AU:AU)+M87)/2),"-")</f>
        <v>0</v>
      </c>
      <c r="AH87" s="99">
        <f>IFERROR(AL87/((SUMIF('7店辅助表'!AW:AW,B:B,'7店辅助表'!AX:AX)+M87)/2),"-")</f>
        <v>0.106666666666667</v>
      </c>
      <c r="AI87" s="100">
        <f>IFERROR((SUMIF('7店辅助表'!AP:AP,B:B,'7店辅助表'!AR:AR)-SUMIF('7店辅助表'!AP:AP,B:B,'7店辅助表'!AR:AR)*0.15-(L87+IFERROR(VLOOKUP(B:B,'7店辅助表'!AZ:BA,2,0),0))*O87-IF(AN:AN="US",6.85,4.9)*(Z87+4.27*O87))/SUMIF('7店辅助表'!AP:AP,B:B,'7店辅助表'!AR:AR),"-")</f>
        <v>0.170086333403213</v>
      </c>
      <c r="AJ87" s="100">
        <f t="shared" si="63"/>
        <v>0.0181425422296761</v>
      </c>
      <c r="AK87" s="101">
        <f t="shared" si="64"/>
        <v>0</v>
      </c>
      <c r="AL87" s="101">
        <f t="shared" si="65"/>
        <v>55.6</v>
      </c>
      <c r="AM87" s="1" t="str">
        <f>VLOOKUP(B:B,'7店辅助表'!AZ:AZ,1,FALSE)</f>
        <v>Y7028-DB+Y7029+Y7030</v>
      </c>
      <c r="AN87" t="str">
        <f>VLOOKUP(B:B,'7店辅助表'!AZ:BB,3,FALSE)</f>
        <v>US</v>
      </c>
    </row>
    <row r="88" customHeight="1" spans="1:40">
      <c r="A88" s="58" t="str">
        <f>INDEX('[1]7店'!$A:$A,MATCH(B:B,'[1]7店'!$B:$B,0))</f>
        <v>美珠</v>
      </c>
      <c r="B88" s="116" t="s">
        <v>2382</v>
      </c>
      <c r="C88" s="45" t="s">
        <v>2383</v>
      </c>
      <c r="D88" s="59">
        <f>VLOOKUP(B:B,'[1]7店'!$B:$L,3,0)</f>
        <v>44958</v>
      </c>
      <c r="E88" s="45" t="s">
        <v>2384</v>
      </c>
      <c r="F88" s="45">
        <v>14</v>
      </c>
      <c r="G88" s="45">
        <v>0</v>
      </c>
      <c r="H88" s="45">
        <v>0</v>
      </c>
      <c r="I88" s="45">
        <v>0</v>
      </c>
      <c r="J88" s="45">
        <v>0</v>
      </c>
      <c r="K88" s="63">
        <f t="shared" si="55"/>
        <v>14</v>
      </c>
      <c r="L88" s="132">
        <f>VLOOKUP($B:$B,'[1]7店'!$B:$L,11,FALSE)</f>
        <v>13.9</v>
      </c>
      <c r="M88" s="44">
        <f t="shared" si="54"/>
        <v>194.6</v>
      </c>
      <c r="N88" s="65">
        <f>IFERROR(VLOOKUP(B:B,'7店辅助表'!B:C,2,FALSE),0)</f>
        <v>5</v>
      </c>
      <c r="O88" s="65">
        <f>IFERROR(VLOOKUP(B:B,'7店辅助表'!E:F,2,FALSE),0)</f>
        <v>12</v>
      </c>
      <c r="P88" s="65">
        <f>IFERROR(VLOOKUP(B:B,'7店辅助表'!H:I,2,FALSE),0)</f>
        <v>20</v>
      </c>
      <c r="Q88" s="65">
        <f>IFERROR(VLOOKUP(B:B,'[1]7店'!$B:$N,13,FALSE),0)</f>
        <v>6</v>
      </c>
      <c r="R88" s="79">
        <f t="shared" si="56"/>
        <v>-1</v>
      </c>
      <c r="S88" s="80">
        <f t="shared" si="57"/>
        <v>19.2576419213974</v>
      </c>
      <c r="T88" s="44">
        <f t="shared" si="58"/>
        <v>0.641921397379913</v>
      </c>
      <c r="U88" s="44">
        <f>IFERROR(VLOOKUP($B:$B,'[1]7店'!$B:$T,19,FALSE),0)</f>
        <v>1.02083333333333</v>
      </c>
      <c r="V88" s="81">
        <f t="shared" si="59"/>
        <v>-0.378911935953417</v>
      </c>
      <c r="W88" s="82" t="str">
        <f t="shared" si="60"/>
        <v>正常</v>
      </c>
      <c r="X88" s="83" t="str">
        <f t="shared" si="61"/>
        <v>正常</v>
      </c>
      <c r="Y88" s="44">
        <f>IFERROR(SUMIF('7店辅助表'!K:K,B:B,'7店辅助表'!N:N),0)</f>
        <v>11.2</v>
      </c>
      <c r="Z88" s="44">
        <f>IFERROR(SUMIF('7店辅助表'!T:T,B:B,'7店辅助表'!W:W),0)</f>
        <v>31.13</v>
      </c>
      <c r="AA88" s="44">
        <f>IFERROR(SUMIF('7店辅助表'!AC:AC,B:B,'7店辅助表'!AF:AF),0)</f>
        <v>47.05</v>
      </c>
      <c r="AB88" s="91">
        <f>IFERROR(SUMIF('7店辅助表'!K:K,B:B,'7店辅助表'!N:N)/SUMIF('7店辅助表'!K:K,B:B,'7店辅助表'!O:O),"-")</f>
        <v>0.144311300090195</v>
      </c>
      <c r="AC88" s="91">
        <f>IFERROR(VLOOKUP(B:B,'[1]7店'!$B:$AB,27,FALSE),"-")</f>
        <v>0.211503677800555</v>
      </c>
      <c r="AD88" s="92">
        <f t="shared" si="62"/>
        <v>-0.06719237771036</v>
      </c>
      <c r="AE88" s="91">
        <f>IFERROR(SUMIF('7店辅助表'!T:T,B:B,'7店辅助表'!W:W)/SUMIF('7店辅助表'!T:T,B:B,'7店辅助表'!X:X),"-")</f>
        <v>0.191522086870924</v>
      </c>
      <c r="AF88" s="91">
        <f>IFERROR(SUMIF('7店辅助表'!AC:AC,B:B,'7店辅助表'!AF:AF)/SUMIF('7店辅助表'!AC:AC,B:B,'7店辅助表'!AG:AG),"-")</f>
        <v>0.206822277902325</v>
      </c>
      <c r="AG88" s="99">
        <f>IFERROR(AK88/((SUMIF('7店辅助表'!AT:AT,B:B,'7店辅助表'!AU:AU)+M88)/2),"-")</f>
        <v>0.285714285714286</v>
      </c>
      <c r="AH88" s="99">
        <f>IFERROR(AL88/((SUMIF('7店辅助表'!AW:AW,B:B,'7店辅助表'!AX:AX)+M88)/2),"-")</f>
        <v>0.51063829787234</v>
      </c>
      <c r="AI88" s="100">
        <f>IFERROR((SUMIF('7店辅助表'!AP:AP,B:B,'7店辅助表'!AR:AR)-SUMIF('7店辅助表'!AP:AP,B:B,'7店辅助表'!AR:AR)*0.15-(L88+IFERROR(VLOOKUP(B:B,'7店辅助表'!AZ:BA,2,0),0))*O88-IF(AN:AN="US",6.85,4.9)*(Z88+4.27*O88))/SUMIF('7店辅助表'!AP:AP,B:B,'7店辅助表'!AR:AR),"-")</f>
        <v>0.115597766535617</v>
      </c>
      <c r="AJ88" s="100">
        <f t="shared" si="63"/>
        <v>0.0590286467415915</v>
      </c>
      <c r="AK88" s="101">
        <f t="shared" si="64"/>
        <v>69.5</v>
      </c>
      <c r="AL88" s="101">
        <f t="shared" si="65"/>
        <v>166.8</v>
      </c>
      <c r="AM88" s="1" t="str">
        <f>VLOOKUP(B:B,'7店辅助表'!AZ:AZ,1,FALSE)</f>
        <v>Y7028-OR+Y7029+Y7030</v>
      </c>
      <c r="AN88" t="str">
        <f>VLOOKUP(B:B,'7店辅助表'!AZ:BB,3,FALSE)</f>
        <v>US</v>
      </c>
    </row>
    <row r="89" customHeight="1" spans="1:40">
      <c r="A89" s="58" t="str">
        <f>INDEX('[1]7店'!$A:$A,MATCH(B:B,'[1]7店'!$B:$B,0))</f>
        <v>美珠</v>
      </c>
      <c r="B89" s="116" t="s">
        <v>2385</v>
      </c>
      <c r="C89" s="45" t="s">
        <v>2386</v>
      </c>
      <c r="D89" s="59">
        <f>VLOOKUP(B:B,'[1]7店'!$B:$L,3,0)</f>
        <v>44958</v>
      </c>
      <c r="E89" s="45" t="s">
        <v>2387</v>
      </c>
      <c r="F89" s="45">
        <v>129</v>
      </c>
      <c r="G89" s="45">
        <v>0</v>
      </c>
      <c r="H89" s="45">
        <v>1</v>
      </c>
      <c r="I89" s="45">
        <v>0</v>
      </c>
      <c r="J89" s="45">
        <v>0</v>
      </c>
      <c r="K89" s="63">
        <f t="shared" si="55"/>
        <v>130</v>
      </c>
      <c r="L89" s="132">
        <f>VLOOKUP($B:$B,'[1]7店'!$B:$L,11,FALSE)</f>
        <v>13.9</v>
      </c>
      <c r="M89" s="44">
        <f t="shared" si="54"/>
        <v>1807</v>
      </c>
      <c r="N89" s="65">
        <f>IFERROR(VLOOKUP(B:B,'7店辅助表'!B:C,2,FALSE),0)</f>
        <v>2</v>
      </c>
      <c r="O89" s="65">
        <f>IFERROR(VLOOKUP(B:B,'7店辅助表'!E:F,2,FALSE),0)</f>
        <v>7</v>
      </c>
      <c r="P89" s="65">
        <f>IFERROR(VLOOKUP(B:B,'7店辅助表'!H:I,2,FALSE),0)</f>
        <v>14</v>
      </c>
      <c r="Q89" s="65">
        <f>IFERROR(VLOOKUP(B:B,'[1]7店'!$B:$N,13,FALSE),0)</f>
        <v>5</v>
      </c>
      <c r="R89" s="79">
        <f t="shared" si="56"/>
        <v>-3</v>
      </c>
      <c r="S89" s="80">
        <f t="shared" si="57"/>
        <v>319.921875</v>
      </c>
      <c r="T89" s="44">
        <f t="shared" si="58"/>
        <v>10.6640625</v>
      </c>
      <c r="U89" s="44">
        <f>IFERROR(VLOOKUP($B:$B,'[1]7店'!$B:$T,19,FALSE),0)</f>
        <v>6.71394230769231</v>
      </c>
      <c r="V89" s="81">
        <f t="shared" si="59"/>
        <v>3.95012019230769</v>
      </c>
      <c r="W89" s="82" t="str">
        <f t="shared" si="60"/>
        <v>库存过高</v>
      </c>
      <c r="X89" s="83" t="str">
        <f t="shared" si="61"/>
        <v>库存过高</v>
      </c>
      <c r="Y89" s="44">
        <f>IFERROR(SUMIF('7店辅助表'!K:K,B:B,'7店辅助表'!N:N),0)</f>
        <v>1.9</v>
      </c>
      <c r="Z89" s="44">
        <f>IFERROR(SUMIF('7店辅助表'!T:T,B:B,'7店辅助表'!W:W),0)</f>
        <v>1.9</v>
      </c>
      <c r="AA89" s="44">
        <f>IFERROR(SUMIF('7店辅助表'!AC:AC,B:B,'7店辅助表'!AF:AF),0)</f>
        <v>1.9</v>
      </c>
      <c r="AB89" s="91">
        <f>IFERROR(SUMIF('7店辅助表'!K:K,B:B,'7店辅助表'!N:N)/SUMIF('7店辅助表'!K:K,B:B,'7店辅助表'!O:O),"-")</f>
        <v>0.14626635873749</v>
      </c>
      <c r="AC89" s="91" t="str">
        <f>IFERROR(VLOOKUP(B:B,'[1]7店'!$B:$AB,27,FALSE),"-")</f>
        <v>-</v>
      </c>
      <c r="AD89" s="92" t="str">
        <f t="shared" si="62"/>
        <v>-</v>
      </c>
      <c r="AE89" s="91">
        <f>IFERROR(SUMIF('7店辅助表'!T:T,B:B,'7店辅助表'!W:W)/SUMIF('7店辅助表'!T:T,B:B,'7店辅助表'!X:X),"-")</f>
        <v>0.14626635873749</v>
      </c>
      <c r="AF89" s="91">
        <f>IFERROR(SUMIF('7店辅助表'!AC:AC,B:B,'7店辅助表'!AF:AF)/SUMIF('7店辅助表'!AC:AC,B:B,'7店辅助表'!AG:AG),"-")</f>
        <v>0.14626635873749</v>
      </c>
      <c r="AG89" s="99">
        <f>IFERROR(AK89/((SUMIF('7店辅助表'!AT:AT,B:B,'7店辅助表'!AU:AU)+M89)/2),"-")</f>
        <v>0.0152091254752852</v>
      </c>
      <c r="AH89" s="99">
        <f>IFERROR(AL89/((SUMIF('7店辅助表'!AW:AW,B:B,'7店辅助表'!AX:AX)+M89)/2),"-")</f>
        <v>0.0512820512820513</v>
      </c>
      <c r="AI89" s="100">
        <f>IFERROR((SUMIF('7店辅助表'!AP:AP,B:B,'7店辅助表'!AR:AR)-SUMIF('7店辅助表'!AP:AP,B:B,'7店辅助表'!AR:AR)*0.15-(L89+IFERROR(VLOOKUP(B:B,'7店辅助表'!AZ:BA,2,0),0))*O89-IF(AN:AN="US",6.85,4.9)*(Z89+4.27*O89))/SUMIF('7店辅助表'!AP:AP,B:B,'7店辅助表'!AR:AR),"-")</f>
        <v>0.267317481721744</v>
      </c>
      <c r="AJ89" s="100">
        <f t="shared" si="63"/>
        <v>0.0137085888062433</v>
      </c>
      <c r="AK89" s="101">
        <f t="shared" si="64"/>
        <v>27.8</v>
      </c>
      <c r="AL89" s="101">
        <f t="shared" si="65"/>
        <v>97.3</v>
      </c>
      <c r="AM89" s="1" t="str">
        <f>VLOOKUP(B:B,'7店辅助表'!AZ:AZ,1,FALSE)</f>
        <v>Y7031-BL+Y7032</v>
      </c>
      <c r="AN89" t="str">
        <f>VLOOKUP(B:B,'7店辅助表'!AZ:BB,3,FALSE)</f>
        <v>US</v>
      </c>
    </row>
    <row r="90" customHeight="1" spans="1:40">
      <c r="A90" s="58" t="str">
        <f>INDEX('[1]7店'!$A:$A,MATCH(B:B,'[1]7店'!$B:$B,0))</f>
        <v>美珠</v>
      </c>
      <c r="B90" s="116" t="s">
        <v>2388</v>
      </c>
      <c r="C90" s="45" t="s">
        <v>2389</v>
      </c>
      <c r="D90" s="59">
        <f>VLOOKUP(B:B,'[1]7店'!$B:$L,3,0)</f>
        <v>44958</v>
      </c>
      <c r="E90" s="45" t="s">
        <v>2390</v>
      </c>
      <c r="F90" s="45">
        <v>66</v>
      </c>
      <c r="G90" s="45">
        <v>0</v>
      </c>
      <c r="H90" s="45">
        <v>11</v>
      </c>
      <c r="I90" s="45">
        <v>2</v>
      </c>
      <c r="J90" s="45">
        <v>0</v>
      </c>
      <c r="K90" s="63">
        <f t="shared" si="55"/>
        <v>79</v>
      </c>
      <c r="L90" s="132">
        <f>VLOOKUP($B:$B,'[1]7店'!$B:$L,11,FALSE)</f>
        <v>13.9</v>
      </c>
      <c r="M90" s="44">
        <f t="shared" si="54"/>
        <v>1098.1</v>
      </c>
      <c r="N90" s="65">
        <f>IFERROR(VLOOKUP(B:B,'7店辅助表'!B:C,2,FALSE),0)</f>
        <v>4</v>
      </c>
      <c r="O90" s="65">
        <f>IFERROR(VLOOKUP(B:B,'7店辅助表'!E:F,2,FALSE),0)</f>
        <v>5</v>
      </c>
      <c r="P90" s="65">
        <f>IFERROR(VLOOKUP(B:B,'7店辅助表'!H:I,2,FALSE),0)</f>
        <v>11</v>
      </c>
      <c r="Q90" s="65">
        <f>IFERROR(VLOOKUP(B:B,'[1]7店'!$B:$N,13,FALSE),0)</f>
        <v>1</v>
      </c>
      <c r="R90" s="79">
        <f t="shared" si="56"/>
        <v>3</v>
      </c>
      <c r="S90" s="80">
        <f t="shared" si="57"/>
        <v>186.404494382022</v>
      </c>
      <c r="T90" s="44">
        <f t="shared" si="58"/>
        <v>6.21348314606742</v>
      </c>
      <c r="U90" s="44">
        <f>IFERROR(VLOOKUP($B:$B,'[1]7店'!$B:$T,19,FALSE),0)</f>
        <v>10.9038461538462</v>
      </c>
      <c r="V90" s="81">
        <f t="shared" si="59"/>
        <v>-4.69036300777878</v>
      </c>
      <c r="W90" s="82" t="str">
        <f t="shared" si="60"/>
        <v>库存过高</v>
      </c>
      <c r="X90" s="83" t="str">
        <f t="shared" si="61"/>
        <v>库存过高</v>
      </c>
      <c r="Y90" s="44">
        <f>IFERROR(SUMIF('7店辅助表'!K:K,B:B,'7店辅助表'!N:N),0)</f>
        <v>0</v>
      </c>
      <c r="Z90" s="44">
        <f>IFERROR(SUMIF('7店辅助表'!T:T,B:B,'7店辅助表'!W:W),0)</f>
        <v>0.3</v>
      </c>
      <c r="AA90" s="44">
        <f>IFERROR(SUMIF('7店辅助表'!AC:AC,B:B,'7店辅助表'!AF:AF),0)</f>
        <v>0.75</v>
      </c>
      <c r="AB90" s="91" t="str">
        <f>IFERROR(SUMIF('7店辅助表'!K:K,B:B,'7店辅助表'!N:N)/SUMIF('7店辅助表'!K:K,B:B,'7店辅助表'!O:O),"-")</f>
        <v>-</v>
      </c>
      <c r="AC90" s="91" t="str">
        <f>IFERROR(VLOOKUP(B:B,'[1]7店'!$B:$AB,27,FALSE),"-")</f>
        <v>-</v>
      </c>
      <c r="AD90" s="92" t="str">
        <f t="shared" si="62"/>
        <v>-</v>
      </c>
      <c r="AE90" s="91" t="str">
        <f>IFERROR(SUMIF('7店辅助表'!T:T,B:B,'7店辅助表'!W:W)/SUMIF('7店辅助表'!T:T,B:B,'7店辅助表'!X:X),"-")</f>
        <v>-</v>
      </c>
      <c r="AF90" s="91" t="str">
        <f>IFERROR(SUMIF('7店辅助表'!AC:AC,B:B,'7店辅助表'!AF:AF)/SUMIF('7店辅助表'!AC:AC,B:B,'7店辅助表'!AG:AG),"-")</f>
        <v>-</v>
      </c>
      <c r="AG90" s="99">
        <f>IFERROR(AK90/((SUMIF('7店辅助表'!AT:AT,B:B,'7店辅助表'!AU:AU)+M90)/2),"-")</f>
        <v>0.05</v>
      </c>
      <c r="AH90" s="99">
        <f>IFERROR(AL90/((SUMIF('7店辅助表'!AW:AW,B:B,'7店辅助表'!AX:AX)+M90)/2),"-")</f>
        <v>0.0602409638554217</v>
      </c>
      <c r="AI90" s="100">
        <f>IFERROR((SUMIF('7店辅助表'!AP:AP,B:B,'7店辅助表'!AR:AR)-SUMIF('7店辅助表'!AP:AP,B:B,'7店辅助表'!AR:AR)*0.15-(L90+IFERROR(VLOOKUP(B:B,'7店辅助表'!AZ:BA,2,0),0))*O90-IF(AN:AN="US",6.85,4.9)*(Z90+4.27*O90))/SUMIF('7店辅助表'!AP:AP,B:B,'7店辅助表'!AR:AR),"-")</f>
        <v>0.334381584936195</v>
      </c>
      <c r="AJ90" s="100">
        <f t="shared" si="63"/>
        <v>0.0201434689720599</v>
      </c>
      <c r="AK90" s="101">
        <f t="shared" si="64"/>
        <v>55.6</v>
      </c>
      <c r="AL90" s="101">
        <f t="shared" si="65"/>
        <v>69.5</v>
      </c>
      <c r="AM90" s="1" t="str">
        <f>VLOOKUP(B:B,'7店辅助表'!AZ:AZ,1,FALSE)</f>
        <v>Y7031-BU+Y7032</v>
      </c>
      <c r="AN90" t="str">
        <f>VLOOKUP(B:B,'7店辅助表'!AZ:BB,3,FALSE)</f>
        <v>US</v>
      </c>
    </row>
    <row r="91" customHeight="1" spans="1:40">
      <c r="A91" s="58" t="str">
        <f>INDEX('[1]7店'!$A:$A,MATCH(B:B,'[1]7店'!$B:$B,0))</f>
        <v>美珠</v>
      </c>
      <c r="B91" s="116" t="s">
        <v>2391</v>
      </c>
      <c r="C91" s="45" t="s">
        <v>2392</v>
      </c>
      <c r="D91" s="59">
        <f>VLOOKUP(B:B,'[1]7店'!$B:$L,3,0)</f>
        <v>44958</v>
      </c>
      <c r="E91" s="45" t="s">
        <v>2393</v>
      </c>
      <c r="F91" s="45">
        <v>56</v>
      </c>
      <c r="G91" s="45">
        <v>0</v>
      </c>
      <c r="H91" s="45">
        <v>0</v>
      </c>
      <c r="I91" s="45">
        <v>2</v>
      </c>
      <c r="J91" s="45">
        <v>0</v>
      </c>
      <c r="K91" s="63">
        <f t="shared" ref="K91:K115" si="66">F91+G91+H91+I91+J91</f>
        <v>58</v>
      </c>
      <c r="L91" s="132">
        <f>VLOOKUP($B:$B,'[1]7店'!$B:$L,11,FALSE)</f>
        <v>13.9</v>
      </c>
      <c r="M91" s="44">
        <f t="shared" si="54"/>
        <v>806.2</v>
      </c>
      <c r="N91" s="65">
        <f>IFERROR(VLOOKUP(B:B,'7店辅助表'!B:C,2,FALSE),0)</f>
        <v>1</v>
      </c>
      <c r="O91" s="65">
        <f>IFERROR(VLOOKUP(B:B,'7店辅助表'!E:F,2,FALSE),0)</f>
        <v>2</v>
      </c>
      <c r="P91" s="65">
        <f>IFERROR(VLOOKUP(B:B,'7店辅助表'!H:I,2,FALSE),0)</f>
        <v>5</v>
      </c>
      <c r="Q91" s="65">
        <f>IFERROR(VLOOKUP(B:B,'[1]7店'!$B:$N,13,FALSE),0)</f>
        <v>1</v>
      </c>
      <c r="R91" s="79">
        <f t="shared" ref="R91:R115" si="67">N91-Q91</f>
        <v>0</v>
      </c>
      <c r="S91" s="80">
        <f t="shared" ref="S91:S115" si="68">IFERROR(K91/((N91/7+O91/15+P91/30)/3),"-")</f>
        <v>392.903225806452</v>
      </c>
      <c r="T91" s="44">
        <f t="shared" ref="T91:T115" si="69">IFERROR(S91/30,"-")</f>
        <v>13.0967741935484</v>
      </c>
      <c r="U91" s="44">
        <f>IFERROR(VLOOKUP($B:$B,'[1]7店'!$B:$T,19,FALSE),0)</f>
        <v>12.39</v>
      </c>
      <c r="V91" s="81">
        <f t="shared" ref="V91:V115" si="70">IFERROR(T91-U91,"-")</f>
        <v>0.7067741935484</v>
      </c>
      <c r="W91" s="82" t="str">
        <f t="shared" ref="W91:W115" si="71">_xlfn.IFS(AND(D91&lt;&gt;0,D91-$AM$2&gt;=0,B91&gt;0,D91&lt;&gt;0),"本月刚到货",AND(IFERROR((K91/(N91/7))/30,"-")="-",K91&gt;0),"有库存无销量",AND(IFERROR((K91/(N91/7))/30,"-")="-",K91=0),"无库存无销量",AND(IFERROR((K91/(N91/7))/30,"-")&lt;=0.5,K91=0),"无库存有销量",IFERROR((K91/(N91/7))/30,"-")&lt;=0.5,"库存过低",IFERROR((K91/(N91/7))/30,"-")&lt;=1.5,"正常",IFERROR((K91/(N91/7))/30,"-")&gt;1.5,"库存过高")</f>
        <v>库存过高</v>
      </c>
      <c r="X91" s="83" t="str">
        <f t="shared" ref="X91:X115" si="72">_xlfn.IFS(AND(D91&lt;&gt;0,D91-$AM$2&gt;=0,K91&gt;0,D91&lt;&gt;0),"本月刚到货",AND(T91="-",K91&gt;0),"有库存无销量",AND(T91="-",K91=0),"无库存无销量",AND(T91&lt;=0.5,K91=0),"无库存有销量",T91&lt;=0.5,"库存过低",T91&lt;=1.5,"正常",T91&gt;1.5,"库存过高")</f>
        <v>库存过高</v>
      </c>
      <c r="Y91" s="44">
        <f>IFERROR(SUMIF('7店辅助表'!K:K,B:B,'7店辅助表'!N:N),0)</f>
        <v>0</v>
      </c>
      <c r="Z91" s="44">
        <f>IFERROR(SUMIF('7店辅助表'!T:T,B:B,'7店辅助表'!W:W),0)</f>
        <v>0.44</v>
      </c>
      <c r="AA91" s="44">
        <f>IFERROR(SUMIF('7店辅助表'!AC:AC,B:B,'7店辅助表'!AF:AF),0)</f>
        <v>0.89</v>
      </c>
      <c r="AB91" s="91" t="str">
        <f>IFERROR(SUMIF('7店辅助表'!K:K,B:B,'7店辅助表'!N:N)/SUMIF('7店辅助表'!K:K,B:B,'7店辅助表'!O:O),"-")</f>
        <v>-</v>
      </c>
      <c r="AC91" s="91" t="str">
        <f>IFERROR(VLOOKUP(B:B,'[1]7店'!$B:$AB,27,FALSE),"-")</f>
        <v>-</v>
      </c>
      <c r="AD91" s="92" t="str">
        <f t="shared" ref="AD91:AD115" si="73">IFERROR(AB91-AC91,"-")</f>
        <v>-</v>
      </c>
      <c r="AE91" s="91" t="str">
        <f>IFERROR(SUMIF('7店辅助表'!T:T,B:B,'7店辅助表'!W:W)/SUMIF('7店辅助表'!T:T,B:B,'7店辅助表'!X:X),"-")</f>
        <v>-</v>
      </c>
      <c r="AF91" s="91">
        <f>IFERROR(SUMIF('7店辅助表'!AC:AC,B:B,'7店辅助表'!AF:AF)/SUMIF('7店辅助表'!AC:AC,B:B,'7店辅助表'!AG:AG),"-")</f>
        <v>0.0685142417244034</v>
      </c>
      <c r="AG91" s="99">
        <f>IFERROR(AK91/((SUMIF('7店辅助表'!AT:AT,B:B,'7店辅助表'!AU:AU)+M91)/2),"-")</f>
        <v>0.0170940170940171</v>
      </c>
      <c r="AH91" s="99">
        <f>IFERROR(AL91/((SUMIF('7店辅助表'!AW:AW,B:B,'7店辅助表'!AX:AX)+M91)/2),"-")</f>
        <v>0.0333333333333333</v>
      </c>
      <c r="AI91" s="100">
        <f>IFERROR((SUMIF('7店辅助表'!AP:AP,B:B,'7店辅助表'!AR:AR)-SUMIF('7店辅助表'!AP:AP,B:B,'7店辅助表'!AR:AR)*0.15-(L91+IFERROR(VLOOKUP(B:B,'7店辅助表'!AZ:BA,2,0),0))*O91-IF(AN:AN="US",6.85,4.9)*(Z91+4.27*O91))/SUMIF('7店辅助表'!AP:AP,B:B,'7店辅助表'!AR:AR),"-")</f>
        <v>0.328526435270253</v>
      </c>
      <c r="AJ91" s="100">
        <f t="shared" ref="AJ91:AJ115" si="74">IFERROR(AH91*AI91,"-")</f>
        <v>0.0109508811756751</v>
      </c>
      <c r="AK91" s="101">
        <f t="shared" ref="AK91:AK115" si="75">N91*$L91</f>
        <v>13.9</v>
      </c>
      <c r="AL91" s="101">
        <f t="shared" ref="AL91:AL115" si="76">O91*$L91</f>
        <v>27.8</v>
      </c>
      <c r="AM91" s="1" t="str">
        <f>VLOOKUP(B:B,'7店辅助表'!AZ:AZ,1,FALSE)</f>
        <v>Y7031-DB+Y7032</v>
      </c>
      <c r="AN91" t="str">
        <f>VLOOKUP(B:B,'7店辅助表'!AZ:BB,3,FALSE)</f>
        <v>US</v>
      </c>
    </row>
    <row r="92" customHeight="1" spans="1:40">
      <c r="A92" s="58" t="str">
        <f>INDEX('[1]7店'!$A:$A,MATCH(B:B,'[1]7店'!$B:$B,0))</f>
        <v>美珠</v>
      </c>
      <c r="B92" s="116" t="s">
        <v>2394</v>
      </c>
      <c r="C92" s="45" t="s">
        <v>2395</v>
      </c>
      <c r="D92" s="59">
        <f>VLOOKUP(B:B,'[1]7店'!$B:$L,3,0)</f>
        <v>44958</v>
      </c>
      <c r="E92" s="45" t="s">
        <v>2396</v>
      </c>
      <c r="F92" s="45">
        <v>48</v>
      </c>
      <c r="G92" s="45">
        <v>0</v>
      </c>
      <c r="H92" s="45">
        <v>6</v>
      </c>
      <c r="I92" s="45">
        <v>0</v>
      </c>
      <c r="J92" s="45">
        <v>0</v>
      </c>
      <c r="K92" s="63">
        <f t="shared" si="66"/>
        <v>54</v>
      </c>
      <c r="L92" s="132">
        <f>VLOOKUP($B:$B,'[1]7店'!$B:$L,11,FALSE)</f>
        <v>13.9</v>
      </c>
      <c r="M92" s="44">
        <f t="shared" si="54"/>
        <v>750.6</v>
      </c>
      <c r="N92" s="65">
        <f>IFERROR(VLOOKUP(B:B,'7店辅助表'!B:C,2,FALSE),0)</f>
        <v>3</v>
      </c>
      <c r="O92" s="65">
        <f>IFERROR(VLOOKUP(B:B,'7店辅助表'!E:F,2,FALSE),0)</f>
        <v>6</v>
      </c>
      <c r="P92" s="65">
        <f>IFERROR(VLOOKUP(B:B,'7店辅助表'!H:I,2,FALSE),0)</f>
        <v>9</v>
      </c>
      <c r="Q92" s="65">
        <f>IFERROR(VLOOKUP(B:B,'[1]7店'!$B:$N,13,FALSE),0)</f>
        <v>2</v>
      </c>
      <c r="R92" s="79">
        <f t="shared" si="67"/>
        <v>1</v>
      </c>
      <c r="S92" s="80">
        <f t="shared" si="68"/>
        <v>143.544303797468</v>
      </c>
      <c r="T92" s="44">
        <f t="shared" si="69"/>
        <v>4.78481012658228</v>
      </c>
      <c r="U92" s="44">
        <f>IFERROR(VLOOKUP($B:$B,'[1]7店'!$B:$T,19,FALSE),0)</f>
        <v>6.32258064516129</v>
      </c>
      <c r="V92" s="81">
        <f t="shared" si="70"/>
        <v>-1.53777051857901</v>
      </c>
      <c r="W92" s="82" t="str">
        <f t="shared" si="71"/>
        <v>库存过高</v>
      </c>
      <c r="X92" s="83" t="str">
        <f t="shared" si="72"/>
        <v>库存过高</v>
      </c>
      <c r="Y92" s="44">
        <f>IFERROR(SUMIF('7店辅助表'!K:K,B:B,'7店辅助表'!N:N),0)</f>
        <v>3.23</v>
      </c>
      <c r="Z92" s="44">
        <f>IFERROR(SUMIF('7店辅助表'!T:T,B:B,'7店辅助表'!W:W),0)</f>
        <v>20.34</v>
      </c>
      <c r="AA92" s="44">
        <f>IFERROR(SUMIF('7店辅助表'!AC:AC,B:B,'7店辅助表'!AF:AF),0)</f>
        <v>34.08</v>
      </c>
      <c r="AB92" s="91">
        <f>IFERROR(SUMIF('7店辅助表'!K:K,B:B,'7店辅助表'!N:N)/SUMIF('7店辅助表'!K:K,B:B,'7店辅助表'!O:O),"-")</f>
        <v>0.124326404926867</v>
      </c>
      <c r="AC92" s="91">
        <f>IFERROR(VLOOKUP(B:B,'[1]7店'!$B:$AB,27,FALSE),"-")</f>
        <v>1.15473441108545</v>
      </c>
      <c r="AD92" s="92">
        <f t="shared" si="73"/>
        <v>-1.03040800615858</v>
      </c>
      <c r="AE92" s="91">
        <f>IFERROR(SUMIF('7店辅助表'!T:T,B:B,'7店辅助表'!W:W)/SUMIF('7店辅助表'!T:T,B:B,'7店辅助表'!X:X),"-")</f>
        <v>0.521939953810624</v>
      </c>
      <c r="AF92" s="91">
        <f>IFERROR(SUMIF('7店辅助表'!AC:AC,B:B,'7店辅助表'!AF:AF)/SUMIF('7店辅助表'!AC:AC,B:B,'7店辅助表'!AG:AG),"-")</f>
        <v>0.327944572748268</v>
      </c>
      <c r="AG92" s="99">
        <f>IFERROR(AK92/((SUMIF('7店辅助表'!AT:AT,B:B,'7店辅助表'!AU:AU)+M92)/2),"-")</f>
        <v>0.0545454545454545</v>
      </c>
      <c r="AH92" s="99">
        <f>IFERROR(AL92/((SUMIF('7店辅助表'!AW:AW,B:B,'7店辅助表'!AX:AX)+M92)/2),"-")</f>
        <v>0.103448275862069</v>
      </c>
      <c r="AI92" s="100">
        <f>IFERROR((SUMIF('7店辅助表'!AP:AP,B:B,'7店辅助表'!AR:AR)-SUMIF('7店辅助表'!AP:AP,B:B,'7店辅助表'!AR:AR)*0.15-(L92+IFERROR(VLOOKUP(B:B,'7店辅助表'!AZ:BA,2,0),0))*O92-IF(AN:AN="US",6.85,4.9)*(Z92+4.27*O92))/SUMIF('7店辅助表'!AP:AP,B:B,'7店辅助表'!AR:AR),"-")</f>
        <v>0.0847285671740755</v>
      </c>
      <c r="AJ92" s="100">
        <f t="shared" si="74"/>
        <v>0.00876502419042161</v>
      </c>
      <c r="AK92" s="101">
        <f t="shared" si="75"/>
        <v>41.7</v>
      </c>
      <c r="AL92" s="101">
        <f t="shared" si="76"/>
        <v>83.4</v>
      </c>
      <c r="AM92" s="1" t="str">
        <f>VLOOKUP(B:B,'7店辅助表'!AZ:AZ,1,FALSE)</f>
        <v>Y7031-OR+Y7032</v>
      </c>
      <c r="AN92" t="str">
        <f>VLOOKUP(B:B,'7店辅助表'!AZ:BB,3,FALSE)</f>
        <v>US</v>
      </c>
    </row>
    <row r="93" customHeight="1" spans="1:40">
      <c r="A93" s="58" t="str">
        <f>INDEX('[1]7店'!$A:$A,MATCH(B:B,'[1]7店'!$B:$B,0))</f>
        <v>美珠</v>
      </c>
      <c r="B93" s="116" t="s">
        <v>2397</v>
      </c>
      <c r="C93" s="45" t="s">
        <v>2398</v>
      </c>
      <c r="D93" s="59">
        <f>VLOOKUP(B:B,'[1]7店'!$B:$L,3,0)</f>
        <v>44958</v>
      </c>
      <c r="E93" s="45" t="s">
        <v>2399</v>
      </c>
      <c r="F93" s="45">
        <v>10</v>
      </c>
      <c r="G93" s="45">
        <v>0</v>
      </c>
      <c r="H93" s="45">
        <v>2</v>
      </c>
      <c r="I93" s="45">
        <v>0</v>
      </c>
      <c r="J93" s="45">
        <v>0</v>
      </c>
      <c r="K93" s="63">
        <f t="shared" si="66"/>
        <v>12</v>
      </c>
      <c r="L93" s="132">
        <f>VLOOKUP($B:$B,'[1]7店'!$B:$L,11,FALSE)</f>
        <v>13.9</v>
      </c>
      <c r="M93" s="44">
        <f t="shared" si="54"/>
        <v>166.8</v>
      </c>
      <c r="N93" s="65">
        <f>IFERROR(VLOOKUP(B:B,'7店辅助表'!B:C,2,FALSE),0)</f>
        <v>3</v>
      </c>
      <c r="O93" s="65">
        <f>IFERROR(VLOOKUP(B:B,'7店辅助表'!E:F,2,FALSE),0)</f>
        <v>5</v>
      </c>
      <c r="P93" s="65">
        <f>IFERROR(VLOOKUP(B:B,'7店辅助表'!H:I,2,FALSE),0)</f>
        <v>32</v>
      </c>
      <c r="Q93" s="65">
        <f>IFERROR(VLOOKUP(B:B,'[1]7店'!$B:$N,13,FALSE),0)</f>
        <v>3</v>
      </c>
      <c r="R93" s="79">
        <f t="shared" si="67"/>
        <v>0</v>
      </c>
      <c r="S93" s="80">
        <f t="shared" si="68"/>
        <v>19.6875</v>
      </c>
      <c r="T93" s="44">
        <f t="shared" si="69"/>
        <v>0.65625</v>
      </c>
      <c r="U93" s="44">
        <f>IFERROR(VLOOKUP($B:$B,'[1]7店'!$B:$T,19,FALSE),0)</f>
        <v>0.515337423312883</v>
      </c>
      <c r="V93" s="81">
        <f t="shared" si="70"/>
        <v>0.140912576687117</v>
      </c>
      <c r="W93" s="82" t="str">
        <f t="shared" si="71"/>
        <v>正常</v>
      </c>
      <c r="X93" s="83" t="str">
        <f t="shared" si="72"/>
        <v>正常</v>
      </c>
      <c r="Y93" s="44">
        <f>IFERROR(SUMIF('7店辅助表'!K:K,B:B,'7店辅助表'!N:N),0)</f>
        <v>0.43</v>
      </c>
      <c r="Z93" s="44">
        <f>IFERROR(SUMIF('7店辅助表'!T:T,B:B,'7店辅助表'!W:W),0)</f>
        <v>1.68</v>
      </c>
      <c r="AA93" s="44">
        <f>IFERROR(SUMIF('7店辅助表'!AC:AC,B:B,'7店辅助表'!AF:AF),0)</f>
        <v>2.39</v>
      </c>
      <c r="AB93" s="91" t="str">
        <f>IFERROR(SUMIF('7店辅助表'!K:K,B:B,'7店辅助表'!N:N)/SUMIF('7店辅助表'!K:K,B:B,'7店辅助表'!O:O),"-")</f>
        <v>-</v>
      </c>
      <c r="AC93" s="91" t="str">
        <f>IFERROR(VLOOKUP(B:B,'[1]7店'!$B:$AB,27,FALSE),"-")</f>
        <v>-</v>
      </c>
      <c r="AD93" s="92" t="str">
        <f t="shared" si="73"/>
        <v>-</v>
      </c>
      <c r="AE93" s="91" t="str">
        <f>IFERROR(SUMIF('7店辅助表'!T:T,B:B,'7店辅助表'!W:W)/SUMIF('7店辅助表'!T:T,B:B,'7店辅助表'!X:X),"-")</f>
        <v>-</v>
      </c>
      <c r="AF93" s="91" t="str">
        <f>IFERROR(SUMIF('7店辅助表'!AC:AC,B:B,'7店辅助表'!AF:AF)/SUMIF('7店辅助表'!AC:AC,B:B,'7店辅助表'!AG:AG),"-")</f>
        <v>-</v>
      </c>
      <c r="AG93" s="99">
        <f>IFERROR(AK93/((SUMIF('7店辅助表'!AT:AT,B:B,'7店辅助表'!AU:AU)+M93)/2),"-")</f>
        <v>0.25</v>
      </c>
      <c r="AH93" s="99">
        <f>IFERROR(AL93/((SUMIF('7店辅助表'!AW:AW,B:B,'7店辅助表'!AX:AX)+M93)/2),"-")</f>
        <v>0.188679245283019</v>
      </c>
      <c r="AI93" s="100">
        <f>IFERROR((SUMIF('7店辅助表'!AP:AP,B:B,'7店辅助表'!AR:AR)-SUMIF('7店辅助表'!AP:AP,B:B,'7店辅助表'!AR:AR)*0.15-(L93+IFERROR(VLOOKUP(B:B,'7店辅助表'!AZ:BA,2,0),0))*O93-IF(AN:AN="US",6.85,4.9)*(Z93+4.27*O93))/SUMIF('7店辅助表'!AP:AP,B:B,'7店辅助表'!AR:AR),"-")</f>
        <v>0.299604496592819</v>
      </c>
      <c r="AJ93" s="100">
        <f t="shared" si="74"/>
        <v>0.0565291503005319</v>
      </c>
      <c r="AK93" s="101">
        <f t="shared" si="75"/>
        <v>41.7</v>
      </c>
      <c r="AL93" s="101">
        <f t="shared" si="76"/>
        <v>69.5</v>
      </c>
      <c r="AM93" s="1" t="str">
        <f>VLOOKUP(B:B,'7店辅助表'!AZ:AZ,1,FALSE)</f>
        <v>Y7025-BL+Y7027+Y7026</v>
      </c>
      <c r="AN93" t="str">
        <f>VLOOKUP(B:B,'7店辅助表'!AZ:BB,3,FALSE)</f>
        <v>US</v>
      </c>
    </row>
    <row r="94" customHeight="1" spans="1:40">
      <c r="A94" s="58" t="str">
        <f>INDEX('[1]7店'!$A:$A,MATCH(B:B,'[1]7店'!$B:$B,0))</f>
        <v>美珠</v>
      </c>
      <c r="B94" s="116" t="s">
        <v>2400</v>
      </c>
      <c r="C94" s="45" t="s">
        <v>2401</v>
      </c>
      <c r="D94" s="59">
        <f>VLOOKUP(B:B,'[1]7店'!$B:$L,3,0)</f>
        <v>44958</v>
      </c>
      <c r="E94" s="45" t="s">
        <v>2402</v>
      </c>
      <c r="F94" s="45">
        <v>13</v>
      </c>
      <c r="G94" s="45">
        <v>1</v>
      </c>
      <c r="H94" s="45">
        <v>2</v>
      </c>
      <c r="I94" s="45">
        <v>1</v>
      </c>
      <c r="J94" s="45">
        <v>0</v>
      </c>
      <c r="K94" s="63">
        <f t="shared" si="66"/>
        <v>17</v>
      </c>
      <c r="L94" s="132">
        <f>VLOOKUP($B:$B,'[1]7店'!$B:$L,11,FALSE)</f>
        <v>13.9</v>
      </c>
      <c r="M94" s="44">
        <f t="shared" si="54"/>
        <v>236.3</v>
      </c>
      <c r="N94" s="65">
        <f>IFERROR(VLOOKUP(B:B,'7店辅助表'!B:C,2,FALSE),0)</f>
        <v>5</v>
      </c>
      <c r="O94" s="65">
        <f>IFERROR(VLOOKUP(B:B,'7店辅助表'!E:F,2,FALSE),0)</f>
        <v>9</v>
      </c>
      <c r="P94" s="65">
        <f>IFERROR(VLOOKUP(B:B,'7店辅助表'!H:I,2,FALSE),0)</f>
        <v>22</v>
      </c>
      <c r="Q94" s="65">
        <f>IFERROR(VLOOKUP(B:B,'[1]7店'!$B:$N,13,FALSE),0)</f>
        <v>4</v>
      </c>
      <c r="R94" s="79">
        <f t="shared" si="67"/>
        <v>1</v>
      </c>
      <c r="S94" s="80">
        <f t="shared" si="68"/>
        <v>24.906976744186</v>
      </c>
      <c r="T94" s="44">
        <f t="shared" si="69"/>
        <v>0.830232558139535</v>
      </c>
      <c r="U94" s="44">
        <f>IFERROR(VLOOKUP($B:$B,'[1]7店'!$B:$T,19,FALSE),0)</f>
        <v>1.08353808353808</v>
      </c>
      <c r="V94" s="81">
        <f t="shared" si="70"/>
        <v>-0.253305525398545</v>
      </c>
      <c r="W94" s="82" t="str">
        <f t="shared" si="71"/>
        <v>正常</v>
      </c>
      <c r="X94" s="83" t="str">
        <f t="shared" si="72"/>
        <v>正常</v>
      </c>
      <c r="Y94" s="44">
        <f>IFERROR(SUMIF('7店辅助表'!K:K,B:B,'7店辅助表'!N:N),0)</f>
        <v>0</v>
      </c>
      <c r="Z94" s="44">
        <f>IFERROR(SUMIF('7店辅助表'!T:T,B:B,'7店辅助表'!W:W),0)</f>
        <v>0</v>
      </c>
      <c r="AA94" s="44">
        <f>IFERROR(SUMIF('7店辅助表'!AC:AC,B:B,'7店辅助表'!AF:AF),0)</f>
        <v>0</v>
      </c>
      <c r="AB94" s="91" t="str">
        <f>IFERROR(SUMIF('7店辅助表'!K:K,B:B,'7店辅助表'!N:N)/SUMIF('7店辅助表'!K:K,B:B,'7店辅助表'!O:O),"-")</f>
        <v>-</v>
      </c>
      <c r="AC94" s="91" t="str">
        <f>IFERROR(VLOOKUP(B:B,'[1]7店'!$B:$AB,27,FALSE),"-")</f>
        <v>-</v>
      </c>
      <c r="AD94" s="92" t="str">
        <f t="shared" si="73"/>
        <v>-</v>
      </c>
      <c r="AE94" s="91" t="str">
        <f>IFERROR(SUMIF('7店辅助表'!T:T,B:B,'7店辅助表'!W:W)/SUMIF('7店辅助表'!T:T,B:B,'7店辅助表'!X:X),"-")</f>
        <v>-</v>
      </c>
      <c r="AF94" s="91" t="str">
        <f>IFERROR(SUMIF('7店辅助表'!AC:AC,B:B,'7店辅助表'!AF:AF)/SUMIF('7店辅助表'!AC:AC,B:B,'7店辅助表'!AG:AG),"-")</f>
        <v>-</v>
      </c>
      <c r="AG94" s="99">
        <f>IFERROR(AK94/((SUMIF('7店辅助表'!AT:AT,B:B,'7店辅助表'!AU:AU)+M94)/2),"-")</f>
        <v>0.263157894736842</v>
      </c>
      <c r="AH94" s="99">
        <f>IFERROR(AL94/((SUMIF('7店辅助表'!AW:AW,B:B,'7店辅助表'!AX:AX)+M94)/2),"-")</f>
        <v>0.36</v>
      </c>
      <c r="AI94" s="100">
        <f>IFERROR((SUMIF('7店辅助表'!AP:AP,B:B,'7店辅助表'!AR:AR)-SUMIF('7店辅助表'!AP:AP,B:B,'7店辅助表'!AR:AR)*0.15-(L94+IFERROR(VLOOKUP(B:B,'7店辅助表'!AZ:BA,2,0),0))*O94-IF(AN:AN="US",6.85,4.9)*(Z94+4.27*O94))/SUMIF('7店辅助表'!AP:AP,B:B,'7店辅助表'!AR:AR),"-")</f>
        <v>0.337001252011254</v>
      </c>
      <c r="AJ94" s="100">
        <f t="shared" si="74"/>
        <v>0.121320450724051</v>
      </c>
      <c r="AK94" s="101">
        <f t="shared" si="75"/>
        <v>69.5</v>
      </c>
      <c r="AL94" s="101">
        <f t="shared" si="76"/>
        <v>125.1</v>
      </c>
      <c r="AM94" s="1" t="str">
        <f>VLOOKUP(B:B,'7店辅助表'!AZ:AZ,1,FALSE)</f>
        <v>Y7025-BU+Y7027+Y7026</v>
      </c>
      <c r="AN94" t="str">
        <f>VLOOKUP(B:B,'7店辅助表'!AZ:BB,3,FALSE)</f>
        <v>US</v>
      </c>
    </row>
    <row r="95" customHeight="1" spans="1:40">
      <c r="A95" s="58" t="str">
        <f>INDEX('[1]7店'!$A:$A,MATCH(B:B,'[1]7店'!$B:$B,0))</f>
        <v>美珠</v>
      </c>
      <c r="B95" s="116" t="s">
        <v>2403</v>
      </c>
      <c r="C95" s="45" t="s">
        <v>2404</v>
      </c>
      <c r="D95" s="59">
        <f>VLOOKUP(B:B,'[1]7店'!$B:$L,3,0)</f>
        <v>44958</v>
      </c>
      <c r="E95" s="45" t="s">
        <v>2405</v>
      </c>
      <c r="F95" s="45">
        <v>22</v>
      </c>
      <c r="G95" s="45">
        <v>0</v>
      </c>
      <c r="H95" s="45">
        <v>0</v>
      </c>
      <c r="I95" s="45">
        <v>0</v>
      </c>
      <c r="J95" s="45">
        <v>0</v>
      </c>
      <c r="K95" s="63">
        <f t="shared" si="66"/>
        <v>22</v>
      </c>
      <c r="L95" s="132">
        <f>VLOOKUP($B:$B,'[1]7店'!$B:$L,11,FALSE)</f>
        <v>13.9</v>
      </c>
      <c r="M95" s="44">
        <f t="shared" si="54"/>
        <v>305.8</v>
      </c>
      <c r="N95" s="65">
        <f>IFERROR(VLOOKUP(B:B,'7店辅助表'!B:C,2,FALSE),0)</f>
        <v>0</v>
      </c>
      <c r="O95" s="65">
        <f>IFERROR(VLOOKUP(B:B,'7店辅助表'!E:F,2,FALSE),0)</f>
        <v>12</v>
      </c>
      <c r="P95" s="65">
        <f>IFERROR(VLOOKUP(B:B,'7店辅助表'!H:I,2,FALSE),0)</f>
        <v>15</v>
      </c>
      <c r="Q95" s="65">
        <f>IFERROR(VLOOKUP(B:B,'[1]7店'!$B:$N,13,FALSE),0)</f>
        <v>12</v>
      </c>
      <c r="R95" s="79">
        <f t="shared" si="67"/>
        <v>-12</v>
      </c>
      <c r="S95" s="80">
        <f t="shared" si="68"/>
        <v>50.7692307692308</v>
      </c>
      <c r="T95" s="44">
        <f t="shared" si="69"/>
        <v>1.69230769230769</v>
      </c>
      <c r="U95" s="44">
        <f>IFERROR(VLOOKUP($B:$B,'[1]7店'!$B:$T,19,FALSE),0)</f>
        <v>0.953101361573374</v>
      </c>
      <c r="V95" s="81">
        <f t="shared" si="70"/>
        <v>0.739206330734316</v>
      </c>
      <c r="W95" s="82" t="str">
        <f t="shared" si="71"/>
        <v>有库存无销量</v>
      </c>
      <c r="X95" s="83" t="str">
        <f t="shared" si="72"/>
        <v>库存过高</v>
      </c>
      <c r="Y95" s="44">
        <f>IFERROR(SUMIF('7店辅助表'!K:K,B:B,'7店辅助表'!N:N),0)</f>
        <v>0</v>
      </c>
      <c r="Z95" s="44">
        <f>IFERROR(SUMIF('7店辅助表'!T:T,B:B,'7店辅助表'!W:W),0)</f>
        <v>0</v>
      </c>
      <c r="AA95" s="44">
        <f>IFERROR(SUMIF('7店辅助表'!AC:AC,B:B,'7店辅助表'!AF:AF),0)</f>
        <v>0</v>
      </c>
      <c r="AB95" s="91" t="str">
        <f>IFERROR(SUMIF('7店辅助表'!K:K,B:B,'7店辅助表'!N:N)/SUMIF('7店辅助表'!K:K,B:B,'7店辅助表'!O:O),"-")</f>
        <v>-</v>
      </c>
      <c r="AC95" s="91" t="str">
        <f>IFERROR(VLOOKUP(B:B,'[1]7店'!$B:$AB,27,FALSE),"-")</f>
        <v>-</v>
      </c>
      <c r="AD95" s="92" t="str">
        <f t="shared" si="73"/>
        <v>-</v>
      </c>
      <c r="AE95" s="91" t="str">
        <f>IFERROR(SUMIF('7店辅助表'!T:T,B:B,'7店辅助表'!W:W)/SUMIF('7店辅助表'!T:T,B:B,'7店辅助表'!X:X),"-")</f>
        <v>-</v>
      </c>
      <c r="AF95" s="91" t="str">
        <f>IFERROR(SUMIF('7店辅助表'!AC:AC,B:B,'7店辅助表'!AF:AF)/SUMIF('7店辅助表'!AC:AC,B:B,'7店辅助表'!AG:AG),"-")</f>
        <v>-</v>
      </c>
      <c r="AG95" s="99">
        <f>IFERROR(AK95/((SUMIF('7店辅助表'!AT:AT,B:B,'7店辅助表'!AU:AU)+M95)/2),"-")</f>
        <v>0</v>
      </c>
      <c r="AH95" s="99">
        <f>IFERROR(AL95/((SUMIF('7店辅助表'!AW:AW,B:B,'7店辅助表'!AX:AX)+M95)/2),"-")</f>
        <v>0.413793103448276</v>
      </c>
      <c r="AI95" s="100">
        <f>IFERROR((SUMIF('7店辅助表'!AP:AP,B:B,'7店辅助表'!AR:AR)-SUMIF('7店辅助表'!AP:AP,B:B,'7店辅助表'!AR:AR)*0.15-(L95+IFERROR(VLOOKUP(B:B,'7店辅助表'!AZ:BA,2,0),0))*O95-IF(AN:AN="US",6.85,4.9)*(Z95+4.27*O95))/SUMIF('7店辅助表'!AP:AP,B:B,'7店辅助表'!AR:AR),"-")</f>
        <v>0.308697475526628</v>
      </c>
      <c r="AJ95" s="100">
        <f t="shared" si="74"/>
        <v>0.127736886424811</v>
      </c>
      <c r="AK95" s="101">
        <f t="shared" si="75"/>
        <v>0</v>
      </c>
      <c r="AL95" s="101">
        <f t="shared" si="76"/>
        <v>166.8</v>
      </c>
      <c r="AM95" s="1" t="str">
        <f>VLOOKUP(B:B,'7店辅助表'!AZ:AZ,1,FALSE)</f>
        <v>Y7025-DB+Y7027+Y7026</v>
      </c>
      <c r="AN95" t="str">
        <f>VLOOKUP(B:B,'7店辅助表'!AZ:BB,3,FALSE)</f>
        <v>US</v>
      </c>
    </row>
    <row r="96" customHeight="1" spans="1:40">
      <c r="A96" s="58" t="str">
        <f>INDEX('[1]7店'!$A:$A,MATCH(B:B,'[1]7店'!$B:$B,0))</f>
        <v>美珠</v>
      </c>
      <c r="B96" s="116" t="s">
        <v>2406</v>
      </c>
      <c r="C96" s="45" t="s">
        <v>2407</v>
      </c>
      <c r="D96" s="59">
        <f>VLOOKUP(B:B,'[1]7店'!$B:$L,3,0)</f>
        <v>44958</v>
      </c>
      <c r="E96" s="45" t="s">
        <v>2408</v>
      </c>
      <c r="F96" s="45">
        <v>35</v>
      </c>
      <c r="G96" s="45">
        <v>1</v>
      </c>
      <c r="H96" s="45">
        <v>0</v>
      </c>
      <c r="I96" s="45">
        <v>0</v>
      </c>
      <c r="J96" s="45">
        <v>0</v>
      </c>
      <c r="K96" s="63">
        <f t="shared" si="66"/>
        <v>36</v>
      </c>
      <c r="L96" s="132">
        <f>VLOOKUP($B:$B,'[1]7店'!$B:$L,11,FALSE)</f>
        <v>13.9</v>
      </c>
      <c r="M96" s="44">
        <f t="shared" si="54"/>
        <v>500.4</v>
      </c>
      <c r="N96" s="65">
        <f>IFERROR(VLOOKUP(B:B,'7店辅助表'!B:C,2,FALSE),0)</f>
        <v>1</v>
      </c>
      <c r="O96" s="65">
        <f>IFERROR(VLOOKUP(B:B,'7店辅助表'!E:F,2,FALSE),0)</f>
        <v>5</v>
      </c>
      <c r="P96" s="65">
        <f>IFERROR(VLOOKUP(B:B,'7店辅助表'!H:I,2,FALSE),0)</f>
        <v>14</v>
      </c>
      <c r="Q96" s="65">
        <f>IFERROR(VLOOKUP(B:B,'[1]7店'!$B:$N,13,FALSE),0)</f>
        <v>3</v>
      </c>
      <c r="R96" s="79">
        <f t="shared" si="67"/>
        <v>-2</v>
      </c>
      <c r="S96" s="80">
        <f t="shared" si="68"/>
        <v>114.545454545455</v>
      </c>
      <c r="T96" s="44">
        <f t="shared" si="69"/>
        <v>3.81818181818182</v>
      </c>
      <c r="U96" s="44">
        <f>IFERROR(VLOOKUP($B:$B,'[1]7店'!$B:$T,19,FALSE),0)</f>
        <v>2.86689419795222</v>
      </c>
      <c r="V96" s="81">
        <f t="shared" si="70"/>
        <v>0.9512876202296</v>
      </c>
      <c r="W96" s="82" t="str">
        <f t="shared" si="71"/>
        <v>库存过高</v>
      </c>
      <c r="X96" s="83" t="str">
        <f t="shared" si="72"/>
        <v>库存过高</v>
      </c>
      <c r="Y96" s="44">
        <f>IFERROR(SUMIF('7店辅助表'!K:K,B:B,'7店辅助表'!N:N),0)</f>
        <v>5.02</v>
      </c>
      <c r="Z96" s="44">
        <f>IFERROR(SUMIF('7店辅助表'!T:T,B:B,'7店辅助表'!W:W),0)</f>
        <v>13.87</v>
      </c>
      <c r="AA96" s="44">
        <f>IFERROR(SUMIF('7店辅助表'!AC:AC,B:B,'7店辅助表'!AF:AF),0)</f>
        <v>23.23</v>
      </c>
      <c r="AB96" s="91" t="str">
        <f>IFERROR(SUMIF('7店辅助表'!K:K,B:B,'7店辅助表'!N:N)/SUMIF('7店辅助表'!K:K,B:B,'7店辅助表'!O:O),"-")</f>
        <v>-</v>
      </c>
      <c r="AC96" s="91">
        <f>IFERROR(VLOOKUP(B:B,'[1]7店'!$B:$AB,27,FALSE),"-")</f>
        <v>0.612779060816012</v>
      </c>
      <c r="AD96" s="92" t="str">
        <f t="shared" si="73"/>
        <v>-</v>
      </c>
      <c r="AE96" s="91">
        <f>IFERROR(SUMIF('7店辅助表'!T:T,B:B,'7店辅助表'!W:W)/SUMIF('7店辅助表'!T:T,B:B,'7店辅助表'!X:X),"-")</f>
        <v>0.53387220939184</v>
      </c>
      <c r="AF96" s="91">
        <f>IFERROR(SUMIF('7店辅助表'!AC:AC,B:B,'7店辅助表'!AF:AF)/SUMIF('7店辅助表'!AC:AC,B:B,'7店辅助表'!AG:AG),"-")</f>
        <v>0.2980497818835</v>
      </c>
      <c r="AG96" s="99">
        <f>IFERROR(AK96/((SUMIF('7店辅助表'!AT:AT,B:B,'7店辅助表'!AU:AU)+M96)/2),"-")</f>
        <v>0.0263157894736842</v>
      </c>
      <c r="AH96" s="99">
        <f>IFERROR(AL96/((SUMIF('7店辅助表'!AW:AW,B:B,'7店辅助表'!AX:AX)+M96)/2),"-")</f>
        <v>0.119047619047619</v>
      </c>
      <c r="AI96" s="100">
        <f>IFERROR((SUMIF('7店辅助表'!AP:AP,B:B,'7店辅助表'!AR:AR)-SUMIF('7店辅助表'!AP:AP,B:B,'7店辅助表'!AR:AR)*0.15-(L96+IFERROR(VLOOKUP(B:B,'7店辅助表'!AZ:BA,2,0),0))*O96-IF(AN:AN="US",6.85,4.9)*(Z96+4.27*O96))/SUMIF('7店辅助表'!AP:AP,B:B,'7店辅助表'!AR:AR),"-")</f>
        <v>0.0849550606875325</v>
      </c>
      <c r="AJ96" s="100">
        <f t="shared" si="74"/>
        <v>0.0101136977008967</v>
      </c>
      <c r="AK96" s="101">
        <f t="shared" si="75"/>
        <v>13.9</v>
      </c>
      <c r="AL96" s="101">
        <f t="shared" si="76"/>
        <v>69.5</v>
      </c>
      <c r="AM96" s="1" t="str">
        <f>VLOOKUP(B:B,'7店辅助表'!AZ:AZ,1,FALSE)</f>
        <v>Y7025-OR+Y7027+Y7026</v>
      </c>
      <c r="AN96" t="str">
        <f>VLOOKUP(B:B,'7店辅助表'!AZ:BB,3,FALSE)</f>
        <v>US</v>
      </c>
    </row>
    <row r="97" customHeight="1" spans="1:40">
      <c r="A97" s="58" t="str">
        <f>INDEX('[1]7店'!$A:$A,MATCH(B:B,'[1]7店'!$B:$B,0))</f>
        <v>美珠</v>
      </c>
      <c r="B97" s="116" t="s">
        <v>2409</v>
      </c>
      <c r="C97" s="45" t="s">
        <v>2410</v>
      </c>
      <c r="D97" s="59">
        <f>VLOOKUP(B:B,'[1]7店'!$B:$L,3,0)</f>
        <v>44935</v>
      </c>
      <c r="E97" s="45" t="s">
        <v>2411</v>
      </c>
      <c r="F97" s="45">
        <v>9</v>
      </c>
      <c r="G97" s="45">
        <v>0</v>
      </c>
      <c r="H97" s="45">
        <v>0</v>
      </c>
      <c r="I97" s="45">
        <v>0</v>
      </c>
      <c r="J97" s="45">
        <v>0</v>
      </c>
      <c r="K97" s="63">
        <f t="shared" si="66"/>
        <v>9</v>
      </c>
      <c r="L97" s="132">
        <f>VLOOKUP($B:$B,'[1]7店'!$B:$L,11,FALSE)</f>
        <v>13.9</v>
      </c>
      <c r="M97" s="44">
        <f t="shared" si="54"/>
        <v>125.1</v>
      </c>
      <c r="N97" s="65">
        <f>IFERROR(VLOOKUP(B:B,'7店辅助表'!B:C,2,FALSE),0)</f>
        <v>0</v>
      </c>
      <c r="O97" s="65">
        <f>IFERROR(VLOOKUP(B:B,'7店辅助表'!E:F,2,FALSE),0)</f>
        <v>1</v>
      </c>
      <c r="P97" s="65">
        <f>IFERROR(VLOOKUP(B:B,'7店辅助表'!H:I,2,FALSE),0)</f>
        <v>2</v>
      </c>
      <c r="Q97" s="65">
        <f>IFERROR(VLOOKUP(B:B,'[1]7店'!$B:$N,13,FALSE),0)</f>
        <v>1</v>
      </c>
      <c r="R97" s="79">
        <f t="shared" si="67"/>
        <v>-1</v>
      </c>
      <c r="S97" s="80">
        <f t="shared" si="68"/>
        <v>202.5</v>
      </c>
      <c r="T97" s="44">
        <f t="shared" si="69"/>
        <v>6.75</v>
      </c>
      <c r="U97" s="44">
        <f>IFERROR(VLOOKUP($B:$B,'[1]7店'!$B:$T,19,FALSE),0)</f>
        <v>2.65822784810127</v>
      </c>
      <c r="V97" s="81">
        <f t="shared" si="70"/>
        <v>4.09177215189873</v>
      </c>
      <c r="W97" s="82" t="str">
        <f t="shared" si="71"/>
        <v>有库存无销量</v>
      </c>
      <c r="X97" s="83" t="str">
        <f t="shared" si="72"/>
        <v>库存过高</v>
      </c>
      <c r="Y97" s="44">
        <f>IFERROR(SUMIF('7店辅助表'!K:K,B:B,'7店辅助表'!N:N),0)</f>
        <v>0.4</v>
      </c>
      <c r="Z97" s="44">
        <f>IFERROR(SUMIF('7店辅助表'!T:T,B:B,'7店辅助表'!W:W),0)</f>
        <v>1.29</v>
      </c>
      <c r="AA97" s="44">
        <f>IFERROR(SUMIF('7店辅助表'!AC:AC,B:B,'7店辅助表'!AF:AF),0)</f>
        <v>2.65</v>
      </c>
      <c r="AB97" s="91" t="str">
        <f>IFERROR(SUMIF('7店辅助表'!K:K,B:B,'7店辅助表'!N:N)/SUMIF('7店辅助表'!K:K,B:B,'7店辅助表'!O:O),"-")</f>
        <v>-</v>
      </c>
      <c r="AC97" s="91">
        <f>IFERROR(VLOOKUP(B:B,'[1]7店'!$B:$AB,27,FALSE),"-")</f>
        <v>0.08098271155596</v>
      </c>
      <c r="AD97" s="92" t="str">
        <f t="shared" si="73"/>
        <v>-</v>
      </c>
      <c r="AE97" s="91">
        <f>IFERROR(SUMIF('7店辅助表'!T:T,B:B,'7店辅助表'!W:W)/SUMIF('7店辅助表'!T:T,B:B,'7店辅助表'!X:X),"-")</f>
        <v>0.117379435850773</v>
      </c>
      <c r="AF97" s="91">
        <f>IFERROR(SUMIF('7店辅助表'!AC:AC,B:B,'7店辅助表'!AF:AF)/SUMIF('7店辅助表'!AC:AC,B:B,'7店辅助表'!AG:AG),"-")</f>
        <v>0.241128298453139</v>
      </c>
      <c r="AG97" s="99">
        <f>IFERROR(AK97/((SUMIF('7店辅助表'!AT:AT,B:B,'7店辅助表'!AU:AU)+M97)/2),"-")</f>
        <v>0</v>
      </c>
      <c r="AH97" s="99">
        <f>IFERROR(AL97/((SUMIF('7店辅助表'!AW:AW,B:B,'7店辅助表'!AX:AX)+M97)/2),"-")</f>
        <v>0.105263157894737</v>
      </c>
      <c r="AI97" s="100">
        <f>IFERROR((SUMIF('7店辅助表'!AP:AP,B:B,'7店辅助表'!AR:AR)-SUMIF('7店辅助表'!AP:AP,B:B,'7店辅助表'!AR:AR)*0.15-(L97+IFERROR(VLOOKUP(B:B,'7店辅助表'!AZ:BA,2,0),0))*O97-IF(AN:AN="US",6.85,4.9)*(Z97+4.27*O97))/SUMIF('7店辅助表'!AP:AP,B:B,'7店辅助表'!AR:AR),"-")</f>
        <v>0.101515976700783</v>
      </c>
      <c r="AJ97" s="100">
        <f t="shared" si="74"/>
        <v>0.010685892284293</v>
      </c>
      <c r="AK97" s="101">
        <f t="shared" si="75"/>
        <v>0</v>
      </c>
      <c r="AL97" s="101">
        <f t="shared" si="76"/>
        <v>13.9</v>
      </c>
      <c r="AM97" s="1" t="str">
        <f>VLOOKUP(B:B,'7店辅助表'!AZ:AZ,1,FALSE)</f>
        <v>Y73133-BL+Y73136+Y73267</v>
      </c>
      <c r="AN97" t="str">
        <f>VLOOKUP(B:B,'7店辅助表'!AZ:BB,3,FALSE)</f>
        <v>US</v>
      </c>
    </row>
    <row r="98" customHeight="1" spans="1:40">
      <c r="A98" s="58" t="str">
        <f>INDEX('[1]7店'!$A:$A,MATCH(B:B,'[1]7店'!$B:$B,0))</f>
        <v>美珠</v>
      </c>
      <c r="B98" s="116" t="s">
        <v>2412</v>
      </c>
      <c r="C98" s="45" t="s">
        <v>2413</v>
      </c>
      <c r="D98" s="59">
        <f>VLOOKUP(B:B,'[1]7店'!$B:$L,3,0)</f>
        <v>44935</v>
      </c>
      <c r="E98" s="45" t="s">
        <v>2414</v>
      </c>
      <c r="F98" s="45">
        <v>6</v>
      </c>
      <c r="G98" s="45">
        <v>0</v>
      </c>
      <c r="H98" s="45">
        <v>0</v>
      </c>
      <c r="I98" s="45">
        <v>0</v>
      </c>
      <c r="J98" s="45">
        <v>0</v>
      </c>
      <c r="K98" s="63">
        <f t="shared" si="66"/>
        <v>6</v>
      </c>
      <c r="L98" s="132">
        <f>VLOOKUP($B:$B,'[1]7店'!$B:$L,11,FALSE)</f>
        <v>13.9</v>
      </c>
      <c r="M98" s="44">
        <f t="shared" si="54"/>
        <v>83.4</v>
      </c>
      <c r="N98" s="65">
        <f>IFERROR(VLOOKUP(B:B,'7店辅助表'!B:C,2,FALSE),0)</f>
        <v>1</v>
      </c>
      <c r="O98" s="65">
        <f>IFERROR(VLOOKUP(B:B,'7店辅助表'!E:F,2,FALSE),0)</f>
        <v>2</v>
      </c>
      <c r="P98" s="65">
        <f>IFERROR(VLOOKUP(B:B,'7店辅助表'!H:I,2,FALSE),0)</f>
        <v>2</v>
      </c>
      <c r="Q98" s="65">
        <f>IFERROR(VLOOKUP(B:B,'[1]7店'!$B:$N,13,FALSE),0)</f>
        <v>1</v>
      </c>
      <c r="R98" s="79">
        <f t="shared" si="67"/>
        <v>0</v>
      </c>
      <c r="S98" s="80">
        <f t="shared" si="68"/>
        <v>52.5</v>
      </c>
      <c r="T98" s="44">
        <f t="shared" si="69"/>
        <v>1.75</v>
      </c>
      <c r="U98" s="44">
        <f>IFERROR(VLOOKUP($B:$B,'[1]7店'!$B:$T,19,FALSE),0)</f>
        <v>2.88235294117647</v>
      </c>
      <c r="V98" s="81">
        <f t="shared" si="70"/>
        <v>-1.13235294117647</v>
      </c>
      <c r="W98" s="82" t="str">
        <f t="shared" si="71"/>
        <v>正常</v>
      </c>
      <c r="X98" s="83" t="str">
        <f t="shared" si="72"/>
        <v>库存过高</v>
      </c>
      <c r="Y98" s="44">
        <f>IFERROR(SUMIF('7店辅助表'!K:K,B:B,'7店辅助表'!N:N),0)</f>
        <v>0</v>
      </c>
      <c r="Z98" s="44">
        <f>IFERROR(SUMIF('7店辅助表'!T:T,B:B,'7店辅助表'!W:W),0)</f>
        <v>0</v>
      </c>
      <c r="AA98" s="44">
        <f>IFERROR(SUMIF('7店辅助表'!AC:AC,B:B,'7店辅助表'!AF:AF),0)</f>
        <v>0</v>
      </c>
      <c r="AB98" s="91" t="str">
        <f>IFERROR(SUMIF('7店辅助表'!K:K,B:B,'7店辅助表'!N:N)/SUMIF('7店辅助表'!K:K,B:B,'7店辅助表'!O:O),"-")</f>
        <v>-</v>
      </c>
      <c r="AC98" s="91" t="str">
        <f>IFERROR(VLOOKUP(B:B,'[1]7店'!$B:$AB,27,FALSE),"-")</f>
        <v>-</v>
      </c>
      <c r="AD98" s="92" t="str">
        <f t="shared" si="73"/>
        <v>-</v>
      </c>
      <c r="AE98" s="91" t="str">
        <f>IFERROR(SUMIF('7店辅助表'!T:T,B:B,'7店辅助表'!W:W)/SUMIF('7店辅助表'!T:T,B:B,'7店辅助表'!X:X),"-")</f>
        <v>-</v>
      </c>
      <c r="AF98" s="91" t="str">
        <f>IFERROR(SUMIF('7店辅助表'!AC:AC,B:B,'7店辅助表'!AF:AF)/SUMIF('7店辅助表'!AC:AC,B:B,'7店辅助表'!AG:AG),"-")</f>
        <v>-</v>
      </c>
      <c r="AG98" s="99">
        <f>IFERROR(AK98/((SUMIF('7店辅助表'!AT:AT,B:B,'7店辅助表'!AU:AU)+M98)/2),"-")</f>
        <v>0.153846153846154</v>
      </c>
      <c r="AH98" s="99">
        <f>IFERROR(AL98/((SUMIF('7店辅助表'!AW:AW,B:B,'7店辅助表'!AX:AX)+M98)/2),"-")</f>
        <v>0.285714285714286</v>
      </c>
      <c r="AI98" s="100">
        <f>IFERROR((SUMIF('7店辅助表'!AP:AP,B:B,'7店辅助表'!AR:AR)-SUMIF('7店辅助表'!AP:AP,B:B,'7店辅助表'!AR:AR)*0.15-(L98+IFERROR(VLOOKUP(B:B,'7店辅助表'!AZ:BA,2,0),0))*O98-IF(AN:AN="US",6.85,4.9)*(Z98+4.27*O98))/SUMIF('7店辅助表'!AP:AP,B:B,'7店辅助表'!AR:AR),"-")</f>
        <v>0.243758789258689</v>
      </c>
      <c r="AJ98" s="100">
        <f t="shared" si="74"/>
        <v>0.0696453683596254</v>
      </c>
      <c r="AK98" s="101">
        <f t="shared" si="75"/>
        <v>13.9</v>
      </c>
      <c r="AL98" s="101">
        <f t="shared" si="76"/>
        <v>27.8</v>
      </c>
      <c r="AM98" s="1" t="str">
        <f>VLOOKUP(B:B,'7店辅助表'!AZ:AZ,1,FALSE)</f>
        <v>Y73133-DB+Y73136+Y73267</v>
      </c>
      <c r="AN98" t="str">
        <f>VLOOKUP(B:B,'7店辅助表'!AZ:BB,3,FALSE)</f>
        <v>US</v>
      </c>
    </row>
    <row r="99" customHeight="1" spans="1:40">
      <c r="A99" s="58" t="str">
        <f>INDEX('[1]7店'!$A:$A,MATCH(B:B,'[1]7店'!$B:$B,0))</f>
        <v>美珠</v>
      </c>
      <c r="B99" s="116" t="s">
        <v>2415</v>
      </c>
      <c r="C99" s="45" t="s">
        <v>2416</v>
      </c>
      <c r="D99" s="59">
        <f>VLOOKUP(B:B,'[1]7店'!$B:$L,3,0)</f>
        <v>44935</v>
      </c>
      <c r="E99" s="45" t="s">
        <v>2417</v>
      </c>
      <c r="F99" s="45">
        <v>9</v>
      </c>
      <c r="G99" s="45">
        <v>0</v>
      </c>
      <c r="H99" s="45">
        <v>0</v>
      </c>
      <c r="I99" s="45">
        <v>0</v>
      </c>
      <c r="J99" s="45">
        <v>0</v>
      </c>
      <c r="K99" s="63">
        <f t="shared" si="66"/>
        <v>9</v>
      </c>
      <c r="L99" s="132">
        <f>VLOOKUP($B:$B,'[1]7店'!$B:$L,11,FALSE)</f>
        <v>13.9</v>
      </c>
      <c r="M99" s="44">
        <f t="shared" si="54"/>
        <v>125.1</v>
      </c>
      <c r="N99" s="65">
        <f>IFERROR(VLOOKUP(B:B,'7店辅助表'!B:C,2,FALSE),0)</f>
        <v>0</v>
      </c>
      <c r="O99" s="65">
        <f>IFERROR(VLOOKUP(B:B,'7店辅助表'!E:F,2,FALSE),0)</f>
        <v>0</v>
      </c>
      <c r="P99" s="65">
        <f>IFERROR(VLOOKUP(B:B,'7店辅助表'!H:I,2,FALSE),0)</f>
        <v>2</v>
      </c>
      <c r="Q99" s="65">
        <f>IFERROR(VLOOKUP(B:B,'[1]7店'!$B:$N,13,FALSE),0)</f>
        <v>0</v>
      </c>
      <c r="R99" s="79">
        <f t="shared" si="67"/>
        <v>0</v>
      </c>
      <c r="S99" s="80">
        <f t="shared" si="68"/>
        <v>405</v>
      </c>
      <c r="T99" s="44">
        <f t="shared" si="69"/>
        <v>13.5</v>
      </c>
      <c r="U99" s="44">
        <f>IFERROR(VLOOKUP($B:$B,'[1]7店'!$B:$T,19,FALSE),0)</f>
        <v>10</v>
      </c>
      <c r="V99" s="81">
        <f t="shared" si="70"/>
        <v>3.5</v>
      </c>
      <c r="W99" s="82" t="str">
        <f t="shared" si="71"/>
        <v>有库存无销量</v>
      </c>
      <c r="X99" s="83" t="str">
        <f t="shared" si="72"/>
        <v>库存过高</v>
      </c>
      <c r="Y99" s="44">
        <f>IFERROR(SUMIF('7店辅助表'!K:K,B:B,'7店辅助表'!N:N),0)</f>
        <v>1.6</v>
      </c>
      <c r="Z99" s="44">
        <f>IFERROR(SUMIF('7店辅助表'!T:T,B:B,'7店辅助表'!W:W),0)</f>
        <v>4</v>
      </c>
      <c r="AA99" s="44">
        <f>IFERROR(SUMIF('7店辅助表'!AC:AC,B:B,'7店辅助表'!AF:AF),0)</f>
        <v>9.69</v>
      </c>
      <c r="AB99" s="91">
        <f>IFERROR(SUMIF('7店辅助表'!K:K,B:B,'7店辅助表'!N:N)/SUMIF('7店辅助表'!K:K,B:B,'7店辅助表'!O:O),"-")</f>
        <v>0.123171670515781</v>
      </c>
      <c r="AC99" s="91" t="str">
        <f>IFERROR(VLOOKUP(B:B,'[1]7店'!$B:$AB,27,FALSE),"-")</f>
        <v>-</v>
      </c>
      <c r="AD99" s="92" t="str">
        <f t="shared" si="73"/>
        <v>-</v>
      </c>
      <c r="AE99" s="91">
        <f>IFERROR(SUMIF('7店辅助表'!T:T,B:B,'7店辅助表'!W:W)/SUMIF('7店辅助表'!T:T,B:B,'7店辅助表'!X:X),"-")</f>
        <v>0.307929176289453</v>
      </c>
      <c r="AF99" s="91">
        <f>IFERROR(SUMIF('7店辅助表'!AC:AC,B:B,'7店辅助表'!AF:AF)/SUMIF('7店辅助表'!AC:AC,B:B,'7店辅助表'!AG:AG),"-")</f>
        <v>0.202043369474562</v>
      </c>
      <c r="AG99" s="99">
        <f>IFERROR(AK99/((SUMIF('7店辅助表'!AT:AT,B:B,'7店辅助表'!AU:AU)+M99)/2),"-")</f>
        <v>0</v>
      </c>
      <c r="AH99" s="99">
        <f>IFERROR(AL99/((SUMIF('7店辅助表'!AW:AW,B:B,'7店辅助表'!AX:AX)+M99)/2),"-")</f>
        <v>0</v>
      </c>
      <c r="AI99" s="100" t="str">
        <f>IFERROR((SUMIF('7店辅助表'!AP:AP,B:B,'7店辅助表'!AR:AR)-SUMIF('7店辅助表'!AP:AP,B:B,'7店辅助表'!AR:AR)*0.15-(L99+IFERROR(VLOOKUP(B:B,'7店辅助表'!AZ:BA,2,0),0))*O99-IF(AN:AN="US",6.85,4.9)*(Z99+4.27*O99))/SUMIF('7店辅助表'!AP:AP,B:B,'7店辅助表'!AR:AR),"-")</f>
        <v>-</v>
      </c>
      <c r="AJ99" s="100" t="str">
        <f t="shared" si="74"/>
        <v>-</v>
      </c>
      <c r="AK99" s="101">
        <f t="shared" si="75"/>
        <v>0</v>
      </c>
      <c r="AL99" s="101">
        <f t="shared" si="76"/>
        <v>0</v>
      </c>
      <c r="AM99" s="1" t="str">
        <f>VLOOKUP(B:B,'7店辅助表'!AZ:AZ,1,FALSE)</f>
        <v>Y73133-OR+Y73136+Y73267</v>
      </c>
      <c r="AN99" t="str">
        <f>VLOOKUP(B:B,'7店辅助表'!AZ:BB,3,FALSE)</f>
        <v>US</v>
      </c>
    </row>
    <row r="100" customHeight="1" spans="1:40">
      <c r="A100" s="58" t="str">
        <f>INDEX('[1]7店'!$A:$A,MATCH(B:B,'[1]7店'!$B:$B,0))</f>
        <v>美珠</v>
      </c>
      <c r="B100" s="116" t="s">
        <v>2418</v>
      </c>
      <c r="C100" s="45" t="s">
        <v>86</v>
      </c>
      <c r="D100" s="59">
        <f>VLOOKUP(B:B,'[1]7店'!$B:$L,3,0)</f>
        <v>44935</v>
      </c>
      <c r="E100" s="45" t="s">
        <v>2419</v>
      </c>
      <c r="F100" s="45">
        <v>10</v>
      </c>
      <c r="G100" s="45">
        <v>0</v>
      </c>
      <c r="H100" s="45">
        <v>0</v>
      </c>
      <c r="I100" s="45">
        <v>0</v>
      </c>
      <c r="J100" s="45">
        <v>0</v>
      </c>
      <c r="K100" s="63">
        <f t="shared" si="66"/>
        <v>10</v>
      </c>
      <c r="L100" s="132">
        <f>VLOOKUP($B:$B,'[1]7店'!$B:$L,11,FALSE)</f>
        <v>13.9</v>
      </c>
      <c r="M100" s="44">
        <f t="shared" si="54"/>
        <v>139</v>
      </c>
      <c r="N100" s="65">
        <f>IFERROR(VLOOKUP(B:B,'7店辅助表'!B:C,2,FALSE),0)</f>
        <v>0</v>
      </c>
      <c r="O100" s="65">
        <f>IFERROR(VLOOKUP(B:B,'7店辅助表'!E:F,2,FALSE),0)</f>
        <v>0</v>
      </c>
      <c r="P100" s="65">
        <f>IFERROR(VLOOKUP(B:B,'7店辅助表'!H:I,2,FALSE),0)</f>
        <v>0</v>
      </c>
      <c r="Q100" s="65">
        <f>IFERROR(VLOOKUP(B:B,'[1]7店'!$B:$N,13,FALSE),0)</f>
        <v>0</v>
      </c>
      <c r="R100" s="79">
        <f t="shared" si="67"/>
        <v>0</v>
      </c>
      <c r="S100" s="80" t="str">
        <f t="shared" si="68"/>
        <v>-</v>
      </c>
      <c r="T100" s="44" t="str">
        <f t="shared" si="69"/>
        <v>-</v>
      </c>
      <c r="U100" s="44">
        <f>IFERROR(VLOOKUP($B:$B,'[1]7店'!$B:$T,19,FALSE),0)</f>
        <v>2.72727272727273</v>
      </c>
      <c r="V100" s="81" t="str">
        <f t="shared" si="70"/>
        <v>-</v>
      </c>
      <c r="W100" s="82" t="str">
        <f t="shared" si="71"/>
        <v>有库存无销量</v>
      </c>
      <c r="X100" s="83" t="str">
        <f t="shared" si="72"/>
        <v>有库存无销量</v>
      </c>
      <c r="Y100" s="44">
        <f>IFERROR(SUMIF('7店辅助表'!K:K,B:B,'7店辅助表'!N:N),0)</f>
        <v>2.4</v>
      </c>
      <c r="Z100" s="44">
        <f>IFERROR(SUMIF('7店辅助表'!T:T,B:B,'7店辅助表'!W:W),0)</f>
        <v>2.4</v>
      </c>
      <c r="AA100" s="44">
        <f>IFERROR(SUMIF('7店辅助表'!AC:AC,B:B,'7店辅助表'!AF:AF),0)</f>
        <v>2.4</v>
      </c>
      <c r="AB100" s="91">
        <f>IFERROR(SUMIF('7店辅助表'!K:K,B:B,'7店辅助表'!N:N)/SUMIF('7店辅助表'!K:K,B:B,'7店辅助表'!O:O),"-")</f>
        <v>0.184757505773672</v>
      </c>
      <c r="AC100" s="91" t="str">
        <f>IFERROR(VLOOKUP(B:B,'[1]7店'!$B:$AB,27,FALSE),"-")</f>
        <v>-</v>
      </c>
      <c r="AD100" s="92" t="str">
        <f t="shared" si="73"/>
        <v>-</v>
      </c>
      <c r="AE100" s="91">
        <f>IFERROR(SUMIF('7店辅助表'!T:T,B:B,'7店辅助表'!W:W)/SUMIF('7店辅助表'!T:T,B:B,'7店辅助表'!X:X),"-")</f>
        <v>0.184757505773672</v>
      </c>
      <c r="AF100" s="91">
        <f>IFERROR(SUMIF('7店辅助表'!AC:AC,B:B,'7店辅助表'!AF:AF)/SUMIF('7店辅助表'!AC:AC,B:B,'7店辅助表'!AG:AG),"-")</f>
        <v>0.184757505773672</v>
      </c>
      <c r="AG100" s="99">
        <f>IFERROR(AK100/((SUMIF('7店辅助表'!AT:AT,B:B,'7店辅助表'!AU:AU)+M100)/2),"-")</f>
        <v>0</v>
      </c>
      <c r="AH100" s="99">
        <f>IFERROR(AL100/((SUMIF('7店辅助表'!AW:AW,B:B,'7店辅助表'!AX:AX)+M100)/2),"-")</f>
        <v>0</v>
      </c>
      <c r="AI100" s="100" t="str">
        <f>IFERROR((SUMIF('7店辅助表'!AP:AP,B:B,'7店辅助表'!AR:AR)-SUMIF('7店辅助表'!AP:AP,B:B,'7店辅助表'!AR:AR)*0.15-(L100+IFERROR(VLOOKUP(B:B,'7店辅助表'!AZ:BA,2,0),0))*O100-IF(AN:AN="US",6.85,4.9)*(Z100+4.27*O100))/SUMIF('7店辅助表'!AP:AP,B:B,'7店辅助表'!AR:AR),"-")</f>
        <v>-</v>
      </c>
      <c r="AJ100" s="100" t="str">
        <f t="shared" si="74"/>
        <v>-</v>
      </c>
      <c r="AK100" s="101">
        <f t="shared" si="75"/>
        <v>0</v>
      </c>
      <c r="AL100" s="101">
        <f t="shared" si="76"/>
        <v>0</v>
      </c>
      <c r="AM100" s="1" t="str">
        <f>VLOOKUP(B:B,'7店辅助表'!AZ:AZ,1,FALSE)</f>
        <v>Y73134-BL+Y03137+Y73268</v>
      </c>
      <c r="AN100" t="str">
        <f>VLOOKUP(B:B,'7店辅助表'!AZ:BB,3,FALSE)</f>
        <v>US</v>
      </c>
    </row>
    <row r="101" customHeight="1" spans="1:40">
      <c r="A101" s="58" t="str">
        <f>INDEX('[1]7店'!$A:$A,MATCH(B:B,'[1]7店'!$B:$B,0))</f>
        <v>美珠</v>
      </c>
      <c r="B101" s="116" t="s">
        <v>2420</v>
      </c>
      <c r="C101" s="45" t="s">
        <v>2421</v>
      </c>
      <c r="D101" s="59">
        <f>VLOOKUP(B:B,'[1]7店'!$B:$L,3,0)</f>
        <v>44935</v>
      </c>
      <c r="E101" s="45" t="s">
        <v>2422</v>
      </c>
      <c r="F101" s="45">
        <v>1</v>
      </c>
      <c r="G101" s="45">
        <v>0</v>
      </c>
      <c r="H101" s="45">
        <v>7</v>
      </c>
      <c r="I101" s="45">
        <v>0</v>
      </c>
      <c r="J101" s="45">
        <v>0</v>
      </c>
      <c r="K101" s="63">
        <f t="shared" si="66"/>
        <v>8</v>
      </c>
      <c r="L101" s="132">
        <f>VLOOKUP($B:$B,'[1]7店'!$B:$L,11,FALSE)</f>
        <v>13.9</v>
      </c>
      <c r="M101" s="44">
        <f t="shared" ref="M101:M132" si="77">K101*L101</f>
        <v>111.2</v>
      </c>
      <c r="N101" s="65">
        <f>IFERROR(VLOOKUP(B:B,'7店辅助表'!B:C,2,FALSE),0)</f>
        <v>1</v>
      </c>
      <c r="O101" s="65">
        <f>IFERROR(VLOOKUP(B:B,'7店辅助表'!E:F,2,FALSE),0)</f>
        <v>5</v>
      </c>
      <c r="P101" s="65">
        <f>IFERROR(VLOOKUP(B:B,'7店辅助表'!H:I,2,FALSE),0)</f>
        <v>9</v>
      </c>
      <c r="Q101" s="65">
        <f>IFERROR(VLOOKUP(B:B,'[1]7店'!$B:$N,13,FALSE),0)</f>
        <v>4</v>
      </c>
      <c r="R101" s="79">
        <f t="shared" si="67"/>
        <v>-3</v>
      </c>
      <c r="S101" s="80">
        <f t="shared" si="68"/>
        <v>30.920245398773</v>
      </c>
      <c r="T101" s="44">
        <f t="shared" si="69"/>
        <v>1.03067484662577</v>
      </c>
      <c r="U101" s="44">
        <f>IFERROR(VLOOKUP($B:$B,'[1]7店'!$B:$T,19,FALSE),0)</f>
        <v>0.623145400593472</v>
      </c>
      <c r="V101" s="81">
        <f t="shared" si="70"/>
        <v>0.407529446032298</v>
      </c>
      <c r="W101" s="82" t="str">
        <f t="shared" si="71"/>
        <v>库存过高</v>
      </c>
      <c r="X101" s="83" t="str">
        <f t="shared" si="72"/>
        <v>正常</v>
      </c>
      <c r="Y101" s="44">
        <f>IFERROR(SUMIF('7店辅助表'!K:K,B:B,'7店辅助表'!N:N),0)</f>
        <v>0</v>
      </c>
      <c r="Z101" s="44">
        <f>IFERROR(SUMIF('7店辅助表'!T:T,B:B,'7店辅助表'!W:W),0)</f>
        <v>4.09</v>
      </c>
      <c r="AA101" s="44">
        <f>IFERROR(SUMIF('7店辅助表'!AC:AC,B:B,'7店辅助表'!AF:AF),0)</f>
        <v>10.2</v>
      </c>
      <c r="AB101" s="91" t="str">
        <f>IFERROR(SUMIF('7店辅助表'!K:K,B:B,'7店辅助表'!N:N)/SUMIF('7店辅助表'!K:K,B:B,'7店辅助表'!O:O),"-")</f>
        <v>-</v>
      </c>
      <c r="AC101" s="91">
        <f>IFERROR(VLOOKUP(B:B,'[1]7店'!$B:$AB,27,FALSE),"-")</f>
        <v>0.134334103156274</v>
      </c>
      <c r="AD101" s="92" t="str">
        <f t="shared" si="73"/>
        <v>-</v>
      </c>
      <c r="AE101" s="91">
        <f>IFERROR(SUMIF('7店辅助表'!T:T,B:B,'7店辅助表'!W:W)/SUMIF('7店辅助表'!T:T,B:B,'7店辅助表'!X:X),"-")</f>
        <v>0.157428791377983</v>
      </c>
      <c r="AF101" s="91">
        <f>IFERROR(SUMIF('7店辅助表'!AC:AC,B:B,'7店辅助表'!AF:AF)/SUMIF('7店辅助表'!AC:AC,B:B,'7店辅助表'!AG:AG),"-")</f>
        <v>0.263975155279503</v>
      </c>
      <c r="AG101" s="99">
        <f>IFERROR(AK101/((SUMIF('7店辅助表'!AT:AT,B:B,'7店辅助表'!AU:AU)+M101)/2),"-")</f>
        <v>0.111111111111111</v>
      </c>
      <c r="AH101" s="99">
        <f>IFERROR(AL101/((SUMIF('7店辅助表'!AW:AW,B:B,'7店辅助表'!AX:AX)+M101)/2),"-")</f>
        <v>0.714285714285714</v>
      </c>
      <c r="AI101" s="100">
        <f>IFERROR((SUMIF('7店辅助表'!AP:AP,B:B,'7店辅助表'!AR:AR)-SUMIF('7店辅助表'!AP:AP,B:B,'7店辅助表'!AR:AR)*0.15-(L101+IFERROR(VLOOKUP(B:B,'7店辅助表'!AZ:BA,2,0),0))*O101-IF(AN:AN="US",6.85,4.9)*(Z101+4.27*O101))/SUMIF('7店辅助表'!AP:AP,B:B,'7店辅助表'!AR:AR),"-")</f>
        <v>0.1894317117282</v>
      </c>
      <c r="AJ101" s="100">
        <f t="shared" si="74"/>
        <v>0.135308365520143</v>
      </c>
      <c r="AK101" s="101">
        <f t="shared" si="75"/>
        <v>13.9</v>
      </c>
      <c r="AL101" s="101">
        <f t="shared" si="76"/>
        <v>69.5</v>
      </c>
      <c r="AM101" s="1" t="str">
        <f>VLOOKUP(B:B,'7店辅助表'!AZ:AZ,1,FALSE)</f>
        <v>Y73134-DB+Y03137+Y73268</v>
      </c>
      <c r="AN101" t="str">
        <f>VLOOKUP(B:B,'7店辅助表'!AZ:BB,3,FALSE)</f>
        <v>US</v>
      </c>
    </row>
    <row r="102" customHeight="1" spans="1:40">
      <c r="A102" s="58" t="str">
        <f>INDEX('[1]7店'!$A:$A,MATCH(B:B,'[1]7店'!$B:$B,0))</f>
        <v>美珠</v>
      </c>
      <c r="B102" s="116" t="s">
        <v>2423</v>
      </c>
      <c r="C102" s="45" t="s">
        <v>89</v>
      </c>
      <c r="D102" s="59">
        <f>VLOOKUP(B:B,'[1]7店'!$B:$L,3,0)</f>
        <v>44935</v>
      </c>
      <c r="E102" s="45" t="s">
        <v>2424</v>
      </c>
      <c r="F102" s="45">
        <v>6</v>
      </c>
      <c r="G102" s="45">
        <v>0</v>
      </c>
      <c r="H102" s="45">
        <v>2</v>
      </c>
      <c r="I102" s="45">
        <v>0</v>
      </c>
      <c r="J102" s="45">
        <v>1</v>
      </c>
      <c r="K102" s="63">
        <f t="shared" si="66"/>
        <v>9</v>
      </c>
      <c r="L102" s="132">
        <f>VLOOKUP($B:$B,'[1]7店'!$B:$L,11,FALSE)</f>
        <v>13.9</v>
      </c>
      <c r="M102" s="44">
        <f t="shared" si="77"/>
        <v>125.1</v>
      </c>
      <c r="N102" s="65">
        <f>IFERROR(VLOOKUP(B:B,'7店辅助表'!B:C,2,FALSE),0)</f>
        <v>1</v>
      </c>
      <c r="O102" s="65">
        <f>IFERROR(VLOOKUP(B:B,'7店辅助表'!E:F,2,FALSE),0)</f>
        <v>1</v>
      </c>
      <c r="P102" s="65">
        <f>IFERROR(VLOOKUP(B:B,'7店辅助表'!H:I,2,FALSE),0)</f>
        <v>10</v>
      </c>
      <c r="Q102" s="65">
        <f>IFERROR(VLOOKUP(B:B,'[1]7店'!$B:$N,13,FALSE),0)</f>
        <v>0</v>
      </c>
      <c r="R102" s="79">
        <f t="shared" si="67"/>
        <v>1</v>
      </c>
      <c r="S102" s="80">
        <f t="shared" si="68"/>
        <v>49.7368421052632</v>
      </c>
      <c r="T102" s="44">
        <f t="shared" si="69"/>
        <v>1.65789473684211</v>
      </c>
      <c r="U102" s="44">
        <f>IFERROR(VLOOKUP($B:$B,'[1]7店'!$B:$T,19,FALSE),0)</f>
        <v>2.14285714285714</v>
      </c>
      <c r="V102" s="81">
        <f t="shared" si="70"/>
        <v>-0.48496240601503</v>
      </c>
      <c r="W102" s="82" t="str">
        <f t="shared" si="71"/>
        <v>库存过高</v>
      </c>
      <c r="X102" s="83" t="str">
        <f t="shared" si="72"/>
        <v>库存过高</v>
      </c>
      <c r="Y102" s="44">
        <f>IFERROR(SUMIF('7店辅助表'!K:K,B:B,'7店辅助表'!N:N),0)</f>
        <v>0</v>
      </c>
      <c r="Z102" s="44">
        <f>IFERROR(SUMIF('7店辅助表'!T:T,B:B,'7店辅助表'!W:W),0)</f>
        <v>0</v>
      </c>
      <c r="AA102" s="44">
        <f>IFERROR(SUMIF('7店辅助表'!AC:AC,B:B,'7店辅助表'!AF:AF),0)</f>
        <v>6.79</v>
      </c>
      <c r="AB102" s="91" t="str">
        <f>IFERROR(SUMIF('7店辅助表'!K:K,B:B,'7店辅助表'!N:N)/SUMIF('7店辅助表'!K:K,B:B,'7店辅助表'!O:O),"-")</f>
        <v>-</v>
      </c>
      <c r="AC102" s="91" t="str">
        <f>IFERROR(VLOOKUP(B:B,'[1]7店'!$B:$AB,27,FALSE),"-")</f>
        <v>-</v>
      </c>
      <c r="AD102" s="92" t="str">
        <f t="shared" si="73"/>
        <v>-</v>
      </c>
      <c r="AE102" s="91" t="str">
        <f>IFERROR(SUMIF('7店辅助表'!T:T,B:B,'7店辅助表'!W:W)/SUMIF('7店辅助表'!T:T,B:B,'7店辅助表'!X:X),"-")</f>
        <v>-</v>
      </c>
      <c r="AF102" s="91">
        <f>IFERROR(SUMIF('7店辅助表'!AC:AC,B:B,'7店辅助表'!AF:AF)/SUMIF('7店辅助表'!AC:AC,B:B,'7店辅助表'!AG:AG),"-")</f>
        <v>0.522709776751347</v>
      </c>
      <c r="AG102" s="99">
        <f>IFERROR(AK102/((SUMIF('7店辅助表'!AT:AT,B:B,'7店辅助表'!AU:AU)+M102)/2),"-")</f>
        <v>0.105263157894737</v>
      </c>
      <c r="AH102" s="99">
        <f>IFERROR(AL102/((SUMIF('7店辅助表'!AW:AW,B:B,'7店辅助表'!AX:AX)+M102)/2),"-")</f>
        <v>0.166666666666667</v>
      </c>
      <c r="AI102" s="100">
        <f>IFERROR((SUMIF('7店辅助表'!AP:AP,B:B,'7店辅助表'!AR:AR)-SUMIF('7店辅助表'!AP:AP,B:B,'7店辅助表'!AR:AR)*0.15-(L102+IFERROR(VLOOKUP(B:B,'7店辅助表'!AZ:BA,2,0),0))*O102-IF(AN:AN="US",6.85,4.9)*(Z102+4.27*O102))/SUMIF('7店辅助表'!AP:AP,B:B,'7店辅助表'!AR:AR),"-")</f>
        <v>0.295587004040166</v>
      </c>
      <c r="AJ102" s="100">
        <f t="shared" si="74"/>
        <v>0.049264500673361</v>
      </c>
      <c r="AK102" s="101">
        <f t="shared" si="75"/>
        <v>13.9</v>
      </c>
      <c r="AL102" s="101">
        <f t="shared" si="76"/>
        <v>13.9</v>
      </c>
      <c r="AM102" s="1" t="str">
        <f>VLOOKUP(B:B,'7店辅助表'!AZ:AZ,1,FALSE)</f>
        <v>Y73134-OR+Y03137+Y73268</v>
      </c>
      <c r="AN102" t="str">
        <f>VLOOKUP(B:B,'7店辅助表'!AZ:BB,3,FALSE)</f>
        <v>US</v>
      </c>
    </row>
    <row r="103" customHeight="1" spans="1:40">
      <c r="A103" s="58" t="str">
        <f>INDEX('[1]7店'!$A:$A,MATCH(B:B,'[1]7店'!$B:$B,0))</f>
        <v>美珠</v>
      </c>
      <c r="B103" s="116" t="s">
        <v>2425</v>
      </c>
      <c r="C103" s="45" t="s">
        <v>2426</v>
      </c>
      <c r="D103" s="59"/>
      <c r="E103" s="45" t="s">
        <v>2427</v>
      </c>
      <c r="F103" s="45">
        <v>4</v>
      </c>
      <c r="G103" s="45">
        <v>0</v>
      </c>
      <c r="H103" s="45">
        <v>0</v>
      </c>
      <c r="I103" s="45">
        <v>0</v>
      </c>
      <c r="J103" s="45">
        <v>0</v>
      </c>
      <c r="K103" s="63">
        <f t="shared" si="66"/>
        <v>4</v>
      </c>
      <c r="L103" s="132">
        <f>VLOOKUP($B:$B,'[1]7店'!$B:$L,11,FALSE)</f>
        <v>13.9</v>
      </c>
      <c r="M103" s="44">
        <f t="shared" si="77"/>
        <v>55.6</v>
      </c>
      <c r="N103" s="65">
        <f>IFERROR(VLOOKUP(B:B,'7店辅助表'!B:C,2,FALSE),0)</f>
        <v>0</v>
      </c>
      <c r="O103" s="65">
        <f>IFERROR(VLOOKUP(B:B,'7店辅助表'!E:F,2,FALSE),0)</f>
        <v>1</v>
      </c>
      <c r="P103" s="65">
        <f>IFERROR(VLOOKUP(B:B,'7店辅助表'!H:I,2,FALSE),0)</f>
        <v>4</v>
      </c>
      <c r="Q103" s="65">
        <f>IFERROR(VLOOKUP(B:B,'[1]7店'!$B:$N,13,FALSE),0)</f>
        <v>1</v>
      </c>
      <c r="R103" s="79">
        <f t="shared" si="67"/>
        <v>-1</v>
      </c>
      <c r="S103" s="80">
        <f t="shared" si="68"/>
        <v>60</v>
      </c>
      <c r="T103" s="44">
        <f t="shared" si="69"/>
        <v>2</v>
      </c>
      <c r="U103" s="44">
        <f>IFERROR(VLOOKUP($B:$B,'[1]7店'!$B:$T,19,FALSE),0)</f>
        <v>0.785046728971963</v>
      </c>
      <c r="V103" s="81">
        <f t="shared" si="70"/>
        <v>1.21495327102804</v>
      </c>
      <c r="W103" s="82" t="str">
        <f t="shared" si="71"/>
        <v>有库存无销量</v>
      </c>
      <c r="X103" s="83" t="str">
        <f t="shared" si="72"/>
        <v>库存过高</v>
      </c>
      <c r="Y103" s="44">
        <f>IFERROR(SUMIF('7店辅助表'!K:K,B:B,'7店辅助表'!N:N),0)</f>
        <v>0</v>
      </c>
      <c r="Z103" s="44">
        <f>IFERROR(SUMIF('7店辅助表'!T:T,B:B,'7店辅助表'!W:W),0)</f>
        <v>2.3</v>
      </c>
      <c r="AA103" s="44">
        <f>IFERROR(SUMIF('7店辅助表'!AC:AC,B:B,'7店辅助表'!AF:AF),0)</f>
        <v>5.17</v>
      </c>
      <c r="AB103" s="91" t="str">
        <f>IFERROR(SUMIF('7店辅助表'!K:K,B:B,'7店辅助表'!N:N)/SUMIF('7店辅助表'!K:K,B:B,'7店辅助表'!O:O),"-")</f>
        <v>-</v>
      </c>
      <c r="AC103" s="91">
        <f>IFERROR(VLOOKUP(B:B,'[1]7店'!$B:$AB,27,FALSE),"-")</f>
        <v>0.107424960505529</v>
      </c>
      <c r="AD103" s="92" t="str">
        <f t="shared" si="73"/>
        <v>-</v>
      </c>
      <c r="AE103" s="91">
        <f>IFERROR(SUMIF('7店辅助表'!T:T,B:B,'7店辅助表'!W:W)/SUMIF('7店辅助表'!T:T,B:B,'7店辅助表'!X:X),"-")</f>
        <v>0.121116377040548</v>
      </c>
      <c r="AF103" s="91">
        <f>IFERROR(SUMIF('7店辅助表'!AC:AC,B:B,'7店辅助表'!AF:AF)/SUMIF('7店辅助表'!AC:AC,B:B,'7店辅助表'!AG:AG),"-")</f>
        <v>0.272248551869405</v>
      </c>
      <c r="AG103" s="99">
        <f>IFERROR(AK103/((SUMIF('7店辅助表'!AT:AT,B:B,'7店辅助表'!AU:AU)+M103)/2),"-")</f>
        <v>0</v>
      </c>
      <c r="AH103" s="99">
        <f>IFERROR(AL103/((SUMIF('7店辅助表'!AW:AW,B:B,'7店辅助表'!AX:AX)+M103)/2),"-")</f>
        <v>0.166666666666667</v>
      </c>
      <c r="AI103" s="100">
        <f>IFERROR((SUMIF('7店辅助表'!AP:AP,B:B,'7店辅助表'!AR:AR)-SUMIF('7店辅助表'!AP:AP,B:B,'7店辅助表'!AR:AR)*0.15-(L103+IFERROR(VLOOKUP(B:B,'7店辅助表'!AZ:BA,2,0),0))*O103-IF(AN:AN="US",6.85,4.9)*(Z103+4.27*O103))/SUMIF('7店辅助表'!AP:AP,B:B,'7店辅助表'!AR:AR),"-")</f>
        <v>0.346250427616533</v>
      </c>
      <c r="AJ103" s="100">
        <f t="shared" si="74"/>
        <v>0.0577084046027555</v>
      </c>
      <c r="AK103" s="101">
        <f t="shared" si="75"/>
        <v>0</v>
      </c>
      <c r="AL103" s="101">
        <f t="shared" si="76"/>
        <v>13.9</v>
      </c>
      <c r="AM103" s="1" t="str">
        <f>VLOOKUP(B:B,'7店辅助表'!AZ:AZ,1,FALSE)</f>
        <v>Y73630-GR+Y73635+Y73643</v>
      </c>
      <c r="AN103" t="str">
        <f>VLOOKUP(B:B,'7店辅助表'!AZ:BB,3,FALSE)</f>
        <v>US</v>
      </c>
    </row>
    <row r="104" customHeight="1" spans="1:40">
      <c r="A104" s="58" t="str">
        <f>INDEX('[1]7店'!$A:$A,MATCH(B:B,'[1]7店'!$B:$B,0))</f>
        <v>美珠</v>
      </c>
      <c r="B104" s="116" t="s">
        <v>2428</v>
      </c>
      <c r="C104" s="45" t="s">
        <v>50</v>
      </c>
      <c r="D104" s="59">
        <f>VLOOKUP(B:B,'[1]7店'!$B:$L,3,0)</f>
        <v>45030</v>
      </c>
      <c r="E104" s="45" t="s">
        <v>2429</v>
      </c>
      <c r="F104" s="45">
        <v>22</v>
      </c>
      <c r="G104" s="45">
        <v>0</v>
      </c>
      <c r="H104" s="45">
        <v>0</v>
      </c>
      <c r="I104" s="45">
        <v>0</v>
      </c>
      <c r="J104" s="45">
        <v>0</v>
      </c>
      <c r="K104" s="63">
        <f t="shared" si="66"/>
        <v>22</v>
      </c>
      <c r="L104" s="132">
        <f>VLOOKUP($B:$B,'[1]7店'!$B:$L,11,FALSE)</f>
        <v>13.9</v>
      </c>
      <c r="M104" s="44">
        <f t="shared" si="77"/>
        <v>305.8</v>
      </c>
      <c r="N104" s="65">
        <f>IFERROR(VLOOKUP(B:B,'7店辅助表'!B:C,2,FALSE),0)</f>
        <v>0</v>
      </c>
      <c r="O104" s="65">
        <f>IFERROR(VLOOKUP(B:B,'7店辅助表'!E:F,2,FALSE),0)</f>
        <v>3</v>
      </c>
      <c r="P104" s="65">
        <f>IFERROR(VLOOKUP(B:B,'7店辅助表'!H:I,2,FALSE),0)</f>
        <v>6</v>
      </c>
      <c r="Q104" s="65">
        <f>IFERROR(VLOOKUP(B:B,'[1]7店'!$B:$N,13,FALSE),0)</f>
        <v>4</v>
      </c>
      <c r="R104" s="79">
        <f t="shared" si="67"/>
        <v>-4</v>
      </c>
      <c r="S104" s="80">
        <f t="shared" si="68"/>
        <v>165</v>
      </c>
      <c r="T104" s="44">
        <f t="shared" si="69"/>
        <v>5.5</v>
      </c>
      <c r="U104" s="44">
        <f>IFERROR(VLOOKUP($B:$B,'[1]7店'!$B:$T,19,FALSE),0)</f>
        <v>2.05333333333333</v>
      </c>
      <c r="V104" s="81">
        <f t="shared" si="70"/>
        <v>3.44666666666667</v>
      </c>
      <c r="W104" s="82" t="str">
        <f t="shared" si="71"/>
        <v>有库存无销量</v>
      </c>
      <c r="X104" s="83" t="str">
        <f t="shared" si="72"/>
        <v>库存过高</v>
      </c>
      <c r="Y104" s="44">
        <f>IFERROR(SUMIF('7店辅助表'!K:K,B:B,'7店辅助表'!N:N),0)</f>
        <v>0</v>
      </c>
      <c r="Z104" s="44">
        <f>IFERROR(SUMIF('7店辅助表'!T:T,B:B,'7店辅助表'!W:W),0)</f>
        <v>0</v>
      </c>
      <c r="AA104" s="44">
        <f>IFERROR(SUMIF('7店辅助表'!AC:AC,B:B,'7店辅助表'!AF:AF),0)</f>
        <v>0</v>
      </c>
      <c r="AB104" s="91" t="str">
        <f>IFERROR(SUMIF('7店辅助表'!K:K,B:B,'7店辅助表'!N:N)/SUMIF('7店辅助表'!K:K,B:B,'7店辅助表'!O:O),"-")</f>
        <v>-</v>
      </c>
      <c r="AC104" s="91" t="str">
        <f>IFERROR(VLOOKUP(B:B,'[1]7店'!$B:$AB,27,FALSE),"-")</f>
        <v>-</v>
      </c>
      <c r="AD104" s="92" t="str">
        <f t="shared" si="73"/>
        <v>-</v>
      </c>
      <c r="AE104" s="91" t="str">
        <f>IFERROR(SUMIF('7店辅助表'!T:T,B:B,'7店辅助表'!W:W)/SUMIF('7店辅助表'!T:T,B:B,'7店辅助表'!X:X),"-")</f>
        <v>-</v>
      </c>
      <c r="AF104" s="91" t="str">
        <f>IFERROR(SUMIF('7店辅助表'!AC:AC,B:B,'7店辅助表'!AF:AF)/SUMIF('7店辅助表'!AC:AC,B:B,'7店辅助表'!AG:AG),"-")</f>
        <v>-</v>
      </c>
      <c r="AG104" s="99">
        <f>IFERROR(AK104/((SUMIF('7店辅助表'!AT:AT,B:B,'7店辅助表'!AU:AU)+M104)/2),"-")</f>
        <v>0</v>
      </c>
      <c r="AH104" s="99">
        <f>IFERROR(AL104/((SUMIF('7店辅助表'!AW:AW,B:B,'7店辅助表'!AX:AX)+M104)/2),"-")</f>
        <v>0.122448979591837</v>
      </c>
      <c r="AI104" s="100">
        <f>IFERROR((SUMIF('7店辅助表'!AP:AP,B:B,'7店辅助表'!AR:AR)-SUMIF('7店辅助表'!AP:AP,B:B,'7店辅助表'!AR:AR)*0.15-(L104+IFERROR(VLOOKUP(B:B,'7店辅助表'!AZ:BA,2,0),0))*O104-IF(AN:AN="US",6.85,4.9)*(Z104+4.27*O104))/SUMIF('7店辅助表'!AP:AP,B:B,'7店辅助表'!AR:AR),"-")</f>
        <v>0.316365811551625</v>
      </c>
      <c r="AJ104" s="100">
        <f t="shared" si="74"/>
        <v>0.0387386708022398</v>
      </c>
      <c r="AK104" s="101">
        <f t="shared" si="75"/>
        <v>0</v>
      </c>
      <c r="AL104" s="101">
        <f t="shared" si="76"/>
        <v>41.7</v>
      </c>
      <c r="AM104" s="1" t="str">
        <f>VLOOKUP(B:B,'7店辅助表'!AZ:AZ,1,FALSE)</f>
        <v>Y72000-BL+Y72013+Y72749</v>
      </c>
      <c r="AN104" t="str">
        <f>VLOOKUP(B:B,'7店辅助表'!AZ:BB,3,FALSE)</f>
        <v>US</v>
      </c>
    </row>
    <row r="105" customHeight="1" spans="1:40">
      <c r="A105" s="58" t="str">
        <f>INDEX('[1]7店'!$A:$A,MATCH(B:B,'[1]7店'!$B:$B,0))</f>
        <v>美珠</v>
      </c>
      <c r="B105" s="116" t="s">
        <v>2430</v>
      </c>
      <c r="C105" s="45" t="s">
        <v>2431</v>
      </c>
      <c r="D105" s="59">
        <f>VLOOKUP(B:B,'[1]7店'!$B:$L,3,0)</f>
        <v>45030</v>
      </c>
      <c r="E105" s="45" t="s">
        <v>2432</v>
      </c>
      <c r="F105" s="45">
        <v>7</v>
      </c>
      <c r="G105" s="45">
        <v>0</v>
      </c>
      <c r="H105" s="45">
        <v>0</v>
      </c>
      <c r="I105" s="45">
        <v>1</v>
      </c>
      <c r="J105" s="45">
        <v>0</v>
      </c>
      <c r="K105" s="63">
        <f t="shared" si="66"/>
        <v>8</v>
      </c>
      <c r="L105" s="132">
        <f>VLOOKUP($B:$B,'[1]7店'!$B:$L,11,FALSE)</f>
        <v>13.9</v>
      </c>
      <c r="M105" s="44">
        <f t="shared" si="77"/>
        <v>111.2</v>
      </c>
      <c r="N105" s="65">
        <f>IFERROR(VLOOKUP(B:B,'7店辅助表'!B:C,2,FALSE),0)</f>
        <v>1</v>
      </c>
      <c r="O105" s="65">
        <f>IFERROR(VLOOKUP(B:B,'7店辅助表'!E:F,2,FALSE),0)</f>
        <v>3</v>
      </c>
      <c r="P105" s="65">
        <f>IFERROR(VLOOKUP(B:B,'7店辅助表'!H:I,2,FALSE),0)</f>
        <v>5</v>
      </c>
      <c r="Q105" s="65">
        <f>IFERROR(VLOOKUP(B:B,'[1]7店'!$B:$N,13,FALSE),0)</f>
        <v>2</v>
      </c>
      <c r="R105" s="79">
        <f t="shared" si="67"/>
        <v>-1</v>
      </c>
      <c r="S105" s="80">
        <f t="shared" si="68"/>
        <v>47.1028037383178</v>
      </c>
      <c r="T105" s="44">
        <f t="shared" si="69"/>
        <v>1.57009345794393</v>
      </c>
      <c r="U105" s="44">
        <f>IFERROR(VLOOKUP($B:$B,'[1]7店'!$B:$T,19,FALSE),0)</f>
        <v>1.32911392405063</v>
      </c>
      <c r="V105" s="81">
        <f t="shared" si="70"/>
        <v>0.2409795338933</v>
      </c>
      <c r="W105" s="82" t="str">
        <f t="shared" si="71"/>
        <v>库存过高</v>
      </c>
      <c r="X105" s="83" t="str">
        <f t="shared" si="72"/>
        <v>库存过高</v>
      </c>
      <c r="Y105" s="44">
        <f>IFERROR(SUMIF('7店辅助表'!K:K,B:B,'7店辅助表'!N:N),0)</f>
        <v>5.01</v>
      </c>
      <c r="Z105" s="44">
        <f>IFERROR(SUMIF('7店辅助表'!T:T,B:B,'7店辅助表'!W:W),0)</f>
        <v>8.96</v>
      </c>
      <c r="AA105" s="44">
        <f>IFERROR(SUMIF('7店辅助表'!AC:AC,B:B,'7店辅助表'!AF:AF),0)</f>
        <v>17.87</v>
      </c>
      <c r="AB105" s="91">
        <f>IFERROR(SUMIF('7店辅助表'!K:K,B:B,'7店辅助表'!N:N)/SUMIF('7店辅助表'!K:K,B:B,'7店辅助表'!O:O),"-")</f>
        <v>0.38568129330254</v>
      </c>
      <c r="AC105" s="91">
        <f>IFERROR(VLOOKUP(B:B,'[1]7店'!$B:$AB,27,FALSE),"-")</f>
        <v>0.080661629569124</v>
      </c>
      <c r="AD105" s="92">
        <f t="shared" si="73"/>
        <v>0.305019663733416</v>
      </c>
      <c r="AE105" s="91">
        <f>IFERROR(SUMIF('7店辅助表'!T:T,B:B,'7店辅助表'!W:W)/SUMIF('7店辅助表'!T:T,B:B,'7店辅助表'!X:X),"-")</f>
        <v>0.208517570397952</v>
      </c>
      <c r="AF105" s="91">
        <f>IFERROR(SUMIF('7店辅助表'!AC:AC,B:B,'7店辅助表'!AF:AF)/SUMIF('7店辅助表'!AC:AC,B:B,'7店辅助表'!AG:AG),"-")</f>
        <v>0.218086404686356</v>
      </c>
      <c r="AG105" s="99">
        <f>IFERROR(AK105/((SUMIF('7店辅助表'!AT:AT,B:B,'7店辅助表'!AU:AU)+M105)/2),"-")</f>
        <v>0.111111111111111</v>
      </c>
      <c r="AH105" s="99">
        <f>IFERROR(AL105/((SUMIF('7店辅助表'!AW:AW,B:B,'7店辅助表'!AX:AX)+M105)/2),"-")</f>
        <v>0.315789473684211</v>
      </c>
      <c r="AI105" s="100">
        <f>IFERROR((SUMIF('7店辅助表'!AP:AP,B:B,'7店辅助表'!AR:AR)-SUMIF('7店辅助表'!AP:AP,B:B,'7店辅助表'!AR:AR)*0.15-(L105+IFERROR(VLOOKUP(B:B,'7店辅助表'!AZ:BA,2,0),0))*O105-IF(AN:AN="US",6.85,4.9)*(Z105+4.27*O105))/SUMIF('7店辅助表'!AP:AP,B:B,'7店辅助表'!AR:AR),"-")</f>
        <v>-0.0303479103047658</v>
      </c>
      <c r="AJ105" s="100">
        <f t="shared" si="74"/>
        <v>-0.00958355062255763</v>
      </c>
      <c r="AK105" s="101">
        <f t="shared" si="75"/>
        <v>13.9</v>
      </c>
      <c r="AL105" s="101">
        <f t="shared" si="76"/>
        <v>41.7</v>
      </c>
      <c r="AM105" s="1" t="str">
        <f>VLOOKUP(B:B,'7店辅助表'!AZ:AZ,1,FALSE)</f>
        <v>Y72000-DB+Y72013+Y72749</v>
      </c>
      <c r="AN105" t="str">
        <f>VLOOKUP(B:B,'7店辅助表'!AZ:BB,3,FALSE)</f>
        <v>US</v>
      </c>
    </row>
    <row r="106" customHeight="1" spans="1:40">
      <c r="A106" s="58" t="str">
        <f>INDEX('[1]7店'!$A:$A,MATCH(B:B,'[1]7店'!$B:$B,0))</f>
        <v>美珠</v>
      </c>
      <c r="B106" s="116" t="s">
        <v>2433</v>
      </c>
      <c r="C106" s="45" t="s">
        <v>2434</v>
      </c>
      <c r="D106" s="59">
        <f>VLOOKUP(B:B,'[1]7店'!$B:$L,3,0)</f>
        <v>45030</v>
      </c>
      <c r="E106" s="45" t="s">
        <v>2435</v>
      </c>
      <c r="F106" s="45">
        <v>3</v>
      </c>
      <c r="G106" s="45">
        <v>1</v>
      </c>
      <c r="H106" s="45">
        <v>1</v>
      </c>
      <c r="I106" s="45">
        <v>0</v>
      </c>
      <c r="J106" s="45">
        <v>0</v>
      </c>
      <c r="K106" s="63">
        <f t="shared" si="66"/>
        <v>5</v>
      </c>
      <c r="L106" s="132">
        <f>VLOOKUP($B:$B,'[1]7店'!$B:$L,11,FALSE)</f>
        <v>13.9</v>
      </c>
      <c r="M106" s="44">
        <f t="shared" si="77"/>
        <v>69.5</v>
      </c>
      <c r="N106" s="65">
        <f>IFERROR(VLOOKUP(B:B,'7店辅助表'!B:C,2,FALSE),0)</f>
        <v>0</v>
      </c>
      <c r="O106" s="65">
        <f>IFERROR(VLOOKUP(B:B,'7店辅助表'!E:F,2,FALSE),0)</f>
        <v>0</v>
      </c>
      <c r="P106" s="65">
        <f>IFERROR(VLOOKUP(B:B,'7店辅助表'!H:I,2,FALSE),0)</f>
        <v>1</v>
      </c>
      <c r="Q106" s="65">
        <f>IFERROR(VLOOKUP(B:B,'[1]7店'!$B:$N,13,FALSE),0)</f>
        <v>0</v>
      </c>
      <c r="R106" s="79">
        <f t="shared" si="67"/>
        <v>0</v>
      </c>
      <c r="S106" s="80">
        <f t="shared" si="68"/>
        <v>450</v>
      </c>
      <c r="T106" s="44">
        <f t="shared" si="69"/>
        <v>15</v>
      </c>
      <c r="U106" s="44">
        <f>IFERROR(VLOOKUP($B:$B,'[1]7店'!$B:$T,19,FALSE),0)</f>
        <v>15</v>
      </c>
      <c r="V106" s="81">
        <f t="shared" si="70"/>
        <v>0</v>
      </c>
      <c r="W106" s="82" t="str">
        <f t="shared" si="71"/>
        <v>有库存无销量</v>
      </c>
      <c r="X106" s="83" t="str">
        <f t="shared" si="72"/>
        <v>库存过高</v>
      </c>
      <c r="Y106" s="44">
        <f>IFERROR(SUMIF('7店辅助表'!K:K,B:B,'7店辅助表'!N:N),0)</f>
        <v>0</v>
      </c>
      <c r="Z106" s="44">
        <f>IFERROR(SUMIF('7店辅助表'!T:T,B:B,'7店辅助表'!W:W),0)</f>
        <v>0</v>
      </c>
      <c r="AA106" s="44">
        <f>IFERROR(SUMIF('7店辅助表'!AC:AC,B:B,'7店辅助表'!AF:AF),0)</f>
        <v>0</v>
      </c>
      <c r="AB106" s="91" t="str">
        <f>IFERROR(SUMIF('7店辅助表'!K:K,B:B,'7店辅助表'!N:N)/SUMIF('7店辅助表'!K:K,B:B,'7店辅助表'!O:O),"-")</f>
        <v>-</v>
      </c>
      <c r="AC106" s="91" t="str">
        <f>IFERROR(VLOOKUP(B:B,'[1]7店'!$B:$AB,27,FALSE),"-")</f>
        <v>-</v>
      </c>
      <c r="AD106" s="92" t="str">
        <f t="shared" si="73"/>
        <v>-</v>
      </c>
      <c r="AE106" s="91" t="str">
        <f>IFERROR(SUMIF('7店辅助表'!T:T,B:B,'7店辅助表'!W:W)/SUMIF('7店辅助表'!T:T,B:B,'7店辅助表'!X:X),"-")</f>
        <v>-</v>
      </c>
      <c r="AF106" s="91" t="str">
        <f>IFERROR(SUMIF('7店辅助表'!AC:AC,B:B,'7店辅助表'!AF:AF)/SUMIF('7店辅助表'!AC:AC,B:B,'7店辅助表'!AG:AG),"-")</f>
        <v>-</v>
      </c>
      <c r="AG106" s="99">
        <f>IFERROR(AK106/((SUMIF('7店辅助表'!AT:AT,B:B,'7店辅助表'!AU:AU)+M106)/2),"-")</f>
        <v>0</v>
      </c>
      <c r="AH106" s="99">
        <f>IFERROR(AL106/((SUMIF('7店辅助表'!AW:AW,B:B,'7店辅助表'!AX:AX)+M106)/2),"-")</f>
        <v>0</v>
      </c>
      <c r="AI106" s="100" t="str">
        <f>IFERROR((SUMIF('7店辅助表'!AP:AP,B:B,'7店辅助表'!AR:AR)-SUMIF('7店辅助表'!AP:AP,B:B,'7店辅助表'!AR:AR)*0.15-(L106+IFERROR(VLOOKUP(B:B,'7店辅助表'!AZ:BA,2,0),0))*O106-IF(AN:AN="US",6.85,4.9)*(Z106+4.27*O106))/SUMIF('7店辅助表'!AP:AP,B:B,'7店辅助表'!AR:AR),"-")</f>
        <v>-</v>
      </c>
      <c r="AJ106" s="100" t="str">
        <f t="shared" si="74"/>
        <v>-</v>
      </c>
      <c r="AK106" s="101">
        <f t="shared" si="75"/>
        <v>0</v>
      </c>
      <c r="AL106" s="101">
        <f t="shared" si="76"/>
        <v>0</v>
      </c>
      <c r="AM106" s="1" t="str">
        <f>VLOOKUP(B:B,'7店辅助表'!AZ:AZ,1,FALSE)</f>
        <v>Y72000-OR+Y72013+Y72749</v>
      </c>
      <c r="AN106" t="str">
        <f>VLOOKUP(B:B,'7店辅助表'!AZ:BB,3,FALSE)</f>
        <v>US</v>
      </c>
    </row>
    <row r="107" customHeight="1" spans="1:40">
      <c r="A107" s="58" t="str">
        <f>INDEX('[1]7店'!$A:$A,MATCH(B:B,'[1]7店'!$B:$B,0))</f>
        <v>美珠</v>
      </c>
      <c r="B107" s="116" t="s">
        <v>2436</v>
      </c>
      <c r="C107" s="45" t="s">
        <v>2437</v>
      </c>
      <c r="D107" s="59">
        <f>VLOOKUP(B:B,'[1]7店'!$B:$L,3,0)</f>
        <v>45030</v>
      </c>
      <c r="E107" s="45" t="s">
        <v>2438</v>
      </c>
      <c r="F107" s="45">
        <v>7</v>
      </c>
      <c r="G107" s="45">
        <v>0</v>
      </c>
      <c r="H107" s="45">
        <v>0</v>
      </c>
      <c r="I107" s="45">
        <v>0</v>
      </c>
      <c r="J107" s="45">
        <v>0</v>
      </c>
      <c r="K107" s="63">
        <f t="shared" si="66"/>
        <v>7</v>
      </c>
      <c r="L107" s="132">
        <f>VLOOKUP($B:$B,'[1]7店'!$B:$L,11,FALSE)</f>
        <v>13.9</v>
      </c>
      <c r="M107" s="44">
        <f t="shared" si="77"/>
        <v>97.3</v>
      </c>
      <c r="N107" s="65">
        <f>IFERROR(VLOOKUP(B:B,'7店辅助表'!B:C,2,FALSE),0)</f>
        <v>1</v>
      </c>
      <c r="O107" s="65">
        <f>IFERROR(VLOOKUP(B:B,'7店辅助表'!E:F,2,FALSE),0)</f>
        <v>2</v>
      </c>
      <c r="P107" s="65">
        <f>IFERROR(VLOOKUP(B:B,'7店辅助表'!H:I,2,FALSE),0)</f>
        <v>4</v>
      </c>
      <c r="Q107" s="65">
        <f>IFERROR(VLOOKUP(B:B,'[1]7店'!$B:$N,13,FALSE),0)</f>
        <v>1</v>
      </c>
      <c r="R107" s="79">
        <f t="shared" si="67"/>
        <v>0</v>
      </c>
      <c r="S107" s="80">
        <f t="shared" si="68"/>
        <v>51.2790697674419</v>
      </c>
      <c r="T107" s="44">
        <f t="shared" si="69"/>
        <v>1.7093023255814</v>
      </c>
      <c r="U107" s="44">
        <f>IFERROR(VLOOKUP($B:$B,'[1]7店'!$B:$T,19,FALSE),0)</f>
        <v>1.95348837209302</v>
      </c>
      <c r="V107" s="81">
        <f t="shared" si="70"/>
        <v>-0.24418604651162</v>
      </c>
      <c r="W107" s="82" t="str">
        <f t="shared" si="71"/>
        <v>库存过高</v>
      </c>
      <c r="X107" s="83" t="str">
        <f t="shared" si="72"/>
        <v>库存过高</v>
      </c>
      <c r="Y107" s="44">
        <f>IFERROR(SUMIF('7店辅助表'!K:K,B:B,'7店辅助表'!N:N),0)</f>
        <v>3.08</v>
      </c>
      <c r="Z107" s="44">
        <f>IFERROR(SUMIF('7店辅助表'!T:T,B:B,'7店辅助表'!W:W),0)</f>
        <v>6.04</v>
      </c>
      <c r="AA107" s="44">
        <f>IFERROR(SUMIF('7店辅助表'!AC:AC,B:B,'7店辅助表'!AF:AF),0)</f>
        <v>9.55</v>
      </c>
      <c r="AB107" s="91">
        <f>IFERROR(SUMIF('7店辅助表'!K:K,B:B,'7店辅助表'!N:N)/SUMIF('7店辅助表'!K:K,B:B,'7店辅助表'!O:O),"-")</f>
        <v>0.237105465742879</v>
      </c>
      <c r="AC107" s="91">
        <f>IFERROR(VLOOKUP(B:B,'[1]7店'!$B:$AB,27,FALSE),"-")</f>
        <v>0.0881091617933723</v>
      </c>
      <c r="AD107" s="92">
        <f t="shared" si="73"/>
        <v>0.148996303949507</v>
      </c>
      <c r="AE107" s="91">
        <f>IFERROR(SUMIF('7店辅助表'!T:T,B:B,'7店辅助表'!W:W)/SUMIF('7店辅助表'!T:T,B:B,'7店辅助表'!X:X),"-")</f>
        <v>0.156314699792961</v>
      </c>
      <c r="AF107" s="91">
        <f>IFERROR(SUMIF('7店辅助表'!AC:AC,B:B,'7店辅助表'!AF:AF)/SUMIF('7店辅助表'!AC:AC,B:B,'7店辅助表'!AG:AG),"-")</f>
        <v>0.147787062828846</v>
      </c>
      <c r="AG107" s="99">
        <f>IFERROR(AK107/((SUMIF('7店辅助表'!AT:AT,B:B,'7店辅助表'!AU:AU)+M107)/2),"-")</f>
        <v>0.133333333333333</v>
      </c>
      <c r="AH107" s="99">
        <f>IFERROR(AL107/((SUMIF('7店辅助表'!AW:AW,B:B,'7店辅助表'!AX:AX)+M107)/2),"-")</f>
        <v>0.210526315789474</v>
      </c>
      <c r="AI107" s="100">
        <f>IFERROR((SUMIF('7店辅助表'!AP:AP,B:B,'7店辅助表'!AR:AR)-SUMIF('7店辅助表'!AP:AP,B:B,'7店辅助表'!AR:AR)*0.15-(L107+IFERROR(VLOOKUP(B:B,'7店辅助表'!AZ:BA,2,0),0))*O107-IF(AN:AN="US",6.85,4.9)*(Z107+4.27*O107))/SUMIF('7店辅助表'!AP:AP,B:B,'7店辅助表'!AR:AR),"-")</f>
        <v>0.0835991189179775</v>
      </c>
      <c r="AJ107" s="100">
        <f t="shared" si="74"/>
        <v>0.0175998145090479</v>
      </c>
      <c r="AK107" s="101">
        <f t="shared" si="75"/>
        <v>13.9</v>
      </c>
      <c r="AL107" s="101">
        <f t="shared" si="76"/>
        <v>27.8</v>
      </c>
      <c r="AM107" s="1" t="str">
        <f>VLOOKUP(B:B,'7店辅助表'!AZ:AZ,1,FALSE)</f>
        <v>Y72559-OR+Y72560+Y72399</v>
      </c>
      <c r="AN107" t="str">
        <f>VLOOKUP(B:B,'7店辅助表'!AZ:BB,3,FALSE)</f>
        <v>US</v>
      </c>
    </row>
    <row r="108" customHeight="1" spans="1:40">
      <c r="A108" s="58" t="str">
        <f>INDEX('[1]7店'!$A:$A,MATCH(B:B,'[1]7店'!$B:$B,0))</f>
        <v>美珠</v>
      </c>
      <c r="B108" s="116" t="s">
        <v>2439</v>
      </c>
      <c r="C108" s="45" t="s">
        <v>2440</v>
      </c>
      <c r="D108" s="59">
        <f>VLOOKUP(B:B,'[1]7店'!$B:$L,3,0)</f>
        <v>45030</v>
      </c>
      <c r="E108" s="45" t="s">
        <v>2441</v>
      </c>
      <c r="F108" s="45">
        <v>4</v>
      </c>
      <c r="G108" s="45">
        <v>0</v>
      </c>
      <c r="H108" s="45">
        <v>0</v>
      </c>
      <c r="I108" s="45">
        <v>0</v>
      </c>
      <c r="J108" s="45">
        <v>0</v>
      </c>
      <c r="K108" s="63">
        <f t="shared" si="66"/>
        <v>4</v>
      </c>
      <c r="L108" s="132">
        <f>VLOOKUP($B:$B,'[1]7店'!$B:$L,11,FALSE)</f>
        <v>13.9</v>
      </c>
      <c r="M108" s="44">
        <f t="shared" si="77"/>
        <v>55.6</v>
      </c>
      <c r="N108" s="65">
        <f>IFERROR(VLOOKUP(B:B,'7店辅助表'!B:C,2,FALSE),0)</f>
        <v>0</v>
      </c>
      <c r="O108" s="65">
        <f>IFERROR(VLOOKUP(B:B,'7店辅助表'!E:F,2,FALSE),0)</f>
        <v>0</v>
      </c>
      <c r="P108" s="65">
        <f>IFERROR(VLOOKUP(B:B,'7店辅助表'!H:I,2,FALSE),0)</f>
        <v>1</v>
      </c>
      <c r="Q108" s="65">
        <f>IFERROR(VLOOKUP(B:B,'[1]7店'!$B:$N,13,FALSE),0)</f>
        <v>0</v>
      </c>
      <c r="R108" s="79">
        <f t="shared" si="67"/>
        <v>0</v>
      </c>
      <c r="S108" s="80">
        <f t="shared" si="68"/>
        <v>360</v>
      </c>
      <c r="T108" s="44">
        <f t="shared" si="69"/>
        <v>12</v>
      </c>
      <c r="U108" s="44">
        <f>IFERROR(VLOOKUP($B:$B,'[1]7店'!$B:$T,19,FALSE),0)</f>
        <v>4</v>
      </c>
      <c r="V108" s="81">
        <f t="shared" si="70"/>
        <v>8</v>
      </c>
      <c r="W108" s="82" t="str">
        <f t="shared" si="71"/>
        <v>有库存无销量</v>
      </c>
      <c r="X108" s="83" t="str">
        <f t="shared" si="72"/>
        <v>库存过高</v>
      </c>
      <c r="Y108" s="44">
        <f>IFERROR(SUMIF('7店辅助表'!K:K,B:B,'7店辅助表'!N:N),0)</f>
        <v>0</v>
      </c>
      <c r="Z108" s="44">
        <f>IFERROR(SUMIF('7店辅助表'!T:T,B:B,'7店辅助表'!W:W),0)</f>
        <v>0</v>
      </c>
      <c r="AA108" s="44">
        <f>IFERROR(SUMIF('7店辅助表'!AC:AC,B:B,'7店辅助表'!AF:AF),0)</f>
        <v>0</v>
      </c>
      <c r="AB108" s="91" t="str">
        <f>IFERROR(SUMIF('7店辅助表'!K:K,B:B,'7店辅助表'!N:N)/SUMIF('7店辅助表'!K:K,B:B,'7店辅助表'!O:O),"-")</f>
        <v>-</v>
      </c>
      <c r="AC108" s="91" t="str">
        <f>IFERROR(VLOOKUP(B:B,'[1]7店'!$B:$AB,27,FALSE),"-")</f>
        <v>-</v>
      </c>
      <c r="AD108" s="92" t="str">
        <f t="shared" si="73"/>
        <v>-</v>
      </c>
      <c r="AE108" s="91" t="str">
        <f>IFERROR(SUMIF('7店辅助表'!T:T,B:B,'7店辅助表'!W:W)/SUMIF('7店辅助表'!T:T,B:B,'7店辅助表'!X:X),"-")</f>
        <v>-</v>
      </c>
      <c r="AF108" s="91" t="str">
        <f>IFERROR(SUMIF('7店辅助表'!AC:AC,B:B,'7店辅助表'!AF:AF)/SUMIF('7店辅助表'!AC:AC,B:B,'7店辅助表'!AG:AG),"-")</f>
        <v>-</v>
      </c>
      <c r="AG108" s="99">
        <f>IFERROR(AK108/((SUMIF('7店辅助表'!AT:AT,B:B,'7店辅助表'!AU:AU)+M108)/2),"-")</f>
        <v>0</v>
      </c>
      <c r="AH108" s="99">
        <f>IFERROR(AL108/((SUMIF('7店辅助表'!AW:AW,B:B,'7店辅助表'!AX:AX)+M108)/2),"-")</f>
        <v>0</v>
      </c>
      <c r="AI108" s="100" t="str">
        <f>IFERROR((SUMIF('7店辅助表'!AP:AP,B:B,'7店辅助表'!AR:AR)-SUMIF('7店辅助表'!AP:AP,B:B,'7店辅助表'!AR:AR)*0.15-(L108+IFERROR(VLOOKUP(B:B,'7店辅助表'!AZ:BA,2,0),0))*O108-IF(AN:AN="US",6.85,4.9)*(Z108+4.27*O108))/SUMIF('7店辅助表'!AP:AP,B:B,'7店辅助表'!AR:AR),"-")</f>
        <v>-</v>
      </c>
      <c r="AJ108" s="100" t="str">
        <f t="shared" si="74"/>
        <v>-</v>
      </c>
      <c r="AK108" s="101">
        <f t="shared" si="75"/>
        <v>0</v>
      </c>
      <c r="AL108" s="101">
        <f t="shared" si="76"/>
        <v>0</v>
      </c>
      <c r="AM108" s="1" t="str">
        <f>VLOOKUP(B:B,'7店辅助表'!AZ:AZ,1,FALSE)</f>
        <v>Y72559-NB+Y72560+Y72399</v>
      </c>
      <c r="AN108" t="str">
        <f>VLOOKUP(B:B,'7店辅助表'!AZ:BB,3,FALSE)</f>
        <v>US</v>
      </c>
    </row>
    <row r="109" customHeight="1" spans="1:40">
      <c r="A109" s="58" t="str">
        <f>INDEX('[1]7店'!$A:$A,MATCH(B:B,'[1]7店'!$B:$B,0))</f>
        <v>美珠</v>
      </c>
      <c r="B109" s="116" t="s">
        <v>2442</v>
      </c>
      <c r="C109" s="45" t="s">
        <v>2443</v>
      </c>
      <c r="D109" s="59">
        <f>VLOOKUP(B:B,'[1]7店'!$B:$L,3,0)</f>
        <v>45114</v>
      </c>
      <c r="E109" s="45" t="s">
        <v>2444</v>
      </c>
      <c r="F109" s="45">
        <v>5</v>
      </c>
      <c r="G109" s="45">
        <v>0</v>
      </c>
      <c r="H109" s="45">
        <v>0</v>
      </c>
      <c r="I109" s="45">
        <v>0</v>
      </c>
      <c r="J109" s="45">
        <v>0</v>
      </c>
      <c r="K109" s="63">
        <f t="shared" si="66"/>
        <v>5</v>
      </c>
      <c r="L109" s="132">
        <f>VLOOKUP($B:$B,'[1]7店'!$B:$L,11,FALSE)</f>
        <v>13.9</v>
      </c>
      <c r="M109" s="44">
        <f t="shared" si="77"/>
        <v>69.5</v>
      </c>
      <c r="N109" s="65">
        <f>IFERROR(VLOOKUP(B:B,'7店辅助表'!B:C,2,FALSE),0)</f>
        <v>0</v>
      </c>
      <c r="O109" s="65">
        <f>IFERROR(VLOOKUP(B:B,'7店辅助表'!E:F,2,FALSE),0)</f>
        <v>1</v>
      </c>
      <c r="P109" s="65">
        <f>IFERROR(VLOOKUP(B:B,'7店辅助表'!H:I,2,FALSE),0)</f>
        <v>3</v>
      </c>
      <c r="Q109" s="65">
        <f>IFERROR(VLOOKUP(B:B,'[1]7店'!$B:$N,13,FALSE),0)</f>
        <v>1</v>
      </c>
      <c r="R109" s="79">
        <f t="shared" si="67"/>
        <v>-1</v>
      </c>
      <c r="S109" s="80">
        <f t="shared" si="68"/>
        <v>90</v>
      </c>
      <c r="T109" s="44">
        <f t="shared" si="69"/>
        <v>3</v>
      </c>
      <c r="U109" s="44">
        <f>IFERROR(VLOOKUP($B:$B,'[1]7店'!$B:$T,19,FALSE),0)</f>
        <v>1.61538461538462</v>
      </c>
      <c r="V109" s="81">
        <f t="shared" si="70"/>
        <v>1.38461538461538</v>
      </c>
      <c r="W109" s="82" t="str">
        <f t="shared" si="71"/>
        <v>有库存无销量</v>
      </c>
      <c r="X109" s="83" t="str">
        <f t="shared" si="72"/>
        <v>库存过高</v>
      </c>
      <c r="Y109" s="44">
        <f>IFERROR(SUMIF('7店辅助表'!K:K,B:B,'7店辅助表'!N:N),0)</f>
        <v>0</v>
      </c>
      <c r="Z109" s="44">
        <f>IFERROR(SUMIF('7店辅助表'!T:T,B:B,'7店辅助表'!W:W),0)</f>
        <v>0</v>
      </c>
      <c r="AA109" s="44">
        <f>IFERROR(SUMIF('7店辅助表'!AC:AC,B:B,'7店辅助表'!AF:AF),0)</f>
        <v>0</v>
      </c>
      <c r="AB109" s="91" t="str">
        <f>IFERROR(SUMIF('7店辅助表'!K:K,B:B,'7店辅助表'!N:N)/SUMIF('7店辅助表'!K:K,B:B,'7店辅助表'!O:O),"-")</f>
        <v>-</v>
      </c>
      <c r="AC109" s="91" t="str">
        <f>IFERROR(VLOOKUP(B:B,'[1]7店'!$B:$AB,27,FALSE),"-")</f>
        <v>-</v>
      </c>
      <c r="AD109" s="92" t="str">
        <f t="shared" si="73"/>
        <v>-</v>
      </c>
      <c r="AE109" s="91" t="str">
        <f>IFERROR(SUMIF('7店辅助表'!T:T,B:B,'7店辅助表'!W:W)/SUMIF('7店辅助表'!T:T,B:B,'7店辅助表'!X:X),"-")</f>
        <v>-</v>
      </c>
      <c r="AF109" s="91" t="str">
        <f>IFERROR(SUMIF('7店辅助表'!AC:AC,B:B,'7店辅助表'!AF:AF)/SUMIF('7店辅助表'!AC:AC,B:B,'7店辅助表'!AG:AG),"-")</f>
        <v>-</v>
      </c>
      <c r="AG109" s="99">
        <f>IFERROR(AK109/((SUMIF('7店辅助表'!AT:AT,B:B,'7店辅助表'!AU:AU)+M109)/2),"-")</f>
        <v>0</v>
      </c>
      <c r="AH109" s="99">
        <f>IFERROR(AL109/((SUMIF('7店辅助表'!AW:AW,B:B,'7店辅助表'!AX:AX)+M109)/2),"-")</f>
        <v>0.166666666666667</v>
      </c>
      <c r="AI109" s="100">
        <f>IFERROR((SUMIF('7店辅助表'!AP:AP,B:B,'7店辅助表'!AR:AR)-SUMIF('7店辅助表'!AP:AP,B:B,'7店辅助表'!AR:AR)*0.15-(L109+IFERROR(VLOOKUP(B:B,'7店辅助表'!AZ:BA,2,0),0))*O109-IF(AN:AN="US",6.85,4.9)*(Z109+4.27*O109))/SUMIF('7店辅助表'!AP:AP,B:B,'7店辅助表'!AR:AR),"-")</f>
        <v>0.042850125443518</v>
      </c>
      <c r="AJ109" s="100">
        <f t="shared" si="74"/>
        <v>0.00714168757391966</v>
      </c>
      <c r="AK109" s="101">
        <f t="shared" si="75"/>
        <v>0</v>
      </c>
      <c r="AL109" s="101">
        <f t="shared" si="76"/>
        <v>13.9</v>
      </c>
      <c r="AM109" s="1" t="str">
        <f>VLOOKUP(B:B,'7店辅助表'!AZ:AZ,1,FALSE)</f>
        <v>Y71973-BL+Y71974+Y72754</v>
      </c>
      <c r="AN109" t="str">
        <f>VLOOKUP(B:B,'7店辅助表'!AZ:BB,3,FALSE)</f>
        <v>US</v>
      </c>
    </row>
    <row r="110" customHeight="1" spans="1:40">
      <c r="A110" s="58" t="str">
        <f>INDEX('[1]7店'!$A:$A,MATCH(B:B,'[1]7店'!$B:$B,0))</f>
        <v>美珠</v>
      </c>
      <c r="B110" s="116" t="s">
        <v>2445</v>
      </c>
      <c r="C110" s="45" t="s">
        <v>2446</v>
      </c>
      <c r="D110" s="59">
        <f>VLOOKUP(B:B,'[1]7店'!$B:$L,3,0)</f>
        <v>45024</v>
      </c>
      <c r="E110" s="45" t="s">
        <v>2447</v>
      </c>
      <c r="F110" s="45">
        <v>1</v>
      </c>
      <c r="G110" s="45">
        <v>0</v>
      </c>
      <c r="H110" s="45">
        <v>0</v>
      </c>
      <c r="I110" s="45">
        <v>0</v>
      </c>
      <c r="J110" s="45">
        <v>0</v>
      </c>
      <c r="K110" s="63">
        <f t="shared" si="66"/>
        <v>1</v>
      </c>
      <c r="L110" s="132">
        <f>VLOOKUP($B:$B,'[1]7店'!$B:$L,11,FALSE)</f>
        <v>13.9</v>
      </c>
      <c r="M110" s="44">
        <f t="shared" si="77"/>
        <v>13.9</v>
      </c>
      <c r="N110" s="65">
        <f>IFERROR(VLOOKUP(B:B,'7店辅助表'!B:C,2,FALSE),0)</f>
        <v>3</v>
      </c>
      <c r="O110" s="65">
        <f>IFERROR(VLOOKUP(B:B,'7店辅助表'!E:F,2,FALSE),0)</f>
        <v>4</v>
      </c>
      <c r="P110" s="65">
        <f>IFERROR(VLOOKUP(B:B,'7店辅助表'!H:I,2,FALSE),0)</f>
        <v>5</v>
      </c>
      <c r="Q110" s="65">
        <f>IFERROR(VLOOKUP(B:B,'[1]7店'!$B:$N,13,FALSE),0)</f>
        <v>1</v>
      </c>
      <c r="R110" s="79">
        <f t="shared" si="67"/>
        <v>2</v>
      </c>
      <c r="S110" s="80">
        <f t="shared" si="68"/>
        <v>3.48066298342541</v>
      </c>
      <c r="T110" s="44">
        <f t="shared" si="69"/>
        <v>0.116022099447514</v>
      </c>
      <c r="U110" s="44">
        <f>IFERROR(VLOOKUP($B:$B,'[1]7店'!$B:$T,19,FALSE),0)</f>
        <v>1.32911392405063</v>
      </c>
      <c r="V110" s="81">
        <f t="shared" si="70"/>
        <v>-1.21309182460312</v>
      </c>
      <c r="W110" s="82" t="str">
        <f t="shared" si="71"/>
        <v>库存过低</v>
      </c>
      <c r="X110" s="83" t="str">
        <f t="shared" si="72"/>
        <v>库存过低</v>
      </c>
      <c r="Y110" s="44">
        <f>IFERROR(SUMIF('7店辅助表'!K:K,B:B,'7店辅助表'!N:N),0)</f>
        <v>1.57</v>
      </c>
      <c r="Z110" s="44">
        <f>IFERROR(SUMIF('7店辅助表'!T:T,B:B,'7店辅助表'!W:W),0)</f>
        <v>4.99</v>
      </c>
      <c r="AA110" s="44">
        <f>IFERROR(SUMIF('7店辅助表'!AC:AC,B:B,'7店辅助表'!AF:AF),0)</f>
        <v>8.62</v>
      </c>
      <c r="AB110" s="91">
        <f>IFERROR(SUMIF('7店辅助表'!K:K,B:B,'7店辅助表'!N:N)/SUMIF('7店辅助表'!K:K,B:B,'7店辅助表'!O:O),"-")</f>
        <v>0.0604311008468052</v>
      </c>
      <c r="AC110" s="91">
        <f>IFERROR(VLOOKUP(B:B,'[1]7店'!$B:$AB,27,FALSE),"-")</f>
        <v>0.24203821656051</v>
      </c>
      <c r="AD110" s="92">
        <f t="shared" si="73"/>
        <v>-0.181607115713705</v>
      </c>
      <c r="AE110" s="91">
        <f>IFERROR(SUMIF('7店辅助表'!T:T,B:B,'7店辅助表'!W:W)/SUMIF('7店辅助表'!T:T,B:B,'7店辅助表'!X:X),"-")</f>
        <v>0.0792692613185068</v>
      </c>
      <c r="AF110" s="91">
        <f>IFERROR(SUMIF('7店辅助表'!AC:AC,B:B,'7店辅助表'!AF:AF)/SUMIF('7店辅助表'!AC:AC,B:B,'7店辅助表'!AG:AG),"-")</f>
        <v>0.113510666315512</v>
      </c>
      <c r="AG110" s="99">
        <f>IFERROR(AK110/((SUMIF('7店辅助表'!AT:AT,B:B,'7店辅助表'!AU:AU)+M110)/2),"-")</f>
        <v>1</v>
      </c>
      <c r="AH110" s="99">
        <f>IFERROR(AL110/((SUMIF('7店辅助表'!AW:AW,B:B,'7店辅助表'!AX:AX)+M110)/2),"-")</f>
        <v>1.14285714285714</v>
      </c>
      <c r="AI110" s="100">
        <f>IFERROR((SUMIF('7店辅助表'!AP:AP,B:B,'7店辅助表'!AR:AR)-SUMIF('7店辅助表'!AP:AP,B:B,'7店辅助表'!AR:AR)*0.15-(L110+IFERROR(VLOOKUP(B:B,'7店辅助表'!AZ:BA,2,0),0))*O110-IF(AN:AN="US",6.85,4.9)*(Z110+4.27*O110))/SUMIF('7店辅助表'!AP:AP,B:B,'7店辅助表'!AR:AR),"-")</f>
        <v>0.168101196285496</v>
      </c>
      <c r="AJ110" s="100">
        <f t="shared" si="74"/>
        <v>0.192115652897709</v>
      </c>
      <c r="AK110" s="101">
        <f t="shared" si="75"/>
        <v>41.7</v>
      </c>
      <c r="AL110" s="101">
        <f t="shared" si="76"/>
        <v>55.6</v>
      </c>
      <c r="AM110" s="1" t="str">
        <f>VLOOKUP(B:B,'7店辅助表'!AZ:AZ,1,FALSE)</f>
        <v>Y72691-DB+Y72692+Y72758</v>
      </c>
      <c r="AN110" t="str">
        <f>VLOOKUP(B:B,'7店辅助表'!AZ:BB,3,FALSE)</f>
        <v>US</v>
      </c>
    </row>
    <row r="111" customHeight="1" spans="1:40">
      <c r="A111" s="58" t="str">
        <f>INDEX('[1]7店'!$A:$A,MATCH(B:B,'[1]7店'!$B:$B,0))</f>
        <v>美珠</v>
      </c>
      <c r="B111" s="116" t="s">
        <v>2448</v>
      </c>
      <c r="C111" s="45" t="s">
        <v>2449</v>
      </c>
      <c r="D111" s="59">
        <f>VLOOKUP(B:B,'[1]7店'!$B:$L,3,0)</f>
        <v>45025</v>
      </c>
      <c r="E111" s="45" t="s">
        <v>2450</v>
      </c>
      <c r="F111" s="45">
        <v>0</v>
      </c>
      <c r="G111" s="45">
        <v>0</v>
      </c>
      <c r="H111" s="45">
        <v>0</v>
      </c>
      <c r="I111" s="45">
        <v>0</v>
      </c>
      <c r="J111" s="45">
        <v>0</v>
      </c>
      <c r="K111" s="63">
        <f t="shared" si="66"/>
        <v>0</v>
      </c>
      <c r="L111" s="132">
        <f>VLOOKUP($B:$B,'[1]7店'!$B:$L,11,FALSE)</f>
        <v>13.9</v>
      </c>
      <c r="M111" s="44">
        <f t="shared" si="77"/>
        <v>0</v>
      </c>
      <c r="N111" s="65">
        <f>IFERROR(VLOOKUP(B:B,'7店辅助表'!B:C,2,FALSE),0)</f>
        <v>1</v>
      </c>
      <c r="O111" s="65">
        <f>IFERROR(VLOOKUP(B:B,'7店辅助表'!E:F,2,FALSE),0)</f>
        <v>1</v>
      </c>
      <c r="P111" s="65">
        <f>IFERROR(VLOOKUP(B:B,'7店辅助表'!H:I,2,FALSE),0)</f>
        <v>1</v>
      </c>
      <c r="Q111" s="65">
        <f>IFERROR(VLOOKUP(B:B,'[1]7店'!$B:$N,13,FALSE),0)</f>
        <v>0</v>
      </c>
      <c r="R111" s="79">
        <f t="shared" si="67"/>
        <v>1</v>
      </c>
      <c r="S111" s="80">
        <f t="shared" si="68"/>
        <v>0</v>
      </c>
      <c r="T111" s="44">
        <f t="shared" si="69"/>
        <v>0</v>
      </c>
      <c r="U111" s="44">
        <f>IFERROR(VLOOKUP($B:$B,'[1]7店'!$B:$T,19,FALSE),0)</f>
        <v>3</v>
      </c>
      <c r="V111" s="81">
        <f t="shared" si="70"/>
        <v>-3</v>
      </c>
      <c r="W111" s="82" t="str">
        <f t="shared" si="71"/>
        <v>无库存有销量</v>
      </c>
      <c r="X111" s="83" t="str">
        <f t="shared" si="72"/>
        <v>无库存有销量</v>
      </c>
      <c r="Y111" s="44">
        <f>IFERROR(SUMIF('7店辅助表'!K:K,B:B,'7店辅助表'!N:N),0)</f>
        <v>1.48</v>
      </c>
      <c r="Z111" s="44">
        <f>IFERROR(SUMIF('7店辅助表'!T:T,B:B,'7店辅助表'!W:W),0)</f>
        <v>2.73</v>
      </c>
      <c r="AA111" s="44">
        <f>IFERROR(SUMIF('7店辅助表'!AC:AC,B:B,'7店辅助表'!AF:AF),0)</f>
        <v>2.73</v>
      </c>
      <c r="AB111" s="91">
        <f>IFERROR(SUMIF('7店辅助表'!K:K,B:B,'7店辅助表'!N:N)/SUMIF('7店辅助表'!K:K,B:B,'7店辅助表'!O:O),"-")</f>
        <v>0.113933795227098</v>
      </c>
      <c r="AC111" s="91" t="str">
        <f>IFERROR(VLOOKUP(B:B,'[1]7店'!$B:$AB,27,FALSE),"-")</f>
        <v>-</v>
      </c>
      <c r="AD111" s="92" t="str">
        <f t="shared" si="73"/>
        <v>-</v>
      </c>
      <c r="AE111" s="91">
        <f>IFERROR(SUMIF('7店辅助表'!T:T,B:B,'7店辅助表'!W:W)/SUMIF('7店辅助表'!T:T,B:B,'7店辅助表'!X:X),"-")</f>
        <v>0.210161662817552</v>
      </c>
      <c r="AF111" s="91">
        <f>IFERROR(SUMIF('7店辅助表'!AC:AC,B:B,'7店辅助表'!AF:AF)/SUMIF('7店辅助表'!AC:AC,B:B,'7店辅助表'!AG:AG),"-")</f>
        <v>0.210161662817552</v>
      </c>
      <c r="AG111" s="99">
        <f>IFERROR(AK111/((SUMIF('7店辅助表'!AT:AT,B:B,'7店辅助表'!AU:AU)+M111)/2),"-")</f>
        <v>2</v>
      </c>
      <c r="AH111" s="99" t="str">
        <f>IFERROR(AL111/((SUMIF('7店辅助表'!AW:AW,B:B,'7店辅助表'!AX:AX)+M111)/2),"-")</f>
        <v>-</v>
      </c>
      <c r="AI111" s="100">
        <f>IFERROR((SUMIF('7店辅助表'!AP:AP,B:B,'7店辅助表'!AR:AR)-SUMIF('7店辅助表'!AP:AP,B:B,'7店辅助表'!AR:AR)*0.15-(L111+IFERROR(VLOOKUP(B:B,'7店辅助表'!AZ:BA,2,0),0))*O111-IF(AN:AN="US",6.85,4.9)*(Z111+4.27*O111))/SUMIF('7店辅助表'!AP:AP,B:B,'7店辅助表'!AR:AR),"-")</f>
        <v>0.0795926681388828</v>
      </c>
      <c r="AJ111" s="100" t="str">
        <f t="shared" si="74"/>
        <v>-</v>
      </c>
      <c r="AK111" s="101">
        <f t="shared" si="75"/>
        <v>13.9</v>
      </c>
      <c r="AL111" s="101">
        <f t="shared" si="76"/>
        <v>13.9</v>
      </c>
      <c r="AM111" s="1" t="str">
        <f>VLOOKUP(B:B,'7店辅助表'!AZ:AZ,1,FALSE)</f>
        <v>Y7001-BB-ZH</v>
      </c>
      <c r="AN111" t="str">
        <f>VLOOKUP(B:B,'7店辅助表'!AZ:BB,3,FALSE)</f>
        <v>US</v>
      </c>
    </row>
    <row r="112" customHeight="1" spans="1:40">
      <c r="A112" s="58" t="str">
        <f>INDEX('[1]7店'!$A:$A,MATCH(B:B,'[1]7店'!$B:$B,0))</f>
        <v>美珠</v>
      </c>
      <c r="B112" s="116" t="s">
        <v>2451</v>
      </c>
      <c r="C112" s="45" t="s">
        <v>2452</v>
      </c>
      <c r="D112" s="59">
        <f>VLOOKUP(B:B,'[1]7店'!$B:$L,3,0)</f>
        <v>45049</v>
      </c>
      <c r="E112" s="45" t="s">
        <v>2453</v>
      </c>
      <c r="F112" s="45">
        <v>9</v>
      </c>
      <c r="G112" s="45">
        <v>0</v>
      </c>
      <c r="H112" s="45">
        <v>1</v>
      </c>
      <c r="I112" s="45">
        <v>0</v>
      </c>
      <c r="J112" s="45">
        <v>0</v>
      </c>
      <c r="K112" s="63">
        <f t="shared" si="66"/>
        <v>10</v>
      </c>
      <c r="L112" s="132">
        <f>VLOOKUP($B:$B,'[1]7店'!$B:$L,11,FALSE)</f>
        <v>13.9</v>
      </c>
      <c r="M112" s="44">
        <f t="shared" si="77"/>
        <v>139</v>
      </c>
      <c r="N112" s="65">
        <f>IFERROR(VLOOKUP(B:B,'7店辅助表'!B:C,2,FALSE),0)</f>
        <v>0</v>
      </c>
      <c r="O112" s="65">
        <f>IFERROR(VLOOKUP(B:B,'7店辅助表'!E:F,2,FALSE),0)</f>
        <v>0</v>
      </c>
      <c r="P112" s="65">
        <f>IFERROR(VLOOKUP(B:B,'7店辅助表'!H:I,2,FALSE),0)</f>
        <v>0</v>
      </c>
      <c r="Q112" s="65">
        <f>IFERROR(VLOOKUP(B:B,'[1]7店'!$B:$N,13,FALSE),0)</f>
        <v>0</v>
      </c>
      <c r="R112" s="79">
        <f t="shared" si="67"/>
        <v>0</v>
      </c>
      <c r="S112" s="80" t="str">
        <f t="shared" si="68"/>
        <v>-</v>
      </c>
      <c r="T112" s="44" t="str">
        <f t="shared" si="69"/>
        <v>-</v>
      </c>
      <c r="U112" s="44">
        <f>IFERROR(VLOOKUP($B:$B,'[1]7店'!$B:$T,19,FALSE),0)</f>
        <v>30</v>
      </c>
      <c r="V112" s="81" t="str">
        <f t="shared" si="70"/>
        <v>-</v>
      </c>
      <c r="W112" s="82" t="str">
        <f t="shared" si="71"/>
        <v>有库存无销量</v>
      </c>
      <c r="X112" s="83" t="str">
        <f t="shared" si="72"/>
        <v>有库存无销量</v>
      </c>
      <c r="Y112" s="44">
        <f>IFERROR(SUMIF('7店辅助表'!K:K,B:B,'7店辅助表'!N:N),0)</f>
        <v>1.34</v>
      </c>
      <c r="Z112" s="44">
        <f>IFERROR(SUMIF('7店辅助表'!T:T,B:B,'7店辅助表'!W:W),0)</f>
        <v>2.73</v>
      </c>
      <c r="AA112" s="44">
        <f>IFERROR(SUMIF('7店辅助表'!AC:AC,B:B,'7店辅助表'!AF:AF),0)</f>
        <v>4.54</v>
      </c>
      <c r="AB112" s="91" t="str">
        <f>IFERROR(SUMIF('7店辅助表'!K:K,B:B,'7店辅助表'!N:N)/SUMIF('7店辅助表'!K:K,B:B,'7店辅助表'!O:O),"-")</f>
        <v>-</v>
      </c>
      <c r="AC112" s="91" t="str">
        <f>IFERROR(VLOOKUP(B:B,'[1]7店'!$B:$AB,27,FALSE),"-")</f>
        <v>-</v>
      </c>
      <c r="AD112" s="92" t="str">
        <f t="shared" si="73"/>
        <v>-</v>
      </c>
      <c r="AE112" s="91" t="str">
        <f>IFERROR(SUMIF('7店辅助表'!T:T,B:B,'7店辅助表'!W:W)/SUMIF('7店辅助表'!T:T,B:B,'7店辅助表'!X:X),"-")</f>
        <v>-</v>
      </c>
      <c r="AF112" s="91">
        <f>IFERROR(SUMIF('7店辅助表'!AC:AC,B:B,'7店辅助表'!AF:AF)/SUMIF('7店辅助表'!AC:AC,B:B,'7店辅助表'!AG:AG),"-")</f>
        <v>0.34949961508853</v>
      </c>
      <c r="AG112" s="99">
        <f>IFERROR(AK112/((SUMIF('7店辅助表'!AT:AT,B:B,'7店辅助表'!AU:AU)+M112)/2),"-")</f>
        <v>0</v>
      </c>
      <c r="AH112" s="99">
        <f>IFERROR(AL112/((SUMIF('7店辅助表'!AW:AW,B:B,'7店辅助表'!AX:AX)+M112)/2),"-")</f>
        <v>0</v>
      </c>
      <c r="AI112" s="100" t="str">
        <f>IFERROR((SUMIF('7店辅助表'!AP:AP,B:B,'7店辅助表'!AR:AR)-SUMIF('7店辅助表'!AP:AP,B:B,'7店辅助表'!AR:AR)*0.15-(L112+IFERROR(VLOOKUP(B:B,'7店辅助表'!AZ:BA,2,0),0))*O112-IF(AN:AN="US",6.85,4.9)*(Z112+4.27*O112))/SUMIF('7店辅助表'!AP:AP,B:B,'7店辅助表'!AR:AR),"-")</f>
        <v>-</v>
      </c>
      <c r="AJ112" s="100" t="str">
        <f t="shared" si="74"/>
        <v>-</v>
      </c>
      <c r="AK112" s="101">
        <f t="shared" si="75"/>
        <v>0</v>
      </c>
      <c r="AL112" s="101">
        <f t="shared" si="76"/>
        <v>0</v>
      </c>
      <c r="AM112" s="1" t="str">
        <f>VLOOKUP(B:B,'7店辅助表'!AZ:AZ,1,FALSE)</f>
        <v>Y73135-BL-ZH</v>
      </c>
      <c r="AN112" t="str">
        <f>VLOOKUP(B:B,'7店辅助表'!AZ:BB,3,FALSE)</f>
        <v>US</v>
      </c>
    </row>
    <row r="113" customHeight="1" spans="1:40">
      <c r="A113" s="58" t="str">
        <f>INDEX('[1]7店'!$A:$A,MATCH(B:B,'[1]7店'!$B:$B,0))</f>
        <v>美珠</v>
      </c>
      <c r="B113" s="116" t="s">
        <v>2454</v>
      </c>
      <c r="C113" s="45" t="s">
        <v>2455</v>
      </c>
      <c r="D113" s="59">
        <f>VLOOKUP(B:B,'[1]7店'!$B:$L,3,0)</f>
        <v>45049</v>
      </c>
      <c r="E113" s="45" t="s">
        <v>2456</v>
      </c>
      <c r="F113" s="45">
        <v>7</v>
      </c>
      <c r="G113" s="45">
        <v>0</v>
      </c>
      <c r="H113" s="45">
        <v>11</v>
      </c>
      <c r="I113" s="45">
        <v>0</v>
      </c>
      <c r="J113" s="45">
        <v>0</v>
      </c>
      <c r="K113" s="63">
        <f t="shared" si="66"/>
        <v>18</v>
      </c>
      <c r="L113" s="132">
        <f>VLOOKUP($B:$B,'[1]7店'!$B:$L,11,FALSE)</f>
        <v>13.9</v>
      </c>
      <c r="M113" s="44">
        <f t="shared" si="77"/>
        <v>250.2</v>
      </c>
      <c r="N113" s="65">
        <f>IFERROR(VLOOKUP(B:B,'7店辅助表'!B:C,2,FALSE),0)</f>
        <v>0</v>
      </c>
      <c r="O113" s="65">
        <f>IFERROR(VLOOKUP(B:B,'7店辅助表'!E:F,2,FALSE),0)</f>
        <v>0</v>
      </c>
      <c r="P113" s="65">
        <f>IFERROR(VLOOKUP(B:B,'7店辅助表'!H:I,2,FALSE),0)</f>
        <v>1</v>
      </c>
      <c r="Q113" s="65">
        <f>IFERROR(VLOOKUP(B:B,'[1]7店'!$B:$N,13,FALSE),0)</f>
        <v>0</v>
      </c>
      <c r="R113" s="79">
        <f t="shared" si="67"/>
        <v>0</v>
      </c>
      <c r="S113" s="80">
        <f t="shared" si="68"/>
        <v>1620</v>
      </c>
      <c r="T113" s="44">
        <f t="shared" si="69"/>
        <v>54</v>
      </c>
      <c r="U113" s="44">
        <f>IFERROR(VLOOKUP($B:$B,'[1]7店'!$B:$T,19,FALSE),0)</f>
        <v>54</v>
      </c>
      <c r="V113" s="81">
        <f t="shared" si="70"/>
        <v>0</v>
      </c>
      <c r="W113" s="82" t="str">
        <f t="shared" si="71"/>
        <v>有库存无销量</v>
      </c>
      <c r="X113" s="83" t="str">
        <f t="shared" si="72"/>
        <v>库存过高</v>
      </c>
      <c r="Y113" s="44">
        <f>IFERROR(SUMIF('7店辅助表'!K:K,B:B,'7店辅助表'!N:N),0)</f>
        <v>0</v>
      </c>
      <c r="Z113" s="44">
        <f>IFERROR(SUMIF('7店辅助表'!T:T,B:B,'7店辅助表'!W:W),0)</f>
        <v>0</v>
      </c>
      <c r="AA113" s="44">
        <f>IFERROR(SUMIF('7店辅助表'!AC:AC,B:B,'7店辅助表'!AF:AF),0)</f>
        <v>0</v>
      </c>
      <c r="AB113" s="91" t="str">
        <f>IFERROR(SUMIF('7店辅助表'!K:K,B:B,'7店辅助表'!N:N)/SUMIF('7店辅助表'!K:K,B:B,'7店辅助表'!O:O),"-")</f>
        <v>-</v>
      </c>
      <c r="AC113" s="91" t="str">
        <f>IFERROR(VLOOKUP(B:B,'[1]7店'!$B:$AB,27,FALSE),"-")</f>
        <v>-</v>
      </c>
      <c r="AD113" s="92" t="str">
        <f t="shared" si="73"/>
        <v>-</v>
      </c>
      <c r="AE113" s="91" t="str">
        <f>IFERROR(SUMIF('7店辅助表'!T:T,B:B,'7店辅助表'!W:W)/SUMIF('7店辅助表'!T:T,B:B,'7店辅助表'!X:X),"-")</f>
        <v>-</v>
      </c>
      <c r="AF113" s="91" t="str">
        <f>IFERROR(SUMIF('7店辅助表'!AC:AC,B:B,'7店辅助表'!AF:AF)/SUMIF('7店辅助表'!AC:AC,B:B,'7店辅助表'!AG:AG),"-")</f>
        <v>-</v>
      </c>
      <c r="AG113" s="99">
        <f>IFERROR(AK113/((SUMIF('7店辅助表'!AT:AT,B:B,'7店辅助表'!AU:AU)+M113)/2),"-")</f>
        <v>0</v>
      </c>
      <c r="AH113" s="99">
        <f>IFERROR(AL113/((SUMIF('7店辅助表'!AW:AW,B:B,'7店辅助表'!AX:AX)+M113)/2),"-")</f>
        <v>0</v>
      </c>
      <c r="AI113" s="100" t="str">
        <f>IFERROR((SUMIF('7店辅助表'!AP:AP,B:B,'7店辅助表'!AR:AR)-SUMIF('7店辅助表'!AP:AP,B:B,'7店辅助表'!AR:AR)*0.15-(L113+IFERROR(VLOOKUP(B:B,'7店辅助表'!AZ:BA,2,0),0))*O113-IF(AN:AN="US",6.85,4.9)*(Z113+4.27*O113))/SUMIF('7店辅助表'!AP:AP,B:B,'7店辅助表'!AR:AR),"-")</f>
        <v>-</v>
      </c>
      <c r="AJ113" s="100" t="str">
        <f t="shared" si="74"/>
        <v>-</v>
      </c>
      <c r="AK113" s="101">
        <f t="shared" si="75"/>
        <v>0</v>
      </c>
      <c r="AL113" s="101">
        <f t="shared" si="76"/>
        <v>0</v>
      </c>
      <c r="AM113" s="1" t="str">
        <f>VLOOKUP(B:B,'7店辅助表'!AZ:AZ,1,FALSE)</f>
        <v>Y73135-DB-ZH</v>
      </c>
      <c r="AN113" t="str">
        <f>VLOOKUP(B:B,'7店辅助表'!AZ:BB,3,FALSE)</f>
        <v>US</v>
      </c>
    </row>
    <row r="114" customHeight="1" spans="1:40">
      <c r="A114" s="58" t="str">
        <f>INDEX('[1]7店'!$A:$A,MATCH(B:B,'[1]7店'!$B:$B,0))</f>
        <v>美珠</v>
      </c>
      <c r="B114" s="116" t="s">
        <v>2457</v>
      </c>
      <c r="C114" s="45" t="s">
        <v>2458</v>
      </c>
      <c r="D114" s="59">
        <f>VLOOKUP(B:B,'[1]7店'!$B:$L,3,0)</f>
        <v>45049</v>
      </c>
      <c r="E114" s="45" t="s">
        <v>2459</v>
      </c>
      <c r="F114" s="45">
        <v>9</v>
      </c>
      <c r="G114" s="45">
        <v>0</v>
      </c>
      <c r="H114" s="45">
        <v>7</v>
      </c>
      <c r="I114" s="45">
        <v>0</v>
      </c>
      <c r="J114" s="45">
        <v>0</v>
      </c>
      <c r="K114" s="63">
        <f t="shared" si="66"/>
        <v>16</v>
      </c>
      <c r="L114" s="132">
        <f>VLOOKUP($B:$B,'[1]7店'!$B:$L,11,FALSE)</f>
        <v>13.9</v>
      </c>
      <c r="M114" s="44">
        <f t="shared" si="77"/>
        <v>222.4</v>
      </c>
      <c r="N114" s="65">
        <f>IFERROR(VLOOKUP(B:B,'7店辅助表'!B:C,2,FALSE),0)</f>
        <v>1</v>
      </c>
      <c r="O114" s="65">
        <f>IFERROR(VLOOKUP(B:B,'7店辅助表'!E:F,2,FALSE),0)</f>
        <v>2</v>
      </c>
      <c r="P114" s="65">
        <f>IFERROR(VLOOKUP(B:B,'7店辅助表'!H:I,2,FALSE),0)</f>
        <v>3</v>
      </c>
      <c r="Q114" s="65">
        <f>IFERROR(VLOOKUP(B:B,'[1]7店'!$B:$N,13,FALSE),0)</f>
        <v>1</v>
      </c>
      <c r="R114" s="79">
        <f t="shared" si="67"/>
        <v>0</v>
      </c>
      <c r="S114" s="80">
        <f t="shared" si="68"/>
        <v>127.594936708861</v>
      </c>
      <c r="T114" s="44">
        <f t="shared" si="69"/>
        <v>4.25316455696202</v>
      </c>
      <c r="U114" s="44">
        <f>IFERROR(VLOOKUP($B:$B,'[1]7店'!$B:$T,19,FALSE),0)</f>
        <v>5.49230769230769</v>
      </c>
      <c r="V114" s="81">
        <f t="shared" si="70"/>
        <v>-1.23914313534567</v>
      </c>
      <c r="W114" s="82" t="str">
        <f t="shared" si="71"/>
        <v>库存过高</v>
      </c>
      <c r="X114" s="83" t="str">
        <f t="shared" si="72"/>
        <v>库存过高</v>
      </c>
      <c r="Y114" s="44">
        <f>IFERROR(SUMIF('7店辅助表'!K:K,B:B,'7店辅助表'!N:N),0)</f>
        <v>0</v>
      </c>
      <c r="Z114" s="44">
        <f>IFERROR(SUMIF('7店辅助表'!T:T,B:B,'7店辅助表'!W:W),0)</f>
        <v>0</v>
      </c>
      <c r="AA114" s="44">
        <f>IFERROR(SUMIF('7店辅助表'!AC:AC,B:B,'7店辅助表'!AF:AF),0)</f>
        <v>0</v>
      </c>
      <c r="AB114" s="91" t="str">
        <f>IFERROR(SUMIF('7店辅助表'!K:K,B:B,'7店辅助表'!N:N)/SUMIF('7店辅助表'!K:K,B:B,'7店辅助表'!O:O),"-")</f>
        <v>-</v>
      </c>
      <c r="AC114" s="91" t="str">
        <f>IFERROR(VLOOKUP(B:B,'[1]7店'!$B:$AB,27,FALSE),"-")</f>
        <v>-</v>
      </c>
      <c r="AD114" s="92" t="str">
        <f t="shared" si="73"/>
        <v>-</v>
      </c>
      <c r="AE114" s="91" t="str">
        <f>IFERROR(SUMIF('7店辅助表'!T:T,B:B,'7店辅助表'!W:W)/SUMIF('7店辅助表'!T:T,B:B,'7店辅助表'!X:X),"-")</f>
        <v>-</v>
      </c>
      <c r="AF114" s="91" t="str">
        <f>IFERROR(SUMIF('7店辅助表'!AC:AC,B:B,'7店辅助表'!AF:AF)/SUMIF('7店辅助表'!AC:AC,B:B,'7店辅助表'!AG:AG),"-")</f>
        <v>-</v>
      </c>
      <c r="AG114" s="99">
        <f>IFERROR(AK114/((SUMIF('7店辅助表'!AT:AT,B:B,'7店辅助表'!AU:AU)+M114)/2),"-")</f>
        <v>0.0606060606060606</v>
      </c>
      <c r="AH114" s="99">
        <f>IFERROR(AL114/((SUMIF('7店辅助表'!AW:AW,B:B,'7店辅助表'!AX:AX)+M114)/2),"-")</f>
        <v>0.16</v>
      </c>
      <c r="AI114" s="100">
        <f>IFERROR((SUMIF('7店辅助表'!AP:AP,B:B,'7店辅助表'!AR:AR)-SUMIF('7店辅助表'!AP:AP,B:B,'7店辅助表'!AR:AR)*0.15-(L114+IFERROR(VLOOKUP(B:B,'7店辅助表'!AZ:BA,2,0),0))*O114-IF(AN:AN="US",6.85,4.9)*(Z114+4.27*O114))/SUMIF('7店辅助表'!AP:AP,B:B,'7店辅助表'!AR:AR),"-")</f>
        <v>0.29026005405618</v>
      </c>
      <c r="AJ114" s="100">
        <f t="shared" si="74"/>
        <v>0.0464416086489888</v>
      </c>
      <c r="AK114" s="101">
        <f t="shared" si="75"/>
        <v>13.9</v>
      </c>
      <c r="AL114" s="101">
        <f t="shared" si="76"/>
        <v>27.8</v>
      </c>
      <c r="AM114" s="1" t="str">
        <f>VLOOKUP(B:B,'7店辅助表'!AZ:AZ,1,FALSE)</f>
        <v>Y73135-OR-ZH</v>
      </c>
      <c r="AN114" t="str">
        <f>VLOOKUP(B:B,'7店辅助表'!AZ:BB,3,FALSE)</f>
        <v>US</v>
      </c>
    </row>
    <row r="115" customHeight="1" spans="1:40">
      <c r="A115" s="58" t="str">
        <f>INDEX('[1]7店'!$A:$A,MATCH(B:B,'[1]7店'!$B:$B,0))</f>
        <v>美珠</v>
      </c>
      <c r="B115" s="116" t="s">
        <v>2460</v>
      </c>
      <c r="C115" s="45" t="s">
        <v>2461</v>
      </c>
      <c r="D115" s="59">
        <f>VLOOKUP(B:B,'[1]7店'!$B:$L,3,0)</f>
        <v>45048</v>
      </c>
      <c r="E115" s="45" t="s">
        <v>2462</v>
      </c>
      <c r="F115" s="45">
        <v>17</v>
      </c>
      <c r="G115" s="45">
        <v>0</v>
      </c>
      <c r="H115" s="45">
        <v>0</v>
      </c>
      <c r="I115" s="45">
        <v>1</v>
      </c>
      <c r="J115" s="45">
        <v>0</v>
      </c>
      <c r="K115" s="63">
        <f t="shared" si="66"/>
        <v>18</v>
      </c>
      <c r="L115" s="132">
        <f>VLOOKUP($B:$B,'[1]7店'!$B:$L,11,FALSE)</f>
        <v>13.9</v>
      </c>
      <c r="M115" s="44">
        <f t="shared" si="77"/>
        <v>250.2</v>
      </c>
      <c r="N115" s="65">
        <f>IFERROR(VLOOKUP(B:B,'7店辅助表'!B:C,2,FALSE),0)</f>
        <v>1</v>
      </c>
      <c r="O115" s="65">
        <f>IFERROR(VLOOKUP(B:B,'7店辅助表'!E:F,2,FALSE),0)</f>
        <v>1</v>
      </c>
      <c r="P115" s="65">
        <f>IFERROR(VLOOKUP(B:B,'7店辅助表'!H:I,2,FALSE),0)</f>
        <v>1</v>
      </c>
      <c r="Q115" s="65">
        <f>IFERROR(VLOOKUP(B:B,'[1]7店'!$B:$N,13,FALSE),0)</f>
        <v>0</v>
      </c>
      <c r="R115" s="79">
        <f t="shared" si="67"/>
        <v>1</v>
      </c>
      <c r="S115" s="80">
        <f t="shared" si="68"/>
        <v>222.352941176471</v>
      </c>
      <c r="T115" s="44">
        <f t="shared" si="69"/>
        <v>7.41176470588235</v>
      </c>
      <c r="U115" s="44" t="str">
        <f>IFERROR(VLOOKUP($B:$B,'[1]7店'!$B:$T,19,FALSE),0)</f>
        <v>-</v>
      </c>
      <c r="V115" s="81" t="str">
        <f t="shared" si="70"/>
        <v>-</v>
      </c>
      <c r="W115" s="82" t="str">
        <f t="shared" si="71"/>
        <v>库存过高</v>
      </c>
      <c r="X115" s="83" t="str">
        <f t="shared" si="72"/>
        <v>库存过高</v>
      </c>
      <c r="Y115" s="44">
        <f>IFERROR(SUMIF('7店辅助表'!K:K,B:B,'7店辅助表'!N:N),0)</f>
        <v>0.2</v>
      </c>
      <c r="Z115" s="44">
        <f>IFERROR(SUMIF('7店辅助表'!T:T,B:B,'7店辅助表'!W:W),0)</f>
        <v>0.2</v>
      </c>
      <c r="AA115" s="44">
        <f>IFERROR(SUMIF('7店辅助表'!AC:AC,B:B,'7店辅助表'!AF:AF),0)</f>
        <v>0.8</v>
      </c>
      <c r="AB115" s="91">
        <f>IFERROR(SUMIF('7店辅助表'!K:K,B:B,'7店辅助表'!N:N)/SUMIF('7店辅助表'!K:K,B:B,'7店辅助表'!O:O),"-")</f>
        <v>0.0153964588144727</v>
      </c>
      <c r="AC115" s="91" t="str">
        <f>IFERROR(VLOOKUP(B:B,'[1]7店'!$B:$AB,27,FALSE),"-")</f>
        <v>-</v>
      </c>
      <c r="AD115" s="92" t="str">
        <f t="shared" si="73"/>
        <v>-</v>
      </c>
      <c r="AE115" s="91">
        <f>IFERROR(SUMIF('7店辅助表'!T:T,B:B,'7店辅助表'!W:W)/SUMIF('7店辅助表'!T:T,B:B,'7店辅助表'!X:X),"-")</f>
        <v>0.0153964588144727</v>
      </c>
      <c r="AF115" s="91">
        <f>IFERROR(SUMIF('7店辅助表'!AC:AC,B:B,'7店辅助表'!AF:AF)/SUMIF('7店辅助表'!AC:AC,B:B,'7店辅助表'!AG:AG),"-")</f>
        <v>0.0615858352578907</v>
      </c>
      <c r="AG115" s="99">
        <f>IFERROR(AK115/((SUMIF('7店辅助表'!AT:AT,B:B,'7店辅助表'!AU:AU)+M115)/2),"-")</f>
        <v>0.0555555555555556</v>
      </c>
      <c r="AH115" s="99">
        <f>IFERROR(AL115/((SUMIF('7店辅助表'!AW:AW,B:B,'7店辅助表'!AX:AX)+M115)/2),"-")</f>
        <v>0.0555555555555556</v>
      </c>
      <c r="AI115" s="100">
        <f>IFERROR((SUMIF('7店辅助表'!AP:AP,B:B,'7店辅助表'!AR:AR)-SUMIF('7店辅助表'!AP:AP,B:B,'7店辅助表'!AR:AR)*0.15-(L115+IFERROR(VLOOKUP(B:B,'7店辅助表'!AZ:BA,2,0),0))*O115-IF(AN:AN="US",6.85,4.9)*(Z115+4.27*O115))/SUMIF('7店辅助表'!AP:AP,B:B,'7店辅助表'!AR:AR),"-")</f>
        <v>0.274391587015278</v>
      </c>
      <c r="AJ115" s="100">
        <f t="shared" si="74"/>
        <v>0.0152439770564044</v>
      </c>
      <c r="AK115" s="101">
        <f t="shared" si="75"/>
        <v>13.9</v>
      </c>
      <c r="AL115" s="101">
        <f t="shared" si="76"/>
        <v>13.9</v>
      </c>
      <c r="AM115" s="1" t="str">
        <f>VLOOKUP(B:B,'7店辅助表'!AZ:AZ,1,FALSE)</f>
        <v>Y73153-OR-ZH</v>
      </c>
      <c r="AN115" t="str">
        <f>VLOOKUP(B:B,'7店辅助表'!AZ:BB,3,FALSE)</f>
        <v>US</v>
      </c>
    </row>
    <row r="116" customHeight="1" spans="1:40">
      <c r="A116" s="58" t="str">
        <f>INDEX('[1]7店'!$A:$A,MATCH(B:B,'[1]7店'!$B:$B,0))</f>
        <v>美珠</v>
      </c>
      <c r="B116" s="116" t="s">
        <v>2463</v>
      </c>
      <c r="C116" s="45" t="s">
        <v>2464</v>
      </c>
      <c r="D116" s="59">
        <f>VLOOKUP(B:B,'[1]7店'!$B:$L,3,0)</f>
        <v>45049</v>
      </c>
      <c r="E116" s="45" t="s">
        <v>2465</v>
      </c>
      <c r="F116" s="45">
        <v>6</v>
      </c>
      <c r="G116" s="45">
        <v>0</v>
      </c>
      <c r="H116" s="45">
        <v>0</v>
      </c>
      <c r="I116" s="45">
        <v>0</v>
      </c>
      <c r="J116" s="45">
        <v>0</v>
      </c>
      <c r="K116" s="63">
        <f t="shared" ref="K116:K141" si="78">F116+G116+H116+I116+J116</f>
        <v>6</v>
      </c>
      <c r="L116" s="132">
        <f>VLOOKUP($B:$B,'[1]7店'!$B:$L,11,FALSE)</f>
        <v>13.9</v>
      </c>
      <c r="M116" s="44">
        <f t="shared" si="77"/>
        <v>83.4</v>
      </c>
      <c r="N116" s="65">
        <f>IFERROR(VLOOKUP(B:B,'7店辅助表'!B:C,2,FALSE),0)</f>
        <v>0</v>
      </c>
      <c r="O116" s="65">
        <f>IFERROR(VLOOKUP(B:B,'7店辅助表'!E:F,2,FALSE),0)</f>
        <v>1</v>
      </c>
      <c r="P116" s="65">
        <f>IFERROR(VLOOKUP(B:B,'7店辅助表'!H:I,2,FALSE),0)</f>
        <v>1</v>
      </c>
      <c r="Q116" s="65">
        <f>IFERROR(VLOOKUP(B:B,'[1]7店'!$B:$N,13,FALSE),0)</f>
        <v>1</v>
      </c>
      <c r="R116" s="79">
        <f t="shared" ref="R116:R141" si="79">N116-Q116</f>
        <v>-1</v>
      </c>
      <c r="S116" s="80">
        <f t="shared" ref="S116:S141" si="80">IFERROR(K116/((N116/7+O116/15+P116/30)/3),"-")</f>
        <v>180</v>
      </c>
      <c r="T116" s="44">
        <f t="shared" ref="T116:T141" si="81">IFERROR(S116/30,"-")</f>
        <v>6</v>
      </c>
      <c r="U116" s="44">
        <f>IFERROR(VLOOKUP($B:$B,'[1]7店'!$B:$T,19,FALSE),0)</f>
        <v>2.17241379310345</v>
      </c>
      <c r="V116" s="81">
        <f t="shared" ref="V116:V141" si="82">IFERROR(T116-U116,"-")</f>
        <v>3.82758620689655</v>
      </c>
      <c r="W116" s="82" t="str">
        <f t="shared" ref="W116:W141" si="83">_xlfn.IFS(AND(D116&lt;&gt;0,D116-$AM$2&gt;=0,B116&gt;0,D116&lt;&gt;0),"本月刚到货",AND(IFERROR((K116/(N116/7))/30,"-")="-",K116&gt;0),"有库存无销量",AND(IFERROR((K116/(N116/7))/30,"-")="-",K116=0),"无库存无销量",AND(IFERROR((K116/(N116/7))/30,"-")&lt;=0.5,K116=0),"无库存有销量",IFERROR((K116/(N116/7))/30,"-")&lt;=0.5,"库存过低",IFERROR((K116/(N116/7))/30,"-")&lt;=1.5,"正常",IFERROR((K116/(N116/7))/30,"-")&gt;1.5,"库存过高")</f>
        <v>有库存无销量</v>
      </c>
      <c r="X116" s="83" t="str">
        <f t="shared" ref="X116:X141" si="84">_xlfn.IFS(AND(D116&lt;&gt;0,D116-$AM$2&gt;=0,K116&gt;0,D116&lt;&gt;0),"本月刚到货",AND(T116="-",K116&gt;0),"有库存无销量",AND(T116="-",K116=0),"无库存无销量",AND(T116&lt;=0.5,K116=0),"无库存有销量",T116&lt;=0.5,"库存过低",T116&lt;=1.5,"正常",T116&gt;1.5,"库存过高")</f>
        <v>库存过高</v>
      </c>
      <c r="Y116" s="44">
        <f>IFERROR(SUMIF('7店辅助表'!K:K,B:B,'7店辅助表'!N:N),0)</f>
        <v>0</v>
      </c>
      <c r="Z116" s="44">
        <f>IFERROR(SUMIF('7店辅助表'!T:T,B:B,'7店辅助表'!W:W),0)</f>
        <v>0</v>
      </c>
      <c r="AA116" s="44">
        <f>IFERROR(SUMIF('7店辅助表'!AC:AC,B:B,'7店辅助表'!AF:AF),0)</f>
        <v>0</v>
      </c>
      <c r="AB116" s="91" t="str">
        <f>IFERROR(SUMIF('7店辅助表'!K:K,B:B,'7店辅助表'!N:N)/SUMIF('7店辅助表'!K:K,B:B,'7店辅助表'!O:O),"-")</f>
        <v>-</v>
      </c>
      <c r="AC116" s="91" t="str">
        <f>IFERROR(VLOOKUP(B:B,'[1]7店'!$B:$AB,27,FALSE),"-")</f>
        <v>-</v>
      </c>
      <c r="AD116" s="92" t="str">
        <f t="shared" ref="AD116:AD141" si="85">IFERROR(AB116-AC116,"-")</f>
        <v>-</v>
      </c>
      <c r="AE116" s="91" t="str">
        <f>IFERROR(SUMIF('7店辅助表'!T:T,B:B,'7店辅助表'!W:W)/SUMIF('7店辅助表'!T:T,B:B,'7店辅助表'!X:X),"-")</f>
        <v>-</v>
      </c>
      <c r="AF116" s="91" t="str">
        <f>IFERROR(SUMIF('7店辅助表'!AC:AC,B:B,'7店辅助表'!AF:AF)/SUMIF('7店辅助表'!AC:AC,B:B,'7店辅助表'!AG:AG),"-")</f>
        <v>-</v>
      </c>
      <c r="AG116" s="99">
        <f>IFERROR(AK116/((SUMIF('7店辅助表'!AT:AT,B:B,'7店辅助表'!AU:AU)+M116)/2),"-")</f>
        <v>0</v>
      </c>
      <c r="AH116" s="99">
        <f>IFERROR(AL116/((SUMIF('7店辅助表'!AW:AW,B:B,'7店辅助表'!AX:AX)+M116)/2),"-")</f>
        <v>0.166666666666667</v>
      </c>
      <c r="AI116" s="100">
        <f>IFERROR((SUMIF('7店辅助表'!AP:AP,B:B,'7店辅助表'!AR:AR)-SUMIF('7店辅助表'!AP:AP,B:B,'7店辅助表'!AR:AR)*0.15-(L116+IFERROR(VLOOKUP(B:B,'7店辅助表'!AZ:BA,2,0),0))*O116-IF(AN:AN="US",6.85,4.9)*(Z116+4.27*O116))/SUMIF('7店辅助表'!AP:AP,B:B,'7店辅助表'!AR:AR),"-")</f>
        <v>0.289563280007642</v>
      </c>
      <c r="AJ116" s="100">
        <f t="shared" ref="AJ116:AJ141" si="86">IFERROR(AH116*AI116,"-")</f>
        <v>0.0482605466679404</v>
      </c>
      <c r="AK116" s="101">
        <f t="shared" ref="AK116:AK141" si="87">N116*$L116</f>
        <v>0</v>
      </c>
      <c r="AL116" s="101">
        <f t="shared" ref="AL116:AL141" si="88">O116*$L116</f>
        <v>13.9</v>
      </c>
      <c r="AM116" s="1" t="str">
        <f>VLOOKUP(B:B,'7店辅助表'!AZ:AZ,1,FALSE)</f>
        <v>Y73821-BU-ZH</v>
      </c>
      <c r="AN116" t="str">
        <f>VLOOKUP(B:B,'7店辅助表'!AZ:BB,3,FALSE)</f>
        <v>US</v>
      </c>
    </row>
    <row r="117" customHeight="1" spans="1:40">
      <c r="A117" s="58" t="str">
        <f>INDEX('[1]7店'!$A:$A,MATCH(B:B,'[1]7店'!$B:$B,0))</f>
        <v>美珠</v>
      </c>
      <c r="B117" s="116" t="s">
        <v>2466</v>
      </c>
      <c r="C117" s="45" t="s">
        <v>2467</v>
      </c>
      <c r="D117" s="59">
        <f>VLOOKUP(B:B,'[1]7店'!$B:$L,3,0)</f>
        <v>45049</v>
      </c>
      <c r="E117" s="45" t="s">
        <v>2468</v>
      </c>
      <c r="F117" s="45">
        <v>3</v>
      </c>
      <c r="G117" s="45">
        <v>0</v>
      </c>
      <c r="H117" s="45">
        <v>0</v>
      </c>
      <c r="I117" s="45">
        <v>0</v>
      </c>
      <c r="J117" s="45">
        <v>0</v>
      </c>
      <c r="K117" s="63">
        <f t="shared" si="78"/>
        <v>3</v>
      </c>
      <c r="L117" s="132">
        <f>VLOOKUP($B:$B,'[1]7店'!$B:$L,11,FALSE)</f>
        <v>13.9</v>
      </c>
      <c r="M117" s="44">
        <f t="shared" si="77"/>
        <v>41.7</v>
      </c>
      <c r="N117" s="65">
        <f>IFERROR(VLOOKUP(B:B,'7店辅助表'!B:C,2,FALSE),0)</f>
        <v>0</v>
      </c>
      <c r="O117" s="65">
        <f>IFERROR(VLOOKUP(B:B,'7店辅助表'!E:F,2,FALSE),0)</f>
        <v>2</v>
      </c>
      <c r="P117" s="65">
        <f>IFERROR(VLOOKUP(B:B,'7店辅助表'!H:I,2,FALSE),0)</f>
        <v>4</v>
      </c>
      <c r="Q117" s="65">
        <f>IFERROR(VLOOKUP(B:B,'[1]7店'!$B:$N,13,FALSE),0)</f>
        <v>2</v>
      </c>
      <c r="R117" s="79">
        <f t="shared" si="79"/>
        <v>-2</v>
      </c>
      <c r="S117" s="80">
        <f t="shared" si="80"/>
        <v>33.75</v>
      </c>
      <c r="T117" s="44">
        <f t="shared" si="81"/>
        <v>1.125</v>
      </c>
      <c r="U117" s="44">
        <f>IFERROR(VLOOKUP($B:$B,'[1]7店'!$B:$T,19,FALSE),0)</f>
        <v>0.543103448275862</v>
      </c>
      <c r="V117" s="81">
        <f t="shared" si="82"/>
        <v>0.581896551724138</v>
      </c>
      <c r="W117" s="82" t="str">
        <f t="shared" si="83"/>
        <v>有库存无销量</v>
      </c>
      <c r="X117" s="83" t="str">
        <f t="shared" si="84"/>
        <v>正常</v>
      </c>
      <c r="Y117" s="44">
        <f>IFERROR(SUMIF('7店辅助表'!K:K,B:B,'7店辅助表'!N:N),0)</f>
        <v>1.07</v>
      </c>
      <c r="Z117" s="44">
        <f>IFERROR(SUMIF('7店辅助表'!T:T,B:B,'7店辅助表'!W:W),0)</f>
        <v>3.59</v>
      </c>
      <c r="AA117" s="44">
        <f>IFERROR(SUMIF('7店辅助表'!AC:AC,B:B,'7店辅助表'!AF:AF),0)</f>
        <v>10.88</v>
      </c>
      <c r="AB117" s="91" t="str">
        <f>IFERROR(SUMIF('7店辅助表'!K:K,B:B,'7店辅助表'!N:N)/SUMIF('7店辅助表'!K:K,B:B,'7店辅助表'!O:O),"-")</f>
        <v>-</v>
      </c>
      <c r="AC117" s="91" t="str">
        <f>IFERROR(VLOOKUP(B:B,'[1]7店'!$B:$AB,27,FALSE),"-")</f>
        <v>-</v>
      </c>
      <c r="AD117" s="92" t="str">
        <f t="shared" si="85"/>
        <v>-</v>
      </c>
      <c r="AE117" s="91" t="str">
        <f>IFERROR(SUMIF('7店辅助表'!T:T,B:B,'7店辅助表'!W:W)/SUMIF('7店辅助表'!T:T,B:B,'7店辅助表'!X:X),"-")</f>
        <v>-</v>
      </c>
      <c r="AF117" s="91">
        <f>IFERROR(SUMIF('7店辅助表'!AC:AC,B:B,'7店辅助表'!AF:AF)/SUMIF('7店辅助表'!AC:AC,B:B,'7店辅助表'!AG:AG),"-")</f>
        <v>0.418783679753657</v>
      </c>
      <c r="AG117" s="99">
        <f>IFERROR(AK117/((SUMIF('7店辅助表'!AT:AT,B:B,'7店辅助表'!AU:AU)+M117)/2),"-")</f>
        <v>0</v>
      </c>
      <c r="AH117" s="99">
        <f>IFERROR(AL117/((SUMIF('7店辅助表'!AW:AW,B:B,'7店辅助表'!AX:AX)+M117)/2),"-")</f>
        <v>0.4</v>
      </c>
      <c r="AI117" s="100">
        <f>IFERROR((SUMIF('7店辅助表'!AP:AP,B:B,'7店辅助表'!AR:AR)-SUMIF('7店辅助表'!AP:AP,B:B,'7店辅助表'!AR:AR)*0.15-(L117+IFERROR(VLOOKUP(B:B,'7店辅助表'!AZ:BA,2,0),0))*O117-IF(AN:AN="US",6.85,4.9)*(Z117+4.27*O117))/SUMIF('7店辅助表'!AP:AP,B:B,'7店辅助表'!AR:AR),"-")</f>
        <v>0.151121581452324</v>
      </c>
      <c r="AJ117" s="100">
        <f t="shared" si="86"/>
        <v>0.0604486325809298</v>
      </c>
      <c r="AK117" s="101">
        <f t="shared" si="87"/>
        <v>0</v>
      </c>
      <c r="AL117" s="101">
        <f t="shared" si="88"/>
        <v>27.8</v>
      </c>
      <c r="AM117" s="1" t="str">
        <f>VLOOKUP(B:B,'7店辅助表'!AZ:AZ,1,FALSE)</f>
        <v>Y73821-DB-ZH</v>
      </c>
      <c r="AN117" t="str">
        <f>VLOOKUP(B:B,'7店辅助表'!AZ:BB,3,FALSE)</f>
        <v>US</v>
      </c>
    </row>
    <row r="118" customHeight="1" spans="1:40">
      <c r="A118" s="58" t="str">
        <f>INDEX('[1]7店'!$A:$A,MATCH(B:B,'[1]7店'!$B:$B,0))</f>
        <v>美珠</v>
      </c>
      <c r="B118" s="116" t="s">
        <v>2469</v>
      </c>
      <c r="C118" s="45" t="s">
        <v>2470</v>
      </c>
      <c r="D118" s="59">
        <f>VLOOKUP(B:B,'[1]7店'!$B:$L,3,0)</f>
        <v>45049</v>
      </c>
      <c r="E118" s="45" t="s">
        <v>2471</v>
      </c>
      <c r="F118" s="45">
        <v>5</v>
      </c>
      <c r="G118" s="45">
        <v>0</v>
      </c>
      <c r="H118" s="45">
        <v>0</v>
      </c>
      <c r="I118" s="45">
        <v>0</v>
      </c>
      <c r="J118" s="45">
        <v>0</v>
      </c>
      <c r="K118" s="63">
        <f t="shared" si="78"/>
        <v>5</v>
      </c>
      <c r="L118" s="132">
        <f>VLOOKUP($B:$B,'[1]7店'!$B:$L,11,FALSE)</f>
        <v>13.9</v>
      </c>
      <c r="M118" s="44">
        <f t="shared" si="77"/>
        <v>69.5</v>
      </c>
      <c r="N118" s="65">
        <f>IFERROR(VLOOKUP(B:B,'7店辅助表'!B:C,2,FALSE),0)</f>
        <v>0</v>
      </c>
      <c r="O118" s="65">
        <f>IFERROR(VLOOKUP(B:B,'7店辅助表'!E:F,2,FALSE),0)</f>
        <v>0</v>
      </c>
      <c r="P118" s="65">
        <f>IFERROR(VLOOKUP(B:B,'7店辅助表'!H:I,2,FALSE),0)</f>
        <v>4</v>
      </c>
      <c r="Q118" s="65">
        <f>IFERROR(VLOOKUP(B:B,'[1]7店'!$B:$N,13,FALSE),0)</f>
        <v>0</v>
      </c>
      <c r="R118" s="79">
        <f t="shared" si="79"/>
        <v>0</v>
      </c>
      <c r="S118" s="80">
        <f t="shared" si="80"/>
        <v>112.5</v>
      </c>
      <c r="T118" s="44">
        <f t="shared" si="81"/>
        <v>3.75</v>
      </c>
      <c r="U118" s="44">
        <f>IFERROR(VLOOKUP($B:$B,'[1]7店'!$B:$T,19,FALSE),0)</f>
        <v>2.57142857142857</v>
      </c>
      <c r="V118" s="81">
        <f t="shared" si="82"/>
        <v>1.17857142857143</v>
      </c>
      <c r="W118" s="82" t="str">
        <f t="shared" si="83"/>
        <v>有库存无销量</v>
      </c>
      <c r="X118" s="83" t="str">
        <f t="shared" si="84"/>
        <v>库存过高</v>
      </c>
      <c r="Y118" s="44">
        <f>IFERROR(SUMIF('7店辅助表'!K:K,B:B,'7店辅助表'!N:N),0)</f>
        <v>0</v>
      </c>
      <c r="Z118" s="44">
        <f>IFERROR(SUMIF('7店辅助表'!T:T,B:B,'7店辅助表'!W:W),0)</f>
        <v>0</v>
      </c>
      <c r="AA118" s="44">
        <f>IFERROR(SUMIF('7店辅助表'!AC:AC,B:B,'7店辅助表'!AF:AF),0)</f>
        <v>0</v>
      </c>
      <c r="AB118" s="91" t="str">
        <f>IFERROR(SUMIF('7店辅助表'!K:K,B:B,'7店辅助表'!N:N)/SUMIF('7店辅助表'!K:K,B:B,'7店辅助表'!O:O),"-")</f>
        <v>-</v>
      </c>
      <c r="AC118" s="91" t="str">
        <f>IFERROR(VLOOKUP(B:B,'[1]7店'!$B:$AB,27,FALSE),"-")</f>
        <v>-</v>
      </c>
      <c r="AD118" s="92" t="str">
        <f t="shared" si="85"/>
        <v>-</v>
      </c>
      <c r="AE118" s="91" t="str">
        <f>IFERROR(SUMIF('7店辅助表'!T:T,B:B,'7店辅助表'!W:W)/SUMIF('7店辅助表'!T:T,B:B,'7店辅助表'!X:X),"-")</f>
        <v>-</v>
      </c>
      <c r="AF118" s="91" t="str">
        <f>IFERROR(SUMIF('7店辅助表'!AC:AC,B:B,'7店辅助表'!AF:AF)/SUMIF('7店辅助表'!AC:AC,B:B,'7店辅助表'!AG:AG),"-")</f>
        <v>-</v>
      </c>
      <c r="AG118" s="99">
        <f>IFERROR(AK118/((SUMIF('7店辅助表'!AT:AT,B:B,'7店辅助表'!AU:AU)+M118)/2),"-")</f>
        <v>0</v>
      </c>
      <c r="AH118" s="99">
        <f>IFERROR(AL118/((SUMIF('7店辅助表'!AW:AW,B:B,'7店辅助表'!AX:AX)+M118)/2),"-")</f>
        <v>0</v>
      </c>
      <c r="AI118" s="100" t="str">
        <f>IFERROR((SUMIF('7店辅助表'!AP:AP,B:B,'7店辅助表'!AR:AR)-SUMIF('7店辅助表'!AP:AP,B:B,'7店辅助表'!AR:AR)*0.15-(L118+IFERROR(VLOOKUP(B:B,'7店辅助表'!AZ:BA,2,0),0))*O118-IF(AN:AN="US",6.85,4.9)*(Z118+4.27*O118))/SUMIF('7店辅助表'!AP:AP,B:B,'7店辅助表'!AR:AR),"-")</f>
        <v>-</v>
      </c>
      <c r="AJ118" s="100" t="str">
        <f t="shared" si="86"/>
        <v>-</v>
      </c>
      <c r="AK118" s="101">
        <f t="shared" si="87"/>
        <v>0</v>
      </c>
      <c r="AL118" s="101">
        <f t="shared" si="88"/>
        <v>0</v>
      </c>
      <c r="AM118" s="1" t="str">
        <f>VLOOKUP(B:B,'7店辅助表'!AZ:AZ,1,FALSE)</f>
        <v>Y73821-OR-ZH</v>
      </c>
      <c r="AN118" t="str">
        <f>VLOOKUP(B:B,'7店辅助表'!AZ:BB,3,FALSE)</f>
        <v>US</v>
      </c>
    </row>
    <row r="119" customHeight="1" spans="1:40">
      <c r="A119" s="58" t="str">
        <f>INDEX('[1]7店'!$A:$A,MATCH(B:B,'[1]7店'!$B:$B,0))</f>
        <v>美珠</v>
      </c>
      <c r="B119" s="116" t="s">
        <v>2472</v>
      </c>
      <c r="C119" s="45" t="s">
        <v>2473</v>
      </c>
      <c r="D119" s="59">
        <f>VLOOKUP(B:B,'[1]7店'!$B:$L,3,0)</f>
        <v>45047</v>
      </c>
      <c r="E119" s="45" t="s">
        <v>2474</v>
      </c>
      <c r="F119" s="45">
        <v>13</v>
      </c>
      <c r="G119" s="45">
        <v>0</v>
      </c>
      <c r="H119" s="45">
        <v>3</v>
      </c>
      <c r="I119" s="45">
        <v>0</v>
      </c>
      <c r="J119" s="45">
        <v>0</v>
      </c>
      <c r="K119" s="63">
        <f t="shared" si="78"/>
        <v>16</v>
      </c>
      <c r="L119" s="132">
        <f>VLOOKUP($B:$B,'[1]7店'!$B:$L,11,FALSE)</f>
        <v>13.9</v>
      </c>
      <c r="M119" s="44">
        <f t="shared" si="77"/>
        <v>222.4</v>
      </c>
      <c r="N119" s="65">
        <f>IFERROR(VLOOKUP(B:B,'7店辅助表'!B:C,2,FALSE),0)</f>
        <v>5</v>
      </c>
      <c r="O119" s="65">
        <f>IFERROR(VLOOKUP(B:B,'7店辅助表'!E:F,2,FALSE),0)</f>
        <v>7</v>
      </c>
      <c r="P119" s="65">
        <f>IFERROR(VLOOKUP(B:B,'7店辅助表'!H:I,2,FALSE),0)</f>
        <v>12</v>
      </c>
      <c r="Q119" s="65">
        <f>IFERROR(VLOOKUP(B:B,'[1]7店'!$B:$N,13,FALSE),0)</f>
        <v>1</v>
      </c>
      <c r="R119" s="79">
        <f t="shared" si="79"/>
        <v>4</v>
      </c>
      <c r="S119" s="80">
        <f t="shared" si="80"/>
        <v>30.3614457831325</v>
      </c>
      <c r="T119" s="44">
        <f t="shared" si="81"/>
        <v>1.01204819277108</v>
      </c>
      <c r="U119" s="44">
        <f>IFERROR(VLOOKUP($B:$B,'[1]7店'!$B:$T,19,FALSE),0)</f>
        <v>3.47107438016529</v>
      </c>
      <c r="V119" s="81">
        <f t="shared" si="82"/>
        <v>-2.45902618739421</v>
      </c>
      <c r="W119" s="82" t="str">
        <f t="shared" si="83"/>
        <v>正常</v>
      </c>
      <c r="X119" s="83" t="str">
        <f t="shared" si="84"/>
        <v>正常</v>
      </c>
      <c r="Y119" s="44">
        <f>IFERROR(SUMIF('7店辅助表'!K:K,B:B,'7店辅助表'!N:N),0)</f>
        <v>0</v>
      </c>
      <c r="Z119" s="44">
        <f>IFERROR(SUMIF('7店辅助表'!T:T,B:B,'7店辅助表'!W:W),0)</f>
        <v>0</v>
      </c>
      <c r="AA119" s="44">
        <f>IFERROR(SUMIF('7店辅助表'!AC:AC,B:B,'7店辅助表'!AF:AF),0)</f>
        <v>0</v>
      </c>
      <c r="AB119" s="91" t="str">
        <f>IFERROR(SUMIF('7店辅助表'!K:K,B:B,'7店辅助表'!N:N)/SUMIF('7店辅助表'!K:K,B:B,'7店辅助表'!O:O),"-")</f>
        <v>-</v>
      </c>
      <c r="AC119" s="91" t="str">
        <f>IFERROR(VLOOKUP(B:B,'[1]7店'!$B:$AB,27,FALSE),"-")</f>
        <v>-</v>
      </c>
      <c r="AD119" s="92" t="str">
        <f t="shared" si="85"/>
        <v>-</v>
      </c>
      <c r="AE119" s="91" t="str">
        <f>IFERROR(SUMIF('7店辅助表'!T:T,B:B,'7店辅助表'!W:W)/SUMIF('7店辅助表'!T:T,B:B,'7店辅助表'!X:X),"-")</f>
        <v>-</v>
      </c>
      <c r="AF119" s="91" t="str">
        <f>IFERROR(SUMIF('7店辅助表'!AC:AC,B:B,'7店辅助表'!AF:AF)/SUMIF('7店辅助表'!AC:AC,B:B,'7店辅助表'!AG:AG),"-")</f>
        <v>-</v>
      </c>
      <c r="AG119" s="99">
        <f>IFERROR(AK119/((SUMIF('7店辅助表'!AT:AT,B:B,'7店辅助表'!AU:AU)+M119)/2),"-")</f>
        <v>0.277777777777778</v>
      </c>
      <c r="AH119" s="99">
        <f>IFERROR(AL119/((SUMIF('7店辅助表'!AW:AW,B:B,'7店辅助表'!AX:AX)+M119)/2),"-")</f>
        <v>0.325581395348837</v>
      </c>
      <c r="AI119" s="100">
        <f>IFERROR((SUMIF('7店辅助表'!AP:AP,B:B,'7店辅助表'!AR:AR)-SUMIF('7店辅助表'!AP:AP,B:B,'7店辅助表'!AR:AR)*0.15-(L119+IFERROR(VLOOKUP(B:B,'7店辅助表'!AZ:BA,2,0),0))*O119-IF(AN:AN="US",6.85,4.9)*(Z119+4.27*O119))/SUMIF('7店辅助表'!AP:AP,B:B,'7店辅助表'!AR:AR),"-")</f>
        <v>0.279694149667458</v>
      </c>
      <c r="AJ119" s="100">
        <f t="shared" si="86"/>
        <v>0.0910632115196373</v>
      </c>
      <c r="AK119" s="101">
        <f t="shared" si="87"/>
        <v>69.5</v>
      </c>
      <c r="AL119" s="101">
        <f t="shared" si="88"/>
        <v>97.3</v>
      </c>
      <c r="AM119" s="1" t="str">
        <f>VLOOKUP(B:B,'7店辅助表'!AZ:AZ,1,FALSE)</f>
        <v>Y7036-BL-ZH</v>
      </c>
      <c r="AN119" t="str">
        <f>VLOOKUP(B:B,'7店辅助表'!AZ:BB,3,FALSE)</f>
        <v>US</v>
      </c>
    </row>
    <row r="120" customHeight="1" spans="1:40">
      <c r="A120" s="58" t="str">
        <f>INDEX('[1]7店'!$A:$A,MATCH(B:B,'[1]7店'!$B:$B,0))</f>
        <v>美珠</v>
      </c>
      <c r="B120" s="116" t="s">
        <v>2475</v>
      </c>
      <c r="C120" s="45" t="s">
        <v>2473</v>
      </c>
      <c r="D120" s="59">
        <f>VLOOKUP(B:B,'[1]7店'!$B:$L,3,0)</f>
        <v>45047</v>
      </c>
      <c r="E120" s="45" t="s">
        <v>2476</v>
      </c>
      <c r="F120" s="45">
        <v>41</v>
      </c>
      <c r="G120" s="45">
        <v>0</v>
      </c>
      <c r="H120" s="45">
        <v>1</v>
      </c>
      <c r="I120" s="45">
        <v>0</v>
      </c>
      <c r="J120" s="45">
        <v>0</v>
      </c>
      <c r="K120" s="63">
        <f t="shared" si="78"/>
        <v>42</v>
      </c>
      <c r="L120" s="132">
        <f>VLOOKUP($B:$B,'[1]7店'!$B:$L,11,FALSE)</f>
        <v>13.9</v>
      </c>
      <c r="M120" s="44">
        <f t="shared" si="77"/>
        <v>583.8</v>
      </c>
      <c r="N120" s="65">
        <f>IFERROR(VLOOKUP(B:B,'7店辅助表'!B:C,2,FALSE),0)</f>
        <v>0</v>
      </c>
      <c r="O120" s="65">
        <f>IFERROR(VLOOKUP(B:B,'7店辅助表'!E:F,2,FALSE),0)</f>
        <v>0</v>
      </c>
      <c r="P120" s="65">
        <f>IFERROR(VLOOKUP(B:B,'7店辅助表'!H:I,2,FALSE),0)</f>
        <v>0</v>
      </c>
      <c r="Q120" s="65">
        <f>IFERROR(VLOOKUP(B:B,'[1]7店'!$B:$N,13,FALSE),0)</f>
        <v>0</v>
      </c>
      <c r="R120" s="79">
        <f t="shared" si="79"/>
        <v>0</v>
      </c>
      <c r="S120" s="80" t="str">
        <f t="shared" si="80"/>
        <v>-</v>
      </c>
      <c r="T120" s="44" t="str">
        <f t="shared" si="81"/>
        <v>-</v>
      </c>
      <c r="U120" s="44">
        <f>IFERROR(VLOOKUP($B:$B,'[1]7店'!$B:$T,19,FALSE),0)</f>
        <v>63</v>
      </c>
      <c r="V120" s="81" t="str">
        <f t="shared" si="82"/>
        <v>-</v>
      </c>
      <c r="W120" s="82" t="str">
        <f t="shared" si="83"/>
        <v>有库存无销量</v>
      </c>
      <c r="X120" s="83" t="str">
        <f t="shared" si="84"/>
        <v>有库存无销量</v>
      </c>
      <c r="Y120" s="44">
        <f>IFERROR(SUMIF('7店辅助表'!K:K,B:B,'7店辅助表'!N:N),0)</f>
        <v>1.26</v>
      </c>
      <c r="Z120" s="44">
        <f>IFERROR(SUMIF('7店辅助表'!T:T,B:B,'7店辅助表'!W:W),0)</f>
        <v>2.08</v>
      </c>
      <c r="AA120" s="44">
        <f>IFERROR(SUMIF('7店辅助表'!AC:AC,B:B,'7店辅助表'!AF:AF),0)</f>
        <v>4</v>
      </c>
      <c r="AB120" s="91" t="str">
        <f>IFERROR(SUMIF('7店辅助表'!K:K,B:B,'7店辅助表'!N:N)/SUMIF('7店辅助表'!K:K,B:B,'7店辅助表'!O:O),"-")</f>
        <v>-</v>
      </c>
      <c r="AC120" s="91" t="str">
        <f>IFERROR(VLOOKUP(B:B,'[1]7店'!$B:$AB,27,FALSE),"-")</f>
        <v>-</v>
      </c>
      <c r="AD120" s="92" t="str">
        <f t="shared" si="85"/>
        <v>-</v>
      </c>
      <c r="AE120" s="91" t="str">
        <f>IFERROR(SUMIF('7店辅助表'!T:T,B:B,'7店辅助表'!W:W)/SUMIF('7店辅助表'!T:T,B:B,'7店辅助表'!X:X),"-")</f>
        <v>-</v>
      </c>
      <c r="AF120" s="91" t="str">
        <f>IFERROR(SUMIF('7店辅助表'!AC:AC,B:B,'7店辅助表'!AF:AF)/SUMIF('7店辅助表'!AC:AC,B:B,'7店辅助表'!AG:AG),"-")</f>
        <v>-</v>
      </c>
      <c r="AG120" s="99">
        <f>IFERROR(AK120/((SUMIF('7店辅助表'!AT:AT,B:B,'7店辅助表'!AU:AU)+M120)/2),"-")</f>
        <v>0</v>
      </c>
      <c r="AH120" s="99">
        <f>IFERROR(AL120/((SUMIF('7店辅助表'!AW:AW,B:B,'7店辅助表'!AX:AX)+M120)/2),"-")</f>
        <v>0</v>
      </c>
      <c r="AI120" s="100" t="str">
        <f>IFERROR((SUMIF('7店辅助表'!AP:AP,B:B,'7店辅助表'!AR:AR)-SUMIF('7店辅助表'!AP:AP,B:B,'7店辅助表'!AR:AR)*0.15-(L120+IFERROR(VLOOKUP(B:B,'7店辅助表'!AZ:BA,2,0),0))*O120-IF(AN:AN="US",6.85,4.9)*(Z120+4.27*O120))/SUMIF('7店辅助表'!AP:AP,B:B,'7店辅助表'!AR:AR),"-")</f>
        <v>-</v>
      </c>
      <c r="AJ120" s="100" t="str">
        <f t="shared" si="86"/>
        <v>-</v>
      </c>
      <c r="AK120" s="101">
        <f t="shared" si="87"/>
        <v>0</v>
      </c>
      <c r="AL120" s="101">
        <f t="shared" si="88"/>
        <v>0</v>
      </c>
      <c r="AM120" s="1" t="str">
        <f>VLOOKUP(B:B,'7店辅助表'!AZ:AZ,1,FALSE)</f>
        <v>Y7036-BU-ZH</v>
      </c>
      <c r="AN120" t="str">
        <f>VLOOKUP(B:B,'7店辅助表'!AZ:BB,3,FALSE)</f>
        <v>US</v>
      </c>
    </row>
    <row r="121" customHeight="1" spans="1:40">
      <c r="A121" s="58" t="str">
        <f>INDEX('[1]7店'!$A:$A,MATCH(B:B,'[1]7店'!$B:$B,0))</f>
        <v>美珠</v>
      </c>
      <c r="B121" s="116" t="s">
        <v>2477</v>
      </c>
      <c r="C121" s="45" t="s">
        <v>2473</v>
      </c>
      <c r="D121" s="59">
        <f>VLOOKUP(B:B,'[1]7店'!$B:$L,3,0)</f>
        <v>45047</v>
      </c>
      <c r="E121" s="45" t="s">
        <v>2478</v>
      </c>
      <c r="F121" s="45">
        <v>42</v>
      </c>
      <c r="G121" s="45">
        <v>0</v>
      </c>
      <c r="H121" s="45">
        <v>0</v>
      </c>
      <c r="I121" s="45">
        <v>0</v>
      </c>
      <c r="J121" s="45">
        <v>0</v>
      </c>
      <c r="K121" s="63">
        <f t="shared" si="78"/>
        <v>42</v>
      </c>
      <c r="L121" s="132">
        <f>VLOOKUP($B:$B,'[1]7店'!$B:$L,11,FALSE)</f>
        <v>13.9</v>
      </c>
      <c r="M121" s="44">
        <f t="shared" si="77"/>
        <v>583.8</v>
      </c>
      <c r="N121" s="65">
        <f>IFERROR(VLOOKUP(B:B,'7店辅助表'!B:C,2,FALSE),0)</f>
        <v>0</v>
      </c>
      <c r="O121" s="65">
        <f>IFERROR(VLOOKUP(B:B,'7店辅助表'!E:F,2,FALSE),0)</f>
        <v>4</v>
      </c>
      <c r="P121" s="65">
        <f>IFERROR(VLOOKUP(B:B,'7店辅助表'!H:I,2,FALSE),0)</f>
        <v>5</v>
      </c>
      <c r="Q121" s="65">
        <f>IFERROR(VLOOKUP(B:B,'[1]7店'!$B:$N,13,FALSE),0)</f>
        <v>4</v>
      </c>
      <c r="R121" s="79">
        <f t="shared" si="79"/>
        <v>-4</v>
      </c>
      <c r="S121" s="80">
        <f t="shared" si="80"/>
        <v>290.769230769231</v>
      </c>
      <c r="T121" s="44">
        <f t="shared" si="81"/>
        <v>9.69230769230769</v>
      </c>
      <c r="U121" s="44">
        <f>IFERROR(VLOOKUP($B:$B,'[1]7店'!$B:$T,19,FALSE),0)</f>
        <v>4.14220183486239</v>
      </c>
      <c r="V121" s="81">
        <f t="shared" si="82"/>
        <v>5.5501058574453</v>
      </c>
      <c r="W121" s="82" t="str">
        <f t="shared" si="83"/>
        <v>有库存无销量</v>
      </c>
      <c r="X121" s="83" t="str">
        <f t="shared" si="84"/>
        <v>库存过高</v>
      </c>
      <c r="Y121" s="44">
        <f>IFERROR(SUMIF('7店辅助表'!K:K,B:B,'7店辅助表'!N:N),0)</f>
        <v>0.27</v>
      </c>
      <c r="Z121" s="44">
        <f>IFERROR(SUMIF('7店辅助表'!T:T,B:B,'7店辅助表'!W:W),0)</f>
        <v>1.41</v>
      </c>
      <c r="AA121" s="44">
        <f>IFERROR(SUMIF('7店辅助表'!AC:AC,B:B,'7店辅助表'!AF:AF),0)</f>
        <v>2.49</v>
      </c>
      <c r="AB121" s="91" t="str">
        <f>IFERROR(SUMIF('7店辅助表'!K:K,B:B,'7店辅助表'!N:N)/SUMIF('7店辅助表'!K:K,B:B,'7店辅助表'!O:O),"-")</f>
        <v>-</v>
      </c>
      <c r="AC121" s="91" t="str">
        <f>IFERROR(VLOOKUP(B:B,'[1]7店'!$B:$AB,27,FALSE),"-")</f>
        <v>-</v>
      </c>
      <c r="AD121" s="92" t="str">
        <f t="shared" si="85"/>
        <v>-</v>
      </c>
      <c r="AE121" s="91" t="str">
        <f>IFERROR(SUMIF('7店辅助表'!T:T,B:B,'7店辅助表'!W:W)/SUMIF('7店辅助表'!T:T,B:B,'7店辅助表'!X:X),"-")</f>
        <v>-</v>
      </c>
      <c r="AF121" s="91" t="str">
        <f>IFERROR(SUMIF('7店辅助表'!AC:AC,B:B,'7店辅助表'!AF:AF)/SUMIF('7店辅助表'!AC:AC,B:B,'7店辅助表'!AG:AG),"-")</f>
        <v>-</v>
      </c>
      <c r="AG121" s="99">
        <f>IFERROR(AK121/((SUMIF('7店辅助表'!AT:AT,B:B,'7店辅助表'!AU:AU)+M121)/2),"-")</f>
        <v>0</v>
      </c>
      <c r="AH121" s="99">
        <f>IFERROR(AL121/((SUMIF('7店辅助表'!AW:AW,B:B,'7店辅助表'!AX:AX)+M121)/2),"-")</f>
        <v>0.0898876404494382</v>
      </c>
      <c r="AI121" s="100">
        <f>IFERROR((SUMIF('7店辅助表'!AP:AP,B:B,'7店辅助表'!AR:AR)-SUMIF('7店辅助表'!AP:AP,B:B,'7店辅助表'!AR:AR)*0.15-(L121+IFERROR(VLOOKUP(B:B,'7店辅助表'!AZ:BA,2,0),0))*O121-IF(AN:AN="US",6.85,4.9)*(Z121+4.27*O121))/SUMIF('7店辅助表'!AP:AP,B:B,'7店辅助表'!AR:AR),"-")</f>
        <v>0.257606377072461</v>
      </c>
      <c r="AJ121" s="100">
        <f t="shared" si="86"/>
        <v>0.0231556293997718</v>
      </c>
      <c r="AK121" s="101">
        <f t="shared" si="87"/>
        <v>0</v>
      </c>
      <c r="AL121" s="101">
        <f t="shared" si="88"/>
        <v>55.6</v>
      </c>
      <c r="AM121" s="1" t="str">
        <f>VLOOKUP(B:B,'7店辅助表'!AZ:AZ,1,FALSE)</f>
        <v>Y7036-DB-ZH</v>
      </c>
      <c r="AN121" t="str">
        <f>VLOOKUP(B:B,'7店辅助表'!AZ:BB,3,FALSE)</f>
        <v>US</v>
      </c>
    </row>
    <row r="122" customHeight="1" spans="1:40">
      <c r="A122" s="58" t="str">
        <f>INDEX('[1]7店'!$A:$A,MATCH(B:B,'[1]7店'!$B:$B,0))</f>
        <v>美珠</v>
      </c>
      <c r="B122" s="116" t="s">
        <v>2479</v>
      </c>
      <c r="C122" s="45" t="s">
        <v>2473</v>
      </c>
      <c r="D122" s="59">
        <f>VLOOKUP(B:B,'[1]7店'!$B:$L,3,0)</f>
        <v>45047</v>
      </c>
      <c r="E122" s="45" t="s">
        <v>2480</v>
      </c>
      <c r="F122" s="45">
        <v>44</v>
      </c>
      <c r="G122" s="45">
        <v>0</v>
      </c>
      <c r="H122" s="45">
        <v>0</v>
      </c>
      <c r="I122" s="45">
        <v>0</v>
      </c>
      <c r="J122" s="45">
        <v>0</v>
      </c>
      <c r="K122" s="63">
        <f t="shared" si="78"/>
        <v>44</v>
      </c>
      <c r="L122" s="132">
        <f>VLOOKUP($B:$B,'[1]7店'!$B:$L,11,FALSE)</f>
        <v>13.9</v>
      </c>
      <c r="M122" s="44">
        <f t="shared" si="77"/>
        <v>611.6</v>
      </c>
      <c r="N122" s="65">
        <f>IFERROR(VLOOKUP(B:B,'7店辅助表'!B:C,2,FALSE),0)</f>
        <v>1</v>
      </c>
      <c r="O122" s="65">
        <f>IFERROR(VLOOKUP(B:B,'7店辅助表'!E:F,2,FALSE),0)</f>
        <v>1</v>
      </c>
      <c r="P122" s="65">
        <f>IFERROR(VLOOKUP(B:B,'7店辅助表'!H:I,2,FALSE),0)</f>
        <v>2</v>
      </c>
      <c r="Q122" s="65">
        <f>IFERROR(VLOOKUP(B:B,'[1]7店'!$B:$N,13,FALSE),0)</f>
        <v>0</v>
      </c>
      <c r="R122" s="79">
        <f t="shared" si="79"/>
        <v>1</v>
      </c>
      <c r="S122" s="80">
        <f t="shared" si="80"/>
        <v>477.931034482759</v>
      </c>
      <c r="T122" s="44">
        <f t="shared" si="81"/>
        <v>15.9310344827586</v>
      </c>
      <c r="U122" s="44">
        <f>IFERROR(VLOOKUP($B:$B,'[1]7店'!$B:$T,19,FALSE),0)</f>
        <v>44</v>
      </c>
      <c r="V122" s="81">
        <f t="shared" si="82"/>
        <v>-28.0689655172414</v>
      </c>
      <c r="W122" s="82" t="str">
        <f t="shared" si="83"/>
        <v>库存过高</v>
      </c>
      <c r="X122" s="83" t="str">
        <f t="shared" si="84"/>
        <v>库存过高</v>
      </c>
      <c r="Y122" s="44">
        <f>IFERROR(SUMIF('7店辅助表'!K:K,B:B,'7店辅助表'!N:N),0)</f>
        <v>0</v>
      </c>
      <c r="Z122" s="44">
        <f>IFERROR(SUMIF('7店辅助表'!T:T,B:B,'7店辅助表'!W:W),0)</f>
        <v>0</v>
      </c>
      <c r="AA122" s="44">
        <f>IFERROR(SUMIF('7店辅助表'!AC:AC,B:B,'7店辅助表'!AF:AF),0)</f>
        <v>0.45</v>
      </c>
      <c r="AB122" s="91" t="str">
        <f>IFERROR(SUMIF('7店辅助表'!K:K,B:B,'7店辅助表'!N:N)/SUMIF('7店辅助表'!K:K,B:B,'7店辅助表'!O:O),"-")</f>
        <v>-</v>
      </c>
      <c r="AC122" s="91" t="str">
        <f>IFERROR(VLOOKUP(B:B,'[1]7店'!$B:$AB,27,FALSE),"-")</f>
        <v>-</v>
      </c>
      <c r="AD122" s="92" t="str">
        <f t="shared" si="85"/>
        <v>-</v>
      </c>
      <c r="AE122" s="91" t="str">
        <f>IFERROR(SUMIF('7店辅助表'!T:T,B:B,'7店辅助表'!W:W)/SUMIF('7店辅助表'!T:T,B:B,'7店辅助表'!X:X),"-")</f>
        <v>-</v>
      </c>
      <c r="AF122" s="91" t="str">
        <f>IFERROR(SUMIF('7店辅助表'!AC:AC,B:B,'7店辅助表'!AF:AF)/SUMIF('7店辅助表'!AC:AC,B:B,'7店辅助表'!AG:AG),"-")</f>
        <v>-</v>
      </c>
      <c r="AG122" s="99">
        <f>IFERROR(AK122/((SUMIF('7店辅助表'!AT:AT,B:B,'7店辅助表'!AU:AU)+M122)/2),"-")</f>
        <v>0.0227272727272727</v>
      </c>
      <c r="AH122" s="99">
        <f>IFERROR(AL122/((SUMIF('7店辅助表'!AW:AW,B:B,'7店辅助表'!AX:AX)+M122)/2),"-")</f>
        <v>0.0224719101123596</v>
      </c>
      <c r="AI122" s="100">
        <f>IFERROR((SUMIF('7店辅助表'!AP:AP,B:B,'7店辅助表'!AR:AR)-SUMIF('7店辅助表'!AP:AP,B:B,'7店辅助表'!AR:AR)*0.15-(L122+IFERROR(VLOOKUP(B:B,'7店辅助表'!AZ:BA,2,0),0))*O122-IF(AN:AN="US",6.85,4.9)*(Z122+4.27*O122))/SUMIF('7店辅助表'!AP:AP,B:B,'7店辅助表'!AR:AR),"-")</f>
        <v>0.292908868670795</v>
      </c>
      <c r="AJ122" s="100">
        <f t="shared" si="86"/>
        <v>0.00658222176788303</v>
      </c>
      <c r="AK122" s="101">
        <f t="shared" si="87"/>
        <v>13.9</v>
      </c>
      <c r="AL122" s="101">
        <f t="shared" si="88"/>
        <v>13.9</v>
      </c>
      <c r="AM122" s="1" t="str">
        <f>VLOOKUP(B:B,'7店辅助表'!AZ:AZ,1,FALSE)</f>
        <v>Y7036-OR-ZH</v>
      </c>
      <c r="AN122" t="str">
        <f>VLOOKUP(B:B,'7店辅助表'!AZ:BB,3,FALSE)</f>
        <v>US</v>
      </c>
    </row>
    <row r="123" customHeight="1" spans="1:40">
      <c r="A123" s="58" t="str">
        <f>INDEX('[1]7店'!$A:$A,MATCH(B:B,'[1]7店'!$B:$B,0))</f>
        <v>美珠</v>
      </c>
      <c r="B123" s="116" t="s">
        <v>2481</v>
      </c>
      <c r="C123" s="45" t="s">
        <v>2482</v>
      </c>
      <c r="D123" s="59">
        <f>VLOOKUP(B:B,'[1]7店'!$B:$L,3,0)</f>
        <v>45054</v>
      </c>
      <c r="E123" s="45" t="s">
        <v>2483</v>
      </c>
      <c r="F123" s="45">
        <v>78</v>
      </c>
      <c r="G123" s="45">
        <v>0</v>
      </c>
      <c r="H123" s="45">
        <v>0</v>
      </c>
      <c r="I123" s="45">
        <v>1</v>
      </c>
      <c r="J123" s="45">
        <v>0</v>
      </c>
      <c r="K123" s="63">
        <f t="shared" si="78"/>
        <v>79</v>
      </c>
      <c r="L123" s="132">
        <f>VLOOKUP($B:$B,'[1]7店'!$B:$L,11,FALSE)</f>
        <v>13.9</v>
      </c>
      <c r="M123" s="44">
        <f t="shared" si="77"/>
        <v>1098.1</v>
      </c>
      <c r="N123" s="65">
        <f>IFERROR(VLOOKUP(B:B,'7店辅助表'!B:C,2,FALSE),0)</f>
        <v>1</v>
      </c>
      <c r="O123" s="65">
        <f>IFERROR(VLOOKUP(B:B,'7店辅助表'!E:F,2,FALSE),0)</f>
        <v>4</v>
      </c>
      <c r="P123" s="65">
        <f>IFERROR(VLOOKUP(B:B,'7店辅助表'!H:I,2,FALSE),0)</f>
        <v>15</v>
      </c>
      <c r="Q123" s="65">
        <f>IFERROR(VLOOKUP(B:B,'[1]7店'!$B:$N,13,FALSE),0)</f>
        <v>3</v>
      </c>
      <c r="R123" s="79">
        <f t="shared" si="79"/>
        <v>-2</v>
      </c>
      <c r="S123" s="80">
        <f t="shared" si="80"/>
        <v>260.575916230366</v>
      </c>
      <c r="T123" s="44">
        <f t="shared" si="81"/>
        <v>8.68586387434555</v>
      </c>
      <c r="U123" s="44">
        <f>IFERROR(VLOOKUP($B:$B,'[1]7店'!$B:$T,19,FALSE),0)</f>
        <v>5.53</v>
      </c>
      <c r="V123" s="81">
        <f t="shared" si="82"/>
        <v>3.15586387434555</v>
      </c>
      <c r="W123" s="82" t="str">
        <f t="shared" si="83"/>
        <v>库存过高</v>
      </c>
      <c r="X123" s="83" t="str">
        <f t="shared" si="84"/>
        <v>库存过高</v>
      </c>
      <c r="Y123" s="44">
        <f>IFERROR(SUMIF('7店辅助表'!K:K,B:B,'7店辅助表'!N:N),0)</f>
        <v>1.8</v>
      </c>
      <c r="Z123" s="44">
        <f>IFERROR(SUMIF('7店辅助表'!T:T,B:B,'7店辅助表'!W:W),0)</f>
        <v>1.8</v>
      </c>
      <c r="AA123" s="44">
        <f>IFERROR(SUMIF('7店辅助表'!AC:AC,B:B,'7店辅助表'!AF:AF),0)</f>
        <v>2.64</v>
      </c>
      <c r="AB123" s="91">
        <f>IFERROR(SUMIF('7店辅助表'!K:K,B:B,'7店辅助表'!N:N)/SUMIF('7店辅助表'!K:K,B:B,'7店辅助表'!O:O),"-")</f>
        <v>0.138568129330254</v>
      </c>
      <c r="AC123" s="91" t="str">
        <f>IFERROR(VLOOKUP(B:B,'[1]7店'!$B:$AB,27,FALSE),"-")</f>
        <v>-</v>
      </c>
      <c r="AD123" s="92" t="str">
        <f t="shared" si="85"/>
        <v>-</v>
      </c>
      <c r="AE123" s="91">
        <f>IFERROR(SUMIF('7店辅助表'!T:T,B:B,'7店辅助表'!W:W)/SUMIF('7店辅助表'!T:T,B:B,'7店辅助表'!X:X),"-")</f>
        <v>0.138568129330254</v>
      </c>
      <c r="AF123" s="91">
        <f>IFERROR(SUMIF('7店辅助表'!AC:AC,B:B,'7店辅助表'!AF:AF)/SUMIF('7店辅助表'!AC:AC,B:B,'7店辅助表'!AG:AG),"-")</f>
        <v>0.203233256351039</v>
      </c>
      <c r="AG123" s="99">
        <f>IFERROR(AK123/((SUMIF('7店辅助表'!AT:AT,B:B,'7店辅助表'!AU:AU)+M123)/2),"-")</f>
        <v>0.0126582278481013</v>
      </c>
      <c r="AH123" s="99">
        <f>IFERROR(AL123/((SUMIF('7店辅助表'!AW:AW,B:B,'7店辅助表'!AX:AX)+M123)/2),"-")</f>
        <v>0.0457142857142857</v>
      </c>
      <c r="AI123" s="100">
        <f>IFERROR((SUMIF('7店辅助表'!AP:AP,B:B,'7店辅助表'!AR:AR)-SUMIF('7店辅助表'!AP:AP,B:B,'7店辅助表'!AR:AR)*0.15-(L123+IFERROR(VLOOKUP(B:B,'7店辅助表'!AZ:BA,2,0),0))*O123-IF(AN:AN="US",6.85,4.9)*(Z123+4.27*O123))/SUMIF('7店辅助表'!AP:AP,B:B,'7店辅助表'!AR:AR),"-")</f>
        <v>0.296840073498424</v>
      </c>
      <c r="AJ123" s="100">
        <f t="shared" si="86"/>
        <v>0.0135698319313565</v>
      </c>
      <c r="AK123" s="101">
        <f t="shared" si="87"/>
        <v>13.9</v>
      </c>
      <c r="AL123" s="101">
        <f t="shared" si="88"/>
        <v>55.6</v>
      </c>
      <c r="AM123" s="1" t="str">
        <f>VLOOKUP(B:B,'7店辅助表'!AZ:AZ,1,FALSE)</f>
        <v>Y7039-BL+Y7040+Y7041</v>
      </c>
      <c r="AN123" t="str">
        <f>VLOOKUP(B:B,'7店辅助表'!AZ:BB,3,FALSE)</f>
        <v>US</v>
      </c>
    </row>
    <row r="124" customHeight="1" spans="1:40">
      <c r="A124" s="58" t="str">
        <f>INDEX('[1]7店'!$A:$A,MATCH(B:B,'[1]7店'!$B:$B,0))</f>
        <v>美珠</v>
      </c>
      <c r="B124" s="116" t="s">
        <v>2484</v>
      </c>
      <c r="C124" s="45" t="s">
        <v>2482</v>
      </c>
      <c r="D124" s="59">
        <f>VLOOKUP(B:B,'[1]7店'!$B:$L,3,0)</f>
        <v>45054</v>
      </c>
      <c r="E124" s="45" t="s">
        <v>2485</v>
      </c>
      <c r="F124" s="45">
        <v>16</v>
      </c>
      <c r="G124" s="45">
        <v>0</v>
      </c>
      <c r="H124" s="45">
        <v>11</v>
      </c>
      <c r="I124" s="45">
        <v>0</v>
      </c>
      <c r="J124" s="45">
        <v>0</v>
      </c>
      <c r="K124" s="63">
        <f t="shared" si="78"/>
        <v>27</v>
      </c>
      <c r="L124" s="132">
        <f>VLOOKUP($B:$B,'[1]7店'!$B:$L,11,FALSE)</f>
        <v>13.9</v>
      </c>
      <c r="M124" s="44">
        <f t="shared" si="77"/>
        <v>375.3</v>
      </c>
      <c r="N124" s="65">
        <f>IFERROR(VLOOKUP(B:B,'7店辅助表'!B:C,2,FALSE),0)</f>
        <v>0</v>
      </c>
      <c r="O124" s="65">
        <f>IFERROR(VLOOKUP(B:B,'7店辅助表'!E:F,2,FALSE),0)</f>
        <v>1</v>
      </c>
      <c r="P124" s="65">
        <f>IFERROR(VLOOKUP(B:B,'7店辅助表'!H:I,2,FALSE),0)</f>
        <v>3</v>
      </c>
      <c r="Q124" s="65">
        <f>IFERROR(VLOOKUP(B:B,'[1]7店'!$B:$N,13,FALSE),0)</f>
        <v>0</v>
      </c>
      <c r="R124" s="79">
        <f t="shared" si="79"/>
        <v>0</v>
      </c>
      <c r="S124" s="80">
        <f t="shared" si="80"/>
        <v>486</v>
      </c>
      <c r="T124" s="44">
        <f t="shared" si="81"/>
        <v>16.2</v>
      </c>
      <c r="U124" s="44">
        <f>IFERROR(VLOOKUP($B:$B,'[1]7店'!$B:$T,19,FALSE),0)</f>
        <v>10.125</v>
      </c>
      <c r="V124" s="81">
        <f t="shared" si="82"/>
        <v>6.075</v>
      </c>
      <c r="W124" s="82" t="str">
        <f t="shared" si="83"/>
        <v>有库存无销量</v>
      </c>
      <c r="X124" s="83" t="str">
        <f t="shared" si="84"/>
        <v>库存过高</v>
      </c>
      <c r="Y124" s="44">
        <f>IFERROR(SUMIF('7店辅助表'!K:K,B:B,'7店辅助表'!N:N),0)</f>
        <v>1.08</v>
      </c>
      <c r="Z124" s="44">
        <f>IFERROR(SUMIF('7店辅助表'!T:T,B:B,'7店辅助表'!W:W),0)</f>
        <v>3.21</v>
      </c>
      <c r="AA124" s="44">
        <f>IFERROR(SUMIF('7店辅助表'!AC:AC,B:B,'7店辅助表'!AF:AF),0)</f>
        <v>5.22</v>
      </c>
      <c r="AB124" s="91" t="str">
        <f>IFERROR(SUMIF('7店辅助表'!K:K,B:B,'7店辅助表'!N:N)/SUMIF('7店辅助表'!K:K,B:B,'7店辅助表'!O:O),"-")</f>
        <v>-</v>
      </c>
      <c r="AC124" s="91" t="str">
        <f>IFERROR(VLOOKUP(B:B,'[1]7店'!$B:$AB,27,FALSE),"-")</f>
        <v>-</v>
      </c>
      <c r="AD124" s="92" t="str">
        <f t="shared" si="85"/>
        <v>-</v>
      </c>
      <c r="AE124" s="91">
        <f>IFERROR(SUMIF('7店辅助表'!T:T,B:B,'7店辅助表'!W:W)/SUMIF('7店辅助表'!T:T,B:B,'7店辅助表'!X:X),"-")</f>
        <v>0.247113163972286</v>
      </c>
      <c r="AF124" s="91">
        <f>IFERROR(SUMIF('7店辅助表'!AC:AC,B:B,'7店辅助表'!AF:AF)/SUMIF('7店辅助表'!AC:AC,B:B,'7店辅助表'!AG:AG),"-")</f>
        <v>0.133949191685912</v>
      </c>
      <c r="AG124" s="99">
        <f>IFERROR(AK124/((SUMIF('7店辅助表'!AT:AT,B:B,'7店辅助表'!AU:AU)+M124)/2),"-")</f>
        <v>0</v>
      </c>
      <c r="AH124" s="99">
        <f>IFERROR(AL124/((SUMIF('7店辅助表'!AW:AW,B:B,'7店辅助表'!AX:AX)+M124)/2),"-")</f>
        <v>0.0476190476190476</v>
      </c>
      <c r="AI124" s="100">
        <f>IFERROR((SUMIF('7店辅助表'!AP:AP,B:B,'7店辅助表'!AR:AR)-SUMIF('7店辅助表'!AP:AP,B:B,'7店辅助表'!AR:AR)*0.15-(L124+IFERROR(VLOOKUP(B:B,'7店辅助表'!AZ:BA,2,0),0))*O124-IF(AN:AN="US",6.85,4.9)*(Z124+4.27*O124))/SUMIF('7店辅助表'!AP:AP,B:B,'7店辅助表'!AR:AR),"-")</f>
        <v>0.0680509431735811</v>
      </c>
      <c r="AJ124" s="100">
        <f t="shared" si="86"/>
        <v>0.00324052110350386</v>
      </c>
      <c r="AK124" s="101">
        <f t="shared" si="87"/>
        <v>0</v>
      </c>
      <c r="AL124" s="101">
        <f t="shared" si="88"/>
        <v>13.9</v>
      </c>
      <c r="AM124" s="1" t="str">
        <f>VLOOKUP(B:B,'7店辅助表'!AZ:AZ,1,FALSE)</f>
        <v>Y7039-BU+Y7040+Y7041</v>
      </c>
      <c r="AN124" t="str">
        <f>VLOOKUP(B:B,'7店辅助表'!AZ:BB,3,FALSE)</f>
        <v>US</v>
      </c>
    </row>
    <row r="125" customHeight="1" spans="1:40">
      <c r="A125" s="58" t="str">
        <f>INDEX('[1]7店'!$A:$A,MATCH(B:B,'[1]7店'!$B:$B,0))</f>
        <v>美珠</v>
      </c>
      <c r="B125" s="116" t="s">
        <v>2486</v>
      </c>
      <c r="C125" s="45" t="s">
        <v>2487</v>
      </c>
      <c r="D125" s="59">
        <f>VLOOKUP(B:B,'[1]7店'!$B:$L,3,0)</f>
        <v>45054</v>
      </c>
      <c r="E125" s="45" t="s">
        <v>2488</v>
      </c>
      <c r="F125" s="45">
        <v>26</v>
      </c>
      <c r="G125" s="45">
        <v>0</v>
      </c>
      <c r="H125" s="45">
        <v>0</v>
      </c>
      <c r="I125" s="45">
        <v>0</v>
      </c>
      <c r="J125" s="45">
        <v>0</v>
      </c>
      <c r="K125" s="63">
        <f t="shared" si="78"/>
        <v>26</v>
      </c>
      <c r="L125" s="132">
        <f>VLOOKUP($B:$B,'[1]7店'!$B:$L,11,FALSE)</f>
        <v>13.9</v>
      </c>
      <c r="M125" s="44">
        <f t="shared" si="77"/>
        <v>361.4</v>
      </c>
      <c r="N125" s="65">
        <f>IFERROR(VLOOKUP(B:B,'7店辅助表'!B:C,2,FALSE),0)</f>
        <v>0</v>
      </c>
      <c r="O125" s="65">
        <f>IFERROR(VLOOKUP(B:B,'7店辅助表'!E:F,2,FALSE),0)</f>
        <v>0</v>
      </c>
      <c r="P125" s="65">
        <f>IFERROR(VLOOKUP(B:B,'7店辅助表'!H:I,2,FALSE),0)</f>
        <v>2</v>
      </c>
      <c r="Q125" s="65">
        <f>IFERROR(VLOOKUP(B:B,'[1]7店'!$B:$N,13,FALSE),0)</f>
        <v>0</v>
      </c>
      <c r="R125" s="79">
        <f t="shared" si="79"/>
        <v>0</v>
      </c>
      <c r="S125" s="80">
        <f t="shared" si="80"/>
        <v>1170</v>
      </c>
      <c r="T125" s="44">
        <f t="shared" si="81"/>
        <v>39</v>
      </c>
      <c r="U125" s="44">
        <f>IFERROR(VLOOKUP($B:$B,'[1]7店'!$B:$T,19,FALSE),0)</f>
        <v>11.1428571428571</v>
      </c>
      <c r="V125" s="81">
        <f t="shared" si="82"/>
        <v>27.8571428571429</v>
      </c>
      <c r="W125" s="82" t="str">
        <f t="shared" si="83"/>
        <v>有库存无销量</v>
      </c>
      <c r="X125" s="83" t="str">
        <f t="shared" si="84"/>
        <v>库存过高</v>
      </c>
      <c r="Y125" s="44">
        <f>IFERROR(SUMIF('7店辅助表'!K:K,B:B,'7店辅助表'!N:N),0)</f>
        <v>0</v>
      </c>
      <c r="Z125" s="44">
        <f>IFERROR(SUMIF('7店辅助表'!T:T,B:B,'7店辅助表'!W:W),0)</f>
        <v>0</v>
      </c>
      <c r="AA125" s="44">
        <f>IFERROR(SUMIF('7店辅助表'!AC:AC,B:B,'7店辅助表'!AF:AF),0)</f>
        <v>0</v>
      </c>
      <c r="AB125" s="91" t="str">
        <f>IFERROR(SUMIF('7店辅助表'!K:K,B:B,'7店辅助表'!N:N)/SUMIF('7店辅助表'!K:K,B:B,'7店辅助表'!O:O),"-")</f>
        <v>-</v>
      </c>
      <c r="AC125" s="91" t="str">
        <f>IFERROR(VLOOKUP(B:B,'[1]7店'!$B:$AB,27,FALSE),"-")</f>
        <v>-</v>
      </c>
      <c r="AD125" s="92" t="str">
        <f t="shared" si="85"/>
        <v>-</v>
      </c>
      <c r="AE125" s="91" t="str">
        <f>IFERROR(SUMIF('7店辅助表'!T:T,B:B,'7店辅助表'!W:W)/SUMIF('7店辅助表'!T:T,B:B,'7店辅助表'!X:X),"-")</f>
        <v>-</v>
      </c>
      <c r="AF125" s="91" t="str">
        <f>IFERROR(SUMIF('7店辅助表'!AC:AC,B:B,'7店辅助表'!AF:AF)/SUMIF('7店辅助表'!AC:AC,B:B,'7店辅助表'!AG:AG),"-")</f>
        <v>-</v>
      </c>
      <c r="AG125" s="99">
        <f>IFERROR(AK125/((SUMIF('7店辅助表'!AT:AT,B:B,'7店辅助表'!AU:AU)+M125)/2),"-")</f>
        <v>0</v>
      </c>
      <c r="AH125" s="99">
        <f>IFERROR(AL125/((SUMIF('7店辅助表'!AW:AW,B:B,'7店辅助表'!AX:AX)+M125)/2),"-")</f>
        <v>0</v>
      </c>
      <c r="AI125" s="100" t="str">
        <f>IFERROR((SUMIF('7店辅助表'!AP:AP,B:B,'7店辅助表'!AR:AR)-SUMIF('7店辅助表'!AP:AP,B:B,'7店辅助表'!AR:AR)*0.15-(L125+IFERROR(VLOOKUP(B:B,'7店辅助表'!AZ:BA,2,0),0))*O125-IF(AN:AN="US",6.85,4.9)*(Z125+4.27*O125))/SUMIF('7店辅助表'!AP:AP,B:B,'7店辅助表'!AR:AR),"-")</f>
        <v>-</v>
      </c>
      <c r="AJ125" s="100" t="str">
        <f t="shared" si="86"/>
        <v>-</v>
      </c>
      <c r="AK125" s="101">
        <f t="shared" si="87"/>
        <v>0</v>
      </c>
      <c r="AL125" s="101">
        <f t="shared" si="88"/>
        <v>0</v>
      </c>
      <c r="AM125" s="1" t="str">
        <f>VLOOKUP(B:B,'7店辅助表'!AZ:AZ,1,FALSE)</f>
        <v>Y7039-DB+Y7040+Y7041</v>
      </c>
      <c r="AN125" t="str">
        <f>VLOOKUP(B:B,'7店辅助表'!AZ:BB,3,FALSE)</f>
        <v>US</v>
      </c>
    </row>
    <row r="126" customHeight="1" spans="1:40">
      <c r="A126" s="58" t="str">
        <f>INDEX('[1]7店'!$A:$A,MATCH(B:B,'[1]7店'!$B:$B,0))</f>
        <v>美珠</v>
      </c>
      <c r="B126" s="116" t="s">
        <v>2489</v>
      </c>
      <c r="C126" s="45" t="s">
        <v>2482</v>
      </c>
      <c r="D126" s="59">
        <f>VLOOKUP(B:B,'[1]7店'!$B:$L,3,0)</f>
        <v>45054</v>
      </c>
      <c r="E126" s="45" t="s">
        <v>2490</v>
      </c>
      <c r="F126" s="45">
        <v>21</v>
      </c>
      <c r="G126" s="45">
        <v>0</v>
      </c>
      <c r="H126" s="45">
        <v>0</v>
      </c>
      <c r="I126" s="45">
        <v>0</v>
      </c>
      <c r="J126" s="45">
        <v>0</v>
      </c>
      <c r="K126" s="63">
        <f t="shared" si="78"/>
        <v>21</v>
      </c>
      <c r="L126" s="132">
        <f>VLOOKUP($B:$B,'[1]7店'!$B:$L,11,FALSE)</f>
        <v>13.9</v>
      </c>
      <c r="M126" s="44">
        <f t="shared" si="77"/>
        <v>291.9</v>
      </c>
      <c r="N126" s="65">
        <f>IFERROR(VLOOKUP(B:B,'7店辅助表'!B:C,2,FALSE),0)</f>
        <v>1</v>
      </c>
      <c r="O126" s="65">
        <f>IFERROR(VLOOKUP(B:B,'7店辅助表'!E:F,2,FALSE),0)</f>
        <v>6</v>
      </c>
      <c r="P126" s="65">
        <f>IFERROR(VLOOKUP(B:B,'7店辅助表'!H:I,2,FALSE),0)</f>
        <v>11</v>
      </c>
      <c r="Q126" s="65">
        <f>IFERROR(VLOOKUP(B:B,'[1]7店'!$B:$N,13,FALSE),0)</f>
        <v>5</v>
      </c>
      <c r="R126" s="79">
        <f t="shared" si="79"/>
        <v>-4</v>
      </c>
      <c r="S126" s="80">
        <f t="shared" si="80"/>
        <v>69.2670157068063</v>
      </c>
      <c r="T126" s="44">
        <f t="shared" si="81"/>
        <v>2.30890052356021</v>
      </c>
      <c r="U126" s="44">
        <f>IFERROR(VLOOKUP($B:$B,'[1]7店'!$B:$T,19,FALSE),0)</f>
        <v>1.33526011560694</v>
      </c>
      <c r="V126" s="81">
        <f t="shared" si="82"/>
        <v>0.97364040795327</v>
      </c>
      <c r="W126" s="82" t="str">
        <f t="shared" si="83"/>
        <v>库存过高</v>
      </c>
      <c r="X126" s="83" t="str">
        <f t="shared" si="84"/>
        <v>库存过高</v>
      </c>
      <c r="Y126" s="44">
        <f>IFERROR(SUMIF('7店辅助表'!K:K,B:B,'7店辅助表'!N:N),0)</f>
        <v>0</v>
      </c>
      <c r="Z126" s="44">
        <f>IFERROR(SUMIF('7店辅助表'!T:T,B:B,'7店辅助表'!W:W),0)</f>
        <v>5.49</v>
      </c>
      <c r="AA126" s="44">
        <f>IFERROR(SUMIF('7店辅助表'!AC:AC,B:B,'7店辅助表'!AF:AF),0)</f>
        <v>23.51</v>
      </c>
      <c r="AB126" s="91" t="str">
        <f>IFERROR(SUMIF('7店辅助表'!K:K,B:B,'7店辅助表'!N:N)/SUMIF('7店辅助表'!K:K,B:B,'7店辅助表'!O:O),"-")</f>
        <v>-</v>
      </c>
      <c r="AC126" s="91" t="str">
        <f>IFERROR(VLOOKUP(B:B,'[1]7店'!$B:$AB,27,FALSE),"-")</f>
        <v>-</v>
      </c>
      <c r="AD126" s="92" t="str">
        <f t="shared" si="85"/>
        <v>-</v>
      </c>
      <c r="AE126" s="91" t="str">
        <f>IFERROR(SUMIF('7店辅助表'!T:T,B:B,'7店辅助表'!W:W)/SUMIF('7店辅助表'!T:T,B:B,'7店辅助表'!X:X),"-")</f>
        <v>-</v>
      </c>
      <c r="AF126" s="91">
        <f>IFERROR(SUMIF('7店辅助表'!AC:AC,B:B,'7店辅助表'!AF:AF)/SUMIF('7店辅助表'!AC:AC,B:B,'7店辅助表'!AG:AG),"-")</f>
        <v>0.365686731995645</v>
      </c>
      <c r="AG126" s="99">
        <f>IFERROR(AK126/((SUMIF('7店辅助表'!AT:AT,B:B,'7店辅助表'!AU:AU)+M126)/2),"-")</f>
        <v>0.0465116279069767</v>
      </c>
      <c r="AH126" s="99">
        <f>IFERROR(AL126/((SUMIF('7店辅助表'!AW:AW,B:B,'7店辅助表'!AX:AX)+M126)/2),"-")</f>
        <v>0.226415094339623</v>
      </c>
      <c r="AI126" s="100">
        <f>IFERROR((SUMIF('7店辅助表'!AP:AP,B:B,'7店辅助表'!AR:AR)-SUMIF('7店辅助表'!AP:AP,B:B,'7店辅助表'!AR:AR)*0.15-(L126+IFERROR(VLOOKUP(B:B,'7店辅助表'!AZ:BA,2,0),0))*O126-IF(AN:AN="US",6.85,4.9)*(Z126+4.27*O126))/SUMIF('7店辅助表'!AP:AP,B:B,'7店辅助表'!AR:AR),"-")</f>
        <v>0.252198771654782</v>
      </c>
      <c r="AJ126" s="100">
        <f t="shared" si="86"/>
        <v>0.0571016086765544</v>
      </c>
      <c r="AK126" s="101">
        <f t="shared" si="87"/>
        <v>13.9</v>
      </c>
      <c r="AL126" s="101">
        <f t="shared" si="88"/>
        <v>83.4</v>
      </c>
      <c r="AM126" s="1" t="str">
        <f>VLOOKUP(B:B,'7店辅助表'!AZ:AZ,1,FALSE)</f>
        <v>Y7039-OR+Y7040+Y7041</v>
      </c>
      <c r="AN126" t="str">
        <f>VLOOKUP(B:B,'7店辅助表'!AZ:BB,3,FALSE)</f>
        <v>US</v>
      </c>
    </row>
    <row r="127" customHeight="1" spans="1:40">
      <c r="A127" s="58" t="str">
        <f>INDEX('[1]7店'!$A:$A,MATCH(B:B,'[1]7店'!$B:$B,0))</f>
        <v>美珠</v>
      </c>
      <c r="B127" s="116" t="s">
        <v>2491</v>
      </c>
      <c r="C127" s="45" t="s">
        <v>2492</v>
      </c>
      <c r="D127" s="59">
        <f>VLOOKUP(B:B,'[1]7店'!$B:$L,3,0)</f>
        <v>45048</v>
      </c>
      <c r="E127" s="45" t="s">
        <v>2493</v>
      </c>
      <c r="F127" s="45">
        <v>8</v>
      </c>
      <c r="G127" s="45">
        <v>0</v>
      </c>
      <c r="H127" s="45">
        <v>2</v>
      </c>
      <c r="I127" s="45">
        <v>0</v>
      </c>
      <c r="J127" s="45">
        <v>0</v>
      </c>
      <c r="K127" s="63">
        <f t="shared" si="78"/>
        <v>10</v>
      </c>
      <c r="L127" s="132">
        <f>VLOOKUP($B:$B,'[1]7店'!$B:$L,11,FALSE)</f>
        <v>13.9</v>
      </c>
      <c r="M127" s="44">
        <f t="shared" si="77"/>
        <v>139</v>
      </c>
      <c r="N127" s="65">
        <f>IFERROR(VLOOKUP(B:B,'7店辅助表'!B:C,2,FALSE),0)</f>
        <v>0</v>
      </c>
      <c r="O127" s="65">
        <f>IFERROR(VLOOKUP(B:B,'7店辅助表'!E:F,2,FALSE),0)</f>
        <v>0</v>
      </c>
      <c r="P127" s="65">
        <f>IFERROR(VLOOKUP(B:B,'7店辅助表'!H:I,2,FALSE),0)</f>
        <v>1</v>
      </c>
      <c r="Q127" s="65">
        <f>IFERROR(VLOOKUP(B:B,'[1]7店'!$B:$N,13,FALSE),0)</f>
        <v>0</v>
      </c>
      <c r="R127" s="79">
        <f t="shared" si="79"/>
        <v>0</v>
      </c>
      <c r="S127" s="80">
        <f t="shared" si="80"/>
        <v>900</v>
      </c>
      <c r="T127" s="44">
        <f t="shared" si="81"/>
        <v>30</v>
      </c>
      <c r="U127" s="44">
        <f>IFERROR(VLOOKUP($B:$B,'[1]7店'!$B:$T,19,FALSE),0)</f>
        <v>30</v>
      </c>
      <c r="V127" s="81">
        <f t="shared" si="82"/>
        <v>0</v>
      </c>
      <c r="W127" s="82" t="str">
        <f t="shared" si="83"/>
        <v>有库存无销量</v>
      </c>
      <c r="X127" s="83" t="str">
        <f t="shared" si="84"/>
        <v>库存过高</v>
      </c>
      <c r="Y127" s="44">
        <f>IFERROR(SUMIF('7店辅助表'!K:K,B:B,'7店辅助表'!N:N),0)</f>
        <v>0.12</v>
      </c>
      <c r="Z127" s="44">
        <f>IFERROR(SUMIF('7店辅助表'!T:T,B:B,'7店辅助表'!W:W),0)</f>
        <v>0.12</v>
      </c>
      <c r="AA127" s="44">
        <f>IFERROR(SUMIF('7店辅助表'!AC:AC,B:B,'7店辅助表'!AF:AF),0)</f>
        <v>0.12</v>
      </c>
      <c r="AB127" s="91" t="str">
        <f>IFERROR(SUMIF('7店辅助表'!K:K,B:B,'7店辅助表'!N:N)/SUMIF('7店辅助表'!K:K,B:B,'7店辅助表'!O:O),"-")</f>
        <v>-</v>
      </c>
      <c r="AC127" s="91" t="str">
        <f>IFERROR(VLOOKUP(B:B,'[1]7店'!$B:$AB,27,FALSE),"-")</f>
        <v>-</v>
      </c>
      <c r="AD127" s="92" t="str">
        <f t="shared" si="85"/>
        <v>-</v>
      </c>
      <c r="AE127" s="91" t="str">
        <f>IFERROR(SUMIF('7店辅助表'!T:T,B:B,'7店辅助表'!W:W)/SUMIF('7店辅助表'!T:T,B:B,'7店辅助表'!X:X),"-")</f>
        <v>-</v>
      </c>
      <c r="AF127" s="91" t="str">
        <f>IFERROR(SUMIF('7店辅助表'!AC:AC,B:B,'7店辅助表'!AF:AF)/SUMIF('7店辅助表'!AC:AC,B:B,'7店辅助表'!AG:AG),"-")</f>
        <v>-</v>
      </c>
      <c r="AG127" s="99">
        <f>IFERROR(AK127/((SUMIF('7店辅助表'!AT:AT,B:B,'7店辅助表'!AU:AU)+M127)/2),"-")</f>
        <v>0</v>
      </c>
      <c r="AH127" s="99">
        <f>IFERROR(AL127/((SUMIF('7店辅助表'!AW:AW,B:B,'7店辅助表'!AX:AX)+M127)/2),"-")</f>
        <v>0</v>
      </c>
      <c r="AI127" s="100" t="str">
        <f>IFERROR((SUMIF('7店辅助表'!AP:AP,B:B,'7店辅助表'!AR:AR)-SUMIF('7店辅助表'!AP:AP,B:B,'7店辅助表'!AR:AR)*0.15-(L127+IFERROR(VLOOKUP(B:B,'7店辅助表'!AZ:BA,2,0),0))*O127-IF(AN:AN="US",6.85,4.9)*(Z127+4.27*O127))/SUMIF('7店辅助表'!AP:AP,B:B,'7店辅助表'!AR:AR),"-")</f>
        <v>-</v>
      </c>
      <c r="AJ127" s="100" t="str">
        <f t="shared" si="86"/>
        <v>-</v>
      </c>
      <c r="AK127" s="101">
        <f t="shared" si="87"/>
        <v>0</v>
      </c>
      <c r="AL127" s="101">
        <f t="shared" si="88"/>
        <v>0</v>
      </c>
      <c r="AM127" s="1" t="str">
        <f>VLOOKUP(B:B,'7店辅助表'!AZ:AZ,1,FALSE)</f>
        <v>Y73153-BL-ZH</v>
      </c>
      <c r="AN127" t="str">
        <f>VLOOKUP(B:B,'7店辅助表'!AZ:BB,3,FALSE)</f>
        <v>US</v>
      </c>
    </row>
    <row r="128" customHeight="1" spans="1:40">
      <c r="A128" s="58" t="str">
        <f>INDEX('[1]7店'!$A:$A,MATCH(B:B,'[1]7店'!$B:$B,0))</f>
        <v>美珠</v>
      </c>
      <c r="B128" s="116" t="s">
        <v>2494</v>
      </c>
      <c r="C128" s="45" t="s">
        <v>2495</v>
      </c>
      <c r="D128" s="59">
        <f>VLOOKUP(B:B,'[1]7店'!$B:$L,3,0)</f>
        <v>45062</v>
      </c>
      <c r="E128" s="45" t="s">
        <v>2496</v>
      </c>
      <c r="F128" s="45">
        <v>3</v>
      </c>
      <c r="G128" s="45">
        <v>1</v>
      </c>
      <c r="H128" s="45">
        <v>0</v>
      </c>
      <c r="I128" s="45">
        <v>0</v>
      </c>
      <c r="J128" s="45">
        <v>0</v>
      </c>
      <c r="K128" s="63">
        <f t="shared" si="78"/>
        <v>4</v>
      </c>
      <c r="L128" s="132">
        <f>VLOOKUP($B:$B,'[1]7店'!$B:$L,11,FALSE)</f>
        <v>13.9</v>
      </c>
      <c r="M128" s="44">
        <f t="shared" si="77"/>
        <v>55.6</v>
      </c>
      <c r="N128" s="65">
        <f>IFERROR(VLOOKUP(B:B,'7店辅助表'!B:C,2,FALSE),0)</f>
        <v>0</v>
      </c>
      <c r="O128" s="65">
        <f>IFERROR(VLOOKUP(B:B,'7店辅助表'!E:F,2,FALSE),0)</f>
        <v>0</v>
      </c>
      <c r="P128" s="65">
        <f>IFERROR(VLOOKUP(B:B,'7店辅助表'!H:I,2,FALSE),0)</f>
        <v>3</v>
      </c>
      <c r="Q128" s="65">
        <f>IFERROR(VLOOKUP(B:B,'[1]7店'!$B:$N,13,FALSE),0)</f>
        <v>0</v>
      </c>
      <c r="R128" s="79">
        <f t="shared" si="79"/>
        <v>0</v>
      </c>
      <c r="S128" s="80">
        <f t="shared" si="80"/>
        <v>120</v>
      </c>
      <c r="T128" s="44">
        <f t="shared" si="81"/>
        <v>4</v>
      </c>
      <c r="U128" s="44">
        <f>IFERROR(VLOOKUP($B:$B,'[1]7店'!$B:$T,19,FALSE),0)</f>
        <v>1.8</v>
      </c>
      <c r="V128" s="81">
        <f t="shared" si="82"/>
        <v>2.2</v>
      </c>
      <c r="W128" s="82" t="str">
        <f t="shared" si="83"/>
        <v>有库存无销量</v>
      </c>
      <c r="X128" s="83" t="str">
        <f t="shared" si="84"/>
        <v>库存过高</v>
      </c>
      <c r="Y128" s="44">
        <f>IFERROR(SUMIF('7店辅助表'!K:K,B:B,'7店辅助表'!N:N),0)</f>
        <v>0</v>
      </c>
      <c r="Z128" s="44">
        <f>IFERROR(SUMIF('7店辅助表'!T:T,B:B,'7店辅助表'!W:W),0)</f>
        <v>0</v>
      </c>
      <c r="AA128" s="44">
        <f>IFERROR(SUMIF('7店辅助表'!AC:AC,B:B,'7店辅助表'!AF:AF),0)</f>
        <v>0</v>
      </c>
      <c r="AB128" s="91" t="str">
        <f>IFERROR(SUMIF('7店辅助表'!K:K,B:B,'7店辅助表'!N:N)/SUMIF('7店辅助表'!K:K,B:B,'7店辅助表'!O:O),"-")</f>
        <v>-</v>
      </c>
      <c r="AC128" s="91" t="str">
        <f>IFERROR(VLOOKUP(B:B,'[1]7店'!$B:$AB,27,FALSE),"-")</f>
        <v>-</v>
      </c>
      <c r="AD128" s="92" t="str">
        <f t="shared" si="85"/>
        <v>-</v>
      </c>
      <c r="AE128" s="91" t="str">
        <f>IFERROR(SUMIF('7店辅助表'!T:T,B:B,'7店辅助表'!W:W)/SUMIF('7店辅助表'!T:T,B:B,'7店辅助表'!X:X),"-")</f>
        <v>-</v>
      </c>
      <c r="AF128" s="91" t="str">
        <f>IFERROR(SUMIF('7店辅助表'!AC:AC,B:B,'7店辅助表'!AF:AF)/SUMIF('7店辅助表'!AC:AC,B:B,'7店辅助表'!AG:AG),"-")</f>
        <v>-</v>
      </c>
      <c r="AG128" s="99">
        <f>IFERROR(AK128/((SUMIF('7店辅助表'!AT:AT,B:B,'7店辅助表'!AU:AU)+M128)/2),"-")</f>
        <v>0</v>
      </c>
      <c r="AH128" s="99">
        <f>IFERROR(AL128/((SUMIF('7店辅助表'!AW:AW,B:B,'7店辅助表'!AX:AX)+M128)/2),"-")</f>
        <v>0</v>
      </c>
      <c r="AI128" s="100" t="str">
        <f>IFERROR((SUMIF('7店辅助表'!AP:AP,B:B,'7店辅助表'!AR:AR)-SUMIF('7店辅助表'!AP:AP,B:B,'7店辅助表'!AR:AR)*0.15-(L128+IFERROR(VLOOKUP(B:B,'7店辅助表'!AZ:BA,2,0),0))*O128-IF(AN:AN="US",6.85,4.9)*(Z128+4.27*O128))/SUMIF('7店辅助表'!AP:AP,B:B,'7店辅助表'!AR:AR),"-")</f>
        <v>-</v>
      </c>
      <c r="AJ128" s="100" t="str">
        <f t="shared" si="86"/>
        <v>-</v>
      </c>
      <c r="AK128" s="101">
        <f t="shared" si="87"/>
        <v>0</v>
      </c>
      <c r="AL128" s="101">
        <f t="shared" si="88"/>
        <v>0</v>
      </c>
      <c r="AM128" s="1" t="str">
        <f>VLOOKUP(B:B,'7店辅助表'!AZ:AZ,1,FALSE)</f>
        <v>Y72055-OR+Y72058+Y72741</v>
      </c>
      <c r="AN128" t="str">
        <f>VLOOKUP(B:B,'7店辅助表'!AZ:BB,3,FALSE)</f>
        <v>US</v>
      </c>
    </row>
    <row r="129" customHeight="1" spans="1:40">
      <c r="A129" s="58" t="str">
        <f>INDEX('[1]7店'!$A:$A,MATCH(B:B,'[1]7店'!$B:$B,0))</f>
        <v>美珠</v>
      </c>
      <c r="B129" s="116" t="s">
        <v>2497</v>
      </c>
      <c r="C129" s="45" t="s">
        <v>2498</v>
      </c>
      <c r="D129" s="59">
        <f>VLOOKUP(B:B,'[1]7店'!$B:$L,3,0)</f>
        <v>45078</v>
      </c>
      <c r="E129" s="45" t="s">
        <v>2351</v>
      </c>
      <c r="F129" s="45">
        <v>71</v>
      </c>
      <c r="G129" s="45">
        <v>0</v>
      </c>
      <c r="H129" s="45">
        <v>0</v>
      </c>
      <c r="I129" s="45">
        <v>0</v>
      </c>
      <c r="J129" s="45">
        <v>0</v>
      </c>
      <c r="K129" s="63">
        <f t="shared" si="78"/>
        <v>71</v>
      </c>
      <c r="L129" s="132">
        <f>VLOOKUP($B:$B,'[1]7店'!$B:$L,11,FALSE)</f>
        <v>13.9</v>
      </c>
      <c r="M129" s="44">
        <f t="shared" si="77"/>
        <v>986.9</v>
      </c>
      <c r="N129" s="65">
        <f>IFERROR(VLOOKUP(B:B,'7店辅助表'!B:C,2,FALSE),0)</f>
        <v>0</v>
      </c>
      <c r="O129" s="65">
        <f>IFERROR(VLOOKUP(B:B,'7店辅助表'!E:F,2,FALSE),0)</f>
        <v>0</v>
      </c>
      <c r="P129" s="65">
        <f>IFERROR(VLOOKUP(B:B,'7店辅助表'!H:I,2,FALSE),0)</f>
        <v>1</v>
      </c>
      <c r="Q129" s="65">
        <f>IFERROR(VLOOKUP(B:B,'[1]7店'!$B:$N,13,FALSE),0)</f>
        <v>0</v>
      </c>
      <c r="R129" s="79">
        <f t="shared" si="79"/>
        <v>0</v>
      </c>
      <c r="S129" s="80">
        <f t="shared" si="80"/>
        <v>6390</v>
      </c>
      <c r="T129" s="44">
        <f t="shared" si="81"/>
        <v>213</v>
      </c>
      <c r="U129" s="44">
        <f>IFERROR(VLOOKUP($B:$B,'[1]7店'!$B:$T,19,FALSE),0)</f>
        <v>71</v>
      </c>
      <c r="V129" s="81">
        <f t="shared" si="82"/>
        <v>142</v>
      </c>
      <c r="W129" s="82" t="str">
        <f t="shared" si="83"/>
        <v>有库存无销量</v>
      </c>
      <c r="X129" s="83" t="str">
        <f t="shared" si="84"/>
        <v>库存过高</v>
      </c>
      <c r="Y129" s="44">
        <f>IFERROR(SUMIF('7店辅助表'!K:K,B:B,'7店辅助表'!N:N),0)</f>
        <v>0</v>
      </c>
      <c r="Z129" s="44">
        <f>IFERROR(SUMIF('7店辅助表'!T:T,B:B,'7店辅助表'!W:W),0)</f>
        <v>0.2</v>
      </c>
      <c r="AA129" s="44">
        <f>IFERROR(SUMIF('7店辅助表'!AC:AC,B:B,'7店辅助表'!AF:AF),0)</f>
        <v>1.48</v>
      </c>
      <c r="AB129" s="91" t="str">
        <f>IFERROR(SUMIF('7店辅助表'!K:K,B:B,'7店辅助表'!N:N)/SUMIF('7店辅助表'!K:K,B:B,'7店辅助表'!O:O),"-")</f>
        <v>-</v>
      </c>
      <c r="AC129" s="91" t="str">
        <f>IFERROR(VLOOKUP(B:B,'[1]7店'!$B:$AB,27,FALSE),"-")</f>
        <v>-</v>
      </c>
      <c r="AD129" s="92" t="str">
        <f t="shared" si="85"/>
        <v>-</v>
      </c>
      <c r="AE129" s="91" t="str">
        <f>IFERROR(SUMIF('7店辅助表'!T:T,B:B,'7店辅助表'!W:W)/SUMIF('7店辅助表'!T:T,B:B,'7店辅助表'!X:X),"-")</f>
        <v>-</v>
      </c>
      <c r="AF129" s="91" t="str">
        <f>IFERROR(SUMIF('7店辅助表'!AC:AC,B:B,'7店辅助表'!AF:AF)/SUMIF('7店辅助表'!AC:AC,B:B,'7店辅助表'!AG:AG),"-")</f>
        <v>-</v>
      </c>
      <c r="AG129" s="99">
        <f>IFERROR(AK129/((SUMIF('7店辅助表'!AT:AT,B:B,'7店辅助表'!AU:AU)+M129)/2),"-")</f>
        <v>0</v>
      </c>
      <c r="AH129" s="99">
        <f>IFERROR(AL129/((SUMIF('7店辅助表'!AW:AW,B:B,'7店辅助表'!AX:AX)+M129)/2),"-")</f>
        <v>0</v>
      </c>
      <c r="AI129" s="100" t="str">
        <f>IFERROR((SUMIF('7店辅助表'!AP:AP,B:B,'7店辅助表'!AR:AR)-SUMIF('7店辅助表'!AP:AP,B:B,'7店辅助表'!AR:AR)*0.15-(L129+IFERROR(VLOOKUP(B:B,'7店辅助表'!AZ:BA,2,0),0))*O129-IF(AN:AN="US",6.85,4.9)*(Z129+4.27*O129))/SUMIF('7店辅助表'!AP:AP,B:B,'7店辅助表'!AR:AR),"-")</f>
        <v>-</v>
      </c>
      <c r="AJ129" s="100" t="str">
        <f t="shared" si="86"/>
        <v>-</v>
      </c>
      <c r="AK129" s="101">
        <f t="shared" si="87"/>
        <v>0</v>
      </c>
      <c r="AL129" s="101">
        <f t="shared" si="88"/>
        <v>0</v>
      </c>
      <c r="AM129" s="1" t="str">
        <f>VLOOKUP(B:B,'7店辅助表'!AZ:AZ,1,FALSE)</f>
        <v>Y7042-BL+Y7043+Y7044</v>
      </c>
      <c r="AN129" t="str">
        <f>VLOOKUP(B:B,'7店辅助表'!AZ:BB,3,FALSE)</f>
        <v>CA</v>
      </c>
    </row>
    <row r="130" customHeight="1" spans="1:40">
      <c r="A130" s="58" t="str">
        <f>INDEX('[1]7店'!$A:$A,MATCH(B:B,'[1]7店'!$B:$B,0))</f>
        <v>美珠</v>
      </c>
      <c r="B130" s="116" t="s">
        <v>2499</v>
      </c>
      <c r="C130" s="45" t="s">
        <v>2498</v>
      </c>
      <c r="D130" s="59">
        <f>VLOOKUP(B:B,'[1]7店'!$B:$L,3,0)</f>
        <v>45078</v>
      </c>
      <c r="E130" s="45" t="s">
        <v>2354</v>
      </c>
      <c r="F130" s="45">
        <v>50</v>
      </c>
      <c r="G130" s="45">
        <v>0</v>
      </c>
      <c r="H130" s="45">
        <v>0</v>
      </c>
      <c r="I130" s="45">
        <v>0</v>
      </c>
      <c r="J130" s="45">
        <v>0</v>
      </c>
      <c r="K130" s="63">
        <f t="shared" si="78"/>
        <v>50</v>
      </c>
      <c r="L130" s="132">
        <f>VLOOKUP($B:$B,'[1]7店'!$B:$L,11,FALSE)</f>
        <v>13.9</v>
      </c>
      <c r="M130" s="44">
        <f t="shared" si="77"/>
        <v>695</v>
      </c>
      <c r="N130" s="65">
        <f>IFERROR(VLOOKUP(B:B,'7店辅助表'!B:C,2,FALSE),0)</f>
        <v>0</v>
      </c>
      <c r="O130" s="65">
        <f>IFERROR(VLOOKUP(B:B,'7店辅助表'!E:F,2,FALSE),0)</f>
        <v>0</v>
      </c>
      <c r="P130" s="65">
        <f>IFERROR(VLOOKUP(B:B,'7店辅助表'!H:I,2,FALSE),0)</f>
        <v>0</v>
      </c>
      <c r="Q130" s="65">
        <f>IFERROR(VLOOKUP(B:B,'[1]7店'!$B:$N,13,FALSE),0)</f>
        <v>0</v>
      </c>
      <c r="R130" s="79">
        <f t="shared" si="79"/>
        <v>0</v>
      </c>
      <c r="S130" s="80" t="str">
        <f t="shared" si="80"/>
        <v>-</v>
      </c>
      <c r="T130" s="44" t="str">
        <f t="shared" si="81"/>
        <v>-</v>
      </c>
      <c r="U130" s="44" t="str">
        <f>IFERROR(VLOOKUP($B:$B,'[1]7店'!$B:$T,19,FALSE),0)</f>
        <v>-</v>
      </c>
      <c r="V130" s="81" t="str">
        <f t="shared" si="82"/>
        <v>-</v>
      </c>
      <c r="W130" s="82" t="str">
        <f t="shared" si="83"/>
        <v>有库存无销量</v>
      </c>
      <c r="X130" s="83" t="str">
        <f t="shared" si="84"/>
        <v>有库存无销量</v>
      </c>
      <c r="Y130" s="44">
        <f>IFERROR(SUMIF('7店辅助表'!K:K,B:B,'7店辅助表'!N:N),0)</f>
        <v>0.9</v>
      </c>
      <c r="Z130" s="44">
        <f>IFERROR(SUMIF('7店辅助表'!T:T,B:B,'7店辅助表'!W:W),0)</f>
        <v>1.79</v>
      </c>
      <c r="AA130" s="44">
        <f>IFERROR(SUMIF('7店辅助表'!AC:AC,B:B,'7店辅助表'!AF:AF),0)</f>
        <v>3.14</v>
      </c>
      <c r="AB130" s="91" t="str">
        <f>IFERROR(SUMIF('7店辅助表'!K:K,B:B,'7店辅助表'!N:N)/SUMIF('7店辅助表'!K:K,B:B,'7店辅助表'!O:O),"-")</f>
        <v>-</v>
      </c>
      <c r="AC130" s="91" t="str">
        <f>IFERROR(VLOOKUP(B:B,'[1]7店'!$B:$AB,27,FALSE),"-")</f>
        <v>-</v>
      </c>
      <c r="AD130" s="92" t="str">
        <f t="shared" si="85"/>
        <v>-</v>
      </c>
      <c r="AE130" s="91" t="str">
        <f>IFERROR(SUMIF('7店辅助表'!T:T,B:B,'7店辅助表'!W:W)/SUMIF('7店辅助表'!T:T,B:B,'7店辅助表'!X:X),"-")</f>
        <v>-</v>
      </c>
      <c r="AF130" s="91" t="str">
        <f>IFERROR(SUMIF('7店辅助表'!AC:AC,B:B,'7店辅助表'!AF:AF)/SUMIF('7店辅助表'!AC:AC,B:B,'7店辅助表'!AG:AG),"-")</f>
        <v>-</v>
      </c>
      <c r="AG130" s="99">
        <f>IFERROR(AK130/((SUMIF('7店辅助表'!AT:AT,B:B,'7店辅助表'!AU:AU)+M130)/2),"-")</f>
        <v>0</v>
      </c>
      <c r="AH130" s="99">
        <f>IFERROR(AL130/((SUMIF('7店辅助表'!AW:AW,B:B,'7店辅助表'!AX:AX)+M130)/2),"-")</f>
        <v>0</v>
      </c>
      <c r="AI130" s="100" t="str">
        <f>IFERROR((SUMIF('7店辅助表'!AP:AP,B:B,'7店辅助表'!AR:AR)-SUMIF('7店辅助表'!AP:AP,B:B,'7店辅助表'!AR:AR)*0.15-(L130+IFERROR(VLOOKUP(B:B,'7店辅助表'!AZ:BA,2,0),0))*O130-IF(AN:AN="US",6.85,4.9)*(Z130+4.27*O130))/SUMIF('7店辅助表'!AP:AP,B:B,'7店辅助表'!AR:AR),"-")</f>
        <v>-</v>
      </c>
      <c r="AJ130" s="100" t="str">
        <f t="shared" si="86"/>
        <v>-</v>
      </c>
      <c r="AK130" s="101">
        <f t="shared" si="87"/>
        <v>0</v>
      </c>
      <c r="AL130" s="101">
        <f t="shared" si="88"/>
        <v>0</v>
      </c>
      <c r="AM130" s="1" t="str">
        <f>VLOOKUP(B:B,'7店辅助表'!AZ:AZ,1,FALSE)</f>
        <v>Y7042-BU+Y7043+Y7044</v>
      </c>
      <c r="AN130" t="str">
        <f>VLOOKUP(B:B,'7店辅助表'!AZ:BB,3,FALSE)</f>
        <v>CA</v>
      </c>
    </row>
    <row r="131" customHeight="1" spans="1:40">
      <c r="A131" s="58" t="str">
        <f>INDEX('[1]7店'!$A:$A,MATCH(B:B,'[1]7店'!$B:$B,0))</f>
        <v>美珠</v>
      </c>
      <c r="B131" s="116" t="s">
        <v>2500</v>
      </c>
      <c r="C131" s="45" t="s">
        <v>2498</v>
      </c>
      <c r="D131" s="59">
        <f>VLOOKUP(B:B,'[1]7店'!$B:$L,3,0)</f>
        <v>45078</v>
      </c>
      <c r="E131" s="45" t="s">
        <v>2357</v>
      </c>
      <c r="F131" s="45">
        <v>50</v>
      </c>
      <c r="G131" s="45">
        <v>0</v>
      </c>
      <c r="H131" s="45">
        <v>0</v>
      </c>
      <c r="I131" s="45">
        <v>0</v>
      </c>
      <c r="J131" s="45">
        <v>0</v>
      </c>
      <c r="K131" s="63">
        <f t="shared" si="78"/>
        <v>50</v>
      </c>
      <c r="L131" s="132">
        <f>VLOOKUP($B:$B,'[1]7店'!$B:$L,11,FALSE)</f>
        <v>13.9</v>
      </c>
      <c r="M131" s="44">
        <f t="shared" si="77"/>
        <v>695</v>
      </c>
      <c r="N131" s="65">
        <f>IFERROR(VLOOKUP(B:B,'7店辅助表'!B:C,2,FALSE),0)</f>
        <v>0</v>
      </c>
      <c r="O131" s="65">
        <f>IFERROR(VLOOKUP(B:B,'7店辅助表'!E:F,2,FALSE),0)</f>
        <v>0</v>
      </c>
      <c r="P131" s="65">
        <f>IFERROR(VLOOKUP(B:B,'7店辅助表'!H:I,2,FALSE),0)</f>
        <v>0</v>
      </c>
      <c r="Q131" s="65">
        <f>IFERROR(VLOOKUP(B:B,'[1]7店'!$B:$N,13,FALSE),0)</f>
        <v>0</v>
      </c>
      <c r="R131" s="79">
        <f t="shared" si="79"/>
        <v>0</v>
      </c>
      <c r="S131" s="80" t="str">
        <f t="shared" si="80"/>
        <v>-</v>
      </c>
      <c r="T131" s="44" t="str">
        <f t="shared" si="81"/>
        <v>-</v>
      </c>
      <c r="U131" s="44" t="str">
        <f>IFERROR(VLOOKUP($B:$B,'[1]7店'!$B:$T,19,FALSE),0)</f>
        <v>-</v>
      </c>
      <c r="V131" s="81" t="str">
        <f t="shared" si="82"/>
        <v>-</v>
      </c>
      <c r="W131" s="82" t="str">
        <f t="shared" si="83"/>
        <v>有库存无销量</v>
      </c>
      <c r="X131" s="83" t="str">
        <f t="shared" si="84"/>
        <v>有库存无销量</v>
      </c>
      <c r="Y131" s="44">
        <f>IFERROR(SUMIF('7店辅助表'!K:K,B:B,'7店辅助表'!N:N),0)</f>
        <v>0</v>
      </c>
      <c r="Z131" s="44">
        <f>IFERROR(SUMIF('7店辅助表'!T:T,B:B,'7店辅助表'!W:W),0)</f>
        <v>0</v>
      </c>
      <c r="AA131" s="44">
        <f>IFERROR(SUMIF('7店辅助表'!AC:AC,B:B,'7店辅助表'!AF:AF),0)</f>
        <v>2.54</v>
      </c>
      <c r="AB131" s="91" t="str">
        <f>IFERROR(SUMIF('7店辅助表'!K:K,B:B,'7店辅助表'!N:N)/SUMIF('7店辅助表'!K:K,B:B,'7店辅助表'!O:O),"-")</f>
        <v>-</v>
      </c>
      <c r="AC131" s="91" t="str">
        <f>IFERROR(VLOOKUP(B:B,'[1]7店'!$B:$AB,27,FALSE),"-")</f>
        <v>-</v>
      </c>
      <c r="AD131" s="92" t="str">
        <f t="shared" si="85"/>
        <v>-</v>
      </c>
      <c r="AE131" s="91" t="str">
        <f>IFERROR(SUMIF('7店辅助表'!T:T,B:B,'7店辅助表'!W:W)/SUMIF('7店辅助表'!T:T,B:B,'7店辅助表'!X:X),"-")</f>
        <v>-</v>
      </c>
      <c r="AF131" s="91">
        <f>IFERROR(SUMIF('7店辅助表'!AC:AC,B:B,'7店辅助表'!AF:AF)/SUMIF('7店辅助表'!AC:AC,B:B,'7店辅助表'!AG:AG),"-")</f>
        <v>0.09772989611389</v>
      </c>
      <c r="AG131" s="99">
        <f>IFERROR(AK131/((SUMIF('7店辅助表'!AT:AT,B:B,'7店辅助表'!AU:AU)+M131)/2),"-")</f>
        <v>0</v>
      </c>
      <c r="AH131" s="99">
        <f>IFERROR(AL131/((SUMIF('7店辅助表'!AW:AW,B:B,'7店辅助表'!AX:AX)+M131)/2),"-")</f>
        <v>0</v>
      </c>
      <c r="AI131" s="100" t="str">
        <f>IFERROR((SUMIF('7店辅助表'!AP:AP,B:B,'7店辅助表'!AR:AR)-SUMIF('7店辅助表'!AP:AP,B:B,'7店辅助表'!AR:AR)*0.15-(L131+IFERROR(VLOOKUP(B:B,'7店辅助表'!AZ:BA,2,0),0))*O131-IF(AN:AN="US",6.85,4.9)*(Z131+4.27*O131))/SUMIF('7店辅助表'!AP:AP,B:B,'7店辅助表'!AR:AR),"-")</f>
        <v>-</v>
      </c>
      <c r="AJ131" s="100" t="str">
        <f t="shared" si="86"/>
        <v>-</v>
      </c>
      <c r="AK131" s="101">
        <f t="shared" si="87"/>
        <v>0</v>
      </c>
      <c r="AL131" s="101">
        <f t="shared" si="88"/>
        <v>0</v>
      </c>
      <c r="AM131" s="1" t="str">
        <f>VLOOKUP(B:B,'7店辅助表'!AZ:AZ,1,FALSE)</f>
        <v>Y7042-DB+Y7043+Y7044</v>
      </c>
      <c r="AN131" t="str">
        <f>VLOOKUP(B:B,'7店辅助表'!AZ:BB,3,FALSE)</f>
        <v>CA</v>
      </c>
    </row>
    <row r="132" customHeight="1" spans="1:40">
      <c r="A132" s="58" t="str">
        <f>INDEX('[1]7店'!$A:$A,MATCH(B:B,'[1]7店'!$B:$B,0))</f>
        <v>美珠</v>
      </c>
      <c r="B132" s="116" t="s">
        <v>2501</v>
      </c>
      <c r="C132" s="45" t="s">
        <v>2498</v>
      </c>
      <c r="D132" s="59">
        <f>VLOOKUP(B:B,'[1]7店'!$B:$L,3,0)</f>
        <v>45078</v>
      </c>
      <c r="E132" s="45" t="s">
        <v>2360</v>
      </c>
      <c r="F132" s="45">
        <v>46</v>
      </c>
      <c r="G132" s="45">
        <v>0</v>
      </c>
      <c r="H132" s="45">
        <v>0</v>
      </c>
      <c r="I132" s="45">
        <v>0</v>
      </c>
      <c r="J132" s="45">
        <v>0</v>
      </c>
      <c r="K132" s="63">
        <f t="shared" si="78"/>
        <v>46</v>
      </c>
      <c r="L132" s="132">
        <f>VLOOKUP($B:$B,'[1]7店'!$B:$L,11,FALSE)</f>
        <v>13.9</v>
      </c>
      <c r="M132" s="44">
        <f t="shared" si="77"/>
        <v>639.4</v>
      </c>
      <c r="N132" s="65">
        <f>IFERROR(VLOOKUP(B:B,'7店辅助表'!B:C,2,FALSE),0)</f>
        <v>0</v>
      </c>
      <c r="O132" s="65">
        <f>IFERROR(VLOOKUP(B:B,'7店辅助表'!E:F,2,FALSE),0)</f>
        <v>0</v>
      </c>
      <c r="P132" s="65">
        <f>IFERROR(VLOOKUP(B:B,'7店辅助表'!H:I,2,FALSE),0)</f>
        <v>0</v>
      </c>
      <c r="Q132" s="65">
        <f>IFERROR(VLOOKUP(B:B,'[1]7店'!$B:$N,13,FALSE),0)</f>
        <v>0</v>
      </c>
      <c r="R132" s="79">
        <f t="shared" si="79"/>
        <v>0</v>
      </c>
      <c r="S132" s="80" t="str">
        <f t="shared" si="80"/>
        <v>-</v>
      </c>
      <c r="T132" s="44" t="str">
        <f t="shared" si="81"/>
        <v>-</v>
      </c>
      <c r="U132" s="44" t="str">
        <f>IFERROR(VLOOKUP($B:$B,'[1]7店'!$B:$T,19,FALSE),0)</f>
        <v>-</v>
      </c>
      <c r="V132" s="81" t="str">
        <f t="shared" si="82"/>
        <v>-</v>
      </c>
      <c r="W132" s="82" t="str">
        <f t="shared" si="83"/>
        <v>有库存无销量</v>
      </c>
      <c r="X132" s="83" t="str">
        <f t="shared" si="84"/>
        <v>有库存无销量</v>
      </c>
      <c r="Y132" s="44">
        <f>IFERROR(SUMIF('7店辅助表'!K:K,B:B,'7店辅助表'!N:N),0)</f>
        <v>1.8</v>
      </c>
      <c r="Z132" s="44">
        <f>IFERROR(SUMIF('7店辅助表'!T:T,B:B,'7店辅助表'!W:W),0)</f>
        <v>2.64</v>
      </c>
      <c r="AA132" s="44">
        <f>IFERROR(SUMIF('7店辅助表'!AC:AC,B:B,'7店辅助表'!AF:AF),0)</f>
        <v>4.36</v>
      </c>
      <c r="AB132" s="91" t="str">
        <f>IFERROR(SUMIF('7店辅助表'!K:K,B:B,'7店辅助表'!N:N)/SUMIF('7店辅助表'!K:K,B:B,'7店辅助表'!O:O),"-")</f>
        <v>-</v>
      </c>
      <c r="AC132" s="91" t="str">
        <f>IFERROR(VLOOKUP(B:B,'[1]7店'!$B:$AB,27,FALSE),"-")</f>
        <v>-</v>
      </c>
      <c r="AD132" s="92" t="str">
        <f t="shared" si="85"/>
        <v>-</v>
      </c>
      <c r="AE132" s="91" t="str">
        <f>IFERROR(SUMIF('7店辅助表'!T:T,B:B,'7店辅助表'!W:W)/SUMIF('7店辅助表'!T:T,B:B,'7店辅助表'!X:X),"-")</f>
        <v>-</v>
      </c>
      <c r="AF132" s="91" t="str">
        <f>IFERROR(SUMIF('7店辅助表'!AC:AC,B:B,'7店辅助表'!AF:AF)/SUMIF('7店辅助表'!AC:AC,B:B,'7店辅助表'!AG:AG),"-")</f>
        <v>-</v>
      </c>
      <c r="AG132" s="99">
        <f>IFERROR(AK132/((SUMIF('7店辅助表'!AT:AT,B:B,'7店辅助表'!AU:AU)+M132)/2),"-")</f>
        <v>0</v>
      </c>
      <c r="AH132" s="99">
        <f>IFERROR(AL132/((SUMIF('7店辅助表'!AW:AW,B:B,'7店辅助表'!AX:AX)+M132)/2),"-")</f>
        <v>0</v>
      </c>
      <c r="AI132" s="100" t="str">
        <f>IFERROR((SUMIF('7店辅助表'!AP:AP,B:B,'7店辅助表'!AR:AR)-SUMIF('7店辅助表'!AP:AP,B:B,'7店辅助表'!AR:AR)*0.15-(L132+IFERROR(VLOOKUP(B:B,'7店辅助表'!AZ:BA,2,0),0))*O132-IF(AN:AN="US",6.85,4.9)*(Z132+4.27*O132))/SUMIF('7店辅助表'!AP:AP,B:B,'7店辅助表'!AR:AR),"-")</f>
        <v>-</v>
      </c>
      <c r="AJ132" s="100" t="str">
        <f t="shared" si="86"/>
        <v>-</v>
      </c>
      <c r="AK132" s="101">
        <f t="shared" si="87"/>
        <v>0</v>
      </c>
      <c r="AL132" s="101">
        <f t="shared" si="88"/>
        <v>0</v>
      </c>
      <c r="AM132" s="1" t="str">
        <f>VLOOKUP(B:B,'7店辅助表'!AZ:AZ,1,FALSE)</f>
        <v>Y7042-OR+Y7043+Y7044</v>
      </c>
      <c r="AN132" t="str">
        <f>VLOOKUP(B:B,'7店辅助表'!AZ:BB,3,FALSE)</f>
        <v>CA</v>
      </c>
    </row>
    <row r="133" customHeight="1" spans="1:40">
      <c r="A133" s="58" t="str">
        <f>INDEX('[1]7店'!$A:$A,MATCH(B:B,'[1]7店'!$B:$B,0))</f>
        <v>美珠</v>
      </c>
      <c r="B133" s="116" t="s">
        <v>2502</v>
      </c>
      <c r="C133" s="45" t="s">
        <v>2503</v>
      </c>
      <c r="D133" s="59">
        <f>VLOOKUP(B:B,'[1]7店'!$B:$L,3,0)</f>
        <v>45078</v>
      </c>
      <c r="E133" s="45" t="s">
        <v>2483</v>
      </c>
      <c r="F133" s="45">
        <v>2</v>
      </c>
      <c r="G133" s="45">
        <v>1</v>
      </c>
      <c r="H133" s="45">
        <v>0</v>
      </c>
      <c r="I133" s="45">
        <v>0</v>
      </c>
      <c r="J133" s="45">
        <v>0</v>
      </c>
      <c r="K133" s="63">
        <f t="shared" si="78"/>
        <v>3</v>
      </c>
      <c r="L133" s="132">
        <f>VLOOKUP($B:$B,'[1]7店'!$B:$L,11,FALSE)</f>
        <v>13.9</v>
      </c>
      <c r="M133" s="44">
        <f t="shared" ref="M133:M164" si="89">K133*L133</f>
        <v>41.7</v>
      </c>
      <c r="N133" s="65">
        <f>IFERROR(VLOOKUP(B:B,'7店辅助表'!B:C,2,FALSE),0)</f>
        <v>1</v>
      </c>
      <c r="O133" s="65">
        <f>IFERROR(VLOOKUP(B:B,'7店辅助表'!E:F,2,FALSE),0)</f>
        <v>2</v>
      </c>
      <c r="P133" s="65">
        <f>IFERROR(VLOOKUP(B:B,'7店辅助表'!H:I,2,FALSE),0)</f>
        <v>3</v>
      </c>
      <c r="Q133" s="65">
        <f>IFERROR(VLOOKUP(B:B,'[1]7店'!$B:$N,13,FALSE),0)</f>
        <v>1</v>
      </c>
      <c r="R133" s="79">
        <f t="shared" si="79"/>
        <v>0</v>
      </c>
      <c r="S133" s="80">
        <f t="shared" si="80"/>
        <v>23.9240506329114</v>
      </c>
      <c r="T133" s="44">
        <f t="shared" si="81"/>
        <v>0.79746835443038</v>
      </c>
      <c r="U133" s="44">
        <f>IFERROR(VLOOKUP($B:$B,'[1]7店'!$B:$T,19,FALSE),0)</f>
        <v>0.976744186046512</v>
      </c>
      <c r="V133" s="81">
        <f t="shared" si="82"/>
        <v>-0.179275831616132</v>
      </c>
      <c r="W133" s="82" t="str">
        <f t="shared" si="83"/>
        <v>正常</v>
      </c>
      <c r="X133" s="83" t="str">
        <f t="shared" si="84"/>
        <v>正常</v>
      </c>
      <c r="Y133" s="44">
        <f>IFERROR(SUMIF('7店辅助表'!K:K,B:B,'7店辅助表'!N:N),0)</f>
        <v>0</v>
      </c>
      <c r="Z133" s="44">
        <f>IFERROR(SUMIF('7店辅助表'!T:T,B:B,'7店辅助表'!W:W),0)</f>
        <v>0.8</v>
      </c>
      <c r="AA133" s="44">
        <f>IFERROR(SUMIF('7店辅助表'!AC:AC,B:B,'7店辅助表'!AF:AF),0)</f>
        <v>1.84</v>
      </c>
      <c r="AB133" s="91" t="str">
        <f>IFERROR(SUMIF('7店辅助表'!K:K,B:B,'7店辅助表'!N:N)/SUMIF('7店辅助表'!K:K,B:B,'7店辅助表'!O:O),"-")</f>
        <v>-</v>
      </c>
      <c r="AC133" s="91">
        <f>IFERROR(VLOOKUP(B:B,'[1]7店'!$B:$AB,27,FALSE),"-")</f>
        <v>0.0307810696421701</v>
      </c>
      <c r="AD133" s="92" t="str">
        <f t="shared" si="85"/>
        <v>-</v>
      </c>
      <c r="AE133" s="91">
        <f>IFERROR(SUMIF('7店辅助表'!T:T,B:B,'7店辅助表'!W:W)/SUMIF('7店辅助表'!T:T,B:B,'7店辅助表'!X:X),"-")</f>
        <v>0.0307810696421701</v>
      </c>
      <c r="AF133" s="91">
        <f>IFERROR(SUMIF('7店辅助表'!AC:AC,B:B,'7店辅助表'!AF:AF)/SUMIF('7店辅助表'!AC:AC,B:B,'7店辅助表'!AG:AG),"-")</f>
        <v>0.0707964601769912</v>
      </c>
      <c r="AG133" s="99">
        <f>IFERROR(AK133/((SUMIF('7店辅助表'!AT:AT,B:B,'7店辅助表'!AU:AU)+M133)/2),"-")</f>
        <v>0.285714285714286</v>
      </c>
      <c r="AH133" s="99">
        <f>IFERROR(AL133/((SUMIF('7店辅助表'!AW:AW,B:B,'7店辅助表'!AX:AX)+M133)/2),"-")</f>
        <v>0.5</v>
      </c>
      <c r="AI133" s="100">
        <f>IFERROR((SUMIF('7店辅助表'!AP:AP,B:B,'7店辅助表'!AR:AR)-SUMIF('7店辅助表'!AP:AP,B:B,'7店辅助表'!AR:AR)*0.15-(L133+IFERROR(VLOOKUP(B:B,'7店辅助表'!AZ:BA,2,0),0))*O133-IF(AN:AN="US",6.85,4.9)*(Z133+4.27*O133))/SUMIF('7店辅助表'!AP:AP,B:B,'7店辅助表'!AR:AR),"-")</f>
        <v>0.494510054887673</v>
      </c>
      <c r="AJ133" s="100">
        <f t="shared" si="86"/>
        <v>0.247255027443836</v>
      </c>
      <c r="AK133" s="101">
        <f t="shared" si="87"/>
        <v>13.9</v>
      </c>
      <c r="AL133" s="101">
        <f t="shared" si="88"/>
        <v>27.8</v>
      </c>
      <c r="AM133" s="1" t="str">
        <f>VLOOKUP(B:B,'7店辅助表'!AZ:AZ,1,FALSE)</f>
        <v>Y7045-BL+Y7046+Y7047</v>
      </c>
      <c r="AN133" t="str">
        <f>VLOOKUP(B:B,'7店辅助表'!AZ:BB,3,FALSE)</f>
        <v>CA</v>
      </c>
    </row>
    <row r="134" customHeight="1" spans="1:40">
      <c r="A134" s="58" t="str">
        <f>INDEX('[1]7店'!$A:$A,MATCH(B:B,'[1]7店'!$B:$B,0))</f>
        <v>美珠</v>
      </c>
      <c r="B134" s="116" t="s">
        <v>2504</v>
      </c>
      <c r="C134" s="45" t="s">
        <v>2503</v>
      </c>
      <c r="D134" s="59">
        <f>VLOOKUP(B:B,'[1]7店'!$B:$L,3,0)</f>
        <v>45078</v>
      </c>
      <c r="E134" s="45" t="s">
        <v>2485</v>
      </c>
      <c r="F134" s="45">
        <v>22</v>
      </c>
      <c r="G134" s="45">
        <v>0</v>
      </c>
      <c r="H134" s="45">
        <v>0</v>
      </c>
      <c r="I134" s="45">
        <v>0</v>
      </c>
      <c r="J134" s="45">
        <v>0</v>
      </c>
      <c r="K134" s="63">
        <f t="shared" si="78"/>
        <v>22</v>
      </c>
      <c r="L134" s="132">
        <f>VLOOKUP($B:$B,'[1]7店'!$B:$L,11,FALSE)</f>
        <v>13.9</v>
      </c>
      <c r="M134" s="44">
        <f t="shared" si="89"/>
        <v>305.8</v>
      </c>
      <c r="N134" s="65">
        <f>IFERROR(VLOOKUP(B:B,'7店辅助表'!B:C,2,FALSE),0)</f>
        <v>0</v>
      </c>
      <c r="O134" s="65">
        <f>IFERROR(VLOOKUP(B:B,'7店辅助表'!E:F,2,FALSE),0)</f>
        <v>1</v>
      </c>
      <c r="P134" s="65">
        <f>IFERROR(VLOOKUP(B:B,'7店辅助表'!H:I,2,FALSE),0)</f>
        <v>1</v>
      </c>
      <c r="Q134" s="65">
        <f>IFERROR(VLOOKUP(B:B,'[1]7店'!$B:$N,13,FALSE),0)</f>
        <v>1</v>
      </c>
      <c r="R134" s="79">
        <f t="shared" si="79"/>
        <v>-1</v>
      </c>
      <c r="S134" s="80">
        <f t="shared" si="80"/>
        <v>660</v>
      </c>
      <c r="T134" s="44">
        <f t="shared" si="81"/>
        <v>22</v>
      </c>
      <c r="U134" s="44">
        <f>IFERROR(VLOOKUP($B:$B,'[1]7店'!$B:$T,19,FALSE),0)</f>
        <v>9.05882352941177</v>
      </c>
      <c r="V134" s="81">
        <f t="shared" si="82"/>
        <v>12.9411764705882</v>
      </c>
      <c r="W134" s="82" t="str">
        <f t="shared" si="83"/>
        <v>有库存无销量</v>
      </c>
      <c r="X134" s="83" t="str">
        <f t="shared" si="84"/>
        <v>库存过高</v>
      </c>
      <c r="Y134" s="44">
        <f>IFERROR(SUMIF('7店辅助表'!K:K,B:B,'7店辅助表'!N:N),0)</f>
        <v>0</v>
      </c>
      <c r="Z134" s="44">
        <f>IFERROR(SUMIF('7店辅助表'!T:T,B:B,'7店辅助表'!W:W),0)</f>
        <v>0</v>
      </c>
      <c r="AA134" s="44">
        <f>IFERROR(SUMIF('7店辅助表'!AC:AC,B:B,'7店辅助表'!AF:AF),0)</f>
        <v>0</v>
      </c>
      <c r="AB134" s="91" t="str">
        <f>IFERROR(SUMIF('7店辅助表'!K:K,B:B,'7店辅助表'!N:N)/SUMIF('7店辅助表'!K:K,B:B,'7店辅助表'!O:O),"-")</f>
        <v>-</v>
      </c>
      <c r="AC134" s="91" t="str">
        <f>IFERROR(VLOOKUP(B:B,'[1]7店'!$B:$AB,27,FALSE),"-")</f>
        <v>-</v>
      </c>
      <c r="AD134" s="92" t="str">
        <f t="shared" si="85"/>
        <v>-</v>
      </c>
      <c r="AE134" s="91" t="str">
        <f>IFERROR(SUMIF('7店辅助表'!T:T,B:B,'7店辅助表'!W:W)/SUMIF('7店辅助表'!T:T,B:B,'7店辅助表'!X:X),"-")</f>
        <v>-</v>
      </c>
      <c r="AF134" s="91" t="str">
        <f>IFERROR(SUMIF('7店辅助表'!AC:AC,B:B,'7店辅助表'!AF:AF)/SUMIF('7店辅助表'!AC:AC,B:B,'7店辅助表'!AG:AG),"-")</f>
        <v>-</v>
      </c>
      <c r="AG134" s="99">
        <f>IFERROR(AK134/((SUMIF('7店辅助表'!AT:AT,B:B,'7店辅助表'!AU:AU)+M134)/2),"-")</f>
        <v>0</v>
      </c>
      <c r="AH134" s="99">
        <f>IFERROR(AL134/((SUMIF('7店辅助表'!AW:AW,B:B,'7店辅助表'!AX:AX)+M134)/2),"-")</f>
        <v>0.0444444444444444</v>
      </c>
      <c r="AI134" s="100">
        <f>IFERROR((SUMIF('7店辅助表'!AP:AP,B:B,'7店辅助表'!AR:AR)-SUMIF('7店辅助表'!AP:AP,B:B,'7店辅助表'!AR:AR)*0.15-(L134+IFERROR(VLOOKUP(B:B,'7店辅助表'!AZ:BA,2,0),0))*O134-IF(AN:AN="US",6.85,4.9)*(Z134+4.27*O134))/SUMIF('7店辅助表'!AP:AP,B:B,'7店辅助表'!AR:AR),"-")</f>
        <v>0.509900589708758</v>
      </c>
      <c r="AJ134" s="100">
        <f t="shared" si="86"/>
        <v>0.0226622484315003</v>
      </c>
      <c r="AK134" s="101">
        <f t="shared" si="87"/>
        <v>0</v>
      </c>
      <c r="AL134" s="101">
        <f t="shared" si="88"/>
        <v>13.9</v>
      </c>
      <c r="AM134" s="1" t="str">
        <f>VLOOKUP(B:B,'7店辅助表'!AZ:AZ,1,FALSE)</f>
        <v>Y7045-BU+Y7046+Y7047</v>
      </c>
      <c r="AN134" t="str">
        <f>VLOOKUP(B:B,'7店辅助表'!AZ:BB,3,FALSE)</f>
        <v>CA</v>
      </c>
    </row>
    <row r="135" customHeight="1" spans="1:40">
      <c r="A135" s="58" t="str">
        <f>INDEX('[1]7店'!$A:$A,MATCH(B:B,'[1]7店'!$B:$B,0))</f>
        <v>美珠</v>
      </c>
      <c r="B135" s="116" t="s">
        <v>2505</v>
      </c>
      <c r="C135" s="45" t="s">
        <v>2506</v>
      </c>
      <c r="D135" s="59">
        <f>VLOOKUP(B:B,'[1]7店'!$B:$L,3,0)</f>
        <v>45078</v>
      </c>
      <c r="E135" s="45" t="s">
        <v>2488</v>
      </c>
      <c r="F135" s="45">
        <v>23</v>
      </c>
      <c r="G135" s="45">
        <v>0</v>
      </c>
      <c r="H135" s="45">
        <v>0</v>
      </c>
      <c r="I135" s="45">
        <v>0</v>
      </c>
      <c r="J135" s="45">
        <v>0</v>
      </c>
      <c r="K135" s="63">
        <f t="shared" si="78"/>
        <v>23</v>
      </c>
      <c r="L135" s="132">
        <f>VLOOKUP($B:$B,'[1]7店'!$B:$L,11,FALSE)</f>
        <v>13.9</v>
      </c>
      <c r="M135" s="44">
        <f t="shared" si="89"/>
        <v>319.7</v>
      </c>
      <c r="N135" s="65">
        <f>IFERROR(VLOOKUP(B:B,'7店辅助表'!B:C,2,FALSE),0)</f>
        <v>0</v>
      </c>
      <c r="O135" s="65">
        <f>IFERROR(VLOOKUP(B:B,'7店辅助表'!E:F,2,FALSE),0)</f>
        <v>1</v>
      </c>
      <c r="P135" s="65">
        <f>IFERROR(VLOOKUP(B:B,'7店辅助表'!H:I,2,FALSE),0)</f>
        <v>2</v>
      </c>
      <c r="Q135" s="65">
        <f>IFERROR(VLOOKUP(B:B,'[1]7店'!$B:$N,13,FALSE),0)</f>
        <v>1</v>
      </c>
      <c r="R135" s="79">
        <f t="shared" si="79"/>
        <v>-1</v>
      </c>
      <c r="S135" s="80">
        <f t="shared" si="80"/>
        <v>517.5</v>
      </c>
      <c r="T135" s="44">
        <f t="shared" si="81"/>
        <v>17.25</v>
      </c>
      <c r="U135" s="44">
        <f>IFERROR(VLOOKUP($B:$B,'[1]7店'!$B:$T,19,FALSE),0)</f>
        <v>8.32758620689655</v>
      </c>
      <c r="V135" s="81">
        <f t="shared" si="82"/>
        <v>8.92241379310345</v>
      </c>
      <c r="W135" s="82" t="str">
        <f t="shared" si="83"/>
        <v>有库存无销量</v>
      </c>
      <c r="X135" s="83" t="str">
        <f t="shared" si="84"/>
        <v>库存过高</v>
      </c>
      <c r="Y135" s="44">
        <f>IFERROR(SUMIF('7店辅助表'!K:K,B:B,'7店辅助表'!N:N),0)</f>
        <v>0</v>
      </c>
      <c r="Z135" s="44">
        <f>IFERROR(SUMIF('7店辅助表'!T:T,B:B,'7店辅助表'!W:W),0)</f>
        <v>0.36</v>
      </c>
      <c r="AA135" s="44">
        <f>IFERROR(SUMIF('7店辅助表'!AC:AC,B:B,'7店辅助表'!AF:AF),0)</f>
        <v>1.91</v>
      </c>
      <c r="AB135" s="91" t="str">
        <f>IFERROR(SUMIF('7店辅助表'!K:K,B:B,'7店辅助表'!N:N)/SUMIF('7店辅助表'!K:K,B:B,'7店辅助表'!O:O),"-")</f>
        <v>-</v>
      </c>
      <c r="AC135" s="91" t="str">
        <f>IFERROR(VLOOKUP(B:B,'[1]7店'!$B:$AB,27,FALSE),"-")</f>
        <v>-</v>
      </c>
      <c r="AD135" s="92" t="str">
        <f t="shared" si="85"/>
        <v>-</v>
      </c>
      <c r="AE135" s="91" t="str">
        <f>IFERROR(SUMIF('7店辅助表'!T:T,B:B,'7店辅助表'!W:W)/SUMIF('7店辅助表'!T:T,B:B,'7店辅助表'!X:X),"-")</f>
        <v>-</v>
      </c>
      <c r="AF135" s="91">
        <f>IFERROR(SUMIF('7店辅助表'!AC:AC,B:B,'7店辅助表'!AF:AF)/SUMIF('7店辅助表'!AC:AC,B:B,'7店辅助表'!AG:AG),"-")</f>
        <v>0.073489803770681</v>
      </c>
      <c r="AG135" s="99">
        <f>IFERROR(AK135/((SUMIF('7店辅助表'!AT:AT,B:B,'7店辅助表'!AU:AU)+M135)/2),"-")</f>
        <v>0</v>
      </c>
      <c r="AH135" s="99">
        <f>IFERROR(AL135/((SUMIF('7店辅助表'!AW:AW,B:B,'7店辅助表'!AX:AX)+M135)/2),"-")</f>
        <v>0.0425531914893617</v>
      </c>
      <c r="AI135" s="100">
        <f>IFERROR((SUMIF('7店辅助表'!AP:AP,B:B,'7店辅助表'!AR:AR)-SUMIF('7店辅助表'!AP:AP,B:B,'7店辅助表'!AR:AR)*0.15-(L135+IFERROR(VLOOKUP(B:B,'7店辅助表'!AZ:BA,2,0),0))*O135-IF(AN:AN="US",6.85,4.9)*(Z135+4.27*O135))/SUMIF('7店辅助表'!AP:AP,B:B,'7店辅助表'!AR:AR),"-")</f>
        <v>0.496049108369781</v>
      </c>
      <c r="AJ135" s="100">
        <f t="shared" si="86"/>
        <v>0.0211084726965864</v>
      </c>
      <c r="AK135" s="101">
        <f t="shared" si="87"/>
        <v>0</v>
      </c>
      <c r="AL135" s="101">
        <f t="shared" si="88"/>
        <v>13.9</v>
      </c>
      <c r="AM135" s="1" t="str">
        <f>VLOOKUP(B:B,'7店辅助表'!AZ:AZ,1,FALSE)</f>
        <v>Y7045-DB+Y7046+Y7047</v>
      </c>
      <c r="AN135" t="str">
        <f>VLOOKUP(B:B,'7店辅助表'!AZ:BB,3,FALSE)</f>
        <v>CA</v>
      </c>
    </row>
    <row r="136" customHeight="1" spans="1:40">
      <c r="A136" s="58" t="str">
        <f>INDEX('[1]7店'!$A:$A,MATCH(B:B,'[1]7店'!$B:$B,0))</f>
        <v>美珠</v>
      </c>
      <c r="B136" s="116" t="s">
        <v>2507</v>
      </c>
      <c r="C136" s="45" t="s">
        <v>2503</v>
      </c>
      <c r="D136" s="59">
        <f>VLOOKUP(B:B,'[1]7店'!$B:$L,3,0)</f>
        <v>45078</v>
      </c>
      <c r="E136" s="45" t="s">
        <v>2490</v>
      </c>
      <c r="F136" s="45">
        <v>3</v>
      </c>
      <c r="G136" s="45">
        <v>0</v>
      </c>
      <c r="H136" s="45">
        <v>0</v>
      </c>
      <c r="I136" s="45">
        <v>1</v>
      </c>
      <c r="J136" s="45">
        <v>0</v>
      </c>
      <c r="K136" s="63">
        <f t="shared" si="78"/>
        <v>4</v>
      </c>
      <c r="L136" s="132">
        <f>VLOOKUP($B:$B,'[1]7店'!$B:$L,11,FALSE)</f>
        <v>13.9</v>
      </c>
      <c r="M136" s="44">
        <f t="shared" si="89"/>
        <v>55.6</v>
      </c>
      <c r="N136" s="65">
        <f>IFERROR(VLOOKUP(B:B,'7店辅助表'!B:C,2,FALSE),0)</f>
        <v>1</v>
      </c>
      <c r="O136" s="65">
        <f>IFERROR(VLOOKUP(B:B,'7店辅助表'!E:F,2,FALSE),0)</f>
        <v>1</v>
      </c>
      <c r="P136" s="65">
        <f>IFERROR(VLOOKUP(B:B,'7店辅助表'!H:I,2,FALSE),0)</f>
        <v>4</v>
      </c>
      <c r="Q136" s="65">
        <f>IFERROR(VLOOKUP(B:B,'[1]7店'!$B:$N,13,FALSE),0)</f>
        <v>0</v>
      </c>
      <c r="R136" s="79">
        <f t="shared" si="79"/>
        <v>1</v>
      </c>
      <c r="S136" s="80">
        <f t="shared" si="80"/>
        <v>35</v>
      </c>
      <c r="T136" s="44">
        <f t="shared" si="81"/>
        <v>1.16666666666667</v>
      </c>
      <c r="U136" s="44">
        <f>IFERROR(VLOOKUP($B:$B,'[1]7店'!$B:$T,19,FALSE),0)</f>
        <v>2.4</v>
      </c>
      <c r="V136" s="81">
        <f t="shared" si="82"/>
        <v>-1.23333333333333</v>
      </c>
      <c r="W136" s="82" t="str">
        <f t="shared" si="83"/>
        <v>正常</v>
      </c>
      <c r="X136" s="83" t="str">
        <f t="shared" si="84"/>
        <v>正常</v>
      </c>
      <c r="Y136" s="44">
        <f>IFERROR(SUMIF('7店辅助表'!K:K,B:B,'7店辅助表'!N:N),0)</f>
        <v>0</v>
      </c>
      <c r="Z136" s="44">
        <f>IFERROR(SUMIF('7店辅助表'!T:T,B:B,'7店辅助表'!W:W),0)</f>
        <v>0</v>
      </c>
      <c r="AA136" s="44">
        <f>IFERROR(SUMIF('7店辅助表'!AC:AC,B:B,'7店辅助表'!AF:AF),0)</f>
        <v>0</v>
      </c>
      <c r="AB136" s="91" t="str">
        <f>IFERROR(SUMIF('7店辅助表'!K:K,B:B,'7店辅助表'!N:N)/SUMIF('7店辅助表'!K:K,B:B,'7店辅助表'!O:O),"-")</f>
        <v>-</v>
      </c>
      <c r="AC136" s="91" t="str">
        <f>IFERROR(VLOOKUP(B:B,'[1]7店'!$B:$AB,27,FALSE),"-")</f>
        <v>-</v>
      </c>
      <c r="AD136" s="92" t="str">
        <f t="shared" si="85"/>
        <v>-</v>
      </c>
      <c r="AE136" s="91" t="str">
        <f>IFERROR(SUMIF('7店辅助表'!T:T,B:B,'7店辅助表'!W:W)/SUMIF('7店辅助表'!T:T,B:B,'7店辅助表'!X:X),"-")</f>
        <v>-</v>
      </c>
      <c r="AF136" s="91" t="str">
        <f>IFERROR(SUMIF('7店辅助表'!AC:AC,B:B,'7店辅助表'!AF:AF)/SUMIF('7店辅助表'!AC:AC,B:B,'7店辅助表'!AG:AG),"-")</f>
        <v>-</v>
      </c>
      <c r="AG136" s="99">
        <f>IFERROR(AK136/((SUMIF('7店辅助表'!AT:AT,B:B,'7店辅助表'!AU:AU)+M136)/2),"-")</f>
        <v>0.25</v>
      </c>
      <c r="AH136" s="99">
        <f>IFERROR(AL136/((SUMIF('7店辅助表'!AW:AW,B:B,'7店辅助表'!AX:AX)+M136)/2),"-")</f>
        <v>0.181818181818182</v>
      </c>
      <c r="AI136" s="100">
        <f>IFERROR((SUMIF('7店辅助表'!AP:AP,B:B,'7店辅助表'!AR:AR)-SUMIF('7店辅助表'!AP:AP,B:B,'7店辅助表'!AR:AR)*0.15-(L136+IFERROR(VLOOKUP(B:B,'7店辅助表'!AZ:BA,2,0),0))*O136-IF(AN:AN="US",6.85,4.9)*(Z136+4.27*O136))/SUMIF('7店辅助表'!AP:AP,B:B,'7店辅助表'!AR:AR),"-")</f>
        <v>0.509900589708758</v>
      </c>
      <c r="AJ136" s="100">
        <f t="shared" si="86"/>
        <v>0.092709198128865</v>
      </c>
      <c r="AK136" s="101">
        <f t="shared" si="87"/>
        <v>13.9</v>
      </c>
      <c r="AL136" s="101">
        <f t="shared" si="88"/>
        <v>13.9</v>
      </c>
      <c r="AM136" s="1" t="str">
        <f>VLOOKUP(B:B,'7店辅助表'!AZ:AZ,1,FALSE)</f>
        <v>Y7045-OR+Y7046+Y7047</v>
      </c>
      <c r="AN136" t="str">
        <f>VLOOKUP(B:B,'7店辅助表'!AZ:BB,3,FALSE)</f>
        <v>CA</v>
      </c>
    </row>
    <row r="137" customHeight="1" spans="1:40">
      <c r="A137" s="58" t="str">
        <f>INDEX('[1]7店'!$A:$A,MATCH(B:B,'[1]7店'!$B:$B,0))</f>
        <v>美珠</v>
      </c>
      <c r="B137" s="116" t="s">
        <v>2508</v>
      </c>
      <c r="C137" s="45" t="s">
        <v>2509</v>
      </c>
      <c r="D137" s="59">
        <f>VLOOKUP(B:B,'[1]7店'!$B:$L,3,0)</f>
        <v>45078</v>
      </c>
      <c r="E137" s="45" t="s">
        <v>2474</v>
      </c>
      <c r="F137" s="45">
        <v>29</v>
      </c>
      <c r="G137" s="45">
        <v>1</v>
      </c>
      <c r="H137" s="45">
        <v>0</v>
      </c>
      <c r="I137" s="45">
        <v>0</v>
      </c>
      <c r="J137" s="45">
        <v>0</v>
      </c>
      <c r="K137" s="63">
        <f t="shared" si="78"/>
        <v>30</v>
      </c>
      <c r="L137" s="132">
        <f>VLOOKUP($B:$B,'[1]7店'!$B:$L,11,FALSE)</f>
        <v>13.9</v>
      </c>
      <c r="M137" s="44">
        <f t="shared" si="89"/>
        <v>417</v>
      </c>
      <c r="N137" s="65">
        <f>IFERROR(VLOOKUP(B:B,'7店辅助表'!B:C,2,FALSE),0)</f>
        <v>0</v>
      </c>
      <c r="O137" s="65">
        <f>IFERROR(VLOOKUP(B:B,'7店辅助表'!E:F,2,FALSE),0)</f>
        <v>0</v>
      </c>
      <c r="P137" s="65">
        <f>IFERROR(VLOOKUP(B:B,'7店辅助表'!H:I,2,FALSE),0)</f>
        <v>0</v>
      </c>
      <c r="Q137" s="65">
        <f>IFERROR(VLOOKUP(B:B,'[1]7店'!$B:$N,13,FALSE),0)</f>
        <v>0</v>
      </c>
      <c r="R137" s="79">
        <f t="shared" si="79"/>
        <v>0</v>
      </c>
      <c r="S137" s="80" t="str">
        <f t="shared" si="80"/>
        <v>-</v>
      </c>
      <c r="T137" s="44" t="str">
        <f t="shared" si="81"/>
        <v>-</v>
      </c>
      <c r="U137" s="44" t="str">
        <f>IFERROR(VLOOKUP($B:$B,'[1]7店'!$B:$T,19,FALSE),0)</f>
        <v>-</v>
      </c>
      <c r="V137" s="81" t="str">
        <f t="shared" si="82"/>
        <v>-</v>
      </c>
      <c r="W137" s="82" t="str">
        <f t="shared" si="83"/>
        <v>有库存无销量</v>
      </c>
      <c r="X137" s="83" t="str">
        <f t="shared" si="84"/>
        <v>有库存无销量</v>
      </c>
      <c r="Y137" s="44">
        <f>IFERROR(SUMIF('7店辅助表'!K:K,B:B,'7店辅助表'!N:N),0)</f>
        <v>0</v>
      </c>
      <c r="Z137" s="44">
        <f>IFERROR(SUMIF('7店辅助表'!T:T,B:B,'7店辅助表'!W:W),0)</f>
        <v>0</v>
      </c>
      <c r="AA137" s="44">
        <f>IFERROR(SUMIF('7店辅助表'!AC:AC,B:B,'7店辅助表'!AF:AF),0)</f>
        <v>0.81</v>
      </c>
      <c r="AB137" s="91" t="str">
        <f>IFERROR(SUMIF('7店辅助表'!K:K,B:B,'7店辅助表'!N:N)/SUMIF('7店辅助表'!K:K,B:B,'7店辅助表'!O:O),"-")</f>
        <v>-</v>
      </c>
      <c r="AC137" s="91" t="str">
        <f>IFERROR(VLOOKUP(B:B,'[1]7店'!$B:$AB,27,FALSE),"-")</f>
        <v>-</v>
      </c>
      <c r="AD137" s="92" t="str">
        <f t="shared" si="85"/>
        <v>-</v>
      </c>
      <c r="AE137" s="91" t="str">
        <f>IFERROR(SUMIF('7店辅助表'!T:T,B:B,'7店辅助表'!W:W)/SUMIF('7店辅助表'!T:T,B:B,'7店辅助表'!X:X),"-")</f>
        <v>-</v>
      </c>
      <c r="AF137" s="91" t="str">
        <f>IFERROR(SUMIF('7店辅助表'!AC:AC,B:B,'7店辅助表'!AF:AF)/SUMIF('7店辅助表'!AC:AC,B:B,'7店辅助表'!AG:AG),"-")</f>
        <v>-</v>
      </c>
      <c r="AG137" s="99">
        <f>IFERROR(AK137/((SUMIF('7店辅助表'!AT:AT,B:B,'7店辅助表'!AU:AU)+M137)/2),"-")</f>
        <v>0</v>
      </c>
      <c r="AH137" s="99">
        <f>IFERROR(AL137/((SUMIF('7店辅助表'!AW:AW,B:B,'7店辅助表'!AX:AX)+M137)/2),"-")</f>
        <v>0</v>
      </c>
      <c r="AI137" s="100" t="str">
        <f>IFERROR((SUMIF('7店辅助表'!AP:AP,B:B,'7店辅助表'!AR:AR)-SUMIF('7店辅助表'!AP:AP,B:B,'7店辅助表'!AR:AR)*0.15-(L137+IFERROR(VLOOKUP(B:B,'7店辅助表'!AZ:BA,2,0),0))*O137-IF(AN:AN="US",6.85,4.9)*(Z137+4.27*O137))/SUMIF('7店辅助表'!AP:AP,B:B,'7店辅助表'!AR:AR),"-")</f>
        <v>-</v>
      </c>
      <c r="AJ137" s="100" t="str">
        <f t="shared" si="86"/>
        <v>-</v>
      </c>
      <c r="AK137" s="101">
        <f t="shared" si="87"/>
        <v>0</v>
      </c>
      <c r="AL137" s="101">
        <f t="shared" si="88"/>
        <v>0</v>
      </c>
      <c r="AM137" s="1" t="str">
        <f>VLOOKUP(B:B,'7店辅助表'!AZ:AZ,1,FALSE)</f>
        <v>Y7048-BL+Y7049+Y7050</v>
      </c>
      <c r="AN137" t="str">
        <f>VLOOKUP(B:B,'7店辅助表'!AZ:BB,3,FALSE)</f>
        <v>CA</v>
      </c>
    </row>
    <row r="138" customHeight="1" spans="1:40">
      <c r="A138" s="58" t="str">
        <f>INDEX('[1]7店'!$A:$A,MATCH(B:B,'[1]7店'!$B:$B,0))</f>
        <v>美珠</v>
      </c>
      <c r="B138" s="116" t="s">
        <v>2510</v>
      </c>
      <c r="C138" s="45" t="s">
        <v>2509</v>
      </c>
      <c r="D138" s="59">
        <f>VLOOKUP(B:B,'[1]7店'!$B:$L,3,0)</f>
        <v>45078</v>
      </c>
      <c r="E138" s="45" t="s">
        <v>2476</v>
      </c>
      <c r="F138" s="45">
        <v>27</v>
      </c>
      <c r="G138" s="45">
        <v>1</v>
      </c>
      <c r="H138" s="45">
        <v>0</v>
      </c>
      <c r="I138" s="45">
        <v>0</v>
      </c>
      <c r="J138" s="45">
        <v>0</v>
      </c>
      <c r="K138" s="63">
        <f t="shared" si="78"/>
        <v>28</v>
      </c>
      <c r="L138" s="132">
        <f>VLOOKUP($B:$B,'[1]7店'!$B:$L,11,FALSE)</f>
        <v>13.9</v>
      </c>
      <c r="M138" s="44">
        <f t="shared" si="89"/>
        <v>389.2</v>
      </c>
      <c r="N138" s="65">
        <f>IFERROR(VLOOKUP(B:B,'7店辅助表'!B:C,2,FALSE),0)</f>
        <v>0</v>
      </c>
      <c r="O138" s="65">
        <f>IFERROR(VLOOKUP(B:B,'7店辅助表'!E:F,2,FALSE),0)</f>
        <v>0</v>
      </c>
      <c r="P138" s="65">
        <f>IFERROR(VLOOKUP(B:B,'7店辅助表'!H:I,2,FALSE),0)</f>
        <v>0</v>
      </c>
      <c r="Q138" s="65">
        <f>IFERROR(VLOOKUP(B:B,'[1]7店'!$B:$N,13,FALSE),0)</f>
        <v>0</v>
      </c>
      <c r="R138" s="79">
        <f t="shared" si="79"/>
        <v>0</v>
      </c>
      <c r="S138" s="80" t="str">
        <f t="shared" si="80"/>
        <v>-</v>
      </c>
      <c r="T138" s="44" t="str">
        <f t="shared" si="81"/>
        <v>-</v>
      </c>
      <c r="U138" s="44" t="str">
        <f>IFERROR(VLOOKUP($B:$B,'[1]7店'!$B:$T,19,FALSE),0)</f>
        <v>-</v>
      </c>
      <c r="V138" s="81" t="str">
        <f t="shared" si="82"/>
        <v>-</v>
      </c>
      <c r="W138" s="82" t="str">
        <f t="shared" si="83"/>
        <v>有库存无销量</v>
      </c>
      <c r="X138" s="83" t="str">
        <f t="shared" si="84"/>
        <v>有库存无销量</v>
      </c>
      <c r="Y138" s="44">
        <f>IFERROR(SUMIF('7店辅助表'!K:K,B:B,'7店辅助表'!N:N),0)</f>
        <v>0.6</v>
      </c>
      <c r="Z138" s="44">
        <f>IFERROR(SUMIF('7店辅助表'!T:T,B:B,'7店辅助表'!W:W),0)</f>
        <v>1.43</v>
      </c>
      <c r="AA138" s="44">
        <f>IFERROR(SUMIF('7店辅助表'!AC:AC,B:B,'7店辅助表'!AF:AF),0)</f>
        <v>2.33</v>
      </c>
      <c r="AB138" s="91" t="str">
        <f>IFERROR(SUMIF('7店辅助表'!K:K,B:B,'7店辅助表'!N:N)/SUMIF('7店辅助表'!K:K,B:B,'7店辅助表'!O:O),"-")</f>
        <v>-</v>
      </c>
      <c r="AC138" s="91" t="str">
        <f>IFERROR(VLOOKUP(B:B,'[1]7店'!$B:$AB,27,FALSE),"-")</f>
        <v>-</v>
      </c>
      <c r="AD138" s="92" t="str">
        <f t="shared" si="85"/>
        <v>-</v>
      </c>
      <c r="AE138" s="91" t="str">
        <f>IFERROR(SUMIF('7店辅助表'!T:T,B:B,'7店辅助表'!W:W)/SUMIF('7店辅助表'!T:T,B:B,'7店辅助表'!X:X),"-")</f>
        <v>-</v>
      </c>
      <c r="AF138" s="91" t="str">
        <f>IFERROR(SUMIF('7店辅助表'!AC:AC,B:B,'7店辅助表'!AF:AF)/SUMIF('7店辅助表'!AC:AC,B:B,'7店辅助表'!AG:AG),"-")</f>
        <v>-</v>
      </c>
      <c r="AG138" s="99">
        <f>IFERROR(AK138/((SUMIF('7店辅助表'!AT:AT,B:B,'7店辅助表'!AU:AU)+M138)/2),"-")</f>
        <v>0</v>
      </c>
      <c r="AH138" s="99">
        <f>IFERROR(AL138/((SUMIF('7店辅助表'!AW:AW,B:B,'7店辅助表'!AX:AX)+M138)/2),"-")</f>
        <v>0</v>
      </c>
      <c r="AI138" s="100" t="str">
        <f>IFERROR((SUMIF('7店辅助表'!AP:AP,B:B,'7店辅助表'!AR:AR)-SUMIF('7店辅助表'!AP:AP,B:B,'7店辅助表'!AR:AR)*0.15-(L138+IFERROR(VLOOKUP(B:B,'7店辅助表'!AZ:BA,2,0),0))*O138-IF(AN:AN="US",6.85,4.9)*(Z138+4.27*O138))/SUMIF('7店辅助表'!AP:AP,B:B,'7店辅助表'!AR:AR),"-")</f>
        <v>-</v>
      </c>
      <c r="AJ138" s="100" t="str">
        <f t="shared" si="86"/>
        <v>-</v>
      </c>
      <c r="AK138" s="101">
        <f t="shared" si="87"/>
        <v>0</v>
      </c>
      <c r="AL138" s="101">
        <f t="shared" si="88"/>
        <v>0</v>
      </c>
      <c r="AM138" s="1" t="str">
        <f>VLOOKUP(B:B,'7店辅助表'!AZ:AZ,1,FALSE)</f>
        <v>Y7048-BU+Y7049+Y7050</v>
      </c>
      <c r="AN138" t="str">
        <f>VLOOKUP(B:B,'7店辅助表'!AZ:BB,3,FALSE)</f>
        <v>CA</v>
      </c>
    </row>
    <row r="139" customHeight="1" spans="1:40">
      <c r="A139" s="58" t="str">
        <f>INDEX('[1]7店'!$A:$A,MATCH(B:B,'[1]7店'!$B:$B,0))</f>
        <v>美珠</v>
      </c>
      <c r="B139" s="116" t="s">
        <v>2511</v>
      </c>
      <c r="C139" s="45" t="s">
        <v>2509</v>
      </c>
      <c r="D139" s="59">
        <f>VLOOKUP(B:B,'[1]7店'!$B:$L,3,0)</f>
        <v>45078</v>
      </c>
      <c r="E139" s="45" t="s">
        <v>2478</v>
      </c>
      <c r="F139" s="45">
        <v>27</v>
      </c>
      <c r="G139" s="45">
        <v>0</v>
      </c>
      <c r="H139" s="45">
        <v>0</v>
      </c>
      <c r="I139" s="45">
        <v>0</v>
      </c>
      <c r="J139" s="45">
        <v>0</v>
      </c>
      <c r="K139" s="63">
        <f t="shared" si="78"/>
        <v>27</v>
      </c>
      <c r="L139" s="132">
        <f>VLOOKUP($B:$B,'[1]7店'!$B:$L,11,FALSE)</f>
        <v>13.9</v>
      </c>
      <c r="M139" s="44">
        <f t="shared" si="89"/>
        <v>375.3</v>
      </c>
      <c r="N139" s="65">
        <f>IFERROR(VLOOKUP(B:B,'7店辅助表'!B:C,2,FALSE),0)</f>
        <v>0</v>
      </c>
      <c r="O139" s="65">
        <f>IFERROR(VLOOKUP(B:B,'7店辅助表'!E:F,2,FALSE),0)</f>
        <v>0</v>
      </c>
      <c r="P139" s="65">
        <f>IFERROR(VLOOKUP(B:B,'7店辅助表'!H:I,2,FALSE),0)</f>
        <v>0</v>
      </c>
      <c r="Q139" s="65">
        <f>IFERROR(VLOOKUP(B:B,'[1]7店'!$B:$N,13,FALSE),0)</f>
        <v>0</v>
      </c>
      <c r="R139" s="79">
        <f t="shared" si="79"/>
        <v>0</v>
      </c>
      <c r="S139" s="80" t="str">
        <f t="shared" si="80"/>
        <v>-</v>
      </c>
      <c r="T139" s="44" t="str">
        <f t="shared" si="81"/>
        <v>-</v>
      </c>
      <c r="U139" s="44" t="str">
        <f>IFERROR(VLOOKUP($B:$B,'[1]7店'!$B:$T,19,FALSE),0)</f>
        <v>-</v>
      </c>
      <c r="V139" s="81" t="str">
        <f t="shared" si="82"/>
        <v>-</v>
      </c>
      <c r="W139" s="82" t="str">
        <f t="shared" si="83"/>
        <v>有库存无销量</v>
      </c>
      <c r="X139" s="83" t="str">
        <f t="shared" si="84"/>
        <v>有库存无销量</v>
      </c>
      <c r="Y139" s="44">
        <f>IFERROR(SUMIF('7店辅助表'!K:K,B:B,'7店辅助表'!N:N),0)</f>
        <v>0</v>
      </c>
      <c r="Z139" s="44">
        <f>IFERROR(SUMIF('7店辅助表'!T:T,B:B,'7店辅助表'!W:W),0)</f>
        <v>0</v>
      </c>
      <c r="AA139" s="44">
        <f>IFERROR(SUMIF('7店辅助表'!AC:AC,B:B,'7店辅助表'!AF:AF),0)</f>
        <v>0</v>
      </c>
      <c r="AB139" s="91" t="str">
        <f>IFERROR(SUMIF('7店辅助表'!K:K,B:B,'7店辅助表'!N:N)/SUMIF('7店辅助表'!K:K,B:B,'7店辅助表'!O:O),"-")</f>
        <v>-</v>
      </c>
      <c r="AC139" s="91" t="str">
        <f>IFERROR(VLOOKUP(B:B,'[1]7店'!$B:$AB,27,FALSE),"-")</f>
        <v>-</v>
      </c>
      <c r="AD139" s="92" t="str">
        <f t="shared" si="85"/>
        <v>-</v>
      </c>
      <c r="AE139" s="91" t="str">
        <f>IFERROR(SUMIF('7店辅助表'!T:T,B:B,'7店辅助表'!W:W)/SUMIF('7店辅助表'!T:T,B:B,'7店辅助表'!X:X),"-")</f>
        <v>-</v>
      </c>
      <c r="AF139" s="91" t="str">
        <f>IFERROR(SUMIF('7店辅助表'!AC:AC,B:B,'7店辅助表'!AF:AF)/SUMIF('7店辅助表'!AC:AC,B:B,'7店辅助表'!AG:AG),"-")</f>
        <v>-</v>
      </c>
      <c r="AG139" s="99">
        <f>IFERROR(AK139/((SUMIF('7店辅助表'!AT:AT,B:B,'7店辅助表'!AU:AU)+M139)/2),"-")</f>
        <v>0</v>
      </c>
      <c r="AH139" s="99">
        <f>IFERROR(AL139/((SUMIF('7店辅助表'!AW:AW,B:B,'7店辅助表'!AX:AX)+M139)/2),"-")</f>
        <v>0</v>
      </c>
      <c r="AI139" s="100" t="str">
        <f>IFERROR((SUMIF('7店辅助表'!AP:AP,B:B,'7店辅助表'!AR:AR)-SUMIF('7店辅助表'!AP:AP,B:B,'7店辅助表'!AR:AR)*0.15-(L139+IFERROR(VLOOKUP(B:B,'7店辅助表'!AZ:BA,2,0),0))*O139-IF(AN:AN="US",6.85,4.9)*(Z139+4.27*O139))/SUMIF('7店辅助表'!AP:AP,B:B,'7店辅助表'!AR:AR),"-")</f>
        <v>-</v>
      </c>
      <c r="AJ139" s="100" t="str">
        <f t="shared" si="86"/>
        <v>-</v>
      </c>
      <c r="AK139" s="101">
        <f t="shared" si="87"/>
        <v>0</v>
      </c>
      <c r="AL139" s="101">
        <f t="shared" si="88"/>
        <v>0</v>
      </c>
      <c r="AM139" s="1" t="str">
        <f>VLOOKUP(B:B,'7店辅助表'!AZ:AZ,1,FALSE)</f>
        <v>Y7048-DB+Y7049+Y7050</v>
      </c>
      <c r="AN139" t="str">
        <f>VLOOKUP(B:B,'7店辅助表'!AZ:BB,3,FALSE)</f>
        <v>CA</v>
      </c>
    </row>
    <row r="140" customHeight="1" spans="1:40">
      <c r="A140" s="58" t="str">
        <f>INDEX('[1]7店'!$A:$A,MATCH(B:B,'[1]7店'!$B:$B,0))</f>
        <v>美珠</v>
      </c>
      <c r="B140" s="116" t="s">
        <v>2512</v>
      </c>
      <c r="C140" s="45" t="s">
        <v>2509</v>
      </c>
      <c r="D140" s="59">
        <f>VLOOKUP(B:B,'[1]7店'!$B:$L,3,0)</f>
        <v>45078</v>
      </c>
      <c r="E140" s="45" t="s">
        <v>2480</v>
      </c>
      <c r="F140" s="45">
        <v>30</v>
      </c>
      <c r="G140" s="45">
        <v>0</v>
      </c>
      <c r="H140" s="45">
        <v>0</v>
      </c>
      <c r="I140" s="45">
        <v>0</v>
      </c>
      <c r="J140" s="45">
        <v>0</v>
      </c>
      <c r="K140" s="63">
        <f t="shared" si="78"/>
        <v>30</v>
      </c>
      <c r="L140" s="132">
        <f>VLOOKUP($B:$B,'[1]7店'!$B:$L,11,FALSE)</f>
        <v>13.9</v>
      </c>
      <c r="M140" s="44">
        <f t="shared" si="89"/>
        <v>417</v>
      </c>
      <c r="N140" s="65">
        <f>IFERROR(VLOOKUP(B:B,'7店辅助表'!B:C,2,FALSE),0)</f>
        <v>0</v>
      </c>
      <c r="O140" s="65">
        <f>IFERROR(VLOOKUP(B:B,'7店辅助表'!E:F,2,FALSE),0)</f>
        <v>0</v>
      </c>
      <c r="P140" s="65">
        <f>IFERROR(VLOOKUP(B:B,'7店辅助表'!H:I,2,FALSE),0)</f>
        <v>0</v>
      </c>
      <c r="Q140" s="65">
        <f>IFERROR(VLOOKUP(B:B,'[1]7店'!$B:$N,13,FALSE),0)</f>
        <v>0</v>
      </c>
      <c r="R140" s="79">
        <f t="shared" si="79"/>
        <v>0</v>
      </c>
      <c r="S140" s="80" t="str">
        <f t="shared" si="80"/>
        <v>-</v>
      </c>
      <c r="T140" s="44" t="str">
        <f t="shared" si="81"/>
        <v>-</v>
      </c>
      <c r="U140" s="44" t="str">
        <f>IFERROR(VLOOKUP($B:$B,'[1]7店'!$B:$T,19,FALSE),0)</f>
        <v>-</v>
      </c>
      <c r="V140" s="81" t="str">
        <f t="shared" si="82"/>
        <v>-</v>
      </c>
      <c r="W140" s="82" t="str">
        <f t="shared" si="83"/>
        <v>有库存无销量</v>
      </c>
      <c r="X140" s="83" t="str">
        <f t="shared" si="84"/>
        <v>有库存无销量</v>
      </c>
      <c r="Y140" s="44">
        <f>IFERROR(SUMIF('7店辅助表'!K:K,B:B,'7店辅助表'!N:N),0)</f>
        <v>0.18</v>
      </c>
      <c r="Z140" s="44">
        <f>IFERROR(SUMIF('7店辅助表'!T:T,B:B,'7店辅助表'!W:W),0)</f>
        <v>0.83</v>
      </c>
      <c r="AA140" s="44">
        <f>IFERROR(SUMIF('7店辅助表'!AC:AC,B:B,'7店辅助表'!AF:AF),0)</f>
        <v>2.34</v>
      </c>
      <c r="AB140" s="91" t="str">
        <f>IFERROR(SUMIF('7店辅助表'!K:K,B:B,'7店辅助表'!N:N)/SUMIF('7店辅助表'!K:K,B:B,'7店辅助表'!O:O),"-")</f>
        <v>-</v>
      </c>
      <c r="AC140" s="91" t="str">
        <f>IFERROR(VLOOKUP(B:B,'[1]7店'!$B:$AB,27,FALSE),"-")</f>
        <v>-</v>
      </c>
      <c r="AD140" s="92" t="str">
        <f t="shared" si="85"/>
        <v>-</v>
      </c>
      <c r="AE140" s="91" t="str">
        <f>IFERROR(SUMIF('7店辅助表'!T:T,B:B,'7店辅助表'!W:W)/SUMIF('7店辅助表'!T:T,B:B,'7店辅助表'!X:X),"-")</f>
        <v>-</v>
      </c>
      <c r="AF140" s="91">
        <f>IFERROR(SUMIF('7店辅助表'!AC:AC,B:B,'7店辅助表'!AF:AF)/SUMIF('7店辅助表'!AC:AC,B:B,'7店辅助表'!AG:AG),"-")</f>
        <v>0.0809688581314879</v>
      </c>
      <c r="AG140" s="99">
        <f>IFERROR(AK140/((SUMIF('7店辅助表'!AT:AT,B:B,'7店辅助表'!AU:AU)+M140)/2),"-")</f>
        <v>0</v>
      </c>
      <c r="AH140" s="99">
        <f>IFERROR(AL140/((SUMIF('7店辅助表'!AW:AW,B:B,'7店辅助表'!AX:AX)+M140)/2),"-")</f>
        <v>0</v>
      </c>
      <c r="AI140" s="100" t="str">
        <f>IFERROR((SUMIF('7店辅助表'!AP:AP,B:B,'7店辅助表'!AR:AR)-SUMIF('7店辅助表'!AP:AP,B:B,'7店辅助表'!AR:AR)*0.15-(L140+IFERROR(VLOOKUP(B:B,'7店辅助表'!AZ:BA,2,0),0))*O140-IF(AN:AN="US",6.85,4.9)*(Z140+4.27*O140))/SUMIF('7店辅助表'!AP:AP,B:B,'7店辅助表'!AR:AR),"-")</f>
        <v>-</v>
      </c>
      <c r="AJ140" s="100" t="str">
        <f t="shared" si="86"/>
        <v>-</v>
      </c>
      <c r="AK140" s="101">
        <f t="shared" si="87"/>
        <v>0</v>
      </c>
      <c r="AL140" s="101">
        <f t="shared" si="88"/>
        <v>0</v>
      </c>
      <c r="AM140" s="1" t="str">
        <f>VLOOKUP(B:B,'7店辅助表'!AZ:AZ,1,FALSE)</f>
        <v>Y7048-OR+Y7049+Y7050</v>
      </c>
      <c r="AN140" t="str">
        <f>VLOOKUP(B:B,'7店辅助表'!AZ:BB,3,FALSE)</f>
        <v>CA</v>
      </c>
    </row>
    <row r="141" customHeight="1" spans="1:40">
      <c r="A141" s="58" t="str">
        <f>INDEX('[1]7店'!$A:$A,MATCH(B:B,'[1]7店'!$B:$B,0))</f>
        <v>美珠</v>
      </c>
      <c r="B141" s="116" t="s">
        <v>2513</v>
      </c>
      <c r="C141" s="45" t="s">
        <v>2514</v>
      </c>
      <c r="D141" s="59">
        <f>VLOOKUP(B:B,'[1]7店'!$B:$L,3,0)</f>
        <v>45048</v>
      </c>
      <c r="E141" s="45" t="s">
        <v>2515</v>
      </c>
      <c r="F141" s="45">
        <v>18</v>
      </c>
      <c r="G141" s="45">
        <v>0</v>
      </c>
      <c r="H141" s="45">
        <v>0</v>
      </c>
      <c r="I141" s="45">
        <v>0</v>
      </c>
      <c r="J141" s="45">
        <v>0</v>
      </c>
      <c r="K141" s="63">
        <f t="shared" si="78"/>
        <v>18</v>
      </c>
      <c r="L141" s="132">
        <f>VLOOKUP($B:$B,'[1]7店'!$B:$L,11,FALSE)</f>
        <v>13.9</v>
      </c>
      <c r="M141" s="44">
        <f t="shared" si="89"/>
        <v>250.2</v>
      </c>
      <c r="N141" s="65">
        <f>IFERROR(VLOOKUP(B:B,'7店辅助表'!B:C,2,FALSE),0)</f>
        <v>0</v>
      </c>
      <c r="O141" s="65">
        <f>IFERROR(VLOOKUP(B:B,'7店辅助表'!E:F,2,FALSE),0)</f>
        <v>0</v>
      </c>
      <c r="P141" s="65">
        <f>IFERROR(VLOOKUP(B:B,'7店辅助表'!H:I,2,FALSE),0)</f>
        <v>0</v>
      </c>
      <c r="Q141" s="65">
        <f>IFERROR(VLOOKUP(B:B,'[1]7店'!$B:$N,13,FALSE),0)</f>
        <v>0</v>
      </c>
      <c r="R141" s="79">
        <f t="shared" si="79"/>
        <v>0</v>
      </c>
      <c r="S141" s="80" t="str">
        <f t="shared" si="80"/>
        <v>-</v>
      </c>
      <c r="T141" s="44" t="str">
        <f t="shared" si="81"/>
        <v>-</v>
      </c>
      <c r="U141" s="44" t="str">
        <f>IFERROR(VLOOKUP($B:$B,'[1]7店'!$B:$T,19,FALSE),0)</f>
        <v>-</v>
      </c>
      <c r="V141" s="81" t="str">
        <f t="shared" si="82"/>
        <v>-</v>
      </c>
      <c r="W141" s="82" t="str">
        <f t="shared" si="83"/>
        <v>有库存无销量</v>
      </c>
      <c r="X141" s="83" t="str">
        <f t="shared" si="84"/>
        <v>有库存无销量</v>
      </c>
      <c r="Y141" s="44">
        <f>IFERROR(SUMIF('7店辅助表'!K:K,B:B,'7店辅助表'!N:N),0)</f>
        <v>0</v>
      </c>
      <c r="Z141" s="44">
        <f>IFERROR(SUMIF('7店辅助表'!T:T,B:B,'7店辅助表'!W:W),0)</f>
        <v>0</v>
      </c>
      <c r="AA141" s="44">
        <f>IFERROR(SUMIF('7店辅助表'!AC:AC,B:B,'7店辅助表'!AF:AF),0)</f>
        <v>0.35</v>
      </c>
      <c r="AB141" s="91" t="str">
        <f>IFERROR(SUMIF('7店辅助表'!K:K,B:B,'7店辅助表'!N:N)/SUMIF('7店辅助表'!K:K,B:B,'7店辅助表'!O:O),"-")</f>
        <v>-</v>
      </c>
      <c r="AC141" s="91" t="str">
        <f>IFERROR(VLOOKUP(B:B,'[1]7店'!$B:$AB,27,FALSE),"-")</f>
        <v>-</v>
      </c>
      <c r="AD141" s="92" t="str">
        <f t="shared" si="85"/>
        <v>-</v>
      </c>
      <c r="AE141" s="91" t="str">
        <f>IFERROR(SUMIF('7店辅助表'!T:T,B:B,'7店辅助表'!W:W)/SUMIF('7店辅助表'!T:T,B:B,'7店辅助表'!X:X),"-")</f>
        <v>-</v>
      </c>
      <c r="AF141" s="91" t="str">
        <f>IFERROR(SUMIF('7店辅助表'!AC:AC,B:B,'7店辅助表'!AF:AF)/SUMIF('7店辅助表'!AC:AC,B:B,'7店辅助表'!AG:AG),"-")</f>
        <v>-</v>
      </c>
      <c r="AG141" s="99">
        <f>IFERROR(AK141/((SUMIF('7店辅助表'!AT:AT,B:B,'7店辅助表'!AU:AU)+M141)/2),"-")</f>
        <v>0</v>
      </c>
      <c r="AH141" s="99">
        <f>IFERROR(AL141/((SUMIF('7店辅助表'!AW:AW,B:B,'7店辅助表'!AX:AX)+M141)/2),"-")</f>
        <v>0</v>
      </c>
      <c r="AI141" s="100" t="str">
        <f>IFERROR((SUMIF('7店辅助表'!AP:AP,B:B,'7店辅助表'!AR:AR)-SUMIF('7店辅助表'!AP:AP,B:B,'7店辅助表'!AR:AR)*0.15-(L141+IFERROR(VLOOKUP(B:B,'7店辅助表'!AZ:BA,2,0),0))*O141-IF(AN:AN="US",6.85,4.9)*(Z141+4.27*O141))/SUMIF('7店辅助表'!AP:AP,B:B,'7店辅助表'!AR:AR),"-")</f>
        <v>-</v>
      </c>
      <c r="AJ141" s="100" t="str">
        <f t="shared" si="86"/>
        <v>-</v>
      </c>
      <c r="AK141" s="101">
        <f t="shared" si="87"/>
        <v>0</v>
      </c>
      <c r="AL141" s="101">
        <f t="shared" si="88"/>
        <v>0</v>
      </c>
      <c r="AM141" s="1" t="str">
        <f>VLOOKUP(B:B,'7店辅助表'!AZ:AZ,1,FALSE)</f>
        <v>Y73153-DB-ZH</v>
      </c>
      <c r="AN141" t="str">
        <f>VLOOKUP(B:B,'7店辅助表'!AZ:BB,3,FALSE)</f>
        <v>US</v>
      </c>
    </row>
    <row r="142" customHeight="1" spans="1:40">
      <c r="A142" s="58" t="str">
        <f>INDEX('[1]7店'!$A:$A,MATCH(B:B,'[1]7店'!$B:$B,0))</f>
        <v>美珠</v>
      </c>
      <c r="B142" s="116" t="s">
        <v>2516</v>
      </c>
      <c r="C142" s="45" t="s">
        <v>2517</v>
      </c>
      <c r="D142" s="59">
        <f>VLOOKUP(B:B,'[1]7店'!$B:$L,3,0)</f>
        <v>45074</v>
      </c>
      <c r="E142" s="45" t="s">
        <v>2518</v>
      </c>
      <c r="F142" s="45">
        <v>8</v>
      </c>
      <c r="G142" s="45">
        <v>0</v>
      </c>
      <c r="H142" s="45">
        <v>0</v>
      </c>
      <c r="I142" s="45">
        <v>0</v>
      </c>
      <c r="J142" s="45">
        <v>0</v>
      </c>
      <c r="K142" s="63">
        <f t="shared" ref="K142:K170" si="90">F142+G142+H142+I142+J142</f>
        <v>8</v>
      </c>
      <c r="L142" s="132">
        <f>VLOOKUP($B:$B,'[1]7店'!$B:$L,11,FALSE)</f>
        <v>13.9</v>
      </c>
      <c r="M142" s="44">
        <f t="shared" si="89"/>
        <v>111.2</v>
      </c>
      <c r="N142" s="65">
        <f>IFERROR(VLOOKUP(B:B,'7店辅助表'!B:C,2,FALSE),0)</f>
        <v>0</v>
      </c>
      <c r="O142" s="65">
        <f>IFERROR(VLOOKUP(B:B,'7店辅助表'!E:F,2,FALSE),0)</f>
        <v>1</v>
      </c>
      <c r="P142" s="65">
        <f>IFERROR(VLOOKUP(B:B,'7店辅助表'!H:I,2,FALSE),0)</f>
        <v>1</v>
      </c>
      <c r="Q142" s="65">
        <f>IFERROR(VLOOKUP(B:B,'[1]7店'!$B:$N,13,FALSE),0)</f>
        <v>1</v>
      </c>
      <c r="R142" s="79">
        <f t="shared" ref="R142:R170" si="91">N142-Q142</f>
        <v>-1</v>
      </c>
      <c r="S142" s="80">
        <f t="shared" ref="S142:S170" si="92">IFERROR(K142/((N142/7+O142/15+P142/30)/3),"-")</f>
        <v>240</v>
      </c>
      <c r="T142" s="44">
        <f t="shared" ref="T142:T170" si="93">IFERROR(S142/30,"-")</f>
        <v>8</v>
      </c>
      <c r="U142" s="44">
        <f>IFERROR(VLOOKUP($B:$B,'[1]7店'!$B:$T,19,FALSE),0)</f>
        <v>3.29411764705882</v>
      </c>
      <c r="V142" s="81">
        <f t="shared" ref="V142:V170" si="94">IFERROR(T142-U142,"-")</f>
        <v>4.70588235294118</v>
      </c>
      <c r="W142" s="82" t="str">
        <f t="shared" ref="W142:W170" si="95">_xlfn.IFS(AND(D142&lt;&gt;0,D142-$AM$2&gt;=0,B142&gt;0,D142&lt;&gt;0),"本月刚到货",AND(IFERROR((K142/(N142/7))/30,"-")="-",K142&gt;0),"有库存无销量",AND(IFERROR((K142/(N142/7))/30,"-")="-",K142=0),"无库存无销量",AND(IFERROR((K142/(N142/7))/30,"-")&lt;=0.5,K142=0),"无库存有销量",IFERROR((K142/(N142/7))/30,"-")&lt;=0.5,"库存过低",IFERROR((K142/(N142/7))/30,"-")&lt;=1.5,"正常",IFERROR((K142/(N142/7))/30,"-")&gt;1.5,"库存过高")</f>
        <v>有库存无销量</v>
      </c>
      <c r="X142" s="83" t="str">
        <f t="shared" ref="X142:X170" si="96">_xlfn.IFS(AND(D142&lt;&gt;0,D142-$AM$2&gt;=0,K142&gt;0,D142&lt;&gt;0),"本月刚到货",AND(T142="-",K142&gt;0),"有库存无销量",AND(T142="-",K142=0),"无库存无销量",AND(T142&lt;=0.5,K142=0),"无库存有销量",T142&lt;=0.5,"库存过低",T142&lt;=1.5,"正常",T142&gt;1.5,"库存过高")</f>
        <v>库存过高</v>
      </c>
      <c r="Y142" s="44">
        <f>IFERROR(SUMIF('7店辅助表'!K:K,B:B,'7店辅助表'!N:N),0)</f>
        <v>0</v>
      </c>
      <c r="Z142" s="44">
        <f>IFERROR(SUMIF('7店辅助表'!T:T,B:B,'7店辅助表'!W:W),0)</f>
        <v>0</v>
      </c>
      <c r="AA142" s="44">
        <f>IFERROR(SUMIF('7店辅助表'!AC:AC,B:B,'7店辅助表'!AF:AF),0)</f>
        <v>0</v>
      </c>
      <c r="AB142" s="91" t="str">
        <f>IFERROR(SUMIF('7店辅助表'!K:K,B:B,'7店辅助表'!N:N)/SUMIF('7店辅助表'!K:K,B:B,'7店辅助表'!O:O),"-")</f>
        <v>-</v>
      </c>
      <c r="AC142" s="91" t="str">
        <f>IFERROR(VLOOKUP(B:B,'[1]7店'!$B:$AB,27,FALSE),"-")</f>
        <v>-</v>
      </c>
      <c r="AD142" s="92" t="str">
        <f t="shared" ref="AD142:AD170" si="97">IFERROR(AB142-AC142,"-")</f>
        <v>-</v>
      </c>
      <c r="AE142" s="91" t="str">
        <f>IFERROR(SUMIF('7店辅助表'!T:T,B:B,'7店辅助表'!W:W)/SUMIF('7店辅助表'!T:T,B:B,'7店辅助表'!X:X),"-")</f>
        <v>-</v>
      </c>
      <c r="AF142" s="91" t="str">
        <f>IFERROR(SUMIF('7店辅助表'!AC:AC,B:B,'7店辅助表'!AF:AF)/SUMIF('7店辅助表'!AC:AC,B:B,'7店辅助表'!AG:AG),"-")</f>
        <v>-</v>
      </c>
      <c r="AG142" s="99">
        <f>IFERROR(AK142/((SUMIF('7店辅助表'!AT:AT,B:B,'7店辅助表'!AU:AU)+M142)/2),"-")</f>
        <v>0</v>
      </c>
      <c r="AH142" s="99">
        <f>IFERROR(AL142/((SUMIF('7店辅助表'!AW:AW,B:B,'7店辅助表'!AX:AX)+M142)/2),"-")</f>
        <v>0.117647058823529</v>
      </c>
      <c r="AI142" s="100">
        <f>IFERROR((SUMIF('7店辅助表'!AP:AP,B:B,'7店辅助表'!AR:AR)-SUMIF('7店辅助表'!AP:AP,B:B,'7店辅助表'!AR:AR)*0.15-(L142+IFERROR(VLOOKUP(B:B,'7店辅助表'!AZ:BA,2,0),0))*O142-IF(AN:AN="US",6.85,4.9)*(Z142+4.27*O142))/SUMIF('7店辅助表'!AP:AP,B:B,'7店辅助表'!AR:AR),"-")</f>
        <v>0.289990335069649</v>
      </c>
      <c r="AJ142" s="100">
        <f t="shared" ref="AJ142:AJ170" si="98">IFERROR(AH142*AI142,"-")</f>
        <v>0.034116510008194</v>
      </c>
      <c r="AK142" s="101">
        <f t="shared" ref="AK142:AK170" si="99">N142*$L142</f>
        <v>0</v>
      </c>
      <c r="AL142" s="101">
        <f t="shared" ref="AL142:AL170" si="100">O142*$L142</f>
        <v>13.9</v>
      </c>
      <c r="AM142" s="1" t="str">
        <f>VLOOKUP(B:B,'7店辅助表'!AZ:AZ,1,FALSE)</f>
        <v>Y72431-DB+Y72433+Y72531</v>
      </c>
      <c r="AN142" t="str">
        <f>VLOOKUP(B:B,'7店辅助表'!AZ:BB,3,FALSE)</f>
        <v>US</v>
      </c>
    </row>
    <row r="143" customHeight="1" spans="1:40">
      <c r="A143" s="58" t="str">
        <f>INDEX('[1]7店'!$A:$A,MATCH(B:B,'[1]7店'!$B:$B,0))</f>
        <v>美珠</v>
      </c>
      <c r="B143" s="116" t="s">
        <v>2519</v>
      </c>
      <c r="C143" s="45" t="s">
        <v>2520</v>
      </c>
      <c r="D143" s="59">
        <f>VLOOKUP(B:B,'[1]7店'!$B:$L,3,0)</f>
        <v>45074</v>
      </c>
      <c r="E143" s="45" t="s">
        <v>2521</v>
      </c>
      <c r="F143" s="45">
        <v>14</v>
      </c>
      <c r="G143" s="45">
        <v>0</v>
      </c>
      <c r="H143" s="45">
        <v>0</v>
      </c>
      <c r="I143" s="45">
        <v>0</v>
      </c>
      <c r="J143" s="45">
        <v>0</v>
      </c>
      <c r="K143" s="63">
        <f t="shared" si="90"/>
        <v>14</v>
      </c>
      <c r="L143" s="132">
        <f>VLOOKUP($B:$B,'[1]7店'!$B:$L,11,FALSE)</f>
        <v>13.9</v>
      </c>
      <c r="M143" s="44">
        <f t="shared" si="89"/>
        <v>194.6</v>
      </c>
      <c r="N143" s="65">
        <f>IFERROR(VLOOKUP(B:B,'7店辅助表'!B:C,2,FALSE),0)</f>
        <v>3</v>
      </c>
      <c r="O143" s="65">
        <f>IFERROR(VLOOKUP(B:B,'7店辅助表'!E:F,2,FALSE),0)</f>
        <v>3</v>
      </c>
      <c r="P143" s="65">
        <f>IFERROR(VLOOKUP(B:B,'7店辅助表'!H:I,2,FALSE),0)</f>
        <v>3</v>
      </c>
      <c r="Q143" s="65">
        <f>IFERROR(VLOOKUP(B:B,'[1]7店'!$B:$N,13,FALSE),0)</f>
        <v>0</v>
      </c>
      <c r="R143" s="79">
        <f t="shared" si="91"/>
        <v>3</v>
      </c>
      <c r="S143" s="80">
        <f t="shared" si="92"/>
        <v>57.6470588235294</v>
      </c>
      <c r="T143" s="44">
        <f t="shared" si="93"/>
        <v>1.92156862745098</v>
      </c>
      <c r="U143" s="44" t="str">
        <f>IFERROR(VLOOKUP($B:$B,'[1]7店'!$B:$T,19,FALSE),0)</f>
        <v>-</v>
      </c>
      <c r="V143" s="81" t="str">
        <f t="shared" si="94"/>
        <v>-</v>
      </c>
      <c r="W143" s="82" t="str">
        <f t="shared" si="95"/>
        <v>正常</v>
      </c>
      <c r="X143" s="83" t="str">
        <f t="shared" si="96"/>
        <v>库存过高</v>
      </c>
      <c r="Y143" s="44">
        <f>IFERROR(SUMIF('7店辅助表'!K:K,B:B,'7店辅助表'!N:N),0)</f>
        <v>0</v>
      </c>
      <c r="Z143" s="44">
        <f>IFERROR(SUMIF('7店辅助表'!T:T,B:B,'7店辅助表'!W:W),0)</f>
        <v>0</v>
      </c>
      <c r="AA143" s="44">
        <f>IFERROR(SUMIF('7店辅助表'!AC:AC,B:B,'7店辅助表'!AF:AF),0)</f>
        <v>0</v>
      </c>
      <c r="AB143" s="91" t="str">
        <f>IFERROR(SUMIF('7店辅助表'!K:K,B:B,'7店辅助表'!N:N)/SUMIF('7店辅助表'!K:K,B:B,'7店辅助表'!O:O),"-")</f>
        <v>-</v>
      </c>
      <c r="AC143" s="91" t="str">
        <f>IFERROR(VLOOKUP(B:B,'[1]7店'!$B:$AB,27,FALSE),"-")</f>
        <v>-</v>
      </c>
      <c r="AD143" s="92" t="str">
        <f t="shared" si="97"/>
        <v>-</v>
      </c>
      <c r="AE143" s="91" t="str">
        <f>IFERROR(SUMIF('7店辅助表'!T:T,B:B,'7店辅助表'!W:W)/SUMIF('7店辅助表'!T:T,B:B,'7店辅助表'!X:X),"-")</f>
        <v>-</v>
      </c>
      <c r="AF143" s="91" t="str">
        <f>IFERROR(SUMIF('7店辅助表'!AC:AC,B:B,'7店辅助表'!AF:AF)/SUMIF('7店辅助表'!AC:AC,B:B,'7店辅助表'!AG:AG),"-")</f>
        <v>-</v>
      </c>
      <c r="AG143" s="99">
        <f>IFERROR(AK143/((SUMIF('7店辅助表'!AT:AT,B:B,'7店辅助表'!AU:AU)+M143)/2),"-")</f>
        <v>0.193548387096774</v>
      </c>
      <c r="AH143" s="99">
        <f>IFERROR(AL143/((SUMIF('7店辅助表'!AW:AW,B:B,'7店辅助表'!AX:AX)+M143)/2),"-")</f>
        <v>0.193548387096774</v>
      </c>
      <c r="AI143" s="100">
        <f>IFERROR((SUMIF('7店辅助表'!AP:AP,B:B,'7店辅助表'!AR:AR)-SUMIF('7店辅助表'!AP:AP,B:B,'7店辅助表'!AR:AR)*0.15-(L143+IFERROR(VLOOKUP(B:B,'7店辅助表'!AZ:BA,2,0),0))*O143-IF(AN:AN="US",6.85,4.9)*(Z143+4.27*O143))/SUMIF('7店辅助表'!AP:AP,B:B,'7店辅助表'!AR:AR),"-")</f>
        <v>0.287281906913235</v>
      </c>
      <c r="AJ143" s="100">
        <f t="shared" si="98"/>
        <v>0.0556029497251422</v>
      </c>
      <c r="AK143" s="101">
        <f t="shared" si="99"/>
        <v>41.7</v>
      </c>
      <c r="AL143" s="101">
        <f t="shared" si="100"/>
        <v>41.7</v>
      </c>
      <c r="AM143" s="1" t="str">
        <f>VLOOKUP(B:B,'7店辅助表'!AZ:AZ,1,FALSE)</f>
        <v>Y72431-OR+Y72433+Y72531</v>
      </c>
      <c r="AN143" t="str">
        <f>VLOOKUP(B:B,'7店辅助表'!AZ:BB,3,FALSE)</f>
        <v>US</v>
      </c>
    </row>
    <row r="144" customHeight="1" spans="1:40">
      <c r="A144" s="58" t="str">
        <f>INDEX('[1]7店'!$A:$A,MATCH(B:B,'[1]7店'!$B:$B,0))</f>
        <v>美珠</v>
      </c>
      <c r="B144" s="116" t="s">
        <v>2522</v>
      </c>
      <c r="C144" s="45" t="s">
        <v>2523</v>
      </c>
      <c r="D144" s="59">
        <f>VLOOKUP(B:B,'[1]7店'!$B:$L,3,0)</f>
        <v>45074</v>
      </c>
      <c r="E144" s="45" t="s">
        <v>2524</v>
      </c>
      <c r="F144" s="45">
        <v>10</v>
      </c>
      <c r="G144" s="45">
        <v>0</v>
      </c>
      <c r="H144" s="45">
        <v>0</v>
      </c>
      <c r="I144" s="45">
        <v>0</v>
      </c>
      <c r="J144" s="45">
        <v>0</v>
      </c>
      <c r="K144" s="63">
        <f t="shared" si="90"/>
        <v>10</v>
      </c>
      <c r="L144" s="132">
        <f>VLOOKUP($B:$B,'[1]7店'!$B:$L,11,FALSE)</f>
        <v>13.9</v>
      </c>
      <c r="M144" s="44">
        <f t="shared" si="89"/>
        <v>139</v>
      </c>
      <c r="N144" s="65">
        <f>IFERROR(VLOOKUP(B:B,'7店辅助表'!B:C,2,FALSE),0)</f>
        <v>0</v>
      </c>
      <c r="O144" s="65">
        <f>IFERROR(VLOOKUP(B:B,'7店辅助表'!E:F,2,FALSE),0)</f>
        <v>0</v>
      </c>
      <c r="P144" s="65">
        <f>IFERROR(VLOOKUP(B:B,'7店辅助表'!H:I,2,FALSE),0)</f>
        <v>0</v>
      </c>
      <c r="Q144" s="65">
        <f>IFERROR(VLOOKUP(B:B,'[1]7店'!$B:$N,13,FALSE),0)</f>
        <v>0</v>
      </c>
      <c r="R144" s="79">
        <f t="shared" si="91"/>
        <v>0</v>
      </c>
      <c r="S144" s="80" t="str">
        <f t="shared" si="92"/>
        <v>-</v>
      </c>
      <c r="T144" s="44" t="str">
        <f t="shared" si="93"/>
        <v>-</v>
      </c>
      <c r="U144" s="44" t="str">
        <f>IFERROR(VLOOKUP($B:$B,'[1]7店'!$B:$T,19,FALSE),0)</f>
        <v>-</v>
      </c>
      <c r="V144" s="81" t="str">
        <f t="shared" si="94"/>
        <v>-</v>
      </c>
      <c r="W144" s="82" t="str">
        <f t="shared" si="95"/>
        <v>有库存无销量</v>
      </c>
      <c r="X144" s="83" t="str">
        <f t="shared" si="96"/>
        <v>有库存无销量</v>
      </c>
      <c r="Y144" s="44">
        <f>IFERROR(SUMIF('7店辅助表'!K:K,B:B,'7店辅助表'!N:N),0)</f>
        <v>0</v>
      </c>
      <c r="Z144" s="44">
        <f>IFERROR(SUMIF('7店辅助表'!T:T,B:B,'7店辅助表'!W:W),0)</f>
        <v>0</v>
      </c>
      <c r="AA144" s="44">
        <f>IFERROR(SUMIF('7店辅助表'!AC:AC,B:B,'7店辅助表'!AF:AF),0)</f>
        <v>0</v>
      </c>
      <c r="AB144" s="91" t="str">
        <f>IFERROR(SUMIF('7店辅助表'!K:K,B:B,'7店辅助表'!N:N)/SUMIF('7店辅助表'!K:K,B:B,'7店辅助表'!O:O),"-")</f>
        <v>-</v>
      </c>
      <c r="AC144" s="91" t="str">
        <f>IFERROR(VLOOKUP(B:B,'[1]7店'!$B:$AB,27,FALSE),"-")</f>
        <v>-</v>
      </c>
      <c r="AD144" s="92" t="str">
        <f t="shared" si="97"/>
        <v>-</v>
      </c>
      <c r="AE144" s="91" t="str">
        <f>IFERROR(SUMIF('7店辅助表'!T:T,B:B,'7店辅助表'!W:W)/SUMIF('7店辅助表'!T:T,B:B,'7店辅助表'!X:X),"-")</f>
        <v>-</v>
      </c>
      <c r="AF144" s="91" t="str">
        <f>IFERROR(SUMIF('7店辅助表'!AC:AC,B:B,'7店辅助表'!AF:AF)/SUMIF('7店辅助表'!AC:AC,B:B,'7店辅助表'!AG:AG),"-")</f>
        <v>-</v>
      </c>
      <c r="AG144" s="99">
        <f>IFERROR(AK144/((SUMIF('7店辅助表'!AT:AT,B:B,'7店辅助表'!AU:AU)+M144)/2),"-")</f>
        <v>0</v>
      </c>
      <c r="AH144" s="99">
        <f>IFERROR(AL144/((SUMIF('7店辅助表'!AW:AW,B:B,'7店辅助表'!AX:AX)+M144)/2),"-")</f>
        <v>0</v>
      </c>
      <c r="AI144" s="100" t="str">
        <f>IFERROR((SUMIF('7店辅助表'!AP:AP,B:B,'7店辅助表'!AR:AR)-SUMIF('7店辅助表'!AP:AP,B:B,'7店辅助表'!AR:AR)*0.15-(L144+IFERROR(VLOOKUP(B:B,'7店辅助表'!AZ:BA,2,0),0))*O144-IF(AN:AN="US",6.85,4.9)*(Z144+4.27*O144))/SUMIF('7店辅助表'!AP:AP,B:B,'7店辅助表'!AR:AR),"-")</f>
        <v>-</v>
      </c>
      <c r="AJ144" s="100" t="str">
        <f t="shared" si="98"/>
        <v>-</v>
      </c>
      <c r="AK144" s="101">
        <f t="shared" si="99"/>
        <v>0</v>
      </c>
      <c r="AL144" s="101">
        <f t="shared" si="100"/>
        <v>0</v>
      </c>
      <c r="AM144" s="1" t="str">
        <f>VLOOKUP(B:B,'7店辅助表'!AZ:AZ,1,FALSE)</f>
        <v>Y7009-BU-ZH</v>
      </c>
      <c r="AN144" t="str">
        <f>VLOOKUP(B:B,'7店辅助表'!AZ:BB,3,FALSE)</f>
        <v>US</v>
      </c>
    </row>
    <row r="145" customHeight="1" spans="1:40">
      <c r="A145" s="58" t="str">
        <f>INDEX('[1]7店'!$A:$A,MATCH(B:B,'[1]7店'!$B:$B,0))</f>
        <v>美珠</v>
      </c>
      <c r="B145" s="116" t="s">
        <v>2525</v>
      </c>
      <c r="C145" s="45" t="s">
        <v>2526</v>
      </c>
      <c r="D145" s="59">
        <f>VLOOKUP(B:B,'[1]7店'!$B:$L,3,0)</f>
        <v>45074</v>
      </c>
      <c r="E145" s="45" t="s">
        <v>2527</v>
      </c>
      <c r="F145" s="45">
        <v>9</v>
      </c>
      <c r="G145" s="45">
        <v>0</v>
      </c>
      <c r="H145" s="45">
        <v>0</v>
      </c>
      <c r="I145" s="45">
        <v>0</v>
      </c>
      <c r="J145" s="45">
        <v>0</v>
      </c>
      <c r="K145" s="63">
        <f t="shared" si="90"/>
        <v>9</v>
      </c>
      <c r="L145" s="132">
        <f>VLOOKUP($B:$B,'[1]7店'!$B:$L,11,FALSE)</f>
        <v>13.9</v>
      </c>
      <c r="M145" s="44">
        <f t="shared" si="89"/>
        <v>125.1</v>
      </c>
      <c r="N145" s="65">
        <f>IFERROR(VLOOKUP(B:B,'7店辅助表'!B:C,2,FALSE),0)</f>
        <v>0</v>
      </c>
      <c r="O145" s="65">
        <f>IFERROR(VLOOKUP(B:B,'7店辅助表'!E:F,2,FALSE),0)</f>
        <v>0</v>
      </c>
      <c r="P145" s="65">
        <f>IFERROR(VLOOKUP(B:B,'7店辅助表'!H:I,2,FALSE),0)</f>
        <v>0</v>
      </c>
      <c r="Q145" s="65">
        <f>IFERROR(VLOOKUP(B:B,'[1]7店'!$B:$N,13,FALSE),0)</f>
        <v>0</v>
      </c>
      <c r="R145" s="79">
        <f t="shared" si="91"/>
        <v>0</v>
      </c>
      <c r="S145" s="80" t="str">
        <f t="shared" si="92"/>
        <v>-</v>
      </c>
      <c r="T145" s="44" t="str">
        <f t="shared" si="93"/>
        <v>-</v>
      </c>
      <c r="U145" s="44" t="str">
        <f>IFERROR(VLOOKUP($B:$B,'[1]7店'!$B:$T,19,FALSE),0)</f>
        <v>-</v>
      </c>
      <c r="V145" s="81" t="str">
        <f t="shared" si="94"/>
        <v>-</v>
      </c>
      <c r="W145" s="82" t="str">
        <f t="shared" si="95"/>
        <v>有库存无销量</v>
      </c>
      <c r="X145" s="83" t="str">
        <f t="shared" si="96"/>
        <v>有库存无销量</v>
      </c>
      <c r="Y145" s="44">
        <f>IFERROR(SUMIF('7店辅助表'!K:K,B:B,'7店辅助表'!N:N),0)</f>
        <v>0</v>
      </c>
      <c r="Z145" s="44">
        <f>IFERROR(SUMIF('7店辅助表'!T:T,B:B,'7店辅助表'!W:W),0)</f>
        <v>0</v>
      </c>
      <c r="AA145" s="44">
        <f>IFERROR(SUMIF('7店辅助表'!AC:AC,B:B,'7店辅助表'!AF:AF),0)</f>
        <v>0</v>
      </c>
      <c r="AB145" s="91" t="str">
        <f>IFERROR(SUMIF('7店辅助表'!K:K,B:B,'7店辅助表'!N:N)/SUMIF('7店辅助表'!K:K,B:B,'7店辅助表'!O:O),"-")</f>
        <v>-</v>
      </c>
      <c r="AC145" s="91" t="str">
        <f>IFERROR(VLOOKUP(B:B,'[1]7店'!$B:$AB,27,FALSE),"-")</f>
        <v>-</v>
      </c>
      <c r="AD145" s="92" t="str">
        <f t="shared" si="97"/>
        <v>-</v>
      </c>
      <c r="AE145" s="91" t="str">
        <f>IFERROR(SUMIF('7店辅助表'!T:T,B:B,'7店辅助表'!W:W)/SUMIF('7店辅助表'!T:T,B:B,'7店辅助表'!X:X),"-")</f>
        <v>-</v>
      </c>
      <c r="AF145" s="91" t="str">
        <f>IFERROR(SUMIF('7店辅助表'!AC:AC,B:B,'7店辅助表'!AF:AF)/SUMIF('7店辅助表'!AC:AC,B:B,'7店辅助表'!AG:AG),"-")</f>
        <v>-</v>
      </c>
      <c r="AG145" s="99">
        <f>IFERROR(AK145/((SUMIF('7店辅助表'!AT:AT,B:B,'7店辅助表'!AU:AU)+M145)/2),"-")</f>
        <v>0</v>
      </c>
      <c r="AH145" s="99">
        <f>IFERROR(AL145/((SUMIF('7店辅助表'!AW:AW,B:B,'7店辅助表'!AX:AX)+M145)/2),"-")</f>
        <v>0</v>
      </c>
      <c r="AI145" s="100" t="str">
        <f>IFERROR((SUMIF('7店辅助表'!AP:AP,B:B,'7店辅助表'!AR:AR)-SUMIF('7店辅助表'!AP:AP,B:B,'7店辅助表'!AR:AR)*0.15-(L145+IFERROR(VLOOKUP(B:B,'7店辅助表'!AZ:BA,2,0),0))*O145-IF(AN:AN="US",6.85,4.9)*(Z145+4.27*O145))/SUMIF('7店辅助表'!AP:AP,B:B,'7店辅助表'!AR:AR),"-")</f>
        <v>-</v>
      </c>
      <c r="AJ145" s="100" t="str">
        <f t="shared" si="98"/>
        <v>-</v>
      </c>
      <c r="AK145" s="101">
        <f t="shared" si="99"/>
        <v>0</v>
      </c>
      <c r="AL145" s="101">
        <f t="shared" si="100"/>
        <v>0</v>
      </c>
      <c r="AM145" s="1" t="str">
        <f>VLOOKUP(B:B,'7店辅助表'!AZ:AZ,1,FALSE)</f>
        <v>Y7009-DB-ZH</v>
      </c>
      <c r="AN145" t="str">
        <f>VLOOKUP(B:B,'7店辅助表'!AZ:BB,3,FALSE)</f>
        <v>US</v>
      </c>
    </row>
    <row r="146" customHeight="1" spans="1:40">
      <c r="A146" s="58" t="str">
        <f>INDEX('[1]7店'!$A:$A,MATCH(B:B,'[1]7店'!$B:$B,0))</f>
        <v>美珠</v>
      </c>
      <c r="B146" s="116" t="s">
        <v>2528</v>
      </c>
      <c r="C146" s="45" t="s">
        <v>2529</v>
      </c>
      <c r="D146" s="59">
        <f>VLOOKUP(B:B,'[1]7店'!$B:$L,3,0)</f>
        <v>45074</v>
      </c>
      <c r="E146" s="45" t="s">
        <v>2530</v>
      </c>
      <c r="F146" s="45">
        <v>8</v>
      </c>
      <c r="G146" s="45">
        <v>0</v>
      </c>
      <c r="H146" s="45">
        <v>0</v>
      </c>
      <c r="I146" s="45">
        <v>0</v>
      </c>
      <c r="J146" s="45">
        <v>0</v>
      </c>
      <c r="K146" s="63">
        <f t="shared" si="90"/>
        <v>8</v>
      </c>
      <c r="L146" s="132">
        <f>VLOOKUP($B:$B,'[1]7店'!$B:$L,11,FALSE)</f>
        <v>13.9</v>
      </c>
      <c r="M146" s="44">
        <f t="shared" si="89"/>
        <v>111.2</v>
      </c>
      <c r="N146" s="65">
        <f>IFERROR(VLOOKUP(B:B,'7店辅助表'!B:C,2,FALSE),0)</f>
        <v>0</v>
      </c>
      <c r="O146" s="65">
        <f>IFERROR(VLOOKUP(B:B,'7店辅助表'!E:F,2,FALSE),0)</f>
        <v>0</v>
      </c>
      <c r="P146" s="65">
        <f>IFERROR(VLOOKUP(B:B,'7店辅助表'!H:I,2,FALSE),0)</f>
        <v>0</v>
      </c>
      <c r="Q146" s="65">
        <f>IFERROR(VLOOKUP(B:B,'[1]7店'!$B:$N,13,FALSE),0)</f>
        <v>0</v>
      </c>
      <c r="R146" s="79">
        <f t="shared" si="91"/>
        <v>0</v>
      </c>
      <c r="S146" s="80" t="str">
        <f t="shared" si="92"/>
        <v>-</v>
      </c>
      <c r="T146" s="44" t="str">
        <f t="shared" si="93"/>
        <v>-</v>
      </c>
      <c r="U146" s="44" t="str">
        <f>IFERROR(VLOOKUP($B:$B,'[1]7店'!$B:$T,19,FALSE),0)</f>
        <v>-</v>
      </c>
      <c r="V146" s="81" t="str">
        <f t="shared" si="94"/>
        <v>-</v>
      </c>
      <c r="W146" s="82" t="str">
        <f t="shared" si="95"/>
        <v>有库存无销量</v>
      </c>
      <c r="X146" s="83" t="str">
        <f t="shared" si="96"/>
        <v>有库存无销量</v>
      </c>
      <c r="Y146" s="44">
        <f>IFERROR(SUMIF('7店辅助表'!K:K,B:B,'7店辅助表'!N:N),0)</f>
        <v>0</v>
      </c>
      <c r="Z146" s="44">
        <f>IFERROR(SUMIF('7店辅助表'!T:T,B:B,'7店辅助表'!W:W),0)</f>
        <v>0</v>
      </c>
      <c r="AA146" s="44">
        <f>IFERROR(SUMIF('7店辅助表'!AC:AC,B:B,'7店辅助表'!AF:AF),0)</f>
        <v>0</v>
      </c>
      <c r="AB146" s="91" t="str">
        <f>IFERROR(SUMIF('7店辅助表'!K:K,B:B,'7店辅助表'!N:N)/SUMIF('7店辅助表'!K:K,B:B,'7店辅助表'!O:O),"-")</f>
        <v>-</v>
      </c>
      <c r="AC146" s="91" t="str">
        <f>IFERROR(VLOOKUP(B:B,'[1]7店'!$B:$AB,27,FALSE),"-")</f>
        <v>-</v>
      </c>
      <c r="AD146" s="92" t="str">
        <f t="shared" si="97"/>
        <v>-</v>
      </c>
      <c r="AE146" s="91" t="str">
        <f>IFERROR(SUMIF('7店辅助表'!T:T,B:B,'7店辅助表'!W:W)/SUMIF('7店辅助表'!T:T,B:B,'7店辅助表'!X:X),"-")</f>
        <v>-</v>
      </c>
      <c r="AF146" s="91" t="str">
        <f>IFERROR(SUMIF('7店辅助表'!AC:AC,B:B,'7店辅助表'!AF:AF)/SUMIF('7店辅助表'!AC:AC,B:B,'7店辅助表'!AG:AG),"-")</f>
        <v>-</v>
      </c>
      <c r="AG146" s="99">
        <f>IFERROR(AK146/((SUMIF('7店辅助表'!AT:AT,B:B,'7店辅助表'!AU:AU)+M146)/2),"-")</f>
        <v>0</v>
      </c>
      <c r="AH146" s="99">
        <f>IFERROR(AL146/((SUMIF('7店辅助表'!AW:AW,B:B,'7店辅助表'!AX:AX)+M146)/2),"-")</f>
        <v>0</v>
      </c>
      <c r="AI146" s="100" t="str">
        <f>IFERROR((SUMIF('7店辅助表'!AP:AP,B:B,'7店辅助表'!AR:AR)-SUMIF('7店辅助表'!AP:AP,B:B,'7店辅助表'!AR:AR)*0.15-(L146+IFERROR(VLOOKUP(B:B,'7店辅助表'!AZ:BA,2,0),0))*O146-IF(AN:AN="US",6.85,4.9)*(Z146+4.27*O146))/SUMIF('7店辅助表'!AP:AP,B:B,'7店辅助表'!AR:AR),"-")</f>
        <v>-</v>
      </c>
      <c r="AJ146" s="100" t="str">
        <f t="shared" si="98"/>
        <v>-</v>
      </c>
      <c r="AK146" s="101">
        <f t="shared" si="99"/>
        <v>0</v>
      </c>
      <c r="AL146" s="101">
        <f t="shared" si="100"/>
        <v>0</v>
      </c>
      <c r="AM146" s="1" t="str">
        <f>VLOOKUP(B:B,'7店辅助表'!AZ:AZ,1,FALSE)</f>
        <v>Y7009-OR-ZH</v>
      </c>
      <c r="AN146" t="str">
        <f>VLOOKUP(B:B,'7店辅助表'!AZ:BB,3,FALSE)</f>
        <v>US</v>
      </c>
    </row>
    <row r="147" customHeight="1" spans="1:40">
      <c r="A147" s="58" t="str">
        <f>INDEX('[1]7店'!$A:$A,MATCH(B:B,'[1]7店'!$B:$B,0))</f>
        <v>美珠</v>
      </c>
      <c r="B147" s="116" t="s">
        <v>2531</v>
      </c>
      <c r="C147" s="45" t="s">
        <v>2532</v>
      </c>
      <c r="D147" s="59">
        <f>VLOOKUP(B:B,'[1]7店'!$B:$L,3,0)</f>
        <v>45074</v>
      </c>
      <c r="E147" s="45" t="s">
        <v>2533</v>
      </c>
      <c r="F147" s="45">
        <v>4</v>
      </c>
      <c r="G147" s="45">
        <v>0</v>
      </c>
      <c r="H147" s="45">
        <v>0</v>
      </c>
      <c r="I147" s="45">
        <v>0</v>
      </c>
      <c r="J147" s="45">
        <v>0</v>
      </c>
      <c r="K147" s="63">
        <f t="shared" si="90"/>
        <v>4</v>
      </c>
      <c r="L147" s="132">
        <f>VLOOKUP($B:$B,'[1]7店'!$B:$L,11,FALSE)</f>
        <v>13.9</v>
      </c>
      <c r="M147" s="44">
        <f t="shared" si="89"/>
        <v>55.6</v>
      </c>
      <c r="N147" s="65">
        <f>IFERROR(VLOOKUP(B:B,'7店辅助表'!B:C,2,FALSE),0)</f>
        <v>0</v>
      </c>
      <c r="O147" s="65">
        <f>IFERROR(VLOOKUP(B:B,'7店辅助表'!E:F,2,FALSE),0)</f>
        <v>0</v>
      </c>
      <c r="P147" s="65">
        <f>IFERROR(VLOOKUP(B:B,'7店辅助表'!H:I,2,FALSE),0)</f>
        <v>0</v>
      </c>
      <c r="Q147" s="65">
        <f>IFERROR(VLOOKUP(B:B,'[1]7店'!$B:$N,13,FALSE),0)</f>
        <v>0</v>
      </c>
      <c r="R147" s="79">
        <f t="shared" si="91"/>
        <v>0</v>
      </c>
      <c r="S147" s="80" t="str">
        <f t="shared" si="92"/>
        <v>-</v>
      </c>
      <c r="T147" s="44" t="str">
        <f t="shared" si="93"/>
        <v>-</v>
      </c>
      <c r="U147" s="44" t="str">
        <f>IFERROR(VLOOKUP($B:$B,'[1]7店'!$B:$T,19,FALSE),0)</f>
        <v>-</v>
      </c>
      <c r="V147" s="81" t="str">
        <f t="shared" si="94"/>
        <v>-</v>
      </c>
      <c r="W147" s="82" t="str">
        <f t="shared" si="95"/>
        <v>有库存无销量</v>
      </c>
      <c r="X147" s="83" t="str">
        <f t="shared" si="96"/>
        <v>有库存无销量</v>
      </c>
      <c r="Y147" s="44">
        <f>IFERROR(SUMIF('7店辅助表'!K:K,B:B,'7店辅助表'!N:N),0)</f>
        <v>0</v>
      </c>
      <c r="Z147" s="44">
        <f>IFERROR(SUMIF('7店辅助表'!T:T,B:B,'7店辅助表'!W:W),0)</f>
        <v>0</v>
      </c>
      <c r="AA147" s="44">
        <f>IFERROR(SUMIF('7店辅助表'!AC:AC,B:B,'7店辅助表'!AF:AF),0)</f>
        <v>0</v>
      </c>
      <c r="AB147" s="91" t="str">
        <f>IFERROR(SUMIF('7店辅助表'!K:K,B:B,'7店辅助表'!N:N)/SUMIF('7店辅助表'!K:K,B:B,'7店辅助表'!O:O),"-")</f>
        <v>-</v>
      </c>
      <c r="AC147" s="91" t="str">
        <f>IFERROR(VLOOKUP(B:B,'[1]7店'!$B:$AB,27,FALSE),"-")</f>
        <v>-</v>
      </c>
      <c r="AD147" s="92" t="str">
        <f t="shared" si="97"/>
        <v>-</v>
      </c>
      <c r="AE147" s="91" t="str">
        <f>IFERROR(SUMIF('7店辅助表'!T:T,B:B,'7店辅助表'!W:W)/SUMIF('7店辅助表'!T:T,B:B,'7店辅助表'!X:X),"-")</f>
        <v>-</v>
      </c>
      <c r="AF147" s="91" t="str">
        <f>IFERROR(SUMIF('7店辅助表'!AC:AC,B:B,'7店辅助表'!AF:AF)/SUMIF('7店辅助表'!AC:AC,B:B,'7店辅助表'!AG:AG),"-")</f>
        <v>-</v>
      </c>
      <c r="AG147" s="99">
        <f>IFERROR(AK147/((SUMIF('7店辅助表'!AT:AT,B:B,'7店辅助表'!AU:AU)+M147)/2),"-")</f>
        <v>0</v>
      </c>
      <c r="AH147" s="99">
        <f>IFERROR(AL147/((SUMIF('7店辅助表'!AW:AW,B:B,'7店辅助表'!AX:AX)+M147)/2),"-")</f>
        <v>0</v>
      </c>
      <c r="AI147" s="100" t="str">
        <f>IFERROR((SUMIF('7店辅助表'!AP:AP,B:B,'7店辅助表'!AR:AR)-SUMIF('7店辅助表'!AP:AP,B:B,'7店辅助表'!AR:AR)*0.15-(L147+IFERROR(VLOOKUP(B:B,'7店辅助表'!AZ:BA,2,0),0))*O147-IF(AN:AN="US",6.85,4.9)*(Z147+4.27*O147))/SUMIF('7店辅助表'!AP:AP,B:B,'7店辅助表'!AR:AR),"-")</f>
        <v>-</v>
      </c>
      <c r="AJ147" s="100" t="str">
        <f t="shared" si="98"/>
        <v>-</v>
      </c>
      <c r="AK147" s="101">
        <f t="shared" si="99"/>
        <v>0</v>
      </c>
      <c r="AL147" s="101">
        <f t="shared" si="100"/>
        <v>0</v>
      </c>
      <c r="AM147" s="1" t="str">
        <f>VLOOKUP(B:B,'7店辅助表'!AZ:AZ,1,FALSE)</f>
        <v>Y7003-BL-ZH</v>
      </c>
      <c r="AN147" t="str">
        <f>VLOOKUP(B:B,'7店辅助表'!AZ:BB,3,FALSE)</f>
        <v>US</v>
      </c>
    </row>
    <row r="148" customHeight="1" spans="1:40">
      <c r="A148" s="58" t="str">
        <f>INDEX('[1]7店'!$A:$A,MATCH(B:B,'[1]7店'!$B:$B,0))</f>
        <v>美珠</v>
      </c>
      <c r="B148" s="116" t="s">
        <v>2534</v>
      </c>
      <c r="C148" s="45" t="s">
        <v>2535</v>
      </c>
      <c r="D148" s="59">
        <f>VLOOKUP(B:B,'[1]7店'!$B:$L,3,0)</f>
        <v>45074</v>
      </c>
      <c r="E148" s="45" t="s">
        <v>2536</v>
      </c>
      <c r="F148" s="45">
        <v>10</v>
      </c>
      <c r="G148" s="45">
        <v>0</v>
      </c>
      <c r="H148" s="45">
        <v>0</v>
      </c>
      <c r="I148" s="45">
        <v>0</v>
      </c>
      <c r="J148" s="45">
        <v>0</v>
      </c>
      <c r="K148" s="63">
        <f t="shared" si="90"/>
        <v>10</v>
      </c>
      <c r="L148" s="132">
        <f>VLOOKUP($B:$B,'[1]7店'!$B:$L,11,FALSE)</f>
        <v>13.9</v>
      </c>
      <c r="M148" s="44">
        <f t="shared" si="89"/>
        <v>139</v>
      </c>
      <c r="N148" s="65">
        <f>IFERROR(VLOOKUP(B:B,'7店辅助表'!B:C,2,FALSE),0)</f>
        <v>0</v>
      </c>
      <c r="O148" s="65">
        <f>IFERROR(VLOOKUP(B:B,'7店辅助表'!E:F,2,FALSE),0)</f>
        <v>0</v>
      </c>
      <c r="P148" s="65">
        <f>IFERROR(VLOOKUP(B:B,'7店辅助表'!H:I,2,FALSE),0)</f>
        <v>0</v>
      </c>
      <c r="Q148" s="65">
        <f>IFERROR(VLOOKUP(B:B,'[1]7店'!$B:$N,13,FALSE),0)</f>
        <v>0</v>
      </c>
      <c r="R148" s="79">
        <f t="shared" si="91"/>
        <v>0</v>
      </c>
      <c r="S148" s="80" t="str">
        <f t="shared" si="92"/>
        <v>-</v>
      </c>
      <c r="T148" s="44" t="str">
        <f t="shared" si="93"/>
        <v>-</v>
      </c>
      <c r="U148" s="44" t="str">
        <f>IFERROR(VLOOKUP($B:$B,'[1]7店'!$B:$T,19,FALSE),0)</f>
        <v>-</v>
      </c>
      <c r="V148" s="81" t="str">
        <f t="shared" si="94"/>
        <v>-</v>
      </c>
      <c r="W148" s="82" t="str">
        <f t="shared" si="95"/>
        <v>有库存无销量</v>
      </c>
      <c r="X148" s="83" t="str">
        <f t="shared" si="96"/>
        <v>有库存无销量</v>
      </c>
      <c r="Y148" s="44">
        <f>IFERROR(SUMIF('7店辅助表'!K:K,B:B,'7店辅助表'!N:N),0)</f>
        <v>0</v>
      </c>
      <c r="Z148" s="44">
        <f>IFERROR(SUMIF('7店辅助表'!T:T,B:B,'7店辅助表'!W:W),0)</f>
        <v>0</v>
      </c>
      <c r="AA148" s="44">
        <f>IFERROR(SUMIF('7店辅助表'!AC:AC,B:B,'7店辅助表'!AF:AF),0)</f>
        <v>0</v>
      </c>
      <c r="AB148" s="91" t="str">
        <f>IFERROR(SUMIF('7店辅助表'!K:K,B:B,'7店辅助表'!N:N)/SUMIF('7店辅助表'!K:K,B:B,'7店辅助表'!O:O),"-")</f>
        <v>-</v>
      </c>
      <c r="AC148" s="91" t="str">
        <f>IFERROR(VLOOKUP(B:B,'[1]7店'!$B:$AB,27,FALSE),"-")</f>
        <v>-</v>
      </c>
      <c r="AD148" s="92" t="str">
        <f t="shared" si="97"/>
        <v>-</v>
      </c>
      <c r="AE148" s="91" t="str">
        <f>IFERROR(SUMIF('7店辅助表'!T:T,B:B,'7店辅助表'!W:W)/SUMIF('7店辅助表'!T:T,B:B,'7店辅助表'!X:X),"-")</f>
        <v>-</v>
      </c>
      <c r="AF148" s="91" t="str">
        <f>IFERROR(SUMIF('7店辅助表'!AC:AC,B:B,'7店辅助表'!AF:AF)/SUMIF('7店辅助表'!AC:AC,B:B,'7店辅助表'!AG:AG),"-")</f>
        <v>-</v>
      </c>
      <c r="AG148" s="99">
        <f>IFERROR(AK148/((SUMIF('7店辅助表'!AT:AT,B:B,'7店辅助表'!AU:AU)+M148)/2),"-")</f>
        <v>0</v>
      </c>
      <c r="AH148" s="99">
        <f>IFERROR(AL148/((SUMIF('7店辅助表'!AW:AW,B:B,'7店辅助表'!AX:AX)+M148)/2),"-")</f>
        <v>0</v>
      </c>
      <c r="AI148" s="100" t="str">
        <f>IFERROR((SUMIF('7店辅助表'!AP:AP,B:B,'7店辅助表'!AR:AR)-SUMIF('7店辅助表'!AP:AP,B:B,'7店辅助表'!AR:AR)*0.15-(L148+IFERROR(VLOOKUP(B:B,'7店辅助表'!AZ:BA,2,0),0))*O148-IF(AN:AN="US",6.85,4.9)*(Z148+4.27*O148))/SUMIF('7店辅助表'!AP:AP,B:B,'7店辅助表'!AR:AR),"-")</f>
        <v>-</v>
      </c>
      <c r="AJ148" s="100" t="str">
        <f t="shared" si="98"/>
        <v>-</v>
      </c>
      <c r="AK148" s="101">
        <f t="shared" si="99"/>
        <v>0</v>
      </c>
      <c r="AL148" s="101">
        <f t="shared" si="100"/>
        <v>0</v>
      </c>
      <c r="AM148" s="1" t="str">
        <f>VLOOKUP(B:B,'7店辅助表'!AZ:AZ,1,FALSE)</f>
        <v>Y7003-BU-ZH</v>
      </c>
      <c r="AN148" t="str">
        <f>VLOOKUP(B:B,'7店辅助表'!AZ:BB,3,FALSE)</f>
        <v>US</v>
      </c>
    </row>
    <row r="149" customHeight="1" spans="1:40">
      <c r="A149" s="58" t="str">
        <f>INDEX('[1]7店'!$A:$A,MATCH(B:B,'[1]7店'!$B:$B,0))</f>
        <v>美珠</v>
      </c>
      <c r="B149" s="116" t="s">
        <v>2537</v>
      </c>
      <c r="C149" s="45" t="s">
        <v>2538</v>
      </c>
      <c r="D149" s="59">
        <f>VLOOKUP(B:B,'[1]7店'!$B:$L,3,0)</f>
        <v>45074</v>
      </c>
      <c r="E149" s="45" t="s">
        <v>2539</v>
      </c>
      <c r="F149" s="45">
        <v>10</v>
      </c>
      <c r="G149" s="45">
        <v>0</v>
      </c>
      <c r="H149" s="45">
        <v>0</v>
      </c>
      <c r="I149" s="45">
        <v>0</v>
      </c>
      <c r="J149" s="45">
        <v>0</v>
      </c>
      <c r="K149" s="63">
        <f t="shared" si="90"/>
        <v>10</v>
      </c>
      <c r="L149" s="132">
        <f>VLOOKUP($B:$B,'[1]7店'!$B:$L,11,FALSE)</f>
        <v>13.9</v>
      </c>
      <c r="M149" s="44">
        <f t="shared" si="89"/>
        <v>139</v>
      </c>
      <c r="N149" s="65">
        <f>IFERROR(VLOOKUP(B:B,'7店辅助表'!B:C,2,FALSE),0)</f>
        <v>0</v>
      </c>
      <c r="O149" s="65">
        <f>IFERROR(VLOOKUP(B:B,'7店辅助表'!E:F,2,FALSE),0)</f>
        <v>0</v>
      </c>
      <c r="P149" s="65">
        <f>IFERROR(VLOOKUP(B:B,'7店辅助表'!H:I,2,FALSE),0)</f>
        <v>0</v>
      </c>
      <c r="Q149" s="65">
        <f>IFERROR(VLOOKUP(B:B,'[1]7店'!$B:$N,13,FALSE),0)</f>
        <v>0</v>
      </c>
      <c r="R149" s="79">
        <f t="shared" si="91"/>
        <v>0</v>
      </c>
      <c r="S149" s="80" t="str">
        <f t="shared" si="92"/>
        <v>-</v>
      </c>
      <c r="T149" s="44" t="str">
        <f t="shared" si="93"/>
        <v>-</v>
      </c>
      <c r="U149" s="44" t="str">
        <f>IFERROR(VLOOKUP($B:$B,'[1]7店'!$B:$T,19,FALSE),0)</f>
        <v>-</v>
      </c>
      <c r="V149" s="81" t="str">
        <f t="shared" si="94"/>
        <v>-</v>
      </c>
      <c r="W149" s="82" t="str">
        <f t="shared" si="95"/>
        <v>有库存无销量</v>
      </c>
      <c r="X149" s="83" t="str">
        <f t="shared" si="96"/>
        <v>有库存无销量</v>
      </c>
      <c r="Y149" s="44">
        <f>IFERROR(SUMIF('7店辅助表'!K:K,B:B,'7店辅助表'!N:N),0)</f>
        <v>0</v>
      </c>
      <c r="Z149" s="44">
        <f>IFERROR(SUMIF('7店辅助表'!T:T,B:B,'7店辅助表'!W:W),0)</f>
        <v>0</v>
      </c>
      <c r="AA149" s="44">
        <f>IFERROR(SUMIF('7店辅助表'!AC:AC,B:B,'7店辅助表'!AF:AF),0)</f>
        <v>0</v>
      </c>
      <c r="AB149" s="91" t="str">
        <f>IFERROR(SUMIF('7店辅助表'!K:K,B:B,'7店辅助表'!N:N)/SUMIF('7店辅助表'!K:K,B:B,'7店辅助表'!O:O),"-")</f>
        <v>-</v>
      </c>
      <c r="AC149" s="91" t="str">
        <f>IFERROR(VLOOKUP(B:B,'[1]7店'!$B:$AB,27,FALSE),"-")</f>
        <v>-</v>
      </c>
      <c r="AD149" s="92" t="str">
        <f t="shared" si="97"/>
        <v>-</v>
      </c>
      <c r="AE149" s="91" t="str">
        <f>IFERROR(SUMIF('7店辅助表'!T:T,B:B,'7店辅助表'!W:W)/SUMIF('7店辅助表'!T:T,B:B,'7店辅助表'!X:X),"-")</f>
        <v>-</v>
      </c>
      <c r="AF149" s="91" t="str">
        <f>IFERROR(SUMIF('7店辅助表'!AC:AC,B:B,'7店辅助表'!AF:AF)/SUMIF('7店辅助表'!AC:AC,B:B,'7店辅助表'!AG:AG),"-")</f>
        <v>-</v>
      </c>
      <c r="AG149" s="99">
        <f>IFERROR(AK149/((SUMIF('7店辅助表'!AT:AT,B:B,'7店辅助表'!AU:AU)+M149)/2),"-")</f>
        <v>0</v>
      </c>
      <c r="AH149" s="99">
        <f>IFERROR(AL149/((SUMIF('7店辅助表'!AW:AW,B:B,'7店辅助表'!AX:AX)+M149)/2),"-")</f>
        <v>0</v>
      </c>
      <c r="AI149" s="100" t="str">
        <f>IFERROR((SUMIF('7店辅助表'!AP:AP,B:B,'7店辅助表'!AR:AR)-SUMIF('7店辅助表'!AP:AP,B:B,'7店辅助表'!AR:AR)*0.15-(L149+IFERROR(VLOOKUP(B:B,'7店辅助表'!AZ:BA,2,0),0))*O149-IF(AN:AN="US",6.85,4.9)*(Z149+4.27*O149))/SUMIF('7店辅助表'!AP:AP,B:B,'7店辅助表'!AR:AR),"-")</f>
        <v>-</v>
      </c>
      <c r="AJ149" s="100" t="str">
        <f t="shared" si="98"/>
        <v>-</v>
      </c>
      <c r="AK149" s="101">
        <f t="shared" si="99"/>
        <v>0</v>
      </c>
      <c r="AL149" s="101">
        <f t="shared" si="100"/>
        <v>0</v>
      </c>
      <c r="AM149" s="1" t="str">
        <f>VLOOKUP(B:B,'7店辅助表'!AZ:AZ,1,FALSE)</f>
        <v>Y7003-DB-ZH</v>
      </c>
      <c r="AN149" t="str">
        <f>VLOOKUP(B:B,'7店辅助表'!AZ:BB,3,FALSE)</f>
        <v>US</v>
      </c>
    </row>
    <row r="150" customHeight="1" spans="1:40">
      <c r="A150" s="58" t="str">
        <f>INDEX('[1]7店'!$A:$A,MATCH(B:B,'[1]7店'!$B:$B,0))</f>
        <v>美珠</v>
      </c>
      <c r="B150" s="116" t="s">
        <v>2540</v>
      </c>
      <c r="C150" s="45" t="s">
        <v>2541</v>
      </c>
      <c r="D150" s="59">
        <f>VLOOKUP(B:B,'[1]7店'!$B:$L,3,0)</f>
        <v>45074</v>
      </c>
      <c r="E150" s="45" t="s">
        <v>2542</v>
      </c>
      <c r="F150" s="45">
        <v>10</v>
      </c>
      <c r="G150" s="45">
        <v>0</v>
      </c>
      <c r="H150" s="45">
        <v>0</v>
      </c>
      <c r="I150" s="45">
        <v>0</v>
      </c>
      <c r="J150" s="45">
        <v>0</v>
      </c>
      <c r="K150" s="63">
        <f t="shared" si="90"/>
        <v>10</v>
      </c>
      <c r="L150" s="132">
        <f>VLOOKUP($B:$B,'[1]7店'!$B:$L,11,FALSE)</f>
        <v>13.9</v>
      </c>
      <c r="M150" s="44">
        <f t="shared" si="89"/>
        <v>139</v>
      </c>
      <c r="N150" s="65">
        <f>IFERROR(VLOOKUP(B:B,'7店辅助表'!B:C,2,FALSE),0)</f>
        <v>0</v>
      </c>
      <c r="O150" s="65">
        <f>IFERROR(VLOOKUP(B:B,'7店辅助表'!E:F,2,FALSE),0)</f>
        <v>0</v>
      </c>
      <c r="P150" s="65">
        <f>IFERROR(VLOOKUP(B:B,'7店辅助表'!H:I,2,FALSE),0)</f>
        <v>0</v>
      </c>
      <c r="Q150" s="65">
        <f>IFERROR(VLOOKUP(B:B,'[1]7店'!$B:$N,13,FALSE),0)</f>
        <v>0</v>
      </c>
      <c r="R150" s="79">
        <f t="shared" si="91"/>
        <v>0</v>
      </c>
      <c r="S150" s="80" t="str">
        <f t="shared" si="92"/>
        <v>-</v>
      </c>
      <c r="T150" s="44" t="str">
        <f t="shared" si="93"/>
        <v>-</v>
      </c>
      <c r="U150" s="44" t="str">
        <f>IFERROR(VLOOKUP($B:$B,'[1]7店'!$B:$T,19,FALSE),0)</f>
        <v>-</v>
      </c>
      <c r="V150" s="81" t="str">
        <f t="shared" si="94"/>
        <v>-</v>
      </c>
      <c r="W150" s="82" t="str">
        <f t="shared" si="95"/>
        <v>有库存无销量</v>
      </c>
      <c r="X150" s="83" t="str">
        <f t="shared" si="96"/>
        <v>有库存无销量</v>
      </c>
      <c r="Y150" s="44">
        <f>IFERROR(SUMIF('7店辅助表'!K:K,B:B,'7店辅助表'!N:N),0)</f>
        <v>0</v>
      </c>
      <c r="Z150" s="44">
        <f>IFERROR(SUMIF('7店辅助表'!T:T,B:B,'7店辅助表'!W:W),0)</f>
        <v>0</v>
      </c>
      <c r="AA150" s="44">
        <f>IFERROR(SUMIF('7店辅助表'!AC:AC,B:B,'7店辅助表'!AF:AF),0)</f>
        <v>0</v>
      </c>
      <c r="AB150" s="91" t="str">
        <f>IFERROR(SUMIF('7店辅助表'!K:K,B:B,'7店辅助表'!N:N)/SUMIF('7店辅助表'!K:K,B:B,'7店辅助表'!O:O),"-")</f>
        <v>-</v>
      </c>
      <c r="AC150" s="91" t="str">
        <f>IFERROR(VLOOKUP(B:B,'[1]7店'!$B:$AB,27,FALSE),"-")</f>
        <v>-</v>
      </c>
      <c r="AD150" s="92" t="str">
        <f t="shared" si="97"/>
        <v>-</v>
      </c>
      <c r="AE150" s="91" t="str">
        <f>IFERROR(SUMIF('7店辅助表'!T:T,B:B,'7店辅助表'!W:W)/SUMIF('7店辅助表'!T:T,B:B,'7店辅助表'!X:X),"-")</f>
        <v>-</v>
      </c>
      <c r="AF150" s="91" t="str">
        <f>IFERROR(SUMIF('7店辅助表'!AC:AC,B:B,'7店辅助表'!AF:AF)/SUMIF('7店辅助表'!AC:AC,B:B,'7店辅助表'!AG:AG),"-")</f>
        <v>-</v>
      </c>
      <c r="AG150" s="99">
        <f>IFERROR(AK150/((SUMIF('7店辅助表'!AT:AT,B:B,'7店辅助表'!AU:AU)+M150)/2),"-")</f>
        <v>0</v>
      </c>
      <c r="AH150" s="99">
        <f>IFERROR(AL150/((SUMIF('7店辅助表'!AW:AW,B:B,'7店辅助表'!AX:AX)+M150)/2),"-")</f>
        <v>0</v>
      </c>
      <c r="AI150" s="100" t="str">
        <f>IFERROR((SUMIF('7店辅助表'!AP:AP,B:B,'7店辅助表'!AR:AR)-SUMIF('7店辅助表'!AP:AP,B:B,'7店辅助表'!AR:AR)*0.15-(L150+IFERROR(VLOOKUP(B:B,'7店辅助表'!AZ:BA,2,0),0))*O150-IF(AN:AN="US",6.85,4.9)*(Z150+4.27*O150))/SUMIF('7店辅助表'!AP:AP,B:B,'7店辅助表'!AR:AR),"-")</f>
        <v>-</v>
      </c>
      <c r="AJ150" s="100" t="str">
        <f t="shared" si="98"/>
        <v>-</v>
      </c>
      <c r="AK150" s="101">
        <f t="shared" si="99"/>
        <v>0</v>
      </c>
      <c r="AL150" s="101">
        <f t="shared" si="100"/>
        <v>0</v>
      </c>
      <c r="AM150" s="1" t="str">
        <f>VLOOKUP(B:B,'7店辅助表'!AZ:AZ,1,FALSE)</f>
        <v>Y7003-OR-ZH</v>
      </c>
      <c r="AN150" t="str">
        <f>VLOOKUP(B:B,'7店辅助表'!AZ:BB,3,FALSE)</f>
        <v>US</v>
      </c>
    </row>
    <row r="151" customHeight="1" spans="1:40">
      <c r="A151" s="58" t="str">
        <f>INDEX('[1]7店'!$A:$A,MATCH(B:B,'[1]7店'!$B:$B,0))</f>
        <v>美珠</v>
      </c>
      <c r="B151" s="116" t="s">
        <v>2543</v>
      </c>
      <c r="C151" s="45" t="s">
        <v>2544</v>
      </c>
      <c r="D151" s="59">
        <f>VLOOKUP(B:B,'[1]7店'!$B:$L,3,0)</f>
        <v>45086</v>
      </c>
      <c r="E151" s="45" t="s">
        <v>2284</v>
      </c>
      <c r="F151" s="45">
        <v>0</v>
      </c>
      <c r="G151" s="45">
        <v>1</v>
      </c>
      <c r="H151" s="45">
        <v>0</v>
      </c>
      <c r="I151" s="45">
        <v>0</v>
      </c>
      <c r="J151" s="45">
        <v>0</v>
      </c>
      <c r="K151" s="63">
        <f t="shared" si="90"/>
        <v>1</v>
      </c>
      <c r="L151" s="132">
        <f>VLOOKUP($B:$B,'[1]7店'!$B:$L,11,FALSE)</f>
        <v>13.9</v>
      </c>
      <c r="M151" s="44">
        <f t="shared" si="89"/>
        <v>13.9</v>
      </c>
      <c r="N151" s="65">
        <f>IFERROR(VLOOKUP(B:B,'7店辅助表'!B:C,2,FALSE),0)</f>
        <v>0</v>
      </c>
      <c r="O151" s="65">
        <f>IFERROR(VLOOKUP(B:B,'7店辅助表'!E:F,2,FALSE),0)</f>
        <v>0</v>
      </c>
      <c r="P151" s="65">
        <f>IFERROR(VLOOKUP(B:B,'7店辅助表'!H:I,2,FALSE),0)</f>
        <v>0</v>
      </c>
      <c r="Q151" s="65">
        <f>IFERROR(VLOOKUP(B:B,'[1]7店'!$B:$N,13,FALSE),0)</f>
        <v>0</v>
      </c>
      <c r="R151" s="79">
        <f t="shared" si="91"/>
        <v>0</v>
      </c>
      <c r="S151" s="80" t="str">
        <f t="shared" si="92"/>
        <v>-</v>
      </c>
      <c r="T151" s="44" t="str">
        <f t="shared" si="93"/>
        <v>-</v>
      </c>
      <c r="U151" s="44" t="str">
        <f>IFERROR(VLOOKUP($B:$B,'[1]7店'!$B:$T,19,FALSE),0)</f>
        <v>-</v>
      </c>
      <c r="V151" s="81" t="str">
        <f t="shared" si="94"/>
        <v>-</v>
      </c>
      <c r="W151" s="82" t="str">
        <f t="shared" si="95"/>
        <v>有库存无销量</v>
      </c>
      <c r="X151" s="83" t="str">
        <f t="shared" si="96"/>
        <v>有库存无销量</v>
      </c>
      <c r="Y151" s="44">
        <f>IFERROR(SUMIF('7店辅助表'!K:K,B:B,'7店辅助表'!N:N),0)</f>
        <v>0</v>
      </c>
      <c r="Z151" s="44">
        <f>IFERROR(SUMIF('7店辅助表'!T:T,B:B,'7店辅助表'!W:W),0)</f>
        <v>0</v>
      </c>
      <c r="AA151" s="44">
        <f>IFERROR(SUMIF('7店辅助表'!AC:AC,B:B,'7店辅助表'!AF:AF),0)</f>
        <v>0</v>
      </c>
      <c r="AB151" s="91" t="str">
        <f>IFERROR(SUMIF('7店辅助表'!K:K,B:B,'7店辅助表'!N:N)/SUMIF('7店辅助表'!K:K,B:B,'7店辅助表'!O:O),"-")</f>
        <v>-</v>
      </c>
      <c r="AC151" s="91" t="str">
        <f>IFERROR(VLOOKUP(B:B,'[1]7店'!$B:$AB,27,FALSE),"-")</f>
        <v>-</v>
      </c>
      <c r="AD151" s="92" t="str">
        <f t="shared" si="97"/>
        <v>-</v>
      </c>
      <c r="AE151" s="91" t="str">
        <f>IFERROR(SUMIF('7店辅助表'!T:T,B:B,'7店辅助表'!W:W)/SUMIF('7店辅助表'!T:T,B:B,'7店辅助表'!X:X),"-")</f>
        <v>-</v>
      </c>
      <c r="AF151" s="91" t="str">
        <f>IFERROR(SUMIF('7店辅助表'!AC:AC,B:B,'7店辅助表'!AF:AF)/SUMIF('7店辅助表'!AC:AC,B:B,'7店辅助表'!AG:AG),"-")</f>
        <v>-</v>
      </c>
      <c r="AG151" s="99">
        <f>IFERROR(AK151/((SUMIF('7店辅助表'!AT:AT,B:B,'7店辅助表'!AU:AU)+M151)/2),"-")</f>
        <v>0</v>
      </c>
      <c r="AH151" s="99">
        <f>IFERROR(AL151/((SUMIF('7店辅助表'!AW:AW,B:B,'7店辅助表'!AX:AX)+M151)/2),"-")</f>
        <v>0</v>
      </c>
      <c r="AI151" s="100" t="str">
        <f>IFERROR((SUMIF('7店辅助表'!AP:AP,B:B,'7店辅助表'!AR:AR)-SUMIF('7店辅助表'!AP:AP,B:B,'7店辅助表'!AR:AR)*0.15-(L151+IFERROR(VLOOKUP(B:B,'7店辅助表'!AZ:BA,2,0),0))*O151-IF(AN:AN="US",6.85,4.9)*(Z151+4.27*O151))/SUMIF('7店辅助表'!AP:AP,B:B,'7店辅助表'!AR:AR),"-")</f>
        <v>-</v>
      </c>
      <c r="AJ151" s="100" t="str">
        <f t="shared" si="98"/>
        <v>-</v>
      </c>
      <c r="AK151" s="101">
        <f t="shared" si="99"/>
        <v>0</v>
      </c>
      <c r="AL151" s="101">
        <f t="shared" si="100"/>
        <v>0</v>
      </c>
      <c r="AM151" s="1" t="str">
        <f>VLOOKUP(B:B,'7店辅助表'!AZ:AZ,1,FALSE)</f>
        <v>Y7054-BL+Y7062+Y7058</v>
      </c>
      <c r="AN151" t="str">
        <f>VLOOKUP(B:B,'7店辅助表'!AZ:BB,3,FALSE)</f>
        <v>CA</v>
      </c>
    </row>
    <row r="152" customHeight="1" spans="1:40">
      <c r="A152" s="58" t="str">
        <f>INDEX('[1]7店'!$A:$A,MATCH(B:B,'[1]7店'!$B:$B,0))</f>
        <v>美珠</v>
      </c>
      <c r="B152" s="116" t="s">
        <v>2545</v>
      </c>
      <c r="C152" s="45" t="s">
        <v>2546</v>
      </c>
      <c r="D152" s="59">
        <f>VLOOKUP(B:B,'[1]7店'!$B:$L,3,0)</f>
        <v>45086</v>
      </c>
      <c r="E152" s="45" t="s">
        <v>2287</v>
      </c>
      <c r="F152" s="45">
        <v>11</v>
      </c>
      <c r="G152" s="45">
        <v>0</v>
      </c>
      <c r="H152" s="45">
        <v>0</v>
      </c>
      <c r="I152" s="45">
        <v>0</v>
      </c>
      <c r="J152" s="45">
        <v>0</v>
      </c>
      <c r="K152" s="63">
        <f t="shared" si="90"/>
        <v>11</v>
      </c>
      <c r="L152" s="132">
        <f>VLOOKUP($B:$B,'[1]7店'!$B:$L,11,FALSE)</f>
        <v>13.9</v>
      </c>
      <c r="M152" s="44">
        <f t="shared" si="89"/>
        <v>152.9</v>
      </c>
      <c r="N152" s="65">
        <f>IFERROR(VLOOKUP(B:B,'7店辅助表'!B:C,2,FALSE),0)</f>
        <v>0</v>
      </c>
      <c r="O152" s="65">
        <f>IFERROR(VLOOKUP(B:B,'7店辅助表'!E:F,2,FALSE),0)</f>
        <v>2</v>
      </c>
      <c r="P152" s="65">
        <f>IFERROR(VLOOKUP(B:B,'7店辅助表'!H:I,2,FALSE),0)</f>
        <v>3</v>
      </c>
      <c r="Q152" s="65">
        <f>IFERROR(VLOOKUP(B:B,'[1]7店'!$B:$N,13,FALSE),0)</f>
        <v>2</v>
      </c>
      <c r="R152" s="79">
        <f t="shared" si="91"/>
        <v>-2</v>
      </c>
      <c r="S152" s="80">
        <f t="shared" si="92"/>
        <v>141.428571428571</v>
      </c>
      <c r="T152" s="44">
        <f t="shared" si="93"/>
        <v>4.71428571428571</v>
      </c>
      <c r="U152" s="44">
        <f>IFERROR(VLOOKUP($B:$B,'[1]7店'!$B:$T,19,FALSE),0)</f>
        <v>2.31192660550459</v>
      </c>
      <c r="V152" s="81">
        <f t="shared" si="94"/>
        <v>2.40235910878112</v>
      </c>
      <c r="W152" s="82" t="str">
        <f t="shared" si="95"/>
        <v>有库存无销量</v>
      </c>
      <c r="X152" s="83" t="str">
        <f t="shared" si="96"/>
        <v>库存过高</v>
      </c>
      <c r="Y152" s="44">
        <f>IFERROR(SUMIF('7店辅助表'!K:K,B:B,'7店辅助表'!N:N),0)</f>
        <v>5.94</v>
      </c>
      <c r="Z152" s="44">
        <f>IFERROR(SUMIF('7店辅助表'!T:T,B:B,'7店辅助表'!W:W),0)</f>
        <v>15.49</v>
      </c>
      <c r="AA152" s="44">
        <f>IFERROR(SUMIF('7店辅助表'!AC:AC,B:B,'7店辅助表'!AF:AF),0)</f>
        <v>15.49</v>
      </c>
      <c r="AB152" s="91" t="str">
        <f>IFERROR(SUMIF('7店辅助表'!K:K,B:B,'7店辅助表'!N:N)/SUMIF('7店辅助表'!K:K,B:B,'7店辅助表'!O:O),"-")</f>
        <v>-</v>
      </c>
      <c r="AC152" s="91">
        <f>IFERROR(VLOOKUP(B:B,'[1]7店'!$B:$AB,27,FALSE),"-")</f>
        <v>0.183724509426703</v>
      </c>
      <c r="AD152" s="92" t="str">
        <f t="shared" si="97"/>
        <v>-</v>
      </c>
      <c r="AE152" s="91">
        <f>IFERROR(SUMIF('7店辅助表'!T:T,B:B,'7店辅助表'!W:W)/SUMIF('7店辅助表'!T:T,B:B,'7店辅助表'!X:X),"-")</f>
        <v>0.297999230473259</v>
      </c>
      <c r="AF152" s="91">
        <f>IFERROR(SUMIF('7店辅助表'!AC:AC,B:B,'7店辅助表'!AF:AF)/SUMIF('7店辅助表'!AC:AC,B:B,'7店辅助表'!AG:AG),"-")</f>
        <v>0.297999230473259</v>
      </c>
      <c r="AG152" s="99">
        <f>IFERROR(AK152/((SUMIF('7店辅助表'!AT:AT,B:B,'7店辅助表'!AU:AU)+M152)/2),"-")</f>
        <v>0</v>
      </c>
      <c r="AH152" s="99">
        <f>IFERROR(AL152/((SUMIF('7店辅助表'!AW:AW,B:B,'7店辅助表'!AX:AX)+M152)/2),"-")</f>
        <v>0.16</v>
      </c>
      <c r="AI152" s="100">
        <f>IFERROR((SUMIF('7店辅助表'!AP:AP,B:B,'7店辅助表'!AR:AR)-SUMIF('7店辅助表'!AP:AP,B:B,'7店辅助表'!AR:AR)*0.15-(L152+IFERROR(VLOOKUP(B:B,'7店辅助表'!AZ:BA,2,0),0))*O152-IF(AN:AN="US",6.85,4.9)*(Z152+4.27*O152))/SUMIF('7店辅助表'!AP:AP,B:B,'7店辅助表'!AR:AR),"-")</f>
        <v>0.21097478622076</v>
      </c>
      <c r="AJ152" s="100">
        <f t="shared" si="98"/>
        <v>0.0337559657953216</v>
      </c>
      <c r="AK152" s="101">
        <f t="shared" si="99"/>
        <v>0</v>
      </c>
      <c r="AL152" s="101">
        <f t="shared" si="100"/>
        <v>27.8</v>
      </c>
      <c r="AM152" s="1" t="str">
        <f>VLOOKUP(B:B,'7店辅助表'!AZ:AZ,1,FALSE)</f>
        <v>Y7054-BU+Y7062+Y7058</v>
      </c>
      <c r="AN152" t="str">
        <f>VLOOKUP(B:B,'7店辅助表'!AZ:BB,3,FALSE)</f>
        <v>CA</v>
      </c>
    </row>
    <row r="153" customHeight="1" spans="1:40">
      <c r="A153" s="58" t="str">
        <f>INDEX('[1]7店'!$A:$A,MATCH(B:B,'[1]7店'!$B:$B,0))</f>
        <v>美珠</v>
      </c>
      <c r="B153" s="116" t="s">
        <v>2547</v>
      </c>
      <c r="C153" s="45" t="s">
        <v>2548</v>
      </c>
      <c r="D153" s="59">
        <f>VLOOKUP(B:B,'[1]7店'!$B:$L,3,0)</f>
        <v>45086</v>
      </c>
      <c r="E153" s="45" t="s">
        <v>2290</v>
      </c>
      <c r="F153" s="45">
        <v>21</v>
      </c>
      <c r="G153" s="45">
        <v>0</v>
      </c>
      <c r="H153" s="45">
        <v>0</v>
      </c>
      <c r="I153" s="45">
        <v>0</v>
      </c>
      <c r="J153" s="45">
        <v>0</v>
      </c>
      <c r="K153" s="63">
        <f t="shared" si="90"/>
        <v>21</v>
      </c>
      <c r="L153" s="132">
        <f>VLOOKUP($B:$B,'[1]7店'!$B:$L,11,FALSE)</f>
        <v>13.9</v>
      </c>
      <c r="M153" s="44">
        <f t="shared" si="89"/>
        <v>291.9</v>
      </c>
      <c r="N153" s="65">
        <f>IFERROR(VLOOKUP(B:B,'7店辅助表'!B:C,2,FALSE),0)</f>
        <v>0</v>
      </c>
      <c r="O153" s="65">
        <f>IFERROR(VLOOKUP(B:B,'7店辅助表'!E:F,2,FALSE),0)</f>
        <v>0</v>
      </c>
      <c r="P153" s="65">
        <f>IFERROR(VLOOKUP(B:B,'7店辅助表'!H:I,2,FALSE),0)</f>
        <v>0</v>
      </c>
      <c r="Q153" s="65">
        <f>IFERROR(VLOOKUP(B:B,'[1]7店'!$B:$N,13,FALSE),0)</f>
        <v>0</v>
      </c>
      <c r="R153" s="79">
        <f t="shared" si="91"/>
        <v>0</v>
      </c>
      <c r="S153" s="80" t="str">
        <f t="shared" si="92"/>
        <v>-</v>
      </c>
      <c r="T153" s="44" t="str">
        <f t="shared" si="93"/>
        <v>-</v>
      </c>
      <c r="U153" s="44" t="str">
        <f>IFERROR(VLOOKUP($B:$B,'[1]7店'!$B:$T,19,FALSE),0)</f>
        <v>-</v>
      </c>
      <c r="V153" s="81" t="str">
        <f t="shared" si="94"/>
        <v>-</v>
      </c>
      <c r="W153" s="82" t="str">
        <f t="shared" si="95"/>
        <v>有库存无销量</v>
      </c>
      <c r="X153" s="83" t="str">
        <f t="shared" si="96"/>
        <v>有库存无销量</v>
      </c>
      <c r="Y153" s="44">
        <f>IFERROR(SUMIF('7店辅助表'!K:K,B:B,'7店辅助表'!N:N),0)</f>
        <v>0</v>
      </c>
      <c r="Z153" s="44">
        <f>IFERROR(SUMIF('7店辅助表'!T:T,B:B,'7店辅助表'!W:W),0)</f>
        <v>0</v>
      </c>
      <c r="AA153" s="44">
        <f>IFERROR(SUMIF('7店辅助表'!AC:AC,B:B,'7店辅助表'!AF:AF),0)</f>
        <v>0</v>
      </c>
      <c r="AB153" s="91" t="str">
        <f>IFERROR(SUMIF('7店辅助表'!K:K,B:B,'7店辅助表'!N:N)/SUMIF('7店辅助表'!K:K,B:B,'7店辅助表'!O:O),"-")</f>
        <v>-</v>
      </c>
      <c r="AC153" s="91" t="str">
        <f>IFERROR(VLOOKUP(B:B,'[1]7店'!$B:$AB,27,FALSE),"-")</f>
        <v>-</v>
      </c>
      <c r="AD153" s="92" t="str">
        <f t="shared" si="97"/>
        <v>-</v>
      </c>
      <c r="AE153" s="91" t="str">
        <f>IFERROR(SUMIF('7店辅助表'!T:T,B:B,'7店辅助表'!W:W)/SUMIF('7店辅助表'!T:T,B:B,'7店辅助表'!X:X),"-")</f>
        <v>-</v>
      </c>
      <c r="AF153" s="91" t="str">
        <f>IFERROR(SUMIF('7店辅助表'!AC:AC,B:B,'7店辅助表'!AF:AF)/SUMIF('7店辅助表'!AC:AC,B:B,'7店辅助表'!AG:AG),"-")</f>
        <v>-</v>
      </c>
      <c r="AG153" s="99">
        <f>IFERROR(AK153/((SUMIF('7店辅助表'!AT:AT,B:B,'7店辅助表'!AU:AU)+M153)/2),"-")</f>
        <v>0</v>
      </c>
      <c r="AH153" s="99">
        <f>IFERROR(AL153/((SUMIF('7店辅助表'!AW:AW,B:B,'7店辅助表'!AX:AX)+M153)/2),"-")</f>
        <v>0</v>
      </c>
      <c r="AI153" s="100" t="str">
        <f>IFERROR((SUMIF('7店辅助表'!AP:AP,B:B,'7店辅助表'!AR:AR)-SUMIF('7店辅助表'!AP:AP,B:B,'7店辅助表'!AR:AR)*0.15-(L153+IFERROR(VLOOKUP(B:B,'7店辅助表'!AZ:BA,2,0),0))*O153-IF(AN:AN="US",6.85,4.9)*(Z153+4.27*O153))/SUMIF('7店辅助表'!AP:AP,B:B,'7店辅助表'!AR:AR),"-")</f>
        <v>-</v>
      </c>
      <c r="AJ153" s="100" t="str">
        <f t="shared" si="98"/>
        <v>-</v>
      </c>
      <c r="AK153" s="101">
        <f t="shared" si="99"/>
        <v>0</v>
      </c>
      <c r="AL153" s="101">
        <f t="shared" si="100"/>
        <v>0</v>
      </c>
      <c r="AM153" s="1" t="str">
        <f>VLOOKUP(B:B,'7店辅助表'!AZ:AZ,1,FALSE)</f>
        <v>Y7054-DB+Y7062+Y7058</v>
      </c>
      <c r="AN153" t="str">
        <f>VLOOKUP(B:B,'7店辅助表'!AZ:BB,3,FALSE)</f>
        <v>CA</v>
      </c>
    </row>
    <row r="154" customHeight="1" spans="1:40">
      <c r="A154" s="58" t="str">
        <f>INDEX('[1]7店'!$A:$A,MATCH(B:B,'[1]7店'!$B:$B,0))</f>
        <v>美珠</v>
      </c>
      <c r="B154" s="116" t="s">
        <v>2549</v>
      </c>
      <c r="C154" s="45" t="s">
        <v>2550</v>
      </c>
      <c r="D154" s="59">
        <f>VLOOKUP(B:B,'[1]7店'!$B:$L,3,0)</f>
        <v>45086</v>
      </c>
      <c r="E154" s="45" t="s">
        <v>2296</v>
      </c>
      <c r="F154" s="45">
        <v>0</v>
      </c>
      <c r="G154" s="45">
        <v>1</v>
      </c>
      <c r="H154" s="45">
        <v>0</v>
      </c>
      <c r="I154" s="45">
        <v>0</v>
      </c>
      <c r="J154" s="45">
        <v>0</v>
      </c>
      <c r="K154" s="63">
        <f t="shared" si="90"/>
        <v>1</v>
      </c>
      <c r="L154" s="132">
        <f>VLOOKUP($B:$B,'[1]7店'!$B:$L,11,FALSE)</f>
        <v>13.9</v>
      </c>
      <c r="M154" s="44">
        <f t="shared" si="89"/>
        <v>13.9</v>
      </c>
      <c r="N154" s="65">
        <f>IFERROR(VLOOKUP(B:B,'7店辅助表'!B:C,2,FALSE),0)</f>
        <v>0</v>
      </c>
      <c r="O154" s="65">
        <f>IFERROR(VLOOKUP(B:B,'7店辅助表'!E:F,2,FALSE),0)</f>
        <v>0</v>
      </c>
      <c r="P154" s="65">
        <f>IFERROR(VLOOKUP(B:B,'7店辅助表'!H:I,2,FALSE),0)</f>
        <v>0</v>
      </c>
      <c r="Q154" s="65">
        <f>IFERROR(VLOOKUP(B:B,'[1]7店'!$B:$N,13,FALSE),0)</f>
        <v>0</v>
      </c>
      <c r="R154" s="79">
        <f t="shared" si="91"/>
        <v>0</v>
      </c>
      <c r="S154" s="80" t="str">
        <f t="shared" si="92"/>
        <v>-</v>
      </c>
      <c r="T154" s="44" t="str">
        <f t="shared" si="93"/>
        <v>-</v>
      </c>
      <c r="U154" s="44" t="str">
        <f>IFERROR(VLOOKUP($B:$B,'[1]7店'!$B:$T,19,FALSE),0)</f>
        <v>-</v>
      </c>
      <c r="V154" s="81" t="str">
        <f t="shared" si="94"/>
        <v>-</v>
      </c>
      <c r="W154" s="82" t="str">
        <f t="shared" si="95"/>
        <v>有库存无销量</v>
      </c>
      <c r="X154" s="83" t="str">
        <f t="shared" si="96"/>
        <v>有库存无销量</v>
      </c>
      <c r="Y154" s="44">
        <f>IFERROR(SUMIF('7店辅助表'!K:K,B:B,'7店辅助表'!N:N),0)</f>
        <v>0</v>
      </c>
      <c r="Z154" s="44">
        <f>IFERROR(SUMIF('7店辅助表'!T:T,B:B,'7店辅助表'!W:W),0)</f>
        <v>0</v>
      </c>
      <c r="AA154" s="44">
        <f>IFERROR(SUMIF('7店辅助表'!AC:AC,B:B,'7店辅助表'!AF:AF),0)</f>
        <v>0</v>
      </c>
      <c r="AB154" s="91" t="str">
        <f>IFERROR(SUMIF('7店辅助表'!K:K,B:B,'7店辅助表'!N:N)/SUMIF('7店辅助表'!K:K,B:B,'7店辅助表'!O:O),"-")</f>
        <v>-</v>
      </c>
      <c r="AC154" s="91" t="str">
        <f>IFERROR(VLOOKUP(B:B,'[1]7店'!$B:$AB,27,FALSE),"-")</f>
        <v>-</v>
      </c>
      <c r="AD154" s="92" t="str">
        <f t="shared" si="97"/>
        <v>-</v>
      </c>
      <c r="AE154" s="91" t="str">
        <f>IFERROR(SUMIF('7店辅助表'!T:T,B:B,'7店辅助表'!W:W)/SUMIF('7店辅助表'!T:T,B:B,'7店辅助表'!X:X),"-")</f>
        <v>-</v>
      </c>
      <c r="AF154" s="91" t="str">
        <f>IFERROR(SUMIF('7店辅助表'!AC:AC,B:B,'7店辅助表'!AF:AF)/SUMIF('7店辅助表'!AC:AC,B:B,'7店辅助表'!AG:AG),"-")</f>
        <v>-</v>
      </c>
      <c r="AG154" s="99">
        <f>IFERROR(AK154/((SUMIF('7店辅助表'!AT:AT,B:B,'7店辅助表'!AU:AU)+M154)/2),"-")</f>
        <v>0</v>
      </c>
      <c r="AH154" s="99">
        <f>IFERROR(AL154/((SUMIF('7店辅助表'!AW:AW,B:B,'7店辅助表'!AX:AX)+M154)/2),"-")</f>
        <v>0</v>
      </c>
      <c r="AI154" s="100" t="str">
        <f>IFERROR((SUMIF('7店辅助表'!AP:AP,B:B,'7店辅助表'!AR:AR)-SUMIF('7店辅助表'!AP:AP,B:B,'7店辅助表'!AR:AR)*0.15-(L154+IFERROR(VLOOKUP(B:B,'7店辅助表'!AZ:BA,2,0),0))*O154-IF(AN:AN="US",6.85,4.9)*(Z154+4.27*O154))/SUMIF('7店辅助表'!AP:AP,B:B,'7店辅助表'!AR:AR),"-")</f>
        <v>-</v>
      </c>
      <c r="AJ154" s="100" t="str">
        <f t="shared" si="98"/>
        <v>-</v>
      </c>
      <c r="AK154" s="101">
        <f t="shared" si="99"/>
        <v>0</v>
      </c>
      <c r="AL154" s="101">
        <f t="shared" si="100"/>
        <v>0</v>
      </c>
      <c r="AM154" s="1" t="str">
        <f>VLOOKUP(B:B,'7店辅助表'!AZ:AZ,1,FALSE)</f>
        <v>Y7054-OR+Y7062+Y7058</v>
      </c>
      <c r="AN154" t="str">
        <f>VLOOKUP(B:B,'7店辅助表'!AZ:BB,3,FALSE)</f>
        <v>CA</v>
      </c>
    </row>
    <row r="155" customHeight="1" spans="1:40">
      <c r="A155" s="58" t="str">
        <f>INDEX('[1]7店'!$A:$A,MATCH(B:B,'[1]7店'!$B:$B,0))</f>
        <v>美珠</v>
      </c>
      <c r="B155" s="116" t="s">
        <v>2551</v>
      </c>
      <c r="C155" s="45" t="s">
        <v>2552</v>
      </c>
      <c r="D155" s="59">
        <f>VLOOKUP(B:B,'[1]7店'!$B:$L,3,0)</f>
        <v>45086</v>
      </c>
      <c r="E155" s="45" t="s">
        <v>2299</v>
      </c>
      <c r="F155" s="45">
        <v>20</v>
      </c>
      <c r="G155" s="45">
        <v>0</v>
      </c>
      <c r="H155" s="45">
        <v>0</v>
      </c>
      <c r="I155" s="45">
        <v>0</v>
      </c>
      <c r="J155" s="45">
        <v>0</v>
      </c>
      <c r="K155" s="63">
        <f t="shared" si="90"/>
        <v>20</v>
      </c>
      <c r="L155" s="132">
        <f>VLOOKUP($B:$B,'[1]7店'!$B:$L,11,FALSE)</f>
        <v>13.9</v>
      </c>
      <c r="M155" s="44">
        <f t="shared" si="89"/>
        <v>278</v>
      </c>
      <c r="N155" s="65">
        <f>IFERROR(VLOOKUP(B:B,'7店辅助表'!B:C,2,FALSE),0)</f>
        <v>0</v>
      </c>
      <c r="O155" s="65">
        <f>IFERROR(VLOOKUP(B:B,'7店辅助表'!E:F,2,FALSE),0)</f>
        <v>0</v>
      </c>
      <c r="P155" s="65">
        <f>IFERROR(VLOOKUP(B:B,'7店辅助表'!H:I,2,FALSE),0)</f>
        <v>0</v>
      </c>
      <c r="Q155" s="65">
        <f>IFERROR(VLOOKUP(B:B,'[1]7店'!$B:$N,13,FALSE),0)</f>
        <v>0</v>
      </c>
      <c r="R155" s="79">
        <f t="shared" si="91"/>
        <v>0</v>
      </c>
      <c r="S155" s="80" t="str">
        <f t="shared" si="92"/>
        <v>-</v>
      </c>
      <c r="T155" s="44" t="str">
        <f t="shared" si="93"/>
        <v>-</v>
      </c>
      <c r="U155" s="44">
        <f>IFERROR(VLOOKUP($B:$B,'[1]7店'!$B:$T,19,FALSE),0)</f>
        <v>28.5</v>
      </c>
      <c r="V155" s="81" t="str">
        <f t="shared" si="94"/>
        <v>-</v>
      </c>
      <c r="W155" s="82" t="str">
        <f t="shared" si="95"/>
        <v>有库存无销量</v>
      </c>
      <c r="X155" s="83" t="str">
        <f t="shared" si="96"/>
        <v>有库存无销量</v>
      </c>
      <c r="Y155" s="44">
        <f>IFERROR(SUMIF('7店辅助表'!K:K,B:B,'7店辅助表'!N:N),0)</f>
        <v>1.01</v>
      </c>
      <c r="Z155" s="44">
        <f>IFERROR(SUMIF('7店辅助表'!T:T,B:B,'7店辅助表'!W:W),0)</f>
        <v>1.83</v>
      </c>
      <c r="AA155" s="44">
        <f>IFERROR(SUMIF('7店辅助表'!AC:AC,B:B,'7店辅助表'!AF:AF),0)</f>
        <v>7.16</v>
      </c>
      <c r="AB155" s="91" t="str">
        <f>IFERROR(SUMIF('7店辅助表'!K:K,B:B,'7店辅助表'!N:N)/SUMIF('7店辅助表'!K:K,B:B,'7店辅助表'!O:O),"-")</f>
        <v>-</v>
      </c>
      <c r="AC155" s="91" t="str">
        <f>IFERROR(VLOOKUP(B:B,'[1]7店'!$B:$AB,27,FALSE),"-")</f>
        <v>-</v>
      </c>
      <c r="AD155" s="92" t="str">
        <f t="shared" si="97"/>
        <v>-</v>
      </c>
      <c r="AE155" s="91" t="str">
        <f>IFERROR(SUMIF('7店辅助表'!T:T,B:B,'7店辅助表'!W:W)/SUMIF('7店辅助表'!T:T,B:B,'7店辅助表'!X:X),"-")</f>
        <v>-</v>
      </c>
      <c r="AF155" s="91" t="str">
        <f>IFERROR(SUMIF('7店辅助表'!AC:AC,B:B,'7店辅助表'!AF:AF)/SUMIF('7店辅助表'!AC:AC,B:B,'7店辅助表'!AG:AG),"-")</f>
        <v>-</v>
      </c>
      <c r="AG155" s="99">
        <f>IFERROR(AK155/((SUMIF('7店辅助表'!AT:AT,B:B,'7店辅助表'!AU:AU)+M155)/2),"-")</f>
        <v>0</v>
      </c>
      <c r="AH155" s="99">
        <f>IFERROR(AL155/((SUMIF('7店辅助表'!AW:AW,B:B,'7店辅助表'!AX:AX)+M155)/2),"-")</f>
        <v>0</v>
      </c>
      <c r="AI155" s="100" t="str">
        <f>IFERROR((SUMIF('7店辅助表'!AP:AP,B:B,'7店辅助表'!AR:AR)-SUMIF('7店辅助表'!AP:AP,B:B,'7店辅助表'!AR:AR)*0.15-(L155+IFERROR(VLOOKUP(B:B,'7店辅助表'!AZ:BA,2,0),0))*O155-IF(AN:AN="US",6.85,4.9)*(Z155+4.27*O155))/SUMIF('7店辅助表'!AP:AP,B:B,'7店辅助表'!AR:AR),"-")</f>
        <v>-</v>
      </c>
      <c r="AJ155" s="100" t="str">
        <f t="shared" si="98"/>
        <v>-</v>
      </c>
      <c r="AK155" s="101">
        <f t="shared" si="99"/>
        <v>0</v>
      </c>
      <c r="AL155" s="101">
        <f t="shared" si="100"/>
        <v>0</v>
      </c>
      <c r="AM155" s="1" t="str">
        <f>VLOOKUP(B:B,'7店辅助表'!AZ:AZ,1,FALSE)</f>
        <v>Y7052-BL+Y7056+Y7060</v>
      </c>
      <c r="AN155" t="str">
        <f>VLOOKUP(B:B,'7店辅助表'!AZ:BB,3,FALSE)</f>
        <v>CA</v>
      </c>
    </row>
    <row r="156" customHeight="1" spans="1:40">
      <c r="A156" s="58" t="str">
        <f>INDEX('[1]7店'!$A:$A,MATCH(B:B,'[1]7店'!$B:$B,0))</f>
        <v>美珠</v>
      </c>
      <c r="B156" s="116" t="s">
        <v>2553</v>
      </c>
      <c r="C156" s="45" t="s">
        <v>2554</v>
      </c>
      <c r="D156" s="59">
        <f>VLOOKUP(B:B,'[1]7店'!$B:$L,3,0)</f>
        <v>45086</v>
      </c>
      <c r="E156" s="45" t="s">
        <v>2302</v>
      </c>
      <c r="F156" s="45">
        <v>28</v>
      </c>
      <c r="G156" s="45">
        <v>0</v>
      </c>
      <c r="H156" s="45">
        <v>0</v>
      </c>
      <c r="I156" s="45">
        <v>0</v>
      </c>
      <c r="J156" s="45">
        <v>0</v>
      </c>
      <c r="K156" s="63">
        <f t="shared" si="90"/>
        <v>28</v>
      </c>
      <c r="L156" s="132">
        <f>VLOOKUP($B:$B,'[1]7店'!$B:$L,11,FALSE)</f>
        <v>13.9</v>
      </c>
      <c r="M156" s="44">
        <f t="shared" si="89"/>
        <v>389.2</v>
      </c>
      <c r="N156" s="65">
        <f>IFERROR(VLOOKUP(B:B,'7店辅助表'!B:C,2,FALSE),0)</f>
        <v>0</v>
      </c>
      <c r="O156" s="65">
        <f>IFERROR(VLOOKUP(B:B,'7店辅助表'!E:F,2,FALSE),0)</f>
        <v>0</v>
      </c>
      <c r="P156" s="65">
        <f>IFERROR(VLOOKUP(B:B,'7店辅助表'!H:I,2,FALSE),0)</f>
        <v>0</v>
      </c>
      <c r="Q156" s="65">
        <f>IFERROR(VLOOKUP(B:B,'[1]7店'!$B:$N,13,FALSE),0)</f>
        <v>0</v>
      </c>
      <c r="R156" s="79">
        <f t="shared" si="91"/>
        <v>0</v>
      </c>
      <c r="S156" s="80" t="str">
        <f t="shared" si="92"/>
        <v>-</v>
      </c>
      <c r="T156" s="44" t="str">
        <f t="shared" si="93"/>
        <v>-</v>
      </c>
      <c r="U156" s="44" t="str">
        <f>IFERROR(VLOOKUP($B:$B,'[1]7店'!$B:$T,19,FALSE),0)</f>
        <v>-</v>
      </c>
      <c r="V156" s="81" t="str">
        <f t="shared" si="94"/>
        <v>-</v>
      </c>
      <c r="W156" s="82" t="str">
        <f t="shared" si="95"/>
        <v>有库存无销量</v>
      </c>
      <c r="X156" s="83" t="str">
        <f t="shared" si="96"/>
        <v>有库存无销量</v>
      </c>
      <c r="Y156" s="44">
        <f>IFERROR(SUMIF('7店辅助表'!K:K,B:B,'7店辅助表'!N:N),0)</f>
        <v>0</v>
      </c>
      <c r="Z156" s="44">
        <f>IFERROR(SUMIF('7店辅助表'!T:T,B:B,'7店辅助表'!W:W),0)</f>
        <v>0</v>
      </c>
      <c r="AA156" s="44">
        <f>IFERROR(SUMIF('7店辅助表'!AC:AC,B:B,'7店辅助表'!AF:AF),0)</f>
        <v>0</v>
      </c>
      <c r="AB156" s="91" t="str">
        <f>IFERROR(SUMIF('7店辅助表'!K:K,B:B,'7店辅助表'!N:N)/SUMIF('7店辅助表'!K:K,B:B,'7店辅助表'!O:O),"-")</f>
        <v>-</v>
      </c>
      <c r="AC156" s="91" t="str">
        <f>IFERROR(VLOOKUP(B:B,'[1]7店'!$B:$AB,27,FALSE),"-")</f>
        <v>-</v>
      </c>
      <c r="AD156" s="92" t="str">
        <f t="shared" si="97"/>
        <v>-</v>
      </c>
      <c r="AE156" s="91" t="str">
        <f>IFERROR(SUMIF('7店辅助表'!T:T,B:B,'7店辅助表'!W:W)/SUMIF('7店辅助表'!T:T,B:B,'7店辅助表'!X:X),"-")</f>
        <v>-</v>
      </c>
      <c r="AF156" s="91" t="str">
        <f>IFERROR(SUMIF('7店辅助表'!AC:AC,B:B,'7店辅助表'!AF:AF)/SUMIF('7店辅助表'!AC:AC,B:B,'7店辅助表'!AG:AG),"-")</f>
        <v>-</v>
      </c>
      <c r="AG156" s="99">
        <f>IFERROR(AK156/((SUMIF('7店辅助表'!AT:AT,B:B,'7店辅助表'!AU:AU)+M156)/2),"-")</f>
        <v>0</v>
      </c>
      <c r="AH156" s="99">
        <f>IFERROR(AL156/((SUMIF('7店辅助表'!AW:AW,B:B,'7店辅助表'!AX:AX)+M156)/2),"-")</f>
        <v>0</v>
      </c>
      <c r="AI156" s="100" t="str">
        <f>IFERROR((SUMIF('7店辅助表'!AP:AP,B:B,'7店辅助表'!AR:AR)-SUMIF('7店辅助表'!AP:AP,B:B,'7店辅助表'!AR:AR)*0.15-(L156+IFERROR(VLOOKUP(B:B,'7店辅助表'!AZ:BA,2,0),0))*O156-IF(AN:AN="US",6.85,4.9)*(Z156+4.27*O156))/SUMIF('7店辅助表'!AP:AP,B:B,'7店辅助表'!AR:AR),"-")</f>
        <v>-</v>
      </c>
      <c r="AJ156" s="100" t="str">
        <f t="shared" si="98"/>
        <v>-</v>
      </c>
      <c r="AK156" s="101">
        <f t="shared" si="99"/>
        <v>0</v>
      </c>
      <c r="AL156" s="101">
        <f t="shared" si="100"/>
        <v>0</v>
      </c>
      <c r="AM156" s="1" t="str">
        <f>VLOOKUP(B:B,'7店辅助表'!AZ:AZ,1,FALSE)</f>
        <v>Y7052-BU+Y7056+Y7060</v>
      </c>
      <c r="AN156" t="str">
        <f>VLOOKUP(B:B,'7店辅助表'!AZ:BB,3,FALSE)</f>
        <v>CA</v>
      </c>
    </row>
    <row r="157" customHeight="1" spans="1:40">
      <c r="A157" s="58" t="s">
        <v>948</v>
      </c>
      <c r="B157" s="116" t="s">
        <v>2555</v>
      </c>
      <c r="C157" s="45" t="s">
        <v>2556</v>
      </c>
      <c r="D157" s="59">
        <f>VLOOKUP(B:B,'[1]7店'!$B:$L,3,0)</f>
        <v>45086</v>
      </c>
      <c r="E157" s="45" t="s">
        <v>2305</v>
      </c>
      <c r="F157" s="45">
        <v>28</v>
      </c>
      <c r="G157" s="45">
        <v>0</v>
      </c>
      <c r="H157" s="45">
        <v>0</v>
      </c>
      <c r="I157" s="45">
        <v>0</v>
      </c>
      <c r="J157" s="45">
        <v>0</v>
      </c>
      <c r="K157" s="63">
        <f t="shared" si="90"/>
        <v>28</v>
      </c>
      <c r="L157" s="132">
        <f>VLOOKUP($B:$B,'[1]7店'!$B:$L,11,FALSE)</f>
        <v>13.9</v>
      </c>
      <c r="M157" s="44">
        <f t="shared" si="89"/>
        <v>389.2</v>
      </c>
      <c r="N157" s="65">
        <f>IFERROR(VLOOKUP(B:B,'7店辅助表'!B:C,2,FALSE),0)</f>
        <v>0</v>
      </c>
      <c r="O157" s="65">
        <f>IFERROR(VLOOKUP(B:B,'7店辅助表'!E:F,2,FALSE),0)</f>
        <v>0</v>
      </c>
      <c r="P157" s="65">
        <f>IFERROR(VLOOKUP(B:B,'7店辅助表'!H:I,2,FALSE),0)</f>
        <v>0</v>
      </c>
      <c r="Q157" s="65">
        <f>IFERROR(VLOOKUP(B:B,'[1]7店'!$B:$N,13,FALSE),0)</f>
        <v>0</v>
      </c>
      <c r="R157" s="79">
        <f t="shared" si="91"/>
        <v>0</v>
      </c>
      <c r="S157" s="80" t="str">
        <f t="shared" si="92"/>
        <v>-</v>
      </c>
      <c r="T157" s="44" t="str">
        <f t="shared" si="93"/>
        <v>-</v>
      </c>
      <c r="U157" s="44" t="str">
        <f>IFERROR(VLOOKUP($B:$B,'[1]7店'!$B:$T,19,FALSE),0)</f>
        <v>-</v>
      </c>
      <c r="V157" s="81" t="str">
        <f t="shared" si="94"/>
        <v>-</v>
      </c>
      <c r="W157" s="82" t="str">
        <f t="shared" si="95"/>
        <v>有库存无销量</v>
      </c>
      <c r="X157" s="83" t="str">
        <f t="shared" si="96"/>
        <v>有库存无销量</v>
      </c>
      <c r="Y157" s="44">
        <f>IFERROR(SUMIF('7店辅助表'!K:K,B:B,'7店辅助表'!N:N),0)</f>
        <v>0</v>
      </c>
      <c r="Z157" s="44">
        <f>IFERROR(SUMIF('7店辅助表'!T:T,B:B,'7店辅助表'!W:W),0)</f>
        <v>0</v>
      </c>
      <c r="AA157" s="44">
        <f>IFERROR(SUMIF('7店辅助表'!AC:AC,B:B,'7店辅助表'!AF:AF),0)</f>
        <v>0</v>
      </c>
      <c r="AB157" s="91" t="str">
        <f>IFERROR(SUMIF('7店辅助表'!K:K,B:B,'7店辅助表'!N:N)/SUMIF('7店辅助表'!K:K,B:B,'7店辅助表'!O:O),"-")</f>
        <v>-</v>
      </c>
      <c r="AC157" s="91" t="str">
        <f>IFERROR(VLOOKUP(B:B,'[1]7店'!$B:$AB,27,FALSE),"-")</f>
        <v>-</v>
      </c>
      <c r="AD157" s="92" t="str">
        <f t="shared" si="97"/>
        <v>-</v>
      </c>
      <c r="AE157" s="91" t="str">
        <f>IFERROR(SUMIF('7店辅助表'!T:T,B:B,'7店辅助表'!W:W)/SUMIF('7店辅助表'!T:T,B:B,'7店辅助表'!X:X),"-")</f>
        <v>-</v>
      </c>
      <c r="AF157" s="91" t="str">
        <f>IFERROR(SUMIF('7店辅助表'!AC:AC,B:B,'7店辅助表'!AF:AF)/SUMIF('7店辅助表'!AC:AC,B:B,'7店辅助表'!AG:AG),"-")</f>
        <v>-</v>
      </c>
      <c r="AG157" s="99">
        <f>IFERROR(AK157/((SUMIF('7店辅助表'!AT:AT,B:B,'7店辅助表'!AU:AU)+M157)/2),"-")</f>
        <v>0</v>
      </c>
      <c r="AH157" s="99">
        <f>IFERROR(AL157/((SUMIF('7店辅助表'!AW:AW,B:B,'7店辅助表'!AX:AX)+M157)/2),"-")</f>
        <v>0</v>
      </c>
      <c r="AI157" s="100" t="str">
        <f>IFERROR((SUMIF('7店辅助表'!AP:AP,B:B,'7店辅助表'!AR:AR)-SUMIF('7店辅助表'!AP:AP,B:B,'7店辅助表'!AR:AR)*0.15-(L157+IFERROR(VLOOKUP(B:B,'7店辅助表'!AZ:BA,2,0),0))*O157-IF(AN:AN="US",6.85,4.9)*(Z157+4.27*O157))/SUMIF('7店辅助表'!AP:AP,B:B,'7店辅助表'!AR:AR),"-")</f>
        <v>-</v>
      </c>
      <c r="AJ157" s="100" t="str">
        <f t="shared" si="98"/>
        <v>-</v>
      </c>
      <c r="AK157" s="101">
        <f t="shared" si="99"/>
        <v>0</v>
      </c>
      <c r="AL157" s="101">
        <f t="shared" si="100"/>
        <v>0</v>
      </c>
      <c r="AM157" s="1" t="str">
        <f>VLOOKUP(B:B,'7店辅助表'!AZ:AZ,1,FALSE)</f>
        <v>Y7052-DB+Y7056+Y7060</v>
      </c>
      <c r="AN157" t="str">
        <f>VLOOKUP(B:B,'7店辅助表'!AZ:BB,3,FALSE)</f>
        <v>CA</v>
      </c>
    </row>
    <row r="158" customHeight="1" spans="1:40">
      <c r="A158" s="58" t="s">
        <v>948</v>
      </c>
      <c r="B158" s="116" t="s">
        <v>2557</v>
      </c>
      <c r="C158" s="45" t="s">
        <v>2558</v>
      </c>
      <c r="D158" s="59">
        <f>VLOOKUP(B:B,'[1]7店'!$B:$L,3,0)</f>
        <v>45086</v>
      </c>
      <c r="E158" s="45" t="s">
        <v>2311</v>
      </c>
      <c r="F158" s="45">
        <v>24</v>
      </c>
      <c r="G158" s="45">
        <v>1</v>
      </c>
      <c r="H158" s="45">
        <v>0</v>
      </c>
      <c r="I158" s="45">
        <v>0</v>
      </c>
      <c r="J158" s="45">
        <v>0</v>
      </c>
      <c r="K158" s="63">
        <f t="shared" si="90"/>
        <v>25</v>
      </c>
      <c r="L158" s="132">
        <f>VLOOKUP($B:$B,'[1]7店'!$B:$L,11,FALSE)</f>
        <v>13.9</v>
      </c>
      <c r="M158" s="44">
        <f t="shared" si="89"/>
        <v>347.5</v>
      </c>
      <c r="N158" s="65">
        <f>IFERROR(VLOOKUP(B:B,'7店辅助表'!B:C,2,FALSE),0)</f>
        <v>0</v>
      </c>
      <c r="O158" s="65">
        <f>IFERROR(VLOOKUP(B:B,'7店辅助表'!E:F,2,FALSE),0)</f>
        <v>0</v>
      </c>
      <c r="P158" s="65">
        <f>IFERROR(VLOOKUP(B:B,'7店辅助表'!H:I,2,FALSE),0)</f>
        <v>0</v>
      </c>
      <c r="Q158" s="65">
        <f>IFERROR(VLOOKUP(B:B,'[1]7店'!$B:$N,13,FALSE),0)</f>
        <v>0</v>
      </c>
      <c r="R158" s="79">
        <f t="shared" si="91"/>
        <v>0</v>
      </c>
      <c r="S158" s="80" t="str">
        <f t="shared" si="92"/>
        <v>-</v>
      </c>
      <c r="T158" s="44" t="str">
        <f t="shared" si="93"/>
        <v>-</v>
      </c>
      <c r="U158" s="44" t="str">
        <f>IFERROR(VLOOKUP($B:$B,'[1]7店'!$B:$T,19,FALSE),0)</f>
        <v>-</v>
      </c>
      <c r="V158" s="81" t="str">
        <f t="shared" si="94"/>
        <v>-</v>
      </c>
      <c r="W158" s="82" t="str">
        <f t="shared" si="95"/>
        <v>有库存无销量</v>
      </c>
      <c r="X158" s="83" t="str">
        <f t="shared" si="96"/>
        <v>有库存无销量</v>
      </c>
      <c r="Y158" s="44">
        <f>IFERROR(SUMIF('7店辅助表'!K:K,B:B,'7店辅助表'!N:N),0)</f>
        <v>1.96</v>
      </c>
      <c r="Z158" s="44">
        <f>IFERROR(SUMIF('7店辅助表'!T:T,B:B,'7店辅助表'!W:W),0)</f>
        <v>4.3</v>
      </c>
      <c r="AA158" s="44">
        <f>IFERROR(SUMIF('7店辅助表'!AC:AC,B:B,'7店辅助表'!AF:AF),0)</f>
        <v>8.93</v>
      </c>
      <c r="AB158" s="91" t="str">
        <f>IFERROR(SUMIF('7店辅助表'!K:K,B:B,'7店辅助表'!N:N)/SUMIF('7店辅助表'!K:K,B:B,'7店辅助表'!O:O),"-")</f>
        <v>-</v>
      </c>
      <c r="AC158" s="91" t="str">
        <f>IFERROR(VLOOKUP(B:B,'[1]7店'!$B:$AB,27,FALSE),"-")</f>
        <v>-</v>
      </c>
      <c r="AD158" s="92" t="str">
        <f t="shared" si="97"/>
        <v>-</v>
      </c>
      <c r="AE158" s="91" t="str">
        <f>IFERROR(SUMIF('7店辅助表'!T:T,B:B,'7店辅助表'!W:W)/SUMIF('7店辅助表'!T:T,B:B,'7店辅助表'!X:X),"-")</f>
        <v>-</v>
      </c>
      <c r="AF158" s="91" t="str">
        <f>IFERROR(SUMIF('7店辅助表'!AC:AC,B:B,'7店辅助表'!AF:AF)/SUMIF('7店辅助表'!AC:AC,B:B,'7店辅助表'!AG:AG),"-")</f>
        <v>-</v>
      </c>
      <c r="AG158" s="99">
        <f>IFERROR(AK158/((SUMIF('7店辅助表'!AT:AT,B:B,'7店辅助表'!AU:AU)+M158)/2),"-")</f>
        <v>0</v>
      </c>
      <c r="AH158" s="99">
        <f>IFERROR(AL158/((SUMIF('7店辅助表'!AW:AW,B:B,'7店辅助表'!AX:AX)+M158)/2),"-")</f>
        <v>0</v>
      </c>
      <c r="AI158" s="100" t="str">
        <f>IFERROR((SUMIF('7店辅助表'!AP:AP,B:B,'7店辅助表'!AR:AR)-SUMIF('7店辅助表'!AP:AP,B:B,'7店辅助表'!AR:AR)*0.15-(L158+IFERROR(VLOOKUP(B:B,'7店辅助表'!AZ:BA,2,0),0))*O158-IF(AN:AN="US",6.85,4.9)*(Z158+9*O158))/SUMIF('7店辅助表'!AP:AP,B:B,'7店辅助表'!AR:AR),"-")</f>
        <v>-</v>
      </c>
      <c r="AJ158" s="100" t="str">
        <f t="shared" si="98"/>
        <v>-</v>
      </c>
      <c r="AK158" s="101">
        <f t="shared" si="99"/>
        <v>0</v>
      </c>
      <c r="AL158" s="101">
        <f t="shared" si="100"/>
        <v>0</v>
      </c>
      <c r="AM158" s="1" t="str">
        <f>VLOOKUP(B:B,'7店辅助表'!AZ:AZ,1,FALSE)</f>
        <v>Y7052-OR+Y7056+Y7060</v>
      </c>
      <c r="AN158" t="str">
        <f>VLOOKUP(B:B,'7店辅助表'!AZ:BB,3,FALSE)</f>
        <v>CA</v>
      </c>
    </row>
    <row r="159" customHeight="1" spans="1:40">
      <c r="A159" s="58" t="s">
        <v>948</v>
      </c>
      <c r="B159" s="116" t="s">
        <v>2559</v>
      </c>
      <c r="C159" s="45" t="s">
        <v>2560</v>
      </c>
      <c r="D159" s="59">
        <f>VLOOKUP(B:B,'[1]7店'!$B:$L,3,0)</f>
        <v>45086</v>
      </c>
      <c r="E159" s="45" t="s">
        <v>2329</v>
      </c>
      <c r="F159" s="45">
        <v>31</v>
      </c>
      <c r="G159" s="45">
        <v>1</v>
      </c>
      <c r="H159" s="45">
        <v>0</v>
      </c>
      <c r="I159" s="45">
        <v>0</v>
      </c>
      <c r="J159" s="45">
        <v>0</v>
      </c>
      <c r="K159" s="63">
        <f t="shared" si="90"/>
        <v>32</v>
      </c>
      <c r="L159" s="132">
        <f>VLOOKUP($B:$B,'[1]7店'!$B:$L,11,FALSE)</f>
        <v>13.9</v>
      </c>
      <c r="M159" s="44">
        <f t="shared" si="89"/>
        <v>444.8</v>
      </c>
      <c r="N159" s="65">
        <f>IFERROR(VLOOKUP(B:B,'7店辅助表'!B:C,2,FALSE),0)</f>
        <v>4</v>
      </c>
      <c r="O159" s="65">
        <f>IFERROR(VLOOKUP(B:B,'7店辅助表'!E:F,2,FALSE),0)</f>
        <v>7</v>
      </c>
      <c r="P159" s="65">
        <f>IFERROR(VLOOKUP(B:B,'7店辅助表'!H:I,2,FALSE),0)</f>
        <v>11</v>
      </c>
      <c r="Q159" s="65">
        <f>IFERROR(VLOOKUP(B:B,'[1]7店'!$B:$N,13,FALSE),0)</f>
        <v>3</v>
      </c>
      <c r="R159" s="79">
        <f t="shared" si="91"/>
        <v>1</v>
      </c>
      <c r="S159" s="80">
        <f t="shared" si="92"/>
        <v>68.3389830508475</v>
      </c>
      <c r="T159" s="44">
        <f t="shared" si="93"/>
        <v>2.27796610169492</v>
      </c>
      <c r="U159" s="44">
        <f>IFERROR(VLOOKUP($B:$B,'[1]7店'!$B:$T,19,FALSE),0)</f>
        <v>2.68604651162791</v>
      </c>
      <c r="V159" s="81">
        <f t="shared" si="94"/>
        <v>-0.40808040993299</v>
      </c>
      <c r="W159" s="82" t="str">
        <f t="shared" si="95"/>
        <v>库存过高</v>
      </c>
      <c r="X159" s="83" t="str">
        <f t="shared" si="96"/>
        <v>库存过高</v>
      </c>
      <c r="Y159" s="44">
        <f>IFERROR(SUMIF('7店辅助表'!K:K,B:B,'7店辅助表'!N:N),0)</f>
        <v>0</v>
      </c>
      <c r="Z159" s="44">
        <f>IFERROR(SUMIF('7店辅助表'!T:T,B:B,'7店辅助表'!W:W),0)</f>
        <v>0</v>
      </c>
      <c r="AA159" s="44">
        <f>IFERROR(SUMIF('7店辅助表'!AC:AC,B:B,'7店辅助表'!AF:AF),0)</f>
        <v>0</v>
      </c>
      <c r="AB159" s="91" t="str">
        <f>IFERROR(SUMIF('7店辅助表'!K:K,B:B,'7店辅助表'!N:N)/SUMIF('7店辅助表'!K:K,B:B,'7店辅助表'!O:O),"-")</f>
        <v>-</v>
      </c>
      <c r="AC159" s="91" t="str">
        <f>IFERROR(VLOOKUP(B:B,'[1]7店'!$B:$AB,27,FALSE),"-")</f>
        <v>-</v>
      </c>
      <c r="AD159" s="92" t="str">
        <f t="shared" si="97"/>
        <v>-</v>
      </c>
      <c r="AE159" s="91" t="str">
        <f>IFERROR(SUMIF('7店辅助表'!T:T,B:B,'7店辅助表'!W:W)/SUMIF('7店辅助表'!T:T,B:B,'7店辅助表'!X:X),"-")</f>
        <v>-</v>
      </c>
      <c r="AF159" s="91" t="str">
        <f>IFERROR(SUMIF('7店辅助表'!AC:AC,B:B,'7店辅助表'!AF:AF)/SUMIF('7店辅助表'!AC:AC,B:B,'7店辅助表'!AG:AG),"-")</f>
        <v>-</v>
      </c>
      <c r="AG159" s="99">
        <f>IFERROR(AK159/((SUMIF('7店辅助表'!AT:AT,B:B,'7店辅助表'!AU:AU)+M159)/2),"-")</f>
        <v>0.123076923076923</v>
      </c>
      <c r="AH159" s="99">
        <f>IFERROR(AL159/((SUMIF('7店辅助表'!AW:AW,B:B,'7店辅助表'!AX:AX)+M159)/2),"-")</f>
        <v>0.2</v>
      </c>
      <c r="AI159" s="100">
        <f>IFERROR((SUMIF('7店辅助表'!AP:AP,B:B,'7店辅助表'!AR:AR)-SUMIF('7店辅助表'!AP:AP,B:B,'7店辅助表'!AR:AR)*0.15-(L159+IFERROR(VLOOKUP(B:B,'7店辅助表'!AZ:BA,2,0),0))*O159-IF(AN:AN="US",6.85,4.9)*(Z159+9*O159))/SUMIF('7店辅助表'!AP:AP,B:B,'7店辅助表'!AR:AR),"-")</f>
        <v>0.326980942434688</v>
      </c>
      <c r="AJ159" s="100">
        <f t="shared" si="98"/>
        <v>0.0653961884869377</v>
      </c>
      <c r="AK159" s="101">
        <f t="shared" si="99"/>
        <v>55.6</v>
      </c>
      <c r="AL159" s="101">
        <f t="shared" si="100"/>
        <v>97.3</v>
      </c>
      <c r="AM159" s="1" t="str">
        <f>VLOOKUP(B:B,'7店辅助表'!AZ:AZ,1,FALSE)</f>
        <v>Y7051-BL+Y7055+Y7059</v>
      </c>
      <c r="AN159" t="str">
        <f>VLOOKUP(B:B,'7店辅助表'!AZ:BB,3,FALSE)</f>
        <v>CA</v>
      </c>
    </row>
    <row r="160" customHeight="1" spans="1:40">
      <c r="A160" s="58" t="s">
        <v>948</v>
      </c>
      <c r="B160" s="116" t="s">
        <v>2561</v>
      </c>
      <c r="C160" s="45" t="s">
        <v>2562</v>
      </c>
      <c r="D160" s="59">
        <f>VLOOKUP(B:B,'[1]7店'!$B:$L,3,0)</f>
        <v>45086</v>
      </c>
      <c r="E160" s="45" t="s">
        <v>2332</v>
      </c>
      <c r="F160" s="45">
        <v>26</v>
      </c>
      <c r="G160" s="45">
        <v>0</v>
      </c>
      <c r="H160" s="45">
        <v>1</v>
      </c>
      <c r="I160" s="45">
        <v>0</v>
      </c>
      <c r="J160" s="45">
        <v>0</v>
      </c>
      <c r="K160" s="63">
        <f t="shared" si="90"/>
        <v>27</v>
      </c>
      <c r="L160" s="132">
        <f>VLOOKUP($B:$B,'[1]7店'!$B:$L,11,FALSE)</f>
        <v>13.9</v>
      </c>
      <c r="M160" s="44">
        <f t="shared" si="89"/>
        <v>375.3</v>
      </c>
      <c r="N160" s="65">
        <f>IFERROR(VLOOKUP(B:B,'7店辅助表'!B:C,2,FALSE),0)</f>
        <v>0</v>
      </c>
      <c r="O160" s="65">
        <f>IFERROR(VLOOKUP(B:B,'7店辅助表'!E:F,2,FALSE),0)</f>
        <v>0</v>
      </c>
      <c r="P160" s="65">
        <f>IFERROR(VLOOKUP(B:B,'7店辅助表'!H:I,2,FALSE),0)</f>
        <v>4</v>
      </c>
      <c r="Q160" s="65">
        <f>IFERROR(VLOOKUP(B:B,'[1]7店'!$B:$N,13,FALSE),0)</f>
        <v>0</v>
      </c>
      <c r="R160" s="79">
        <f t="shared" si="91"/>
        <v>0</v>
      </c>
      <c r="S160" s="80">
        <f t="shared" si="92"/>
        <v>607.5</v>
      </c>
      <c r="T160" s="44">
        <f t="shared" si="93"/>
        <v>20.25</v>
      </c>
      <c r="U160" s="44">
        <f>IFERROR(VLOOKUP($B:$B,'[1]7店'!$B:$T,19,FALSE),0)</f>
        <v>10.125</v>
      </c>
      <c r="V160" s="81">
        <f t="shared" si="94"/>
        <v>10.125</v>
      </c>
      <c r="W160" s="82" t="str">
        <f t="shared" si="95"/>
        <v>有库存无销量</v>
      </c>
      <c r="X160" s="83" t="str">
        <f t="shared" si="96"/>
        <v>库存过高</v>
      </c>
      <c r="Y160" s="44">
        <f>IFERROR(SUMIF('7店辅助表'!K:K,B:B,'7店辅助表'!N:N),0)</f>
        <v>0</v>
      </c>
      <c r="Z160" s="44">
        <f>IFERROR(SUMIF('7店辅助表'!T:T,B:B,'7店辅助表'!W:W),0)</f>
        <v>0</v>
      </c>
      <c r="AA160" s="44">
        <f>IFERROR(SUMIF('7店辅助表'!AC:AC,B:B,'7店辅助表'!AF:AF),0)</f>
        <v>0</v>
      </c>
      <c r="AB160" s="91" t="str">
        <f>IFERROR(SUMIF('7店辅助表'!K:K,B:B,'7店辅助表'!N:N)/SUMIF('7店辅助表'!K:K,B:B,'7店辅助表'!O:O),"-")</f>
        <v>-</v>
      </c>
      <c r="AC160" s="91" t="str">
        <f>IFERROR(VLOOKUP(B:B,'[1]7店'!$B:$AB,27,FALSE),"-")</f>
        <v>-</v>
      </c>
      <c r="AD160" s="92" t="str">
        <f t="shared" si="97"/>
        <v>-</v>
      </c>
      <c r="AE160" s="91" t="str">
        <f>IFERROR(SUMIF('7店辅助表'!T:T,B:B,'7店辅助表'!W:W)/SUMIF('7店辅助表'!T:T,B:B,'7店辅助表'!X:X),"-")</f>
        <v>-</v>
      </c>
      <c r="AF160" s="91" t="str">
        <f>IFERROR(SUMIF('7店辅助表'!AC:AC,B:B,'7店辅助表'!AF:AF)/SUMIF('7店辅助表'!AC:AC,B:B,'7店辅助表'!AG:AG),"-")</f>
        <v>-</v>
      </c>
      <c r="AG160" s="99">
        <f>IFERROR(AK160/((SUMIF('7店辅助表'!AT:AT,B:B,'7店辅助表'!AU:AU)+M160)/2),"-")</f>
        <v>0</v>
      </c>
      <c r="AH160" s="99">
        <f>IFERROR(AL160/((SUMIF('7店辅助表'!AW:AW,B:B,'7店辅助表'!AX:AX)+M160)/2),"-")</f>
        <v>0</v>
      </c>
      <c r="AI160" s="100" t="str">
        <f>IFERROR((SUMIF('7店辅助表'!AP:AP,B:B,'7店辅助表'!AR:AR)-SUMIF('7店辅助表'!AP:AP,B:B,'7店辅助表'!AR:AR)*0.15-(L160+IFERROR(VLOOKUP(B:B,'7店辅助表'!AZ:BA,2,0),0))*O160-IF(AN:AN="US",6.85,4.9)*(Z160+9*O160))/SUMIF('7店辅助表'!AP:AP,B:B,'7店辅助表'!AR:AR),"-")</f>
        <v>-</v>
      </c>
      <c r="AJ160" s="100" t="str">
        <f t="shared" si="98"/>
        <v>-</v>
      </c>
      <c r="AK160" s="101">
        <f t="shared" si="99"/>
        <v>0</v>
      </c>
      <c r="AL160" s="101">
        <f t="shared" si="100"/>
        <v>0</v>
      </c>
      <c r="AM160" s="1" t="str">
        <f>VLOOKUP(B:B,'7店辅助表'!AZ:AZ,1,FALSE)</f>
        <v>Y7051-BU+Y7055+Y7059</v>
      </c>
      <c r="AN160" t="str">
        <f>VLOOKUP(B:B,'7店辅助表'!AZ:BB,3,FALSE)</f>
        <v>CA</v>
      </c>
    </row>
    <row r="161" customHeight="1" spans="1:40">
      <c r="A161" s="58" t="s">
        <v>948</v>
      </c>
      <c r="B161" s="116" t="s">
        <v>2563</v>
      </c>
      <c r="C161" s="45" t="s">
        <v>2564</v>
      </c>
      <c r="D161" s="59">
        <f>VLOOKUP(B:B,'[1]7店'!$B:$L,3,0)</f>
        <v>45086</v>
      </c>
      <c r="E161" s="45" t="s">
        <v>2335</v>
      </c>
      <c r="F161" s="45">
        <v>34</v>
      </c>
      <c r="G161" s="45">
        <v>0</v>
      </c>
      <c r="H161" s="45">
        <v>0</v>
      </c>
      <c r="I161" s="45">
        <v>0</v>
      </c>
      <c r="J161" s="45">
        <v>0</v>
      </c>
      <c r="K161" s="63">
        <f t="shared" si="90"/>
        <v>34</v>
      </c>
      <c r="L161" s="132">
        <f>VLOOKUP($B:$B,'[1]7店'!$B:$L,11,FALSE)</f>
        <v>13.9</v>
      </c>
      <c r="M161" s="44">
        <f t="shared" si="89"/>
        <v>472.6</v>
      </c>
      <c r="N161" s="65">
        <f>IFERROR(VLOOKUP(B:B,'7店辅助表'!B:C,2,FALSE),0)</f>
        <v>0</v>
      </c>
      <c r="O161" s="65">
        <f>IFERROR(VLOOKUP(B:B,'7店辅助表'!E:F,2,FALSE),0)</f>
        <v>2</v>
      </c>
      <c r="P161" s="65">
        <f>IFERROR(VLOOKUP(B:B,'7店辅助表'!H:I,2,FALSE),0)</f>
        <v>5</v>
      </c>
      <c r="Q161" s="65">
        <f>IFERROR(VLOOKUP(B:B,'[1]7店'!$B:$N,13,FALSE),0)</f>
        <v>2</v>
      </c>
      <c r="R161" s="79">
        <f t="shared" si="91"/>
        <v>-2</v>
      </c>
      <c r="S161" s="80">
        <f t="shared" si="92"/>
        <v>340</v>
      </c>
      <c r="T161" s="44">
        <f t="shared" si="93"/>
        <v>11.3333333333333</v>
      </c>
      <c r="U161" s="44">
        <f>IFERROR(VLOOKUP($B:$B,'[1]7店'!$B:$T,19,FALSE),0)</f>
        <v>4.72847682119205</v>
      </c>
      <c r="V161" s="81">
        <f t="shared" si="94"/>
        <v>6.60485651214125</v>
      </c>
      <c r="W161" s="82" t="str">
        <f t="shared" si="95"/>
        <v>有库存无销量</v>
      </c>
      <c r="X161" s="83" t="str">
        <f t="shared" si="96"/>
        <v>库存过高</v>
      </c>
      <c r="Y161" s="44">
        <f>IFERROR(SUMIF('7店辅助表'!K:K,B:B,'7店辅助表'!N:N),0)</f>
        <v>0</v>
      </c>
      <c r="Z161" s="44">
        <f>IFERROR(SUMIF('7店辅助表'!T:T,B:B,'7店辅助表'!W:W),0)</f>
        <v>0</v>
      </c>
      <c r="AA161" s="44">
        <f>IFERROR(SUMIF('7店辅助表'!AC:AC,B:B,'7店辅助表'!AF:AF),0)</f>
        <v>0</v>
      </c>
      <c r="AB161" s="91" t="str">
        <f>IFERROR(SUMIF('7店辅助表'!K:K,B:B,'7店辅助表'!N:N)/SUMIF('7店辅助表'!K:K,B:B,'7店辅助表'!O:O),"-")</f>
        <v>-</v>
      </c>
      <c r="AC161" s="91" t="str">
        <f>IFERROR(VLOOKUP(B:B,'[1]7店'!$B:$AB,27,FALSE),"-")</f>
        <v>-</v>
      </c>
      <c r="AD161" s="92" t="str">
        <f t="shared" si="97"/>
        <v>-</v>
      </c>
      <c r="AE161" s="91" t="str">
        <f>IFERROR(SUMIF('7店辅助表'!T:T,B:B,'7店辅助表'!W:W)/SUMIF('7店辅助表'!T:T,B:B,'7店辅助表'!X:X),"-")</f>
        <v>-</v>
      </c>
      <c r="AF161" s="91" t="str">
        <f>IFERROR(SUMIF('7店辅助表'!AC:AC,B:B,'7店辅助表'!AF:AF)/SUMIF('7店辅助表'!AC:AC,B:B,'7店辅助表'!AG:AG),"-")</f>
        <v>-</v>
      </c>
      <c r="AG161" s="99">
        <f>IFERROR(AK161/((SUMIF('7店辅助表'!AT:AT,B:B,'7店辅助表'!AU:AU)+M161)/2),"-")</f>
        <v>0</v>
      </c>
      <c r="AH161" s="99">
        <f>IFERROR(AL161/((SUMIF('7店辅助表'!AW:AW,B:B,'7店辅助表'!AX:AX)+M161)/2),"-")</f>
        <v>0.0563380281690141</v>
      </c>
      <c r="AI161" s="100">
        <f>IFERROR((SUMIF('7店辅助表'!AP:AP,B:B,'7店辅助表'!AR:AR)-SUMIF('7店辅助表'!AP:AP,B:B,'7店辅助表'!AR:AR)*0.15-(L161+IFERROR(VLOOKUP(B:B,'7店辅助表'!AZ:BA,2,0),0))*O161-IF(AN:AN="US",6.85,4.9)*(Z161+4.27*O161))/SUMIF('7店辅助表'!AP:AP,B:B,'7店辅助表'!AR:AR),"-")</f>
        <v>0.508974016694019</v>
      </c>
      <c r="AJ161" s="100">
        <f t="shared" si="98"/>
        <v>0.0286745924898039</v>
      </c>
      <c r="AK161" s="101">
        <f t="shared" si="99"/>
        <v>0</v>
      </c>
      <c r="AL161" s="101">
        <f t="shared" si="100"/>
        <v>27.8</v>
      </c>
      <c r="AM161" s="1" t="str">
        <f>VLOOKUP(B:B,'7店辅助表'!AZ:AZ,1,FALSE)</f>
        <v>Y7051-DB+Y7055+Y7059</v>
      </c>
      <c r="AN161" t="str">
        <f>VLOOKUP(B:B,'7店辅助表'!AZ:BB,3,FALSE)</f>
        <v>CA</v>
      </c>
    </row>
    <row r="162" customHeight="1" spans="1:40">
      <c r="A162" s="58" t="s">
        <v>948</v>
      </c>
      <c r="B162" s="116" t="s">
        <v>2565</v>
      </c>
      <c r="C162" s="45" t="s">
        <v>2566</v>
      </c>
      <c r="D162" s="59">
        <f>VLOOKUP(B:B,'[1]7店'!$B:$L,3,0)</f>
        <v>45086</v>
      </c>
      <c r="E162" s="45" t="s">
        <v>2341</v>
      </c>
      <c r="F162" s="45">
        <v>0</v>
      </c>
      <c r="G162" s="45">
        <v>2</v>
      </c>
      <c r="H162" s="45">
        <v>0</v>
      </c>
      <c r="I162" s="45">
        <v>0</v>
      </c>
      <c r="J162" s="45">
        <v>0</v>
      </c>
      <c r="K162" s="63">
        <f t="shared" si="90"/>
        <v>2</v>
      </c>
      <c r="L162" s="132">
        <f>VLOOKUP($B:$B,'[1]7店'!$B:$L,11,FALSE)</f>
        <v>13.9</v>
      </c>
      <c r="M162" s="44">
        <f t="shared" si="89"/>
        <v>27.8</v>
      </c>
      <c r="N162" s="65">
        <f>IFERROR(VLOOKUP(B:B,'7店辅助表'!B:C,2,FALSE),0)</f>
        <v>1</v>
      </c>
      <c r="O162" s="65">
        <f>IFERROR(VLOOKUP(B:B,'7店辅助表'!E:F,2,FALSE),0)</f>
        <v>5</v>
      </c>
      <c r="P162" s="65">
        <f>IFERROR(VLOOKUP(B:B,'7店辅助表'!H:I,2,FALSE),0)</f>
        <v>13</v>
      </c>
      <c r="Q162" s="65">
        <f>IFERROR(VLOOKUP(B:B,'[1]7店'!$B:$N,13,FALSE),0)</f>
        <v>3</v>
      </c>
      <c r="R162" s="79">
        <f t="shared" si="91"/>
        <v>-2</v>
      </c>
      <c r="S162" s="80">
        <f t="shared" si="92"/>
        <v>6.59685863874346</v>
      </c>
      <c r="T162" s="44">
        <f t="shared" si="93"/>
        <v>0.219895287958115</v>
      </c>
      <c r="U162" s="44">
        <f>IFERROR(VLOOKUP($B:$B,'[1]7店'!$B:$T,19,FALSE),0)</f>
        <v>0.225806451612903</v>
      </c>
      <c r="V162" s="81">
        <f t="shared" si="94"/>
        <v>-0.005911163654788</v>
      </c>
      <c r="W162" s="82" t="str">
        <f t="shared" si="95"/>
        <v>库存过低</v>
      </c>
      <c r="X162" s="83" t="str">
        <f t="shared" si="96"/>
        <v>库存过低</v>
      </c>
      <c r="Y162" s="44">
        <f>IFERROR(SUMIF('7店辅助表'!K:K,B:B,'7店辅助表'!N:N),0)</f>
        <v>2.68</v>
      </c>
      <c r="Z162" s="44">
        <f>IFERROR(SUMIF('7店辅助表'!T:T,B:B,'7店辅助表'!W:W),0)</f>
        <v>37.07</v>
      </c>
      <c r="AA162" s="44">
        <f>IFERROR(SUMIF('7店辅助表'!AC:AC,B:B,'7店辅助表'!AF:AF),0)</f>
        <v>90.73</v>
      </c>
      <c r="AB162" s="91">
        <f>IFERROR(SUMIF('7店辅助表'!K:K,B:B,'7店辅助表'!N:N)/SUMIF('7店辅助表'!K:K,B:B,'7店辅助表'!O:O),"-")</f>
        <v>0.10311658330127</v>
      </c>
      <c r="AC162" s="91">
        <f>IFERROR(VLOOKUP(B:B,'[1]7店'!$B:$AB,27,FALSE),"-")</f>
        <v>0.282801077337437</v>
      </c>
      <c r="AD162" s="92">
        <f t="shared" si="97"/>
        <v>-0.179684494036167</v>
      </c>
      <c r="AE162" s="91">
        <f>IFERROR(SUMIF('7店辅助表'!T:T,B:B,'7店辅助表'!W:W)/SUMIF('7店辅助表'!T:T,B:B,'7店辅助表'!X:X),"-")</f>
        <v>0.237719635757343</v>
      </c>
      <c r="AF162" s="91">
        <f>IFERROR(SUMIF('7店辅助表'!AC:AC,B:B,'7店辅助表'!AF:AF)/SUMIF('7店辅助表'!AC:AC,B:B,'7店辅助表'!AG:AG),"-")</f>
        <v>0.225786382639857</v>
      </c>
      <c r="AG162" s="99">
        <f>IFERROR(AK162/((SUMIF('7店辅助表'!AT:AT,B:B,'7店辅助表'!AU:AU)+M162)/2),"-")</f>
        <v>0.4</v>
      </c>
      <c r="AH162" s="99">
        <f>IFERROR(AL162/((SUMIF('7店辅助表'!AW:AW,B:B,'7店辅助表'!AX:AX)+M162)/2),"-")</f>
        <v>0.769230769230769</v>
      </c>
      <c r="AI162" s="100">
        <f>IFERROR((SUMIF('7店辅助表'!AP:AP,B:B,'7店辅助表'!AR:AR)-SUMIF('7店辅助表'!AP:AP,B:B,'7店辅助表'!AR:AR)*0.15-(L162+IFERROR(VLOOKUP(B:B,'7店辅助表'!AZ:BA,2,0),0))*O162-IF(AN:AN="US",6.85,4.9)*(Z162+4.27*O162))/SUMIF('7店辅助表'!AP:AP,B:B,'7店辅助表'!AR:AR),"-")</f>
        <v>0.223710453785208</v>
      </c>
      <c r="AJ162" s="100">
        <f t="shared" si="98"/>
        <v>0.17208496445016</v>
      </c>
      <c r="AK162" s="101">
        <f t="shared" si="99"/>
        <v>13.9</v>
      </c>
      <c r="AL162" s="101">
        <f t="shared" si="100"/>
        <v>69.5</v>
      </c>
      <c r="AM162" s="1" t="str">
        <f>VLOOKUP(B:B,'7店辅助表'!AZ:AZ,1,FALSE)</f>
        <v>Y7051-OR+Y7055+Y7059</v>
      </c>
      <c r="AN162" t="str">
        <f>VLOOKUP(B:B,'7店辅助表'!AZ:BB,3,FALSE)</f>
        <v>CA</v>
      </c>
    </row>
    <row r="163" customHeight="1" spans="1:40">
      <c r="A163" s="58" t="s">
        <v>948</v>
      </c>
      <c r="B163" s="116" t="s">
        <v>2567</v>
      </c>
      <c r="C163" s="45" t="s">
        <v>2568</v>
      </c>
      <c r="D163" s="59">
        <f>VLOOKUP(B:B,'[1]7店'!$B:$L,3,0)</f>
        <v>45086</v>
      </c>
      <c r="E163" s="45" t="s">
        <v>2314</v>
      </c>
      <c r="F163" s="45">
        <v>32</v>
      </c>
      <c r="G163" s="45">
        <v>1</v>
      </c>
      <c r="H163" s="45">
        <v>0</v>
      </c>
      <c r="I163" s="45">
        <v>0</v>
      </c>
      <c r="J163" s="45">
        <v>0</v>
      </c>
      <c r="K163" s="63">
        <f t="shared" si="90"/>
        <v>33</v>
      </c>
      <c r="L163" s="132">
        <f>VLOOKUP($B:$B,'[1]7店'!$B:$L,11,FALSE)</f>
        <v>13.9</v>
      </c>
      <c r="M163" s="44">
        <f t="shared" si="89"/>
        <v>458.7</v>
      </c>
      <c r="N163" s="65">
        <f>IFERROR(VLOOKUP(B:B,'7店辅助表'!B:C,2,FALSE),0)</f>
        <v>1</v>
      </c>
      <c r="O163" s="65">
        <f>IFERROR(VLOOKUP(B:B,'7店辅助表'!E:F,2,FALSE),0)</f>
        <v>1</v>
      </c>
      <c r="P163" s="65">
        <f>IFERROR(VLOOKUP(B:B,'7店辅助表'!H:I,2,FALSE),0)</f>
        <v>1</v>
      </c>
      <c r="Q163" s="65">
        <f>IFERROR(VLOOKUP(B:B,'[1]7店'!$B:$N,13,FALSE),0)</f>
        <v>0</v>
      </c>
      <c r="R163" s="79">
        <f t="shared" si="91"/>
        <v>1</v>
      </c>
      <c r="S163" s="80">
        <f t="shared" si="92"/>
        <v>407.647058823529</v>
      </c>
      <c r="T163" s="44">
        <f t="shared" si="93"/>
        <v>13.5882352941176</v>
      </c>
      <c r="U163" s="44">
        <f>IFERROR(VLOOKUP($B:$B,'[1]7店'!$B:$T,19,FALSE),0)</f>
        <v>51</v>
      </c>
      <c r="V163" s="81">
        <f t="shared" si="94"/>
        <v>-37.4117647058824</v>
      </c>
      <c r="W163" s="82" t="str">
        <f t="shared" si="95"/>
        <v>库存过高</v>
      </c>
      <c r="X163" s="83" t="str">
        <f t="shared" si="96"/>
        <v>库存过高</v>
      </c>
      <c r="Y163" s="44">
        <f>IFERROR(SUMIF('7店辅助表'!K:K,B:B,'7店辅助表'!N:N),0)</f>
        <v>1.91</v>
      </c>
      <c r="Z163" s="44">
        <f>IFERROR(SUMIF('7店辅助表'!T:T,B:B,'7店辅助表'!W:W),0)</f>
        <v>4.14</v>
      </c>
      <c r="AA163" s="44">
        <f>IFERROR(SUMIF('7店辅助表'!AC:AC,B:B,'7店辅助表'!AF:AF),0)</f>
        <v>5.22</v>
      </c>
      <c r="AB163" s="91" t="str">
        <f>IFERROR(SUMIF('7店辅助表'!K:K,B:B,'7店辅助表'!N:N)/SUMIF('7店辅助表'!K:K,B:B,'7店辅助表'!O:O),"-")</f>
        <v>-</v>
      </c>
      <c r="AC163" s="91" t="str">
        <f>IFERROR(VLOOKUP(B:B,'[1]7店'!$B:$AB,27,FALSE),"-")</f>
        <v>-</v>
      </c>
      <c r="AD163" s="92" t="str">
        <f t="shared" si="97"/>
        <v>-</v>
      </c>
      <c r="AE163" s="91" t="str">
        <f>IFERROR(SUMIF('7店辅助表'!T:T,B:B,'7店辅助表'!W:W)/SUMIF('7店辅助表'!T:T,B:B,'7店辅助表'!X:X),"-")</f>
        <v>-</v>
      </c>
      <c r="AF163" s="91" t="str">
        <f>IFERROR(SUMIF('7店辅助表'!AC:AC,B:B,'7店辅助表'!AF:AF)/SUMIF('7店辅助表'!AC:AC,B:B,'7店辅助表'!AG:AG),"-")</f>
        <v>-</v>
      </c>
      <c r="AG163" s="99">
        <f>IFERROR(AK163/((SUMIF('7店辅助表'!AT:AT,B:B,'7店辅助表'!AU:AU)+M163)/2),"-")</f>
        <v>0.0298507462686567</v>
      </c>
      <c r="AH163" s="99">
        <f>IFERROR(AL163/((SUMIF('7店辅助表'!AW:AW,B:B,'7店辅助表'!AX:AX)+M163)/2),"-")</f>
        <v>0.0298507462686567</v>
      </c>
      <c r="AI163" s="100">
        <f>IFERROR((SUMIF('7店辅助表'!AP:AP,B:B,'7店辅助表'!AR:AR)-SUMIF('7店辅助表'!AP:AP,B:B,'7店辅助表'!AR:AR)*0.15-(L163+IFERROR(VLOOKUP(B:B,'7店辅助表'!AZ:BA,2,0),0))*O163-IF(AN:AN="US",6.85,4.9)*(Z163+4.27*O163))/SUMIF('7店辅助表'!AP:AP,B:B,'7店辅助表'!AR:AR),"-")</f>
        <v>0.349681981295789</v>
      </c>
      <c r="AJ163" s="100">
        <f t="shared" si="98"/>
        <v>0.0104382680983818</v>
      </c>
      <c r="AK163" s="101">
        <f t="shared" si="99"/>
        <v>13.9</v>
      </c>
      <c r="AL163" s="101">
        <f t="shared" si="100"/>
        <v>13.9</v>
      </c>
      <c r="AM163" s="1" t="str">
        <f>VLOOKUP(B:B,'7店辅助表'!AZ:AZ,1,FALSE)</f>
        <v>Y7053-BL+Y7057+Y7061</v>
      </c>
      <c r="AN163" t="str">
        <f>VLOOKUP(B:B,'7店辅助表'!AZ:BB,3,FALSE)</f>
        <v>CA</v>
      </c>
    </row>
    <row r="164" customHeight="1" spans="1:40">
      <c r="A164" s="58" t="s">
        <v>948</v>
      </c>
      <c r="B164" s="116" t="s">
        <v>2569</v>
      </c>
      <c r="C164" s="45" t="s">
        <v>2570</v>
      </c>
      <c r="D164" s="59">
        <f>VLOOKUP(B:B,'[1]7店'!$B:$L,3,0)</f>
        <v>45086</v>
      </c>
      <c r="E164" s="45" t="s">
        <v>2317</v>
      </c>
      <c r="F164" s="45">
        <v>25</v>
      </c>
      <c r="G164" s="45">
        <v>0</v>
      </c>
      <c r="H164" s="45">
        <v>0</v>
      </c>
      <c r="I164" s="45">
        <v>0</v>
      </c>
      <c r="J164" s="45">
        <v>0</v>
      </c>
      <c r="K164" s="63">
        <f t="shared" si="90"/>
        <v>25</v>
      </c>
      <c r="L164" s="132">
        <f>VLOOKUP($B:$B,'[1]7店'!$B:$L,11,FALSE)</f>
        <v>13.9</v>
      </c>
      <c r="M164" s="44">
        <f t="shared" si="89"/>
        <v>347.5</v>
      </c>
      <c r="N164" s="65">
        <f>IFERROR(VLOOKUP(B:B,'7店辅助表'!B:C,2,FALSE),0)</f>
        <v>0</v>
      </c>
      <c r="O164" s="65">
        <f>IFERROR(VLOOKUP(B:B,'7店辅助表'!E:F,2,FALSE),0)</f>
        <v>0</v>
      </c>
      <c r="P164" s="65">
        <f>IFERROR(VLOOKUP(B:B,'7店辅助表'!H:I,2,FALSE),0)</f>
        <v>1</v>
      </c>
      <c r="Q164" s="65">
        <f>IFERROR(VLOOKUP(B:B,'[1]7店'!$B:$N,13,FALSE),0)</f>
        <v>0</v>
      </c>
      <c r="R164" s="79">
        <f t="shared" si="91"/>
        <v>0</v>
      </c>
      <c r="S164" s="80">
        <f t="shared" si="92"/>
        <v>2250</v>
      </c>
      <c r="T164" s="44">
        <f t="shared" si="93"/>
        <v>75</v>
      </c>
      <c r="U164" s="44">
        <f>IFERROR(VLOOKUP($B:$B,'[1]7店'!$B:$T,19,FALSE),0)</f>
        <v>75</v>
      </c>
      <c r="V164" s="81">
        <f t="shared" si="94"/>
        <v>0</v>
      </c>
      <c r="W164" s="82" t="str">
        <f t="shared" si="95"/>
        <v>有库存无销量</v>
      </c>
      <c r="X164" s="83" t="str">
        <f t="shared" si="96"/>
        <v>库存过高</v>
      </c>
      <c r="Y164" s="44">
        <f>IFERROR(SUMIF('7店辅助表'!K:K,B:B,'7店辅助表'!N:N),0)</f>
        <v>0</v>
      </c>
      <c r="Z164" s="44">
        <f>IFERROR(SUMIF('7店辅助表'!T:T,B:B,'7店辅助表'!W:W),0)</f>
        <v>0</v>
      </c>
      <c r="AA164" s="44">
        <f>IFERROR(SUMIF('7店辅助表'!AC:AC,B:B,'7店辅助表'!AF:AF),0)</f>
        <v>0</v>
      </c>
      <c r="AB164" s="91" t="str">
        <f>IFERROR(SUMIF('7店辅助表'!K:K,B:B,'7店辅助表'!N:N)/SUMIF('7店辅助表'!K:K,B:B,'7店辅助表'!O:O),"-")</f>
        <v>-</v>
      </c>
      <c r="AC164" s="91" t="str">
        <f>IFERROR(VLOOKUP(B:B,'[1]7店'!$B:$AB,27,FALSE),"-")</f>
        <v>-</v>
      </c>
      <c r="AD164" s="92" t="str">
        <f t="shared" si="97"/>
        <v>-</v>
      </c>
      <c r="AE164" s="91" t="str">
        <f>IFERROR(SUMIF('7店辅助表'!T:T,B:B,'7店辅助表'!W:W)/SUMIF('7店辅助表'!T:T,B:B,'7店辅助表'!X:X),"-")</f>
        <v>-</v>
      </c>
      <c r="AF164" s="91" t="str">
        <f>IFERROR(SUMIF('7店辅助表'!AC:AC,B:B,'7店辅助表'!AF:AF)/SUMIF('7店辅助表'!AC:AC,B:B,'7店辅助表'!AG:AG),"-")</f>
        <v>-</v>
      </c>
      <c r="AG164" s="99">
        <f>IFERROR(AK164/((SUMIF('7店辅助表'!AT:AT,B:B,'7店辅助表'!AU:AU)+M164)/2),"-")</f>
        <v>0</v>
      </c>
      <c r="AH164" s="99">
        <f>IFERROR(AL164/((SUMIF('7店辅助表'!AW:AW,B:B,'7店辅助表'!AX:AX)+M164)/2),"-")</f>
        <v>0</v>
      </c>
      <c r="AI164" s="100" t="str">
        <f>IFERROR((SUMIF('7店辅助表'!AP:AP,B:B,'7店辅助表'!AR:AR)-SUMIF('7店辅助表'!AP:AP,B:B,'7店辅助表'!AR:AR)*0.15-(L164+IFERROR(VLOOKUP(B:B,'7店辅助表'!AZ:BA,2,0),0))*O164-IF(AN:AN="US",6.85,4.9)*(Z164+4.27*O164))/SUMIF('7店辅助表'!AP:AP,B:B,'7店辅助表'!AR:AR),"-")</f>
        <v>-</v>
      </c>
      <c r="AJ164" s="100" t="str">
        <f t="shared" si="98"/>
        <v>-</v>
      </c>
      <c r="AK164" s="101">
        <f t="shared" si="99"/>
        <v>0</v>
      </c>
      <c r="AL164" s="101">
        <f t="shared" si="100"/>
        <v>0</v>
      </c>
      <c r="AM164" s="1" t="str">
        <f>VLOOKUP(B:B,'7店辅助表'!AZ:AZ,1,FALSE)</f>
        <v>Y7053-BU+Y7057+Y7061</v>
      </c>
      <c r="AN164" t="str">
        <f>VLOOKUP(B:B,'7店辅助表'!AZ:BB,3,FALSE)</f>
        <v>CA</v>
      </c>
    </row>
    <row r="165" customHeight="1" spans="1:40">
      <c r="A165" s="58" t="s">
        <v>948</v>
      </c>
      <c r="B165" s="116" t="s">
        <v>2571</v>
      </c>
      <c r="C165" s="45" t="s">
        <v>2572</v>
      </c>
      <c r="D165" s="59">
        <f>VLOOKUP(B:B,'[1]7店'!$B:$L,3,0)</f>
        <v>45086</v>
      </c>
      <c r="E165" s="45" t="s">
        <v>2320</v>
      </c>
      <c r="F165" s="45">
        <v>23</v>
      </c>
      <c r="G165" s="45">
        <v>0</v>
      </c>
      <c r="H165" s="45">
        <v>0</v>
      </c>
      <c r="I165" s="45">
        <v>0</v>
      </c>
      <c r="J165" s="45">
        <v>0</v>
      </c>
      <c r="K165" s="63">
        <f t="shared" si="90"/>
        <v>23</v>
      </c>
      <c r="L165" s="132">
        <f>VLOOKUP($B:$B,'[1]7店'!$B:$L,11,FALSE)</f>
        <v>13.9</v>
      </c>
      <c r="M165" s="44">
        <f t="shared" ref="M165:M200" si="101">K165*L165</f>
        <v>319.7</v>
      </c>
      <c r="N165" s="65">
        <f>IFERROR(VLOOKUP(B:B,'7店辅助表'!B:C,2,FALSE),0)</f>
        <v>1</v>
      </c>
      <c r="O165" s="65">
        <f>IFERROR(VLOOKUP(B:B,'7店辅助表'!E:F,2,FALSE),0)</f>
        <v>1</v>
      </c>
      <c r="P165" s="65">
        <f>IFERROR(VLOOKUP(B:B,'7店辅助表'!H:I,2,FALSE),0)</f>
        <v>1</v>
      </c>
      <c r="Q165" s="65">
        <f>IFERROR(VLOOKUP(B:B,'[1]7店'!$B:$N,13,FALSE),0)</f>
        <v>0</v>
      </c>
      <c r="R165" s="79">
        <f t="shared" si="91"/>
        <v>1</v>
      </c>
      <c r="S165" s="80">
        <f t="shared" si="92"/>
        <v>284.117647058824</v>
      </c>
      <c r="T165" s="44">
        <f t="shared" si="93"/>
        <v>9.47058823529412</v>
      </c>
      <c r="U165" s="44" t="str">
        <f>IFERROR(VLOOKUP($B:$B,'[1]7店'!$B:$T,19,FALSE),0)</f>
        <v>-</v>
      </c>
      <c r="V165" s="81" t="str">
        <f t="shared" si="94"/>
        <v>-</v>
      </c>
      <c r="W165" s="82" t="str">
        <f t="shared" si="95"/>
        <v>库存过高</v>
      </c>
      <c r="X165" s="83" t="str">
        <f t="shared" si="96"/>
        <v>库存过高</v>
      </c>
      <c r="Y165" s="44">
        <f>IFERROR(SUMIF('7店辅助表'!K:K,B:B,'7店辅助表'!N:N),0)</f>
        <v>0</v>
      </c>
      <c r="Z165" s="44">
        <f>IFERROR(SUMIF('7店辅助表'!T:T,B:B,'7店辅助表'!W:W),0)</f>
        <v>0</v>
      </c>
      <c r="AA165" s="44">
        <f>IFERROR(SUMIF('7店辅助表'!AC:AC,B:B,'7店辅助表'!AF:AF),0)</f>
        <v>0</v>
      </c>
      <c r="AB165" s="91" t="str">
        <f>IFERROR(SUMIF('7店辅助表'!K:K,B:B,'7店辅助表'!N:N)/SUMIF('7店辅助表'!K:K,B:B,'7店辅助表'!O:O),"-")</f>
        <v>-</v>
      </c>
      <c r="AC165" s="91" t="str">
        <f>IFERROR(VLOOKUP(B:B,'[1]7店'!$B:$AB,27,FALSE),"-")</f>
        <v>-</v>
      </c>
      <c r="AD165" s="92" t="str">
        <f t="shared" si="97"/>
        <v>-</v>
      </c>
      <c r="AE165" s="91" t="str">
        <f>IFERROR(SUMIF('7店辅助表'!T:T,B:B,'7店辅助表'!W:W)/SUMIF('7店辅助表'!T:T,B:B,'7店辅助表'!X:X),"-")</f>
        <v>-</v>
      </c>
      <c r="AF165" s="91" t="str">
        <f>IFERROR(SUMIF('7店辅助表'!AC:AC,B:B,'7店辅助表'!AF:AF)/SUMIF('7店辅助表'!AC:AC,B:B,'7店辅助表'!AG:AG),"-")</f>
        <v>-</v>
      </c>
      <c r="AG165" s="99">
        <f>IFERROR(AK165/((SUMIF('7店辅助表'!AT:AT,B:B,'7店辅助表'!AU:AU)+M165)/2),"-")</f>
        <v>0.0434782608695652</v>
      </c>
      <c r="AH165" s="99">
        <f>IFERROR(AL165/((SUMIF('7店辅助表'!AW:AW,B:B,'7店辅助表'!AX:AX)+M165)/2),"-")</f>
        <v>0.0434782608695652</v>
      </c>
      <c r="AI165" s="100">
        <f>IFERROR((SUMIF('7店辅助表'!AP:AP,B:B,'7店辅助表'!AR:AR)-SUMIF('7店辅助表'!AP:AP,B:B,'7店辅助表'!AR:AR)*0.15-(L165+IFERROR(VLOOKUP(B:B,'7店辅助表'!AZ:BA,2,0),0))*O165-IF(AN:AN="US",6.85,4.9)*(Z165+4.27*O165))/SUMIF('7店辅助表'!AP:AP,B:B,'7店辅助表'!AR:AR),"-")</f>
        <v>0.508974016694019</v>
      </c>
      <c r="AJ165" s="100">
        <f t="shared" si="98"/>
        <v>0.022129305073653</v>
      </c>
      <c r="AK165" s="101">
        <f t="shared" si="99"/>
        <v>13.9</v>
      </c>
      <c r="AL165" s="101">
        <f t="shared" si="100"/>
        <v>13.9</v>
      </c>
      <c r="AM165" s="1" t="str">
        <f>VLOOKUP(B:B,'7店辅助表'!AZ:AZ,1,FALSE)</f>
        <v>Y7053-DB+Y7057+Y7061</v>
      </c>
      <c r="AN165" t="str">
        <f>VLOOKUP(B:B,'7店辅助表'!AZ:BB,3,FALSE)</f>
        <v>CA</v>
      </c>
    </row>
    <row r="166" customHeight="1" spans="1:40">
      <c r="A166" s="58" t="s">
        <v>948</v>
      </c>
      <c r="B166" s="116" t="s">
        <v>2573</v>
      </c>
      <c r="C166" s="45" t="s">
        <v>2574</v>
      </c>
      <c r="D166" s="59">
        <f>VLOOKUP(B:B,'[1]7店'!$B:$L,3,0)</f>
        <v>45086</v>
      </c>
      <c r="E166" s="45" t="s">
        <v>2326</v>
      </c>
      <c r="F166" s="45">
        <v>17</v>
      </c>
      <c r="G166" s="45">
        <v>0</v>
      </c>
      <c r="H166" s="45">
        <v>0</v>
      </c>
      <c r="I166" s="45">
        <v>1</v>
      </c>
      <c r="J166" s="45">
        <v>0</v>
      </c>
      <c r="K166" s="63">
        <f t="shared" si="90"/>
        <v>18</v>
      </c>
      <c r="L166" s="132">
        <f>VLOOKUP($B:$B,'[1]7店'!$B:$L,11,FALSE)</f>
        <v>13.9</v>
      </c>
      <c r="M166" s="44">
        <f t="shared" si="101"/>
        <v>250.2</v>
      </c>
      <c r="N166" s="65">
        <f>IFERROR(VLOOKUP(B:B,'7店辅助表'!B:C,2,FALSE),0)</f>
        <v>1</v>
      </c>
      <c r="O166" s="65">
        <f>IFERROR(VLOOKUP(B:B,'7店辅助表'!E:F,2,FALSE),0)</f>
        <v>2</v>
      </c>
      <c r="P166" s="65">
        <f>IFERROR(VLOOKUP(B:B,'7店辅助表'!H:I,2,FALSE),0)</f>
        <v>3</v>
      </c>
      <c r="Q166" s="65">
        <f>IFERROR(VLOOKUP(B:B,'[1]7店'!$B:$N,13,FALSE),0)</f>
        <v>1</v>
      </c>
      <c r="R166" s="79">
        <f t="shared" si="91"/>
        <v>0</v>
      </c>
      <c r="S166" s="80">
        <f t="shared" si="92"/>
        <v>143.544303797468</v>
      </c>
      <c r="T166" s="44">
        <f t="shared" si="93"/>
        <v>4.78481012658228</v>
      </c>
      <c r="U166" s="44">
        <f>IFERROR(VLOOKUP($B:$B,'[1]7店'!$B:$T,19,FALSE),0)</f>
        <v>4.78481012658228</v>
      </c>
      <c r="V166" s="81">
        <f t="shared" si="94"/>
        <v>0</v>
      </c>
      <c r="W166" s="82" t="str">
        <f t="shared" si="95"/>
        <v>库存过高</v>
      </c>
      <c r="X166" s="83" t="str">
        <f t="shared" si="96"/>
        <v>库存过高</v>
      </c>
      <c r="Y166" s="44">
        <f>IFERROR(SUMIF('7店辅助表'!K:K,B:B,'7店辅助表'!N:N),0)</f>
        <v>2.72</v>
      </c>
      <c r="Z166" s="44">
        <f>IFERROR(SUMIF('7店辅助表'!T:T,B:B,'7店辅助表'!W:W),0)</f>
        <v>4.84</v>
      </c>
      <c r="AA166" s="44">
        <f>IFERROR(SUMIF('7店辅助表'!AC:AC,B:B,'7店辅助表'!AF:AF),0)</f>
        <v>8.19</v>
      </c>
      <c r="AB166" s="91">
        <f>IFERROR(SUMIF('7店辅助表'!K:K,B:B,'7店辅助表'!N:N)/SUMIF('7店辅助表'!K:K,B:B,'7店辅助表'!O:O),"-")</f>
        <v>0.104655636783378</v>
      </c>
      <c r="AC166" s="91" t="str">
        <f>IFERROR(VLOOKUP(B:B,'[1]7店'!$B:$AB,27,FALSE),"-")</f>
        <v>-</v>
      </c>
      <c r="AD166" s="92" t="str">
        <f t="shared" si="97"/>
        <v>-</v>
      </c>
      <c r="AE166" s="91">
        <f>IFERROR(SUMIF('7店辅助表'!T:T,B:B,'7店辅助表'!W:W)/SUMIF('7店辅助表'!T:T,B:B,'7店辅助表'!X:X),"-")</f>
        <v>0.186225471335129</v>
      </c>
      <c r="AF166" s="91">
        <f>IFERROR(SUMIF('7店辅助表'!AC:AC,B:B,'7店辅助表'!AF:AF)/SUMIF('7店辅助表'!AC:AC,B:B,'7店辅助表'!AG:AG),"-")</f>
        <v>0.315121200461716</v>
      </c>
      <c r="AG166" s="99">
        <f>IFERROR(AK166/((SUMIF('7店辅助表'!AT:AT,B:B,'7店辅助表'!AU:AU)+M166)/2),"-")</f>
        <v>0.0555555555555556</v>
      </c>
      <c r="AH166" s="99">
        <f>IFERROR(AL166/((SUMIF('7店辅助表'!AW:AW,B:B,'7店辅助表'!AX:AX)+M166)/2),"-")</f>
        <v>0.105263157894737</v>
      </c>
      <c r="AI166" s="100">
        <f>IFERROR((SUMIF('7店辅助表'!AP:AP,B:B,'7店辅助表'!AR:AR)-SUMIF('7店辅助表'!AP:AP,B:B,'7店辅助表'!AR:AR)*0.15-(L166+IFERROR(VLOOKUP(B:B,'7店辅助表'!AZ:BA,2,0),0))*O166-IF(AN:AN="US",6.85,4.9)*(Z166+4.27*O166))/SUMIF('7店辅助表'!AP:AP,B:B,'7店辅助表'!AR:AR),"-")</f>
        <v>0.415861281026455</v>
      </c>
      <c r="AJ166" s="100">
        <f t="shared" si="98"/>
        <v>0.0437748716869952</v>
      </c>
      <c r="AK166" s="101">
        <f t="shared" si="99"/>
        <v>13.9</v>
      </c>
      <c r="AL166" s="101">
        <f t="shared" si="100"/>
        <v>27.8</v>
      </c>
      <c r="AM166" s="1" t="str">
        <f>VLOOKUP(B:B,'7店辅助表'!AZ:AZ,1,FALSE)</f>
        <v>Y7053-OR+Y7057+Y7061</v>
      </c>
      <c r="AN166" t="str">
        <f>VLOOKUP(B:B,'7店辅助表'!AZ:BB,3,FALSE)</f>
        <v>CA</v>
      </c>
    </row>
    <row r="167" customHeight="1" spans="1:40">
      <c r="A167" s="58" t="s">
        <v>948</v>
      </c>
      <c r="B167" s="116" t="s">
        <v>2575</v>
      </c>
      <c r="C167" s="45" t="s">
        <v>2576</v>
      </c>
      <c r="D167" s="59">
        <f>VLOOKUP(B:B,'[1]7店'!$B:$L,3,0)</f>
        <v>45102</v>
      </c>
      <c r="E167" s="45" t="s">
        <v>2577</v>
      </c>
      <c r="F167" s="45">
        <v>59</v>
      </c>
      <c r="G167" s="45">
        <v>2</v>
      </c>
      <c r="H167" s="45">
        <v>21</v>
      </c>
      <c r="I167" s="45">
        <v>0</v>
      </c>
      <c r="J167" s="45">
        <v>0</v>
      </c>
      <c r="K167" s="63">
        <f t="shared" si="90"/>
        <v>82</v>
      </c>
      <c r="L167" s="132">
        <f>VLOOKUP($B:$B,'[1]7店'!$B:$L,11,FALSE)</f>
        <v>13.9</v>
      </c>
      <c r="M167" s="44">
        <f t="shared" si="101"/>
        <v>1139.8</v>
      </c>
      <c r="N167" s="65">
        <f>IFERROR(VLOOKUP(B:B,'7店辅助表'!B:C,2,FALSE),0)</f>
        <v>4</v>
      </c>
      <c r="O167" s="65">
        <f>IFERROR(VLOOKUP(B:B,'7店辅助表'!E:F,2,FALSE),0)</f>
        <v>14</v>
      </c>
      <c r="P167" s="65">
        <f>IFERROR(VLOOKUP(B:B,'7店辅助表'!H:I,2,FALSE),0)</f>
        <v>29</v>
      </c>
      <c r="Q167" s="65">
        <f>IFERROR(VLOOKUP(B:B,'[1]7店'!$B:$N,13,FALSE),0)</f>
        <v>8</v>
      </c>
      <c r="R167" s="79">
        <f t="shared" si="91"/>
        <v>-4</v>
      </c>
      <c r="S167" s="80">
        <f t="shared" si="92"/>
        <v>99.5375722543352</v>
      </c>
      <c r="T167" s="44">
        <f t="shared" si="93"/>
        <v>3.31791907514451</v>
      </c>
      <c r="U167" s="44">
        <f>IFERROR(VLOOKUP($B:$B,'[1]7店'!$B:$T,19,FALSE),0)</f>
        <v>2.53812949640288</v>
      </c>
      <c r="V167" s="81">
        <f t="shared" si="94"/>
        <v>0.77978957874163</v>
      </c>
      <c r="W167" s="82" t="str">
        <f t="shared" si="95"/>
        <v>库存过高</v>
      </c>
      <c r="X167" s="83" t="str">
        <f t="shared" si="96"/>
        <v>库存过高</v>
      </c>
      <c r="Y167" s="44">
        <f>IFERROR(SUMIF('7店辅助表'!K:K,B:B,'7店辅助表'!N:N),0)</f>
        <v>19.72</v>
      </c>
      <c r="Z167" s="44">
        <f>IFERROR(SUMIF('7店辅助表'!T:T,B:B,'7店辅助表'!W:W),0)</f>
        <v>47.82</v>
      </c>
      <c r="AA167" s="44">
        <f>IFERROR(SUMIF('7店辅助表'!AC:AC,B:B,'7店辅助表'!AF:AF),0)</f>
        <v>92.74</v>
      </c>
      <c r="AB167" s="91">
        <f>IFERROR(SUMIF('7店辅助表'!K:K,B:B,'7店辅助表'!N:N)/SUMIF('7店辅助表'!K:K,B:B,'7店辅助表'!O:O),"-")</f>
        <v>0.759045419553503</v>
      </c>
      <c r="AC167" s="91">
        <f>IFERROR(VLOOKUP(B:B,'[1]7店'!$B:$AB,27,FALSE),"-")</f>
        <v>0.333686020367676</v>
      </c>
      <c r="AD167" s="92">
        <f t="shared" si="97"/>
        <v>0.425359399185827</v>
      </c>
      <c r="AE167" s="91">
        <f>IFERROR(SUMIF('7店辅助表'!T:T,B:B,'7店辅助表'!W:W)/SUMIF('7店辅助表'!T:T,B:B,'7店辅助表'!X:X),"-")</f>
        <v>0.417350322918485</v>
      </c>
      <c r="AF167" s="91">
        <f>IFERROR(SUMIF('7店辅助表'!AC:AC,B:B,'7店辅助表'!AF:AF)/SUMIF('7店辅助表'!AC:AC,B:B,'7店辅助表'!AG:AG),"-")</f>
        <v>0.400622057108298</v>
      </c>
      <c r="AG167" s="99">
        <f>IFERROR(AK167/((SUMIF('7店辅助表'!AT:AT,B:B,'7店辅助表'!AU:AU)+M167)/2),"-")</f>
        <v>0.0481927710843374</v>
      </c>
      <c r="AH167" s="99">
        <f>IFERROR(AL167/((SUMIF('7店辅助表'!AW:AW,B:B,'7店辅助表'!AX:AX)+M167)/2),"-")</f>
        <v>0.177215189873418</v>
      </c>
      <c r="AI167" s="100">
        <f>IFERROR((SUMIF('7店辅助表'!AP:AP,B:B,'7店辅助表'!AR:AR)-SUMIF('7店辅助表'!AP:AP,B:B,'7店辅助表'!AR:AR)*0.15-(L167+IFERROR(VLOOKUP(B:B,'7店辅助表'!AZ:BA,2,0),0))*O167-IF(AN:AN="US",6.85,4.9)*(Z167+4.27*O167))/SUMIF('7店辅助表'!AP:AP,B:B,'7店辅助表'!AR:AR),"-")</f>
        <v>0.0297428962460898</v>
      </c>
      <c r="AJ167" s="100">
        <f t="shared" si="98"/>
        <v>0.00527089300563616</v>
      </c>
      <c r="AK167" s="101">
        <f t="shared" si="99"/>
        <v>55.6</v>
      </c>
      <c r="AL167" s="101">
        <f t="shared" si="100"/>
        <v>194.6</v>
      </c>
      <c r="AM167" s="1" t="str">
        <f>VLOOKUP(B:B,'7店辅助表'!AZ:AZ,1,FALSE)</f>
        <v>Y7063-BL+Y7064+Y7065</v>
      </c>
      <c r="AN167" t="str">
        <f>VLOOKUP(B:B,'7店辅助表'!AZ:BB,3,FALSE)</f>
        <v>US</v>
      </c>
    </row>
    <row r="168" customHeight="1" spans="1:40">
      <c r="A168" s="58" t="s">
        <v>948</v>
      </c>
      <c r="B168" s="116" t="s">
        <v>2578</v>
      </c>
      <c r="C168" s="45" t="s">
        <v>2576</v>
      </c>
      <c r="D168" s="59">
        <f>VLOOKUP(B:B,'[1]7店'!$B:$L,3,0)</f>
        <v>45102</v>
      </c>
      <c r="E168" s="45" t="s">
        <v>2579</v>
      </c>
      <c r="F168" s="45">
        <v>63</v>
      </c>
      <c r="G168" s="45">
        <v>1</v>
      </c>
      <c r="H168" s="45">
        <v>0</v>
      </c>
      <c r="I168" s="45">
        <v>1</v>
      </c>
      <c r="J168" s="45">
        <v>0</v>
      </c>
      <c r="K168" s="63">
        <f t="shared" si="90"/>
        <v>65</v>
      </c>
      <c r="L168" s="132">
        <f>VLOOKUP($B:$B,'[1]7店'!$B:$L,11,FALSE)</f>
        <v>13.9</v>
      </c>
      <c r="M168" s="44">
        <f t="shared" si="101"/>
        <v>903.5</v>
      </c>
      <c r="N168" s="65">
        <f>IFERROR(VLOOKUP(B:B,'7店辅助表'!B:C,2,FALSE),0)</f>
        <v>3</v>
      </c>
      <c r="O168" s="65">
        <f>IFERROR(VLOOKUP(B:B,'7店辅助表'!E:F,2,FALSE),0)</f>
        <v>5</v>
      </c>
      <c r="P168" s="65">
        <f>IFERROR(VLOOKUP(B:B,'7店辅助表'!H:I,2,FALSE),0)</f>
        <v>10</v>
      </c>
      <c r="Q168" s="65">
        <f>IFERROR(VLOOKUP(B:B,'[1]7店'!$B:$N,13,FALSE),0)</f>
        <v>2</v>
      </c>
      <c r="R168" s="79">
        <f t="shared" si="91"/>
        <v>1</v>
      </c>
      <c r="S168" s="80">
        <f t="shared" si="92"/>
        <v>178.04347826087</v>
      </c>
      <c r="T168" s="44">
        <f t="shared" si="93"/>
        <v>5.93478260869565</v>
      </c>
      <c r="U168" s="44">
        <f>IFERROR(VLOOKUP($B:$B,'[1]7店'!$B:$T,19,FALSE),0)</f>
        <v>9.96350364963504</v>
      </c>
      <c r="V168" s="81">
        <f t="shared" si="94"/>
        <v>-4.02872104093939</v>
      </c>
      <c r="W168" s="82" t="str">
        <f t="shared" si="95"/>
        <v>库存过高</v>
      </c>
      <c r="X168" s="83" t="str">
        <f t="shared" si="96"/>
        <v>库存过高</v>
      </c>
      <c r="Y168" s="44">
        <f>IFERROR(SUMIF('7店辅助表'!K:K,B:B,'7店辅助表'!N:N),0)</f>
        <v>0</v>
      </c>
      <c r="Z168" s="44">
        <f>IFERROR(SUMIF('7店辅助表'!T:T,B:B,'7店辅助表'!W:W),0)</f>
        <v>0</v>
      </c>
      <c r="AA168" s="44">
        <f>IFERROR(SUMIF('7店辅助表'!AC:AC,B:B,'7店辅助表'!AF:AF),0)</f>
        <v>0</v>
      </c>
      <c r="AB168" s="91" t="str">
        <f>IFERROR(SUMIF('7店辅助表'!K:K,B:B,'7店辅助表'!N:N)/SUMIF('7店辅助表'!K:K,B:B,'7店辅助表'!O:O),"-")</f>
        <v>-</v>
      </c>
      <c r="AC168" s="91" t="str">
        <f>IFERROR(VLOOKUP(B:B,'[1]7店'!$B:$AB,27,FALSE),"-")</f>
        <v>-</v>
      </c>
      <c r="AD168" s="92" t="str">
        <f t="shared" si="97"/>
        <v>-</v>
      </c>
      <c r="AE168" s="91" t="str">
        <f>IFERROR(SUMIF('7店辅助表'!T:T,B:B,'7店辅助表'!W:W)/SUMIF('7店辅助表'!T:T,B:B,'7店辅助表'!X:X),"-")</f>
        <v>-</v>
      </c>
      <c r="AF168" s="91" t="str">
        <f>IFERROR(SUMIF('7店辅助表'!AC:AC,B:B,'7店辅助表'!AF:AF)/SUMIF('7店辅助表'!AC:AC,B:B,'7店辅助表'!AG:AG),"-")</f>
        <v>-</v>
      </c>
      <c r="AG168" s="99">
        <f>IFERROR(AK168/((SUMIF('7店辅助表'!AT:AT,B:B,'7店辅助表'!AU:AU)+M168)/2),"-")</f>
        <v>0.0461538461538462</v>
      </c>
      <c r="AH168" s="99">
        <f>IFERROR(AL168/((SUMIF('7店辅助表'!AW:AW,B:B,'7店辅助表'!AX:AX)+M168)/2),"-")</f>
        <v>0.072463768115942</v>
      </c>
      <c r="AI168" s="100">
        <f>IFERROR((SUMIF('7店辅助表'!AP:AP,B:B,'7店辅助表'!AR:AR)-SUMIF('7店辅助表'!AP:AP,B:B,'7店辅助表'!AR:AR)*0.15-(L168+IFERROR(VLOOKUP(B:B,'7店辅助表'!AZ:BA,2,0),0))*O168-IF(AN:AN="US",6.85,4.9)*(Z168+4.27*O168))/SUMIF('7店辅助表'!AP:AP,B:B,'7店辅助表'!AR:AR),"-")</f>
        <v>0.298776338707819</v>
      </c>
      <c r="AJ168" s="100">
        <f t="shared" si="98"/>
        <v>0.0216504593266536</v>
      </c>
      <c r="AK168" s="101">
        <f t="shared" si="99"/>
        <v>41.7</v>
      </c>
      <c r="AL168" s="101">
        <f t="shared" si="100"/>
        <v>69.5</v>
      </c>
      <c r="AM168" s="1" t="str">
        <f>VLOOKUP(B:B,'7店辅助表'!AZ:AZ,1,FALSE)</f>
        <v>Y7063-BU+Y7064+Y7065</v>
      </c>
      <c r="AN168" t="str">
        <f>VLOOKUP(B:B,'7店辅助表'!AZ:BB,3,FALSE)</f>
        <v>US</v>
      </c>
    </row>
    <row r="169" customHeight="1" spans="1:40">
      <c r="A169" s="58" t="s">
        <v>948</v>
      </c>
      <c r="B169" s="116" t="s">
        <v>2580</v>
      </c>
      <c r="C169" s="45" t="s">
        <v>2576</v>
      </c>
      <c r="D169" s="59">
        <f>VLOOKUP(B:B,'[1]7店'!$B:$L,3,0)</f>
        <v>45102</v>
      </c>
      <c r="E169" s="45" t="s">
        <v>2581</v>
      </c>
      <c r="F169" s="45">
        <v>22</v>
      </c>
      <c r="G169" s="45">
        <v>1</v>
      </c>
      <c r="H169" s="45">
        <v>6</v>
      </c>
      <c r="I169" s="45">
        <v>0</v>
      </c>
      <c r="J169" s="45">
        <v>0</v>
      </c>
      <c r="K169" s="63">
        <f t="shared" si="90"/>
        <v>29</v>
      </c>
      <c r="L169" s="132">
        <f>VLOOKUP($B:$B,'[1]7店'!$B:$L,11,FALSE)</f>
        <v>13.9</v>
      </c>
      <c r="M169" s="44">
        <f t="shared" si="101"/>
        <v>403.1</v>
      </c>
      <c r="N169" s="65">
        <f>IFERROR(VLOOKUP(B:B,'7店辅助表'!B:C,2,FALSE),0)</f>
        <v>0</v>
      </c>
      <c r="O169" s="65">
        <f>IFERROR(VLOOKUP(B:B,'7店辅助表'!E:F,2,FALSE),0)</f>
        <v>1</v>
      </c>
      <c r="P169" s="65">
        <f>IFERROR(VLOOKUP(B:B,'7店辅助表'!H:I,2,FALSE),0)</f>
        <v>6</v>
      </c>
      <c r="Q169" s="65">
        <f>IFERROR(VLOOKUP(B:B,'[1]7店'!$B:$N,13,FALSE),0)</f>
        <v>1</v>
      </c>
      <c r="R169" s="79">
        <f t="shared" si="91"/>
        <v>-1</v>
      </c>
      <c r="S169" s="80">
        <f t="shared" si="92"/>
        <v>326.25</v>
      </c>
      <c r="T169" s="44">
        <f t="shared" si="93"/>
        <v>10.875</v>
      </c>
      <c r="U169" s="44">
        <f>IFERROR(VLOOKUP($B:$B,'[1]7店'!$B:$T,19,FALSE),0)</f>
        <v>5.03305785123967</v>
      </c>
      <c r="V169" s="81">
        <f t="shared" si="94"/>
        <v>5.84194214876033</v>
      </c>
      <c r="W169" s="82" t="str">
        <f t="shared" si="95"/>
        <v>有库存无销量</v>
      </c>
      <c r="X169" s="83" t="str">
        <f t="shared" si="96"/>
        <v>库存过高</v>
      </c>
      <c r="Y169" s="44">
        <f>IFERROR(SUMIF('7店辅助表'!K:K,B:B,'7店辅助表'!N:N),0)</f>
        <v>0</v>
      </c>
      <c r="Z169" s="44">
        <f>IFERROR(SUMIF('7店辅助表'!T:T,B:B,'7店辅助表'!W:W),0)</f>
        <v>0</v>
      </c>
      <c r="AA169" s="44">
        <f>IFERROR(SUMIF('7店辅助表'!AC:AC,B:B,'7店辅助表'!AF:AF),0)</f>
        <v>0</v>
      </c>
      <c r="AB169" s="91" t="str">
        <f>IFERROR(SUMIF('7店辅助表'!K:K,B:B,'7店辅助表'!N:N)/SUMIF('7店辅助表'!K:K,B:B,'7店辅助表'!O:O),"-")</f>
        <v>-</v>
      </c>
      <c r="AC169" s="91" t="str">
        <f>IFERROR(VLOOKUP(B:B,'[1]7店'!$B:$AB,27,FALSE),"-")</f>
        <v>-</v>
      </c>
      <c r="AD169" s="92" t="str">
        <f t="shared" si="97"/>
        <v>-</v>
      </c>
      <c r="AE169" s="91" t="str">
        <f>IFERROR(SUMIF('7店辅助表'!T:T,B:B,'7店辅助表'!W:W)/SUMIF('7店辅助表'!T:T,B:B,'7店辅助表'!X:X),"-")</f>
        <v>-</v>
      </c>
      <c r="AF169" s="91" t="str">
        <f>IFERROR(SUMIF('7店辅助表'!AC:AC,B:B,'7店辅助表'!AF:AF)/SUMIF('7店辅助表'!AC:AC,B:B,'7店辅助表'!AG:AG),"-")</f>
        <v>-</v>
      </c>
      <c r="AG169" s="99">
        <f>IFERROR(AK169/((SUMIF('7店辅助表'!AT:AT,B:B,'7店辅助表'!AU:AU)+M169)/2),"-")</f>
        <v>0</v>
      </c>
      <c r="AH169" s="99">
        <f>IFERROR(AL169/((SUMIF('7店辅助表'!AW:AW,B:B,'7店辅助表'!AX:AX)+M169)/2),"-")</f>
        <v>0.0377358490566038</v>
      </c>
      <c r="AI169" s="100">
        <f>IFERROR((SUMIF('7店辅助表'!AP:AP,B:B,'7店辅助表'!AR:AR)-SUMIF('7店辅助表'!AP:AP,B:B,'7店辅助表'!AR:AR)*0.15-(L169+IFERROR(VLOOKUP(B:B,'7店辅助表'!AZ:BA,2,0),0))*O169-IF(AN:AN="US",6.85,4.9)*(Z169+4.27*O169))/SUMIF('7店辅助表'!AP:AP,B:B,'7店辅助表'!AR:AR),"-")</f>
        <v>0.279100430988464</v>
      </c>
      <c r="AJ169" s="100">
        <f t="shared" si="98"/>
        <v>0.0105320917354137</v>
      </c>
      <c r="AK169" s="101">
        <f t="shared" si="99"/>
        <v>0</v>
      </c>
      <c r="AL169" s="101">
        <f t="shared" si="100"/>
        <v>13.9</v>
      </c>
      <c r="AM169" s="1" t="str">
        <f>VLOOKUP(B:B,'7店辅助表'!AZ:AZ,1,FALSE)</f>
        <v>Y7063-DB+Y7064+Y7065</v>
      </c>
      <c r="AN169" t="str">
        <f>VLOOKUP(B:B,'7店辅助表'!AZ:BB,3,FALSE)</f>
        <v>US</v>
      </c>
    </row>
    <row r="170" customHeight="1" spans="1:40">
      <c r="A170" s="58" t="s">
        <v>948</v>
      </c>
      <c r="B170" s="116" t="s">
        <v>2582</v>
      </c>
      <c r="C170" s="45" t="s">
        <v>2576</v>
      </c>
      <c r="D170" s="59">
        <f>VLOOKUP(B:B,'[1]7店'!$B:$L,3,0)</f>
        <v>45102</v>
      </c>
      <c r="E170" s="45" t="s">
        <v>2583</v>
      </c>
      <c r="F170" s="45">
        <v>45</v>
      </c>
      <c r="G170" s="45">
        <v>2</v>
      </c>
      <c r="H170" s="45">
        <v>1</v>
      </c>
      <c r="I170" s="45">
        <v>0</v>
      </c>
      <c r="J170" s="45">
        <v>0</v>
      </c>
      <c r="K170" s="63">
        <f t="shared" si="90"/>
        <v>48</v>
      </c>
      <c r="L170" s="132">
        <f>VLOOKUP($B:$B,'[1]7店'!$B:$L,11,FALSE)</f>
        <v>13.9</v>
      </c>
      <c r="M170" s="44">
        <f t="shared" si="101"/>
        <v>667.2</v>
      </c>
      <c r="N170" s="65">
        <f>IFERROR(VLOOKUP(B:B,'7店辅助表'!B:C,2,FALSE),0)</f>
        <v>8</v>
      </c>
      <c r="O170" s="65">
        <f>IFERROR(VLOOKUP(B:B,'7店辅助表'!E:F,2,FALSE),0)</f>
        <v>13</v>
      </c>
      <c r="P170" s="65">
        <f>IFERROR(VLOOKUP(B:B,'7店辅助表'!H:I,2,FALSE),0)</f>
        <v>28</v>
      </c>
      <c r="Q170" s="65">
        <f>IFERROR(VLOOKUP(B:B,'[1]7店'!$B:$N,13,FALSE),0)</f>
        <v>5</v>
      </c>
      <c r="R170" s="79">
        <f t="shared" si="91"/>
        <v>3</v>
      </c>
      <c r="S170" s="80">
        <f t="shared" si="92"/>
        <v>48.9320388349515</v>
      </c>
      <c r="T170" s="44">
        <f t="shared" si="93"/>
        <v>1.63106796116505</v>
      </c>
      <c r="U170" s="44">
        <f>IFERROR(VLOOKUP($B:$B,'[1]7店'!$B:$T,19,FALSE),0)</f>
        <v>2.226</v>
      </c>
      <c r="V170" s="81">
        <f t="shared" si="94"/>
        <v>-0.59493203883495</v>
      </c>
      <c r="W170" s="82" t="str">
        <f t="shared" si="95"/>
        <v>正常</v>
      </c>
      <c r="X170" s="83" t="str">
        <f t="shared" si="96"/>
        <v>库存过高</v>
      </c>
      <c r="Y170" s="44">
        <f>IFERROR(SUMIF('7店辅助表'!K:K,B:B,'7店辅助表'!N:N),0)</f>
        <v>4.37</v>
      </c>
      <c r="Z170" s="44">
        <f>IFERROR(SUMIF('7店辅助表'!T:T,B:B,'7店辅助表'!W:W),0)</f>
        <v>4.37</v>
      </c>
      <c r="AA170" s="44">
        <f>IFERROR(SUMIF('7店辅助表'!AC:AC,B:B,'7店辅助表'!AF:AF),0)</f>
        <v>4.37</v>
      </c>
      <c r="AB170" s="91">
        <f>IFERROR(SUMIF('7店辅助表'!K:K,B:B,'7店辅助表'!N:N)/SUMIF('7店辅助表'!K:K,B:B,'7店辅助表'!O:O),"-")</f>
        <v>0.336412625096228</v>
      </c>
      <c r="AC170" s="91" t="str">
        <f>IFERROR(VLOOKUP(B:B,'[1]7店'!$B:$AB,27,FALSE),"-")</f>
        <v>-</v>
      </c>
      <c r="AD170" s="92" t="str">
        <f t="shared" si="97"/>
        <v>-</v>
      </c>
      <c r="AE170" s="91">
        <f>IFERROR(SUMIF('7店辅助表'!T:T,B:B,'7店辅助表'!W:W)/SUMIF('7店辅助表'!T:T,B:B,'7店辅助表'!X:X),"-")</f>
        <v>0.336412625096228</v>
      </c>
      <c r="AF170" s="91">
        <f>IFERROR(SUMIF('7店辅助表'!AC:AC,B:B,'7店辅助表'!AF:AF)/SUMIF('7店辅助表'!AC:AC,B:B,'7店辅助表'!AG:AG),"-")</f>
        <v>0.336412625096228</v>
      </c>
      <c r="AG170" s="99">
        <f>IFERROR(AK170/((SUMIF('7店辅助表'!AT:AT,B:B,'7店辅助表'!AU:AU)+M170)/2),"-")</f>
        <v>0.158415841584158</v>
      </c>
      <c r="AH170" s="99">
        <f>IFERROR(AL170/((SUMIF('7店辅助表'!AW:AW,B:B,'7店辅助表'!AX:AX)+M170)/2),"-")</f>
        <v>0.2</v>
      </c>
      <c r="AI170" s="100">
        <f>IFERROR((SUMIF('7店辅助表'!AP:AP,B:B,'7店辅助表'!AR:AR)-SUMIF('7店辅助表'!AP:AP,B:B,'7店辅助表'!AR:AR)*0.15-(L170+IFERROR(VLOOKUP(B:B,'7店辅助表'!AZ:BA,2,0),0))*O170-IF(AN:AN="US",6.85,4.9)*(Z170+4.27*O170))/SUMIF('7店辅助表'!AP:AP,B:B,'7店辅助表'!AR:AR),"-")</f>
        <v>0.270612837739418</v>
      </c>
      <c r="AJ170" s="100">
        <f t="shared" si="98"/>
        <v>0.0541225675478836</v>
      </c>
      <c r="AK170" s="101">
        <f t="shared" si="99"/>
        <v>111.2</v>
      </c>
      <c r="AL170" s="101">
        <f t="shared" si="100"/>
        <v>180.7</v>
      </c>
      <c r="AM170" s="1" t="str">
        <f>VLOOKUP(B:B,'7店辅助表'!AZ:AZ,1,FALSE)</f>
        <v>Y7063-OR+Y7064+Y7065</v>
      </c>
      <c r="AN170" t="str">
        <f>VLOOKUP(B:B,'7店辅助表'!AZ:BB,3,FALSE)</f>
        <v>US</v>
      </c>
    </row>
    <row r="171" customHeight="1" spans="1:40">
      <c r="A171" s="58" t="s">
        <v>948</v>
      </c>
      <c r="B171" s="116" t="s">
        <v>2584</v>
      </c>
      <c r="C171" s="45" t="s">
        <v>2585</v>
      </c>
      <c r="D171" s="59">
        <f>VLOOKUP(B:B,'[1]7店'!$B:$L,3,0)</f>
        <v>45170</v>
      </c>
      <c r="E171" s="45" t="s">
        <v>2586</v>
      </c>
      <c r="F171" s="45">
        <v>23</v>
      </c>
      <c r="G171" s="45">
        <v>0</v>
      </c>
      <c r="H171" s="45">
        <v>0</v>
      </c>
      <c r="I171" s="45">
        <v>0</v>
      </c>
      <c r="J171" s="45">
        <v>0</v>
      </c>
      <c r="K171" s="63">
        <f t="shared" ref="K171:K203" si="102">F171+G171+H171+I171+J171</f>
        <v>23</v>
      </c>
      <c r="L171" s="132">
        <f>VLOOKUP($B:$B,'[1]7店'!$B:$L,11,FALSE)</f>
        <v>13.9</v>
      </c>
      <c r="M171" s="44">
        <f t="shared" si="101"/>
        <v>319.7</v>
      </c>
      <c r="N171" s="65">
        <f>IFERROR(VLOOKUP(B:B,'7店辅助表'!B:C,2,FALSE),0)</f>
        <v>2</v>
      </c>
      <c r="O171" s="65">
        <f>IFERROR(VLOOKUP(B:B,'7店辅助表'!E:F,2,FALSE),0)</f>
        <v>2</v>
      </c>
      <c r="P171" s="65">
        <f>IFERROR(VLOOKUP(B:B,'7店辅助表'!H:I,2,FALSE),0)</f>
        <v>2</v>
      </c>
      <c r="Q171" s="65">
        <f>IFERROR(VLOOKUP(B:B,'[1]7店'!$B:$N,13,FALSE),0)</f>
        <v>0</v>
      </c>
      <c r="R171" s="79">
        <f t="shared" ref="R171:R203" si="103">N171-Q171</f>
        <v>2</v>
      </c>
      <c r="S171" s="80">
        <f t="shared" ref="S171:S203" si="104">IFERROR(K171/((N171/7+O171/15+P171/30)/3),"-")</f>
        <v>142.058823529412</v>
      </c>
      <c r="T171" s="44">
        <f t="shared" ref="T171:T203" si="105">IFERROR(S171/30,"-")</f>
        <v>4.73529411764706</v>
      </c>
      <c r="U171" s="44" t="str">
        <f>IFERROR(VLOOKUP($B:$B,'[1]7店'!$B:$T,19,FALSE),0)</f>
        <v>-</v>
      </c>
      <c r="V171" s="81" t="str">
        <f t="shared" ref="V171:V203" si="106">IFERROR(T171-U171,"-")</f>
        <v>-</v>
      </c>
      <c r="W171" s="82" t="str">
        <f t="shared" ref="W171:W203" si="107">_xlfn.IFS(AND(D171&lt;&gt;0,D171-$AM$2&gt;=0,B171&gt;0,D171&lt;&gt;0),"本月刚到货",AND(IFERROR((K171/(N171/7))/30,"-")="-",K171&gt;0),"有库存无销量",AND(IFERROR((K171/(N171/7))/30,"-")="-",K171=0),"无库存无销量",AND(IFERROR((K171/(N171/7))/30,"-")&lt;=0.5,K171=0),"无库存有销量",IFERROR((K171/(N171/7))/30,"-")&lt;=0.5,"库存过低",IFERROR((K171/(N171/7))/30,"-")&lt;=1.5,"正常",IFERROR((K171/(N171/7))/30,"-")&gt;1.5,"库存过高")</f>
        <v>库存过高</v>
      </c>
      <c r="X171" s="83" t="str">
        <f t="shared" ref="X171:X203" si="108">_xlfn.IFS(AND(D171&lt;&gt;0,D171-$AM$2&gt;=0,K171&gt;0,D171&lt;&gt;0),"本月刚到货",AND(T171="-",K171&gt;0),"有库存无销量",AND(T171="-",K171=0),"无库存无销量",AND(T171&lt;=0.5,K171=0),"无库存有销量",T171&lt;=0.5,"库存过低",T171&lt;=1.5,"正常",T171&gt;1.5,"库存过高")</f>
        <v>库存过高</v>
      </c>
      <c r="Y171" s="44">
        <f>IFERROR(SUMIF('7店辅助表'!K:K,B:B,'7店辅助表'!N:N),0)</f>
        <v>18.61</v>
      </c>
      <c r="Z171" s="44">
        <f>IFERROR(SUMIF('7店辅助表'!T:T,B:B,'7店辅助表'!W:W),0)</f>
        <v>22.55</v>
      </c>
      <c r="AA171" s="44">
        <f>IFERROR(SUMIF('7店辅助表'!AC:AC,B:B,'7店辅助表'!AF:AF),0)</f>
        <v>22.55</v>
      </c>
      <c r="AB171" s="91">
        <f>IFERROR(SUMIF('7店辅助表'!K:K,B:B,'7店辅助表'!N:N)/SUMIF('7店辅助表'!K:K,B:B,'7店辅助表'!O:O),"-")</f>
        <v>0.358160123171671</v>
      </c>
      <c r="AC171" s="91" t="str">
        <f>IFERROR(VLOOKUP(B:B,'[1]7店'!$B:$AB,27,FALSE),"-")</f>
        <v>-</v>
      </c>
      <c r="AD171" s="92" t="str">
        <f t="shared" ref="AD171:AD203" si="109">IFERROR(AB171-AC171,"-")</f>
        <v>-</v>
      </c>
      <c r="AE171" s="91">
        <f>IFERROR(SUMIF('7店辅助表'!T:T,B:B,'7店辅助表'!W:W)/SUMIF('7店辅助表'!T:T,B:B,'7店辅助表'!X:X),"-")</f>
        <v>0.433987682832948</v>
      </c>
      <c r="AF171" s="91">
        <f>IFERROR(SUMIF('7店辅助表'!AC:AC,B:B,'7店辅助表'!AF:AF)/SUMIF('7店辅助表'!AC:AC,B:B,'7店辅助表'!AG:AG),"-")</f>
        <v>0.433987682832948</v>
      </c>
      <c r="AG171" s="99">
        <f>IFERROR(AK171/((SUMIF('7店辅助表'!AT:AT,B:B,'7店辅助表'!AU:AU)+M171)/2),"-")</f>
        <v>0.0851063829787234</v>
      </c>
      <c r="AH171" s="99">
        <f>IFERROR(AL171/((SUMIF('7店辅助表'!AW:AW,B:B,'7店辅助表'!AX:AX)+M171)/2),"-")</f>
        <v>0.0784313725490196</v>
      </c>
      <c r="AI171" s="100">
        <f>IFERROR((SUMIF('7店辅助表'!AP:AP,B:B,'7店辅助表'!AR:AR)-SUMIF('7店辅助表'!AP:AP,B:B,'7店辅助表'!AR:AR)*0.15-(L171+IFERROR(VLOOKUP(B:B,'7店辅助表'!AZ:BA,2,0),0))*O171-IF(AN:AN="US",6.85,4.9)*(Z171+4.27*O171))/SUMIF('7店辅助表'!AP:AP,B:B,'7店辅助表'!AR:AR),"-")</f>
        <v>-0.52254654057304</v>
      </c>
      <c r="AJ171" s="100">
        <f t="shared" ref="AJ171:AJ203" si="110">IFERROR(AH171*AI171,"-")</f>
        <v>-0.0409840423978855</v>
      </c>
      <c r="AK171" s="101">
        <f t="shared" ref="AK171:AK203" si="111">N171*$L171</f>
        <v>27.8</v>
      </c>
      <c r="AL171" s="101">
        <f t="shared" ref="AL171:AL203" si="112">O171*$L171</f>
        <v>27.8</v>
      </c>
      <c r="AM171" s="1" t="str">
        <f>VLOOKUP(B:B,'7店辅助表'!AZ:AZ,1,FALSE)</f>
        <v>Y7066-BL+Y7067+Y7068</v>
      </c>
      <c r="AN171" t="str">
        <f>VLOOKUP(B:B,'7店辅助表'!AZ:BB,3,FALSE)</f>
        <v>US</v>
      </c>
    </row>
    <row r="172" customHeight="1" spans="1:40">
      <c r="A172" s="58" t="s">
        <v>948</v>
      </c>
      <c r="B172" s="116" t="s">
        <v>2587</v>
      </c>
      <c r="C172" s="45" t="s">
        <v>2588</v>
      </c>
      <c r="D172" s="59">
        <f>VLOOKUP(B:B,'[1]7店'!$B:$L,3,0)</f>
        <v>45170</v>
      </c>
      <c r="E172" s="45" t="s">
        <v>2589</v>
      </c>
      <c r="F172" s="45">
        <v>41</v>
      </c>
      <c r="G172" s="45">
        <v>0</v>
      </c>
      <c r="H172" s="45">
        <v>0</v>
      </c>
      <c r="I172" s="45">
        <v>1</v>
      </c>
      <c r="J172" s="45">
        <v>0</v>
      </c>
      <c r="K172" s="63">
        <f t="shared" si="102"/>
        <v>42</v>
      </c>
      <c r="L172" s="132">
        <f>VLOOKUP($B:$B,'[1]7店'!$B:$L,11,FALSE)</f>
        <v>13.9</v>
      </c>
      <c r="M172" s="44">
        <f t="shared" si="101"/>
        <v>583.8</v>
      </c>
      <c r="N172" s="65">
        <f>IFERROR(VLOOKUP(B:B,'7店辅助表'!B:C,2,FALSE),0)</f>
        <v>3</v>
      </c>
      <c r="O172" s="65">
        <f>IFERROR(VLOOKUP(B:B,'7店辅助表'!E:F,2,FALSE),0)</f>
        <v>4</v>
      </c>
      <c r="P172" s="65">
        <f>IFERROR(VLOOKUP(B:B,'7店辅助表'!H:I,2,FALSE),0)</f>
        <v>9</v>
      </c>
      <c r="Q172" s="65">
        <f>IFERROR(VLOOKUP(B:B,'[1]7店'!$B:$N,13,FALSE),0)</f>
        <v>1</v>
      </c>
      <c r="R172" s="79">
        <f t="shared" si="103"/>
        <v>2</v>
      </c>
      <c r="S172" s="80">
        <f t="shared" si="104"/>
        <v>126.602870813397</v>
      </c>
      <c r="T172" s="44">
        <f t="shared" si="105"/>
        <v>4.2200956937799</v>
      </c>
      <c r="U172" s="44">
        <f>IFERROR(VLOOKUP($B:$B,'[1]7店'!$B:$T,19,FALSE),0)</f>
        <v>10.7441860465116</v>
      </c>
      <c r="V172" s="81">
        <f t="shared" si="106"/>
        <v>-6.5240903527317</v>
      </c>
      <c r="W172" s="82" t="str">
        <f t="shared" si="107"/>
        <v>库存过高</v>
      </c>
      <c r="X172" s="83" t="str">
        <f t="shared" si="108"/>
        <v>库存过高</v>
      </c>
      <c r="Y172" s="44">
        <f>IFERROR(SUMIF('7店辅助表'!K:K,B:B,'7店辅助表'!N:N),0)</f>
        <v>3.71</v>
      </c>
      <c r="Z172" s="44">
        <f>IFERROR(SUMIF('7店辅助表'!T:T,B:B,'7店辅助表'!W:W),0)</f>
        <v>3.71</v>
      </c>
      <c r="AA172" s="44">
        <f>IFERROR(SUMIF('7店辅助表'!AC:AC,B:B,'7店辅助表'!AF:AF),0)</f>
        <v>3.71</v>
      </c>
      <c r="AB172" s="91">
        <f>IFERROR(SUMIF('7店辅助表'!K:K,B:B,'7店辅助表'!N:N)/SUMIF('7店辅助表'!K:K,B:B,'7店辅助表'!O:O),"-")</f>
        <v>0.142802155504234</v>
      </c>
      <c r="AC172" s="91" t="str">
        <f>IFERROR(VLOOKUP(B:B,'[1]7店'!$B:$AB,27,FALSE),"-")</f>
        <v>-</v>
      </c>
      <c r="AD172" s="92" t="str">
        <f t="shared" si="109"/>
        <v>-</v>
      </c>
      <c r="AE172" s="91">
        <f>IFERROR(SUMIF('7店辅助表'!T:T,B:B,'7店辅助表'!W:W)/SUMIF('7店辅助表'!T:T,B:B,'7店辅助表'!X:X),"-")</f>
        <v>0.142802155504234</v>
      </c>
      <c r="AF172" s="91">
        <f>IFERROR(SUMIF('7店辅助表'!AC:AC,B:B,'7店辅助表'!AF:AF)/SUMIF('7店辅助表'!AC:AC,B:B,'7店辅助表'!AG:AG),"-")</f>
        <v>0.142802155504234</v>
      </c>
      <c r="AG172" s="99">
        <f>IFERROR(AK172/((SUMIF('7店辅助表'!AT:AT,B:B,'7店辅助表'!AU:AU)+M172)/2),"-")</f>
        <v>0.0697674418604651</v>
      </c>
      <c r="AH172" s="99">
        <f>IFERROR(AL172/((SUMIF('7店辅助表'!AW:AW,B:B,'7店辅助表'!AX:AX)+M172)/2),"-")</f>
        <v>0.0869565217391304</v>
      </c>
      <c r="AI172" s="100">
        <f>IFERROR((SUMIF('7店辅助表'!AP:AP,B:B,'7店辅助表'!AR:AR)-SUMIF('7店辅助表'!AP:AP,B:B,'7店辅助表'!AR:AR)*0.15-(L172+IFERROR(VLOOKUP(B:B,'7店辅助表'!AZ:BA,2,0),0))*O172-IF(AN:AN="US",6.85,4.9)*(Z172+4.27*O172))/SUMIF('7店辅助表'!AP:AP,B:B,'7店辅助表'!AR:AR),"-")</f>
        <v>0.274027747340739</v>
      </c>
      <c r="AJ172" s="100">
        <f t="shared" si="110"/>
        <v>0.02382849976876</v>
      </c>
      <c r="AK172" s="101">
        <f t="shared" si="111"/>
        <v>41.7</v>
      </c>
      <c r="AL172" s="101">
        <f t="shared" si="112"/>
        <v>55.6</v>
      </c>
      <c r="AM172" s="1" t="str">
        <f>VLOOKUP(B:B,'7店辅助表'!AZ:AZ,1,FALSE)</f>
        <v>Y7066-BU+Y7067+Y7068</v>
      </c>
      <c r="AN172" t="str">
        <f>VLOOKUP(B:B,'7店辅助表'!AZ:BB,3,FALSE)</f>
        <v>US</v>
      </c>
    </row>
    <row r="173" customHeight="1" spans="1:40">
      <c r="A173" s="58" t="s">
        <v>948</v>
      </c>
      <c r="B173" s="116" t="s">
        <v>2590</v>
      </c>
      <c r="C173" s="45" t="s">
        <v>2591</v>
      </c>
      <c r="D173" s="59">
        <f>VLOOKUP(B:B,'[1]7店'!$B:$L,3,0)</f>
        <v>45170</v>
      </c>
      <c r="E173" s="45" t="s">
        <v>2592</v>
      </c>
      <c r="F173" s="45">
        <v>47</v>
      </c>
      <c r="G173" s="45">
        <v>0</v>
      </c>
      <c r="H173" s="45">
        <v>0</v>
      </c>
      <c r="I173" s="45">
        <v>0</v>
      </c>
      <c r="J173" s="45">
        <v>0</v>
      </c>
      <c r="K173" s="63">
        <f t="shared" si="102"/>
        <v>47</v>
      </c>
      <c r="L173" s="132">
        <f>VLOOKUP($B:$B,'[1]7店'!$B:$L,11,FALSE)</f>
        <v>13.9</v>
      </c>
      <c r="M173" s="44">
        <f t="shared" si="101"/>
        <v>653.3</v>
      </c>
      <c r="N173" s="65">
        <f>IFERROR(VLOOKUP(B:B,'7店辅助表'!B:C,2,FALSE),0)</f>
        <v>1</v>
      </c>
      <c r="O173" s="65">
        <f>IFERROR(VLOOKUP(B:B,'7店辅助表'!E:F,2,FALSE),0)</f>
        <v>2</v>
      </c>
      <c r="P173" s="65">
        <f>IFERROR(VLOOKUP(B:B,'7店辅助表'!H:I,2,FALSE),0)</f>
        <v>2</v>
      </c>
      <c r="Q173" s="65">
        <f>IFERROR(VLOOKUP(B:B,'[1]7店'!$B:$N,13,FALSE),0)</f>
        <v>1</v>
      </c>
      <c r="R173" s="79">
        <f t="shared" si="103"/>
        <v>0</v>
      </c>
      <c r="S173" s="80">
        <f t="shared" si="104"/>
        <v>411.25</v>
      </c>
      <c r="T173" s="44">
        <f t="shared" si="105"/>
        <v>13.7083333333333</v>
      </c>
      <c r="U173" s="44">
        <f>IFERROR(VLOOKUP($B:$B,'[1]7店'!$B:$T,19,FALSE),0)</f>
        <v>19.7647058823529</v>
      </c>
      <c r="V173" s="81">
        <f t="shared" si="106"/>
        <v>-6.0563725490196</v>
      </c>
      <c r="W173" s="82" t="str">
        <f t="shared" si="107"/>
        <v>库存过高</v>
      </c>
      <c r="X173" s="83" t="str">
        <f t="shared" si="108"/>
        <v>库存过高</v>
      </c>
      <c r="Y173" s="44">
        <f>IFERROR(SUMIF('7店辅助表'!K:K,B:B,'7店辅助表'!N:N),0)</f>
        <v>0</v>
      </c>
      <c r="Z173" s="44">
        <f>IFERROR(SUMIF('7店辅助表'!T:T,B:B,'7店辅助表'!W:W),0)</f>
        <v>0</v>
      </c>
      <c r="AA173" s="44">
        <f>IFERROR(SUMIF('7店辅助表'!AC:AC,B:B,'7店辅助表'!AF:AF),0)</f>
        <v>0</v>
      </c>
      <c r="AB173" s="91" t="str">
        <f>IFERROR(SUMIF('7店辅助表'!K:K,B:B,'7店辅助表'!N:N)/SUMIF('7店辅助表'!K:K,B:B,'7店辅助表'!O:O),"-")</f>
        <v>-</v>
      </c>
      <c r="AC173" s="91" t="str">
        <f>IFERROR(VLOOKUP(B:B,'[1]7店'!$B:$AB,27,FALSE),"-")</f>
        <v>-</v>
      </c>
      <c r="AD173" s="92" t="str">
        <f t="shared" si="109"/>
        <v>-</v>
      </c>
      <c r="AE173" s="91" t="str">
        <f>IFERROR(SUMIF('7店辅助表'!T:T,B:B,'7店辅助表'!W:W)/SUMIF('7店辅助表'!T:T,B:B,'7店辅助表'!X:X),"-")</f>
        <v>-</v>
      </c>
      <c r="AF173" s="91" t="str">
        <f>IFERROR(SUMIF('7店辅助表'!AC:AC,B:B,'7店辅助表'!AF:AF)/SUMIF('7店辅助表'!AC:AC,B:B,'7店辅助表'!AG:AG),"-")</f>
        <v>-</v>
      </c>
      <c r="AG173" s="99">
        <f>IFERROR(AK173/((SUMIF('7店辅助表'!AT:AT,B:B,'7店辅助表'!AU:AU)+M173)/2),"-")</f>
        <v>0.0210526315789474</v>
      </c>
      <c r="AH173" s="99">
        <f>IFERROR(AL173/((SUMIF('7店辅助表'!AW:AW,B:B,'7店辅助表'!AX:AX)+M173)/2),"-")</f>
        <v>0.0412371134020618</v>
      </c>
      <c r="AI173" s="100">
        <f>IFERROR((SUMIF('7店辅助表'!AP:AP,B:B,'7店辅助表'!AR:AR)-SUMIF('7店辅助表'!AP:AP,B:B,'7店辅助表'!AR:AR)*0.15-(L173+IFERROR(VLOOKUP(B:B,'7店辅助表'!AZ:BA,2,0),0))*O173-IF(AN:AN="US",6.85,4.9)*(Z173+4.27*O173))/SUMIF('7店辅助表'!AP:AP,B:B,'7店辅助表'!AR:AR),"-")</f>
        <v>0.345428825092857</v>
      </c>
      <c r="AJ173" s="100">
        <f t="shared" si="110"/>
        <v>0.0142444876326951</v>
      </c>
      <c r="AK173" s="101">
        <f t="shared" si="111"/>
        <v>13.9</v>
      </c>
      <c r="AL173" s="101">
        <f t="shared" si="112"/>
        <v>27.8</v>
      </c>
      <c r="AM173" s="1" t="str">
        <f>VLOOKUP(B:B,'7店辅助表'!AZ:AZ,1,FALSE)</f>
        <v>Y7066-DB+Y7067+Y7068</v>
      </c>
      <c r="AN173" t="str">
        <f>VLOOKUP(B:B,'7店辅助表'!AZ:BB,3,FALSE)</f>
        <v>US</v>
      </c>
    </row>
    <row r="174" customHeight="1" spans="1:40">
      <c r="A174" s="58" t="s">
        <v>948</v>
      </c>
      <c r="B174" s="116" t="s">
        <v>2593</v>
      </c>
      <c r="C174" s="45" t="s">
        <v>2594</v>
      </c>
      <c r="D174" s="59">
        <f>VLOOKUP(B:B,'[1]7店'!$B:$L,3,0)</f>
        <v>45170</v>
      </c>
      <c r="E174" s="45" t="s">
        <v>2595</v>
      </c>
      <c r="F174" s="45">
        <v>27</v>
      </c>
      <c r="G174" s="45">
        <v>0</v>
      </c>
      <c r="H174" s="45">
        <v>0</v>
      </c>
      <c r="I174" s="45">
        <v>0</v>
      </c>
      <c r="J174" s="45">
        <v>0</v>
      </c>
      <c r="K174" s="63">
        <f t="shared" si="102"/>
        <v>27</v>
      </c>
      <c r="L174" s="132">
        <f>VLOOKUP($B:$B,'[1]7店'!$B:$L,11,FALSE)</f>
        <v>13.9</v>
      </c>
      <c r="M174" s="44">
        <f t="shared" si="101"/>
        <v>375.3</v>
      </c>
      <c r="N174" s="65">
        <f>IFERROR(VLOOKUP(B:B,'7店辅助表'!B:C,2,FALSE),0)</f>
        <v>2</v>
      </c>
      <c r="O174" s="65">
        <f>IFERROR(VLOOKUP(B:B,'7店辅助表'!E:F,2,FALSE),0)</f>
        <v>3</v>
      </c>
      <c r="P174" s="65">
        <f>IFERROR(VLOOKUP(B:B,'7店辅助表'!H:I,2,FALSE),0)</f>
        <v>3</v>
      </c>
      <c r="Q174" s="65">
        <f>IFERROR(VLOOKUP(B:B,'[1]7店'!$B:$N,13,FALSE),0)</f>
        <v>0</v>
      </c>
      <c r="R174" s="79">
        <f t="shared" si="103"/>
        <v>2</v>
      </c>
      <c r="S174" s="80">
        <f t="shared" si="104"/>
        <v>138.292682926829</v>
      </c>
      <c r="T174" s="44">
        <f t="shared" si="105"/>
        <v>4.60975609756098</v>
      </c>
      <c r="U174" s="44">
        <f>IFERROR(VLOOKUP($B:$B,'[1]7店'!$B:$T,19,FALSE),0)</f>
        <v>29</v>
      </c>
      <c r="V174" s="81">
        <f t="shared" si="106"/>
        <v>-24.390243902439</v>
      </c>
      <c r="W174" s="82" t="str">
        <f t="shared" si="107"/>
        <v>库存过高</v>
      </c>
      <c r="X174" s="83" t="str">
        <f t="shared" si="108"/>
        <v>库存过高</v>
      </c>
      <c r="Y174" s="44">
        <f>IFERROR(SUMIF('7店辅助表'!K:K,B:B,'7店辅助表'!N:N),0)</f>
        <v>0</v>
      </c>
      <c r="Z174" s="44">
        <f>IFERROR(SUMIF('7店辅助表'!T:T,B:B,'7店辅助表'!W:W),0)</f>
        <v>0</v>
      </c>
      <c r="AA174" s="44">
        <f>IFERROR(SUMIF('7店辅助表'!AC:AC,B:B,'7店辅助表'!AF:AF),0)</f>
        <v>0</v>
      </c>
      <c r="AB174" s="91" t="str">
        <f>IFERROR(SUMIF('7店辅助表'!K:K,B:B,'7店辅助表'!N:N)/SUMIF('7店辅助表'!K:K,B:B,'7店辅助表'!O:O),"-")</f>
        <v>-</v>
      </c>
      <c r="AC174" s="91" t="str">
        <f>IFERROR(VLOOKUP(B:B,'[1]7店'!$B:$AB,27,FALSE),"-")</f>
        <v>-</v>
      </c>
      <c r="AD174" s="92" t="str">
        <f t="shared" si="109"/>
        <v>-</v>
      </c>
      <c r="AE174" s="91" t="str">
        <f>IFERROR(SUMIF('7店辅助表'!T:T,B:B,'7店辅助表'!W:W)/SUMIF('7店辅助表'!T:T,B:B,'7店辅助表'!X:X),"-")</f>
        <v>-</v>
      </c>
      <c r="AF174" s="91" t="str">
        <f>IFERROR(SUMIF('7店辅助表'!AC:AC,B:B,'7店辅助表'!AF:AF)/SUMIF('7店辅助表'!AC:AC,B:B,'7店辅助表'!AG:AG),"-")</f>
        <v>-</v>
      </c>
      <c r="AG174" s="99">
        <f>IFERROR(AK174/((SUMIF('7店辅助表'!AT:AT,B:B,'7店辅助表'!AU:AU)+M174)/2),"-")</f>
        <v>0.0714285714285714</v>
      </c>
      <c r="AH174" s="99">
        <f>IFERROR(AL174/((SUMIF('7店辅助表'!AW:AW,B:B,'7店辅助表'!AX:AX)+M174)/2),"-")</f>
        <v>0.105263157894737</v>
      </c>
      <c r="AI174" s="100">
        <f>IFERROR((SUMIF('7店辅助表'!AP:AP,B:B,'7店辅助表'!AR:AR)-SUMIF('7店辅助表'!AP:AP,B:B,'7店辅助表'!AR:AR)*0.15-(L174+IFERROR(VLOOKUP(B:B,'7店辅助表'!AZ:BA,2,0),0))*O174-IF(AN:AN="US",6.85,4.9)*(Z174+4.27*O174))/SUMIF('7店辅助表'!AP:AP,B:B,'7店辅助表'!AR:AR),"-")</f>
        <v>0.345428825092856</v>
      </c>
      <c r="AJ174" s="100">
        <f t="shared" si="110"/>
        <v>0.0363609289571428</v>
      </c>
      <c r="AK174" s="101">
        <f t="shared" si="111"/>
        <v>27.8</v>
      </c>
      <c r="AL174" s="101">
        <f t="shared" si="112"/>
        <v>41.7</v>
      </c>
      <c r="AM174" s="1" t="str">
        <f>VLOOKUP(B:B,'7店辅助表'!AZ:AZ,1,FALSE)</f>
        <v>Y7066-GE+Y7067+Y7068</v>
      </c>
      <c r="AN174" t="str">
        <f>VLOOKUP(B:B,'7店辅助表'!AZ:BB,3,FALSE)</f>
        <v>US</v>
      </c>
    </row>
    <row r="175" customHeight="1" spans="1:40">
      <c r="A175" s="58" t="s">
        <v>948</v>
      </c>
      <c r="B175" s="116" t="s">
        <v>2596</v>
      </c>
      <c r="C175" s="45" t="s">
        <v>2597</v>
      </c>
      <c r="D175" s="59">
        <f>VLOOKUP(B:B,'[1]7店'!$B:$L,3,0)</f>
        <v>45170</v>
      </c>
      <c r="E175" s="45" t="s">
        <v>2598</v>
      </c>
      <c r="F175" s="45">
        <v>35</v>
      </c>
      <c r="G175" s="45">
        <v>0</v>
      </c>
      <c r="H175" s="45">
        <v>0</v>
      </c>
      <c r="I175" s="45">
        <v>1</v>
      </c>
      <c r="J175" s="45">
        <v>0</v>
      </c>
      <c r="K175" s="63">
        <f t="shared" si="102"/>
        <v>36</v>
      </c>
      <c r="L175" s="132">
        <f>VLOOKUP($B:$B,'[1]7店'!$B:$L,11,FALSE)</f>
        <v>13.9</v>
      </c>
      <c r="M175" s="44">
        <f t="shared" si="101"/>
        <v>500.4</v>
      </c>
      <c r="N175" s="65">
        <f>IFERROR(VLOOKUP(B:B,'7店辅助表'!B:C,2,FALSE),0)</f>
        <v>3</v>
      </c>
      <c r="O175" s="65">
        <f>IFERROR(VLOOKUP(B:B,'7店辅助表'!E:F,2,FALSE),0)</f>
        <v>4</v>
      </c>
      <c r="P175" s="65">
        <f>IFERROR(VLOOKUP(B:B,'7店辅助表'!H:I,2,FALSE),0)</f>
        <v>4</v>
      </c>
      <c r="Q175" s="65">
        <f>IFERROR(VLOOKUP(B:B,'[1]7店'!$B:$N,13,FALSE),0)</f>
        <v>1</v>
      </c>
      <c r="R175" s="79">
        <f t="shared" si="103"/>
        <v>2</v>
      </c>
      <c r="S175" s="80">
        <f t="shared" si="104"/>
        <v>130.344827586207</v>
      </c>
      <c r="T175" s="44">
        <f t="shared" si="105"/>
        <v>4.3448275862069</v>
      </c>
      <c r="U175" s="44">
        <f>IFERROR(VLOOKUP($B:$B,'[1]7店'!$B:$T,19,FALSE),0)</f>
        <v>16.0588235294118</v>
      </c>
      <c r="V175" s="81">
        <f t="shared" si="106"/>
        <v>-11.7139959432049</v>
      </c>
      <c r="W175" s="82" t="str">
        <f t="shared" si="107"/>
        <v>库存过高</v>
      </c>
      <c r="X175" s="83" t="str">
        <f t="shared" si="108"/>
        <v>库存过高</v>
      </c>
      <c r="Y175" s="44">
        <f>IFERROR(SUMIF('7店辅助表'!K:K,B:B,'7店辅助表'!N:N),0)</f>
        <v>31.69</v>
      </c>
      <c r="Z175" s="44">
        <f>IFERROR(SUMIF('7店辅助表'!T:T,B:B,'7店辅助表'!W:W),0)</f>
        <v>40.89</v>
      </c>
      <c r="AA175" s="44">
        <f>IFERROR(SUMIF('7店辅助表'!AC:AC,B:B,'7店辅助表'!AF:AF),0)</f>
        <v>40.89</v>
      </c>
      <c r="AB175" s="91">
        <f>IFERROR(SUMIF('7店辅助表'!K:K,B:B,'7店辅助表'!N:N)/SUMIF('7店辅助表'!K:K,B:B,'7店辅助表'!O:O),"-")</f>
        <v>0.813189633051065</v>
      </c>
      <c r="AC175" s="91">
        <f>IFERROR(VLOOKUP(B:B,'[1]7店'!$B:$AB,27,FALSE),"-")</f>
        <v>0.460230115057529</v>
      </c>
      <c r="AD175" s="92">
        <f t="shared" si="109"/>
        <v>0.352959517993536</v>
      </c>
      <c r="AE175" s="91">
        <f>IFERROR(SUMIF('7店辅助表'!T:T,B:B,'7店辅助表'!W:W)/SUMIF('7店辅助表'!T:T,B:B,'7店辅助表'!X:X),"-")</f>
        <v>0.693521031207598</v>
      </c>
      <c r="AF175" s="91">
        <f>IFERROR(SUMIF('7店辅助表'!AC:AC,B:B,'7店辅助表'!AF:AF)/SUMIF('7店辅助表'!AC:AC,B:B,'7店辅助表'!AG:AG),"-")</f>
        <v>0.693521031207598</v>
      </c>
      <c r="AG175" s="99">
        <f>IFERROR(AK175/((SUMIF('7店辅助表'!AT:AT,B:B,'7店辅助表'!AU:AU)+M175)/2),"-")</f>
        <v>0.08</v>
      </c>
      <c r="AH175" s="99">
        <f>IFERROR(AL175/((SUMIF('7店辅助表'!AW:AW,B:B,'7店辅助表'!AX:AX)+M175)/2),"-")</f>
        <v>0.105263157894737</v>
      </c>
      <c r="AI175" s="100">
        <f>IFERROR((SUMIF('7店辅助表'!AP:AP,B:B,'7店辅助表'!AR:AR)-SUMIF('7店辅助表'!AP:AP,B:B,'7店辅助表'!AR:AR)*0.15-(L175+IFERROR(VLOOKUP(B:B,'7店辅助表'!AZ:BA,2,0),0))*O175-IF(AN:AN="US",6.85,4.9)*(Z175+4.27*O175))/SUMIF('7店辅助表'!AP:AP,B:B,'7店辅助表'!AR:AR),"-")</f>
        <v>-0.609811143097132</v>
      </c>
      <c r="AJ175" s="100">
        <f t="shared" si="110"/>
        <v>-0.0641906466418034</v>
      </c>
      <c r="AK175" s="101">
        <f t="shared" si="111"/>
        <v>41.7</v>
      </c>
      <c r="AL175" s="101">
        <f t="shared" si="112"/>
        <v>55.6</v>
      </c>
      <c r="AM175" s="1" t="str">
        <f>VLOOKUP(B:B,'7店辅助表'!AZ:AZ,1,FALSE)</f>
        <v>Y7066-OR+Y7067+Y7068</v>
      </c>
      <c r="AN175" t="str">
        <f>VLOOKUP(B:B,'7店辅助表'!AZ:BB,3,FALSE)</f>
        <v>US</v>
      </c>
    </row>
    <row r="176" customHeight="1" spans="1:40">
      <c r="A176" s="58" t="s">
        <v>948</v>
      </c>
      <c r="B176" s="116" t="s">
        <v>2599</v>
      </c>
      <c r="C176" s="45" t="s">
        <v>2600</v>
      </c>
      <c r="D176" s="59">
        <f>VLOOKUP(B:B,'[1]7店'!$B:$L,3,0)</f>
        <v>45170</v>
      </c>
      <c r="E176" s="45" t="s">
        <v>2601</v>
      </c>
      <c r="F176" s="45">
        <v>47</v>
      </c>
      <c r="G176" s="45">
        <v>0</v>
      </c>
      <c r="H176" s="45">
        <v>48</v>
      </c>
      <c r="I176" s="45">
        <v>0</v>
      </c>
      <c r="J176" s="45">
        <v>0</v>
      </c>
      <c r="K176" s="63">
        <f t="shared" si="102"/>
        <v>95</v>
      </c>
      <c r="L176" s="132">
        <f>VLOOKUP($B:$B,'[1]7店'!$B:$L,11,FALSE)</f>
        <v>13.9</v>
      </c>
      <c r="M176" s="44">
        <f t="shared" si="101"/>
        <v>1320.5</v>
      </c>
      <c r="N176" s="65">
        <f>IFERROR(VLOOKUP(B:B,'7店辅助表'!B:C,2,FALSE),0)</f>
        <v>19</v>
      </c>
      <c r="O176" s="65">
        <f>IFERROR(VLOOKUP(B:B,'7店辅助表'!E:F,2,FALSE),0)</f>
        <v>36</v>
      </c>
      <c r="P176" s="65">
        <f>IFERROR(VLOOKUP(B:B,'7店辅助表'!H:I,2,FALSE),0)</f>
        <v>104</v>
      </c>
      <c r="Q176" s="65">
        <f>IFERROR(VLOOKUP(B:B,'[1]7店'!$B:$N,13,FALSE),0)</f>
        <v>15</v>
      </c>
      <c r="R176" s="79">
        <f t="shared" si="103"/>
        <v>4</v>
      </c>
      <c r="S176" s="80">
        <f t="shared" si="104"/>
        <v>33.2130965593785</v>
      </c>
      <c r="T176" s="44">
        <f t="shared" si="105"/>
        <v>1.10710321864595</v>
      </c>
      <c r="U176" s="44">
        <f>IFERROR(VLOOKUP($B:$B,'[1]7店'!$B:$T,19,FALSE),0)</f>
        <v>1.33176746917205</v>
      </c>
      <c r="V176" s="81">
        <f t="shared" si="106"/>
        <v>-0.2246642505261</v>
      </c>
      <c r="W176" s="82" t="str">
        <f t="shared" si="107"/>
        <v>正常</v>
      </c>
      <c r="X176" s="83" t="str">
        <f t="shared" si="108"/>
        <v>正常</v>
      </c>
      <c r="Y176" s="44">
        <f>IFERROR(SUMIF('7店辅助表'!K:K,B:B,'7店辅助表'!N:N),0)</f>
        <v>26.57</v>
      </c>
      <c r="Z176" s="44">
        <f>IFERROR(SUMIF('7店辅助表'!T:T,B:B,'7店辅助表'!W:W),0)</f>
        <v>59.55</v>
      </c>
      <c r="AA176" s="44">
        <f>IFERROR(SUMIF('7店辅助表'!AC:AC,B:B,'7店辅助表'!AF:AF),0)</f>
        <v>126.3</v>
      </c>
      <c r="AB176" s="91">
        <f>IFERROR(SUMIF('7店辅助表'!K:K,B:B,'7店辅助表'!N:N)/SUMIF('7店辅助表'!K:K,B:B,'7店辅助表'!O:O),"-")</f>
        <v>0.511354888375674</v>
      </c>
      <c r="AC176" s="91">
        <f>IFERROR(VLOOKUP(B:B,'[1]7店'!$B:$AB,27,FALSE),"-")</f>
        <v>1.09006928406467</v>
      </c>
      <c r="AD176" s="92">
        <f t="shared" si="109"/>
        <v>-0.578714395688996</v>
      </c>
      <c r="AE176" s="91">
        <f>IFERROR(SUMIF('7店辅助表'!T:T,B:B,'7店辅助表'!W:W)/SUMIF('7店辅助表'!T:T,B:B,'7店辅助表'!X:X),"-")</f>
        <v>0.654899373144177</v>
      </c>
      <c r="AF176" s="91">
        <f>IFERROR(SUMIF('7店辅助表'!AC:AC,B:B,'7店辅助表'!AF:AF)/SUMIF('7店辅助表'!AC:AC,B:B,'7店辅助表'!AG:AG),"-")</f>
        <v>0.262960649594004</v>
      </c>
      <c r="AG176" s="99">
        <f>IFERROR(AK176/((SUMIF('7店辅助表'!AT:AT,B:B,'7店辅助表'!AU:AU)+M176)/2),"-")</f>
        <v>0.187192118226601</v>
      </c>
      <c r="AH176" s="99">
        <f>IFERROR(AL176/((SUMIF('7店辅助表'!AW:AW,B:B,'7店辅助表'!AX:AX)+M176)/2),"-")</f>
        <v>0.283464566929134</v>
      </c>
      <c r="AI176" s="100">
        <f>IFERROR((SUMIF('7店辅助表'!AP:AP,B:B,'7店辅助表'!AR:AR)-SUMIF('7店辅助表'!AP:AP,B:B,'7店辅助表'!AR:AR)*0.15-(L176+IFERROR(VLOOKUP(B:B,'7店辅助表'!AZ:BA,2,0),0))*O176-IF(AN:AN="US",6.85,4.9)*(Z176+4.27*O176))/SUMIF('7店辅助表'!AP:AP,B:B,'7店辅助表'!AR:AR),"-")</f>
        <v>0.186805779997613</v>
      </c>
      <c r="AJ176" s="100">
        <f t="shared" si="110"/>
        <v>0.0529528195268825</v>
      </c>
      <c r="AK176" s="101">
        <f t="shared" si="111"/>
        <v>264.1</v>
      </c>
      <c r="AL176" s="101">
        <f t="shared" si="112"/>
        <v>500.4</v>
      </c>
      <c r="AM176" s="1" t="str">
        <f>VLOOKUP(B:B,'7店辅助表'!AZ:AZ,1,FALSE)</f>
        <v>Y7069-BL+Y7070+Y7071</v>
      </c>
      <c r="AN176" t="str">
        <f>VLOOKUP(B:B,'7店辅助表'!AZ:BB,3,FALSE)</f>
        <v>US</v>
      </c>
    </row>
    <row r="177" customHeight="1" spans="1:40">
      <c r="A177" s="58" t="s">
        <v>948</v>
      </c>
      <c r="B177" s="116" t="s">
        <v>2602</v>
      </c>
      <c r="C177" s="45" t="s">
        <v>2603</v>
      </c>
      <c r="D177" s="59">
        <f>VLOOKUP(B:B,'[1]7店'!$B:$L,3,0)</f>
        <v>45170</v>
      </c>
      <c r="E177" s="45" t="s">
        <v>2604</v>
      </c>
      <c r="F177" s="45">
        <v>8</v>
      </c>
      <c r="G177" s="45">
        <v>1</v>
      </c>
      <c r="H177" s="45">
        <v>0</v>
      </c>
      <c r="I177" s="45">
        <v>2</v>
      </c>
      <c r="J177" s="45">
        <v>0</v>
      </c>
      <c r="K177" s="63">
        <f t="shared" si="102"/>
        <v>11</v>
      </c>
      <c r="L177" s="132">
        <f>VLOOKUP($B:$B,'[1]7店'!$B:$L,11,FALSE)</f>
        <v>13.9</v>
      </c>
      <c r="M177" s="44">
        <f t="shared" si="101"/>
        <v>152.9</v>
      </c>
      <c r="N177" s="65">
        <f>IFERROR(VLOOKUP(B:B,'7店辅助表'!B:C,2,FALSE),0)</f>
        <v>6</v>
      </c>
      <c r="O177" s="65">
        <f>IFERROR(VLOOKUP(B:B,'7店辅助表'!E:F,2,FALSE),0)</f>
        <v>19</v>
      </c>
      <c r="P177" s="65">
        <f>IFERROR(VLOOKUP(B:B,'7店辅助表'!H:I,2,FALSE),0)</f>
        <v>38</v>
      </c>
      <c r="Q177" s="65">
        <f>IFERROR(VLOOKUP(B:B,'[1]7店'!$B:$N,13,FALSE),0)</f>
        <v>13</v>
      </c>
      <c r="R177" s="79">
        <f t="shared" si="103"/>
        <v>-7</v>
      </c>
      <c r="S177" s="80">
        <f t="shared" si="104"/>
        <v>9.73314606741573</v>
      </c>
      <c r="T177" s="44">
        <f t="shared" si="105"/>
        <v>0.324438202247191</v>
      </c>
      <c r="U177" s="44">
        <f>IFERROR(VLOOKUP($B:$B,'[1]7店'!$B:$T,19,FALSE),0)</f>
        <v>0.310957551826259</v>
      </c>
      <c r="V177" s="81">
        <f t="shared" si="106"/>
        <v>0.013480650420932</v>
      </c>
      <c r="W177" s="82" t="str">
        <f t="shared" si="107"/>
        <v>库存过低</v>
      </c>
      <c r="X177" s="83" t="str">
        <f t="shared" si="108"/>
        <v>库存过低</v>
      </c>
      <c r="Y177" s="44">
        <f>IFERROR(SUMIF('7店辅助表'!K:K,B:B,'7店辅助表'!N:N),0)</f>
        <v>4.57</v>
      </c>
      <c r="Z177" s="44">
        <f>IFERROR(SUMIF('7店辅助表'!T:T,B:B,'7店辅助表'!W:W),0)</f>
        <v>5.83</v>
      </c>
      <c r="AA177" s="44">
        <f>IFERROR(SUMIF('7店辅助表'!AC:AC,B:B,'7店辅助表'!AF:AF),0)</f>
        <v>26.56</v>
      </c>
      <c r="AB177" s="91">
        <f>IFERROR(SUMIF('7店辅助表'!K:K,B:B,'7店辅助表'!N:N)/SUMIF('7店辅助表'!K:K,B:B,'7店辅助表'!O:O),"-")</f>
        <v>0.17590454195535</v>
      </c>
      <c r="AC177" s="91">
        <f>IFERROR(VLOOKUP(B:B,'[1]7店'!$B:$AB,27,FALSE),"-")</f>
        <v>0.114649681528662</v>
      </c>
      <c r="AD177" s="92">
        <f t="shared" si="109"/>
        <v>0.061254860426688</v>
      </c>
      <c r="AE177" s="91">
        <f>IFERROR(SUMIF('7店辅助表'!T:T,B:B,'7店辅助表'!W:W)/SUMIF('7店辅助表'!T:T,B:B,'7店辅助表'!X:X),"-")</f>
        <v>0.157695428725994</v>
      </c>
      <c r="AF177" s="91">
        <f>IFERROR(SUMIF('7店辅助表'!AC:AC,B:B,'7店辅助表'!AF:AF)/SUMIF('7店辅助表'!AC:AC,B:B,'7店辅助表'!AG:AG),"-")</f>
        <v>0.349749802475639</v>
      </c>
      <c r="AG177" s="99">
        <f>IFERROR(AK177/((SUMIF('7店辅助表'!AT:AT,B:B,'7店辅助表'!AU:AU)+M177)/2),"-")</f>
        <v>0.461538461538462</v>
      </c>
      <c r="AH177" s="99">
        <f>IFERROR(AL177/((SUMIF('7店辅助表'!AW:AW,B:B,'7店辅助表'!AX:AX)+M177)/2),"-")</f>
        <v>0.716981132075472</v>
      </c>
      <c r="AI177" s="100">
        <f>IFERROR((SUMIF('7店辅助表'!AP:AP,B:B,'7店辅助表'!AR:AR)-SUMIF('7店辅助表'!AP:AP,B:B,'7店辅助表'!AR:AR)*0.15-(L177+IFERROR(VLOOKUP(B:B,'7店辅助表'!AZ:BA,2,0),0))*O177-IF(AN:AN="US",6.85,4.9)*(Z177+4.27*O177))/SUMIF('7店辅助表'!AP:AP,B:B,'7店辅助表'!AR:AR),"-")</f>
        <v>0.328150547700924</v>
      </c>
      <c r="AJ177" s="100">
        <f t="shared" si="110"/>
        <v>0.235277751181795</v>
      </c>
      <c r="AK177" s="101">
        <f t="shared" si="111"/>
        <v>83.4</v>
      </c>
      <c r="AL177" s="101">
        <f t="shared" si="112"/>
        <v>264.1</v>
      </c>
      <c r="AM177" s="1" t="str">
        <f>VLOOKUP(B:B,'7店辅助表'!AZ:AZ,1,FALSE)</f>
        <v>Y7069-BU+Y7070+Y7071</v>
      </c>
      <c r="AN177" t="str">
        <f>VLOOKUP(B:B,'7店辅助表'!AZ:BB,3,FALSE)</f>
        <v>US</v>
      </c>
    </row>
    <row r="178" customHeight="1" spans="1:40">
      <c r="A178" s="58" t="s">
        <v>948</v>
      </c>
      <c r="B178" s="116" t="s">
        <v>2605</v>
      </c>
      <c r="C178" s="45" t="s">
        <v>2606</v>
      </c>
      <c r="D178" s="59">
        <f>VLOOKUP(B:B,'[1]7店'!$B:$L,3,0)</f>
        <v>45170</v>
      </c>
      <c r="E178" s="45" t="s">
        <v>2607</v>
      </c>
      <c r="F178" s="45">
        <v>31</v>
      </c>
      <c r="G178" s="45">
        <v>0</v>
      </c>
      <c r="H178" s="45">
        <v>0</v>
      </c>
      <c r="I178" s="45">
        <v>0</v>
      </c>
      <c r="J178" s="45">
        <v>0</v>
      </c>
      <c r="K178" s="63">
        <f t="shared" si="102"/>
        <v>31</v>
      </c>
      <c r="L178" s="132">
        <f>VLOOKUP($B:$B,'[1]7店'!$B:$L,11,FALSE)</f>
        <v>13.9</v>
      </c>
      <c r="M178" s="44">
        <f t="shared" si="101"/>
        <v>430.9</v>
      </c>
      <c r="N178" s="65">
        <f>IFERROR(VLOOKUP(B:B,'7店辅助表'!B:C,2,FALSE),0)</f>
        <v>1</v>
      </c>
      <c r="O178" s="65">
        <f>IFERROR(VLOOKUP(B:B,'7店辅助表'!E:F,2,FALSE),0)</f>
        <v>6</v>
      </c>
      <c r="P178" s="65">
        <f>IFERROR(VLOOKUP(B:B,'7店辅助表'!H:I,2,FALSE),0)</f>
        <v>14</v>
      </c>
      <c r="Q178" s="65">
        <f>IFERROR(VLOOKUP(B:B,'[1]7店'!$B:$N,13,FALSE),0)</f>
        <v>3</v>
      </c>
      <c r="R178" s="79">
        <f t="shared" si="103"/>
        <v>-2</v>
      </c>
      <c r="S178" s="80">
        <f t="shared" si="104"/>
        <v>92.122641509434</v>
      </c>
      <c r="T178" s="44">
        <f t="shared" si="105"/>
        <v>3.07075471698113</v>
      </c>
      <c r="U178" s="44">
        <f>IFERROR(VLOOKUP($B:$B,'[1]7店'!$B:$T,19,FALSE),0)</f>
        <v>1.94328358208955</v>
      </c>
      <c r="V178" s="81">
        <f t="shared" si="106"/>
        <v>1.12747113489158</v>
      </c>
      <c r="W178" s="82" t="str">
        <f t="shared" si="107"/>
        <v>库存过高</v>
      </c>
      <c r="X178" s="83" t="str">
        <f t="shared" si="108"/>
        <v>库存过高</v>
      </c>
      <c r="Y178" s="44">
        <f>IFERROR(SUMIF('7店辅助表'!K:K,B:B,'7店辅助表'!N:N),0)</f>
        <v>0</v>
      </c>
      <c r="Z178" s="44">
        <f>IFERROR(SUMIF('7店辅助表'!T:T,B:B,'7店辅助表'!W:W),0)</f>
        <v>0</v>
      </c>
      <c r="AA178" s="44">
        <f>IFERROR(SUMIF('7店辅助表'!AC:AC,B:B,'7店辅助表'!AF:AF),0)</f>
        <v>0</v>
      </c>
      <c r="AB178" s="91" t="str">
        <f>IFERROR(SUMIF('7店辅助表'!K:K,B:B,'7店辅助表'!N:N)/SUMIF('7店辅助表'!K:K,B:B,'7店辅助表'!O:O),"-")</f>
        <v>-</v>
      </c>
      <c r="AC178" s="91" t="str">
        <f>IFERROR(VLOOKUP(B:B,'[1]7店'!$B:$AB,27,FALSE),"-")</f>
        <v>-</v>
      </c>
      <c r="AD178" s="92" t="str">
        <f t="shared" si="109"/>
        <v>-</v>
      </c>
      <c r="AE178" s="91" t="str">
        <f>IFERROR(SUMIF('7店辅助表'!T:T,B:B,'7店辅助表'!W:W)/SUMIF('7店辅助表'!T:T,B:B,'7店辅助表'!X:X),"-")</f>
        <v>-</v>
      </c>
      <c r="AF178" s="91" t="str">
        <f>IFERROR(SUMIF('7店辅助表'!AC:AC,B:B,'7店辅助表'!AF:AF)/SUMIF('7店辅助表'!AC:AC,B:B,'7店辅助表'!AG:AG),"-")</f>
        <v>-</v>
      </c>
      <c r="AG178" s="99">
        <f>IFERROR(AK178/((SUMIF('7店辅助表'!AT:AT,B:B,'7店辅助表'!AU:AU)+M178)/2),"-")</f>
        <v>0.032258064516129</v>
      </c>
      <c r="AH178" s="99">
        <f>IFERROR(AL178/((SUMIF('7店辅助表'!AW:AW,B:B,'7店辅助表'!AX:AX)+M178)/2),"-")</f>
        <v>0.157894736842105</v>
      </c>
      <c r="AI178" s="100">
        <f>IFERROR((SUMIF('7店辅助表'!AP:AP,B:B,'7店辅助表'!AR:AR)-SUMIF('7店辅助表'!AP:AP,B:B,'7店辅助表'!AR:AR)*0.15-(L178+IFERROR(VLOOKUP(B:B,'7店辅助表'!AZ:BA,2,0),0))*O178-IF(AN:AN="US",6.85,4.9)*(Z178+4.27*O178))/SUMIF('7店辅助表'!AP:AP,B:B,'7店辅助表'!AR:AR),"-")</f>
        <v>0.33214014521645</v>
      </c>
      <c r="AJ178" s="100">
        <f t="shared" si="110"/>
        <v>0.05244318082365</v>
      </c>
      <c r="AK178" s="101">
        <f t="shared" si="111"/>
        <v>13.9</v>
      </c>
      <c r="AL178" s="101">
        <f t="shared" si="112"/>
        <v>83.4</v>
      </c>
      <c r="AM178" s="1" t="str">
        <f>VLOOKUP(B:B,'7店辅助表'!AZ:AZ,1,FALSE)</f>
        <v>Y7069-DB+Y7070+Y7071</v>
      </c>
      <c r="AN178" t="str">
        <f>VLOOKUP(B:B,'7店辅助表'!AZ:BB,3,FALSE)</f>
        <v>US</v>
      </c>
    </row>
    <row r="179" customHeight="1" spans="1:40">
      <c r="A179" s="58" t="s">
        <v>948</v>
      </c>
      <c r="B179" s="116" t="s">
        <v>2608</v>
      </c>
      <c r="C179" s="45" t="s">
        <v>2609</v>
      </c>
      <c r="D179" s="59">
        <f>VLOOKUP(B:B,'[1]7店'!$B:$L,3,0)</f>
        <v>45170</v>
      </c>
      <c r="E179" s="45" t="s">
        <v>2610</v>
      </c>
      <c r="F179" s="45">
        <v>23</v>
      </c>
      <c r="G179" s="45">
        <v>0</v>
      </c>
      <c r="H179" s="45">
        <v>0</v>
      </c>
      <c r="I179" s="45">
        <v>0</v>
      </c>
      <c r="J179" s="45">
        <v>0</v>
      </c>
      <c r="K179" s="63">
        <f t="shared" si="102"/>
        <v>23</v>
      </c>
      <c r="L179" s="132">
        <f>VLOOKUP($B:$B,'[1]7店'!$B:$L,11,FALSE)</f>
        <v>13.9</v>
      </c>
      <c r="M179" s="44">
        <f t="shared" si="101"/>
        <v>319.7</v>
      </c>
      <c r="N179" s="65">
        <f>IFERROR(VLOOKUP(B:B,'7店辅助表'!B:C,2,FALSE),0)</f>
        <v>2</v>
      </c>
      <c r="O179" s="65">
        <f>IFERROR(VLOOKUP(B:B,'7店辅助表'!E:F,2,FALSE),0)</f>
        <v>4</v>
      </c>
      <c r="P179" s="65">
        <f>IFERROR(VLOOKUP(B:B,'7店辅助表'!H:I,2,FALSE),0)</f>
        <v>8</v>
      </c>
      <c r="Q179" s="65">
        <f>IFERROR(VLOOKUP(B:B,'[1]7店'!$B:$N,13,FALSE),0)</f>
        <v>2</v>
      </c>
      <c r="R179" s="79">
        <f t="shared" si="103"/>
        <v>0</v>
      </c>
      <c r="S179" s="80">
        <f t="shared" si="104"/>
        <v>84.2441860465116</v>
      </c>
      <c r="T179" s="44">
        <f t="shared" si="105"/>
        <v>2.80813953488372</v>
      </c>
      <c r="U179" s="44">
        <f>IFERROR(VLOOKUP($B:$B,'[1]7店'!$B:$T,19,FALSE),0)</f>
        <v>3.05232558139535</v>
      </c>
      <c r="V179" s="81">
        <f t="shared" si="106"/>
        <v>-0.24418604651163</v>
      </c>
      <c r="W179" s="82" t="str">
        <f t="shared" si="107"/>
        <v>库存过高</v>
      </c>
      <c r="X179" s="83" t="str">
        <f t="shared" si="108"/>
        <v>库存过高</v>
      </c>
      <c r="Y179" s="44">
        <f>IFERROR(SUMIF('7店辅助表'!K:K,B:B,'7店辅助表'!N:N),0)</f>
        <v>0</v>
      </c>
      <c r="Z179" s="44">
        <f>IFERROR(SUMIF('7店辅助表'!T:T,B:B,'7店辅助表'!W:W),0)</f>
        <v>0</v>
      </c>
      <c r="AA179" s="44">
        <f>IFERROR(SUMIF('7店辅助表'!AC:AC,B:B,'7店辅助表'!AF:AF),0)</f>
        <v>0</v>
      </c>
      <c r="AB179" s="91" t="str">
        <f>IFERROR(SUMIF('7店辅助表'!K:K,B:B,'7店辅助表'!N:N)/SUMIF('7店辅助表'!K:K,B:B,'7店辅助表'!O:O),"-")</f>
        <v>-</v>
      </c>
      <c r="AC179" s="91" t="str">
        <f>IFERROR(VLOOKUP(B:B,'[1]7店'!$B:$AB,27,FALSE),"-")</f>
        <v>-</v>
      </c>
      <c r="AD179" s="92" t="str">
        <f t="shared" si="109"/>
        <v>-</v>
      </c>
      <c r="AE179" s="91" t="str">
        <f>IFERROR(SUMIF('7店辅助表'!T:T,B:B,'7店辅助表'!W:W)/SUMIF('7店辅助表'!T:T,B:B,'7店辅助表'!X:X),"-")</f>
        <v>-</v>
      </c>
      <c r="AF179" s="91" t="str">
        <f>IFERROR(SUMIF('7店辅助表'!AC:AC,B:B,'7店辅助表'!AF:AF)/SUMIF('7店辅助表'!AC:AC,B:B,'7店辅助表'!AG:AG),"-")</f>
        <v>-</v>
      </c>
      <c r="AG179" s="99">
        <f>IFERROR(AK179/((SUMIF('7店辅助表'!AT:AT,B:B,'7店辅助表'!AU:AU)+M179)/2),"-")</f>
        <v>0.0833333333333333</v>
      </c>
      <c r="AH179" s="99">
        <f>IFERROR(AL179/((SUMIF('7店辅助表'!AW:AW,B:B,'7店辅助表'!AX:AX)+M179)/2),"-")</f>
        <v>0.150943396226415</v>
      </c>
      <c r="AI179" s="100">
        <f>IFERROR((SUMIF('7店辅助表'!AP:AP,B:B,'7店辅助表'!AR:AR)-SUMIF('7店辅助表'!AP:AP,B:B,'7店辅助表'!AR:AR)*0.15-(L179+IFERROR(VLOOKUP(B:B,'7店辅助表'!AZ:BA,2,0),0))*O179-IF(AN:AN="US",6.85,4.9)*(Z179+4.27*O179))/SUMIF('7店辅助表'!AP:AP,B:B,'7店辅助表'!AR:AR),"-")</f>
        <v>0.32522981889161</v>
      </c>
      <c r="AJ179" s="100">
        <f t="shared" si="110"/>
        <v>0.0490912934176015</v>
      </c>
      <c r="AK179" s="101">
        <f t="shared" si="111"/>
        <v>27.8</v>
      </c>
      <c r="AL179" s="101">
        <f t="shared" si="112"/>
        <v>55.6</v>
      </c>
      <c r="AM179" s="1" t="str">
        <f>VLOOKUP(B:B,'7店辅助表'!AZ:AZ,1,FALSE)</f>
        <v>Y7069-GE+Y7070+Y7071</v>
      </c>
      <c r="AN179" t="str">
        <f>VLOOKUP(B:B,'7店辅助表'!AZ:BB,3,FALSE)</f>
        <v>US</v>
      </c>
    </row>
    <row r="180" customHeight="1" spans="1:40">
      <c r="A180" s="58" t="s">
        <v>948</v>
      </c>
      <c r="B180" s="116" t="s">
        <v>2611</v>
      </c>
      <c r="C180" s="45" t="s">
        <v>2612</v>
      </c>
      <c r="D180" s="59">
        <f>VLOOKUP(B:B,'[1]7店'!$B:$L,3,0)</f>
        <v>45170</v>
      </c>
      <c r="E180" s="45" t="s">
        <v>2613</v>
      </c>
      <c r="F180" s="45">
        <v>29</v>
      </c>
      <c r="G180" s="45">
        <v>1</v>
      </c>
      <c r="H180" s="45">
        <v>0</v>
      </c>
      <c r="I180" s="45">
        <v>1</v>
      </c>
      <c r="J180" s="45">
        <v>0</v>
      </c>
      <c r="K180" s="63">
        <f t="shared" si="102"/>
        <v>31</v>
      </c>
      <c r="L180" s="132">
        <f>VLOOKUP($B:$B,'[1]7店'!$B:$L,11,FALSE)</f>
        <v>13.9</v>
      </c>
      <c r="M180" s="44">
        <f t="shared" si="101"/>
        <v>430.9</v>
      </c>
      <c r="N180" s="65">
        <f>IFERROR(VLOOKUP(B:B,'7店辅助表'!B:C,2,FALSE),0)</f>
        <v>1</v>
      </c>
      <c r="O180" s="65">
        <f>IFERROR(VLOOKUP(B:B,'7店辅助表'!E:F,2,FALSE),0)</f>
        <v>14</v>
      </c>
      <c r="P180" s="65">
        <f>IFERROR(VLOOKUP(B:B,'7店辅助表'!H:I,2,FALSE),0)</f>
        <v>41</v>
      </c>
      <c r="Q180" s="65">
        <f>IFERROR(VLOOKUP(B:B,'[1]7店'!$B:$N,13,FALSE),0)</f>
        <v>10</v>
      </c>
      <c r="R180" s="79">
        <f t="shared" si="103"/>
        <v>-9</v>
      </c>
      <c r="S180" s="80">
        <f t="shared" si="104"/>
        <v>38.0701754385965</v>
      </c>
      <c r="T180" s="44">
        <f t="shared" si="105"/>
        <v>1.26900584795322</v>
      </c>
      <c r="U180" s="44">
        <f>IFERROR(VLOOKUP($B:$B,'[1]7店'!$B:$T,19,FALSE),0)</f>
        <v>0.0672358591248666</v>
      </c>
      <c r="V180" s="81">
        <f t="shared" si="106"/>
        <v>1.20176998882835</v>
      </c>
      <c r="W180" s="82" t="str">
        <f t="shared" si="107"/>
        <v>库存过高</v>
      </c>
      <c r="X180" s="83" t="str">
        <f t="shared" si="108"/>
        <v>正常</v>
      </c>
      <c r="Y180" s="44">
        <f>IFERROR(SUMIF('7店辅助表'!K:K,B:B,'7店辅助表'!N:N),0)</f>
        <v>1.81</v>
      </c>
      <c r="Z180" s="44">
        <f>IFERROR(SUMIF('7店辅助表'!T:T,B:B,'7店辅助表'!W:W),0)</f>
        <v>1.81</v>
      </c>
      <c r="AA180" s="44">
        <f>IFERROR(SUMIF('7店辅助表'!AC:AC,B:B,'7店辅助表'!AF:AF),0)</f>
        <v>1.81</v>
      </c>
      <c r="AB180" s="91">
        <f>IFERROR(SUMIF('7店辅助表'!K:K,B:B,'7店辅助表'!N:N)/SUMIF('7店辅助表'!K:K,B:B,'7店辅助表'!O:O),"-")</f>
        <v>0.139337952270978</v>
      </c>
      <c r="AC180" s="91" t="str">
        <f>IFERROR(VLOOKUP(B:B,'[1]7店'!$B:$AB,27,FALSE),"-")</f>
        <v>-</v>
      </c>
      <c r="AD180" s="92" t="str">
        <f t="shared" si="109"/>
        <v>-</v>
      </c>
      <c r="AE180" s="91">
        <f>IFERROR(SUMIF('7店辅助表'!T:T,B:B,'7店辅助表'!W:W)/SUMIF('7店辅助表'!T:T,B:B,'7店辅助表'!X:X),"-")</f>
        <v>0.139337952270978</v>
      </c>
      <c r="AF180" s="91">
        <f>IFERROR(SUMIF('7店辅助表'!AC:AC,B:B,'7店辅助表'!AF:AF)/SUMIF('7店辅助表'!AC:AC,B:B,'7店辅助表'!AG:AG),"-")</f>
        <v>0.139337952270978</v>
      </c>
      <c r="AG180" s="99">
        <f>IFERROR(AK180/((SUMIF('7店辅助表'!AT:AT,B:B,'7店辅助表'!AU:AU)+M180)/2),"-")</f>
        <v>0.0588235294117647</v>
      </c>
      <c r="AH180" s="99">
        <f>IFERROR(AL180/((SUMIF('7店辅助表'!AW:AW,B:B,'7店辅助表'!AX:AX)+M180)/2),"-")</f>
        <v>0.405797101449275</v>
      </c>
      <c r="AI180" s="100">
        <f>IFERROR((SUMIF('7店辅助表'!AP:AP,B:B,'7店辅助表'!AR:AR)-SUMIF('7店辅助表'!AP:AP,B:B,'7店辅助表'!AR:AR)*0.15-(L180+IFERROR(VLOOKUP(B:B,'7店辅助表'!AZ:BA,2,0),0))*O180-IF(AN:AN="US",6.85,4.9)*(Z180+4.27*O180))/SUMIF('7店辅助表'!AP:AP,B:B,'7店辅助表'!AR:AR),"-")</f>
        <v>0.31792156335373</v>
      </c>
      <c r="AJ180" s="100">
        <f t="shared" si="110"/>
        <v>0.129011648897166</v>
      </c>
      <c r="AK180" s="101">
        <f t="shared" si="111"/>
        <v>13.9</v>
      </c>
      <c r="AL180" s="101">
        <f t="shared" si="112"/>
        <v>194.6</v>
      </c>
      <c r="AM180" s="1" t="str">
        <f>VLOOKUP(B:B,'7店辅助表'!AZ:AZ,1,FALSE)</f>
        <v>Y7069-OR+Y7070+Y7071</v>
      </c>
      <c r="AN180" t="str">
        <f>VLOOKUP(B:B,'7店辅助表'!AZ:BB,3,FALSE)</f>
        <v>US</v>
      </c>
    </row>
    <row r="181" customHeight="1" spans="1:40">
      <c r="A181" s="58" t="s">
        <v>948</v>
      </c>
      <c r="B181" s="116" t="s">
        <v>2614</v>
      </c>
      <c r="C181" s="45" t="s">
        <v>2615</v>
      </c>
      <c r="D181" s="59">
        <f>VLOOKUP(B:B,'[1]7店'!$B:$L,3,0)</f>
        <v>45170</v>
      </c>
      <c r="E181" s="45" t="s">
        <v>2616</v>
      </c>
      <c r="F181" s="45">
        <v>43</v>
      </c>
      <c r="G181" s="45">
        <v>1</v>
      </c>
      <c r="H181" s="45">
        <v>54</v>
      </c>
      <c r="I181" s="45">
        <v>54</v>
      </c>
      <c r="J181" s="45">
        <v>0</v>
      </c>
      <c r="K181" s="63">
        <f t="shared" si="102"/>
        <v>152</v>
      </c>
      <c r="L181" s="132">
        <f>VLOOKUP($B:$B,'[1]7店'!$B:$L,11,FALSE)</f>
        <v>13.9</v>
      </c>
      <c r="M181" s="44">
        <f t="shared" si="101"/>
        <v>2112.8</v>
      </c>
      <c r="N181" s="65">
        <f>IFERROR(VLOOKUP(B:B,'7店辅助表'!B:C,2,FALSE),0)</f>
        <v>7</v>
      </c>
      <c r="O181" s="65">
        <f>IFERROR(VLOOKUP(B:B,'7店辅助表'!E:F,2,FALSE),0)</f>
        <v>12</v>
      </c>
      <c r="P181" s="65">
        <f>IFERROR(VLOOKUP(B:B,'7店辅助表'!H:I,2,FALSE),0)</f>
        <v>93</v>
      </c>
      <c r="Q181" s="65">
        <f>IFERROR(VLOOKUP(B:B,'[1]7店'!$B:$N,13,FALSE),0)</f>
        <v>5</v>
      </c>
      <c r="R181" s="79">
        <f t="shared" si="103"/>
        <v>2</v>
      </c>
      <c r="S181" s="80">
        <f t="shared" si="104"/>
        <v>93.0612244897959</v>
      </c>
      <c r="T181" s="44">
        <f t="shared" si="105"/>
        <v>3.10204081632653</v>
      </c>
      <c r="U181" s="44">
        <f>IFERROR(VLOOKUP($B:$B,'[1]7店'!$B:$T,19,FALSE),0)</f>
        <v>0.976744186046511</v>
      </c>
      <c r="V181" s="81">
        <f t="shared" si="106"/>
        <v>2.12529663028002</v>
      </c>
      <c r="W181" s="82" t="str">
        <f t="shared" si="107"/>
        <v>库存过高</v>
      </c>
      <c r="X181" s="83" t="str">
        <f t="shared" si="108"/>
        <v>库存过高</v>
      </c>
      <c r="Y181" s="44">
        <f>IFERROR(SUMIF('7店辅助表'!K:K,B:B,'7店辅助表'!N:N),0)</f>
        <v>0</v>
      </c>
      <c r="Z181" s="44">
        <f>IFERROR(SUMIF('7店辅助表'!T:T,B:B,'7店辅助表'!W:W),0)</f>
        <v>0</v>
      </c>
      <c r="AA181" s="44">
        <f>IFERROR(SUMIF('7店辅助表'!AC:AC,B:B,'7店辅助表'!AF:AF),0)</f>
        <v>8.03</v>
      </c>
      <c r="AB181" s="91" t="str">
        <f>IFERROR(SUMIF('7店辅助表'!K:K,B:B,'7店辅助表'!N:N)/SUMIF('7店辅助表'!K:K,B:B,'7店辅助表'!O:O),"-")</f>
        <v>-</v>
      </c>
      <c r="AC181" s="91" t="str">
        <f>IFERROR(VLOOKUP(B:B,'[1]7店'!$B:$AB,27,FALSE),"-")</f>
        <v>-</v>
      </c>
      <c r="AD181" s="92" t="str">
        <f t="shared" si="109"/>
        <v>-</v>
      </c>
      <c r="AE181" s="91" t="str">
        <f>IFERROR(SUMIF('7店辅助表'!T:T,B:B,'7店辅助表'!W:W)/SUMIF('7店辅助表'!T:T,B:B,'7店辅助表'!X:X),"-")</f>
        <v>-</v>
      </c>
      <c r="AF181" s="91">
        <f>IFERROR(SUMIF('7店辅助表'!AC:AC,B:B,'7店辅助表'!AF:AF)/SUMIF('7店辅助表'!AC:AC,B:B,'7店辅助表'!AG:AG),"-")</f>
        <v>0.206055940467026</v>
      </c>
      <c r="AG181" s="99">
        <f>IFERROR(AK181/((SUMIF('7店辅助表'!AT:AT,B:B,'7店辅助表'!AU:AU)+M181)/2),"-")</f>
        <v>0.07</v>
      </c>
      <c r="AH181" s="99">
        <f>IFERROR(AL181/((SUMIF('7店辅助表'!AW:AW,B:B,'7店辅助表'!AX:AX)+M181)/2),"-")</f>
        <v>0.105726872246696</v>
      </c>
      <c r="AI181" s="100">
        <f>IFERROR((SUMIF('7店辅助表'!AP:AP,B:B,'7店辅助表'!AR:AR)-SUMIF('7店辅助表'!AP:AP,B:B,'7店辅助表'!AR:AR)*0.15-(L181+IFERROR(VLOOKUP(B:B,'7店辅助表'!AZ:BA,2,0),0))*O181-IF(AN:AN="US",6.85,4.9)*(Z181+4.27*O181))/SUMIF('7店辅助表'!AP:AP,B:B,'7店辅助表'!AR:AR),"-")</f>
        <v>0.31127516180017</v>
      </c>
      <c r="AJ181" s="100">
        <f t="shared" si="110"/>
        <v>0.0329101492652163</v>
      </c>
      <c r="AK181" s="101">
        <f t="shared" si="111"/>
        <v>97.3</v>
      </c>
      <c r="AL181" s="101">
        <f t="shared" si="112"/>
        <v>166.8</v>
      </c>
      <c r="AM181" s="1" t="str">
        <f>VLOOKUP(B:B,'7店辅助表'!AZ:AZ,1,FALSE)</f>
        <v>Y7072-BL+Y7073+Y7074</v>
      </c>
      <c r="AN181" t="str">
        <f>VLOOKUP(B:B,'7店辅助表'!AZ:BB,3,FALSE)</f>
        <v>US</v>
      </c>
    </row>
    <row r="182" customHeight="1" spans="1:40">
      <c r="A182" s="58" t="s">
        <v>948</v>
      </c>
      <c r="B182" s="116" t="s">
        <v>2617</v>
      </c>
      <c r="C182" s="45" t="s">
        <v>2618</v>
      </c>
      <c r="D182" s="59">
        <f>VLOOKUP(B:B,'[1]7店'!$B:$L,3,0)</f>
        <v>45170</v>
      </c>
      <c r="E182" s="45" t="s">
        <v>2619</v>
      </c>
      <c r="F182" s="45">
        <v>38</v>
      </c>
      <c r="G182" s="45">
        <v>1</v>
      </c>
      <c r="H182" s="45">
        <v>0</v>
      </c>
      <c r="I182" s="45">
        <v>2</v>
      </c>
      <c r="J182" s="45">
        <v>0</v>
      </c>
      <c r="K182" s="63">
        <f t="shared" si="102"/>
        <v>41</v>
      </c>
      <c r="L182" s="132">
        <f>VLOOKUP($B:$B,'[1]7店'!$B:$L,11,FALSE)</f>
        <v>13.9</v>
      </c>
      <c r="M182" s="44">
        <f t="shared" si="101"/>
        <v>569.9</v>
      </c>
      <c r="N182" s="65">
        <f>IFERROR(VLOOKUP(B:B,'7店辅助表'!B:C,2,FALSE),0)</f>
        <v>2</v>
      </c>
      <c r="O182" s="65">
        <f>IFERROR(VLOOKUP(B:B,'7店辅助表'!E:F,2,FALSE),0)</f>
        <v>8</v>
      </c>
      <c r="P182" s="65">
        <f>IFERROR(VLOOKUP(B:B,'7店辅助表'!H:I,2,FALSE),0)</f>
        <v>51</v>
      </c>
      <c r="Q182" s="65">
        <f>IFERROR(VLOOKUP(B:B,'[1]7店'!$B:$N,13,FALSE),0)</f>
        <v>6</v>
      </c>
      <c r="R182" s="79">
        <f t="shared" si="103"/>
        <v>-4</v>
      </c>
      <c r="S182" s="80">
        <f t="shared" si="104"/>
        <v>48.82797731569</v>
      </c>
      <c r="T182" s="44">
        <f t="shared" si="105"/>
        <v>1.62759924385633</v>
      </c>
      <c r="U182" s="44">
        <f>IFERROR(VLOOKUP($B:$B,'[1]7店'!$B:$T,19,FALSE),0)</f>
        <v>0.0231277533039648</v>
      </c>
      <c r="V182" s="81">
        <f t="shared" si="106"/>
        <v>1.60447149055237</v>
      </c>
      <c r="W182" s="82" t="str">
        <f t="shared" si="107"/>
        <v>库存过高</v>
      </c>
      <c r="X182" s="83" t="str">
        <f t="shared" si="108"/>
        <v>库存过高</v>
      </c>
      <c r="Y182" s="44">
        <f>IFERROR(SUMIF('7店辅助表'!K:K,B:B,'7店辅助表'!N:N),0)</f>
        <v>0</v>
      </c>
      <c r="Z182" s="44">
        <f>IFERROR(SUMIF('7店辅助表'!T:T,B:B,'7店辅助表'!W:W),0)</f>
        <v>10.03</v>
      </c>
      <c r="AA182" s="44">
        <f>IFERROR(SUMIF('7店辅助表'!AC:AC,B:B,'7店辅助表'!AF:AF),0)</f>
        <v>45.85</v>
      </c>
      <c r="AB182" s="91" t="str">
        <f>IFERROR(SUMIF('7店辅助表'!K:K,B:B,'7店辅助表'!N:N)/SUMIF('7店辅助表'!K:K,B:B,'7店辅助表'!O:O),"-")</f>
        <v>-</v>
      </c>
      <c r="AC182" s="91">
        <f>IFERROR(VLOOKUP(B:B,'[1]7店'!$B:$AB,27,FALSE),"-")</f>
        <v>0.341801385681293</v>
      </c>
      <c r="AD182" s="92" t="str">
        <f t="shared" si="109"/>
        <v>-</v>
      </c>
      <c r="AE182" s="91">
        <f>IFERROR(SUMIF('7店辅助表'!T:T,B:B,'7店辅助表'!W:W)/SUMIF('7店辅助表'!T:T,B:B,'7店辅助表'!X:X),"-")</f>
        <v>0.386066204772902</v>
      </c>
      <c r="AF182" s="91">
        <f>IFERROR(SUMIF('7店辅助表'!AC:AC,B:B,'7店辅助表'!AF:AF)/SUMIF('7店辅助表'!AC:AC,B:B,'7店辅助表'!AG:AG),"-")</f>
        <v>0.352963818321786</v>
      </c>
      <c r="AG182" s="99">
        <f>IFERROR(AK182/((SUMIF('7店辅助表'!AT:AT,B:B,'7店辅助表'!AU:AU)+M182)/2),"-")</f>
        <v>0.0952380952380952</v>
      </c>
      <c r="AH182" s="99">
        <f>IFERROR(AL182/((SUMIF('7店辅助表'!AW:AW,B:B,'7店辅助表'!AX:AX)+M182)/2),"-")</f>
        <v>0.183908045977012</v>
      </c>
      <c r="AI182" s="100">
        <f>IFERROR((SUMIF('7店辅助表'!AP:AP,B:B,'7店辅助表'!AR:AR)-SUMIF('7店辅助表'!AP:AP,B:B,'7店辅助表'!AR:AR)*0.15-(L182+IFERROR(VLOOKUP(B:B,'7店辅助表'!AZ:BA,2,0),0))*O182-IF(AN:AN="US",6.85,4.9)*(Z182+4.27*O182))/SUMIF('7店辅助表'!AP:AP,B:B,'7店辅助表'!AR:AR),"-")</f>
        <v>0.248912273899631</v>
      </c>
      <c r="AJ182" s="100">
        <f t="shared" si="110"/>
        <v>0.0457769699125758</v>
      </c>
      <c r="AK182" s="101">
        <f t="shared" si="111"/>
        <v>27.8</v>
      </c>
      <c r="AL182" s="101">
        <f t="shared" si="112"/>
        <v>111.2</v>
      </c>
      <c r="AM182" s="1" t="str">
        <f>VLOOKUP(B:B,'7店辅助表'!AZ:AZ,1,FALSE)</f>
        <v>Y7072-BU+Y7073+Y7074</v>
      </c>
      <c r="AN182" t="str">
        <f>VLOOKUP(B:B,'7店辅助表'!AZ:BB,3,FALSE)</f>
        <v>US</v>
      </c>
    </row>
    <row r="183" customHeight="1" spans="1:40">
      <c r="A183" s="58" t="s">
        <v>948</v>
      </c>
      <c r="B183" s="116" t="s">
        <v>2620</v>
      </c>
      <c r="C183" s="45" t="s">
        <v>2621</v>
      </c>
      <c r="D183" s="59">
        <f>VLOOKUP(B:B,'[1]7店'!$B:$L,3,0)</f>
        <v>45170</v>
      </c>
      <c r="E183" s="45" t="s">
        <v>2622</v>
      </c>
      <c r="F183" s="45">
        <v>20</v>
      </c>
      <c r="G183" s="45">
        <v>0</v>
      </c>
      <c r="H183" s="45">
        <v>0</v>
      </c>
      <c r="I183" s="45">
        <v>0</v>
      </c>
      <c r="J183" s="45">
        <v>0</v>
      </c>
      <c r="K183" s="63">
        <f t="shared" si="102"/>
        <v>20</v>
      </c>
      <c r="L183" s="132">
        <f>VLOOKUP($B:$B,'[1]7店'!$B:$L,11,FALSE)</f>
        <v>13.9</v>
      </c>
      <c r="M183" s="44">
        <f t="shared" si="101"/>
        <v>278</v>
      </c>
      <c r="N183" s="65">
        <f>IFERROR(VLOOKUP(B:B,'7店辅助表'!B:C,2,FALSE),0)</f>
        <v>4</v>
      </c>
      <c r="O183" s="65">
        <f>IFERROR(VLOOKUP(B:B,'7店辅助表'!E:F,2,FALSE),0)</f>
        <v>12</v>
      </c>
      <c r="P183" s="65">
        <f>IFERROR(VLOOKUP(B:B,'7店辅助表'!H:I,2,FALSE),0)</f>
        <v>29</v>
      </c>
      <c r="Q183" s="65">
        <f>IFERROR(VLOOKUP(B:B,'[1]7店'!$B:$N,13,FALSE),0)</f>
        <v>8</v>
      </c>
      <c r="R183" s="79">
        <f t="shared" si="103"/>
        <v>-4</v>
      </c>
      <c r="S183" s="80">
        <f t="shared" si="104"/>
        <v>25.6619144602851</v>
      </c>
      <c r="T183" s="44">
        <f t="shared" si="105"/>
        <v>0.855397148676171</v>
      </c>
      <c r="U183" s="44">
        <f>IFERROR(VLOOKUP($B:$B,'[1]7店'!$B:$T,19,FALSE),0)</f>
        <v>0.793604651162791</v>
      </c>
      <c r="V183" s="81">
        <f t="shared" si="106"/>
        <v>0.06179249751338</v>
      </c>
      <c r="W183" s="82" t="str">
        <f t="shared" si="107"/>
        <v>正常</v>
      </c>
      <c r="X183" s="83" t="str">
        <f t="shared" si="108"/>
        <v>正常</v>
      </c>
      <c r="Y183" s="44">
        <f>IFERROR(SUMIF('7店辅助表'!K:K,B:B,'7店辅助表'!N:N),0)</f>
        <v>17.75</v>
      </c>
      <c r="Z183" s="44">
        <f>IFERROR(SUMIF('7店辅助表'!T:T,B:B,'7店辅助表'!W:W),0)</f>
        <v>22.8</v>
      </c>
      <c r="AA183" s="44">
        <f>IFERROR(SUMIF('7店辅助表'!AC:AC,B:B,'7店辅助表'!AF:AF),0)</f>
        <v>22.8</v>
      </c>
      <c r="AB183" s="91">
        <f>IFERROR(SUMIF('7店辅助表'!K:K,B:B,'7店辅助表'!N:N)/SUMIF('7店辅助表'!K:K,B:B,'7店辅助表'!O:O),"-")</f>
        <v>0.19520510282635</v>
      </c>
      <c r="AC183" s="91">
        <f>IFERROR(VLOOKUP(B:B,'[1]7店'!$B:$AB,27,FALSE),"-")</f>
        <v>0.22975432211101</v>
      </c>
      <c r="AD183" s="92">
        <f t="shared" si="109"/>
        <v>-0.03454921928466</v>
      </c>
      <c r="AE183" s="91">
        <f>IFERROR(SUMIF('7店辅助表'!T:T,B:B,'7店辅助表'!W:W)/SUMIF('7店辅助表'!T:T,B:B,'7店辅助表'!X:X),"-")</f>
        <v>0.18109610802224</v>
      </c>
      <c r="AF183" s="91">
        <f>IFERROR(SUMIF('7店辅助表'!AC:AC,B:B,'7店辅助表'!AF:AF)/SUMIF('7店辅助表'!AC:AC,B:B,'7店辅助表'!AG:AG),"-")</f>
        <v>0.18109610802224</v>
      </c>
      <c r="AG183" s="99">
        <f>IFERROR(AK183/((SUMIF('7店辅助表'!AT:AT,B:B,'7店辅助表'!AU:AU)+M183)/2),"-")</f>
        <v>0.173913043478261</v>
      </c>
      <c r="AH183" s="99">
        <f>IFERROR(AL183/((SUMIF('7店辅助表'!AW:AW,B:B,'7店辅助表'!AX:AX)+M183)/2),"-")</f>
        <v>0.352941176470588</v>
      </c>
      <c r="AI183" s="100">
        <f>IFERROR((SUMIF('7店辅助表'!AP:AP,B:B,'7店辅助表'!AR:AR)-SUMIF('7店辅助表'!AP:AP,B:B,'7店辅助表'!AR:AR)*0.15-(L183+IFERROR(VLOOKUP(B:B,'7店辅助表'!AZ:BA,2,0),0))*O183-IF(AN:AN="US",6.85,4.9)*(Z183+4.27*O183))/SUMIF('7店辅助表'!AP:AP,B:B,'7店辅助表'!AR:AR),"-")</f>
        <v>0.171614478471912</v>
      </c>
      <c r="AJ183" s="100">
        <f t="shared" si="110"/>
        <v>0.0605698159312631</v>
      </c>
      <c r="AK183" s="101">
        <f t="shared" si="111"/>
        <v>55.6</v>
      </c>
      <c r="AL183" s="101">
        <f t="shared" si="112"/>
        <v>166.8</v>
      </c>
      <c r="AM183" s="1" t="str">
        <f>VLOOKUP(B:B,'7店辅助表'!AZ:AZ,1,FALSE)</f>
        <v>Y7072-DB+Y7073+Y7074</v>
      </c>
      <c r="AN183" t="str">
        <f>VLOOKUP(B:B,'7店辅助表'!AZ:BB,3,FALSE)</f>
        <v>US</v>
      </c>
    </row>
    <row r="184" customHeight="1" spans="1:40">
      <c r="A184" s="58" t="s">
        <v>948</v>
      </c>
      <c r="B184" s="116" t="s">
        <v>2623</v>
      </c>
      <c r="C184" s="45" t="s">
        <v>2624</v>
      </c>
      <c r="D184" s="59">
        <f>VLOOKUP(B:B,'[1]7店'!$B:$L,3,0)</f>
        <v>45170</v>
      </c>
      <c r="E184" s="45" t="s">
        <v>2625</v>
      </c>
      <c r="F184" s="45">
        <v>12</v>
      </c>
      <c r="G184" s="45">
        <v>0</v>
      </c>
      <c r="H184" s="45">
        <v>4</v>
      </c>
      <c r="I184" s="45">
        <v>28</v>
      </c>
      <c r="J184" s="45">
        <v>0</v>
      </c>
      <c r="K184" s="63">
        <f t="shared" si="102"/>
        <v>44</v>
      </c>
      <c r="L184" s="132">
        <f>VLOOKUP($B:$B,'[1]7店'!$B:$L,11,FALSE)</f>
        <v>13.9</v>
      </c>
      <c r="M184" s="44">
        <f t="shared" si="101"/>
        <v>611.6</v>
      </c>
      <c r="N184" s="65">
        <f>IFERROR(VLOOKUP(B:B,'7店辅助表'!B:C,2,FALSE),0)</f>
        <v>1</v>
      </c>
      <c r="O184" s="65">
        <f>IFERROR(VLOOKUP(B:B,'7店辅助表'!E:F,2,FALSE),0)</f>
        <v>6</v>
      </c>
      <c r="P184" s="65">
        <f>IFERROR(VLOOKUP(B:B,'7店辅助表'!H:I,2,FALSE),0)</f>
        <v>18</v>
      </c>
      <c r="Q184" s="65">
        <f>IFERROR(VLOOKUP(B:B,'[1]7店'!$B:$N,13,FALSE),0)</f>
        <v>4</v>
      </c>
      <c r="R184" s="79">
        <f t="shared" si="103"/>
        <v>-3</v>
      </c>
      <c r="S184" s="80">
        <f t="shared" si="104"/>
        <v>115.5</v>
      </c>
      <c r="T184" s="44">
        <f t="shared" si="105"/>
        <v>3.85</v>
      </c>
      <c r="U184" s="44">
        <f>IFERROR(VLOOKUP($B:$B,'[1]7店'!$B:$T,19,FALSE),0)</f>
        <v>2.53150684931507</v>
      </c>
      <c r="V184" s="81">
        <f t="shared" si="106"/>
        <v>1.31849315068493</v>
      </c>
      <c r="W184" s="82" t="str">
        <f t="shared" si="107"/>
        <v>库存过高</v>
      </c>
      <c r="X184" s="83" t="str">
        <f t="shared" si="108"/>
        <v>库存过高</v>
      </c>
      <c r="Y184" s="44">
        <f>IFERROR(SUMIF('7店辅助表'!K:K,B:B,'7店辅助表'!N:N),0)</f>
        <v>0</v>
      </c>
      <c r="Z184" s="44">
        <f>IFERROR(SUMIF('7店辅助表'!T:T,B:B,'7店辅助表'!W:W),0)</f>
        <v>0</v>
      </c>
      <c r="AA184" s="44">
        <f>IFERROR(SUMIF('7店辅助表'!AC:AC,B:B,'7店辅助表'!AF:AF),0)</f>
        <v>0</v>
      </c>
      <c r="AB184" s="91" t="str">
        <f>IFERROR(SUMIF('7店辅助表'!K:K,B:B,'7店辅助表'!N:N)/SUMIF('7店辅助表'!K:K,B:B,'7店辅助表'!O:O),"-")</f>
        <v>-</v>
      </c>
      <c r="AC184" s="91" t="str">
        <f>IFERROR(VLOOKUP(B:B,'[1]7店'!$B:$AB,27,FALSE),"-")</f>
        <v>-</v>
      </c>
      <c r="AD184" s="92" t="str">
        <f t="shared" si="109"/>
        <v>-</v>
      </c>
      <c r="AE184" s="91" t="str">
        <f>IFERROR(SUMIF('7店辅助表'!T:T,B:B,'7店辅助表'!W:W)/SUMIF('7店辅助表'!T:T,B:B,'7店辅助表'!X:X),"-")</f>
        <v>-</v>
      </c>
      <c r="AF184" s="91" t="str">
        <f>IFERROR(SUMIF('7店辅助表'!AC:AC,B:B,'7店辅助表'!AF:AF)/SUMIF('7店辅助表'!AC:AC,B:B,'7店辅助表'!AG:AG),"-")</f>
        <v>-</v>
      </c>
      <c r="AG184" s="99">
        <f>IFERROR(AK184/((SUMIF('7店辅助表'!AT:AT,B:B,'7店辅助表'!AU:AU)+M184)/2),"-")</f>
        <v>0.0227272727272727</v>
      </c>
      <c r="AH184" s="99">
        <f>IFERROR(AL184/((SUMIF('7店辅助表'!AW:AW,B:B,'7店辅助表'!AX:AX)+M184)/2),"-")</f>
        <v>0.115384615384615</v>
      </c>
      <c r="AI184" s="100">
        <f>IFERROR((SUMIF('7店辅助表'!AP:AP,B:B,'7店辅助表'!AR:AR)-SUMIF('7店辅助表'!AP:AP,B:B,'7店辅助表'!AR:AR)*0.15-(L184+IFERROR(VLOOKUP(B:B,'7店辅助表'!AZ:BA,2,0),0))*O184-IF(AN:AN="US",6.85,4.9)*(Z184+4.27*O184))/SUMIF('7店辅助表'!AP:AP,B:B,'7店辅助表'!AR:AR),"-")</f>
        <v>0.318132575435992</v>
      </c>
      <c r="AJ184" s="100">
        <f t="shared" si="110"/>
        <v>0.0367076048579991</v>
      </c>
      <c r="AK184" s="101">
        <f t="shared" si="111"/>
        <v>13.9</v>
      </c>
      <c r="AL184" s="101">
        <f t="shared" si="112"/>
        <v>83.4</v>
      </c>
      <c r="AM184" s="1" t="str">
        <f>VLOOKUP(B:B,'7店辅助表'!AZ:AZ,1,FALSE)</f>
        <v>Y7072-GE+Y7073+Y7074</v>
      </c>
      <c r="AN184" t="str">
        <f>VLOOKUP(B:B,'7店辅助表'!AZ:BB,3,FALSE)</f>
        <v>US</v>
      </c>
    </row>
    <row r="185" customHeight="1" spans="1:40">
      <c r="A185" s="58" t="s">
        <v>948</v>
      </c>
      <c r="B185" s="116" t="s">
        <v>2626</v>
      </c>
      <c r="C185" s="45" t="s">
        <v>2627</v>
      </c>
      <c r="D185" s="59">
        <f>VLOOKUP(B:B,'[1]7店'!$B:$L,3,0)</f>
        <v>45170</v>
      </c>
      <c r="E185" s="45" t="s">
        <v>2628</v>
      </c>
      <c r="F185" s="45">
        <v>19</v>
      </c>
      <c r="G185" s="45">
        <v>2</v>
      </c>
      <c r="H185" s="45">
        <v>18</v>
      </c>
      <c r="I185" s="45">
        <v>3</v>
      </c>
      <c r="J185" s="45">
        <v>0</v>
      </c>
      <c r="K185" s="63">
        <f t="shared" si="102"/>
        <v>42</v>
      </c>
      <c r="L185" s="132">
        <f>VLOOKUP($B:$B,'[1]7店'!$B:$L,11,FALSE)</f>
        <v>13.9</v>
      </c>
      <c r="M185" s="44">
        <f t="shared" si="101"/>
        <v>583.8</v>
      </c>
      <c r="N185" s="65">
        <f>IFERROR(VLOOKUP(B:B,'7店辅助表'!B:C,2,FALSE),0)</f>
        <v>1</v>
      </c>
      <c r="O185" s="65">
        <f>IFERROR(VLOOKUP(B:B,'7店辅助表'!E:F,2,FALSE),0)</f>
        <v>1</v>
      </c>
      <c r="P185" s="65">
        <f>IFERROR(VLOOKUP(B:B,'7店辅助表'!H:I,2,FALSE),0)</f>
        <v>37</v>
      </c>
      <c r="Q185" s="65">
        <f>IFERROR(VLOOKUP(B:B,'[1]7店'!$B:$N,13,FALSE),0)</f>
        <v>0</v>
      </c>
      <c r="R185" s="79">
        <f t="shared" si="103"/>
        <v>1</v>
      </c>
      <c r="S185" s="80">
        <f t="shared" si="104"/>
        <v>87.3267326732673</v>
      </c>
      <c r="T185" s="44">
        <f t="shared" si="105"/>
        <v>2.91089108910891</v>
      </c>
      <c r="U185" s="44">
        <f>IFERROR(VLOOKUP($B:$B,'[1]7店'!$B:$T,19,FALSE),0)</f>
        <v>0.04</v>
      </c>
      <c r="V185" s="81">
        <f t="shared" si="106"/>
        <v>2.87089108910891</v>
      </c>
      <c r="W185" s="82" t="str">
        <f t="shared" si="107"/>
        <v>库存过高</v>
      </c>
      <c r="X185" s="83" t="str">
        <f t="shared" si="108"/>
        <v>库存过高</v>
      </c>
      <c r="Y185" s="44">
        <f>IFERROR(SUMIF('7店辅助表'!K:K,B:B,'7店辅助表'!N:N),0)</f>
        <v>0.4</v>
      </c>
      <c r="Z185" s="44">
        <f>IFERROR(SUMIF('7店辅助表'!T:T,B:B,'7店辅助表'!W:W),0)</f>
        <v>0.4</v>
      </c>
      <c r="AA185" s="44">
        <f>IFERROR(SUMIF('7店辅助表'!AC:AC,B:B,'7店辅助表'!AF:AF),0)</f>
        <v>178.8</v>
      </c>
      <c r="AB185" s="91" t="str">
        <f>IFERROR(SUMIF('7店辅助表'!K:K,B:B,'7店辅助表'!N:N)/SUMIF('7店辅助表'!K:K,B:B,'7店辅助表'!O:O),"-")</f>
        <v>-</v>
      </c>
      <c r="AC185" s="91" t="str">
        <f>IFERROR(VLOOKUP(B:B,'[1]7店'!$B:$AB,27,FALSE),"-")</f>
        <v>-</v>
      </c>
      <c r="AD185" s="92" t="str">
        <f t="shared" si="109"/>
        <v>-</v>
      </c>
      <c r="AE185" s="91" t="str">
        <f>IFERROR(SUMIF('7店辅助表'!T:T,B:B,'7店辅助表'!W:W)/SUMIF('7店辅助表'!T:T,B:B,'7店辅助表'!X:X),"-")</f>
        <v>-</v>
      </c>
      <c r="AF185" s="91">
        <f>IFERROR(SUMIF('7店辅助表'!AC:AC,B:B,'7店辅助表'!AF:AF)/SUMIF('7店辅助表'!AC:AC,B:B,'7店辅助表'!AG:AG),"-")</f>
        <v>0.275288683602771</v>
      </c>
      <c r="AG185" s="99">
        <f>IFERROR(AK185/((SUMIF('7店辅助表'!AT:AT,B:B,'7店辅助表'!AU:AU)+M185)/2),"-")</f>
        <v>0.0465116279069767</v>
      </c>
      <c r="AH185" s="99">
        <f>IFERROR(AL185/((SUMIF('7店辅助表'!AW:AW,B:B,'7店辅助表'!AX:AX)+M185)/2),"-")</f>
        <v>0.0253164556962025</v>
      </c>
      <c r="AI185" s="100">
        <f>IFERROR((SUMIF('7店辅助表'!AP:AP,B:B,'7店辅助表'!AR:AR)-SUMIF('7店辅助表'!AP:AP,B:B,'7店辅助表'!AR:AR)*0.15-(L185+IFERROR(VLOOKUP(B:B,'7店辅助表'!AZ:BA,2,0),0))*O185-IF(AN:AN="US",6.85,4.9)*(Z185+4.27*O185))/SUMIF('7店辅助表'!AP:AP,B:B,'7店辅助表'!AR:AR),"-")</f>
        <v>0.314635907463911</v>
      </c>
      <c r="AJ185" s="100">
        <f t="shared" si="110"/>
        <v>0.00796546601174459</v>
      </c>
      <c r="AK185" s="101">
        <f t="shared" si="111"/>
        <v>13.9</v>
      </c>
      <c r="AL185" s="101">
        <f t="shared" si="112"/>
        <v>13.9</v>
      </c>
      <c r="AM185" s="1" t="str">
        <f>VLOOKUP(B:B,'7店辅助表'!AZ:AZ,1,FALSE)</f>
        <v>Y7072-OR+Y7073+Y7074</v>
      </c>
      <c r="AN185" t="str">
        <f>VLOOKUP(B:B,'7店辅助表'!AZ:BB,3,FALSE)</f>
        <v>US</v>
      </c>
    </row>
    <row r="186" customHeight="1" spans="1:40">
      <c r="A186" s="58" t="s">
        <v>948</v>
      </c>
      <c r="B186" s="116" t="s">
        <v>2629</v>
      </c>
      <c r="C186" s="45" t="s">
        <v>2630</v>
      </c>
      <c r="D186" s="59">
        <f>VLOOKUP(B:B,'[1]7店'!$B:$L,3,0)</f>
        <v>45170</v>
      </c>
      <c r="E186" s="45" t="s">
        <v>2631</v>
      </c>
      <c r="F186" s="45">
        <v>109</v>
      </c>
      <c r="G186" s="45">
        <v>3</v>
      </c>
      <c r="H186" s="45">
        <v>83</v>
      </c>
      <c r="I186" s="45">
        <v>1</v>
      </c>
      <c r="J186" s="45">
        <v>8</v>
      </c>
      <c r="K186" s="63">
        <f t="shared" si="102"/>
        <v>204</v>
      </c>
      <c r="L186" s="132">
        <f>VLOOKUP($B:$B,'[1]7店'!$B:$L,11,FALSE)</f>
        <v>13.9</v>
      </c>
      <c r="M186" s="44">
        <f t="shared" si="101"/>
        <v>2835.6</v>
      </c>
      <c r="N186" s="65">
        <f>IFERROR(VLOOKUP(B:B,'7店辅助表'!B:C,2,FALSE),0)</f>
        <v>40</v>
      </c>
      <c r="O186" s="65">
        <f>IFERROR(VLOOKUP(B:B,'7店辅助表'!E:F,2,FALSE),0)</f>
        <v>81</v>
      </c>
      <c r="P186" s="65">
        <f>IFERROR(VLOOKUP(B:B,'7店辅助表'!H:I,2,FALSE),0)</f>
        <v>220</v>
      </c>
      <c r="Q186" s="65">
        <f>IFERROR(VLOOKUP(B:B,'[1]7店'!$B:$N,13,FALSE),0)</f>
        <v>41</v>
      </c>
      <c r="R186" s="79">
        <f t="shared" si="103"/>
        <v>-1</v>
      </c>
      <c r="S186" s="80">
        <f t="shared" si="104"/>
        <v>33.1750129065565</v>
      </c>
      <c r="T186" s="44">
        <f t="shared" si="105"/>
        <v>1.10583376355188</v>
      </c>
      <c r="U186" s="44">
        <f>IFERROR(VLOOKUP($B:$B,'[1]7店'!$B:$T,19,FALSE),0)</f>
        <v>1.57146420553754</v>
      </c>
      <c r="V186" s="81">
        <f t="shared" si="106"/>
        <v>-0.46563044198566</v>
      </c>
      <c r="W186" s="82" t="str">
        <f t="shared" si="107"/>
        <v>正常</v>
      </c>
      <c r="X186" s="83" t="str">
        <f t="shared" si="108"/>
        <v>正常</v>
      </c>
      <c r="Y186" s="44">
        <f>IFERROR(SUMIF('7店辅助表'!K:K,B:B,'7店辅助表'!N:N),0)</f>
        <v>93.39</v>
      </c>
      <c r="Z186" s="44">
        <f>IFERROR(SUMIF('7店辅助表'!T:T,B:B,'7店辅助表'!W:W),0)</f>
        <v>217.72</v>
      </c>
      <c r="AA186" s="44">
        <f>IFERROR(SUMIF('7店辅助表'!AC:AC,B:B,'7店辅助表'!AF:AF),0)</f>
        <v>484.45</v>
      </c>
      <c r="AB186" s="91">
        <f>IFERROR(SUMIF('7店辅助表'!K:K,B:B,'7店辅助表'!N:N)/SUMIF('7店辅助表'!K:K,B:B,'7店辅助表'!O:O),"-")</f>
        <v>0.479291762894534</v>
      </c>
      <c r="AC186" s="91">
        <f>IFERROR(VLOOKUP(B:B,'[1]7店'!$B:$AB,27,FALSE),"-")</f>
        <v>0.346157443491816</v>
      </c>
      <c r="AD186" s="92">
        <f t="shared" si="109"/>
        <v>0.133134319402718</v>
      </c>
      <c r="AE186" s="91">
        <f>IFERROR(SUMIF('7店辅助表'!T:T,B:B,'7店辅助表'!W:W)/SUMIF('7店辅助表'!T:T,B:B,'7店辅助表'!X:X),"-")</f>
        <v>0.422265321955004</v>
      </c>
      <c r="AF186" s="91">
        <f>IFERROR(SUMIF('7店辅助表'!AC:AC,B:B,'7店辅助表'!AF:AF)/SUMIF('7店辅助表'!AC:AC,B:B,'7店辅助表'!AG:AG),"-")</f>
        <v>0.378077808561283</v>
      </c>
      <c r="AG186" s="99">
        <f>IFERROR(AK186/((SUMIF('7店辅助表'!AT:AT,B:B,'7店辅助表'!AU:AU)+M186)/2),"-")</f>
        <v>0.158730158730159</v>
      </c>
      <c r="AH186" s="99">
        <f>IFERROR(AL186/((SUMIF('7店辅助表'!AW:AW,B:B,'7店辅助表'!AX:AX)+M186)/2),"-")</f>
        <v>0.45125348189415</v>
      </c>
      <c r="AI186" s="100">
        <f>IFERROR((SUMIF('7店辅助表'!AP:AP,B:B,'7店辅助表'!AR:AR)-SUMIF('7店辅助表'!AP:AP,B:B,'7店辅助表'!AR:AR)*0.15-(L186+IFERROR(VLOOKUP(B:B,'7店辅助表'!AZ:BA,2,0),0))*O186-IF(AN:AN="US",6.85,4.9)*(Z186+4.27*O186))/SUMIF('7店辅助表'!AP:AP,B:B,'7店辅助表'!AR:AR),"-")</f>
        <v>0.0801685543275407</v>
      </c>
      <c r="AJ186" s="100">
        <f t="shared" si="110"/>
        <v>0.0361763392787231</v>
      </c>
      <c r="AK186" s="101">
        <f t="shared" si="111"/>
        <v>556</v>
      </c>
      <c r="AL186" s="101">
        <f t="shared" si="112"/>
        <v>1125.9</v>
      </c>
      <c r="AM186" s="1" t="str">
        <f>VLOOKUP(B:B,'7店辅助表'!AZ:AZ,1,FALSE)</f>
        <v>Y7075-BL+Y7076+Y7077</v>
      </c>
      <c r="AN186" t="str">
        <f>VLOOKUP(B:B,'7店辅助表'!AZ:BB,3,FALSE)</f>
        <v>US</v>
      </c>
    </row>
    <row r="187" customHeight="1" spans="1:40">
      <c r="A187" s="58" t="s">
        <v>948</v>
      </c>
      <c r="B187" s="116" t="s">
        <v>2632</v>
      </c>
      <c r="C187" s="45" t="s">
        <v>2633</v>
      </c>
      <c r="D187" s="59">
        <f>VLOOKUP(B:B,'[1]7店'!$B:$L,3,0)</f>
        <v>45170</v>
      </c>
      <c r="E187" s="45" t="s">
        <v>2634</v>
      </c>
      <c r="F187" s="45">
        <v>36</v>
      </c>
      <c r="G187" s="45">
        <v>1</v>
      </c>
      <c r="H187" s="45">
        <v>15</v>
      </c>
      <c r="I187" s="45">
        <v>28</v>
      </c>
      <c r="J187" s="45">
        <v>0</v>
      </c>
      <c r="K187" s="63">
        <f t="shared" si="102"/>
        <v>80</v>
      </c>
      <c r="L187" s="132">
        <f>VLOOKUP($B:$B,'[1]7店'!$B:$L,11,FALSE)</f>
        <v>13.9</v>
      </c>
      <c r="M187" s="44">
        <f t="shared" si="101"/>
        <v>1112</v>
      </c>
      <c r="N187" s="65">
        <f>IFERROR(VLOOKUP(B:B,'7店辅助表'!B:C,2,FALSE),0)</f>
        <v>11</v>
      </c>
      <c r="O187" s="65">
        <f>IFERROR(VLOOKUP(B:B,'7店辅助表'!E:F,2,FALSE),0)</f>
        <v>27</v>
      </c>
      <c r="P187" s="65">
        <f>IFERROR(VLOOKUP(B:B,'7店辅助表'!H:I,2,FALSE),0)</f>
        <v>55</v>
      </c>
      <c r="Q187" s="65">
        <f>IFERROR(VLOOKUP(B:B,'[1]7店'!$B:$N,13,FALSE),0)</f>
        <v>16</v>
      </c>
      <c r="R187" s="79">
        <f t="shared" si="103"/>
        <v>-5</v>
      </c>
      <c r="S187" s="80">
        <f t="shared" si="104"/>
        <v>46.1116193961574</v>
      </c>
      <c r="T187" s="44">
        <f t="shared" si="105"/>
        <v>1.53705397987191</v>
      </c>
      <c r="U187" s="44">
        <f>IFERROR(VLOOKUP($B:$B,'[1]7店'!$B:$T,19,FALSE),0)</f>
        <v>1.45496535796767</v>
      </c>
      <c r="V187" s="81">
        <f t="shared" si="106"/>
        <v>0.08208862190424</v>
      </c>
      <c r="W187" s="82" t="str">
        <f t="shared" si="107"/>
        <v>库存过高</v>
      </c>
      <c r="X187" s="83" t="str">
        <f t="shared" si="108"/>
        <v>库存过高</v>
      </c>
      <c r="Y187" s="44">
        <f>IFERROR(SUMIF('7店辅助表'!K:K,B:B,'7店辅助表'!N:N),0)</f>
        <v>0</v>
      </c>
      <c r="Z187" s="44">
        <f>IFERROR(SUMIF('7店辅助表'!T:T,B:B,'7店辅助表'!W:W),0)</f>
        <v>0</v>
      </c>
      <c r="AA187" s="44">
        <f>IFERROR(SUMIF('7店辅助表'!AC:AC,B:B,'7店辅助表'!AF:AF),0)</f>
        <v>0</v>
      </c>
      <c r="AB187" s="91" t="str">
        <f>IFERROR(SUMIF('7店辅助表'!K:K,B:B,'7店辅助表'!N:N)/SUMIF('7店辅助表'!K:K,B:B,'7店辅助表'!O:O),"-")</f>
        <v>-</v>
      </c>
      <c r="AC187" s="91" t="str">
        <f>IFERROR(VLOOKUP(B:B,'[1]7店'!$B:$AB,27,FALSE),"-")</f>
        <v>-</v>
      </c>
      <c r="AD187" s="92" t="str">
        <f t="shared" si="109"/>
        <v>-</v>
      </c>
      <c r="AE187" s="91" t="str">
        <f>IFERROR(SUMIF('7店辅助表'!T:T,B:B,'7店辅助表'!W:W)/SUMIF('7店辅助表'!T:T,B:B,'7店辅助表'!X:X),"-")</f>
        <v>-</v>
      </c>
      <c r="AF187" s="91" t="str">
        <f>IFERROR(SUMIF('7店辅助表'!AC:AC,B:B,'7店辅助表'!AF:AF)/SUMIF('7店辅助表'!AC:AC,B:B,'7店辅助表'!AG:AG),"-")</f>
        <v>-</v>
      </c>
      <c r="AG187" s="99">
        <f>IFERROR(AK187/((SUMIF('7店辅助表'!AT:AT,B:B,'7店辅助表'!AU:AU)+M187)/2),"-")</f>
        <v>0.129411764705882</v>
      </c>
      <c r="AH187" s="99">
        <f>IFERROR(AL187/((SUMIF('7店辅助表'!AW:AW,B:B,'7店辅助表'!AX:AX)+M187)/2),"-")</f>
        <v>0.461538461538462</v>
      </c>
      <c r="AI187" s="100">
        <f>IFERROR((SUMIF('7店辅助表'!AP:AP,B:B,'7店辅助表'!AR:AR)-SUMIF('7店辅助表'!AP:AP,B:B,'7店辅助表'!AR:AR)*0.15-(L187+IFERROR(VLOOKUP(B:B,'7店辅助表'!AZ:BA,2,0),0))*O187-IF(AN:AN="US",6.85,4.9)*(Z187+4.27*O187))/SUMIF('7店辅助表'!AP:AP,B:B,'7店辅助表'!AR:AR),"-")</f>
        <v>0.276787381310266</v>
      </c>
      <c r="AJ187" s="100">
        <f t="shared" si="110"/>
        <v>0.1277480221432</v>
      </c>
      <c r="AK187" s="101">
        <f t="shared" si="111"/>
        <v>152.9</v>
      </c>
      <c r="AL187" s="101">
        <f t="shared" si="112"/>
        <v>375.3</v>
      </c>
      <c r="AM187" s="1" t="str">
        <f>VLOOKUP(B:B,'7店辅助表'!AZ:AZ,1,FALSE)</f>
        <v>Y7075-BU+Y7076+Y7077</v>
      </c>
      <c r="AN187" t="str">
        <f>VLOOKUP(B:B,'7店辅助表'!AZ:BB,3,FALSE)</f>
        <v>US</v>
      </c>
    </row>
    <row r="188" customHeight="1" spans="1:40">
      <c r="A188" s="58" t="s">
        <v>948</v>
      </c>
      <c r="B188" s="116" t="s">
        <v>2635</v>
      </c>
      <c r="C188" s="45" t="s">
        <v>2636</v>
      </c>
      <c r="D188" s="59">
        <f>VLOOKUP(B:B,'[1]7店'!$B:$L,3,0)</f>
        <v>45170</v>
      </c>
      <c r="E188" s="45" t="s">
        <v>2637</v>
      </c>
      <c r="F188" s="45">
        <v>138</v>
      </c>
      <c r="G188" s="45">
        <v>0</v>
      </c>
      <c r="H188" s="45">
        <v>3</v>
      </c>
      <c r="I188" s="45">
        <v>82</v>
      </c>
      <c r="J188" s="45">
        <v>0</v>
      </c>
      <c r="K188" s="63">
        <f t="shared" si="102"/>
        <v>223</v>
      </c>
      <c r="L188" s="132">
        <f>VLOOKUP($B:$B,'[1]7店'!$B:$L,11,FALSE)</f>
        <v>13.9</v>
      </c>
      <c r="M188" s="44">
        <f t="shared" si="101"/>
        <v>3099.7</v>
      </c>
      <c r="N188" s="65">
        <f>IFERROR(VLOOKUP(B:B,'7店辅助表'!B:C,2,FALSE),0)</f>
        <v>3</v>
      </c>
      <c r="O188" s="65">
        <f>IFERROR(VLOOKUP(B:B,'7店辅助表'!E:F,2,FALSE),0)</f>
        <v>12</v>
      </c>
      <c r="P188" s="65">
        <f>IFERROR(VLOOKUP(B:B,'7店辅助表'!H:I,2,FALSE),0)</f>
        <v>27</v>
      </c>
      <c r="Q188" s="65">
        <f>IFERROR(VLOOKUP(B:B,'[1]7店'!$B:$N,13,FALSE),0)</f>
        <v>9</v>
      </c>
      <c r="R188" s="79">
        <f t="shared" si="103"/>
        <v>-6</v>
      </c>
      <c r="S188" s="80">
        <f t="shared" si="104"/>
        <v>314.295302013423</v>
      </c>
      <c r="T188" s="44">
        <f t="shared" si="105"/>
        <v>10.4765100671141</v>
      </c>
      <c r="U188" s="44">
        <f>IFERROR(VLOOKUP($B:$B,'[1]7店'!$B:$T,19,FALSE),0)</f>
        <v>4.52547770700637</v>
      </c>
      <c r="V188" s="81">
        <f t="shared" si="106"/>
        <v>5.95103236010773</v>
      </c>
      <c r="W188" s="82" t="str">
        <f t="shared" si="107"/>
        <v>库存过高</v>
      </c>
      <c r="X188" s="83" t="str">
        <f t="shared" si="108"/>
        <v>库存过高</v>
      </c>
      <c r="Y188" s="44">
        <f>IFERROR(SUMIF('7店辅助表'!K:K,B:B,'7店辅助表'!N:N),0)</f>
        <v>0</v>
      </c>
      <c r="Z188" s="44">
        <f>IFERROR(SUMIF('7店辅助表'!T:T,B:B,'7店辅助表'!W:W),0)</f>
        <v>0</v>
      </c>
      <c r="AA188" s="44">
        <f>IFERROR(SUMIF('7店辅助表'!AC:AC,B:B,'7店辅助表'!AF:AF),0)</f>
        <v>0</v>
      </c>
      <c r="AB188" s="91" t="str">
        <f>IFERROR(SUMIF('7店辅助表'!K:K,B:B,'7店辅助表'!N:N)/SUMIF('7店辅助表'!K:K,B:B,'7店辅助表'!O:O),"-")</f>
        <v>-</v>
      </c>
      <c r="AC188" s="91" t="str">
        <f>IFERROR(VLOOKUP(B:B,'[1]7店'!$B:$AB,27,FALSE),"-")</f>
        <v>-</v>
      </c>
      <c r="AD188" s="92" t="str">
        <f t="shared" si="109"/>
        <v>-</v>
      </c>
      <c r="AE188" s="91" t="str">
        <f>IFERROR(SUMIF('7店辅助表'!T:T,B:B,'7店辅助表'!W:W)/SUMIF('7店辅助表'!T:T,B:B,'7店辅助表'!X:X),"-")</f>
        <v>-</v>
      </c>
      <c r="AF188" s="91" t="str">
        <f>IFERROR(SUMIF('7店辅助表'!AC:AC,B:B,'7店辅助表'!AF:AF)/SUMIF('7店辅助表'!AC:AC,B:B,'7店辅助表'!AG:AG),"-")</f>
        <v>-</v>
      </c>
      <c r="AG188" s="99">
        <f>IFERROR(AK188/((SUMIF('7店辅助表'!AT:AT,B:B,'7店辅助表'!AU:AU)+M188)/2),"-")</f>
        <v>0.0140845070422535</v>
      </c>
      <c r="AH188" s="99">
        <f>IFERROR(AL188/((SUMIF('7店辅助表'!AW:AW,B:B,'7店辅助表'!AX:AX)+M188)/2),"-")</f>
        <v>0.0813559322033898</v>
      </c>
      <c r="AI188" s="100">
        <f>IFERROR((SUMIF('7店辅助表'!AP:AP,B:B,'7店辅助表'!AR:AR)-SUMIF('7店辅助表'!AP:AP,B:B,'7店辅助表'!AR:AR)*0.15-(L188+IFERROR(VLOOKUP(B:B,'7店辅助表'!AZ:BA,2,0),0))*O188-IF(AN:AN="US",6.85,4.9)*(Z188+4.27*O188))/SUMIF('7店辅助表'!AP:AP,B:B,'7店辅助表'!AR:AR),"-")</f>
        <v>0.305790901272411</v>
      </c>
      <c r="AJ188" s="100">
        <f t="shared" si="110"/>
        <v>0.0248779038323317</v>
      </c>
      <c r="AK188" s="101">
        <f t="shared" si="111"/>
        <v>41.7</v>
      </c>
      <c r="AL188" s="101">
        <f t="shared" si="112"/>
        <v>166.8</v>
      </c>
      <c r="AM188" s="1" t="str">
        <f>VLOOKUP(B:B,'7店辅助表'!AZ:AZ,1,FALSE)</f>
        <v>Y7075-DB+Y7076+Y7077</v>
      </c>
      <c r="AN188" t="str">
        <f>VLOOKUP(B:B,'7店辅助表'!AZ:BB,3,FALSE)</f>
        <v>US</v>
      </c>
    </row>
    <row r="189" customHeight="1" spans="1:40">
      <c r="A189" s="58" t="s">
        <v>948</v>
      </c>
      <c r="B189" s="116" t="s">
        <v>2638</v>
      </c>
      <c r="C189" s="45" t="s">
        <v>2639</v>
      </c>
      <c r="D189" s="59">
        <f>VLOOKUP(B:B,'[1]7店'!$B:$L,3,0)</f>
        <v>45170</v>
      </c>
      <c r="E189" s="45" t="s">
        <v>2640</v>
      </c>
      <c r="F189" s="45">
        <v>31</v>
      </c>
      <c r="G189" s="45">
        <v>0</v>
      </c>
      <c r="H189" s="45">
        <v>1</v>
      </c>
      <c r="I189" s="45">
        <v>30</v>
      </c>
      <c r="J189" s="45">
        <v>0</v>
      </c>
      <c r="K189" s="63">
        <f t="shared" si="102"/>
        <v>62</v>
      </c>
      <c r="L189" s="132">
        <f>VLOOKUP($B:$B,'[1]7店'!$B:$L,11,FALSE)</f>
        <v>13.9</v>
      </c>
      <c r="M189" s="44">
        <f t="shared" si="101"/>
        <v>861.8</v>
      </c>
      <c r="N189" s="65">
        <f>IFERROR(VLOOKUP(B:B,'7店辅助表'!B:C,2,FALSE),0)</f>
        <v>2</v>
      </c>
      <c r="O189" s="65">
        <f>IFERROR(VLOOKUP(B:B,'7店辅助表'!E:F,2,FALSE),0)</f>
        <v>3</v>
      </c>
      <c r="P189" s="65">
        <f>IFERROR(VLOOKUP(B:B,'7店辅助表'!H:I,2,FALSE),0)</f>
        <v>17</v>
      </c>
      <c r="Q189" s="65">
        <f>IFERROR(VLOOKUP(B:B,'[1]7店'!$B:$N,13,FALSE),0)</f>
        <v>1</v>
      </c>
      <c r="R189" s="79">
        <f t="shared" si="103"/>
        <v>1</v>
      </c>
      <c r="S189" s="80">
        <f t="shared" si="104"/>
        <v>176.742081447964</v>
      </c>
      <c r="T189" s="44">
        <f t="shared" si="105"/>
        <v>5.89140271493213</v>
      </c>
      <c r="U189" s="44">
        <f>IFERROR(VLOOKUP($B:$B,'[1]7店'!$B:$T,19,FALSE),0)</f>
        <v>2.1198738170347</v>
      </c>
      <c r="V189" s="81">
        <f t="shared" si="106"/>
        <v>3.77152889789743</v>
      </c>
      <c r="W189" s="82" t="str">
        <f t="shared" si="107"/>
        <v>库存过高</v>
      </c>
      <c r="X189" s="83" t="str">
        <f t="shared" si="108"/>
        <v>库存过高</v>
      </c>
      <c r="Y189" s="44">
        <f>IFERROR(SUMIF('7店辅助表'!K:K,B:B,'7店辅助表'!N:N),0)</f>
        <v>0</v>
      </c>
      <c r="Z189" s="44">
        <f>IFERROR(SUMIF('7店辅助表'!T:T,B:B,'7店辅助表'!W:W),0)</f>
        <v>0</v>
      </c>
      <c r="AA189" s="44">
        <f>IFERROR(SUMIF('7店辅助表'!AC:AC,B:B,'7店辅助表'!AF:AF),0)</f>
        <v>0</v>
      </c>
      <c r="AB189" s="91" t="str">
        <f>IFERROR(SUMIF('7店辅助表'!K:K,B:B,'7店辅助表'!N:N)/SUMIF('7店辅助表'!K:K,B:B,'7店辅助表'!O:O),"-")</f>
        <v>-</v>
      </c>
      <c r="AC189" s="91" t="str">
        <f>IFERROR(VLOOKUP(B:B,'[1]7店'!$B:$AB,27,FALSE),"-")</f>
        <v>-</v>
      </c>
      <c r="AD189" s="92" t="str">
        <f t="shared" si="109"/>
        <v>-</v>
      </c>
      <c r="AE189" s="91" t="str">
        <f>IFERROR(SUMIF('7店辅助表'!T:T,B:B,'7店辅助表'!W:W)/SUMIF('7店辅助表'!T:T,B:B,'7店辅助表'!X:X),"-")</f>
        <v>-</v>
      </c>
      <c r="AF189" s="91" t="str">
        <f>IFERROR(SUMIF('7店辅助表'!AC:AC,B:B,'7店辅助表'!AF:AF)/SUMIF('7店辅助表'!AC:AC,B:B,'7店辅助表'!AG:AG),"-")</f>
        <v>-</v>
      </c>
      <c r="AG189" s="99">
        <f>IFERROR(AK189/((SUMIF('7店辅助表'!AT:AT,B:B,'7店辅助表'!AU:AU)+M189)/2),"-")</f>
        <v>0.0425531914893617</v>
      </c>
      <c r="AH189" s="99">
        <f>IFERROR(AL189/((SUMIF('7店辅助表'!AW:AW,B:B,'7店辅助表'!AX:AX)+M189)/2),"-")</f>
        <v>0.075</v>
      </c>
      <c r="AI189" s="100">
        <f>IFERROR((SUMIF('7店辅助表'!AP:AP,B:B,'7店辅助表'!AR:AR)-SUMIF('7店辅助表'!AP:AP,B:B,'7店辅助表'!AR:AR)*0.15-(L189+IFERROR(VLOOKUP(B:B,'7店辅助表'!AZ:BA,2,0),0))*O189-IF(AN:AN="US",6.85,4.9)*(Z189+4.27*O189))/SUMIF('7店辅助表'!AP:AP,B:B,'7店辅助表'!AR:AR),"-")</f>
        <v>0.310016969819569</v>
      </c>
      <c r="AJ189" s="100">
        <f t="shared" si="110"/>
        <v>0.0232512727364677</v>
      </c>
      <c r="AK189" s="101">
        <f t="shared" si="111"/>
        <v>27.8</v>
      </c>
      <c r="AL189" s="101">
        <f t="shared" si="112"/>
        <v>41.7</v>
      </c>
      <c r="AM189" s="1" t="str">
        <f>VLOOKUP(B:B,'7店辅助表'!AZ:AZ,1,FALSE)</f>
        <v>Y7075-GE+Y7076+Y7077</v>
      </c>
      <c r="AN189" t="str">
        <f>VLOOKUP(B:B,'7店辅助表'!AZ:BB,3,FALSE)</f>
        <v>US</v>
      </c>
    </row>
    <row r="190" customHeight="1" spans="1:40">
      <c r="A190" s="58" t="s">
        <v>948</v>
      </c>
      <c r="B190" s="116" t="s">
        <v>2641</v>
      </c>
      <c r="C190" s="45" t="s">
        <v>2642</v>
      </c>
      <c r="D190" s="59">
        <f>VLOOKUP(B:B,'[1]7店'!$B:$L,3,0)</f>
        <v>45170</v>
      </c>
      <c r="E190" s="45" t="s">
        <v>2643</v>
      </c>
      <c r="F190" s="45">
        <v>17</v>
      </c>
      <c r="G190" s="45">
        <v>1</v>
      </c>
      <c r="H190" s="45">
        <v>60</v>
      </c>
      <c r="I190" s="45">
        <v>30</v>
      </c>
      <c r="J190" s="45">
        <v>0</v>
      </c>
      <c r="K190" s="63">
        <f t="shared" si="102"/>
        <v>108</v>
      </c>
      <c r="L190" s="132">
        <f>VLOOKUP($B:$B,'[1]7店'!$B:$L,11,FALSE)</f>
        <v>13.9</v>
      </c>
      <c r="M190" s="44">
        <f t="shared" si="101"/>
        <v>1501.2</v>
      </c>
      <c r="N190" s="65">
        <f>IFERROR(VLOOKUP(B:B,'7店辅助表'!B:C,2,FALSE),0)</f>
        <v>9</v>
      </c>
      <c r="O190" s="65">
        <f>IFERROR(VLOOKUP(B:B,'7店辅助表'!E:F,2,FALSE),0)</f>
        <v>21</v>
      </c>
      <c r="P190" s="65">
        <f>IFERROR(VLOOKUP(B:B,'7店辅助表'!H:I,2,FALSE),0)</f>
        <v>35</v>
      </c>
      <c r="Q190" s="65">
        <f>IFERROR(VLOOKUP(B:B,'[1]7店'!$B:$N,13,FALSE),0)</f>
        <v>11</v>
      </c>
      <c r="R190" s="79">
        <f t="shared" si="103"/>
        <v>-2</v>
      </c>
      <c r="S190" s="80">
        <f t="shared" si="104"/>
        <v>84.1038318912237</v>
      </c>
      <c r="T190" s="44">
        <f t="shared" si="105"/>
        <v>2.80346106304079</v>
      </c>
      <c r="U190" s="44">
        <f>IFERROR(VLOOKUP($B:$B,'[1]7店'!$B:$T,19,FALSE),0)</f>
        <v>3.66520307354555</v>
      </c>
      <c r="V190" s="81">
        <f t="shared" si="106"/>
        <v>-0.86174201050476</v>
      </c>
      <c r="W190" s="82" t="str">
        <f t="shared" si="107"/>
        <v>库存过高</v>
      </c>
      <c r="X190" s="83" t="str">
        <f t="shared" si="108"/>
        <v>库存过高</v>
      </c>
      <c r="Y190" s="44">
        <f>IFERROR(SUMIF('7店辅助表'!K:K,B:B,'7店辅助表'!N:N),0)</f>
        <v>0</v>
      </c>
      <c r="Z190" s="44">
        <f>IFERROR(SUMIF('7店辅助表'!T:T,B:B,'7店辅助表'!W:W),0)</f>
        <v>29.12</v>
      </c>
      <c r="AA190" s="44">
        <f>IFERROR(SUMIF('7店辅助表'!AC:AC,B:B,'7店辅助表'!AF:AF),0)</f>
        <v>44.44</v>
      </c>
      <c r="AB190" s="91" t="str">
        <f>IFERROR(SUMIF('7店辅助表'!K:K,B:B,'7店辅助表'!N:N)/SUMIF('7店辅助表'!K:K,B:B,'7店辅助表'!O:O),"-")</f>
        <v>-</v>
      </c>
      <c r="AC190" s="91">
        <f>IFERROR(VLOOKUP(B:B,'[1]7店'!$B:$AB,27,FALSE),"-")</f>
        <v>0.493894165535957</v>
      </c>
      <c r="AD190" s="92" t="str">
        <f t="shared" si="109"/>
        <v>-</v>
      </c>
      <c r="AE190" s="91">
        <f>IFERROR(SUMIF('7店辅助表'!T:T,B:B,'7店辅助表'!W:W)/SUMIF('7店辅助表'!T:T,B:B,'7店辅助表'!X:X),"-")</f>
        <v>0.493894165535957</v>
      </c>
      <c r="AF190" s="91">
        <f>IFERROR(SUMIF('7店辅助表'!AC:AC,B:B,'7店辅助表'!AF:AF)/SUMIF('7店辅助表'!AC:AC,B:B,'7店辅助表'!AG:AG),"-")</f>
        <v>0.453793525987951</v>
      </c>
      <c r="AG190" s="99">
        <f>IFERROR(AK190/((SUMIF('7店辅助表'!AT:AT,B:B,'7店辅助表'!AU:AU)+M190)/2),"-")</f>
        <v>0.0674157303370786</v>
      </c>
      <c r="AH190" s="99">
        <f>IFERROR(AL190/((SUMIF('7店辅助表'!AW:AW,B:B,'7店辅助表'!AX:AX)+M190)/2),"-")</f>
        <v>0.289655172413793</v>
      </c>
      <c r="AI190" s="100">
        <f>IFERROR((SUMIF('7店辅助表'!AP:AP,B:B,'7店辅助表'!AR:AR)-SUMIF('7店辅助表'!AP:AP,B:B,'7店辅助表'!AR:AR)*0.15-(L190+IFERROR(VLOOKUP(B:B,'7店辅助表'!AZ:BA,2,0),0))*O190-IF(AN:AN="US",6.85,4.9)*(Z190+4.27*O190))/SUMIF('7店辅助表'!AP:AP,B:B,'7店辅助表'!AR:AR),"-")</f>
        <v>0.168098655786448</v>
      </c>
      <c r="AJ190" s="100">
        <f t="shared" si="110"/>
        <v>0.0486906451243503</v>
      </c>
      <c r="AK190" s="101">
        <f t="shared" si="111"/>
        <v>125.1</v>
      </c>
      <c r="AL190" s="101">
        <f t="shared" si="112"/>
        <v>291.9</v>
      </c>
      <c r="AM190" s="1" t="str">
        <f>VLOOKUP(B:B,'7店辅助表'!AZ:AZ,1,FALSE)</f>
        <v>Y7075-OR+Y7076+Y7077</v>
      </c>
      <c r="AN190" t="str">
        <f>VLOOKUP(B:B,'7店辅助表'!AZ:BB,3,FALSE)</f>
        <v>US</v>
      </c>
    </row>
    <row r="191" customHeight="1" spans="1:40">
      <c r="A191" s="58" t="s">
        <v>948</v>
      </c>
      <c r="B191" s="116" t="s">
        <v>2644</v>
      </c>
      <c r="C191" s="45" t="s">
        <v>2645</v>
      </c>
      <c r="D191" s="59">
        <f>VLOOKUP(B:B,'[1]7店'!$B:$L,3,0)</f>
        <v>45211</v>
      </c>
      <c r="E191" s="45" t="s">
        <v>2646</v>
      </c>
      <c r="F191" s="45">
        <v>50</v>
      </c>
      <c r="G191" s="45">
        <v>0</v>
      </c>
      <c r="H191" s="45">
        <v>0</v>
      </c>
      <c r="I191" s="45">
        <v>0</v>
      </c>
      <c r="J191" s="45">
        <v>0</v>
      </c>
      <c r="K191" s="63">
        <f t="shared" si="102"/>
        <v>50</v>
      </c>
      <c r="L191" s="132">
        <v>13.9</v>
      </c>
      <c r="M191" s="44">
        <f t="shared" si="101"/>
        <v>695</v>
      </c>
      <c r="N191" s="65">
        <f>IFERROR(VLOOKUP(B:B,'7店辅助表'!B:C,2,FALSE),0)</f>
        <v>0</v>
      </c>
      <c r="O191" s="65">
        <f>IFERROR(VLOOKUP(B:B,'7店辅助表'!E:F,2,FALSE),0)</f>
        <v>0</v>
      </c>
      <c r="P191" s="65">
        <f>IFERROR(VLOOKUP(B:B,'7店辅助表'!H:I,2,FALSE),0)</f>
        <v>0</v>
      </c>
      <c r="Q191" s="65">
        <f>IFERROR(VLOOKUP(B:B,'[1]7店'!$B:$N,13,FALSE),0)</f>
        <v>0</v>
      </c>
      <c r="R191" s="79">
        <f t="shared" si="103"/>
        <v>0</v>
      </c>
      <c r="S191" s="80" t="str">
        <f t="shared" si="104"/>
        <v>-</v>
      </c>
      <c r="T191" s="44" t="str">
        <f t="shared" si="105"/>
        <v>-</v>
      </c>
      <c r="U191" s="44" t="str">
        <f>IFERROR(VLOOKUP($B:$B,'[1]7店'!$B:$T,19,FALSE),0)</f>
        <v>-</v>
      </c>
      <c r="V191" s="81" t="str">
        <f t="shared" si="106"/>
        <v>-</v>
      </c>
      <c r="W191" s="82" t="str">
        <f t="shared" si="107"/>
        <v>本月刚到货</v>
      </c>
      <c r="X191" s="83" t="str">
        <f t="shared" si="108"/>
        <v>本月刚到货</v>
      </c>
      <c r="Y191" s="44">
        <f>IFERROR(SUMIF('7店辅助表'!K:K,B:B,'7店辅助表'!N:N),0)</f>
        <v>0</v>
      </c>
      <c r="Z191" s="44">
        <f>IFERROR(SUMIF('7店辅助表'!T:T,B:B,'7店辅助表'!W:W),0)</f>
        <v>0</v>
      </c>
      <c r="AA191" s="44">
        <f>IFERROR(SUMIF('7店辅助表'!AC:AC,B:B,'7店辅助表'!AF:AF),0)</f>
        <v>0</v>
      </c>
      <c r="AB191" s="91" t="str">
        <f>IFERROR(SUMIF('7店辅助表'!K:K,B:B,'7店辅助表'!N:N)/SUMIF('7店辅助表'!K:K,B:B,'7店辅助表'!O:O),"-")</f>
        <v>-</v>
      </c>
      <c r="AC191" s="91" t="str">
        <f>IFERROR(VLOOKUP(B:B,'[1]7店'!$B:$AB,27,FALSE),"-")</f>
        <v>-</v>
      </c>
      <c r="AD191" s="92" t="str">
        <f t="shared" si="109"/>
        <v>-</v>
      </c>
      <c r="AE191" s="91" t="str">
        <f>IFERROR(SUMIF('7店辅助表'!T:T,B:B,'7店辅助表'!W:W)/SUMIF('7店辅助表'!T:T,B:B,'7店辅助表'!X:X),"-")</f>
        <v>-</v>
      </c>
      <c r="AF191" s="91" t="str">
        <f>IFERROR(SUMIF('7店辅助表'!AC:AC,B:B,'7店辅助表'!AF:AF)/SUMIF('7店辅助表'!AC:AC,B:B,'7店辅助表'!AG:AG),"-")</f>
        <v>-</v>
      </c>
      <c r="AG191" s="99">
        <f>IFERROR(AK191/((SUMIF('7店辅助表'!AT:AT,B:B,'7店辅助表'!AU:AU)+M191)/2),"-")</f>
        <v>0</v>
      </c>
      <c r="AH191" s="99">
        <f>IFERROR(AL191/((SUMIF('7店辅助表'!AW:AW,B:B,'7店辅助表'!AX:AX)+M191)/2),"-")</f>
        <v>0</v>
      </c>
      <c r="AI191" s="100" t="str">
        <f>IFERROR((SUMIF('7店辅助表'!AP:AP,B:B,'7店辅助表'!AR:AR)-SUMIF('7店辅助表'!AP:AP,B:B,'7店辅助表'!AR:AR)*0.15-(L191+IFERROR(VLOOKUP(B:B,'7店辅助表'!AZ:BA,2,0),0))*O191-IF(AN:AN="US",6.85,4.9)*(Z191+4.27*O191))/SUMIF('7店辅助表'!AP:AP,B:B,'7店辅助表'!AR:AR),"-")</f>
        <v>-</v>
      </c>
      <c r="AJ191" s="100" t="str">
        <f t="shared" si="110"/>
        <v>-</v>
      </c>
      <c r="AK191" s="101">
        <f t="shared" si="111"/>
        <v>0</v>
      </c>
      <c r="AL191" s="101">
        <f t="shared" si="112"/>
        <v>0</v>
      </c>
      <c r="AM191" s="1" t="str">
        <f>VLOOKUP(B:B,'7店辅助表'!AZ:AZ,1,FALSE)</f>
        <v>Y7084-BL+Y7085</v>
      </c>
      <c r="AN191" t="str">
        <f>VLOOKUP(B:B,'7店辅助表'!AZ:BB,3,FALSE)</f>
        <v>US</v>
      </c>
    </row>
    <row r="192" customHeight="1" spans="1:40">
      <c r="A192" s="58" t="s">
        <v>948</v>
      </c>
      <c r="B192" s="116" t="s">
        <v>2647</v>
      </c>
      <c r="C192" s="45" t="s">
        <v>2648</v>
      </c>
      <c r="D192" s="59">
        <f>VLOOKUP(B:B,'[1]7店'!$B:$L,3,0)</f>
        <v>45211</v>
      </c>
      <c r="E192" s="45" t="s">
        <v>2649</v>
      </c>
      <c r="F192" s="45">
        <v>39</v>
      </c>
      <c r="G192" s="45">
        <v>0</v>
      </c>
      <c r="H192" s="45">
        <v>0</v>
      </c>
      <c r="I192" s="45">
        <v>40</v>
      </c>
      <c r="J192" s="45">
        <v>0</v>
      </c>
      <c r="K192" s="63">
        <f t="shared" si="102"/>
        <v>79</v>
      </c>
      <c r="L192" s="132">
        <v>13.9</v>
      </c>
      <c r="M192" s="44">
        <f t="shared" si="101"/>
        <v>1098.1</v>
      </c>
      <c r="N192" s="65">
        <f>IFERROR(VLOOKUP(B:B,'7店辅助表'!B:C,2,FALSE),0)</f>
        <v>1</v>
      </c>
      <c r="O192" s="65">
        <f>IFERROR(VLOOKUP(B:B,'7店辅助表'!E:F,2,FALSE),0)</f>
        <v>1</v>
      </c>
      <c r="P192" s="65">
        <f>IFERROR(VLOOKUP(B:B,'7店辅助表'!H:I,2,FALSE),0)</f>
        <v>1</v>
      </c>
      <c r="Q192" s="65">
        <f>IFERROR(VLOOKUP(B:B,'[1]7店'!$B:$N,13,FALSE),0)</f>
        <v>0</v>
      </c>
      <c r="R192" s="79">
        <f t="shared" si="103"/>
        <v>1</v>
      </c>
      <c r="S192" s="80">
        <f t="shared" si="104"/>
        <v>975.882352941177</v>
      </c>
      <c r="T192" s="44">
        <f t="shared" si="105"/>
        <v>32.5294117647059</v>
      </c>
      <c r="U192" s="44" t="str">
        <f>IFERROR(VLOOKUP($B:$B,'[1]7店'!$B:$T,19,FALSE),0)</f>
        <v>-</v>
      </c>
      <c r="V192" s="81" t="str">
        <f t="shared" si="106"/>
        <v>-</v>
      </c>
      <c r="W192" s="82" t="str">
        <f t="shared" si="107"/>
        <v>本月刚到货</v>
      </c>
      <c r="X192" s="83" t="str">
        <f t="shared" si="108"/>
        <v>本月刚到货</v>
      </c>
      <c r="Y192" s="44">
        <f>IFERROR(SUMIF('7店辅助表'!K:K,B:B,'7店辅助表'!N:N),0)</f>
        <v>12.44</v>
      </c>
      <c r="Z192" s="44">
        <f>IFERROR(SUMIF('7店辅助表'!T:T,B:B,'7店辅助表'!W:W),0)</f>
        <v>13.54</v>
      </c>
      <c r="AA192" s="44">
        <f>IFERROR(SUMIF('7店辅助表'!AC:AC,B:B,'7店辅助表'!AF:AF),0)</f>
        <v>13.54</v>
      </c>
      <c r="AB192" s="91">
        <f>IFERROR(SUMIF('7店辅助表'!K:K,B:B,'7店辅助表'!N:N)/SUMIF('7店辅助表'!K:K,B:B,'7店辅助表'!O:O),"-")</f>
        <v>0.23941493456505</v>
      </c>
      <c r="AC192" s="91" t="str">
        <f>IFERROR(VLOOKUP(B:B,'[1]7店'!$B:$AB,27,FALSE),"-")</f>
        <v>-</v>
      </c>
      <c r="AD192" s="92" t="str">
        <f t="shared" si="109"/>
        <v>-</v>
      </c>
      <c r="AE192" s="91">
        <f>IFERROR(SUMIF('7店辅助表'!T:T,B:B,'7店辅助表'!W:W)/SUMIF('7店辅助表'!T:T,B:B,'7店辅助表'!X:X),"-")</f>
        <v>0.26058506543495</v>
      </c>
      <c r="AF192" s="91">
        <f>IFERROR(SUMIF('7店辅助表'!AC:AC,B:B,'7店辅助表'!AF:AF)/SUMIF('7店辅助表'!AC:AC,B:B,'7店辅助表'!AG:AG),"-")</f>
        <v>0.26058506543495</v>
      </c>
      <c r="AG192" s="99">
        <f>IFERROR(AK192/((SUMIF('7店辅助表'!AT:AT,B:B,'7店辅助表'!AU:AU)+M192)/2),"-")</f>
        <v>0.0140538900965573</v>
      </c>
      <c r="AH192" s="99">
        <f>IFERROR(AL192/((SUMIF('7店辅助表'!AW:AW,B:B,'7店辅助表'!AX:AX)+M192)/2),"-")</f>
        <v>0.0253164556962025</v>
      </c>
      <c r="AI192" s="100">
        <f>IFERROR((SUMIF('7店辅助表'!AP:AP,B:B,'7店辅助表'!AR:AR)-SUMIF('7店辅助表'!AP:AP,B:B,'7店辅助表'!AR:AR)*0.15-(L192+IFERROR(VLOOKUP(B:B,'7店辅助表'!AZ:BA,2,0),0))*O192-IF(AN:AN="US",6.85,4.9)*(Z192+4.27*O192))/SUMIF('7店辅助表'!AP:AP,B:B,'7店辅助表'!AR:AR),"-")</f>
        <v>-0.693922051212892</v>
      </c>
      <c r="AJ192" s="100">
        <f t="shared" si="110"/>
        <v>-0.0175676468661492</v>
      </c>
      <c r="AK192" s="101">
        <f t="shared" si="111"/>
        <v>13.9</v>
      </c>
      <c r="AL192" s="101">
        <f t="shared" si="112"/>
        <v>13.9</v>
      </c>
      <c r="AM192" s="1" t="str">
        <f>VLOOKUP(B:B,'7店辅助表'!AZ:AZ,1,FALSE)</f>
        <v>Y7084-BU+Y7085</v>
      </c>
      <c r="AN192" t="str">
        <f>VLOOKUP(B:B,'7店辅助表'!AZ:BB,3,FALSE)</f>
        <v>US</v>
      </c>
    </row>
    <row r="193" customHeight="1" spans="1:40">
      <c r="A193" s="58" t="s">
        <v>948</v>
      </c>
      <c r="B193" s="116" t="s">
        <v>2650</v>
      </c>
      <c r="C193" s="45" t="s">
        <v>2651</v>
      </c>
      <c r="D193" s="59">
        <f>VLOOKUP(B:B,'[1]7店'!$B:$L,3,0)</f>
        <v>45211</v>
      </c>
      <c r="E193" s="45" t="s">
        <v>2652</v>
      </c>
      <c r="F193" s="45">
        <v>40</v>
      </c>
      <c r="G193" s="45">
        <v>0</v>
      </c>
      <c r="H193" s="45">
        <v>0</v>
      </c>
      <c r="I193" s="45">
        <v>40</v>
      </c>
      <c r="J193" s="45">
        <v>0</v>
      </c>
      <c r="K193" s="63">
        <f t="shared" si="102"/>
        <v>80</v>
      </c>
      <c r="L193" s="132">
        <v>13.9</v>
      </c>
      <c r="M193" s="44">
        <f t="shared" si="101"/>
        <v>1112</v>
      </c>
      <c r="N193" s="65">
        <f>IFERROR(VLOOKUP(B:B,'7店辅助表'!B:C,2,FALSE),0)</f>
        <v>0</v>
      </c>
      <c r="O193" s="65">
        <f>IFERROR(VLOOKUP(B:B,'7店辅助表'!E:F,2,FALSE),0)</f>
        <v>0</v>
      </c>
      <c r="P193" s="65">
        <f>IFERROR(VLOOKUP(B:B,'7店辅助表'!H:I,2,FALSE),0)</f>
        <v>0</v>
      </c>
      <c r="Q193" s="65">
        <f>IFERROR(VLOOKUP(B:B,'[1]7店'!$B:$N,13,FALSE),0)</f>
        <v>0</v>
      </c>
      <c r="R193" s="79">
        <f t="shared" si="103"/>
        <v>0</v>
      </c>
      <c r="S193" s="80" t="str">
        <f t="shared" si="104"/>
        <v>-</v>
      </c>
      <c r="T193" s="44" t="str">
        <f t="shared" si="105"/>
        <v>-</v>
      </c>
      <c r="U193" s="44" t="str">
        <f>IFERROR(VLOOKUP($B:$B,'[1]7店'!$B:$T,19,FALSE),0)</f>
        <v>-</v>
      </c>
      <c r="V193" s="81" t="str">
        <f t="shared" si="106"/>
        <v>-</v>
      </c>
      <c r="W193" s="82" t="str">
        <f t="shared" si="107"/>
        <v>本月刚到货</v>
      </c>
      <c r="X193" s="83" t="str">
        <f t="shared" si="108"/>
        <v>本月刚到货</v>
      </c>
      <c r="Y193" s="44">
        <f>IFERROR(SUMIF('7店辅助表'!K:K,B:B,'7店辅助表'!N:N),0)</f>
        <v>0</v>
      </c>
      <c r="Z193" s="44">
        <f>IFERROR(SUMIF('7店辅助表'!T:T,B:B,'7店辅助表'!W:W),0)</f>
        <v>0</v>
      </c>
      <c r="AA193" s="44">
        <f>IFERROR(SUMIF('7店辅助表'!AC:AC,B:B,'7店辅助表'!AF:AF),0)</f>
        <v>0</v>
      </c>
      <c r="AB193" s="91" t="str">
        <f>IFERROR(SUMIF('7店辅助表'!K:K,B:B,'7店辅助表'!N:N)/SUMIF('7店辅助表'!K:K,B:B,'7店辅助表'!O:O),"-")</f>
        <v>-</v>
      </c>
      <c r="AC193" s="91" t="str">
        <f>IFERROR(VLOOKUP(B:B,'[1]7店'!$B:$AB,27,FALSE),"-")</f>
        <v>-</v>
      </c>
      <c r="AD193" s="92" t="str">
        <f t="shared" si="109"/>
        <v>-</v>
      </c>
      <c r="AE193" s="91" t="str">
        <f>IFERROR(SUMIF('7店辅助表'!T:T,B:B,'7店辅助表'!W:W)/SUMIF('7店辅助表'!T:T,B:B,'7店辅助表'!X:X),"-")</f>
        <v>-</v>
      </c>
      <c r="AF193" s="91" t="str">
        <f>IFERROR(SUMIF('7店辅助表'!AC:AC,B:B,'7店辅助表'!AF:AF)/SUMIF('7店辅助表'!AC:AC,B:B,'7店辅助表'!AG:AG),"-")</f>
        <v>-</v>
      </c>
      <c r="AG193" s="99">
        <f>IFERROR(AK193/((SUMIF('7店辅助表'!AT:AT,B:B,'7店辅助表'!AU:AU)+M193)/2),"-")</f>
        <v>0</v>
      </c>
      <c r="AH193" s="99">
        <f>IFERROR(AL193/((SUMIF('7店辅助表'!AW:AW,B:B,'7店辅助表'!AX:AX)+M193)/2),"-")</f>
        <v>0</v>
      </c>
      <c r="AI193" s="100" t="str">
        <f>IFERROR((SUMIF('7店辅助表'!AP:AP,B:B,'7店辅助表'!AR:AR)-SUMIF('7店辅助表'!AP:AP,B:B,'7店辅助表'!AR:AR)*0.15-(L193+IFERROR(VLOOKUP(B:B,'7店辅助表'!AZ:BA,2,0),0))*O193-IF(AN:AN="US",6.85,4.9)*(Z193+4.27*O193))/SUMIF('7店辅助表'!AP:AP,B:B,'7店辅助表'!AR:AR),"-")</f>
        <v>-</v>
      </c>
      <c r="AJ193" s="100" t="str">
        <f t="shared" si="110"/>
        <v>-</v>
      </c>
      <c r="AK193" s="101">
        <f t="shared" si="111"/>
        <v>0</v>
      </c>
      <c r="AL193" s="101">
        <f t="shared" si="112"/>
        <v>0</v>
      </c>
      <c r="AM193" s="1" t="str">
        <f>VLOOKUP(B:B,'7店辅助表'!AZ:AZ,1,FALSE)</f>
        <v>Y7084-DB+Y7085</v>
      </c>
      <c r="AN193" t="str">
        <f>VLOOKUP(B:B,'7店辅助表'!AZ:BB,3,FALSE)</f>
        <v>US</v>
      </c>
    </row>
    <row r="194" customHeight="1" spans="1:40">
      <c r="A194" s="58" t="s">
        <v>948</v>
      </c>
      <c r="B194" s="116" t="s">
        <v>2653</v>
      </c>
      <c r="C194" s="45" t="s">
        <v>2654</v>
      </c>
      <c r="D194" s="59">
        <f>VLOOKUP(B:B,'[1]7店'!$B:$L,3,0)</f>
        <v>45211</v>
      </c>
      <c r="E194" s="45" t="s">
        <v>2655</v>
      </c>
      <c r="F194" s="45">
        <v>20</v>
      </c>
      <c r="G194" s="45">
        <v>0</v>
      </c>
      <c r="H194" s="45">
        <v>0</v>
      </c>
      <c r="I194" s="45">
        <v>20</v>
      </c>
      <c r="J194" s="45">
        <v>0</v>
      </c>
      <c r="K194" s="63">
        <f t="shared" si="102"/>
        <v>40</v>
      </c>
      <c r="L194" s="132">
        <v>13.9</v>
      </c>
      <c r="M194" s="44">
        <f t="shared" si="101"/>
        <v>556</v>
      </c>
      <c r="N194" s="65">
        <f>IFERROR(VLOOKUP(B:B,'7店辅助表'!B:C,2,FALSE),0)</f>
        <v>0</v>
      </c>
      <c r="O194" s="65">
        <f>IFERROR(VLOOKUP(B:B,'7店辅助表'!E:F,2,FALSE),0)</f>
        <v>0</v>
      </c>
      <c r="P194" s="65">
        <f>IFERROR(VLOOKUP(B:B,'7店辅助表'!H:I,2,FALSE),0)</f>
        <v>0</v>
      </c>
      <c r="Q194" s="65">
        <f>IFERROR(VLOOKUP(B:B,'[1]7店'!$B:$N,13,FALSE),0)</f>
        <v>0</v>
      </c>
      <c r="R194" s="79">
        <f t="shared" si="103"/>
        <v>0</v>
      </c>
      <c r="S194" s="80" t="str">
        <f t="shared" si="104"/>
        <v>-</v>
      </c>
      <c r="T194" s="44" t="str">
        <f t="shared" si="105"/>
        <v>-</v>
      </c>
      <c r="U194" s="44" t="str">
        <f>IFERROR(VLOOKUP($B:$B,'[1]7店'!$B:$T,19,FALSE),0)</f>
        <v>-</v>
      </c>
      <c r="V194" s="81" t="str">
        <f t="shared" si="106"/>
        <v>-</v>
      </c>
      <c r="W194" s="82" t="str">
        <f t="shared" si="107"/>
        <v>本月刚到货</v>
      </c>
      <c r="X194" s="83" t="str">
        <f t="shared" si="108"/>
        <v>本月刚到货</v>
      </c>
      <c r="Y194" s="44">
        <f>IFERROR(SUMIF('7店辅助表'!K:K,B:B,'7店辅助表'!N:N),0)</f>
        <v>0</v>
      </c>
      <c r="Z194" s="44">
        <f>IFERROR(SUMIF('7店辅助表'!T:T,B:B,'7店辅助表'!W:W),0)</f>
        <v>0</v>
      </c>
      <c r="AA194" s="44">
        <f>IFERROR(SUMIF('7店辅助表'!AC:AC,B:B,'7店辅助表'!AF:AF),0)</f>
        <v>0</v>
      </c>
      <c r="AB194" s="91" t="str">
        <f>IFERROR(SUMIF('7店辅助表'!K:K,B:B,'7店辅助表'!N:N)/SUMIF('7店辅助表'!K:K,B:B,'7店辅助表'!O:O),"-")</f>
        <v>-</v>
      </c>
      <c r="AC194" s="91" t="str">
        <f>IFERROR(VLOOKUP(B:B,'[1]7店'!$B:$AB,27,FALSE),"-")</f>
        <v>-</v>
      </c>
      <c r="AD194" s="92" t="str">
        <f t="shared" si="109"/>
        <v>-</v>
      </c>
      <c r="AE194" s="91" t="str">
        <f>IFERROR(SUMIF('7店辅助表'!T:T,B:B,'7店辅助表'!W:W)/SUMIF('7店辅助表'!T:T,B:B,'7店辅助表'!X:X),"-")</f>
        <v>-</v>
      </c>
      <c r="AF194" s="91" t="str">
        <f>IFERROR(SUMIF('7店辅助表'!AC:AC,B:B,'7店辅助表'!AF:AF)/SUMIF('7店辅助表'!AC:AC,B:B,'7店辅助表'!AG:AG),"-")</f>
        <v>-</v>
      </c>
      <c r="AG194" s="99">
        <f>IFERROR(AK194/((SUMIF('7店辅助表'!AT:AT,B:B,'7店辅助表'!AU:AU)+M194)/2),"-")</f>
        <v>0</v>
      </c>
      <c r="AH194" s="99">
        <f>IFERROR(AL194/((SUMIF('7店辅助表'!AW:AW,B:B,'7店辅助表'!AX:AX)+M194)/2),"-")</f>
        <v>0</v>
      </c>
      <c r="AI194" s="100" t="str">
        <f>IFERROR((SUMIF('7店辅助表'!AP:AP,B:B,'7店辅助表'!AR:AR)-SUMIF('7店辅助表'!AP:AP,B:B,'7店辅助表'!AR:AR)*0.15-(L194+IFERROR(VLOOKUP(B:B,'7店辅助表'!AZ:BA,2,0),0))*O194-IF(AN:AN="US",6.85,4.9)*(Z194+4.27*O194))/SUMIF('7店辅助表'!AP:AP,B:B,'7店辅助表'!AR:AR),"-")</f>
        <v>-</v>
      </c>
      <c r="AJ194" s="100" t="str">
        <f t="shared" si="110"/>
        <v>-</v>
      </c>
      <c r="AK194" s="101">
        <f t="shared" si="111"/>
        <v>0</v>
      </c>
      <c r="AL194" s="101">
        <f t="shared" si="112"/>
        <v>0</v>
      </c>
      <c r="AM194" s="1" t="str">
        <f>VLOOKUP(B:B,'7店辅助表'!AZ:AZ,1,FALSE)</f>
        <v>Y7084-GE+Y7085</v>
      </c>
      <c r="AN194" t="str">
        <f>VLOOKUP(B:B,'7店辅助表'!AZ:BB,3,FALSE)</f>
        <v>US</v>
      </c>
    </row>
    <row r="195" customHeight="1" spans="1:40">
      <c r="A195" s="58" t="s">
        <v>948</v>
      </c>
      <c r="B195" s="116" t="s">
        <v>2656</v>
      </c>
      <c r="C195" s="45" t="s">
        <v>2657</v>
      </c>
      <c r="D195" s="59">
        <f>VLOOKUP(B:B,'[1]7店'!$B:$L,3,0)</f>
        <v>45211</v>
      </c>
      <c r="E195" s="45" t="s">
        <v>2658</v>
      </c>
      <c r="F195" s="45">
        <v>26</v>
      </c>
      <c r="G195" s="45">
        <v>0</v>
      </c>
      <c r="H195" s="45">
        <v>0</v>
      </c>
      <c r="I195" s="45">
        <v>20</v>
      </c>
      <c r="J195" s="45">
        <v>0</v>
      </c>
      <c r="K195" s="63">
        <f t="shared" si="102"/>
        <v>46</v>
      </c>
      <c r="L195" s="132">
        <v>13.9</v>
      </c>
      <c r="M195" s="44">
        <f t="shared" si="101"/>
        <v>639.4</v>
      </c>
      <c r="N195" s="65">
        <f>IFERROR(VLOOKUP(B:B,'7店辅助表'!B:C,2,FALSE),0)</f>
        <v>4</v>
      </c>
      <c r="O195" s="65">
        <f>IFERROR(VLOOKUP(B:B,'7店辅助表'!E:F,2,FALSE),0)</f>
        <v>4</v>
      </c>
      <c r="P195" s="65">
        <f>IFERROR(VLOOKUP(B:B,'7店辅助表'!H:I,2,FALSE),0)</f>
        <v>4</v>
      </c>
      <c r="Q195" s="65">
        <f>IFERROR(VLOOKUP(B:B,'[1]7店'!$B:$N,13,FALSE),0)</f>
        <v>0</v>
      </c>
      <c r="R195" s="79">
        <f t="shared" si="103"/>
        <v>4</v>
      </c>
      <c r="S195" s="80">
        <f t="shared" si="104"/>
        <v>142.058823529412</v>
      </c>
      <c r="T195" s="44">
        <f t="shared" si="105"/>
        <v>4.73529411764706</v>
      </c>
      <c r="U195" s="44" t="str">
        <f>IFERROR(VLOOKUP($B:$B,'[1]7店'!$B:$T,19,FALSE),0)</f>
        <v>-</v>
      </c>
      <c r="V195" s="81" t="str">
        <f t="shared" si="106"/>
        <v>-</v>
      </c>
      <c r="W195" s="82" t="str">
        <f t="shared" si="107"/>
        <v>本月刚到货</v>
      </c>
      <c r="X195" s="83" t="str">
        <f t="shared" si="108"/>
        <v>本月刚到货</v>
      </c>
      <c r="Y195" s="44">
        <f>IFERROR(SUMIF('7店辅助表'!K:K,B:B,'7店辅助表'!N:N),0)</f>
        <v>5.59</v>
      </c>
      <c r="Z195" s="44">
        <f>IFERROR(SUMIF('7店辅助表'!T:T,B:B,'7店辅助表'!W:W),0)</f>
        <v>6.89</v>
      </c>
      <c r="AA195" s="44">
        <f>IFERROR(SUMIF('7店辅助表'!AC:AC,B:B,'7店辅助表'!AF:AF),0)</f>
        <v>6.89</v>
      </c>
      <c r="AB195" s="91" t="str">
        <f>IFERROR(SUMIF('7店辅助表'!K:K,B:B,'7店辅助表'!N:N)/SUMIF('7店辅助表'!K:K,B:B,'7店辅助表'!O:O),"-")</f>
        <v>-</v>
      </c>
      <c r="AC195" s="91" t="str">
        <f>IFERROR(VLOOKUP(B:B,'[1]7店'!$B:$AB,27,FALSE),"-")</f>
        <v>-</v>
      </c>
      <c r="AD195" s="92" t="str">
        <f t="shared" si="109"/>
        <v>-</v>
      </c>
      <c r="AE195" s="91" t="str">
        <f>IFERROR(SUMIF('7店辅助表'!T:T,B:B,'7店辅助表'!W:W)/SUMIF('7店辅助表'!T:T,B:B,'7店辅助表'!X:X),"-")</f>
        <v>-</v>
      </c>
      <c r="AF195" s="91" t="str">
        <f>IFERROR(SUMIF('7店辅助表'!AC:AC,B:B,'7店辅助表'!AF:AF)/SUMIF('7店辅助表'!AC:AC,B:B,'7店辅助表'!AG:AG),"-")</f>
        <v>-</v>
      </c>
      <c r="AG195" s="99">
        <f>IFERROR(AK195/((SUMIF('7店辅助表'!AT:AT,B:B,'7店辅助表'!AU:AU)+M195)/2),"-")</f>
        <v>0.093492517235581</v>
      </c>
      <c r="AH195" s="99">
        <f>IFERROR(AL195/((SUMIF('7店辅助表'!AW:AW,B:B,'7店辅助表'!AX:AX)+M195)/2),"-")</f>
        <v>0.173913043478261</v>
      </c>
      <c r="AI195" s="100">
        <f>IFERROR((SUMIF('7店辅助表'!AP:AP,B:B,'7店辅助表'!AR:AR)-SUMIF('7店辅助表'!AP:AP,B:B,'7店辅助表'!AR:AR)*0.15-(L195+IFERROR(VLOOKUP(B:B,'7店辅助表'!AZ:BA,2,0),0))*O195-IF(AN:AN="US",6.85,4.9)*(Z195+4.27*O195))/SUMIF('7店辅助表'!AP:AP,B:B,'7店辅助表'!AR:AR),"-")</f>
        <v>0.215816208987262</v>
      </c>
      <c r="AJ195" s="100">
        <f t="shared" si="110"/>
        <v>0.0375332537369151</v>
      </c>
      <c r="AK195" s="101">
        <f t="shared" si="111"/>
        <v>55.6</v>
      </c>
      <c r="AL195" s="101">
        <f t="shared" si="112"/>
        <v>55.6</v>
      </c>
      <c r="AM195" s="1" t="str">
        <f>VLOOKUP(B:B,'7店辅助表'!AZ:AZ,1,FALSE)</f>
        <v>Y7084-OR+Y7085</v>
      </c>
      <c r="AN195" t="str">
        <f>VLOOKUP(B:B,'7店辅助表'!AZ:BB,3,FALSE)</f>
        <v>US</v>
      </c>
    </row>
    <row r="196" customHeight="1" spans="1:40">
      <c r="A196" s="58" t="s">
        <v>948</v>
      </c>
      <c r="B196" s="116" t="s">
        <v>2659</v>
      </c>
      <c r="C196" s="45" t="s">
        <v>2660</v>
      </c>
      <c r="D196" s="59">
        <f>VLOOKUP(B:B,'[1]7店'!$B:$L,3,0)</f>
        <v>45211</v>
      </c>
      <c r="E196" s="45" t="s">
        <v>2661</v>
      </c>
      <c r="F196" s="45">
        <v>38</v>
      </c>
      <c r="G196" s="45">
        <v>0</v>
      </c>
      <c r="H196" s="45">
        <v>0</v>
      </c>
      <c r="I196" s="45">
        <v>1</v>
      </c>
      <c r="J196" s="45">
        <v>0</v>
      </c>
      <c r="K196" s="63">
        <f t="shared" si="102"/>
        <v>39</v>
      </c>
      <c r="L196" s="132">
        <v>13.9</v>
      </c>
      <c r="M196" s="44">
        <f t="shared" si="101"/>
        <v>542.1</v>
      </c>
      <c r="N196" s="65">
        <f>IFERROR(VLOOKUP(B:B,'7店辅助表'!B:C,2,FALSE),0)</f>
        <v>13</v>
      </c>
      <c r="O196" s="65">
        <f>IFERROR(VLOOKUP(B:B,'7店辅助表'!E:F,2,FALSE),0)</f>
        <v>13</v>
      </c>
      <c r="P196" s="65">
        <f>IFERROR(VLOOKUP(B:B,'7店辅助表'!H:I,2,FALSE),0)</f>
        <v>13</v>
      </c>
      <c r="Q196" s="65">
        <f>IFERROR(VLOOKUP(B:B,'[1]7店'!$B:$N,13,FALSE),0)</f>
        <v>0</v>
      </c>
      <c r="R196" s="79">
        <f t="shared" si="103"/>
        <v>13</v>
      </c>
      <c r="S196" s="80">
        <f t="shared" si="104"/>
        <v>37.0588235294118</v>
      </c>
      <c r="T196" s="44">
        <f t="shared" si="105"/>
        <v>1.23529411764706</v>
      </c>
      <c r="U196" s="44" t="str">
        <f>IFERROR(VLOOKUP($B:$B,'[1]7店'!$B:$T,19,FALSE),0)</f>
        <v>-</v>
      </c>
      <c r="V196" s="81" t="str">
        <f t="shared" si="106"/>
        <v>-</v>
      </c>
      <c r="W196" s="82" t="str">
        <f t="shared" si="107"/>
        <v>本月刚到货</v>
      </c>
      <c r="X196" s="83" t="str">
        <f t="shared" si="108"/>
        <v>本月刚到货</v>
      </c>
      <c r="Y196" s="44">
        <f>IFERROR(SUMIF('7店辅助表'!K:K,B:B,'7店辅助表'!N:N),0)</f>
        <v>17.15</v>
      </c>
      <c r="Z196" s="44">
        <f>IFERROR(SUMIF('7店辅助表'!T:T,B:B,'7店辅助表'!W:W),0)</f>
        <v>17.15</v>
      </c>
      <c r="AA196" s="44">
        <f>IFERROR(SUMIF('7店辅助表'!AC:AC,B:B,'7店辅助表'!AF:AF),0)</f>
        <v>17.15</v>
      </c>
      <c r="AB196" s="91">
        <f>IFERROR(SUMIF('7店辅助表'!K:K,B:B,'7店辅助表'!N:N)/SUMIF('7店辅助表'!K:K,B:B,'7店辅助表'!O:O),"-")</f>
        <v>0.220041057223505</v>
      </c>
      <c r="AC196" s="91" t="str">
        <f>IFERROR(VLOOKUP(B:B,'[1]7店'!$B:$AB,27,FALSE),"-")</f>
        <v>-</v>
      </c>
      <c r="AD196" s="92" t="str">
        <f t="shared" si="109"/>
        <v>-</v>
      </c>
      <c r="AE196" s="91">
        <f>IFERROR(SUMIF('7店辅助表'!T:T,B:B,'7店辅助表'!W:W)/SUMIF('7店辅助表'!T:T,B:B,'7店辅助表'!X:X),"-")</f>
        <v>0.220041057223505</v>
      </c>
      <c r="AF196" s="91">
        <f>IFERROR(SUMIF('7店辅助表'!AC:AC,B:B,'7店辅助表'!AF:AF)/SUMIF('7店辅助表'!AC:AC,B:B,'7店辅助表'!AG:AG),"-")</f>
        <v>0.220041057223505</v>
      </c>
      <c r="AG196" s="99">
        <f>IFERROR(AK196/((SUMIF('7店辅助表'!AT:AT,B:B,'7店辅助表'!AU:AU)+M196)/2),"-")</f>
        <v>0.3309220767329</v>
      </c>
      <c r="AH196" s="99">
        <f>IFERROR(AL196/((SUMIF('7店辅助表'!AW:AW,B:B,'7店辅助表'!AX:AX)+M196)/2),"-")</f>
        <v>0.666666666666667</v>
      </c>
      <c r="AI196" s="100">
        <f>IFERROR((SUMIF('7店辅助表'!AP:AP,B:B,'7店辅助表'!AR:AR)-SUMIF('7店辅助表'!AP:AP,B:B,'7店辅助表'!AR:AR)*0.15-(L196+IFERROR(VLOOKUP(B:B,'7店辅助表'!AZ:BA,2,0),0))*O196-IF(AN:AN="US",6.85,4.9)*(Z196+4.27*O196))/SUMIF('7店辅助表'!AP:AP,B:B,'7店辅助表'!AR:AR),"-")</f>
        <v>0.246860799500674</v>
      </c>
      <c r="AJ196" s="100">
        <f t="shared" si="110"/>
        <v>0.164573866333783</v>
      </c>
      <c r="AK196" s="101">
        <f t="shared" si="111"/>
        <v>180.7</v>
      </c>
      <c r="AL196" s="101">
        <f t="shared" si="112"/>
        <v>180.7</v>
      </c>
      <c r="AM196" s="1" t="str">
        <f>VLOOKUP(B:B,'7店辅助表'!AZ:AZ,1,FALSE)</f>
        <v>Y7086-BL+Y7087</v>
      </c>
      <c r="AN196" t="str">
        <f>VLOOKUP(B:B,'7店辅助表'!AZ:BB,3,FALSE)</f>
        <v>US</v>
      </c>
    </row>
    <row r="197" customHeight="1" spans="1:40">
      <c r="A197" s="58" t="s">
        <v>948</v>
      </c>
      <c r="B197" s="116" t="s">
        <v>2662</v>
      </c>
      <c r="C197" s="45" t="s">
        <v>2663</v>
      </c>
      <c r="D197" s="59">
        <f>VLOOKUP(B:B,'[1]7店'!$B:$L,3,0)</f>
        <v>45211</v>
      </c>
      <c r="E197" s="45" t="s">
        <v>2664</v>
      </c>
      <c r="F197" s="45">
        <v>30</v>
      </c>
      <c r="G197" s="45">
        <v>0</v>
      </c>
      <c r="H197" s="45">
        <v>1</v>
      </c>
      <c r="I197" s="45">
        <v>0</v>
      </c>
      <c r="J197" s="45">
        <v>0</v>
      </c>
      <c r="K197" s="63">
        <f t="shared" si="102"/>
        <v>31</v>
      </c>
      <c r="L197" s="132">
        <v>13.9</v>
      </c>
      <c r="M197" s="44">
        <f t="shared" si="101"/>
        <v>430.9</v>
      </c>
      <c r="N197" s="65">
        <f>IFERROR(VLOOKUP(B:B,'7店辅助表'!B:C,2,FALSE),0)</f>
        <v>8</v>
      </c>
      <c r="O197" s="65">
        <f>IFERROR(VLOOKUP(B:B,'7店辅助表'!E:F,2,FALSE),0)</f>
        <v>9</v>
      </c>
      <c r="P197" s="65">
        <f>IFERROR(VLOOKUP(B:B,'7店辅助表'!H:I,2,FALSE),0)</f>
        <v>9</v>
      </c>
      <c r="Q197" s="65">
        <f>IFERROR(VLOOKUP(B:B,'[1]7店'!$B:$N,13,FALSE),0)</f>
        <v>1</v>
      </c>
      <c r="R197" s="79">
        <f t="shared" si="103"/>
        <v>7</v>
      </c>
      <c r="S197" s="80">
        <f t="shared" si="104"/>
        <v>45.5244755244755</v>
      </c>
      <c r="T197" s="44">
        <f t="shared" si="105"/>
        <v>1.51748251748252</v>
      </c>
      <c r="U197" s="44">
        <f>IFERROR(VLOOKUP($B:$B,'[1]7店'!$B:$T,19,FALSE),0)</f>
        <v>16.4705882352941</v>
      </c>
      <c r="V197" s="81">
        <f t="shared" si="106"/>
        <v>-14.9531057178116</v>
      </c>
      <c r="W197" s="82" t="str">
        <f t="shared" si="107"/>
        <v>本月刚到货</v>
      </c>
      <c r="X197" s="83" t="str">
        <f t="shared" si="108"/>
        <v>本月刚到货</v>
      </c>
      <c r="Y197" s="44">
        <f>IFERROR(SUMIF('7店辅助表'!K:K,B:B,'7店辅助表'!N:N),0)</f>
        <v>45.38</v>
      </c>
      <c r="Z197" s="44">
        <f>IFERROR(SUMIF('7店辅助表'!T:T,B:B,'7店辅助表'!W:W),0)</f>
        <v>47.66</v>
      </c>
      <c r="AA197" s="44">
        <f>IFERROR(SUMIF('7店辅助表'!AC:AC,B:B,'7店辅助表'!AF:AF),0)</f>
        <v>47.66</v>
      </c>
      <c r="AB197" s="91">
        <f>IFERROR(SUMIF('7店辅助表'!K:K,B:B,'7店辅助表'!N:N)/SUMIF('7店辅助表'!K:K,B:B,'7店辅助表'!O:O),"-")</f>
        <v>0.349345650500385</v>
      </c>
      <c r="AC197" s="91">
        <f>IFERROR(VLOOKUP(B:B,'[1]7店'!$B:$AB,27,FALSE),"-")</f>
        <v>0.175519630484988</v>
      </c>
      <c r="AD197" s="92">
        <f t="shared" si="109"/>
        <v>0.173826020015397</v>
      </c>
      <c r="AE197" s="91">
        <f>IFERROR(SUMIF('7店辅助表'!T:T,B:B,'7店辅助表'!W:W)/SUMIF('7店辅助表'!T:T,B:B,'7店辅助表'!X:X),"-")</f>
        <v>0.305748011290736</v>
      </c>
      <c r="AF197" s="91">
        <f>IFERROR(SUMIF('7店辅助表'!AC:AC,B:B,'7店辅助表'!AF:AF)/SUMIF('7店辅助表'!AC:AC,B:B,'7店辅助表'!AG:AG),"-")</f>
        <v>0.305748011290736</v>
      </c>
      <c r="AG197" s="99">
        <f>IFERROR(AK197/((SUMIF('7店辅助表'!AT:AT,B:B,'7店辅助表'!AU:AU)+M197)/2),"-")</f>
        <v>0.25536801010449</v>
      </c>
      <c r="AH197" s="99">
        <f>IFERROR(AL197/((SUMIF('7店辅助表'!AW:AW,B:B,'7店辅助表'!AX:AX)+M197)/2),"-")</f>
        <v>0.580645161290323</v>
      </c>
      <c r="AI197" s="100">
        <f>IFERROR((SUMIF('7店辅助表'!AP:AP,B:B,'7店辅助表'!AR:AR)-SUMIF('7店辅助表'!AP:AP,B:B,'7店辅助表'!AR:AR)*0.15-(L197+IFERROR(VLOOKUP(B:B,'7店辅助表'!AZ:BA,2,0),0))*O197-IF(AN:AN="US",6.85,4.9)*(Z197+4.27*O197))/SUMIF('7店辅助表'!AP:AP,B:B,'7店辅助表'!AR:AR),"-")</f>
        <v>-0.059245804527408</v>
      </c>
      <c r="AJ197" s="100">
        <f t="shared" si="110"/>
        <v>-0.0344007897255917</v>
      </c>
      <c r="AK197" s="101">
        <f t="shared" si="111"/>
        <v>111.2</v>
      </c>
      <c r="AL197" s="101">
        <f t="shared" si="112"/>
        <v>125.1</v>
      </c>
      <c r="AM197" s="1" t="str">
        <f>VLOOKUP(B:B,'7店辅助表'!AZ:AZ,1,FALSE)</f>
        <v>Y7086-BU+Y7087</v>
      </c>
      <c r="AN197" t="str">
        <f>VLOOKUP(B:B,'7店辅助表'!AZ:BB,3,FALSE)</f>
        <v>US</v>
      </c>
    </row>
    <row r="198" customHeight="1" spans="1:40">
      <c r="A198" s="58" t="s">
        <v>948</v>
      </c>
      <c r="B198" s="116" t="s">
        <v>2665</v>
      </c>
      <c r="C198" s="45" t="s">
        <v>2666</v>
      </c>
      <c r="D198" s="59">
        <f>VLOOKUP(B:B,'[1]7店'!$B:$L,3,0)</f>
        <v>45211</v>
      </c>
      <c r="E198" s="45" t="s">
        <v>2667</v>
      </c>
      <c r="F198" s="45">
        <v>36</v>
      </c>
      <c r="G198" s="45">
        <v>0</v>
      </c>
      <c r="H198" s="45">
        <v>0</v>
      </c>
      <c r="I198" s="45">
        <v>1</v>
      </c>
      <c r="J198" s="45">
        <v>0</v>
      </c>
      <c r="K198" s="63">
        <f t="shared" si="102"/>
        <v>37</v>
      </c>
      <c r="L198" s="132">
        <v>13.9</v>
      </c>
      <c r="M198" s="44">
        <f t="shared" si="101"/>
        <v>514.3</v>
      </c>
      <c r="N198" s="65">
        <f>IFERROR(VLOOKUP(B:B,'7店辅助表'!B:C,2,FALSE),0)</f>
        <v>4</v>
      </c>
      <c r="O198" s="65">
        <f>IFERROR(VLOOKUP(B:B,'7店辅助表'!E:F,2,FALSE),0)</f>
        <v>5</v>
      </c>
      <c r="P198" s="65">
        <f>IFERROR(VLOOKUP(B:B,'7店辅助表'!H:I,2,FALSE),0)</f>
        <v>5</v>
      </c>
      <c r="Q198" s="65">
        <f>IFERROR(VLOOKUP(B:B,'[1]7店'!$B:$N,13,FALSE),0)</f>
        <v>1</v>
      </c>
      <c r="R198" s="79">
        <f t="shared" si="103"/>
        <v>3</v>
      </c>
      <c r="S198" s="80">
        <f t="shared" si="104"/>
        <v>103.6</v>
      </c>
      <c r="T198" s="44">
        <f t="shared" si="105"/>
        <v>3.45333333333333</v>
      </c>
      <c r="U198" s="44">
        <f>IFERROR(VLOOKUP($B:$B,'[1]7店'!$B:$T,19,FALSE),0)</f>
        <v>16.0588235294118</v>
      </c>
      <c r="V198" s="81">
        <f t="shared" si="106"/>
        <v>-12.6054901960785</v>
      </c>
      <c r="W198" s="82" t="str">
        <f t="shared" si="107"/>
        <v>本月刚到货</v>
      </c>
      <c r="X198" s="83" t="str">
        <f t="shared" si="108"/>
        <v>本月刚到货</v>
      </c>
      <c r="Y198" s="44">
        <f>IFERROR(SUMIF('7店辅助表'!K:K,B:B,'7店辅助表'!N:N),0)</f>
        <v>0</v>
      </c>
      <c r="Z198" s="44">
        <f>IFERROR(SUMIF('7店辅助表'!T:T,B:B,'7店辅助表'!W:W),0)</f>
        <v>0</v>
      </c>
      <c r="AA198" s="44">
        <f>IFERROR(SUMIF('7店辅助表'!AC:AC,B:B,'7店辅助表'!AF:AF),0)</f>
        <v>0</v>
      </c>
      <c r="AB198" s="91" t="str">
        <f>IFERROR(SUMIF('7店辅助表'!K:K,B:B,'7店辅助表'!N:N)/SUMIF('7店辅助表'!K:K,B:B,'7店辅助表'!O:O),"-")</f>
        <v>-</v>
      </c>
      <c r="AC198" s="91" t="str">
        <f>IFERROR(VLOOKUP(B:B,'[1]7店'!$B:$AB,27,FALSE),"-")</f>
        <v>-</v>
      </c>
      <c r="AD198" s="92" t="str">
        <f t="shared" si="109"/>
        <v>-</v>
      </c>
      <c r="AE198" s="91" t="str">
        <f>IFERROR(SUMIF('7店辅助表'!T:T,B:B,'7店辅助表'!W:W)/SUMIF('7店辅助表'!T:T,B:B,'7店辅助表'!X:X),"-")</f>
        <v>-</v>
      </c>
      <c r="AF198" s="91" t="str">
        <f>IFERROR(SUMIF('7店辅助表'!AC:AC,B:B,'7店辅助表'!AF:AF)/SUMIF('7店辅助表'!AC:AC,B:B,'7店辅助表'!AG:AG),"-")</f>
        <v>-</v>
      </c>
      <c r="AG198" s="99">
        <f>IFERROR(AK198/((SUMIF('7店辅助表'!AT:AT,B:B,'7店辅助表'!AU:AU)+M198)/2),"-")</f>
        <v>0.117884024170465</v>
      </c>
      <c r="AH198" s="99">
        <f>IFERROR(AL198/((SUMIF('7店辅助表'!AW:AW,B:B,'7店辅助表'!AX:AX)+M198)/2),"-")</f>
        <v>0.27027027027027</v>
      </c>
      <c r="AI198" s="100">
        <f>IFERROR((SUMIF('7店辅助表'!AP:AP,B:B,'7店辅助表'!AR:AR)-SUMIF('7店辅助表'!AP:AP,B:B,'7店辅助表'!AR:AR)*0.15-(L198+IFERROR(VLOOKUP(B:B,'7店辅助表'!AZ:BA,2,0),0))*O198-IF(AN:AN="US",6.85,4.9)*(Z198+4.27*O198))/SUMIF('7店辅助表'!AP:AP,B:B,'7店辅助表'!AR:AR),"-")</f>
        <v>0.365959881222738</v>
      </c>
      <c r="AJ198" s="100">
        <f t="shared" si="110"/>
        <v>0.0989080760061454</v>
      </c>
      <c r="AK198" s="101">
        <f t="shared" si="111"/>
        <v>55.6</v>
      </c>
      <c r="AL198" s="101">
        <f t="shared" si="112"/>
        <v>69.5</v>
      </c>
      <c r="AM198" s="1" t="str">
        <f>VLOOKUP(B:B,'7店辅助表'!AZ:AZ,1,FALSE)</f>
        <v>Y7086-DB+Y7087</v>
      </c>
      <c r="AN198" t="str">
        <f>VLOOKUP(B:B,'7店辅助表'!AZ:BB,3,FALSE)</f>
        <v>US</v>
      </c>
    </row>
    <row r="199" customHeight="1" spans="1:40">
      <c r="A199" s="58" t="s">
        <v>948</v>
      </c>
      <c r="B199" s="116" t="s">
        <v>2668</v>
      </c>
      <c r="C199" s="45" t="s">
        <v>2669</v>
      </c>
      <c r="D199" s="59">
        <f>VLOOKUP(B:B,'[1]7店'!$B:$L,3,0)</f>
        <v>45211</v>
      </c>
      <c r="E199" s="45" t="s">
        <v>2670</v>
      </c>
      <c r="F199" s="45">
        <v>16</v>
      </c>
      <c r="G199" s="45">
        <v>0</v>
      </c>
      <c r="H199" s="45">
        <v>0</v>
      </c>
      <c r="I199" s="45">
        <v>0</v>
      </c>
      <c r="J199" s="45">
        <v>0</v>
      </c>
      <c r="K199" s="63">
        <f t="shared" si="102"/>
        <v>16</v>
      </c>
      <c r="L199" s="132">
        <v>13.9</v>
      </c>
      <c r="M199" s="44">
        <f t="shared" si="101"/>
        <v>222.4</v>
      </c>
      <c r="N199" s="65">
        <f>IFERROR(VLOOKUP(B:B,'7店辅助表'!B:C,2,FALSE),0)</f>
        <v>4</v>
      </c>
      <c r="O199" s="65">
        <f>IFERROR(VLOOKUP(B:B,'7店辅助表'!E:F,2,FALSE),0)</f>
        <v>4</v>
      </c>
      <c r="P199" s="65">
        <f>IFERROR(VLOOKUP(B:B,'7店辅助表'!H:I,2,FALSE),0)</f>
        <v>4</v>
      </c>
      <c r="Q199" s="65">
        <f>IFERROR(VLOOKUP(B:B,'[1]7店'!$B:$N,13,FALSE),0)</f>
        <v>0</v>
      </c>
      <c r="R199" s="79">
        <f t="shared" si="103"/>
        <v>4</v>
      </c>
      <c r="S199" s="80">
        <f t="shared" si="104"/>
        <v>49.4117647058824</v>
      </c>
      <c r="T199" s="44">
        <f t="shared" si="105"/>
        <v>1.64705882352941</v>
      </c>
      <c r="U199" s="44" t="str">
        <f>IFERROR(VLOOKUP($B:$B,'[1]7店'!$B:$T,19,FALSE),0)</f>
        <v>-</v>
      </c>
      <c r="V199" s="81" t="str">
        <f t="shared" si="106"/>
        <v>-</v>
      </c>
      <c r="W199" s="82" t="str">
        <f t="shared" si="107"/>
        <v>本月刚到货</v>
      </c>
      <c r="X199" s="83" t="str">
        <f t="shared" si="108"/>
        <v>本月刚到货</v>
      </c>
      <c r="Y199" s="44">
        <f>IFERROR(SUMIF('7店辅助表'!K:K,B:B,'7店辅助表'!N:N),0)</f>
        <v>0</v>
      </c>
      <c r="Z199" s="44">
        <f>IFERROR(SUMIF('7店辅助表'!T:T,B:B,'7店辅助表'!W:W),0)</f>
        <v>0</v>
      </c>
      <c r="AA199" s="44">
        <f>IFERROR(SUMIF('7店辅助表'!AC:AC,B:B,'7店辅助表'!AF:AF),0)</f>
        <v>0</v>
      </c>
      <c r="AB199" s="91" t="str">
        <f>IFERROR(SUMIF('7店辅助表'!K:K,B:B,'7店辅助表'!N:N)/SUMIF('7店辅助表'!K:K,B:B,'7店辅助表'!O:O),"-")</f>
        <v>-</v>
      </c>
      <c r="AC199" s="91" t="str">
        <f>IFERROR(VLOOKUP(B:B,'[1]7店'!$B:$AB,27,FALSE),"-")</f>
        <v>-</v>
      </c>
      <c r="AD199" s="92" t="str">
        <f t="shared" si="109"/>
        <v>-</v>
      </c>
      <c r="AE199" s="91" t="str">
        <f>IFERROR(SUMIF('7店辅助表'!T:T,B:B,'7店辅助表'!W:W)/SUMIF('7店辅助表'!T:T,B:B,'7店辅助表'!X:X),"-")</f>
        <v>-</v>
      </c>
      <c r="AF199" s="91" t="str">
        <f>IFERROR(SUMIF('7店辅助表'!AC:AC,B:B,'7店辅助表'!AF:AF)/SUMIF('7店辅助表'!AC:AC,B:B,'7店辅助表'!AG:AG),"-")</f>
        <v>-</v>
      </c>
      <c r="AG199" s="99">
        <f>IFERROR(AK199/((SUMIF('7店辅助表'!AT:AT,B:B,'7店辅助表'!AU:AU)+M199)/2),"-")</f>
        <v>0.251356238698011</v>
      </c>
      <c r="AH199" s="99">
        <f>IFERROR(AL199/((SUMIF('7店辅助表'!AW:AW,B:B,'7店辅助表'!AX:AX)+M199)/2),"-")</f>
        <v>0.5</v>
      </c>
      <c r="AI199" s="100">
        <f>IFERROR((SUMIF('7店辅助表'!AP:AP,B:B,'7店辅助表'!AR:AR)-SUMIF('7店辅助表'!AP:AP,B:B,'7店辅助表'!AR:AR)*0.15-(L199+IFERROR(VLOOKUP(B:B,'7店辅助表'!AZ:BA,2,0),0))*O199-IF(AN:AN="US",6.85,4.9)*(Z199+4.27*O199))/SUMIF('7店辅助表'!AP:AP,B:B,'7店辅助表'!AR:AR),"-")</f>
        <v>0.348418210526907</v>
      </c>
      <c r="AJ199" s="100">
        <f t="shared" si="110"/>
        <v>0.174209105263454</v>
      </c>
      <c r="AK199" s="101">
        <f t="shared" si="111"/>
        <v>55.6</v>
      </c>
      <c r="AL199" s="101">
        <f t="shared" si="112"/>
        <v>55.6</v>
      </c>
      <c r="AM199" s="1" t="str">
        <f>VLOOKUP(B:B,'7店辅助表'!AZ:AZ,1,FALSE)</f>
        <v>Y7086-GE+Y7087</v>
      </c>
      <c r="AN199" t="str">
        <f>VLOOKUP(B:B,'7店辅助表'!AZ:BB,3,FALSE)</f>
        <v>US</v>
      </c>
    </row>
    <row r="200" customHeight="1" spans="1:40">
      <c r="A200" s="58" t="s">
        <v>948</v>
      </c>
      <c r="B200" s="116" t="s">
        <v>2671</v>
      </c>
      <c r="C200" s="45" t="s">
        <v>2672</v>
      </c>
      <c r="D200" s="59">
        <f>VLOOKUP(B:B,'[1]7店'!$B:$L,3,0)</f>
        <v>45211</v>
      </c>
      <c r="E200" s="45" t="s">
        <v>2673</v>
      </c>
      <c r="F200" s="45">
        <v>19</v>
      </c>
      <c r="G200" s="45">
        <v>0</v>
      </c>
      <c r="H200" s="45">
        <v>0</v>
      </c>
      <c r="I200" s="45">
        <v>2</v>
      </c>
      <c r="J200" s="45">
        <v>0</v>
      </c>
      <c r="K200" s="63">
        <f t="shared" si="102"/>
        <v>21</v>
      </c>
      <c r="L200" s="132">
        <v>13.9</v>
      </c>
      <c r="M200" s="44">
        <f t="shared" si="101"/>
        <v>291.9</v>
      </c>
      <c r="N200" s="65">
        <f>IFERROR(VLOOKUP(B:B,'7店辅助表'!B:C,2,FALSE),0)</f>
        <v>9</v>
      </c>
      <c r="O200" s="65">
        <f>IFERROR(VLOOKUP(B:B,'7店辅助表'!E:F,2,FALSE),0)</f>
        <v>11</v>
      </c>
      <c r="P200" s="65">
        <f>IFERROR(VLOOKUP(B:B,'7店辅助表'!H:I,2,FALSE),0)</f>
        <v>11</v>
      </c>
      <c r="Q200" s="65">
        <f>IFERROR(VLOOKUP(B:B,'[1]7店'!$B:$N,13,FALSE),0)</f>
        <v>2</v>
      </c>
      <c r="R200" s="79">
        <f t="shared" si="103"/>
        <v>7</v>
      </c>
      <c r="S200" s="80">
        <f t="shared" si="104"/>
        <v>26.4071856287425</v>
      </c>
      <c r="T200" s="44">
        <f t="shared" si="105"/>
        <v>0.880239520958084</v>
      </c>
      <c r="U200" s="44">
        <f>IFERROR(VLOOKUP($B:$B,'[1]7店'!$B:$T,19,FALSE),0)</f>
        <v>6.58823529411765</v>
      </c>
      <c r="V200" s="81">
        <f t="shared" si="106"/>
        <v>-5.70799577315957</v>
      </c>
      <c r="W200" s="82" t="str">
        <f t="shared" si="107"/>
        <v>本月刚到货</v>
      </c>
      <c r="X200" s="83" t="str">
        <f t="shared" si="108"/>
        <v>本月刚到货</v>
      </c>
      <c r="Y200" s="44">
        <f>IFERROR(SUMIF('7店辅助表'!K:K,B:B,'7店辅助表'!N:N),0)</f>
        <v>20.07</v>
      </c>
      <c r="Z200" s="44">
        <f>IFERROR(SUMIF('7店辅助表'!T:T,B:B,'7店辅助表'!W:W),0)</f>
        <v>26.43</v>
      </c>
      <c r="AA200" s="44">
        <f>IFERROR(SUMIF('7店辅助表'!AC:AC,B:B,'7店辅助表'!AF:AF),0)</f>
        <v>26.43</v>
      </c>
      <c r="AB200" s="91">
        <f>IFERROR(SUMIF('7店辅助表'!K:K,B:B,'7店辅助表'!N:N)/SUMIF('7店辅助表'!K:K,B:B,'7店辅助表'!O:O),"-")</f>
        <v>0.386258660508083</v>
      </c>
      <c r="AC200" s="91">
        <f>IFERROR(VLOOKUP(B:B,'[1]7店'!$B:$AB,27,FALSE),"-")</f>
        <v>0.244803695150115</v>
      </c>
      <c r="AD200" s="92">
        <f t="shared" si="109"/>
        <v>0.141454965357968</v>
      </c>
      <c r="AE200" s="91">
        <f>IFERROR(SUMIF('7店辅助表'!T:T,B:B,'7店辅助表'!W:W)/SUMIF('7店辅助表'!T:T,B:B,'7店辅助表'!X:X),"-")</f>
        <v>0.339107005388761</v>
      </c>
      <c r="AF200" s="91">
        <f>IFERROR(SUMIF('7店辅助表'!AC:AC,B:B,'7店辅助表'!AF:AF)/SUMIF('7店辅助表'!AC:AC,B:B,'7店辅助表'!AG:AG),"-")</f>
        <v>0.339107005388761</v>
      </c>
      <c r="AG200" s="99">
        <f>IFERROR(AK200/((SUMIF('7店辅助表'!AT:AT,B:B,'7店辅助表'!AU:AU)+M200)/2),"-")</f>
        <v>0.388569653672931</v>
      </c>
      <c r="AH200" s="99">
        <f>IFERROR(AL200/((SUMIF('7店辅助表'!AW:AW,B:B,'7店辅助表'!AX:AX)+M200)/2),"-")</f>
        <v>1.04761904761905</v>
      </c>
      <c r="AI200" s="100">
        <f>IFERROR((SUMIF('7店辅助表'!AP:AP,B:B,'7店辅助表'!AR:AR)-SUMIF('7店辅助表'!AP:AP,B:B,'7店辅助表'!AR:AR)*0.15-(L200+IFERROR(VLOOKUP(B:B,'7店辅助表'!AZ:BA,2,0),0))*O200-IF(AN:AN="US",6.85,4.9)*(Z200+4.27*O200))/SUMIF('7店辅助表'!AP:AP,B:B,'7店辅助表'!AR:AR),"-")</f>
        <v>0.183150410608592</v>
      </c>
      <c r="AJ200" s="100">
        <f t="shared" si="110"/>
        <v>0.191871858732811</v>
      </c>
      <c r="AK200" s="101">
        <f t="shared" si="111"/>
        <v>125.1</v>
      </c>
      <c r="AL200" s="101">
        <f t="shared" si="112"/>
        <v>152.9</v>
      </c>
      <c r="AM200" s="1" t="str">
        <f>VLOOKUP(B:B,'7店辅助表'!AZ:AZ,1,FALSE)</f>
        <v>Y7086-OR+Y7087</v>
      </c>
      <c r="AN200" t="str">
        <f>VLOOKUP(B:B,'7店辅助表'!AZ:BB,3,FALSE)</f>
        <v>US</v>
      </c>
    </row>
  </sheetData>
  <autoFilter ref="A2:AP200">
    <extLst/>
  </autoFilter>
  <mergeCells count="3">
    <mergeCell ref="Y1:AF1"/>
    <mergeCell ref="AG1:AH1"/>
    <mergeCell ref="B3:E3"/>
  </mergeCells>
  <conditionalFormatting sqref="D1">
    <cfRule type="expression" dxfId="987" priority="160">
      <formula>(TODAY()-$D1)&lt;30</formula>
    </cfRule>
    <cfRule type="expression" dxfId="987" priority="161">
      <formula>(TODAY()-$D1047719)&lt;30</formula>
    </cfRule>
  </conditionalFormatting>
  <conditionalFormatting sqref="E2">
    <cfRule type="duplicateValues" dxfId="984" priority="150"/>
  </conditionalFormatting>
  <conditionalFormatting sqref="B3">
    <cfRule type="duplicateValues" dxfId="984" priority="152"/>
  </conditionalFormatting>
  <conditionalFormatting sqref="V3">
    <cfRule type="iconSet" priority="154">
      <iconSet iconSet="3Arrows">
        <cfvo type="percent" val="0"/>
        <cfvo type="num" val="0"/>
        <cfvo type="num" val="0" gte="0"/>
      </iconSet>
    </cfRule>
  </conditionalFormatting>
  <conditionalFormatting sqref="AD3">
    <cfRule type="iconSet" priority="153">
      <iconSet iconSet="3Arrows">
        <cfvo type="percent" val="0"/>
        <cfvo type="num" val="0"/>
        <cfvo type="num" val="0" gte="0"/>
      </iconSet>
    </cfRule>
  </conditionalFormatting>
  <conditionalFormatting sqref="AI3:AJ3">
    <cfRule type="cellIs" dxfId="986" priority="151" operator="lessThan">
      <formula>0</formula>
    </cfRule>
  </conditionalFormatting>
  <conditionalFormatting sqref="D2:D3">
    <cfRule type="expression" dxfId="987" priority="145">
      <formula>(TODAY()-$D2)&lt;30</formula>
    </cfRule>
    <cfRule type="expression" dxfId="987" priority="149">
      <formula>(TODAY()-$D1)&lt;30</formula>
    </cfRule>
  </conditionalFormatting>
  <conditionalFormatting sqref="D201:D1048576">
    <cfRule type="expression" dxfId="987" priority="162">
      <formula>(TODAY()-$D201)&lt;30</formula>
    </cfRule>
    <cfRule type="expression" dxfId="987" priority="163">
      <formula>(TODAY()-#REF!)&lt;30</formula>
    </cfRule>
  </conditionalFormatting>
  <conditionalFormatting sqref="R4:R200">
    <cfRule type="iconSet" priority="158">
      <iconSet iconSet="3Arrows">
        <cfvo type="percent" val="0"/>
        <cfvo type="num" val="0"/>
        <cfvo type="num" val="0" gte="0"/>
      </iconSet>
    </cfRule>
  </conditionalFormatting>
  <conditionalFormatting sqref="V4:V200">
    <cfRule type="iconSet" priority="157">
      <iconSet iconSet="3Arrows">
        <cfvo type="percent" val="0"/>
        <cfvo type="num" val="0"/>
        <cfvo type="num" val="0" gte="0"/>
      </iconSet>
    </cfRule>
  </conditionalFormatting>
  <conditionalFormatting sqref="X4:X1048576">
    <cfRule type="expression" dxfId="985" priority="1">
      <formula>AND($X4="有库存无销量",$K4&gt;2,OR($V4&gt;=0,$V4="-"))</formula>
    </cfRule>
    <cfRule type="expression" dxfId="985" priority="2">
      <formula>AND($X4="库存过高",$K4&gt;2,OR($V4&gt;=0,$V4="-"))</formula>
    </cfRule>
  </conditionalFormatting>
  <conditionalFormatting sqref="Y4:Y200">
    <cfRule type="expression" dxfId="985" priority="3">
      <formula>AND($Y4&gt;3,$AB4=0)</formula>
    </cfRule>
  </conditionalFormatting>
  <conditionalFormatting sqref="AB4:AB200">
    <cfRule type="expression" dxfId="985" priority="4">
      <formula>AND($AB4&gt;30%,$AD4&gt;0,$AB4&lt;&gt;"-")</formula>
    </cfRule>
  </conditionalFormatting>
  <conditionalFormatting sqref="AD4:AD200">
    <cfRule type="iconSet" priority="156">
      <iconSet iconSet="3Arrows">
        <cfvo type="percent" val="0"/>
        <cfvo type="num" val="0"/>
        <cfvo type="num" val="0" gte="0"/>
      </iconSet>
    </cfRule>
  </conditionalFormatting>
  <conditionalFormatting sqref="AI4:AI200">
    <cfRule type="cellIs" dxfId="986" priority="5" operator="lessThan">
      <formula>25%</formula>
    </cfRule>
  </conditionalFormatting>
  <pageMargins left="0.75" right="0.75" top="1" bottom="1" header="0.5" footer="0.5"/>
  <headerFooter/>
  <legacyDrawing r:id="rId2"/>
  <extLst>
    <ext xmlns:x14="http://schemas.microsoft.com/office/spreadsheetml/2009/9/main" uri="{78C0D931-6437-407d-A8EE-F0AAD7539E65}">
      <x14:conditionalFormattings>
        <x14:conditionalFormatting xmlns:xm="http://schemas.microsoft.com/office/excel/2006/main">
          <x14:cfRule type="iconSet" priority="7" id="{d446ec8b-6f02-4f9e-b13b-e75bcfd73f60}">
            <x14:iconSet iconSet="3Arrows" custom="1">
              <x14:cfvo type="percent">
                <xm:f>0</xm:f>
              </x14:cfvo>
              <x14:cfvo type="num">
                <xm:f>0</xm:f>
              </x14:cfvo>
              <x14:cfvo type="num" gte="0">
                <xm:f>0</xm:f>
              </x14:cfvo>
              <x14:cfIcon iconSet="3Arrows" iconId="0"/>
              <x14:cfIcon iconSet="3Arrows" iconId="1"/>
              <x14:cfIcon iconSet="3Arrows" iconId="2"/>
            </x14:iconSet>
          </x14:cfRule>
          <xm:sqref>W4:W200</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B1:BB321"/>
  <sheetViews>
    <sheetView topLeftCell="Y1" workbookViewId="0">
      <pane ySplit="1" topLeftCell="A96" activePane="bottomLeft" state="frozen"/>
      <selection/>
      <selection pane="bottomLeft" activeCell="M8" sqref="M8"/>
    </sheetView>
  </sheetViews>
  <sheetFormatPr defaultColWidth="9" defaultRowHeight="12.9"/>
  <cols>
    <col min="1" max="1" width="9" style="1"/>
    <col min="2" max="2" width="26.2385321100917" style="1"/>
    <col min="3" max="3" width="16.697247706422" style="1" customWidth="1"/>
    <col min="4" max="4" width="9" style="1"/>
    <col min="5" max="5" width="26.2385321100917" style="1"/>
    <col min="6" max="6" width="16.697247706422" style="1" customWidth="1"/>
    <col min="7" max="7" width="9" style="1"/>
    <col min="8" max="8" width="26.2385321100917" style="1"/>
    <col min="9" max="9" width="16.697247706422" style="1" customWidth="1"/>
    <col min="10" max="10" width="9" style="1"/>
    <col min="11" max="11" width="26.2385321100917" style="1"/>
    <col min="12" max="14" width="14.4587155963303" style="1" customWidth="1"/>
    <col min="15" max="15" width="19.0642201834862" style="1" customWidth="1"/>
    <col min="16" max="16" width="23.9174311926606" style="1"/>
    <col min="17" max="18" width="16.3211009174312" style="2" customWidth="1"/>
    <col min="19" max="19" width="9" style="1"/>
    <col min="20" max="20" width="26.2385321100917" style="1"/>
    <col min="21" max="23" width="14.697247706422" style="1" customWidth="1"/>
    <col min="24" max="24" width="18.9449541284404" style="1" customWidth="1"/>
    <col min="25" max="25" width="23.9174311926606" style="1"/>
    <col min="26" max="27" width="17.4403669724771" style="2" customWidth="1"/>
    <col min="28" max="28" width="9" style="1"/>
    <col min="29" max="29" width="26.2385321100917" style="1"/>
    <col min="30" max="32" width="14.7064220183486" style="1" customWidth="1"/>
    <col min="33" max="33" width="19.1926605504587" style="1" customWidth="1"/>
    <col min="34" max="34" width="19.9357798165138" style="1" customWidth="1"/>
    <col min="35" max="36" width="17.3211009174312" style="2" customWidth="1"/>
    <col min="37" max="37" width="10.0917431192661" style="2" customWidth="1"/>
    <col min="39" max="39" width="10.4954128440367"/>
    <col min="40" max="40" width="10.0917431192661" style="2" customWidth="1"/>
    <col min="41" max="41" width="9" style="1"/>
    <col min="43" max="43" width="10.4954128440367"/>
    <col min="44" max="44" width="11.6146788990826" style="1"/>
    <col min="45" max="45" width="9" style="1"/>
    <col min="46" max="46" width="15.2018348623853" customWidth="1"/>
    <col min="47" max="47" width="12.2110091743119" customWidth="1"/>
    <col min="49" max="49" width="15.4495412844037" customWidth="1"/>
    <col min="50" max="50" width="12.2110091743119" customWidth="1"/>
    <col min="51" max="51" width="9" style="1"/>
    <col min="52" max="52" width="21.1834862385321" style="106" customWidth="1"/>
    <col min="53" max="53" width="12.6330275229358" style="106" customWidth="1"/>
    <col min="54" max="16384" width="9" style="1"/>
  </cols>
  <sheetData>
    <row r="1" s="1" customFormat="1" spans="2:53">
      <c r="B1" t="s">
        <v>408</v>
      </c>
      <c r="C1" t="s">
        <v>409</v>
      </c>
      <c r="E1" t="s">
        <v>408</v>
      </c>
      <c r="F1" t="s">
        <v>409</v>
      </c>
      <c r="H1" t="s">
        <v>408</v>
      </c>
      <c r="I1" t="s">
        <v>409</v>
      </c>
      <c r="K1" t="s">
        <v>410</v>
      </c>
      <c r="L1" t="s">
        <v>411</v>
      </c>
      <c r="M1" t="s">
        <v>412</v>
      </c>
      <c r="N1" t="s">
        <v>413</v>
      </c>
      <c r="O1" t="s">
        <v>414</v>
      </c>
      <c r="P1" t="s">
        <v>415</v>
      </c>
      <c r="Q1" s="31" t="s">
        <v>416</v>
      </c>
      <c r="R1" s="31" t="s">
        <v>417</v>
      </c>
      <c r="T1" t="s">
        <v>410</v>
      </c>
      <c r="U1" t="s">
        <v>411</v>
      </c>
      <c r="V1" t="s">
        <v>412</v>
      </c>
      <c r="W1" t="s">
        <v>413</v>
      </c>
      <c r="X1" t="s">
        <v>414</v>
      </c>
      <c r="Y1" t="s">
        <v>415</v>
      </c>
      <c r="Z1" s="31" t="s">
        <v>418</v>
      </c>
      <c r="AA1" s="31" t="s">
        <v>419</v>
      </c>
      <c r="AC1" t="s">
        <v>410</v>
      </c>
      <c r="AD1" t="s">
        <v>411</v>
      </c>
      <c r="AE1" t="s">
        <v>412</v>
      </c>
      <c r="AF1" t="s">
        <v>413</v>
      </c>
      <c r="AG1" t="s">
        <v>414</v>
      </c>
      <c r="AH1" t="s">
        <v>415</v>
      </c>
      <c r="AI1" s="31" t="s">
        <v>420</v>
      </c>
      <c r="AJ1" s="31" t="s">
        <v>421</v>
      </c>
      <c r="AK1" s="32" t="s">
        <v>422</v>
      </c>
      <c r="AL1" s="29" t="s">
        <v>408</v>
      </c>
      <c r="AM1" s="29" t="s">
        <v>423</v>
      </c>
      <c r="AO1" s="32" t="s">
        <v>424</v>
      </c>
      <c r="AP1" s="29" t="s">
        <v>408</v>
      </c>
      <c r="AQ1" s="29" t="s">
        <v>423</v>
      </c>
      <c r="AS1" s="1">
        <v>6.85</v>
      </c>
      <c r="AT1" s="35">
        <v>214</v>
      </c>
      <c r="AU1" s="36"/>
      <c r="AV1" s="35"/>
      <c r="AW1" s="35">
        <v>200</v>
      </c>
      <c r="AX1" s="36"/>
      <c r="AZ1" s="106"/>
      <c r="BA1" s="106"/>
    </row>
    <row r="2" s="1" customFormat="1" spans="2:53">
      <c r="B2" t="s">
        <v>426</v>
      </c>
      <c r="C2"/>
      <c r="E2" t="s">
        <v>426</v>
      </c>
      <c r="F2"/>
      <c r="G2" s="1" t="e">
        <f>VLOOKUP(E:E,'7店'!$B:$B,1,0)</f>
        <v>#N/A</v>
      </c>
      <c r="H2" t="s">
        <v>426</v>
      </c>
      <c r="I2"/>
      <c r="J2" s="1" t="e">
        <f>VLOOKUP(H:H,'7店'!$B:$B,1,0)</f>
        <v>#N/A</v>
      </c>
      <c r="K2" t="s">
        <v>426</v>
      </c>
      <c r="L2"/>
      <c r="M2"/>
      <c r="N2"/>
      <c r="O2"/>
      <c r="P2"/>
      <c r="Q2" s="31">
        <v>0</v>
      </c>
      <c r="R2" s="31">
        <v>0</v>
      </c>
      <c r="T2" t="s">
        <v>426</v>
      </c>
      <c r="U2"/>
      <c r="V2"/>
      <c r="W2"/>
      <c r="X2"/>
      <c r="Y2"/>
      <c r="Z2" s="31">
        <v>0</v>
      </c>
      <c r="AA2" s="31">
        <v>0</v>
      </c>
      <c r="AB2" s="1" t="e">
        <f>VLOOKUP(T:T,'7店'!$B:$B,1,0)</f>
        <v>#N/A</v>
      </c>
      <c r="AC2" t="s">
        <v>426</v>
      </c>
      <c r="AD2"/>
      <c r="AE2"/>
      <c r="AF2"/>
      <c r="AG2"/>
      <c r="AH2"/>
      <c r="AI2" s="31">
        <v>0</v>
      </c>
      <c r="AJ2" s="31">
        <v>0</v>
      </c>
      <c r="AK2" s="1" t="e">
        <f>VLOOKUP(AC:AC,'7店'!$B:$B,1,0)</f>
        <v>#N/A</v>
      </c>
      <c r="AL2" s="29" t="s">
        <v>2327</v>
      </c>
      <c r="AM2" s="33">
        <v>1298.67</v>
      </c>
      <c r="AN2" s="1">
        <f>AM2*$AS$1</f>
        <v>8895.8895</v>
      </c>
      <c r="AP2" s="29" t="s">
        <v>2327</v>
      </c>
      <c r="AQ2" s="33">
        <v>2431.14</v>
      </c>
      <c r="AR2" s="1">
        <f>AQ2*$AS$1</f>
        <v>16653.309</v>
      </c>
      <c r="AT2" s="37" t="s">
        <v>10</v>
      </c>
      <c r="AU2" s="38" t="s">
        <v>21</v>
      </c>
      <c r="AV2" s="39"/>
      <c r="AW2" s="37" t="s">
        <v>10</v>
      </c>
      <c r="AX2" s="38" t="s">
        <v>21</v>
      </c>
      <c r="AZ2" s="106"/>
      <c r="BA2" s="106"/>
    </row>
    <row r="3" s="1" customFormat="1" spans="2:53">
      <c r="B3" t="s">
        <v>2327</v>
      </c>
      <c r="C3">
        <v>100</v>
      </c>
      <c r="D3" s="1" t="str">
        <f>VLOOKUP(B:B,'7店'!$B:$B,1,0)</f>
        <v>Y7013-BL+Y7021+Y7017</v>
      </c>
      <c r="E3" t="s">
        <v>2327</v>
      </c>
      <c r="F3">
        <v>188</v>
      </c>
      <c r="G3" s="1" t="str">
        <f>VLOOKUP(E:E,'7店'!$B:$B,1,0)</f>
        <v>Y7013-BL+Y7021+Y7017</v>
      </c>
      <c r="H3" t="s">
        <v>2164</v>
      </c>
      <c r="I3">
        <v>206</v>
      </c>
      <c r="J3" s="1" t="str">
        <f>VLOOKUP(H:H,'7店'!$B:$B,1,0)</f>
        <v>Y73475-BL+Y72615+Y73478</v>
      </c>
      <c r="K3" t="s">
        <v>2197</v>
      </c>
      <c r="L3">
        <v>5378</v>
      </c>
      <c r="M3">
        <v>77</v>
      </c>
      <c r="N3">
        <v>28.35</v>
      </c>
      <c r="O3">
        <v>155.88</v>
      </c>
      <c r="P3">
        <v>12</v>
      </c>
      <c r="Q3" s="31">
        <v>0.181870669745958</v>
      </c>
      <c r="R3" s="31">
        <v>0.155844155844156</v>
      </c>
      <c r="S3" s="1" t="str">
        <f>VLOOKUP(K:K,'7店'!$B:$B,1,0)</f>
        <v>Y72648-OR+Y72649+Y72381</v>
      </c>
      <c r="T3" t="s">
        <v>2197</v>
      </c>
      <c r="U3">
        <v>14527</v>
      </c>
      <c r="V3">
        <v>180</v>
      </c>
      <c r="W3">
        <v>64.88</v>
      </c>
      <c r="X3">
        <v>305.76</v>
      </c>
      <c r="Y3">
        <v>24</v>
      </c>
      <c r="Z3" s="31">
        <v>0.212192569335426</v>
      </c>
      <c r="AA3" s="31">
        <v>0.133333333333333</v>
      </c>
      <c r="AB3" s="1" t="str">
        <f>VLOOKUP(T:T,'7店'!$B:$B,1,0)</f>
        <v>Y72648-OR+Y72649+Y72381</v>
      </c>
      <c r="AC3" t="s">
        <v>2197</v>
      </c>
      <c r="AD3">
        <v>29041</v>
      </c>
      <c r="AE3">
        <v>349</v>
      </c>
      <c r="AF3">
        <v>124.3</v>
      </c>
      <c r="AG3">
        <v>539.58</v>
      </c>
      <c r="AH3">
        <v>41</v>
      </c>
      <c r="AI3" s="31">
        <v>0.230364357463212</v>
      </c>
      <c r="AJ3" s="31">
        <v>0.117478510028653</v>
      </c>
      <c r="AK3" s="1" t="str">
        <f>VLOOKUP(AC:AC,'7店'!$B:$B,1,0)</f>
        <v>Y72648-OR+Y72649+Y72381</v>
      </c>
      <c r="AL3" s="29" t="s">
        <v>2164</v>
      </c>
      <c r="AM3" s="33">
        <v>532.59</v>
      </c>
      <c r="AN3" s="1">
        <f>AM3*$AS$1</f>
        <v>3648.2415</v>
      </c>
      <c r="AP3" s="29" t="s">
        <v>2164</v>
      </c>
      <c r="AQ3" s="33">
        <v>1178.42</v>
      </c>
      <c r="AR3" s="1">
        <f>AQ3*$AS$1</f>
        <v>8072.177</v>
      </c>
      <c r="AT3" s="40" t="s">
        <v>48</v>
      </c>
      <c r="AU3" s="41">
        <v>225255.5</v>
      </c>
      <c r="AV3" s="42"/>
      <c r="AW3" s="40" t="s">
        <v>48</v>
      </c>
      <c r="AX3" s="41">
        <v>121903</v>
      </c>
      <c r="AZ3" s="126" t="s">
        <v>427</v>
      </c>
      <c r="BA3" s="127" t="s">
        <v>2123</v>
      </c>
    </row>
    <row r="4" s="1" customFormat="1" spans="2:54">
      <c r="B4" t="s">
        <v>2164</v>
      </c>
      <c r="C4">
        <v>41</v>
      </c>
      <c r="D4" s="1" t="str">
        <f>VLOOKUP(B:B,'7店'!$B:$B,1,0)</f>
        <v>Y73475-BL+Y72615+Y73478</v>
      </c>
      <c r="E4" t="s">
        <v>2164</v>
      </c>
      <c r="F4">
        <v>93</v>
      </c>
      <c r="G4" s="1" t="str">
        <f>VLOOKUP(E:E,'7店'!$B:$B,1,0)</f>
        <v>Y73475-BL+Y72615+Y73478</v>
      </c>
      <c r="H4" t="s">
        <v>2327</v>
      </c>
      <c r="I4">
        <v>371</v>
      </c>
      <c r="J4" s="1" t="str">
        <f>VLOOKUP(H:H,'7店'!$B:$B,1,0)</f>
        <v>Y7013-BL+Y7021+Y7017</v>
      </c>
      <c r="K4" t="s">
        <v>2231</v>
      </c>
      <c r="L4">
        <v>4922</v>
      </c>
      <c r="M4">
        <v>52</v>
      </c>
      <c r="N4">
        <v>18.87</v>
      </c>
      <c r="O4">
        <v>90.93</v>
      </c>
      <c r="P4">
        <v>7</v>
      </c>
      <c r="Q4" s="31">
        <v>0.207522269877928</v>
      </c>
      <c r="R4" s="31">
        <v>0.134615384615385</v>
      </c>
      <c r="S4" s="1" t="str">
        <f>VLOOKUP(K:K,'7店'!$B:$B,1,0)</f>
        <v>Y72454-OR+Y72455+Y72511</v>
      </c>
      <c r="T4" t="s">
        <v>2231</v>
      </c>
      <c r="U4">
        <v>10418</v>
      </c>
      <c r="V4">
        <v>98</v>
      </c>
      <c r="W4">
        <v>36.63</v>
      </c>
      <c r="X4">
        <v>166.54</v>
      </c>
      <c r="Y4">
        <v>13</v>
      </c>
      <c r="Z4" s="31">
        <v>0.21994715984148</v>
      </c>
      <c r="AA4" s="31">
        <v>0.13265306122449</v>
      </c>
      <c r="AB4" s="1" t="str">
        <f>VLOOKUP(T:T,'7店'!$B:$B,1,0)</f>
        <v>Y72454-OR+Y72455+Y72511</v>
      </c>
      <c r="AC4" t="s">
        <v>2231</v>
      </c>
      <c r="AD4">
        <v>19216</v>
      </c>
      <c r="AE4">
        <v>181</v>
      </c>
      <c r="AF4">
        <v>67.28</v>
      </c>
      <c r="AG4">
        <v>348.07</v>
      </c>
      <c r="AH4">
        <v>27</v>
      </c>
      <c r="AI4" s="31">
        <v>0.193294452265349</v>
      </c>
      <c r="AJ4" s="31">
        <v>0.149171270718232</v>
      </c>
      <c r="AK4" s="1" t="str">
        <f>VLOOKUP(AC:AC,'7店'!$B:$B,1,0)</f>
        <v>Y72454-OR+Y72455+Y72511</v>
      </c>
      <c r="AL4" s="29" t="s">
        <v>2629</v>
      </c>
      <c r="AM4" s="33">
        <v>519.6</v>
      </c>
      <c r="AN4" s="1">
        <f t="shared" ref="AN4:AN35" si="0">AM4*$AS$1</f>
        <v>3559.26</v>
      </c>
      <c r="AP4" s="29" t="s">
        <v>2629</v>
      </c>
      <c r="AQ4" s="33">
        <v>1041.19</v>
      </c>
      <c r="AR4" s="1">
        <f>AQ4*$AS$1</f>
        <v>7132.1515</v>
      </c>
      <c r="AT4" s="125" t="s">
        <v>2142</v>
      </c>
      <c r="AU4" s="44">
        <v>69.5</v>
      </c>
      <c r="AV4" s="35"/>
      <c r="AW4" s="125" t="s">
        <v>2142</v>
      </c>
      <c r="AX4" s="44">
        <v>166.8</v>
      </c>
      <c r="AZ4" s="128" t="s">
        <v>2142</v>
      </c>
      <c r="BA4" s="106">
        <v>6.695</v>
      </c>
      <c r="BB4" s="1" t="s">
        <v>430</v>
      </c>
    </row>
    <row r="5" s="1" customFormat="1" spans="2:54">
      <c r="B5" t="s">
        <v>2154</v>
      </c>
      <c r="C5">
        <v>15</v>
      </c>
      <c r="D5" s="1" t="str">
        <f>VLOOKUP(B:B,'7店'!$B:$B,1,0)</f>
        <v>Y72611-BL+Y72614+Y72635</v>
      </c>
      <c r="E5" t="s">
        <v>2154</v>
      </c>
      <c r="F5">
        <v>31</v>
      </c>
      <c r="G5" s="1" t="str">
        <f>VLOOKUP(E:E,'7店'!$B:$B,1,0)</f>
        <v>Y72611-BL+Y72614+Y72635</v>
      </c>
      <c r="H5" t="s">
        <v>2162</v>
      </c>
      <c r="I5">
        <v>75</v>
      </c>
      <c r="J5" s="1" t="str">
        <f>VLOOKUP(H:H,'7店'!$B:$B,1,0)</f>
        <v>Y73475-BB+Y72615+Y73478</v>
      </c>
      <c r="K5" t="s">
        <v>2225</v>
      </c>
      <c r="L5">
        <v>918</v>
      </c>
      <c r="M5">
        <v>11</v>
      </c>
      <c r="N5">
        <v>4.05</v>
      </c>
      <c r="O5">
        <v>38.97</v>
      </c>
      <c r="P5">
        <v>3</v>
      </c>
      <c r="Q5" s="31">
        <v>0.103926096997691</v>
      </c>
      <c r="R5" s="31">
        <v>0.272727272727273</v>
      </c>
      <c r="S5" s="1" t="str">
        <f>VLOOKUP(K:K,'7店'!$B:$B,1,0)</f>
        <v>Y72454-BL+Y72455+Y72511</v>
      </c>
      <c r="T5" t="s">
        <v>2225</v>
      </c>
      <c r="U5">
        <v>2991</v>
      </c>
      <c r="V5">
        <v>48</v>
      </c>
      <c r="W5">
        <v>17.2</v>
      </c>
      <c r="X5">
        <v>88.93</v>
      </c>
      <c r="Y5">
        <v>7</v>
      </c>
      <c r="Z5" s="31">
        <v>0.193410547621725</v>
      </c>
      <c r="AA5" s="31">
        <v>0.145833333333333</v>
      </c>
      <c r="AB5" s="1" t="str">
        <f>VLOOKUP(T:T,'7店'!$B:$B,1,0)</f>
        <v>Y72454-BL+Y72455+Y72511</v>
      </c>
      <c r="AC5" t="s">
        <v>2225</v>
      </c>
      <c r="AD5">
        <v>6138</v>
      </c>
      <c r="AE5">
        <v>95</v>
      </c>
      <c r="AF5">
        <v>33.64</v>
      </c>
      <c r="AG5">
        <v>205.84</v>
      </c>
      <c r="AH5">
        <v>16</v>
      </c>
      <c r="AI5" s="31">
        <v>0.163427905169063</v>
      </c>
      <c r="AJ5" s="31">
        <v>0.168421052631579</v>
      </c>
      <c r="AK5" s="1" t="str">
        <f>VLOOKUP(AC:AC,'7店'!$B:$B,1,0)</f>
        <v>Y72454-BL+Y72455+Y72511</v>
      </c>
      <c r="AL5" s="29" t="s">
        <v>2349</v>
      </c>
      <c r="AM5" s="33">
        <v>526.83</v>
      </c>
      <c r="AN5" s="1">
        <f t="shared" si="0"/>
        <v>3608.7855</v>
      </c>
      <c r="AP5" s="29" t="s">
        <v>2349</v>
      </c>
      <c r="AQ5" s="33">
        <v>1101.69</v>
      </c>
      <c r="AR5" s="1">
        <f t="shared" ref="AR5:AR36" si="1">AQ5*$AS$1</f>
        <v>7546.5765</v>
      </c>
      <c r="AT5" s="125" t="s">
        <v>2145</v>
      </c>
      <c r="AU5" s="44">
        <v>55.6</v>
      </c>
      <c r="AV5" s="35"/>
      <c r="AW5" s="125" t="s">
        <v>2145</v>
      </c>
      <c r="AX5" s="44">
        <v>291.9</v>
      </c>
      <c r="AZ5" s="128" t="s">
        <v>2145</v>
      </c>
      <c r="BA5" s="106">
        <v>6.513</v>
      </c>
      <c r="BB5" s="1" t="s">
        <v>430</v>
      </c>
    </row>
    <row r="6" s="1" customFormat="1" spans="2:54">
      <c r="B6" t="s">
        <v>2162</v>
      </c>
      <c r="C6">
        <v>24</v>
      </c>
      <c r="D6" s="1" t="str">
        <f>VLOOKUP(B:B,'7店'!$B:$B,1,0)</f>
        <v>Y73475-BB+Y72615+Y73478</v>
      </c>
      <c r="E6" t="s">
        <v>2162</v>
      </c>
      <c r="F6">
        <v>43</v>
      </c>
      <c r="G6" s="1" t="str">
        <f>VLOOKUP(E:E,'7店'!$B:$B,1,0)</f>
        <v>Y73475-BB+Y72615+Y73478</v>
      </c>
      <c r="H6" t="s">
        <v>2349</v>
      </c>
      <c r="I6">
        <v>176</v>
      </c>
      <c r="J6" s="1" t="str">
        <f>VLOOKUP(H:H,'7店'!$B:$B,1,0)</f>
        <v>Y7022-BL+Y7024+Y7023</v>
      </c>
      <c r="K6" t="s">
        <v>2190</v>
      </c>
      <c r="L6">
        <v>4331</v>
      </c>
      <c r="M6">
        <v>51</v>
      </c>
      <c r="N6">
        <v>22.28</v>
      </c>
      <c r="O6">
        <v>90.93</v>
      </c>
      <c r="P6">
        <v>7</v>
      </c>
      <c r="Q6" s="31">
        <v>0.245023644561751</v>
      </c>
      <c r="R6" s="31">
        <v>0.137254901960784</v>
      </c>
      <c r="S6" s="1" t="str">
        <f>VLOOKUP(K:K,'7店'!$B:$B,1,0)</f>
        <v>Y72488-OR+Y72490+Y72380</v>
      </c>
      <c r="T6" t="s">
        <v>2190</v>
      </c>
      <c r="U6">
        <v>12594</v>
      </c>
      <c r="V6">
        <v>139</v>
      </c>
      <c r="W6">
        <v>59.43</v>
      </c>
      <c r="X6">
        <v>216.83</v>
      </c>
      <c r="Y6">
        <v>17</v>
      </c>
      <c r="Z6" s="31">
        <v>0.274085689249643</v>
      </c>
      <c r="AA6" s="31">
        <v>0.122302158273381</v>
      </c>
      <c r="AB6" s="1" t="str">
        <f>VLOOKUP(T:T,'7店'!$B:$B,1,0)</f>
        <v>Y72488-OR+Y72490+Y72380</v>
      </c>
      <c r="AC6" t="s">
        <v>2190</v>
      </c>
      <c r="AD6">
        <v>23586</v>
      </c>
      <c r="AE6">
        <v>286</v>
      </c>
      <c r="AF6">
        <v>119</v>
      </c>
      <c r="AG6">
        <v>476.3</v>
      </c>
      <c r="AH6">
        <v>37</v>
      </c>
      <c r="AI6" s="31">
        <v>0.24984253621667</v>
      </c>
      <c r="AJ6" s="31">
        <v>0.129370629370629</v>
      </c>
      <c r="AK6" s="1" t="str">
        <f>VLOOKUP(AC:AC,'7店'!$B:$B,1,0)</f>
        <v>Y72488-OR+Y72490+Y72380</v>
      </c>
      <c r="AL6" s="29" t="s">
        <v>2282</v>
      </c>
      <c r="AM6" s="33">
        <v>477.62</v>
      </c>
      <c r="AN6" s="1">
        <f t="shared" si="0"/>
        <v>3271.697</v>
      </c>
      <c r="AP6" s="29" t="s">
        <v>2282</v>
      </c>
      <c r="AQ6" s="33">
        <v>1122.11</v>
      </c>
      <c r="AR6" s="1">
        <f t="shared" si="1"/>
        <v>7686.4535</v>
      </c>
      <c r="AT6" s="125" t="s">
        <v>2148</v>
      </c>
      <c r="AU6" s="44">
        <v>125.1</v>
      </c>
      <c r="AV6" s="35"/>
      <c r="AW6" s="125" t="s">
        <v>2148</v>
      </c>
      <c r="AX6" s="44">
        <v>55.6</v>
      </c>
      <c r="AZ6" s="128" t="s">
        <v>2148</v>
      </c>
      <c r="BA6" s="106">
        <v>6.546</v>
      </c>
      <c r="BB6" s="1" t="s">
        <v>430</v>
      </c>
    </row>
    <row r="7" s="1" customFormat="1" spans="2:54">
      <c r="B7" t="s">
        <v>2349</v>
      </c>
      <c r="C7">
        <v>42</v>
      </c>
      <c r="D7" s="1" t="str">
        <f>VLOOKUP(B:B,'7店'!$B:$B,1,0)</f>
        <v>Y7022-BL+Y7024+Y7023</v>
      </c>
      <c r="E7" t="s">
        <v>2349</v>
      </c>
      <c r="F7">
        <v>90</v>
      </c>
      <c r="G7" s="1" t="str">
        <f>VLOOKUP(E:E,'7店'!$B:$B,1,0)</f>
        <v>Y7022-BL+Y7024+Y7023</v>
      </c>
      <c r="H7" t="s">
        <v>2342</v>
      </c>
      <c r="I7">
        <v>35</v>
      </c>
      <c r="J7" s="1" t="str">
        <f>VLOOKUP(H:H,'7店'!$B:$B,1,0)</f>
        <v>Y72612-OR+Y72615+Y72636</v>
      </c>
      <c r="K7" t="s">
        <v>2162</v>
      </c>
      <c r="L7">
        <v>356</v>
      </c>
      <c r="M7">
        <v>6</v>
      </c>
      <c r="N7">
        <v>1.28</v>
      </c>
      <c r="O7">
        <v>12.99</v>
      </c>
      <c r="P7">
        <v>1</v>
      </c>
      <c r="Q7" s="31">
        <v>0.0985373364126251</v>
      </c>
      <c r="R7" s="31">
        <v>0.166666666666667</v>
      </c>
      <c r="S7" s="1" t="str">
        <f>VLOOKUP(K:K,'7店'!$B:$B,1,0)</f>
        <v>Y73475-BB+Y72615+Y73478</v>
      </c>
      <c r="T7" t="s">
        <v>2162</v>
      </c>
      <c r="U7">
        <v>970</v>
      </c>
      <c r="V7">
        <v>17</v>
      </c>
      <c r="W7">
        <v>3.85</v>
      </c>
      <c r="X7">
        <v>12.99</v>
      </c>
      <c r="Y7">
        <v>1</v>
      </c>
      <c r="Z7" s="31">
        <v>0.296381832178599</v>
      </c>
      <c r="AA7" s="31">
        <v>0.0588235294117647</v>
      </c>
      <c r="AB7" s="1" t="str">
        <f>VLOOKUP(T:T,'7店'!$B:$B,1,0)</f>
        <v>Y73475-BB+Y72615+Y73478</v>
      </c>
      <c r="AC7" t="s">
        <v>2162</v>
      </c>
      <c r="AD7">
        <v>2411</v>
      </c>
      <c r="AE7">
        <v>34</v>
      </c>
      <c r="AF7">
        <v>8.63</v>
      </c>
      <c r="AG7">
        <v>51.96</v>
      </c>
      <c r="AH7">
        <v>4</v>
      </c>
      <c r="AI7" s="31">
        <v>0.166089299461124</v>
      </c>
      <c r="AJ7" s="31">
        <v>0.117647058823529</v>
      </c>
      <c r="AK7" s="1" t="str">
        <f>VLOOKUP(AC:AC,'7店'!$B:$B,1,0)</f>
        <v>Y73475-BB+Y72615+Y73478</v>
      </c>
      <c r="AL7" s="29" t="s">
        <v>2162</v>
      </c>
      <c r="AM7" s="33">
        <v>311.1</v>
      </c>
      <c r="AN7" s="1">
        <f t="shared" si="0"/>
        <v>2131.035</v>
      </c>
      <c r="AP7" s="29" t="s">
        <v>2162</v>
      </c>
      <c r="AQ7" s="33">
        <v>536.59</v>
      </c>
      <c r="AR7" s="1">
        <f t="shared" si="1"/>
        <v>3675.6415</v>
      </c>
      <c r="AT7" s="125" t="s">
        <v>2674</v>
      </c>
      <c r="AU7" s="44">
        <v>0</v>
      </c>
      <c r="AV7" s="35"/>
      <c r="AW7" s="125" t="s">
        <v>2674</v>
      </c>
      <c r="AX7" s="44">
        <v>55.6</v>
      </c>
      <c r="AZ7" s="128" t="s">
        <v>2674</v>
      </c>
      <c r="BA7" s="106">
        <v>6.313</v>
      </c>
      <c r="BB7" s="1" t="s">
        <v>430</v>
      </c>
    </row>
    <row r="8" s="1" customFormat="1" spans="2:54">
      <c r="B8" t="s">
        <v>2330</v>
      </c>
      <c r="C8">
        <v>19</v>
      </c>
      <c r="D8" s="1" t="str">
        <f>VLOOKUP(B:B,'7店'!$B:$B,1,0)</f>
        <v>Y7013-BU+Y7021+Y7017</v>
      </c>
      <c r="E8" t="s">
        <v>2312</v>
      </c>
      <c r="F8">
        <v>11</v>
      </c>
      <c r="G8" s="1" t="str">
        <f>VLOOKUP(E:E,'7店'!$B:$B,1,0)</f>
        <v>Y7012-BL+Y7020+Y7016</v>
      </c>
      <c r="H8" t="s">
        <v>2154</v>
      </c>
      <c r="I8">
        <v>66</v>
      </c>
      <c r="J8" s="1" t="str">
        <f>VLOOKUP(H:H,'7店'!$B:$B,1,0)</f>
        <v>Y72611-BL+Y72614+Y72635</v>
      </c>
      <c r="K8" t="s">
        <v>2164</v>
      </c>
      <c r="L8">
        <v>6552</v>
      </c>
      <c r="M8">
        <v>68</v>
      </c>
      <c r="N8">
        <v>26.68</v>
      </c>
      <c r="O8">
        <v>155.88</v>
      </c>
      <c r="P8">
        <v>12</v>
      </c>
      <c r="Q8" s="31">
        <v>0.171157300487555</v>
      </c>
      <c r="R8" s="31">
        <v>0.176470588235294</v>
      </c>
      <c r="S8" s="1" t="str">
        <f>VLOOKUP(K:K,'7店'!$B:$B,1,0)</f>
        <v>Y73475-BL+Y72615+Y73478</v>
      </c>
      <c r="T8" t="s">
        <v>2164</v>
      </c>
      <c r="U8">
        <v>12508</v>
      </c>
      <c r="V8">
        <v>134</v>
      </c>
      <c r="W8">
        <v>54.56</v>
      </c>
      <c r="X8">
        <v>253.8</v>
      </c>
      <c r="Y8">
        <v>20</v>
      </c>
      <c r="Z8" s="31">
        <v>0.214972419227738</v>
      </c>
      <c r="AA8" s="31">
        <v>0.149253731343284</v>
      </c>
      <c r="AB8" s="1" t="str">
        <f>VLOOKUP(T:T,'7店'!$B:$B,1,0)</f>
        <v>Y73475-BL+Y72615+Y73478</v>
      </c>
      <c r="AC8" t="s">
        <v>2164</v>
      </c>
      <c r="AD8">
        <v>25382</v>
      </c>
      <c r="AE8">
        <v>218</v>
      </c>
      <c r="AF8">
        <v>89.35</v>
      </c>
      <c r="AG8">
        <v>435.66</v>
      </c>
      <c r="AH8">
        <v>35</v>
      </c>
      <c r="AI8" s="31">
        <v>0.205091126107515</v>
      </c>
      <c r="AJ8" s="31">
        <v>0.160550458715596</v>
      </c>
      <c r="AK8" s="1" t="str">
        <f>VLOOKUP(AC:AC,'7店'!$B:$B,1,0)</f>
        <v>Y73475-BL+Y72615+Y73478</v>
      </c>
      <c r="AL8" s="29" t="s">
        <v>2330</v>
      </c>
      <c r="AM8" s="33">
        <v>246.81</v>
      </c>
      <c r="AN8" s="1">
        <f t="shared" si="0"/>
        <v>1690.6485</v>
      </c>
      <c r="AP8" s="29" t="s">
        <v>2330</v>
      </c>
      <c r="AQ8" s="33">
        <v>523.27</v>
      </c>
      <c r="AR8" s="1">
        <f t="shared" si="1"/>
        <v>3584.3995</v>
      </c>
      <c r="AT8" s="125" t="s">
        <v>2151</v>
      </c>
      <c r="AU8" s="44">
        <v>180.7</v>
      </c>
      <c r="AV8" s="35"/>
      <c r="AW8" s="125" t="s">
        <v>2151</v>
      </c>
      <c r="AX8" s="44">
        <v>125.1</v>
      </c>
      <c r="AZ8" s="128" t="s">
        <v>2151</v>
      </c>
      <c r="BA8" s="106">
        <v>6.502</v>
      </c>
      <c r="BB8" s="1" t="s">
        <v>430</v>
      </c>
    </row>
    <row r="9" s="1" customFormat="1" spans="2:54">
      <c r="B9" t="s">
        <v>2339</v>
      </c>
      <c r="C9">
        <v>11</v>
      </c>
      <c r="D9" s="1" t="str">
        <f>VLOOKUP(B:B,'7店'!$B:$B,1,0)</f>
        <v>Y7013-OR+Y7021+Y7017</v>
      </c>
      <c r="E9" t="s">
        <v>2342</v>
      </c>
      <c r="F9">
        <v>19</v>
      </c>
      <c r="G9" s="1" t="str">
        <f>VLOOKUP(E:E,'7店'!$B:$B,1,0)</f>
        <v>Y72612-OR+Y72615+Y72636</v>
      </c>
      <c r="H9" t="s">
        <v>2276</v>
      </c>
      <c r="I9">
        <v>72</v>
      </c>
      <c r="J9" s="1" t="str">
        <f>VLOOKUP(H:H,'7店'!$B:$B,1,0)</f>
        <v>Y72612-BL+Y72615+Y72636</v>
      </c>
      <c r="K9" t="s">
        <v>2181</v>
      </c>
      <c r="L9">
        <v>187</v>
      </c>
      <c r="M9">
        <v>1</v>
      </c>
      <c r="N9">
        <v>0.04</v>
      </c>
      <c r="O9">
        <v>0</v>
      </c>
      <c r="P9">
        <v>0</v>
      </c>
      <c r="Q9" s="31">
        <v>0</v>
      </c>
      <c r="R9" s="31">
        <v>0</v>
      </c>
      <c r="S9" s="1" t="str">
        <f>VLOOKUP(K:K,'7店'!$B:$B,1,0)</f>
        <v>Y73694-OR+Y73712+Y73744</v>
      </c>
      <c r="T9" t="s">
        <v>2181</v>
      </c>
      <c r="U9">
        <v>442</v>
      </c>
      <c r="V9">
        <v>1</v>
      </c>
      <c r="W9">
        <v>0.04</v>
      </c>
      <c r="X9">
        <v>0</v>
      </c>
      <c r="Y9">
        <v>0</v>
      </c>
      <c r="Z9" s="31">
        <v>0</v>
      </c>
      <c r="AA9" s="31">
        <v>0</v>
      </c>
      <c r="AB9" s="1" t="str">
        <f>VLOOKUP(T:T,'7店'!$B:$B,1,0)</f>
        <v>Y73694-OR+Y73712+Y73744</v>
      </c>
      <c r="AC9" t="s">
        <v>2181</v>
      </c>
      <c r="AD9">
        <v>922</v>
      </c>
      <c r="AE9">
        <v>4</v>
      </c>
      <c r="AF9">
        <v>0.59</v>
      </c>
      <c r="AG9">
        <v>0</v>
      </c>
      <c r="AH9">
        <v>0</v>
      </c>
      <c r="AI9" s="31">
        <v>0</v>
      </c>
      <c r="AJ9" s="31">
        <v>0</v>
      </c>
      <c r="AK9" s="1" t="str">
        <f>VLOOKUP(AC:AC,'7店'!$B:$B,1,0)</f>
        <v>Y73694-OR+Y73712+Y73744</v>
      </c>
      <c r="AL9" s="29" t="s">
        <v>2276</v>
      </c>
      <c r="AM9" s="33">
        <v>220.83</v>
      </c>
      <c r="AN9" s="1">
        <f t="shared" si="0"/>
        <v>1512.6855</v>
      </c>
      <c r="AP9" s="29" t="s">
        <v>2599</v>
      </c>
      <c r="AQ9" s="33">
        <v>469.76</v>
      </c>
      <c r="AR9" s="1">
        <f t="shared" si="1"/>
        <v>3217.856</v>
      </c>
      <c r="AT9" s="125" t="s">
        <v>2675</v>
      </c>
      <c r="AU9" s="44">
        <v>0</v>
      </c>
      <c r="AV9" s="35"/>
      <c r="AW9" s="125" t="s">
        <v>2675</v>
      </c>
      <c r="AX9" s="44">
        <v>55.6</v>
      </c>
      <c r="AZ9" s="128" t="s">
        <v>2531</v>
      </c>
      <c r="BA9" s="106">
        <v>4.762</v>
      </c>
      <c r="BB9" s="1" t="s">
        <v>430</v>
      </c>
    </row>
    <row r="10" s="1" customFormat="1" spans="2:54">
      <c r="B10" t="s">
        <v>2312</v>
      </c>
      <c r="C10">
        <v>7</v>
      </c>
      <c r="D10" s="1" t="str">
        <f>VLOOKUP(B:B,'7店'!$B:$B,1,0)</f>
        <v>Y7012-BL+Y7020+Y7016</v>
      </c>
      <c r="E10" t="s">
        <v>2279</v>
      </c>
      <c r="F10">
        <v>13</v>
      </c>
      <c r="G10" s="1" t="str">
        <f>VLOOKUP(E:E,'7店'!$B:$B,1,0)</f>
        <v>Y72612-DB+Y72615+Y72636</v>
      </c>
      <c r="H10" t="s">
        <v>2279</v>
      </c>
      <c r="I10">
        <v>27</v>
      </c>
      <c r="J10" s="1" t="str">
        <f>VLOOKUP(H:H,'7店'!$B:$B,1,0)</f>
        <v>Y72612-DB+Y72615+Y72636</v>
      </c>
      <c r="K10" t="s">
        <v>2154</v>
      </c>
      <c r="L10">
        <v>3189</v>
      </c>
      <c r="M10">
        <v>25</v>
      </c>
      <c r="N10">
        <v>7.79</v>
      </c>
      <c r="O10">
        <v>51.96</v>
      </c>
      <c r="P10">
        <v>4</v>
      </c>
      <c r="Q10" s="31">
        <v>0.149923017705928</v>
      </c>
      <c r="R10" s="31">
        <v>0.16</v>
      </c>
      <c r="S10" s="1" t="str">
        <f>VLOOKUP(K:K,'7店'!$B:$B,1,0)</f>
        <v>Y72611-BL+Y72614+Y72635</v>
      </c>
      <c r="T10" t="s">
        <v>2154</v>
      </c>
      <c r="U10">
        <v>5794</v>
      </c>
      <c r="V10">
        <v>56</v>
      </c>
      <c r="W10">
        <v>18.29</v>
      </c>
      <c r="X10">
        <v>51.96</v>
      </c>
      <c r="Y10">
        <v>4</v>
      </c>
      <c r="Z10" s="31">
        <v>0.352001539645881</v>
      </c>
      <c r="AA10" s="31">
        <v>0.0714285714285714</v>
      </c>
      <c r="AB10" s="1" t="str">
        <f>VLOOKUP(T:T,'7店'!$B:$B,1,0)</f>
        <v>Y72611-BL+Y72614+Y72635</v>
      </c>
      <c r="AC10" t="s">
        <v>2154</v>
      </c>
      <c r="AD10">
        <v>11151</v>
      </c>
      <c r="AE10">
        <v>107</v>
      </c>
      <c r="AF10">
        <v>36.28</v>
      </c>
      <c r="AG10">
        <v>103.92</v>
      </c>
      <c r="AH10">
        <v>8</v>
      </c>
      <c r="AI10" s="31">
        <v>0.349114703618168</v>
      </c>
      <c r="AJ10" s="31">
        <v>0.0747663551401869</v>
      </c>
      <c r="AK10" s="1" t="str">
        <f>VLOOKUP(AC:AC,'7店'!$B:$B,1,0)</f>
        <v>Y72611-BL+Y72614+Y72635</v>
      </c>
      <c r="AL10" s="29" t="s">
        <v>2172</v>
      </c>
      <c r="AM10" s="33">
        <v>207.18</v>
      </c>
      <c r="AN10" s="1">
        <f t="shared" si="0"/>
        <v>1419.183</v>
      </c>
      <c r="AP10" s="29" t="s">
        <v>2276</v>
      </c>
      <c r="AQ10" s="33">
        <v>627.48</v>
      </c>
      <c r="AR10" s="1">
        <f t="shared" si="1"/>
        <v>4298.238</v>
      </c>
      <c r="AT10" s="125" t="s">
        <v>2154</v>
      </c>
      <c r="AU10" s="44">
        <v>3058</v>
      </c>
      <c r="AV10" s="35"/>
      <c r="AW10" s="125" t="s">
        <v>2154</v>
      </c>
      <c r="AX10" s="44">
        <v>3641.8</v>
      </c>
      <c r="AZ10" s="128" t="s">
        <v>2676</v>
      </c>
      <c r="BA10" s="106">
        <v>6.513</v>
      </c>
      <c r="BB10" s="1" t="s">
        <v>430</v>
      </c>
    </row>
    <row r="11" s="1" customFormat="1" spans="2:54">
      <c r="B11" t="s">
        <v>2279</v>
      </c>
      <c r="C11">
        <v>9</v>
      </c>
      <c r="D11" s="1" t="str">
        <f>VLOOKUP(B:B,'7店'!$B:$B,1,0)</f>
        <v>Y72612-DB+Y72615+Y72636</v>
      </c>
      <c r="E11" t="s">
        <v>2276</v>
      </c>
      <c r="F11">
        <v>52</v>
      </c>
      <c r="G11" s="1" t="str">
        <f>VLOOKUP(E:E,'7店'!$B:$B,1,0)</f>
        <v>Y72612-BL+Y72615+Y72636</v>
      </c>
      <c r="H11" t="s">
        <v>2312</v>
      </c>
      <c r="I11">
        <v>36</v>
      </c>
      <c r="J11" s="1" t="str">
        <f>VLOOKUP(H:H,'7店'!$B:$B,1,0)</f>
        <v>Y7012-BL+Y7020+Y7016</v>
      </c>
      <c r="K11" t="s">
        <v>2203</v>
      </c>
      <c r="L11">
        <v>900</v>
      </c>
      <c r="M11">
        <v>10</v>
      </c>
      <c r="N11">
        <v>4.5</v>
      </c>
      <c r="O11">
        <v>0</v>
      </c>
      <c r="P11">
        <v>0</v>
      </c>
      <c r="Q11" s="31">
        <v>0</v>
      </c>
      <c r="R11" s="31">
        <v>0</v>
      </c>
      <c r="S11" s="1" t="str">
        <f>VLOOKUP(K:K,'7店'!$B:$B,1,0)</f>
        <v>Y73106-DB+Y73109+Y73112</v>
      </c>
      <c r="T11" t="s">
        <v>2157</v>
      </c>
      <c r="U11">
        <v>0</v>
      </c>
      <c r="V11">
        <v>0</v>
      </c>
      <c r="W11">
        <v>0</v>
      </c>
      <c r="X11">
        <v>0</v>
      </c>
      <c r="Y11">
        <v>0</v>
      </c>
      <c r="Z11" s="31">
        <v>0</v>
      </c>
      <c r="AA11" s="31">
        <v>0</v>
      </c>
      <c r="AB11" s="1" t="str">
        <f>VLOOKUP(T:T,'7店'!$B:$B,1,0)</f>
        <v>Y72611-DB+Y72614+Y72635</v>
      </c>
      <c r="AC11" t="s">
        <v>2157</v>
      </c>
      <c r="AD11">
        <v>3</v>
      </c>
      <c r="AE11">
        <v>0</v>
      </c>
      <c r="AF11">
        <v>0</v>
      </c>
      <c r="AG11">
        <v>0</v>
      </c>
      <c r="AH11">
        <v>0</v>
      </c>
      <c r="AI11" s="31">
        <v>0</v>
      </c>
      <c r="AJ11" s="31">
        <v>0</v>
      </c>
      <c r="AK11" s="1" t="str">
        <f>VLOOKUP(AC:AC,'7店'!$B:$B,1,0)</f>
        <v>Y72611-DB+Y72614+Y72635</v>
      </c>
      <c r="AL11" s="29" t="s">
        <v>2599</v>
      </c>
      <c r="AM11" s="33">
        <v>243.93</v>
      </c>
      <c r="AN11" s="1">
        <f t="shared" si="0"/>
        <v>1670.9205</v>
      </c>
      <c r="AP11" s="29" t="s">
        <v>2339</v>
      </c>
      <c r="AQ11" s="33">
        <v>425.34</v>
      </c>
      <c r="AR11" s="1">
        <f t="shared" si="1"/>
        <v>2913.579</v>
      </c>
      <c r="AT11" s="125" t="s">
        <v>2157</v>
      </c>
      <c r="AU11" s="44">
        <v>97.3</v>
      </c>
      <c r="AV11" s="35"/>
      <c r="AW11" s="125" t="s">
        <v>2157</v>
      </c>
      <c r="AX11" s="44">
        <v>236.3</v>
      </c>
      <c r="AZ11" s="128" t="s">
        <v>2525</v>
      </c>
      <c r="BA11" s="106">
        <v>6.681</v>
      </c>
      <c r="BB11" s="1" t="s">
        <v>430</v>
      </c>
    </row>
    <row r="12" s="1" customFormat="1" spans="2:54">
      <c r="B12" t="s">
        <v>2352</v>
      </c>
      <c r="C12">
        <v>7</v>
      </c>
      <c r="D12" s="1" t="str">
        <f>VLOOKUP(B:B,'7店'!$B:$B,1,0)</f>
        <v>Y7022-BU+Y7024+Y7023</v>
      </c>
      <c r="E12" t="s">
        <v>2352</v>
      </c>
      <c r="F12">
        <v>15</v>
      </c>
      <c r="G12" s="1" t="str">
        <f>VLOOKUP(E:E,'7店'!$B:$B,1,0)</f>
        <v>Y7022-BU+Y7024+Y7023</v>
      </c>
      <c r="H12" t="s">
        <v>2231</v>
      </c>
      <c r="I12">
        <v>45</v>
      </c>
      <c r="J12" s="1" t="str">
        <f>VLOOKUP(H:H,'7店'!$B:$B,1,0)</f>
        <v>Y72454-OR+Y72455+Y72511</v>
      </c>
      <c r="K12" t="s">
        <v>2206</v>
      </c>
      <c r="L12">
        <v>305</v>
      </c>
      <c r="M12">
        <v>6</v>
      </c>
      <c r="N12">
        <v>1.56</v>
      </c>
      <c r="O12">
        <v>12.99</v>
      </c>
      <c r="P12">
        <v>1</v>
      </c>
      <c r="Q12" s="31">
        <v>0.120092378752887</v>
      </c>
      <c r="R12" s="31">
        <v>0.166666666666667</v>
      </c>
      <c r="S12" s="1" t="str">
        <f>VLOOKUP(K:K,'7店'!$B:$B,1,0)</f>
        <v>Y73106-OR+Y73109+Y73112</v>
      </c>
      <c r="T12" t="s">
        <v>2203</v>
      </c>
      <c r="U12">
        <v>1072</v>
      </c>
      <c r="V12">
        <v>11</v>
      </c>
      <c r="W12">
        <v>4.76</v>
      </c>
      <c r="X12">
        <v>0</v>
      </c>
      <c r="Y12">
        <v>0</v>
      </c>
      <c r="Z12" s="31">
        <v>0</v>
      </c>
      <c r="AA12" s="31">
        <v>0</v>
      </c>
      <c r="AB12" s="1" t="str">
        <f>VLOOKUP(T:T,'7店'!$B:$B,1,0)</f>
        <v>Y73106-DB+Y73109+Y73112</v>
      </c>
      <c r="AC12" t="s">
        <v>2203</v>
      </c>
      <c r="AD12">
        <v>1184</v>
      </c>
      <c r="AE12">
        <v>12</v>
      </c>
      <c r="AF12">
        <v>5.4</v>
      </c>
      <c r="AG12">
        <v>0</v>
      </c>
      <c r="AH12">
        <v>0</v>
      </c>
      <c r="AI12" s="31">
        <v>0</v>
      </c>
      <c r="AJ12" s="31">
        <v>0</v>
      </c>
      <c r="AK12" s="1" t="str">
        <f>VLOOKUP(AC:AC,'7店'!$B:$B,1,0)</f>
        <v>Y73106-DB+Y73109+Y73112</v>
      </c>
      <c r="AL12" s="29" t="s">
        <v>2225</v>
      </c>
      <c r="AM12" s="33">
        <v>207.51</v>
      </c>
      <c r="AN12" s="1">
        <f t="shared" si="0"/>
        <v>1421.4435</v>
      </c>
      <c r="AP12" s="29" t="s">
        <v>2225</v>
      </c>
      <c r="AQ12" s="33">
        <v>413.46</v>
      </c>
      <c r="AR12" s="1">
        <f t="shared" si="1"/>
        <v>2832.201</v>
      </c>
      <c r="AT12" s="43" t="s">
        <v>2159</v>
      </c>
      <c r="AU12" s="44">
        <v>1904.3</v>
      </c>
      <c r="AV12" s="35"/>
      <c r="AW12" s="125" t="s">
        <v>2159</v>
      </c>
      <c r="AX12" s="44">
        <v>2793.9</v>
      </c>
      <c r="AZ12" s="128" t="s">
        <v>2528</v>
      </c>
      <c r="BA12" s="106">
        <v>6.681</v>
      </c>
      <c r="BB12" s="1" t="s">
        <v>430</v>
      </c>
    </row>
    <row r="13" s="1" customFormat="1" spans="2:54">
      <c r="B13" t="s">
        <v>2276</v>
      </c>
      <c r="C13">
        <v>17</v>
      </c>
      <c r="D13" s="1" t="str">
        <f>VLOOKUP(B:B,'7店'!$B:$B,1,0)</f>
        <v>Y72612-BL+Y72615+Y72636</v>
      </c>
      <c r="E13" t="s">
        <v>2339</v>
      </c>
      <c r="F13">
        <v>33</v>
      </c>
      <c r="G13" s="1" t="str">
        <f>VLOOKUP(E:E,'7店'!$B:$B,1,0)</f>
        <v>Y7013-OR+Y7021+Y7017</v>
      </c>
      <c r="H13" t="s">
        <v>2225</v>
      </c>
      <c r="I13">
        <v>53</v>
      </c>
      <c r="J13" s="1" t="str">
        <f>VLOOKUP(H:H,'7店'!$B:$B,1,0)</f>
        <v>Y72454-BL+Y72455+Y72511</v>
      </c>
      <c r="K13" t="s">
        <v>2172</v>
      </c>
      <c r="L13">
        <v>4227</v>
      </c>
      <c r="M13">
        <v>60</v>
      </c>
      <c r="N13">
        <v>19.86</v>
      </c>
      <c r="O13">
        <v>155.22</v>
      </c>
      <c r="P13">
        <v>12</v>
      </c>
      <c r="Q13" s="31">
        <v>0.127947429454967</v>
      </c>
      <c r="R13" s="31">
        <v>0.2</v>
      </c>
      <c r="S13" s="1" t="str">
        <f>VLOOKUP(K:K,'7店'!$B:$B,1,0)</f>
        <v>Y73475-OR+Y72615+Y73478</v>
      </c>
      <c r="T13" t="s">
        <v>2206</v>
      </c>
      <c r="U13">
        <v>854</v>
      </c>
      <c r="V13">
        <v>14</v>
      </c>
      <c r="W13">
        <v>3.64</v>
      </c>
      <c r="X13">
        <v>12.99</v>
      </c>
      <c r="Y13">
        <v>1</v>
      </c>
      <c r="Z13" s="31">
        <v>0.280215550423403</v>
      </c>
      <c r="AA13" s="31">
        <v>0.0714285714285714</v>
      </c>
      <c r="AB13" s="1" t="str">
        <f>VLOOKUP(T:T,'7店'!$B:$B,1,0)</f>
        <v>Y73106-OR+Y73109+Y73112</v>
      </c>
      <c r="AC13" t="s">
        <v>2675</v>
      </c>
      <c r="AD13">
        <v>3421</v>
      </c>
      <c r="AE13">
        <v>26</v>
      </c>
      <c r="AF13">
        <v>9.94</v>
      </c>
      <c r="AG13">
        <v>11.99</v>
      </c>
      <c r="AH13">
        <v>1</v>
      </c>
      <c r="AI13" s="31">
        <v>0.829024186822352</v>
      </c>
      <c r="AJ13" s="31">
        <v>0.0384615384615385</v>
      </c>
      <c r="AK13" s="1" t="e">
        <f>VLOOKUP(AC:AC,'7店'!$B:$B,1,0)</f>
        <v>#N/A</v>
      </c>
      <c r="AL13" s="29" t="s">
        <v>2159</v>
      </c>
      <c r="AM13" s="33">
        <v>181.86</v>
      </c>
      <c r="AN13" s="1">
        <f t="shared" si="0"/>
        <v>1245.741</v>
      </c>
      <c r="AP13" s="29" t="s">
        <v>2172</v>
      </c>
      <c r="AQ13" s="33">
        <v>397.7</v>
      </c>
      <c r="AR13" s="1">
        <f t="shared" si="1"/>
        <v>2724.245</v>
      </c>
      <c r="AT13" s="43" t="s">
        <v>2162</v>
      </c>
      <c r="AU13" s="44">
        <v>1431.7</v>
      </c>
      <c r="AV13" s="35"/>
      <c r="AW13" s="125" t="s">
        <v>2162</v>
      </c>
      <c r="AX13" s="44">
        <v>1918.2</v>
      </c>
      <c r="AZ13" s="128" t="s">
        <v>2677</v>
      </c>
      <c r="BA13" s="106">
        <v>6.677</v>
      </c>
      <c r="BB13" s="1" t="s">
        <v>430</v>
      </c>
    </row>
    <row r="14" s="1" customFormat="1" spans="2:54">
      <c r="B14" t="s">
        <v>2342</v>
      </c>
      <c r="C14">
        <v>10</v>
      </c>
      <c r="D14" s="1" t="str">
        <f>VLOOKUP(B:B,'7店'!$B:$B,1,0)</f>
        <v>Y72612-OR+Y72615+Y72636</v>
      </c>
      <c r="E14" t="s">
        <v>2330</v>
      </c>
      <c r="F14">
        <v>40</v>
      </c>
      <c r="G14" s="1" t="str">
        <f>VLOOKUP(E:E,'7店'!$B:$B,1,0)</f>
        <v>Y7013-BU+Y7021+Y7017</v>
      </c>
      <c r="H14" t="s">
        <v>2339</v>
      </c>
      <c r="I14">
        <v>67</v>
      </c>
      <c r="J14" s="1" t="str">
        <f>VLOOKUP(H:H,'7店'!$B:$B,1,0)</f>
        <v>Y7013-OR+Y7021+Y7017</v>
      </c>
      <c r="K14" t="s">
        <v>2159</v>
      </c>
      <c r="L14">
        <v>8830</v>
      </c>
      <c r="M14">
        <v>84</v>
      </c>
      <c r="N14">
        <v>31.37</v>
      </c>
      <c r="O14">
        <v>77.94</v>
      </c>
      <c r="P14">
        <v>6</v>
      </c>
      <c r="Q14" s="31">
        <v>0.402489094175006</v>
      </c>
      <c r="R14" s="31">
        <v>0.0714285714285714</v>
      </c>
      <c r="S14" s="1" t="str">
        <f>VLOOKUP(K:K,'7店'!$B:$B,1,0)</f>
        <v>Y72611-OR+Y72614+Y72635</v>
      </c>
      <c r="T14" t="s">
        <v>2172</v>
      </c>
      <c r="U14">
        <v>10818</v>
      </c>
      <c r="V14">
        <v>138</v>
      </c>
      <c r="W14">
        <v>46.09</v>
      </c>
      <c r="X14">
        <v>363.72</v>
      </c>
      <c r="Y14">
        <v>28</v>
      </c>
      <c r="Z14" s="31">
        <v>0.126718354778401</v>
      </c>
      <c r="AA14" s="31">
        <v>0.202898550724638</v>
      </c>
      <c r="AB14" s="1" t="str">
        <f>VLOOKUP(T:T,'7店'!$B:$B,1,0)</f>
        <v>Y73475-OR+Y72615+Y73478</v>
      </c>
      <c r="AC14" t="s">
        <v>2206</v>
      </c>
      <c r="AD14">
        <v>1586</v>
      </c>
      <c r="AE14">
        <v>27</v>
      </c>
      <c r="AF14">
        <v>6.71</v>
      </c>
      <c r="AG14">
        <v>25.98</v>
      </c>
      <c r="AH14">
        <v>2</v>
      </c>
      <c r="AI14" s="31">
        <v>0.258275596612779</v>
      </c>
      <c r="AJ14" s="31">
        <v>0.0740740740740741</v>
      </c>
      <c r="AK14" s="1" t="str">
        <f>VLOOKUP(AC:AC,'7店'!$B:$B,1,0)</f>
        <v>Y73106-OR+Y73109+Y73112</v>
      </c>
      <c r="AL14" s="29" t="s">
        <v>2231</v>
      </c>
      <c r="AM14" s="33">
        <v>168.87</v>
      </c>
      <c r="AN14" s="1">
        <f t="shared" si="0"/>
        <v>1156.7595</v>
      </c>
      <c r="AP14" s="29" t="s">
        <v>2154</v>
      </c>
      <c r="AQ14" s="33">
        <v>391.99</v>
      </c>
      <c r="AR14" s="1">
        <f t="shared" si="1"/>
        <v>2685.1315</v>
      </c>
      <c r="AT14" s="43" t="s">
        <v>2164</v>
      </c>
      <c r="AU14" s="44">
        <v>6533</v>
      </c>
      <c r="AV14" s="35"/>
      <c r="AW14" s="125" t="s">
        <v>2164</v>
      </c>
      <c r="AX14" s="44">
        <v>4976.2</v>
      </c>
      <c r="AZ14" s="128" t="s">
        <v>2428</v>
      </c>
      <c r="BA14" s="106">
        <v>6.771</v>
      </c>
      <c r="BB14" s="1" t="s">
        <v>430</v>
      </c>
    </row>
    <row r="15" s="1" customFormat="1" spans="2:54">
      <c r="B15" t="s">
        <v>2373</v>
      </c>
      <c r="C15">
        <v>7</v>
      </c>
      <c r="D15" s="1" t="str">
        <f>VLOOKUP(B:B,'7店'!$B:$B,1,0)</f>
        <v>Y7028-BL+Y7029+Y7030</v>
      </c>
      <c r="E15" t="s">
        <v>2231</v>
      </c>
      <c r="F15">
        <v>22</v>
      </c>
      <c r="G15" s="1" t="str">
        <f>VLOOKUP(E:E,'7店'!$B:$B,1,0)</f>
        <v>Y72454-OR+Y72455+Y72511</v>
      </c>
      <c r="H15" t="s">
        <v>2297</v>
      </c>
      <c r="I15">
        <v>41</v>
      </c>
      <c r="J15" s="1" t="str">
        <f>VLOOKUP(H:H,'7店'!$B:$B,1,0)</f>
        <v>Y7011-BL+Y7019+Y7015</v>
      </c>
      <c r="K15" t="s">
        <v>2151</v>
      </c>
      <c r="L15">
        <v>3</v>
      </c>
      <c r="M15">
        <v>0</v>
      </c>
      <c r="N15">
        <v>0</v>
      </c>
      <c r="O15">
        <v>0</v>
      </c>
      <c r="P15">
        <v>0</v>
      </c>
      <c r="Q15" s="31">
        <v>0</v>
      </c>
      <c r="R15" s="31">
        <v>0</v>
      </c>
      <c r="S15" s="1" t="str">
        <f>VLOOKUP(K:K,'7店'!$B:$B,1,0)</f>
        <v>Y7002-OR+Y7005</v>
      </c>
      <c r="T15" t="s">
        <v>2159</v>
      </c>
      <c r="U15">
        <v>21126</v>
      </c>
      <c r="V15">
        <v>156</v>
      </c>
      <c r="W15">
        <v>58.06</v>
      </c>
      <c r="X15">
        <v>160.87</v>
      </c>
      <c r="Y15">
        <v>13</v>
      </c>
      <c r="Z15" s="31">
        <v>0.360912538074221</v>
      </c>
      <c r="AA15" s="31">
        <v>0.0833333333333333</v>
      </c>
      <c r="AB15" s="1" t="str">
        <f>VLOOKUP(T:T,'7店'!$B:$B,1,0)</f>
        <v>Y72611-OR+Y72614+Y72635</v>
      </c>
      <c r="AC15" t="s">
        <v>2172</v>
      </c>
      <c r="AD15">
        <v>23786</v>
      </c>
      <c r="AE15">
        <v>298</v>
      </c>
      <c r="AF15">
        <v>100.3</v>
      </c>
      <c r="AG15">
        <v>765.09</v>
      </c>
      <c r="AH15">
        <v>58</v>
      </c>
      <c r="AI15" s="31">
        <v>0.131095688088983</v>
      </c>
      <c r="AJ15" s="31">
        <v>0.194630872483221</v>
      </c>
      <c r="AK15" s="1" t="str">
        <f>VLOOKUP(AC:AC,'7店'!$B:$B,1,0)</f>
        <v>Y73475-OR+Y72615+Y73478</v>
      </c>
      <c r="AL15" s="29" t="s">
        <v>2659</v>
      </c>
      <c r="AM15" s="33">
        <v>168.87</v>
      </c>
      <c r="AN15" s="1">
        <f t="shared" si="0"/>
        <v>1156.7595</v>
      </c>
      <c r="AP15" s="29" t="s">
        <v>2632</v>
      </c>
      <c r="AQ15" s="33">
        <v>334.73</v>
      </c>
      <c r="AR15" s="1">
        <f t="shared" si="1"/>
        <v>2292.9005</v>
      </c>
      <c r="AT15" s="43" t="s">
        <v>2166</v>
      </c>
      <c r="AU15" s="44">
        <v>1223.2</v>
      </c>
      <c r="AV15" s="35"/>
      <c r="AW15" s="43" t="s">
        <v>2166</v>
      </c>
      <c r="AX15" s="44">
        <v>889.6</v>
      </c>
      <c r="AZ15" s="128" t="s">
        <v>2678</v>
      </c>
      <c r="BA15" s="106">
        <v>5.649</v>
      </c>
      <c r="BB15" s="1" t="s">
        <v>430</v>
      </c>
    </row>
    <row r="16" s="1" customFormat="1" spans="2:54">
      <c r="B16" t="s">
        <v>2297</v>
      </c>
      <c r="C16">
        <v>11</v>
      </c>
      <c r="D16" s="1" t="str">
        <f>VLOOKUP(B:B,'7店'!$B:$B,1,0)</f>
        <v>Y7011-BL+Y7019+Y7015</v>
      </c>
      <c r="E16" t="s">
        <v>2358</v>
      </c>
      <c r="F16">
        <v>18</v>
      </c>
      <c r="G16" s="1" t="str">
        <f>VLOOKUP(E:E,'7店'!$B:$B,1,0)</f>
        <v>Y7022-OR+Y7024+Y7023</v>
      </c>
      <c r="H16" t="s">
        <v>2352</v>
      </c>
      <c r="I16">
        <v>30</v>
      </c>
      <c r="J16" s="1" t="str">
        <f>VLOOKUP(H:H,'7店'!$B:$B,1,0)</f>
        <v>Y7022-BU+Y7024+Y7023</v>
      </c>
      <c r="K16" t="s">
        <v>2142</v>
      </c>
      <c r="L16">
        <v>0</v>
      </c>
      <c r="M16">
        <v>0</v>
      </c>
      <c r="N16">
        <v>0</v>
      </c>
      <c r="O16">
        <v>0</v>
      </c>
      <c r="P16">
        <v>0</v>
      </c>
      <c r="Q16" s="31">
        <v>0</v>
      </c>
      <c r="R16" s="31">
        <v>0</v>
      </c>
      <c r="S16" s="1" t="str">
        <f>VLOOKUP(K:K,'7店'!$B:$B,1,0)</f>
        <v>Y7002-BB+Y7005</v>
      </c>
      <c r="T16" t="s">
        <v>2151</v>
      </c>
      <c r="U16">
        <v>21</v>
      </c>
      <c r="V16">
        <v>1</v>
      </c>
      <c r="W16">
        <v>0.25</v>
      </c>
      <c r="X16">
        <v>0</v>
      </c>
      <c r="Y16">
        <v>0</v>
      </c>
      <c r="Z16" s="31">
        <v>0</v>
      </c>
      <c r="AA16" s="31">
        <v>0</v>
      </c>
      <c r="AB16" s="1" t="str">
        <f>VLOOKUP(T:T,'7店'!$B:$B,1,0)</f>
        <v>Y7002-OR+Y7005</v>
      </c>
      <c r="AC16" t="s">
        <v>2159</v>
      </c>
      <c r="AD16">
        <v>29446</v>
      </c>
      <c r="AE16">
        <v>233</v>
      </c>
      <c r="AF16">
        <v>88.9</v>
      </c>
      <c r="AG16">
        <v>251.8</v>
      </c>
      <c r="AH16">
        <v>20</v>
      </c>
      <c r="AI16" s="31">
        <v>0.353057982525814</v>
      </c>
      <c r="AJ16" s="31">
        <v>0.0858369098712446</v>
      </c>
      <c r="AK16" s="1" t="str">
        <f>VLOOKUP(AC:AC,'7店'!$B:$B,1,0)</f>
        <v>Y72611-OR+Y72614+Y72635</v>
      </c>
      <c r="AL16" s="29" t="s">
        <v>2333</v>
      </c>
      <c r="AM16" s="33">
        <v>168.87</v>
      </c>
      <c r="AN16" s="1">
        <f t="shared" si="0"/>
        <v>1156.7595</v>
      </c>
      <c r="AP16" s="29" t="s">
        <v>2193</v>
      </c>
      <c r="AQ16" s="33">
        <v>304.77</v>
      </c>
      <c r="AR16" s="1">
        <f t="shared" si="1"/>
        <v>2087.6745</v>
      </c>
      <c r="AT16" s="43" t="s">
        <v>2169</v>
      </c>
      <c r="AU16" s="44">
        <v>1237.1</v>
      </c>
      <c r="AV16" s="35"/>
      <c r="AW16" s="43" t="s">
        <v>2169</v>
      </c>
      <c r="AX16" s="44">
        <v>222.4</v>
      </c>
      <c r="AZ16" s="128" t="s">
        <v>2679</v>
      </c>
      <c r="BA16" s="106">
        <v>5.796</v>
      </c>
      <c r="BB16" s="1" t="s">
        <v>430</v>
      </c>
    </row>
    <row r="17" s="1" customFormat="1" spans="2:54">
      <c r="B17" t="s">
        <v>2225</v>
      </c>
      <c r="C17">
        <v>17</v>
      </c>
      <c r="D17" s="1" t="str">
        <f>VLOOKUP(B:B,'7店'!$B:$B,1,0)</f>
        <v>Y72454-BL+Y72455+Y72511</v>
      </c>
      <c r="E17" t="s">
        <v>2297</v>
      </c>
      <c r="F17">
        <v>23</v>
      </c>
      <c r="G17" s="1" t="str">
        <f>VLOOKUP(E:E,'7店'!$B:$B,1,0)</f>
        <v>Y7011-BL+Y7019+Y7015</v>
      </c>
      <c r="H17" t="s">
        <v>2228</v>
      </c>
      <c r="I17">
        <v>26</v>
      </c>
      <c r="J17" s="1" t="str">
        <f>VLOOKUP(H:H,'7店'!$B:$B,1,0)</f>
        <v>Y72454-DB+Y72455+Y72511</v>
      </c>
      <c r="K17" t="s">
        <v>2148</v>
      </c>
      <c r="L17">
        <v>597</v>
      </c>
      <c r="M17">
        <v>11</v>
      </c>
      <c r="N17">
        <v>3.34</v>
      </c>
      <c r="O17">
        <v>0</v>
      </c>
      <c r="P17">
        <v>0</v>
      </c>
      <c r="Q17" s="31">
        <v>0</v>
      </c>
      <c r="R17" s="31">
        <v>0</v>
      </c>
      <c r="S17" s="1" t="str">
        <f>VLOOKUP(K:K,'7店'!$B:$B,1,0)</f>
        <v>Y7002-DB+Y7005</v>
      </c>
      <c r="T17" t="s">
        <v>2142</v>
      </c>
      <c r="U17">
        <v>1</v>
      </c>
      <c r="V17">
        <v>0</v>
      </c>
      <c r="W17">
        <v>0</v>
      </c>
      <c r="X17">
        <v>0</v>
      </c>
      <c r="Y17">
        <v>0</v>
      </c>
      <c r="Z17" s="31">
        <v>0</v>
      </c>
      <c r="AA17" s="31">
        <v>0</v>
      </c>
      <c r="AB17" s="1" t="str">
        <f>VLOOKUP(T:T,'7店'!$B:$B,1,0)</f>
        <v>Y7002-BB+Y7005</v>
      </c>
      <c r="AC17" t="s">
        <v>2151</v>
      </c>
      <c r="AD17">
        <v>110</v>
      </c>
      <c r="AE17">
        <v>5</v>
      </c>
      <c r="AF17">
        <v>1.25</v>
      </c>
      <c r="AG17">
        <v>0</v>
      </c>
      <c r="AH17">
        <v>0</v>
      </c>
      <c r="AI17" s="31">
        <v>0</v>
      </c>
      <c r="AJ17" s="31">
        <v>0</v>
      </c>
      <c r="AK17" s="1" t="str">
        <f>VLOOKUP(AC:AC,'7店'!$B:$B,1,0)</f>
        <v>Y7002-OR+Y7005</v>
      </c>
      <c r="AL17" s="29" t="s">
        <v>2193</v>
      </c>
      <c r="AM17" s="33">
        <v>142.89</v>
      </c>
      <c r="AN17" s="1">
        <f t="shared" si="0"/>
        <v>978.7965</v>
      </c>
      <c r="AP17" s="29" t="s">
        <v>2159</v>
      </c>
      <c r="AQ17" s="33">
        <v>298.77</v>
      </c>
      <c r="AR17" s="1">
        <f t="shared" si="1"/>
        <v>2046.5745</v>
      </c>
      <c r="AT17" s="43" t="s">
        <v>2172</v>
      </c>
      <c r="AU17" s="44">
        <v>2001.6</v>
      </c>
      <c r="AV17" s="35"/>
      <c r="AW17" s="43" t="s">
        <v>2172</v>
      </c>
      <c r="AX17" s="44">
        <v>792.3</v>
      </c>
      <c r="AZ17" s="128" t="s">
        <v>2680</v>
      </c>
      <c r="BA17" s="106">
        <v>5.649</v>
      </c>
      <c r="BB17" s="1" t="s">
        <v>430</v>
      </c>
    </row>
    <row r="18" s="1" customFormat="1" spans="2:54">
      <c r="B18" t="s">
        <v>2231</v>
      </c>
      <c r="C18">
        <v>13</v>
      </c>
      <c r="D18" s="1" t="str">
        <f>VLOOKUP(B:B,'7店'!$B:$B,1,0)</f>
        <v>Y72454-OR+Y72455+Y72511</v>
      </c>
      <c r="E18" t="s">
        <v>2373</v>
      </c>
      <c r="F18">
        <v>19</v>
      </c>
      <c r="G18" s="1" t="str">
        <f>VLOOKUP(E:E,'7店'!$B:$B,1,0)</f>
        <v>Y7028-BL+Y7029+Y7030</v>
      </c>
      <c r="H18" t="s">
        <v>2330</v>
      </c>
      <c r="I18">
        <v>72</v>
      </c>
      <c r="J18" s="1" t="str">
        <f>VLOOKUP(H:H,'7店'!$B:$B,1,0)</f>
        <v>Y7013-BU+Y7021+Y7017</v>
      </c>
      <c r="K18" t="s">
        <v>2220</v>
      </c>
      <c r="L18">
        <v>810</v>
      </c>
      <c r="M18">
        <v>4</v>
      </c>
      <c r="N18">
        <v>2</v>
      </c>
      <c r="O18">
        <v>0</v>
      </c>
      <c r="P18">
        <v>0</v>
      </c>
      <c r="Q18" s="31">
        <v>0</v>
      </c>
      <c r="R18" s="31">
        <v>0</v>
      </c>
      <c r="S18" s="1" t="str">
        <f>VLOOKUP(K:K,'7店'!$B:$B,1,0)</f>
        <v>Y73040-DB+Y73045+Y73063</v>
      </c>
      <c r="T18" t="s">
        <v>2148</v>
      </c>
      <c r="U18">
        <v>1329</v>
      </c>
      <c r="V18">
        <v>23</v>
      </c>
      <c r="W18">
        <v>7.16</v>
      </c>
      <c r="X18">
        <v>23.65</v>
      </c>
      <c r="Y18">
        <v>2</v>
      </c>
      <c r="Z18" s="31">
        <v>0.302748414376321</v>
      </c>
      <c r="AA18" s="31">
        <v>0.0869565217391304</v>
      </c>
      <c r="AB18" s="1" t="str">
        <f>VLOOKUP(T:T,'7店'!$B:$B,1,0)</f>
        <v>Y7002-DB+Y7005</v>
      </c>
      <c r="AC18" t="s">
        <v>2142</v>
      </c>
      <c r="AD18">
        <v>5</v>
      </c>
      <c r="AE18">
        <v>0</v>
      </c>
      <c r="AF18">
        <v>0</v>
      </c>
      <c r="AG18">
        <v>0</v>
      </c>
      <c r="AH18">
        <v>0</v>
      </c>
      <c r="AI18" s="31">
        <v>0</v>
      </c>
      <c r="AJ18" s="31">
        <v>0</v>
      </c>
      <c r="AK18" s="1" t="str">
        <f>VLOOKUP(AC:AC,'7店'!$B:$B,1,0)</f>
        <v>Y7002-BB+Y7005</v>
      </c>
      <c r="AL18" s="29" t="s">
        <v>2154</v>
      </c>
      <c r="AM18" s="33">
        <v>188.15</v>
      </c>
      <c r="AN18" s="1">
        <f t="shared" si="0"/>
        <v>1288.8275</v>
      </c>
      <c r="AP18" s="29" t="s">
        <v>2297</v>
      </c>
      <c r="AQ18" s="33">
        <v>292.77</v>
      </c>
      <c r="AR18" s="1">
        <f t="shared" si="1"/>
        <v>2005.4745</v>
      </c>
      <c r="AT18" s="43" t="s">
        <v>2175</v>
      </c>
      <c r="AU18" s="44">
        <v>27.8</v>
      </c>
      <c r="AV18" s="35"/>
      <c r="AW18" s="43" t="s">
        <v>2175</v>
      </c>
      <c r="AX18" s="44">
        <v>222.4</v>
      </c>
      <c r="AZ18" s="128" t="s">
        <v>2681</v>
      </c>
      <c r="BA18" s="106">
        <v>5.516</v>
      </c>
      <c r="BB18" s="1" t="s">
        <v>430</v>
      </c>
    </row>
    <row r="19" s="1" customFormat="1" spans="2:54">
      <c r="B19" t="s">
        <v>2172</v>
      </c>
      <c r="C19">
        <v>17</v>
      </c>
      <c r="D19" s="1" t="str">
        <f>VLOOKUP(B:B,'7店'!$B:$B,1,0)</f>
        <v>Y73475-OR+Y72615+Y73478</v>
      </c>
      <c r="E19" t="s">
        <v>2385</v>
      </c>
      <c r="F19">
        <v>7</v>
      </c>
      <c r="G19" s="1" t="str">
        <f>VLOOKUP(E:E,'7店'!$B:$B,1,0)</f>
        <v>Y7031-BL+Y7032</v>
      </c>
      <c r="H19" t="s">
        <v>2358</v>
      </c>
      <c r="I19">
        <v>44</v>
      </c>
      <c r="J19" s="1" t="str">
        <f>VLOOKUP(H:H,'7店'!$B:$B,1,0)</f>
        <v>Y7022-OR+Y7024+Y7023</v>
      </c>
      <c r="K19" t="s">
        <v>2223</v>
      </c>
      <c r="L19">
        <v>536</v>
      </c>
      <c r="M19">
        <v>6</v>
      </c>
      <c r="N19">
        <v>1.91</v>
      </c>
      <c r="O19">
        <v>12.99</v>
      </c>
      <c r="P19">
        <v>1</v>
      </c>
      <c r="Q19" s="31">
        <v>0.147036181678214</v>
      </c>
      <c r="R19" s="31">
        <v>0.166666666666667</v>
      </c>
      <c r="S19" s="1" t="str">
        <f>VLOOKUP(K:K,'7店'!$B:$B,1,0)</f>
        <v>Y73040-OR+Y73045+Y73063</v>
      </c>
      <c r="T19" t="s">
        <v>2220</v>
      </c>
      <c r="U19">
        <v>2114</v>
      </c>
      <c r="V19">
        <v>18</v>
      </c>
      <c r="W19">
        <v>7.88</v>
      </c>
      <c r="X19">
        <v>21.98</v>
      </c>
      <c r="Y19">
        <v>2</v>
      </c>
      <c r="Z19" s="31">
        <v>0.358507734303913</v>
      </c>
      <c r="AA19" s="31">
        <v>0.111111111111111</v>
      </c>
      <c r="AB19" s="1" t="str">
        <f>VLOOKUP(T:T,'7店'!$B:$B,1,0)</f>
        <v>Y73040-DB+Y73045+Y73063</v>
      </c>
      <c r="AC19" t="s">
        <v>2148</v>
      </c>
      <c r="AD19">
        <v>2423</v>
      </c>
      <c r="AE19">
        <v>40</v>
      </c>
      <c r="AF19">
        <v>13.13</v>
      </c>
      <c r="AG19">
        <v>23.65</v>
      </c>
      <c r="AH19">
        <v>2</v>
      </c>
      <c r="AI19" s="31">
        <v>0.555179704016913</v>
      </c>
      <c r="AJ19" s="31">
        <v>0.05</v>
      </c>
      <c r="AK19" s="1" t="str">
        <f>VLOOKUP(AC:AC,'7店'!$B:$B,1,0)</f>
        <v>Y7002-DB+Y7005</v>
      </c>
      <c r="AL19" s="29" t="s">
        <v>2285</v>
      </c>
      <c r="AM19" s="33">
        <v>142.89</v>
      </c>
      <c r="AN19" s="1">
        <f t="shared" si="0"/>
        <v>978.7965</v>
      </c>
      <c r="AP19" s="29" t="s">
        <v>2231</v>
      </c>
      <c r="AQ19" s="33">
        <v>272.46</v>
      </c>
      <c r="AR19" s="1">
        <f t="shared" si="1"/>
        <v>1866.351</v>
      </c>
      <c r="AT19" s="43" t="s">
        <v>2178</v>
      </c>
      <c r="AU19" s="44">
        <v>97.3</v>
      </c>
      <c r="AV19" s="35"/>
      <c r="AW19" s="43" t="s">
        <v>2178</v>
      </c>
      <c r="AX19" s="44">
        <v>125.1</v>
      </c>
      <c r="AZ19" s="128" t="s">
        <v>2682</v>
      </c>
      <c r="BA19" s="106">
        <v>6.329</v>
      </c>
      <c r="BB19" s="1" t="s">
        <v>430</v>
      </c>
    </row>
    <row r="20" s="1" customFormat="1" spans="2:54">
      <c r="B20" t="s">
        <v>2166</v>
      </c>
      <c r="C20">
        <v>9</v>
      </c>
      <c r="D20" s="1" t="str">
        <f>VLOOKUP(B:B,'7店'!$B:$B,1,0)</f>
        <v>Y73475-DB+Y72615+Y73478</v>
      </c>
      <c r="E20" t="s">
        <v>2197</v>
      </c>
      <c r="F20">
        <v>17</v>
      </c>
      <c r="G20" s="1" t="str">
        <f>VLOOKUP(E:E,'7店'!$B:$B,1,0)</f>
        <v>Y72648-OR+Y72649+Y72381</v>
      </c>
      <c r="H20" t="s">
        <v>2172</v>
      </c>
      <c r="I20">
        <v>55</v>
      </c>
      <c r="J20" s="1" t="str">
        <f>VLOOKUP(H:H,'7店'!$B:$B,1,0)</f>
        <v>Y73475-OR+Y72615+Y73478</v>
      </c>
      <c r="K20" t="s">
        <v>2240</v>
      </c>
      <c r="L20">
        <v>968</v>
      </c>
      <c r="M20">
        <v>12</v>
      </c>
      <c r="N20">
        <v>3.65</v>
      </c>
      <c r="O20">
        <v>0</v>
      </c>
      <c r="P20">
        <v>0</v>
      </c>
      <c r="Q20" s="31">
        <v>0</v>
      </c>
      <c r="R20" s="31">
        <v>0</v>
      </c>
      <c r="S20" s="1" t="str">
        <f>VLOOKUP(K:K,'7店'!$B:$B,1,0)</f>
        <v>Y73452-OR+Y73456+Y73457</v>
      </c>
      <c r="T20" t="s">
        <v>2223</v>
      </c>
      <c r="U20">
        <v>973</v>
      </c>
      <c r="V20">
        <v>13</v>
      </c>
      <c r="W20">
        <v>4.19</v>
      </c>
      <c r="X20">
        <v>12.99</v>
      </c>
      <c r="Y20">
        <v>1</v>
      </c>
      <c r="Z20" s="31">
        <v>0.322555812163203</v>
      </c>
      <c r="AA20" s="31">
        <v>0.0769230769230769</v>
      </c>
      <c r="AB20" s="1" t="str">
        <f>VLOOKUP(T:T,'7店'!$B:$B,1,0)</f>
        <v>Y73040-OR+Y73045+Y73063</v>
      </c>
      <c r="AC20" t="s">
        <v>2220</v>
      </c>
      <c r="AD20">
        <v>4360</v>
      </c>
      <c r="AE20">
        <v>40</v>
      </c>
      <c r="AF20">
        <v>18.05</v>
      </c>
      <c r="AG20">
        <v>47.96</v>
      </c>
      <c r="AH20">
        <v>4</v>
      </c>
      <c r="AI20" s="31">
        <v>0.376355296080067</v>
      </c>
      <c r="AJ20" s="31">
        <v>0.1</v>
      </c>
      <c r="AK20" s="1" t="str">
        <f>VLOOKUP(AC:AC,'7店'!$B:$B,1,0)</f>
        <v>Y73040-DB+Y73045+Y73063</v>
      </c>
      <c r="AL20" s="29" t="s">
        <v>2297</v>
      </c>
      <c r="AM20" s="33">
        <v>142.89</v>
      </c>
      <c r="AN20" s="1">
        <f t="shared" si="0"/>
        <v>978.7965</v>
      </c>
      <c r="AP20" s="29" t="s">
        <v>2285</v>
      </c>
      <c r="AQ20" s="33">
        <v>266.79</v>
      </c>
      <c r="AR20" s="1">
        <f t="shared" si="1"/>
        <v>1827.5115</v>
      </c>
      <c r="AT20" s="43" t="s">
        <v>2683</v>
      </c>
      <c r="AU20" s="44">
        <v>0</v>
      </c>
      <c r="AV20" s="35"/>
      <c r="AW20" s="43" t="s">
        <v>2683</v>
      </c>
      <c r="AX20" s="44">
        <v>125.1</v>
      </c>
      <c r="AZ20" s="128" t="s">
        <v>2684</v>
      </c>
      <c r="BA20" s="106">
        <v>6.41</v>
      </c>
      <c r="BB20" s="1" t="s">
        <v>430</v>
      </c>
    </row>
    <row r="21" s="1" customFormat="1" spans="2:54">
      <c r="B21" t="s">
        <v>2315</v>
      </c>
      <c r="C21">
        <v>6</v>
      </c>
      <c r="D21" s="1" t="str">
        <f>VLOOKUP(B:B,'7店'!$B:$B,1,0)</f>
        <v>Y7012-BU+Y7020+Y7016</v>
      </c>
      <c r="E21" t="s">
        <v>2225</v>
      </c>
      <c r="F21">
        <v>34</v>
      </c>
      <c r="G21" s="1" t="str">
        <f>VLOOKUP(E:E,'7店'!$B:$B,1,0)</f>
        <v>Y72454-BL+Y72455+Y72511</v>
      </c>
      <c r="H21" t="s">
        <v>2315</v>
      </c>
      <c r="I21">
        <v>39</v>
      </c>
      <c r="J21" s="1" t="str">
        <f>VLOOKUP(H:H,'7店'!$B:$B,1,0)</f>
        <v>Y7012-BU+Y7020+Y7016</v>
      </c>
      <c r="K21" t="s">
        <v>2252</v>
      </c>
      <c r="L21">
        <v>589</v>
      </c>
      <c r="M21">
        <v>1</v>
      </c>
      <c r="N21">
        <v>0.22</v>
      </c>
      <c r="O21">
        <v>0</v>
      </c>
      <c r="P21">
        <v>0</v>
      </c>
      <c r="Q21" s="31">
        <v>0</v>
      </c>
      <c r="R21" s="31">
        <v>0</v>
      </c>
      <c r="S21" s="1" t="str">
        <f>VLOOKUP(K:K,'7店'!$B:$B,1,0)</f>
        <v>Y73405-BL+Y73406+Y73397</v>
      </c>
      <c r="T21" t="s">
        <v>2240</v>
      </c>
      <c r="U21">
        <v>1362</v>
      </c>
      <c r="V21">
        <v>19</v>
      </c>
      <c r="W21">
        <v>5.02</v>
      </c>
      <c r="X21">
        <v>12.99</v>
      </c>
      <c r="Y21">
        <v>1</v>
      </c>
      <c r="Z21" s="31">
        <v>0.386451116243264</v>
      </c>
      <c r="AA21" s="31">
        <v>0.0526315789473684</v>
      </c>
      <c r="AB21" s="1" t="str">
        <f>VLOOKUP(T:T,'7店'!$B:$B,1,0)</f>
        <v>Y73452-OR+Y73456+Y73457</v>
      </c>
      <c r="AC21" t="s">
        <v>2223</v>
      </c>
      <c r="AD21">
        <v>1755</v>
      </c>
      <c r="AE21">
        <v>21</v>
      </c>
      <c r="AF21">
        <v>6.57</v>
      </c>
      <c r="AG21">
        <v>12.99</v>
      </c>
      <c r="AH21">
        <v>1</v>
      </c>
      <c r="AI21" s="31">
        <v>0.505773672055427</v>
      </c>
      <c r="AJ21" s="31">
        <v>0.0476190476190476</v>
      </c>
      <c r="AK21" s="1" t="str">
        <f>VLOOKUP(AC:AC,'7店'!$B:$B,1,0)</f>
        <v>Y73040-OR+Y73045+Y73063</v>
      </c>
      <c r="AL21" s="29" t="s">
        <v>2339</v>
      </c>
      <c r="AM21" s="33">
        <v>142.89</v>
      </c>
      <c r="AN21" s="1">
        <f t="shared" si="0"/>
        <v>978.7965</v>
      </c>
      <c r="AP21" s="29" t="s">
        <v>2641</v>
      </c>
      <c r="AQ21" s="33">
        <v>264.79</v>
      </c>
      <c r="AR21" s="1">
        <f t="shared" si="1"/>
        <v>1813.8115</v>
      </c>
      <c r="AT21" s="43" t="s">
        <v>2181</v>
      </c>
      <c r="AU21" s="44">
        <v>194.6</v>
      </c>
      <c r="AV21" s="35"/>
      <c r="AW21" s="43" t="s">
        <v>2181</v>
      </c>
      <c r="AX21" s="44">
        <v>208.5</v>
      </c>
      <c r="AZ21" s="128" t="s">
        <v>2675</v>
      </c>
      <c r="BA21" s="106">
        <v>5.663</v>
      </c>
      <c r="BB21" s="1" t="s">
        <v>430</v>
      </c>
    </row>
    <row r="22" s="1" customFormat="1" spans="2:54">
      <c r="B22" t="s">
        <v>2358</v>
      </c>
      <c r="C22">
        <v>10</v>
      </c>
      <c r="D22" s="1" t="str">
        <f>VLOOKUP(B:B,'7店'!$B:$B,1,0)</f>
        <v>Y7022-OR+Y7024+Y7023</v>
      </c>
      <c r="E22" t="s">
        <v>2172</v>
      </c>
      <c r="F22">
        <v>32</v>
      </c>
      <c r="G22" s="1" t="str">
        <f>VLOOKUP(E:E,'7店'!$B:$B,1,0)</f>
        <v>Y73475-OR+Y72615+Y73478</v>
      </c>
      <c r="H22" t="s">
        <v>2197</v>
      </c>
      <c r="I22">
        <v>37</v>
      </c>
      <c r="J22" s="1" t="str">
        <f>VLOOKUP(H:H,'7店'!$B:$B,1,0)</f>
        <v>Y72648-OR+Y72649+Y72381</v>
      </c>
      <c r="K22" t="s">
        <v>2249</v>
      </c>
      <c r="L22">
        <v>3301</v>
      </c>
      <c r="M22">
        <v>41</v>
      </c>
      <c r="N22">
        <v>14.56</v>
      </c>
      <c r="O22">
        <v>123.2</v>
      </c>
      <c r="P22">
        <v>6</v>
      </c>
      <c r="Q22" s="31">
        <v>0.118181818181818</v>
      </c>
      <c r="R22" s="31">
        <v>0.146341463414634</v>
      </c>
      <c r="S22" s="1" t="str">
        <f>VLOOKUP(K:K,'7店'!$B:$B,1,0)</f>
        <v>Y73189-OR+Y73190+Y73270</v>
      </c>
      <c r="T22" t="s">
        <v>2252</v>
      </c>
      <c r="U22">
        <v>2009</v>
      </c>
      <c r="V22">
        <v>6</v>
      </c>
      <c r="W22">
        <v>2.57</v>
      </c>
      <c r="X22">
        <v>0</v>
      </c>
      <c r="Y22">
        <v>0</v>
      </c>
      <c r="Z22" s="31">
        <v>0</v>
      </c>
      <c r="AA22" s="31">
        <v>0</v>
      </c>
      <c r="AB22" s="1" t="str">
        <f>VLOOKUP(T:T,'7店'!$B:$B,1,0)</f>
        <v>Y73405-BL+Y73406+Y73397</v>
      </c>
      <c r="AC22" t="s">
        <v>2240</v>
      </c>
      <c r="AD22">
        <v>1817</v>
      </c>
      <c r="AE22">
        <v>27</v>
      </c>
      <c r="AF22">
        <v>6.94</v>
      </c>
      <c r="AG22">
        <v>12.99</v>
      </c>
      <c r="AH22">
        <v>1</v>
      </c>
      <c r="AI22" s="31">
        <v>0.534257120862202</v>
      </c>
      <c r="AJ22" s="31">
        <v>0.037037037037037</v>
      </c>
      <c r="AK22" s="1" t="str">
        <f>VLOOKUP(AC:AC,'7店'!$B:$B,1,0)</f>
        <v>Y73452-OR+Y73456+Y73457</v>
      </c>
      <c r="AL22" s="29" t="s">
        <v>2632</v>
      </c>
      <c r="AM22" s="33">
        <v>142.89</v>
      </c>
      <c r="AN22" s="1">
        <f t="shared" si="0"/>
        <v>978.7965</v>
      </c>
      <c r="AP22" s="29" t="s">
        <v>2333</v>
      </c>
      <c r="AQ22" s="33">
        <v>270.79</v>
      </c>
      <c r="AR22" s="1">
        <f t="shared" si="1"/>
        <v>1854.9115</v>
      </c>
      <c r="AT22" s="43" t="s">
        <v>2184</v>
      </c>
      <c r="AU22" s="44">
        <v>55.6</v>
      </c>
      <c r="AV22" s="35"/>
      <c r="AW22" s="43" t="s">
        <v>2184</v>
      </c>
      <c r="AX22" s="44">
        <v>333.6</v>
      </c>
      <c r="AZ22" s="128" t="s">
        <v>2685</v>
      </c>
      <c r="BA22" s="106">
        <v>6.384</v>
      </c>
      <c r="BB22" s="1" t="s">
        <v>430</v>
      </c>
    </row>
    <row r="23" s="1" customFormat="1" spans="2:54">
      <c r="B23" t="s">
        <v>2197</v>
      </c>
      <c r="C23">
        <v>9</v>
      </c>
      <c r="D23" s="1" t="str">
        <f>VLOOKUP(B:B,'7店'!$B:$B,1,0)</f>
        <v>Y72648-OR+Y72649+Y72381</v>
      </c>
      <c r="E23" t="s">
        <v>2228</v>
      </c>
      <c r="F23">
        <v>7</v>
      </c>
      <c r="G23" s="1" t="str">
        <f>VLOOKUP(E:E,'7店'!$B:$B,1,0)</f>
        <v>Y72454-DB+Y72455+Y72511</v>
      </c>
      <c r="H23" t="s">
        <v>2159</v>
      </c>
      <c r="I23">
        <v>35</v>
      </c>
      <c r="J23" s="1" t="str">
        <f>VLOOKUP(H:H,'7店'!$B:$B,1,0)</f>
        <v>Y72611-OR+Y72614+Y72635</v>
      </c>
      <c r="K23" t="s">
        <v>2254</v>
      </c>
      <c r="L23">
        <v>11</v>
      </c>
      <c r="M23">
        <v>0</v>
      </c>
      <c r="N23">
        <v>0</v>
      </c>
      <c r="O23">
        <v>0</v>
      </c>
      <c r="P23">
        <v>0</v>
      </c>
      <c r="Q23" s="31">
        <v>0</v>
      </c>
      <c r="R23" s="31">
        <v>0</v>
      </c>
      <c r="S23" s="1" t="str">
        <f>VLOOKUP(K:K,'7店'!$B:$B,1,0)</f>
        <v>Y73405-DB+Y73406+Y73397</v>
      </c>
      <c r="T23" t="s">
        <v>2249</v>
      </c>
      <c r="U23">
        <v>7328</v>
      </c>
      <c r="V23">
        <v>89</v>
      </c>
      <c r="W23">
        <v>32.79</v>
      </c>
      <c r="X23">
        <v>285.06</v>
      </c>
      <c r="Y23">
        <v>14</v>
      </c>
      <c r="Z23" s="31">
        <v>0.115028415070511</v>
      </c>
      <c r="AA23" s="31">
        <v>0.157303370786517</v>
      </c>
      <c r="AB23" s="1" t="str">
        <f>VLOOKUP(T:T,'7店'!$B:$B,1,0)</f>
        <v>Y73189-OR+Y73190+Y73270</v>
      </c>
      <c r="AC23" t="s">
        <v>2252</v>
      </c>
      <c r="AD23">
        <v>3679</v>
      </c>
      <c r="AE23">
        <v>10</v>
      </c>
      <c r="AF23">
        <v>4.67</v>
      </c>
      <c r="AG23">
        <v>0</v>
      </c>
      <c r="AH23">
        <v>0</v>
      </c>
      <c r="AI23" s="31">
        <v>0</v>
      </c>
      <c r="AJ23" s="31">
        <v>0</v>
      </c>
      <c r="AK23" s="1" t="str">
        <f>VLOOKUP(AC:AC,'7店'!$B:$B,1,0)</f>
        <v>Y73405-BL+Y73406+Y73397</v>
      </c>
      <c r="AL23" s="29" t="s">
        <v>2342</v>
      </c>
      <c r="AM23" s="33">
        <v>129.9</v>
      </c>
      <c r="AN23" s="1">
        <f t="shared" si="0"/>
        <v>889.815</v>
      </c>
      <c r="AP23" s="29" t="s">
        <v>2342</v>
      </c>
      <c r="AQ23" s="33">
        <v>244.48</v>
      </c>
      <c r="AR23" s="1">
        <f t="shared" si="1"/>
        <v>1674.688</v>
      </c>
      <c r="AT23" s="43" t="s">
        <v>2187</v>
      </c>
      <c r="AU23" s="44">
        <v>1376.1</v>
      </c>
      <c r="AV23" s="35"/>
      <c r="AW23" s="43" t="s">
        <v>2187</v>
      </c>
      <c r="AX23" s="44">
        <v>152.9</v>
      </c>
      <c r="AZ23" s="128" t="s">
        <v>2686</v>
      </c>
      <c r="BA23" s="106">
        <v>6.329</v>
      </c>
      <c r="BB23" s="1" t="s">
        <v>430</v>
      </c>
    </row>
    <row r="24" s="1" customFormat="1" spans="2:54">
      <c r="B24" t="s">
        <v>2285</v>
      </c>
      <c r="C24">
        <v>11</v>
      </c>
      <c r="D24" s="1" t="str">
        <f>VLOOKUP(B:B,'7店'!$B:$B,1,0)</f>
        <v>Y7010-BU+Y7018+Y7014</v>
      </c>
      <c r="E24" t="s">
        <v>2315</v>
      </c>
      <c r="F24">
        <v>16</v>
      </c>
      <c r="G24" s="1" t="str">
        <f>VLOOKUP(E:E,'7店'!$B:$B,1,0)</f>
        <v>Y7012-BU+Y7020+Y7016</v>
      </c>
      <c r="H24" t="s">
        <v>2157</v>
      </c>
      <c r="I24">
        <v>18</v>
      </c>
      <c r="J24" s="1" t="str">
        <f>VLOOKUP(H:H,'7店'!$B:$B,1,0)</f>
        <v>Y72611-DB+Y72614+Y72635</v>
      </c>
      <c r="K24" t="s">
        <v>2297</v>
      </c>
      <c r="L24">
        <v>797</v>
      </c>
      <c r="M24">
        <v>9</v>
      </c>
      <c r="N24">
        <v>3.91</v>
      </c>
      <c r="O24">
        <v>12.99</v>
      </c>
      <c r="P24">
        <v>1</v>
      </c>
      <c r="Q24" s="31">
        <v>0.301000769822941</v>
      </c>
      <c r="R24" s="31">
        <v>0.111111111111111</v>
      </c>
      <c r="S24" s="1" t="str">
        <f>VLOOKUP(K:K,'7店'!$B:$B,1,0)</f>
        <v>Y7011-BL+Y7019+Y7015</v>
      </c>
      <c r="T24" t="s">
        <v>2243</v>
      </c>
      <c r="U24">
        <v>1993</v>
      </c>
      <c r="V24">
        <v>30</v>
      </c>
      <c r="W24">
        <v>6.75</v>
      </c>
      <c r="X24">
        <v>34.97</v>
      </c>
      <c r="Y24">
        <v>3</v>
      </c>
      <c r="Z24" s="31">
        <v>0.193022590792108</v>
      </c>
      <c r="AA24" s="31">
        <v>0.1</v>
      </c>
      <c r="AB24" s="1" t="str">
        <f>VLOOKUP(T:T,'7店'!$B:$B,1,0)</f>
        <v>Y73189-BL+Y73190+Y73270</v>
      </c>
      <c r="AC24" t="s">
        <v>2249</v>
      </c>
      <c r="AD24">
        <v>13032</v>
      </c>
      <c r="AE24">
        <v>137</v>
      </c>
      <c r="AF24">
        <v>50.36</v>
      </c>
      <c r="AG24">
        <v>375.99</v>
      </c>
      <c r="AH24">
        <v>21</v>
      </c>
      <c r="AI24" s="31">
        <v>0.133939732439693</v>
      </c>
      <c r="AJ24" s="31">
        <v>0.153284671532847</v>
      </c>
      <c r="AK24" s="1" t="str">
        <f>VLOOKUP(AC:AC,'7店'!$B:$B,1,0)</f>
        <v>Y73189-OR+Y73190+Y73270</v>
      </c>
      <c r="AL24" s="29" t="s">
        <v>2358</v>
      </c>
      <c r="AM24" s="33">
        <v>129.9</v>
      </c>
      <c r="AN24" s="1">
        <f t="shared" si="0"/>
        <v>889.815</v>
      </c>
      <c r="AP24" s="29" t="s">
        <v>2602</v>
      </c>
      <c r="AQ24" s="33">
        <v>249.81</v>
      </c>
      <c r="AR24" s="1">
        <f t="shared" si="1"/>
        <v>1711.1985</v>
      </c>
      <c r="AT24" s="43" t="s">
        <v>2190</v>
      </c>
      <c r="AU24" s="44">
        <v>1014.7</v>
      </c>
      <c r="AV24" s="35"/>
      <c r="AW24" s="43" t="s">
        <v>2190</v>
      </c>
      <c r="AX24" s="44">
        <v>681.1</v>
      </c>
      <c r="AZ24" s="128" t="s">
        <v>2687</v>
      </c>
      <c r="BA24" s="106">
        <v>6.384</v>
      </c>
      <c r="BB24" s="1" t="s">
        <v>430</v>
      </c>
    </row>
    <row r="25" s="1" customFormat="1" spans="2:54">
      <c r="B25" t="s">
        <v>2228</v>
      </c>
      <c r="C25">
        <v>6</v>
      </c>
      <c r="D25" s="1" t="str">
        <f>VLOOKUP(B:B,'7店'!$B:$B,1,0)</f>
        <v>Y72454-DB+Y72455+Y72511</v>
      </c>
      <c r="E25" t="s">
        <v>2282</v>
      </c>
      <c r="F25">
        <v>90</v>
      </c>
      <c r="G25" s="1" t="str">
        <f>VLOOKUP(E:E,'7店'!$B:$B,1,0)</f>
        <v>Y7010-BL+Y7018+Y7014</v>
      </c>
      <c r="H25" t="s">
        <v>2282</v>
      </c>
      <c r="I25">
        <v>102</v>
      </c>
      <c r="J25" s="1" t="str">
        <f>VLOOKUP(H:H,'7店'!$B:$B,1,0)</f>
        <v>Y7010-BL+Y7018+Y7014</v>
      </c>
      <c r="K25" t="s">
        <v>2324</v>
      </c>
      <c r="L25">
        <v>79</v>
      </c>
      <c r="M25">
        <v>1</v>
      </c>
      <c r="N25">
        <v>0.4</v>
      </c>
      <c r="O25">
        <v>0</v>
      </c>
      <c r="P25">
        <v>0</v>
      </c>
      <c r="Q25" s="31">
        <v>0</v>
      </c>
      <c r="R25" s="31">
        <v>0</v>
      </c>
      <c r="S25" s="1" t="str">
        <f>VLOOKUP(K:K,'7店'!$B:$B,1,0)</f>
        <v>Y7012-OR+Y7020+Y7016</v>
      </c>
      <c r="T25" t="s">
        <v>2254</v>
      </c>
      <c r="U25">
        <v>2966</v>
      </c>
      <c r="V25">
        <v>13</v>
      </c>
      <c r="W25">
        <v>4.25</v>
      </c>
      <c r="X25">
        <v>56.95</v>
      </c>
      <c r="Y25">
        <v>3</v>
      </c>
      <c r="Z25" s="31">
        <v>0.0746268656716418</v>
      </c>
      <c r="AA25" s="31">
        <v>0.230769230769231</v>
      </c>
      <c r="AB25" s="1" t="str">
        <f>VLOOKUP(T:T,'7店'!$B:$B,1,0)</f>
        <v>Y73405-DB+Y73406+Y73397</v>
      </c>
      <c r="AC25" t="s">
        <v>2243</v>
      </c>
      <c r="AD25">
        <v>3311</v>
      </c>
      <c r="AE25">
        <v>42</v>
      </c>
      <c r="AF25">
        <v>9.26</v>
      </c>
      <c r="AG25">
        <v>73.94</v>
      </c>
      <c r="AH25">
        <v>6</v>
      </c>
      <c r="AI25" s="31">
        <v>0.125236678387882</v>
      </c>
      <c r="AJ25" s="31">
        <v>0.142857142857143</v>
      </c>
      <c r="AK25" s="1" t="str">
        <f>VLOOKUP(AC:AC,'7店'!$B:$B,1,0)</f>
        <v>Y73189-BL+Y73190+Y73270</v>
      </c>
      <c r="AL25" s="29" t="s">
        <v>2197</v>
      </c>
      <c r="AM25" s="33">
        <v>116.91</v>
      </c>
      <c r="AN25" s="1">
        <f t="shared" si="0"/>
        <v>800.8335</v>
      </c>
      <c r="AP25" s="29" t="s">
        <v>2358</v>
      </c>
      <c r="AQ25" s="33">
        <v>225.82</v>
      </c>
      <c r="AR25" s="1">
        <f t="shared" si="1"/>
        <v>1546.867</v>
      </c>
      <c r="AT25" s="43" t="s">
        <v>2193</v>
      </c>
      <c r="AU25" s="44">
        <v>1334.4</v>
      </c>
      <c r="AV25" s="35"/>
      <c r="AW25" s="43" t="s">
        <v>2193</v>
      </c>
      <c r="AX25" s="44">
        <v>778.4</v>
      </c>
      <c r="AZ25" s="128" t="s">
        <v>2217</v>
      </c>
      <c r="BA25" s="106">
        <v>6.607</v>
      </c>
      <c r="BB25" s="1" t="s">
        <v>430</v>
      </c>
    </row>
    <row r="26" s="1" customFormat="1" spans="2:54">
      <c r="B26" t="s">
        <v>2195</v>
      </c>
      <c r="C26">
        <v>3</v>
      </c>
      <c r="D26" s="1" t="str">
        <f>VLOOKUP(B:B,'7店'!$B:$B,1,0)</f>
        <v>Y72648-NB+Y72649+Y72381</v>
      </c>
      <c r="E26" t="s">
        <v>2355</v>
      </c>
      <c r="F26">
        <v>8</v>
      </c>
      <c r="G26" s="1" t="str">
        <f>VLOOKUP(E:E,'7店'!$B:$B,1,0)</f>
        <v>Y7022-DB+Y7024+Y7023</v>
      </c>
      <c r="H26" t="s">
        <v>2285</v>
      </c>
      <c r="I26">
        <v>47</v>
      </c>
      <c r="J26" s="1" t="str">
        <f>VLOOKUP(H:H,'7店'!$B:$B,1,0)</f>
        <v>Y7010-BU+Y7018+Y7014</v>
      </c>
      <c r="K26" t="s">
        <v>2339</v>
      </c>
      <c r="L26">
        <v>131</v>
      </c>
      <c r="M26">
        <v>5</v>
      </c>
      <c r="N26">
        <v>1.84</v>
      </c>
      <c r="O26">
        <v>0</v>
      </c>
      <c r="P26">
        <v>0</v>
      </c>
      <c r="Q26" s="31">
        <v>0</v>
      </c>
      <c r="R26" s="31">
        <v>0</v>
      </c>
      <c r="S26" s="1" t="str">
        <f>VLOOKUP(K:K,'7店'!$B:$B,1,0)</f>
        <v>Y7013-OR+Y7021+Y7017</v>
      </c>
      <c r="T26" t="s">
        <v>2688</v>
      </c>
      <c r="U26">
        <v>491</v>
      </c>
      <c r="V26">
        <v>5</v>
      </c>
      <c r="W26">
        <v>1.41</v>
      </c>
      <c r="X26">
        <v>0</v>
      </c>
      <c r="Y26">
        <v>0</v>
      </c>
      <c r="Z26" s="31">
        <v>0</v>
      </c>
      <c r="AA26" s="31">
        <v>0</v>
      </c>
      <c r="AB26" s="1" t="e">
        <f>VLOOKUP(T:T,'7店'!$B:$B,1,0)</f>
        <v>#N/A</v>
      </c>
      <c r="AC26" t="s">
        <v>2254</v>
      </c>
      <c r="AD26">
        <v>7868</v>
      </c>
      <c r="AE26">
        <v>39</v>
      </c>
      <c r="AF26">
        <v>13.15</v>
      </c>
      <c r="AG26">
        <v>69.94</v>
      </c>
      <c r="AH26">
        <v>4</v>
      </c>
      <c r="AI26" s="31">
        <v>0.188018301401201</v>
      </c>
      <c r="AJ26" s="31">
        <v>0.102564102564103</v>
      </c>
      <c r="AK26" s="1" t="str">
        <f>VLOOKUP(AC:AC,'7店'!$B:$B,1,0)</f>
        <v>Y73405-DB+Y73406+Y73397</v>
      </c>
      <c r="AL26" s="29" t="s">
        <v>2279</v>
      </c>
      <c r="AM26" s="33">
        <v>116.58</v>
      </c>
      <c r="AN26" s="1">
        <f t="shared" si="0"/>
        <v>798.573</v>
      </c>
      <c r="AP26" s="29" t="s">
        <v>2197</v>
      </c>
      <c r="AQ26" s="33">
        <v>205.84</v>
      </c>
      <c r="AR26" s="1">
        <f t="shared" si="1"/>
        <v>1410.004</v>
      </c>
      <c r="AT26" s="43" t="s">
        <v>2195</v>
      </c>
      <c r="AU26" s="44">
        <v>458.7</v>
      </c>
      <c r="AV26" s="35"/>
      <c r="AW26" s="43" t="s">
        <v>2195</v>
      </c>
      <c r="AX26" s="44">
        <v>931.3</v>
      </c>
      <c r="AZ26" s="128" t="s">
        <v>2220</v>
      </c>
      <c r="BA26" s="106">
        <v>6.551</v>
      </c>
      <c r="BB26" s="1" t="s">
        <v>430</v>
      </c>
    </row>
    <row r="27" s="1" customFormat="1" spans="2:54">
      <c r="B27" t="s">
        <v>2324</v>
      </c>
      <c r="C27">
        <v>6</v>
      </c>
      <c r="D27" s="1" t="str">
        <f>VLOOKUP(B:B,'7店'!$B:$B,1,0)</f>
        <v>Y7012-OR+Y7020+Y7016</v>
      </c>
      <c r="E27" t="s">
        <v>2159</v>
      </c>
      <c r="F27">
        <v>23</v>
      </c>
      <c r="G27" s="1" t="str">
        <f>VLOOKUP(E:E,'7店'!$B:$B,1,0)</f>
        <v>Y72611-OR+Y72614+Y72635</v>
      </c>
      <c r="H27" t="s">
        <v>2193</v>
      </c>
      <c r="I27">
        <v>58</v>
      </c>
      <c r="J27" s="1" t="str">
        <f>VLOOKUP(H:H,'7店'!$B:$B,1,0)</f>
        <v>Y72648-BL+Y72649+Y72381</v>
      </c>
      <c r="K27" t="s">
        <v>2327</v>
      </c>
      <c r="L27">
        <v>13118</v>
      </c>
      <c r="M27">
        <v>209</v>
      </c>
      <c r="N27">
        <v>74.86</v>
      </c>
      <c r="O27">
        <v>415.35</v>
      </c>
      <c r="P27">
        <v>32</v>
      </c>
      <c r="Q27" s="31">
        <v>0.180233537980017</v>
      </c>
      <c r="R27" s="31">
        <v>0.15311004784689</v>
      </c>
      <c r="S27" s="1" t="str">
        <f>VLOOKUP(K:K,'7店'!$B:$B,1,0)</f>
        <v>Y7013-BL+Y7021+Y7017</v>
      </c>
      <c r="T27" t="s">
        <v>2297</v>
      </c>
      <c r="U27">
        <v>796</v>
      </c>
      <c r="V27">
        <v>9</v>
      </c>
      <c r="W27">
        <v>3.91</v>
      </c>
      <c r="X27">
        <v>12.99</v>
      </c>
      <c r="Y27">
        <v>1</v>
      </c>
      <c r="Z27" s="31">
        <v>0.301000769822941</v>
      </c>
      <c r="AA27" s="31">
        <v>0.111111111111111</v>
      </c>
      <c r="AB27" s="1" t="str">
        <f>VLOOKUP(T:T,'7店'!$B:$B,1,0)</f>
        <v>Y7011-BL+Y7019+Y7015</v>
      </c>
      <c r="AC27" t="s">
        <v>2688</v>
      </c>
      <c r="AD27">
        <v>1651</v>
      </c>
      <c r="AE27">
        <v>18</v>
      </c>
      <c r="AF27">
        <v>4.3</v>
      </c>
      <c r="AG27">
        <v>38.97</v>
      </c>
      <c r="AH27">
        <v>3</v>
      </c>
      <c r="AI27" s="31">
        <v>0.110341288170387</v>
      </c>
      <c r="AJ27" s="31">
        <v>0.166666666666667</v>
      </c>
      <c r="AK27" s="1" t="e">
        <f>VLOOKUP(AC:AC,'7店'!$B:$B,1,0)</f>
        <v>#N/A</v>
      </c>
      <c r="AL27" s="29" t="s">
        <v>2166</v>
      </c>
      <c r="AM27" s="33">
        <v>116.91</v>
      </c>
      <c r="AN27" s="1">
        <f t="shared" si="0"/>
        <v>800.8335</v>
      </c>
      <c r="AP27" s="29" t="s">
        <v>2315</v>
      </c>
      <c r="AQ27" s="33">
        <v>212.84</v>
      </c>
      <c r="AR27" s="1">
        <f t="shared" si="1"/>
        <v>1457.954</v>
      </c>
      <c r="AT27" s="43" t="s">
        <v>2197</v>
      </c>
      <c r="AU27" s="44">
        <v>2182.3</v>
      </c>
      <c r="AV27" s="35"/>
      <c r="AW27" s="43" t="s">
        <v>2197</v>
      </c>
      <c r="AX27" s="44">
        <v>2668.8</v>
      </c>
      <c r="AZ27" s="128" t="s">
        <v>2223</v>
      </c>
      <c r="BA27" s="106">
        <v>6.5</v>
      </c>
      <c r="BB27" s="1" t="s">
        <v>430</v>
      </c>
    </row>
    <row r="28" s="1" customFormat="1" spans="2:54">
      <c r="B28" t="s">
        <v>2157</v>
      </c>
      <c r="C28">
        <v>5</v>
      </c>
      <c r="D28" s="1" t="str">
        <f>VLOOKUP(B:B,'7店'!$B:$B,1,0)</f>
        <v>Y72611-DB+Y72614+Y72635</v>
      </c>
      <c r="E28" t="s">
        <v>2285</v>
      </c>
      <c r="F28">
        <v>21</v>
      </c>
      <c r="G28" s="1" t="str">
        <f>VLOOKUP(E:E,'7店'!$B:$B,1,0)</f>
        <v>Y7010-BU+Y7018+Y7014</v>
      </c>
      <c r="H28" t="s">
        <v>2166</v>
      </c>
      <c r="I28">
        <v>28</v>
      </c>
      <c r="J28" s="1" t="str">
        <f>VLOOKUP(H:H,'7店'!$B:$B,1,0)</f>
        <v>Y73475-DB+Y72615+Y73478</v>
      </c>
      <c r="K28" t="s">
        <v>2279</v>
      </c>
      <c r="L28">
        <v>13</v>
      </c>
      <c r="M28">
        <v>0</v>
      </c>
      <c r="N28">
        <v>0</v>
      </c>
      <c r="O28">
        <v>0</v>
      </c>
      <c r="P28">
        <v>0</v>
      </c>
      <c r="Q28" s="31">
        <v>0</v>
      </c>
      <c r="R28" s="31">
        <v>0</v>
      </c>
      <c r="S28" s="1" t="str">
        <f>VLOOKUP(K:K,'7店'!$B:$B,1,0)</f>
        <v>Y72612-DB+Y72615+Y72636</v>
      </c>
      <c r="T28" t="s">
        <v>2324</v>
      </c>
      <c r="U28">
        <v>162</v>
      </c>
      <c r="V28">
        <v>3</v>
      </c>
      <c r="W28">
        <v>1.2</v>
      </c>
      <c r="X28">
        <v>0</v>
      </c>
      <c r="Y28">
        <v>0</v>
      </c>
      <c r="Z28" s="31">
        <v>0</v>
      </c>
      <c r="AA28" s="31">
        <v>0</v>
      </c>
      <c r="AB28" s="1" t="str">
        <f>VLOOKUP(T:T,'7店'!$B:$B,1,0)</f>
        <v>Y7012-OR+Y7020+Y7016</v>
      </c>
      <c r="AC28" t="s">
        <v>2297</v>
      </c>
      <c r="AD28">
        <v>800</v>
      </c>
      <c r="AE28">
        <v>9</v>
      </c>
      <c r="AF28">
        <v>3.91</v>
      </c>
      <c r="AG28">
        <v>12.99</v>
      </c>
      <c r="AH28">
        <v>1</v>
      </c>
      <c r="AI28" s="31">
        <v>0.301000769822941</v>
      </c>
      <c r="AJ28" s="31">
        <v>0.111111111111111</v>
      </c>
      <c r="AK28" s="1" t="str">
        <f>VLOOKUP(AC:AC,'7店'!$B:$B,1,0)</f>
        <v>Y7011-BL+Y7019+Y7015</v>
      </c>
      <c r="AL28" s="29" t="s">
        <v>2641</v>
      </c>
      <c r="AM28" s="33">
        <v>116.91</v>
      </c>
      <c r="AN28" s="1">
        <f t="shared" si="0"/>
        <v>800.8335</v>
      </c>
      <c r="AP28" s="29" t="s">
        <v>2352</v>
      </c>
      <c r="AQ28" s="33">
        <v>190.85</v>
      </c>
      <c r="AR28" s="1">
        <f t="shared" si="1"/>
        <v>1307.3225</v>
      </c>
      <c r="AT28" s="43" t="s">
        <v>2200</v>
      </c>
      <c r="AU28" s="44">
        <v>27.8</v>
      </c>
      <c r="AV28" s="35"/>
      <c r="AW28" s="43" t="s">
        <v>2200</v>
      </c>
      <c r="AX28" s="44">
        <v>69.5</v>
      </c>
      <c r="AZ28" s="128" t="s">
        <v>2689</v>
      </c>
      <c r="BA28" s="106">
        <v>6.607</v>
      </c>
      <c r="BB28" s="1" t="s">
        <v>430</v>
      </c>
    </row>
    <row r="29" s="1" customFormat="1" spans="2:54">
      <c r="B29" t="s">
        <v>2169</v>
      </c>
      <c r="C29">
        <v>5</v>
      </c>
      <c r="D29" s="1" t="str">
        <f>VLOOKUP(B:B,'7店'!$B:$B,1,0)</f>
        <v>Y73475-GR+Y72615+Y73478</v>
      </c>
      <c r="E29" t="s">
        <v>2157</v>
      </c>
      <c r="F29">
        <v>9</v>
      </c>
      <c r="G29" s="1" t="str">
        <f>VLOOKUP(E:E,'7店'!$B:$B,1,0)</f>
        <v>Y72611-DB+Y72614+Y72635</v>
      </c>
      <c r="H29" t="s">
        <v>2333</v>
      </c>
      <c r="I29">
        <v>41</v>
      </c>
      <c r="J29" s="1" t="str">
        <f>VLOOKUP(H:H,'7店'!$B:$B,1,0)</f>
        <v>Y7013-DB+Y7021+Y7017</v>
      </c>
      <c r="K29" t="s">
        <v>2315</v>
      </c>
      <c r="L29">
        <v>7110</v>
      </c>
      <c r="M29">
        <v>52</v>
      </c>
      <c r="N29">
        <v>19.82</v>
      </c>
      <c r="O29">
        <v>90.93</v>
      </c>
      <c r="P29">
        <v>7</v>
      </c>
      <c r="Q29" s="31">
        <v>0.217969866930606</v>
      </c>
      <c r="R29" s="31">
        <v>0.134615384615385</v>
      </c>
      <c r="S29" s="1" t="str">
        <f>VLOOKUP(K:K,'7店'!$B:$B,1,0)</f>
        <v>Y7012-BU+Y7020+Y7016</v>
      </c>
      <c r="T29" t="s">
        <v>2339</v>
      </c>
      <c r="U29">
        <v>8581</v>
      </c>
      <c r="V29">
        <v>119</v>
      </c>
      <c r="W29">
        <v>40.82</v>
      </c>
      <c r="X29">
        <v>195.85</v>
      </c>
      <c r="Y29">
        <v>14</v>
      </c>
      <c r="Z29" s="31">
        <v>0.208424814909369</v>
      </c>
      <c r="AA29" s="31">
        <v>0.117647058823529</v>
      </c>
      <c r="AB29" s="1" t="str">
        <f>VLOOKUP(T:T,'7店'!$B:$B,1,0)</f>
        <v>Y7013-OR+Y7021+Y7017</v>
      </c>
      <c r="AC29" t="s">
        <v>2324</v>
      </c>
      <c r="AD29">
        <v>492</v>
      </c>
      <c r="AE29">
        <v>9</v>
      </c>
      <c r="AF29">
        <v>3.4</v>
      </c>
      <c r="AG29">
        <v>0</v>
      </c>
      <c r="AH29">
        <v>0</v>
      </c>
      <c r="AI29" s="31">
        <v>0</v>
      </c>
      <c r="AJ29" s="31">
        <v>0</v>
      </c>
      <c r="AK29" s="1" t="str">
        <f>VLOOKUP(AC:AC,'7店'!$B:$B,1,0)</f>
        <v>Y7012-OR+Y7020+Y7016</v>
      </c>
      <c r="AL29" s="29" t="s">
        <v>2662</v>
      </c>
      <c r="AM29" s="33">
        <v>103.92</v>
      </c>
      <c r="AN29" s="1">
        <f t="shared" si="0"/>
        <v>711.852</v>
      </c>
      <c r="AP29" s="29" t="s">
        <v>2243</v>
      </c>
      <c r="AQ29" s="33">
        <v>251.47</v>
      </c>
      <c r="AR29" s="1">
        <f t="shared" si="1"/>
        <v>1722.5695</v>
      </c>
      <c r="AT29" s="43" t="s">
        <v>2203</v>
      </c>
      <c r="AU29" s="44">
        <v>139</v>
      </c>
      <c r="AV29" s="35"/>
      <c r="AW29" s="43" t="s">
        <v>2203</v>
      </c>
      <c r="AX29" s="44">
        <v>347.5</v>
      </c>
      <c r="AZ29" s="128" t="s">
        <v>2690</v>
      </c>
      <c r="BA29" s="106">
        <v>4.622</v>
      </c>
      <c r="BB29" s="1" t="s">
        <v>430</v>
      </c>
    </row>
    <row r="30" s="1" customFormat="1" spans="2:54">
      <c r="B30" t="s">
        <v>2336</v>
      </c>
      <c r="C30">
        <v>4</v>
      </c>
      <c r="D30" s="1" t="str">
        <f>VLOOKUP(B:B,'7店'!$B:$B,1,0)</f>
        <v>Y7013-GE+Y7021+Y7017</v>
      </c>
      <c r="E30" t="s">
        <v>2193</v>
      </c>
      <c r="F30">
        <v>23</v>
      </c>
      <c r="G30" s="1" t="str">
        <f>VLOOKUP(E:E,'7店'!$B:$B,1,0)</f>
        <v>Y72648-BL+Y72649+Y72381</v>
      </c>
      <c r="H30" t="s">
        <v>2373</v>
      </c>
      <c r="I30">
        <v>29</v>
      </c>
      <c r="J30" s="1" t="str">
        <f>VLOOKUP(H:H,'7店'!$B:$B,1,0)</f>
        <v>Y7028-BL+Y7029+Y7030</v>
      </c>
      <c r="K30" t="s">
        <v>2271</v>
      </c>
      <c r="L30">
        <v>369</v>
      </c>
      <c r="M30">
        <v>5</v>
      </c>
      <c r="N30">
        <v>1.93</v>
      </c>
      <c r="O30">
        <v>12.99</v>
      </c>
      <c r="P30">
        <v>1</v>
      </c>
      <c r="Q30" s="31">
        <v>0.148575827559661</v>
      </c>
      <c r="R30" s="31">
        <v>0.2</v>
      </c>
      <c r="S30" s="1" t="str">
        <f>VLOOKUP(K:K,'7店'!$B:$B,1,0)</f>
        <v>Y72563-BL+Y72564+Y72571</v>
      </c>
      <c r="T30" t="s">
        <v>2327</v>
      </c>
      <c r="U30">
        <v>24797</v>
      </c>
      <c r="V30">
        <v>400</v>
      </c>
      <c r="W30">
        <v>147.95</v>
      </c>
      <c r="X30">
        <v>739.1</v>
      </c>
      <c r="Y30">
        <v>55</v>
      </c>
      <c r="Z30" s="31">
        <v>0.200175889595454</v>
      </c>
      <c r="AA30" s="31">
        <v>0.1375</v>
      </c>
      <c r="AB30" s="1" t="str">
        <f>VLOOKUP(T:T,'7店'!$B:$B,1,0)</f>
        <v>Y7013-BL+Y7021+Y7017</v>
      </c>
      <c r="AC30" t="s">
        <v>2309</v>
      </c>
      <c r="AD30">
        <v>20</v>
      </c>
      <c r="AE30">
        <v>0</v>
      </c>
      <c r="AF30">
        <v>0</v>
      </c>
      <c r="AG30">
        <v>0</v>
      </c>
      <c r="AH30">
        <v>0</v>
      </c>
      <c r="AI30" s="31">
        <v>0</v>
      </c>
      <c r="AJ30" s="31">
        <v>0</v>
      </c>
      <c r="AK30" s="1" t="str">
        <f>VLOOKUP(AC:AC,'7店'!$B:$B,1,0)</f>
        <v>Y7011-OR+Y7019+Y7015</v>
      </c>
      <c r="AL30" s="29" t="s">
        <v>2187</v>
      </c>
      <c r="AM30" s="33">
        <v>103.92</v>
      </c>
      <c r="AN30" s="1">
        <f t="shared" si="0"/>
        <v>711.852</v>
      </c>
      <c r="AP30" s="29" t="s">
        <v>2166</v>
      </c>
      <c r="AQ30" s="33">
        <v>177.86</v>
      </c>
      <c r="AR30" s="1">
        <f t="shared" si="1"/>
        <v>1218.341</v>
      </c>
      <c r="AT30" s="43" t="s">
        <v>2206</v>
      </c>
      <c r="AU30" s="44">
        <v>139</v>
      </c>
      <c r="AV30" s="35"/>
      <c r="AW30" s="43" t="s">
        <v>2206</v>
      </c>
      <c r="AX30" s="44">
        <v>69.5</v>
      </c>
      <c r="AZ30" s="128" t="s">
        <v>2494</v>
      </c>
      <c r="BA30" s="106">
        <v>6.702</v>
      </c>
      <c r="BB30" s="1" t="s">
        <v>430</v>
      </c>
    </row>
    <row r="31" s="1" customFormat="1" spans="2:54">
      <c r="B31" t="s">
        <v>2193</v>
      </c>
      <c r="C31">
        <v>11</v>
      </c>
      <c r="D31" s="1" t="str">
        <f>VLOOKUP(B:B,'7店'!$B:$B,1,0)</f>
        <v>Y72648-BL+Y72649+Y72381</v>
      </c>
      <c r="E31" t="s">
        <v>2166</v>
      </c>
      <c r="F31">
        <v>14</v>
      </c>
      <c r="G31" s="1" t="str">
        <f>VLOOKUP(E:E,'7店'!$B:$B,1,0)</f>
        <v>Y73475-DB+Y72615+Y73478</v>
      </c>
      <c r="H31" t="s">
        <v>2385</v>
      </c>
      <c r="I31">
        <v>14</v>
      </c>
      <c r="J31" s="1" t="str">
        <f>VLOOKUP(H:H,'7店'!$B:$B,1,0)</f>
        <v>Y7031-BL+Y7032</v>
      </c>
      <c r="K31" t="s">
        <v>2342</v>
      </c>
      <c r="L31">
        <v>7679</v>
      </c>
      <c r="M31">
        <v>101</v>
      </c>
      <c r="N31">
        <v>46.2</v>
      </c>
      <c r="O31">
        <v>220.5</v>
      </c>
      <c r="P31">
        <v>17</v>
      </c>
      <c r="Q31" s="31">
        <v>0.20952380952381</v>
      </c>
      <c r="R31" s="31">
        <v>0.168316831683168</v>
      </c>
      <c r="S31" s="1" t="str">
        <f>VLOOKUP(K:K,'7店'!$B:$B,1,0)</f>
        <v>Y72612-OR+Y72615+Y72636</v>
      </c>
      <c r="T31" t="s">
        <v>2279</v>
      </c>
      <c r="U31">
        <v>25</v>
      </c>
      <c r="V31">
        <v>1</v>
      </c>
      <c r="W31">
        <v>0.33</v>
      </c>
      <c r="X31">
        <v>0</v>
      </c>
      <c r="Y31">
        <v>0</v>
      </c>
      <c r="Z31" s="31">
        <v>0</v>
      </c>
      <c r="AA31" s="31">
        <v>0</v>
      </c>
      <c r="AB31" s="1" t="str">
        <f>VLOOKUP(T:T,'7店'!$B:$B,1,0)</f>
        <v>Y72612-DB+Y72615+Y72636</v>
      </c>
      <c r="AC31" t="s">
        <v>2339</v>
      </c>
      <c r="AD31">
        <v>21324</v>
      </c>
      <c r="AE31">
        <v>325</v>
      </c>
      <c r="AF31">
        <v>114.93</v>
      </c>
      <c r="AG31">
        <v>572.56</v>
      </c>
      <c r="AH31">
        <v>43</v>
      </c>
      <c r="AI31" s="31">
        <v>0.200730054492106</v>
      </c>
      <c r="AJ31" s="31">
        <v>0.132307692307692</v>
      </c>
      <c r="AK31" s="1" t="str">
        <f>VLOOKUP(AC:AC,'7店'!$B:$B,1,0)</f>
        <v>Y7013-OR+Y7021+Y7017</v>
      </c>
      <c r="AL31" s="29" t="s">
        <v>2243</v>
      </c>
      <c r="AM31" s="33">
        <v>102.6</v>
      </c>
      <c r="AN31" s="1">
        <f t="shared" si="0"/>
        <v>702.81</v>
      </c>
      <c r="AP31" s="29" t="s">
        <v>2575</v>
      </c>
      <c r="AQ31" s="33">
        <v>179.2</v>
      </c>
      <c r="AR31" s="1">
        <f t="shared" si="1"/>
        <v>1227.52</v>
      </c>
      <c r="AT31" s="43" t="s">
        <v>2209</v>
      </c>
      <c r="AU31" s="44">
        <v>250.2</v>
      </c>
      <c r="AV31" s="35"/>
      <c r="AW31" s="43" t="s">
        <v>2209</v>
      </c>
      <c r="AX31" s="44">
        <v>278</v>
      </c>
      <c r="AZ31" s="128" t="s">
        <v>2691</v>
      </c>
      <c r="BA31" s="106">
        <v>4.622</v>
      </c>
      <c r="BB31" s="1" t="s">
        <v>430</v>
      </c>
    </row>
    <row r="32" s="1" customFormat="1" spans="2:54">
      <c r="B32" t="s">
        <v>2190</v>
      </c>
      <c r="C32">
        <v>5</v>
      </c>
      <c r="D32" s="1" t="str">
        <f>VLOOKUP(B:B,'7店'!$B:$B,1,0)</f>
        <v>Y72488-OR+Y72490+Y72380</v>
      </c>
      <c r="E32" t="s">
        <v>2271</v>
      </c>
      <c r="F32">
        <v>14</v>
      </c>
      <c r="G32" s="1" t="str">
        <f>VLOOKUP(E:E,'7店'!$B:$B,1,0)</f>
        <v>Y72563-BL+Y72564+Y72571</v>
      </c>
      <c r="H32" t="s">
        <v>2187</v>
      </c>
      <c r="I32">
        <v>22</v>
      </c>
      <c r="J32" s="1" t="str">
        <f>VLOOKUP(H:H,'7店'!$B:$B,1,0)</f>
        <v>Y72488-DB+Y72490+Y72380</v>
      </c>
      <c r="K32" t="s">
        <v>2300</v>
      </c>
      <c r="L32">
        <v>1222</v>
      </c>
      <c r="M32">
        <v>12</v>
      </c>
      <c r="N32">
        <v>4.65</v>
      </c>
      <c r="O32">
        <v>0</v>
      </c>
      <c r="P32">
        <v>0</v>
      </c>
      <c r="Q32" s="31">
        <v>0</v>
      </c>
      <c r="R32" s="31">
        <v>0</v>
      </c>
      <c r="S32" s="1" t="str">
        <f>VLOOKUP(K:K,'7店'!$B:$B,1,0)</f>
        <v>Y7011-BU+Y7019+Y7015</v>
      </c>
      <c r="T32" t="s">
        <v>2282</v>
      </c>
      <c r="U32">
        <v>621</v>
      </c>
      <c r="V32">
        <v>4</v>
      </c>
      <c r="W32">
        <v>1.11</v>
      </c>
      <c r="X32">
        <v>0</v>
      </c>
      <c r="Y32">
        <v>0</v>
      </c>
      <c r="Z32" s="31">
        <v>0</v>
      </c>
      <c r="AA32" s="31">
        <v>0</v>
      </c>
      <c r="AB32" s="1" t="str">
        <f>VLOOKUP(T:T,'7店'!$B:$B,1,0)</f>
        <v>Y7010-BL+Y7018+Y7014</v>
      </c>
      <c r="AC32" t="s">
        <v>2327</v>
      </c>
      <c r="AD32">
        <v>52279</v>
      </c>
      <c r="AE32">
        <v>772</v>
      </c>
      <c r="AF32">
        <v>298.37</v>
      </c>
      <c r="AG32">
        <v>1492.19</v>
      </c>
      <c r="AH32">
        <v>112</v>
      </c>
      <c r="AI32" s="31">
        <v>0.19995442939572</v>
      </c>
      <c r="AJ32" s="31">
        <v>0.145077720207254</v>
      </c>
      <c r="AK32" s="1" t="str">
        <f>VLOOKUP(AC:AC,'7店'!$B:$B,1,0)</f>
        <v>Y7013-BL+Y7021+Y7017</v>
      </c>
      <c r="AL32" s="29" t="s">
        <v>2312</v>
      </c>
      <c r="AM32" s="33">
        <v>90.93</v>
      </c>
      <c r="AN32" s="1">
        <f t="shared" si="0"/>
        <v>622.8705</v>
      </c>
      <c r="AP32" s="29" t="s">
        <v>2611</v>
      </c>
      <c r="AQ32" s="33">
        <v>175.86</v>
      </c>
      <c r="AR32" s="1">
        <f t="shared" si="1"/>
        <v>1204.641</v>
      </c>
      <c r="AT32" s="43" t="s">
        <v>2211</v>
      </c>
      <c r="AU32" s="44">
        <v>194.6</v>
      </c>
      <c r="AV32" s="35"/>
      <c r="AW32" s="43" t="s">
        <v>2211</v>
      </c>
      <c r="AX32" s="44">
        <v>250.2</v>
      </c>
      <c r="AZ32" s="128" t="s">
        <v>2692</v>
      </c>
      <c r="BA32" s="106">
        <v>6.616</v>
      </c>
      <c r="BB32" s="1" t="s">
        <v>430</v>
      </c>
    </row>
    <row r="33" s="1" customFormat="1" spans="2:54">
      <c r="B33" t="s">
        <v>2318</v>
      </c>
      <c r="C33">
        <v>1</v>
      </c>
      <c r="D33" s="1" t="str">
        <f>VLOOKUP(B:B,'7店'!$B:$B,1,0)</f>
        <v>Y7012-DB+Y7020+Y7016</v>
      </c>
      <c r="E33" t="s">
        <v>2187</v>
      </c>
      <c r="F33">
        <v>14</v>
      </c>
      <c r="G33" s="1" t="str">
        <f>VLOOKUP(E:E,'7店'!$B:$B,1,0)</f>
        <v>Y72488-DB+Y72490+Y72380</v>
      </c>
      <c r="H33" t="s">
        <v>2190</v>
      </c>
      <c r="I33">
        <v>30</v>
      </c>
      <c r="J33" s="1" t="str">
        <f>VLOOKUP(H:H,'7店'!$B:$B,1,0)</f>
        <v>Y72488-OR+Y72490+Y72380</v>
      </c>
      <c r="K33" t="s">
        <v>2285</v>
      </c>
      <c r="L33">
        <v>4304</v>
      </c>
      <c r="M33">
        <v>46</v>
      </c>
      <c r="N33">
        <v>21.08</v>
      </c>
      <c r="O33">
        <v>168.87</v>
      </c>
      <c r="P33">
        <v>12</v>
      </c>
      <c r="Q33" s="31">
        <v>0.124829750695801</v>
      </c>
      <c r="R33" s="31">
        <v>0.260869565217391</v>
      </c>
      <c r="S33" s="1" t="str">
        <f>VLOOKUP(K:K,'7店'!$B:$B,1,0)</f>
        <v>Y7010-BU+Y7018+Y7014</v>
      </c>
      <c r="T33" t="s">
        <v>2315</v>
      </c>
      <c r="U33">
        <v>13971</v>
      </c>
      <c r="V33">
        <v>106</v>
      </c>
      <c r="W33">
        <v>40.27</v>
      </c>
      <c r="X33">
        <v>216.83</v>
      </c>
      <c r="Y33">
        <v>17</v>
      </c>
      <c r="Z33" s="31">
        <v>0.185721532998201</v>
      </c>
      <c r="AA33" s="31">
        <v>0.160377358490566</v>
      </c>
      <c r="AB33" s="1" t="str">
        <f>VLOOKUP(T:T,'7店'!$B:$B,1,0)</f>
        <v>Y7012-BU+Y7020+Y7016</v>
      </c>
      <c r="AC33" t="s">
        <v>2279</v>
      </c>
      <c r="AD33">
        <v>55</v>
      </c>
      <c r="AE33">
        <v>1</v>
      </c>
      <c r="AF33">
        <v>0.33</v>
      </c>
      <c r="AG33">
        <v>0</v>
      </c>
      <c r="AH33">
        <v>0</v>
      </c>
      <c r="AI33" s="31">
        <v>0</v>
      </c>
      <c r="AJ33" s="31">
        <v>0</v>
      </c>
      <c r="AK33" s="1" t="str">
        <f>VLOOKUP(AC:AC,'7店'!$B:$B,1,0)</f>
        <v>Y72612-DB+Y72615+Y72636</v>
      </c>
      <c r="AL33" s="29" t="s">
        <v>2352</v>
      </c>
      <c r="AM33" s="33">
        <v>90.93</v>
      </c>
      <c r="AN33" s="1">
        <f t="shared" si="0"/>
        <v>622.8705</v>
      </c>
      <c r="AP33" s="29" t="s">
        <v>2187</v>
      </c>
      <c r="AQ33" s="33">
        <v>181.86</v>
      </c>
      <c r="AR33" s="1">
        <f t="shared" si="1"/>
        <v>1245.741</v>
      </c>
      <c r="AT33" s="43" t="s">
        <v>2214</v>
      </c>
      <c r="AU33" s="44">
        <v>125.1</v>
      </c>
      <c r="AV33" s="35"/>
      <c r="AW33" s="43" t="s">
        <v>2214</v>
      </c>
      <c r="AX33" s="44">
        <v>236.3</v>
      </c>
      <c r="AZ33" s="128" t="s">
        <v>2693</v>
      </c>
      <c r="BA33" s="106">
        <v>6.655</v>
      </c>
      <c r="BB33" s="1" t="s">
        <v>430</v>
      </c>
    </row>
    <row r="34" spans="2:54">
      <c r="B34" t="s">
        <v>2184</v>
      </c>
      <c r="C34">
        <v>5</v>
      </c>
      <c r="D34" s="1" t="str">
        <f>VLOOKUP(B:B,'7店'!$B:$B,1,0)</f>
        <v>Y72488-BL+Y72490+Y72380</v>
      </c>
      <c r="E34" t="s">
        <v>2324</v>
      </c>
      <c r="F34">
        <v>12</v>
      </c>
      <c r="G34" s="1" t="str">
        <f>VLOOKUP(E:E,'7店'!$B:$B,1,0)</f>
        <v>Y7012-OR+Y7020+Y7016</v>
      </c>
      <c r="H34" t="s">
        <v>2271</v>
      </c>
      <c r="I34">
        <v>19</v>
      </c>
      <c r="J34" s="1" t="str">
        <f>VLOOKUP(H:H,'7店'!$B:$B,1,0)</f>
        <v>Y72563-BL+Y72564+Y72571</v>
      </c>
      <c r="K34" t="s">
        <v>2276</v>
      </c>
      <c r="L34">
        <v>16</v>
      </c>
      <c r="M34">
        <v>0</v>
      </c>
      <c r="N34">
        <v>0</v>
      </c>
      <c r="O34">
        <v>0</v>
      </c>
      <c r="P34">
        <v>0</v>
      </c>
      <c r="Q34" s="31">
        <v>0</v>
      </c>
      <c r="R34" s="31">
        <v>0</v>
      </c>
      <c r="S34" s="1" t="str">
        <f>VLOOKUP(K:K,'7店'!$B:$B,1,0)</f>
        <v>Y72612-BL+Y72615+Y72636</v>
      </c>
      <c r="T34" t="s">
        <v>2271</v>
      </c>
      <c r="U34">
        <v>2515</v>
      </c>
      <c r="V34">
        <v>17</v>
      </c>
      <c r="W34">
        <v>6.77</v>
      </c>
      <c r="X34">
        <v>75.94</v>
      </c>
      <c r="Y34">
        <v>6</v>
      </c>
      <c r="Z34" s="31">
        <v>0.0891493284171715</v>
      </c>
      <c r="AA34" s="31">
        <v>0.352941176470588</v>
      </c>
      <c r="AB34" s="1" t="str">
        <f>VLOOKUP(T:T,'7店'!$B:$B,1,0)</f>
        <v>Y72563-BL+Y72564+Y72571</v>
      </c>
      <c r="AC34" t="s">
        <v>2282</v>
      </c>
      <c r="AD34">
        <v>914</v>
      </c>
      <c r="AE34">
        <v>7</v>
      </c>
      <c r="AF34">
        <v>1.74</v>
      </c>
      <c r="AG34">
        <v>12.99</v>
      </c>
      <c r="AH34">
        <v>1</v>
      </c>
      <c r="AI34" s="31">
        <v>0.133949191685912</v>
      </c>
      <c r="AJ34" s="31">
        <v>0.142857142857143</v>
      </c>
      <c r="AK34" s="1" t="str">
        <f>VLOOKUP(AC:AC,'7店'!$B:$B,1,0)</f>
        <v>Y7010-BL+Y7018+Y7014</v>
      </c>
      <c r="AL34" s="29" t="s">
        <v>2614</v>
      </c>
      <c r="AM34" s="33">
        <v>90.93</v>
      </c>
      <c r="AN34" s="1">
        <f t="shared" si="0"/>
        <v>622.8705</v>
      </c>
      <c r="AP34" s="29" t="s">
        <v>2279</v>
      </c>
      <c r="AQ34" s="33">
        <v>164.54</v>
      </c>
      <c r="AR34" s="1">
        <f t="shared" si="1"/>
        <v>1127.099</v>
      </c>
      <c r="AT34" s="108" t="s">
        <v>2217</v>
      </c>
      <c r="AU34" s="44">
        <v>180.7</v>
      </c>
      <c r="AV34" s="35"/>
      <c r="AW34" s="43" t="s">
        <v>2217</v>
      </c>
      <c r="AX34" s="44">
        <v>264.1</v>
      </c>
      <c r="AZ34" s="128" t="s">
        <v>2694</v>
      </c>
      <c r="BA34" s="106">
        <v>6.655</v>
      </c>
      <c r="BB34" s="1" t="s">
        <v>430</v>
      </c>
    </row>
    <row r="35" spans="2:54">
      <c r="B35" t="s">
        <v>2333</v>
      </c>
      <c r="C35">
        <v>13</v>
      </c>
      <c r="D35" s="1" t="str">
        <f>VLOOKUP(B:B,'7店'!$B:$B,1,0)</f>
        <v>Y7013-DB+Y7021+Y7017</v>
      </c>
      <c r="E35" t="s">
        <v>2423</v>
      </c>
      <c r="F35">
        <v>1</v>
      </c>
      <c r="G35" s="1" t="str">
        <f>VLOOKUP(E:E,'7店'!$B:$B,1,0)</f>
        <v>Y73134-OR+Y03137+Y73268</v>
      </c>
      <c r="H35" t="s">
        <v>2324</v>
      </c>
      <c r="I35">
        <v>22</v>
      </c>
      <c r="J35" s="1" t="str">
        <f>VLOOKUP(H:H,'7店'!$B:$B,1,0)</f>
        <v>Y7012-OR+Y7020+Y7016</v>
      </c>
      <c r="K35" t="s">
        <v>2246</v>
      </c>
      <c r="L35">
        <v>6</v>
      </c>
      <c r="M35">
        <v>0</v>
      </c>
      <c r="N35">
        <v>0</v>
      </c>
      <c r="O35">
        <v>0</v>
      </c>
      <c r="P35">
        <v>0</v>
      </c>
      <c r="Q35" s="31">
        <v>0</v>
      </c>
      <c r="R35" s="31">
        <v>0</v>
      </c>
      <c r="S35" s="1" t="str">
        <f>VLOOKUP(K:K,'7店'!$B:$B,1,0)</f>
        <v>Y73189-DB+Y73190+Y73270</v>
      </c>
      <c r="T35" t="s">
        <v>2342</v>
      </c>
      <c r="U35">
        <v>25537</v>
      </c>
      <c r="V35">
        <v>200</v>
      </c>
      <c r="W35">
        <v>91.98</v>
      </c>
      <c r="X35">
        <v>320.42</v>
      </c>
      <c r="Y35">
        <v>25</v>
      </c>
      <c r="Z35" s="31">
        <v>0.287060732788216</v>
      </c>
      <c r="AA35" s="31">
        <v>0.125</v>
      </c>
      <c r="AB35" s="1" t="str">
        <f>VLOOKUP(T:T,'7店'!$B:$B,1,0)</f>
        <v>Y72612-OR+Y72615+Y72636</v>
      </c>
      <c r="AC35" t="s">
        <v>2315</v>
      </c>
      <c r="AD35">
        <v>28645</v>
      </c>
      <c r="AE35">
        <v>249</v>
      </c>
      <c r="AF35">
        <v>98.01</v>
      </c>
      <c r="AG35">
        <v>411.68</v>
      </c>
      <c r="AH35">
        <v>32</v>
      </c>
      <c r="AI35" s="31">
        <v>0.238073260785076</v>
      </c>
      <c r="AJ35" s="31">
        <v>0.1285140562249</v>
      </c>
      <c r="AK35" s="1" t="str">
        <f>VLOOKUP(AC:AC,'7店'!$B:$B,1,0)</f>
        <v>Y7012-BU+Y7020+Y7016</v>
      </c>
      <c r="AL35" s="29" t="s">
        <v>2671</v>
      </c>
      <c r="AM35" s="33">
        <v>90.93</v>
      </c>
      <c r="AN35" s="1">
        <f t="shared" si="0"/>
        <v>622.8705</v>
      </c>
      <c r="AP35" s="29" t="s">
        <v>2373</v>
      </c>
      <c r="AQ35" s="33">
        <v>235.78</v>
      </c>
      <c r="AR35" s="1">
        <f t="shared" si="1"/>
        <v>1615.093</v>
      </c>
      <c r="AT35" s="108" t="s">
        <v>2220</v>
      </c>
      <c r="AU35" s="44">
        <v>69.5</v>
      </c>
      <c r="AV35" s="35"/>
      <c r="AW35" s="43" t="s">
        <v>2220</v>
      </c>
      <c r="AX35" s="44">
        <v>152.9</v>
      </c>
      <c r="AZ35" s="128" t="s">
        <v>2274</v>
      </c>
      <c r="BA35" s="106">
        <v>6.705</v>
      </c>
      <c r="BB35" s="1" t="s">
        <v>430</v>
      </c>
    </row>
    <row r="36" spans="2:54">
      <c r="B36" t="s">
        <v>2321</v>
      </c>
      <c r="C36">
        <v>1</v>
      </c>
      <c r="D36" s="1" t="str">
        <f>VLOOKUP(B:B,'7店'!$B:$B,1,0)</f>
        <v>Y7012-GE+Y7020+Y7016</v>
      </c>
      <c r="E36" t="s">
        <v>2195</v>
      </c>
      <c r="F36">
        <v>9</v>
      </c>
      <c r="G36" s="1" t="str">
        <f>VLOOKUP(E:E,'7店'!$B:$B,1,0)</f>
        <v>Y72648-NB+Y72649+Y72381</v>
      </c>
      <c r="H36" t="s">
        <v>2423</v>
      </c>
      <c r="I36">
        <v>10</v>
      </c>
      <c r="J36" s="1" t="str">
        <f>VLOOKUP(H:H,'7店'!$B:$B,1,0)</f>
        <v>Y73134-OR+Y03137+Y73268</v>
      </c>
      <c r="K36" t="s">
        <v>2358</v>
      </c>
      <c r="L36">
        <v>6071</v>
      </c>
      <c r="M36">
        <v>61</v>
      </c>
      <c r="N36">
        <v>23.41</v>
      </c>
      <c r="O36">
        <v>77.94</v>
      </c>
      <c r="P36">
        <v>6</v>
      </c>
      <c r="Q36" s="31">
        <v>0.300359250705671</v>
      </c>
      <c r="R36" s="31">
        <v>0.0983606557377049</v>
      </c>
      <c r="S36" s="1" t="str">
        <f>VLOOKUP(K:K,'7店'!$B:$B,1,0)</f>
        <v>Y7022-OR+Y7024+Y7023</v>
      </c>
      <c r="T36" t="s">
        <v>2300</v>
      </c>
      <c r="U36">
        <v>2706</v>
      </c>
      <c r="V36">
        <v>43</v>
      </c>
      <c r="W36">
        <v>19.16</v>
      </c>
      <c r="X36">
        <v>69.94</v>
      </c>
      <c r="Y36">
        <v>6</v>
      </c>
      <c r="Z36" s="31">
        <v>0.27394909922791</v>
      </c>
      <c r="AA36" s="31">
        <v>0.13953488372093</v>
      </c>
      <c r="AB36" s="1" t="str">
        <f>VLOOKUP(T:T,'7店'!$B:$B,1,0)</f>
        <v>Y7011-BU+Y7019+Y7015</v>
      </c>
      <c r="AC36" t="s">
        <v>2271</v>
      </c>
      <c r="AD36">
        <v>5583</v>
      </c>
      <c r="AE36">
        <v>32</v>
      </c>
      <c r="AF36">
        <v>12.81</v>
      </c>
      <c r="AG36">
        <v>101.92</v>
      </c>
      <c r="AH36">
        <v>8</v>
      </c>
      <c r="AI36" s="31">
        <v>0.125686813186813</v>
      </c>
      <c r="AJ36" s="31">
        <v>0.25</v>
      </c>
      <c r="AK36" s="1" t="str">
        <f>VLOOKUP(AC:AC,'7店'!$B:$B,1,0)</f>
        <v>Y72563-BL+Y72564+Y72571</v>
      </c>
      <c r="AL36" s="29" t="s">
        <v>2228</v>
      </c>
      <c r="AM36" s="33">
        <v>77.94</v>
      </c>
      <c r="AN36" s="1">
        <f t="shared" ref="AN36:AN67" si="2">AM36*$AS$1</f>
        <v>533.889</v>
      </c>
      <c r="AP36" s="29" t="s">
        <v>2659</v>
      </c>
      <c r="AQ36" s="33">
        <v>168.87</v>
      </c>
      <c r="AR36" s="1">
        <f t="shared" si="1"/>
        <v>1156.7595</v>
      </c>
      <c r="AT36" s="108" t="s">
        <v>2223</v>
      </c>
      <c r="AU36" s="44">
        <v>180.7</v>
      </c>
      <c r="AV36" s="35"/>
      <c r="AW36" s="43" t="s">
        <v>2223</v>
      </c>
      <c r="AX36" s="44">
        <v>194.6</v>
      </c>
      <c r="AZ36" s="128" t="s">
        <v>2271</v>
      </c>
      <c r="BA36" s="106">
        <v>6.459</v>
      </c>
      <c r="BB36" s="1" t="s">
        <v>430</v>
      </c>
    </row>
    <row r="37" spans="2:54">
      <c r="B37" t="s">
        <v>2361</v>
      </c>
      <c r="C37">
        <v>2</v>
      </c>
      <c r="D37" s="1" t="str">
        <f>VLOOKUP(B:B,'7店'!$B:$B,1,0)</f>
        <v>Y7033-BL+Y7034</v>
      </c>
      <c r="E37" t="s">
        <v>2190</v>
      </c>
      <c r="F37">
        <v>12</v>
      </c>
      <c r="G37" s="1" t="str">
        <f>VLOOKUP(E:E,'7店'!$B:$B,1,0)</f>
        <v>Y72488-OR+Y72490+Y72380</v>
      </c>
      <c r="H37" t="s">
        <v>2318</v>
      </c>
      <c r="I37">
        <v>13</v>
      </c>
      <c r="J37" s="1" t="str">
        <f>VLOOKUP(H:H,'7店'!$B:$B,1,0)</f>
        <v>Y7012-DB+Y7020+Y7016</v>
      </c>
      <c r="K37" t="s">
        <v>2352</v>
      </c>
      <c r="L37">
        <v>8</v>
      </c>
      <c r="M37">
        <v>0</v>
      </c>
      <c r="N37">
        <v>0</v>
      </c>
      <c r="O37">
        <v>0</v>
      </c>
      <c r="P37">
        <v>0</v>
      </c>
      <c r="Q37" s="31">
        <v>0</v>
      </c>
      <c r="R37" s="31">
        <v>0</v>
      </c>
      <c r="S37" s="1" t="str">
        <f>VLOOKUP(K:K,'7店'!$B:$B,1,0)</f>
        <v>Y7022-BU+Y7024+Y7023</v>
      </c>
      <c r="T37" t="s">
        <v>2285</v>
      </c>
      <c r="U37">
        <v>10762</v>
      </c>
      <c r="V37">
        <v>105</v>
      </c>
      <c r="W37">
        <v>48.82</v>
      </c>
      <c r="X37">
        <v>292.77</v>
      </c>
      <c r="Y37">
        <v>22</v>
      </c>
      <c r="Z37" s="31">
        <v>0.166752057929433</v>
      </c>
      <c r="AA37" s="31">
        <v>0.20952380952381</v>
      </c>
      <c r="AB37" s="1" t="str">
        <f>VLOOKUP(T:T,'7店'!$B:$B,1,0)</f>
        <v>Y7010-BU+Y7018+Y7014</v>
      </c>
      <c r="AC37" t="s">
        <v>2342</v>
      </c>
      <c r="AD37">
        <v>45071</v>
      </c>
      <c r="AE37">
        <v>343</v>
      </c>
      <c r="AF37">
        <v>159.36</v>
      </c>
      <c r="AG37">
        <v>541.25</v>
      </c>
      <c r="AH37">
        <v>42</v>
      </c>
      <c r="AI37" s="31">
        <v>0.294429561200924</v>
      </c>
      <c r="AJ37" s="31">
        <v>0.122448979591837</v>
      </c>
      <c r="AK37" s="1" t="str">
        <f>VLOOKUP(AC:AC,'7店'!$B:$B,1,0)</f>
        <v>Y72612-OR+Y72615+Y72636</v>
      </c>
      <c r="AL37" s="29" t="s">
        <v>2324</v>
      </c>
      <c r="AM37" s="33">
        <v>77.94</v>
      </c>
      <c r="AN37" s="1">
        <f t="shared" si="2"/>
        <v>533.889</v>
      </c>
      <c r="AP37" s="29" t="s">
        <v>2190</v>
      </c>
      <c r="AQ37" s="33">
        <v>153.88</v>
      </c>
      <c r="AR37" s="1">
        <f t="shared" ref="AR37:AR68" si="3">AQ37*$AS$1</f>
        <v>1054.078</v>
      </c>
      <c r="AT37" s="108" t="s">
        <v>2225</v>
      </c>
      <c r="AU37" s="44">
        <v>1751.4</v>
      </c>
      <c r="AV37" s="35"/>
      <c r="AW37" s="43" t="s">
        <v>2225</v>
      </c>
      <c r="AX37" s="44">
        <v>2807.8</v>
      </c>
      <c r="AZ37" s="128" t="s">
        <v>2200</v>
      </c>
      <c r="BA37" s="106">
        <v>6.358</v>
      </c>
      <c r="BB37" s="1" t="s">
        <v>430</v>
      </c>
    </row>
    <row r="38" spans="2:54">
      <c r="B38" t="s">
        <v>2367</v>
      </c>
      <c r="C38">
        <v>1</v>
      </c>
      <c r="D38" s="1" t="str">
        <f>VLOOKUP(B:B,'7店'!$B:$B,1,0)</f>
        <v>Y7033-DB+Y7034</v>
      </c>
      <c r="E38" t="s">
        <v>2217</v>
      </c>
      <c r="F38">
        <v>6</v>
      </c>
      <c r="G38" s="1" t="str">
        <f>VLOOKUP(E:E,'7店'!$B:$B,1,0)</f>
        <v>Y73040-BL+Y73045+Y73063</v>
      </c>
      <c r="H38" t="s">
        <v>2240</v>
      </c>
      <c r="I38">
        <v>5</v>
      </c>
      <c r="J38" s="1" t="str">
        <f>VLOOKUP(H:H,'7店'!$B:$B,1,0)</f>
        <v>Y73452-OR+Y73456+Y73457</v>
      </c>
      <c r="K38" t="s">
        <v>2415</v>
      </c>
      <c r="L38">
        <v>329</v>
      </c>
      <c r="M38">
        <v>8</v>
      </c>
      <c r="N38">
        <v>1.6</v>
      </c>
      <c r="O38">
        <v>12.99</v>
      </c>
      <c r="P38">
        <v>1</v>
      </c>
      <c r="Q38" s="31">
        <v>0.123171670515781</v>
      </c>
      <c r="R38" s="31">
        <v>0.125</v>
      </c>
      <c r="S38" s="1" t="str">
        <f>VLOOKUP(K:K,'7店'!$B:$B,1,0)</f>
        <v>Y73133-OR+Y73136+Y73267</v>
      </c>
      <c r="T38" t="s">
        <v>2276</v>
      </c>
      <c r="U38">
        <v>70</v>
      </c>
      <c r="V38">
        <v>2</v>
      </c>
      <c r="W38">
        <v>0.53</v>
      </c>
      <c r="X38">
        <v>0</v>
      </c>
      <c r="Y38">
        <v>0</v>
      </c>
      <c r="Z38" s="31">
        <v>0</v>
      </c>
      <c r="AA38" s="31">
        <v>0</v>
      </c>
      <c r="AB38" s="1" t="str">
        <f>VLOOKUP(T:T,'7店'!$B:$B,1,0)</f>
        <v>Y72612-BL+Y72615+Y72636</v>
      </c>
      <c r="AC38" t="s">
        <v>2300</v>
      </c>
      <c r="AD38">
        <v>6069</v>
      </c>
      <c r="AE38">
        <v>88</v>
      </c>
      <c r="AF38">
        <v>38.41</v>
      </c>
      <c r="AG38">
        <v>160.54</v>
      </c>
      <c r="AH38">
        <v>13</v>
      </c>
      <c r="AI38" s="31">
        <v>0.239255014326648</v>
      </c>
      <c r="AJ38" s="31">
        <v>0.147727272727273</v>
      </c>
      <c r="AK38" s="1" t="str">
        <f>VLOOKUP(AC:AC,'7店'!$B:$B,1,0)</f>
        <v>Y7011-BU+Y7019+Y7015</v>
      </c>
      <c r="AL38" s="29" t="s">
        <v>2315</v>
      </c>
      <c r="AM38" s="33">
        <v>84.94</v>
      </c>
      <c r="AN38" s="1">
        <f t="shared" si="2"/>
        <v>581.839</v>
      </c>
      <c r="AP38" s="29" t="s">
        <v>2184</v>
      </c>
      <c r="AQ38" s="33">
        <v>155.88</v>
      </c>
      <c r="AR38" s="1">
        <f t="shared" si="3"/>
        <v>1067.778</v>
      </c>
      <c r="AT38" s="108" t="s">
        <v>2228</v>
      </c>
      <c r="AU38" s="44">
        <v>1153.7</v>
      </c>
      <c r="AV38" s="35"/>
      <c r="AW38" s="43" t="s">
        <v>2228</v>
      </c>
      <c r="AX38" s="44">
        <v>2321.3</v>
      </c>
      <c r="AZ38" s="128" t="s">
        <v>2203</v>
      </c>
      <c r="BA38" s="106">
        <v>6.433</v>
      </c>
      <c r="BB38" s="1" t="s">
        <v>430</v>
      </c>
    </row>
    <row r="39" spans="2:54">
      <c r="B39" t="s">
        <v>2355</v>
      </c>
      <c r="C39">
        <v>5</v>
      </c>
      <c r="D39" s="1" t="str">
        <f>VLOOKUP(B:B,'7店'!$B:$B,1,0)</f>
        <v>Y7022-DB+Y7024+Y7023</v>
      </c>
      <c r="E39" t="s">
        <v>2382</v>
      </c>
      <c r="F39">
        <v>12</v>
      </c>
      <c r="G39" s="1" t="str">
        <f>VLOOKUP(E:E,'7店'!$B:$B,1,0)</f>
        <v>Y7028-OR+Y7029+Y7030</v>
      </c>
      <c r="H39" t="s">
        <v>2169</v>
      </c>
      <c r="I39">
        <v>18</v>
      </c>
      <c r="J39" s="1" t="str">
        <f>VLOOKUP(H:H,'7店'!$B:$B,1,0)</f>
        <v>Y73475-GR+Y72615+Y73478</v>
      </c>
      <c r="K39" t="s">
        <v>2409</v>
      </c>
      <c r="L39">
        <v>357</v>
      </c>
      <c r="M39">
        <v>1</v>
      </c>
      <c r="N39">
        <v>0.4</v>
      </c>
      <c r="O39">
        <v>0</v>
      </c>
      <c r="P39">
        <v>0</v>
      </c>
      <c r="Q39" s="31">
        <v>0</v>
      </c>
      <c r="R39" s="31">
        <v>0</v>
      </c>
      <c r="S39" s="1" t="str">
        <f>VLOOKUP(K:K,'7店'!$B:$B,1,0)</f>
        <v>Y73133-BL+Y73136+Y73267</v>
      </c>
      <c r="T39" t="s">
        <v>2246</v>
      </c>
      <c r="U39">
        <v>33</v>
      </c>
      <c r="V39">
        <v>0</v>
      </c>
      <c r="W39">
        <v>0</v>
      </c>
      <c r="X39">
        <v>0</v>
      </c>
      <c r="Y39">
        <v>0</v>
      </c>
      <c r="Z39" s="31">
        <v>0</v>
      </c>
      <c r="AA39" s="31">
        <v>0</v>
      </c>
      <c r="AB39" s="1" t="str">
        <f>VLOOKUP(T:T,'7店'!$B:$B,1,0)</f>
        <v>Y73189-DB+Y73190+Y73270</v>
      </c>
      <c r="AC39" t="s">
        <v>2285</v>
      </c>
      <c r="AD39">
        <v>23433</v>
      </c>
      <c r="AE39">
        <v>232</v>
      </c>
      <c r="AF39">
        <v>110.11</v>
      </c>
      <c r="AG39">
        <v>500.61</v>
      </c>
      <c r="AH39">
        <v>38</v>
      </c>
      <c r="AI39" s="31">
        <v>0.219951658976049</v>
      </c>
      <c r="AJ39" s="31">
        <v>0.163793103448276</v>
      </c>
      <c r="AK39" s="1" t="str">
        <f>VLOOKUP(AC:AC,'7店'!$B:$B,1,0)</f>
        <v>Y7010-BU+Y7018+Y7014</v>
      </c>
      <c r="AL39" s="29" t="s">
        <v>2373</v>
      </c>
      <c r="AM39" s="33">
        <v>89.94</v>
      </c>
      <c r="AN39" s="1">
        <f t="shared" si="2"/>
        <v>616.089</v>
      </c>
      <c r="AP39" s="29" t="s">
        <v>2271</v>
      </c>
      <c r="AQ39" s="33">
        <v>168.87</v>
      </c>
      <c r="AR39" s="1">
        <f t="shared" si="3"/>
        <v>1156.7595</v>
      </c>
      <c r="AT39" s="108" t="s">
        <v>2231</v>
      </c>
      <c r="AU39" s="44">
        <v>417</v>
      </c>
      <c r="AV39" s="35"/>
      <c r="AW39" s="43" t="s">
        <v>2231</v>
      </c>
      <c r="AX39" s="44">
        <v>861.8</v>
      </c>
      <c r="AZ39" s="128" t="s">
        <v>2206</v>
      </c>
      <c r="BA39" s="106">
        <v>6.553</v>
      </c>
      <c r="BB39" s="1" t="s">
        <v>430</v>
      </c>
    </row>
    <row r="40" spans="2:54">
      <c r="B40" t="s">
        <v>2420</v>
      </c>
      <c r="C40">
        <v>1</v>
      </c>
      <c r="D40" s="1" t="str">
        <f>VLOOKUP(B:B,'7店'!$B:$B,1,0)</f>
        <v>Y73134-DB+Y03137+Y73268</v>
      </c>
      <c r="E40" t="s">
        <v>2336</v>
      </c>
      <c r="F40">
        <v>11</v>
      </c>
      <c r="G40" s="1" t="str">
        <f>VLOOKUP(E:E,'7店'!$B:$B,1,0)</f>
        <v>Y7013-GE+Y7021+Y7017</v>
      </c>
      <c r="H40" t="s">
        <v>2195</v>
      </c>
      <c r="I40">
        <v>22</v>
      </c>
      <c r="J40" s="1" t="str">
        <f>VLOOKUP(H:H,'7店'!$B:$B,1,0)</f>
        <v>Y72648-NB+Y72649+Y72381</v>
      </c>
      <c r="K40" t="s">
        <v>2388</v>
      </c>
      <c r="L40">
        <v>12</v>
      </c>
      <c r="M40">
        <v>0</v>
      </c>
      <c r="N40">
        <v>0</v>
      </c>
      <c r="O40">
        <v>0</v>
      </c>
      <c r="P40">
        <v>0</v>
      </c>
      <c r="Q40" s="31">
        <v>0</v>
      </c>
      <c r="R40" s="31">
        <v>0</v>
      </c>
      <c r="S40" s="1" t="str">
        <f>VLOOKUP(K:K,'7店'!$B:$B,1,0)</f>
        <v>Y7031-BU+Y7032</v>
      </c>
      <c r="T40" t="s">
        <v>2178</v>
      </c>
      <c r="U40">
        <v>2556</v>
      </c>
      <c r="V40">
        <v>8</v>
      </c>
      <c r="W40">
        <v>3.55</v>
      </c>
      <c r="X40">
        <v>0</v>
      </c>
      <c r="Y40">
        <v>0</v>
      </c>
      <c r="Z40" s="31">
        <v>0</v>
      </c>
      <c r="AA40" s="31">
        <v>0</v>
      </c>
      <c r="AB40" s="1" t="str">
        <f>VLOOKUP(T:T,'7店'!$B:$B,1,0)</f>
        <v>Y73694-BL+Y73712+Y73744</v>
      </c>
      <c r="AC40" t="s">
        <v>2276</v>
      </c>
      <c r="AD40">
        <v>160</v>
      </c>
      <c r="AE40">
        <v>2</v>
      </c>
      <c r="AF40">
        <v>0.53</v>
      </c>
      <c r="AG40">
        <v>0</v>
      </c>
      <c r="AH40">
        <v>0</v>
      </c>
      <c r="AI40" s="31">
        <v>0</v>
      </c>
      <c r="AJ40" s="31">
        <v>0</v>
      </c>
      <c r="AK40" s="1" t="str">
        <f>VLOOKUP(AC:AC,'7店'!$B:$B,1,0)</f>
        <v>Y72612-BL+Y72615+Y72636</v>
      </c>
      <c r="AL40" s="29" t="s">
        <v>2602</v>
      </c>
      <c r="AM40" s="33">
        <v>77.94</v>
      </c>
      <c r="AN40" s="1">
        <f t="shared" si="2"/>
        <v>533.889</v>
      </c>
      <c r="AP40" s="29" t="s">
        <v>2324</v>
      </c>
      <c r="AQ40" s="33">
        <v>153.88</v>
      </c>
      <c r="AR40" s="1">
        <f t="shared" si="3"/>
        <v>1054.078</v>
      </c>
      <c r="AT40" s="108" t="s">
        <v>2234</v>
      </c>
      <c r="AU40" s="44">
        <v>13.9</v>
      </c>
      <c r="AV40" s="35"/>
      <c r="AW40" s="108" t="s">
        <v>2237</v>
      </c>
      <c r="AX40" s="44">
        <v>97.3</v>
      </c>
      <c r="AZ40" s="128" t="s">
        <v>2175</v>
      </c>
      <c r="BA40" s="106">
        <v>5.922</v>
      </c>
      <c r="BB40" s="1" t="s">
        <v>430</v>
      </c>
    </row>
    <row r="41" spans="2:54">
      <c r="B41" t="s">
        <v>2382</v>
      </c>
      <c r="C41">
        <v>5</v>
      </c>
      <c r="D41" s="1" t="str">
        <f>VLOOKUP(B:B,'7店'!$B:$B,1,0)</f>
        <v>Y7028-OR+Y7029+Y7030</v>
      </c>
      <c r="E41" t="s">
        <v>2184</v>
      </c>
      <c r="F41">
        <v>12</v>
      </c>
      <c r="G41" s="1" t="str">
        <f>VLOOKUP(E:E,'7店'!$B:$B,1,0)</f>
        <v>Y72488-BL+Y72490+Y72380</v>
      </c>
      <c r="H41" t="s">
        <v>2336</v>
      </c>
      <c r="I41">
        <v>23</v>
      </c>
      <c r="J41" s="1" t="str">
        <f>VLOOKUP(H:H,'7店'!$B:$B,1,0)</f>
        <v>Y7013-GE+Y7021+Y7017</v>
      </c>
      <c r="K41" t="s">
        <v>2394</v>
      </c>
      <c r="L41">
        <v>696</v>
      </c>
      <c r="M41">
        <v>16</v>
      </c>
      <c r="N41">
        <v>3.23</v>
      </c>
      <c r="O41">
        <v>25.98</v>
      </c>
      <c r="P41">
        <v>2</v>
      </c>
      <c r="Q41" s="31">
        <v>0.124326404926867</v>
      </c>
      <c r="R41" s="31">
        <v>0.125</v>
      </c>
      <c r="S41" s="1" t="str">
        <f>VLOOKUP(K:K,'7店'!$B:$B,1,0)</f>
        <v>Y7031-OR+Y7032</v>
      </c>
      <c r="T41" t="s">
        <v>2358</v>
      </c>
      <c r="U41">
        <v>14238</v>
      </c>
      <c r="V41">
        <v>133</v>
      </c>
      <c r="W41">
        <v>52.02</v>
      </c>
      <c r="X41">
        <v>199.84</v>
      </c>
      <c r="Y41">
        <v>17</v>
      </c>
      <c r="Z41" s="31">
        <v>0.260308246597278</v>
      </c>
      <c r="AA41" s="31">
        <v>0.12781954887218</v>
      </c>
      <c r="AB41" s="1" t="str">
        <f>VLOOKUP(T:T,'7店'!$B:$B,1,0)</f>
        <v>Y7022-OR+Y7024+Y7023</v>
      </c>
      <c r="AC41" t="s">
        <v>2246</v>
      </c>
      <c r="AD41">
        <v>44</v>
      </c>
      <c r="AE41">
        <v>1</v>
      </c>
      <c r="AF41">
        <v>0.16</v>
      </c>
      <c r="AG41">
        <v>0</v>
      </c>
      <c r="AH41">
        <v>0</v>
      </c>
      <c r="AI41" s="31">
        <v>0</v>
      </c>
      <c r="AJ41" s="31">
        <v>0</v>
      </c>
      <c r="AK41" s="1" t="str">
        <f>VLOOKUP(AC:AC,'7店'!$B:$B,1,0)</f>
        <v>Y73189-DB+Y73190+Y73270</v>
      </c>
      <c r="AL41" s="29" t="s">
        <v>2190</v>
      </c>
      <c r="AM41" s="33">
        <v>64.95</v>
      </c>
      <c r="AN41" s="1">
        <f t="shared" si="2"/>
        <v>444.9075</v>
      </c>
      <c r="AP41" s="29" t="s">
        <v>2614</v>
      </c>
      <c r="AQ41" s="33">
        <v>153.88</v>
      </c>
      <c r="AR41" s="1">
        <f t="shared" si="3"/>
        <v>1054.078</v>
      </c>
      <c r="AT41" s="108" t="s">
        <v>2237</v>
      </c>
      <c r="AU41" s="44">
        <v>139</v>
      </c>
      <c r="AV41" s="35"/>
      <c r="AW41" s="108" t="s">
        <v>2240</v>
      </c>
      <c r="AX41" s="44">
        <v>41.7</v>
      </c>
      <c r="AZ41" s="128" t="s">
        <v>2178</v>
      </c>
      <c r="BA41" s="106">
        <v>5.494</v>
      </c>
      <c r="BB41" s="1" t="s">
        <v>430</v>
      </c>
    </row>
    <row r="42" spans="2:54">
      <c r="B42" t="s">
        <v>2159</v>
      </c>
      <c r="C42">
        <v>14</v>
      </c>
      <c r="D42" s="1" t="str">
        <f>VLOOKUP(B:B,'7店'!$B:$B,1,0)</f>
        <v>Y72611-OR+Y72614+Y72635</v>
      </c>
      <c r="E42" t="s">
        <v>2169</v>
      </c>
      <c r="F42">
        <v>10</v>
      </c>
      <c r="G42" s="1" t="str">
        <f>VLOOKUP(E:E,'7店'!$B:$B,1,0)</f>
        <v>Y73475-GR+Y72615+Y73478</v>
      </c>
      <c r="H42" t="s">
        <v>2300</v>
      </c>
      <c r="I42">
        <v>5</v>
      </c>
      <c r="J42" s="1" t="str">
        <f>VLOOKUP(H:H,'7店'!$B:$B,1,0)</f>
        <v>Y7011-BU+Y7019+Y7015</v>
      </c>
      <c r="K42" t="s">
        <v>2379</v>
      </c>
      <c r="L42">
        <v>692</v>
      </c>
      <c r="M42">
        <v>5</v>
      </c>
      <c r="N42">
        <v>1.75</v>
      </c>
      <c r="O42">
        <v>0</v>
      </c>
      <c r="P42">
        <v>0</v>
      </c>
      <c r="Q42" s="31">
        <v>0</v>
      </c>
      <c r="R42" s="31">
        <v>0</v>
      </c>
      <c r="S42" s="1" t="str">
        <f>VLOOKUP(K:K,'7店'!$B:$B,1,0)</f>
        <v>Y7028-DB+Y7029+Y7030</v>
      </c>
      <c r="T42" t="s">
        <v>2352</v>
      </c>
      <c r="U42">
        <v>16</v>
      </c>
      <c r="V42">
        <v>0</v>
      </c>
      <c r="W42">
        <v>0</v>
      </c>
      <c r="X42">
        <v>0</v>
      </c>
      <c r="Y42">
        <v>0</v>
      </c>
      <c r="Z42" s="31">
        <v>0</v>
      </c>
      <c r="AA42" s="31">
        <v>0</v>
      </c>
      <c r="AB42" s="1" t="str">
        <f>VLOOKUP(T:T,'7店'!$B:$B,1,0)</f>
        <v>Y7022-BU+Y7024+Y7023</v>
      </c>
      <c r="AC42" t="s">
        <v>2178</v>
      </c>
      <c r="AD42">
        <v>3941</v>
      </c>
      <c r="AE42">
        <v>13</v>
      </c>
      <c r="AF42">
        <v>5.49</v>
      </c>
      <c r="AG42">
        <v>25.98</v>
      </c>
      <c r="AH42">
        <v>2</v>
      </c>
      <c r="AI42" s="31">
        <v>0.211316397228637</v>
      </c>
      <c r="AJ42" s="31">
        <v>0.153846153846154</v>
      </c>
      <c r="AK42" s="1" t="str">
        <f>VLOOKUP(AC:AC,'7店'!$B:$B,1,0)</f>
        <v>Y73694-BL+Y73712+Y73744</v>
      </c>
      <c r="AL42" s="29" t="s">
        <v>2184</v>
      </c>
      <c r="AM42" s="33">
        <v>64.95</v>
      </c>
      <c r="AN42" s="1">
        <f t="shared" si="2"/>
        <v>444.9075</v>
      </c>
      <c r="AP42" s="29" t="s">
        <v>2620</v>
      </c>
      <c r="AQ42" s="33">
        <v>149.55</v>
      </c>
      <c r="AR42" s="1">
        <f t="shared" si="3"/>
        <v>1024.4175</v>
      </c>
      <c r="AT42" s="108" t="s">
        <v>2240</v>
      </c>
      <c r="AU42" s="44">
        <v>111.2</v>
      </c>
      <c r="AV42" s="35"/>
      <c r="AW42" s="108" t="s">
        <v>2243</v>
      </c>
      <c r="AX42" s="44">
        <v>542.1</v>
      </c>
      <c r="AZ42" s="128" t="s">
        <v>2683</v>
      </c>
      <c r="BA42" s="106">
        <v>5.788</v>
      </c>
      <c r="BB42" s="1" t="s">
        <v>430</v>
      </c>
    </row>
    <row r="43" spans="2:54">
      <c r="B43" t="s">
        <v>2489</v>
      </c>
      <c r="C43">
        <v>1</v>
      </c>
      <c r="D43" s="1" t="str">
        <f>VLOOKUP(B:B,'7店'!$B:$B,1,0)</f>
        <v>Y7039-OR+Y7040+Y7041</v>
      </c>
      <c r="E43" t="s">
        <v>2333</v>
      </c>
      <c r="F43">
        <v>21</v>
      </c>
      <c r="G43" s="1" t="str">
        <f>VLOOKUP(E:E,'7店'!$B:$B,1,0)</f>
        <v>Y7013-DB+Y7021+Y7017</v>
      </c>
      <c r="H43" t="s">
        <v>2388</v>
      </c>
      <c r="I43">
        <v>11</v>
      </c>
      <c r="J43" s="1" t="str">
        <f>VLOOKUP(H:H,'7店'!$B:$B,1,0)</f>
        <v>Y7031-BU+Y7032</v>
      </c>
      <c r="K43" t="s">
        <v>2382</v>
      </c>
      <c r="L43">
        <v>979</v>
      </c>
      <c r="M43">
        <v>30</v>
      </c>
      <c r="N43">
        <v>11.2</v>
      </c>
      <c r="O43">
        <v>77.61</v>
      </c>
      <c r="P43">
        <v>5</v>
      </c>
      <c r="Q43" s="31">
        <v>0.144311300090195</v>
      </c>
      <c r="R43" s="31">
        <v>0.166666666666667</v>
      </c>
      <c r="S43" s="1" t="str">
        <f>VLOOKUP(K:K,'7店'!$B:$B,1,0)</f>
        <v>Y7028-OR+Y7029+Y7030</v>
      </c>
      <c r="T43" t="s">
        <v>2415</v>
      </c>
      <c r="U43">
        <v>981</v>
      </c>
      <c r="V43">
        <v>19</v>
      </c>
      <c r="W43">
        <v>4</v>
      </c>
      <c r="X43">
        <v>12.99</v>
      </c>
      <c r="Y43">
        <v>1</v>
      </c>
      <c r="Z43" s="31">
        <v>0.307929176289453</v>
      </c>
      <c r="AA43" s="31">
        <v>0.0526315789473684</v>
      </c>
      <c r="AB43" s="1" t="str">
        <f>VLOOKUP(T:T,'7店'!$B:$B,1,0)</f>
        <v>Y73133-OR+Y73136+Y73267</v>
      </c>
      <c r="AC43" t="s">
        <v>2358</v>
      </c>
      <c r="AD43">
        <v>30234</v>
      </c>
      <c r="AE43">
        <v>306</v>
      </c>
      <c r="AF43">
        <v>127.75</v>
      </c>
      <c r="AG43">
        <v>498.61</v>
      </c>
      <c r="AH43">
        <v>37</v>
      </c>
      <c r="AI43" s="31">
        <v>0.256212270110908</v>
      </c>
      <c r="AJ43" s="31">
        <v>0.120915032679739</v>
      </c>
      <c r="AK43" s="1" t="str">
        <f>VLOOKUP(AC:AC,'7店'!$B:$B,1,0)</f>
        <v>Y7022-OR+Y7024+Y7023</v>
      </c>
      <c r="AL43" s="29" t="s">
        <v>2249</v>
      </c>
      <c r="AM43" s="33">
        <v>64.95</v>
      </c>
      <c r="AN43" s="1">
        <f t="shared" si="2"/>
        <v>444.9075</v>
      </c>
      <c r="AP43" s="29" t="s">
        <v>2635</v>
      </c>
      <c r="AQ43" s="33">
        <v>158.88</v>
      </c>
      <c r="AR43" s="1">
        <f t="shared" si="3"/>
        <v>1088.328</v>
      </c>
      <c r="AT43" s="108" t="s">
        <v>2243</v>
      </c>
      <c r="AU43" s="44">
        <v>361.4</v>
      </c>
      <c r="AV43" s="35"/>
      <c r="AW43" s="108" t="s">
        <v>2246</v>
      </c>
      <c r="AX43" s="44">
        <v>111.2</v>
      </c>
      <c r="AZ43" s="128" t="s">
        <v>2181</v>
      </c>
      <c r="BA43" s="106">
        <v>3.199</v>
      </c>
      <c r="BB43" s="1" t="s">
        <v>430</v>
      </c>
    </row>
    <row r="44" spans="2:54">
      <c r="B44" t="s">
        <v>2481</v>
      </c>
      <c r="C44">
        <v>1</v>
      </c>
      <c r="D44" s="1" t="str">
        <f>VLOOKUP(B:B,'7店'!$B:$B,1,0)</f>
        <v>Y7039-BL+Y7040+Y7041</v>
      </c>
      <c r="E44" t="s">
        <v>2237</v>
      </c>
      <c r="F44">
        <v>5</v>
      </c>
      <c r="G44" s="1" t="str">
        <f>VLOOKUP(E:E,'7店'!$B:$B,1,0)</f>
        <v>Y73452-DB+Y73456+Y73457</v>
      </c>
      <c r="H44" t="s">
        <v>2184</v>
      </c>
      <c r="I44">
        <v>25</v>
      </c>
      <c r="J44" s="1" t="str">
        <f>VLOOKUP(H:H,'7店'!$B:$B,1,0)</f>
        <v>Y72488-BL+Y72490+Y72380</v>
      </c>
      <c r="K44" t="s">
        <v>2397</v>
      </c>
      <c r="L44">
        <v>127</v>
      </c>
      <c r="M44">
        <v>1</v>
      </c>
      <c r="N44">
        <v>0.43</v>
      </c>
      <c r="O44">
        <v>0</v>
      </c>
      <c r="P44">
        <v>0</v>
      </c>
      <c r="Q44" s="31">
        <v>0</v>
      </c>
      <c r="R44" s="31">
        <v>0</v>
      </c>
      <c r="S44" s="1" t="str">
        <f>VLOOKUP(K:K,'7店'!$B:$B,1,0)</f>
        <v>Y7025-BL+Y7027+Y7026</v>
      </c>
      <c r="T44" t="s">
        <v>2409</v>
      </c>
      <c r="U44">
        <v>1005</v>
      </c>
      <c r="V44">
        <v>3</v>
      </c>
      <c r="W44">
        <v>1.29</v>
      </c>
      <c r="X44">
        <v>10.99</v>
      </c>
      <c r="Y44">
        <v>1</v>
      </c>
      <c r="Z44" s="31">
        <v>0.117379435850773</v>
      </c>
      <c r="AA44" s="31">
        <v>0.333333333333333</v>
      </c>
      <c r="AB44" s="1" t="str">
        <f>VLOOKUP(T:T,'7店'!$B:$B,1,0)</f>
        <v>Y73133-BL+Y73136+Y73267</v>
      </c>
      <c r="AC44" t="s">
        <v>2352</v>
      </c>
      <c r="AD44">
        <v>40</v>
      </c>
      <c r="AE44">
        <v>2</v>
      </c>
      <c r="AF44">
        <v>0.57</v>
      </c>
      <c r="AG44">
        <v>0</v>
      </c>
      <c r="AH44">
        <v>0</v>
      </c>
      <c r="AI44" s="31">
        <v>0</v>
      </c>
      <c r="AJ44" s="31">
        <v>0</v>
      </c>
      <c r="AK44" s="1" t="str">
        <f>VLOOKUP(AC:AC,'7店'!$B:$B,1,0)</f>
        <v>Y7022-BU+Y7024+Y7023</v>
      </c>
      <c r="AL44" s="29" t="s">
        <v>2151</v>
      </c>
      <c r="AM44" s="33">
        <v>77.94</v>
      </c>
      <c r="AN44" s="1">
        <f t="shared" si="2"/>
        <v>533.889</v>
      </c>
      <c r="AP44" s="29" t="s">
        <v>2145</v>
      </c>
      <c r="AQ44" s="33">
        <v>149.88</v>
      </c>
      <c r="AR44" s="1">
        <f t="shared" si="3"/>
        <v>1026.678</v>
      </c>
      <c r="AT44" s="43" t="s">
        <v>2246</v>
      </c>
      <c r="AU44" s="44">
        <v>458.7</v>
      </c>
      <c r="AV44" s="35"/>
      <c r="AW44" s="108" t="s">
        <v>2249</v>
      </c>
      <c r="AX44" s="44">
        <v>194.6</v>
      </c>
      <c r="AZ44" s="128" t="s">
        <v>2695</v>
      </c>
      <c r="BA44" s="106">
        <v>1.428</v>
      </c>
      <c r="BB44" s="1" t="s">
        <v>430</v>
      </c>
    </row>
    <row r="45" spans="2:54">
      <c r="B45" t="s">
        <v>2582</v>
      </c>
      <c r="C45">
        <v>8</v>
      </c>
      <c r="D45" s="1" t="str">
        <f>VLOOKUP(B:B,'7店'!$B:$B,1,0)</f>
        <v>Y7063-OR+Y7064+Y7065</v>
      </c>
      <c r="E45" t="s">
        <v>2318</v>
      </c>
      <c r="F45">
        <v>5</v>
      </c>
      <c r="G45" s="1" t="str">
        <f>VLOOKUP(E:E,'7店'!$B:$B,1,0)</f>
        <v>Y7012-DB+Y7020+Y7016</v>
      </c>
      <c r="H45" t="s">
        <v>2237</v>
      </c>
      <c r="I45">
        <v>8</v>
      </c>
      <c r="J45" s="1" t="str">
        <f>VLOOKUP(H:H,'7店'!$B:$B,1,0)</f>
        <v>Y73452-DB+Y73456+Y73457</v>
      </c>
      <c r="K45" t="s">
        <v>2406</v>
      </c>
      <c r="L45">
        <v>2084</v>
      </c>
      <c r="M45">
        <v>14</v>
      </c>
      <c r="N45">
        <v>5.02</v>
      </c>
      <c r="O45">
        <v>0</v>
      </c>
      <c r="P45">
        <v>0</v>
      </c>
      <c r="Q45" s="31">
        <v>0</v>
      </c>
      <c r="R45" s="31">
        <v>0</v>
      </c>
      <c r="S45" s="1" t="str">
        <f>VLOOKUP(K:K,'7店'!$B:$B,1,0)</f>
        <v>Y7025-OR+Y7027+Y7026</v>
      </c>
      <c r="T45" t="s">
        <v>2420</v>
      </c>
      <c r="U45">
        <v>793</v>
      </c>
      <c r="V45">
        <v>12</v>
      </c>
      <c r="W45">
        <v>4.09</v>
      </c>
      <c r="X45">
        <v>25.98</v>
      </c>
      <c r="Y45">
        <v>1</v>
      </c>
      <c r="Z45" s="31">
        <v>0.157428791377983</v>
      </c>
      <c r="AA45" s="31">
        <v>0.0833333333333333</v>
      </c>
      <c r="AB45" s="1" t="str">
        <f>VLOOKUP(T:T,'7店'!$B:$B,1,0)</f>
        <v>Y73134-DB+Y03137+Y73268</v>
      </c>
      <c r="AC45" t="s">
        <v>2409</v>
      </c>
      <c r="AD45">
        <v>1200</v>
      </c>
      <c r="AE45">
        <v>6</v>
      </c>
      <c r="AF45">
        <v>2.65</v>
      </c>
      <c r="AG45">
        <v>10.99</v>
      </c>
      <c r="AH45">
        <v>1</v>
      </c>
      <c r="AI45" s="31">
        <v>0.241128298453139</v>
      </c>
      <c r="AJ45" s="31">
        <v>0.166666666666667</v>
      </c>
      <c r="AK45" s="1" t="str">
        <f>VLOOKUP(AC:AC,'7店'!$B:$B,1,0)</f>
        <v>Y73133-BL+Y73136+Y73267</v>
      </c>
      <c r="AL45" s="29" t="s">
        <v>2157</v>
      </c>
      <c r="AM45" s="33">
        <v>64.95</v>
      </c>
      <c r="AN45" s="1">
        <f t="shared" si="2"/>
        <v>444.9075</v>
      </c>
      <c r="AP45" s="29" t="s">
        <v>2312</v>
      </c>
      <c r="AQ45" s="33">
        <v>136.89</v>
      </c>
      <c r="AR45" s="1">
        <f t="shared" si="3"/>
        <v>937.6965</v>
      </c>
      <c r="AT45" s="43" t="s">
        <v>2249</v>
      </c>
      <c r="AU45" s="44">
        <v>111.2</v>
      </c>
      <c r="AV45" s="35"/>
      <c r="AW45" s="108" t="s">
        <v>2252</v>
      </c>
      <c r="AX45" s="44">
        <v>222.4</v>
      </c>
      <c r="AZ45" s="128" t="s">
        <v>2696</v>
      </c>
      <c r="BA45" s="106">
        <v>1.241</v>
      </c>
      <c r="BB45" s="1" t="s">
        <v>430</v>
      </c>
    </row>
    <row r="46" spans="2:54">
      <c r="B46" t="s">
        <v>2294</v>
      </c>
      <c r="C46">
        <v>4</v>
      </c>
      <c r="D46" s="1" t="str">
        <f>VLOOKUP(B:B,'7店'!$B:$B,1,0)</f>
        <v>Y7010-OR+Y7018+Y7014</v>
      </c>
      <c r="E46" t="s">
        <v>2300</v>
      </c>
      <c r="F46">
        <v>4</v>
      </c>
      <c r="G46" s="1" t="str">
        <f>VLOOKUP(E:E,'7店'!$B:$B,1,0)</f>
        <v>Y7011-BU+Y7019+Y7015</v>
      </c>
      <c r="H46" t="s">
        <v>2309</v>
      </c>
      <c r="I46">
        <v>3</v>
      </c>
      <c r="J46" s="1" t="str">
        <f>VLOOKUP(H:H,'7店'!$B:$B,1,0)</f>
        <v>Y7011-OR+Y7019+Y7015</v>
      </c>
      <c r="K46" t="s">
        <v>2345</v>
      </c>
      <c r="L46">
        <v>737</v>
      </c>
      <c r="M46">
        <v>11</v>
      </c>
      <c r="N46">
        <v>4.21</v>
      </c>
      <c r="O46">
        <v>0</v>
      </c>
      <c r="P46">
        <v>0</v>
      </c>
      <c r="Q46" s="31">
        <v>0</v>
      </c>
      <c r="R46" s="31">
        <v>0</v>
      </c>
      <c r="S46" s="1" t="str">
        <f>VLOOKUP(K:K,'7店'!$B:$B,1,0)</f>
        <v>Y72610-OR+Y72613+Y12803</v>
      </c>
      <c r="T46" t="s">
        <v>2388</v>
      </c>
      <c r="U46">
        <v>554</v>
      </c>
      <c r="V46">
        <v>1</v>
      </c>
      <c r="W46">
        <v>0.3</v>
      </c>
      <c r="X46">
        <v>0</v>
      </c>
      <c r="Y46">
        <v>0</v>
      </c>
      <c r="Z46" s="31">
        <v>0</v>
      </c>
      <c r="AA46" s="31">
        <v>0</v>
      </c>
      <c r="AB46" s="1" t="str">
        <f>VLOOKUP(T:T,'7店'!$B:$B,1,0)</f>
        <v>Y7031-BU+Y7032</v>
      </c>
      <c r="AC46" t="s">
        <v>2415</v>
      </c>
      <c r="AD46">
        <v>2773</v>
      </c>
      <c r="AE46">
        <v>42</v>
      </c>
      <c r="AF46">
        <v>9.69</v>
      </c>
      <c r="AG46">
        <v>47.96</v>
      </c>
      <c r="AH46">
        <v>4</v>
      </c>
      <c r="AI46" s="31">
        <v>0.202043369474562</v>
      </c>
      <c r="AJ46" s="31">
        <v>0.0952380952380952</v>
      </c>
      <c r="AK46" s="1" t="str">
        <f>VLOOKUP(AC:AC,'7店'!$B:$B,1,0)</f>
        <v>Y73133-OR+Y73136+Y73267</v>
      </c>
      <c r="AL46" s="29" t="s">
        <v>2355</v>
      </c>
      <c r="AM46" s="33">
        <v>64.95</v>
      </c>
      <c r="AN46" s="1">
        <f t="shared" si="2"/>
        <v>444.9075</v>
      </c>
      <c r="AP46" s="29" t="s">
        <v>2382</v>
      </c>
      <c r="AQ46" s="33">
        <v>149.55</v>
      </c>
      <c r="AR46" s="1">
        <f t="shared" si="3"/>
        <v>1024.4175</v>
      </c>
      <c r="AT46" s="43" t="s">
        <v>2252</v>
      </c>
      <c r="AU46" s="44">
        <v>208.5</v>
      </c>
      <c r="AV46" s="35"/>
      <c r="AW46" s="108" t="s">
        <v>2254</v>
      </c>
      <c r="AX46" s="44">
        <v>236.3</v>
      </c>
      <c r="AZ46" s="128" t="s">
        <v>2349</v>
      </c>
      <c r="BA46" s="106">
        <v>2.698</v>
      </c>
      <c r="BB46" s="1" t="s">
        <v>430</v>
      </c>
    </row>
    <row r="47" spans="2:54">
      <c r="B47" t="s">
        <v>2575</v>
      </c>
      <c r="C47">
        <v>4</v>
      </c>
      <c r="D47" s="1" t="str">
        <f>VLOOKUP(B:B,'7店'!$B:$B,1,0)</f>
        <v>Y7063-BL+Y7064+Y7065</v>
      </c>
      <c r="E47" t="s">
        <v>2288</v>
      </c>
      <c r="F47">
        <v>4</v>
      </c>
      <c r="G47" s="1" t="str">
        <f>VLOOKUP(E:E,'7店'!$B:$B,1,0)</f>
        <v>Y7010-DB+Y7018+Y7014</v>
      </c>
      <c r="H47" t="s">
        <v>2321</v>
      </c>
      <c r="I47">
        <v>12</v>
      </c>
      <c r="J47" s="1" t="str">
        <f>VLOOKUP(H:H,'7店'!$B:$B,1,0)</f>
        <v>Y7012-GE+Y7020+Y7016</v>
      </c>
      <c r="K47" t="s">
        <v>2367</v>
      </c>
      <c r="L47">
        <v>1042</v>
      </c>
      <c r="M47">
        <v>14</v>
      </c>
      <c r="N47">
        <v>5.66</v>
      </c>
      <c r="O47">
        <v>25.98</v>
      </c>
      <c r="P47">
        <v>1</v>
      </c>
      <c r="Q47" s="31">
        <v>0.217859892224788</v>
      </c>
      <c r="R47" s="31">
        <v>0.0714285714285714</v>
      </c>
      <c r="S47" s="1" t="str">
        <f>VLOOKUP(K:K,'7店'!$B:$B,1,0)</f>
        <v>Y7033-DB+Y7034</v>
      </c>
      <c r="T47" t="s">
        <v>2394</v>
      </c>
      <c r="U47">
        <v>4478</v>
      </c>
      <c r="V47">
        <v>74</v>
      </c>
      <c r="W47">
        <v>20.34</v>
      </c>
      <c r="X47">
        <v>38.97</v>
      </c>
      <c r="Y47">
        <v>3</v>
      </c>
      <c r="Z47" s="31">
        <v>0.521939953810624</v>
      </c>
      <c r="AA47" s="31">
        <v>0.0405405405405405</v>
      </c>
      <c r="AB47" s="1" t="str">
        <f>VLOOKUP(T:T,'7店'!$B:$B,1,0)</f>
        <v>Y7031-OR+Y7032</v>
      </c>
      <c r="AC47" t="s">
        <v>2423</v>
      </c>
      <c r="AD47">
        <v>1231</v>
      </c>
      <c r="AE47">
        <v>22</v>
      </c>
      <c r="AF47">
        <v>6.79</v>
      </c>
      <c r="AG47">
        <v>12.99</v>
      </c>
      <c r="AH47">
        <v>1</v>
      </c>
      <c r="AI47" s="31">
        <v>0.522709776751347</v>
      </c>
      <c r="AJ47" s="31">
        <v>0.0454545454545455</v>
      </c>
      <c r="AK47" s="1" t="str">
        <f>VLOOKUP(AC:AC,'7店'!$B:$B,1,0)</f>
        <v>Y73134-OR+Y03137+Y73268</v>
      </c>
      <c r="AL47" s="29" t="s">
        <v>2400</v>
      </c>
      <c r="AM47" s="33">
        <v>64.95</v>
      </c>
      <c r="AN47" s="1">
        <f t="shared" si="2"/>
        <v>444.9075</v>
      </c>
      <c r="AP47" s="29" t="s">
        <v>2336</v>
      </c>
      <c r="AQ47" s="33">
        <v>140.56</v>
      </c>
      <c r="AR47" s="1">
        <f t="shared" si="3"/>
        <v>962.836</v>
      </c>
      <c r="AT47" s="43" t="s">
        <v>2254</v>
      </c>
      <c r="AU47" s="44">
        <v>194.6</v>
      </c>
      <c r="AV47" s="35"/>
      <c r="AW47" s="108" t="s">
        <v>2688</v>
      </c>
      <c r="AX47" s="44">
        <v>125.1</v>
      </c>
      <c r="AZ47" s="128" t="s">
        <v>2352</v>
      </c>
      <c r="BA47" s="106">
        <v>2.241</v>
      </c>
      <c r="BB47" s="1" t="s">
        <v>430</v>
      </c>
    </row>
    <row r="48" spans="2:54">
      <c r="B48" t="s">
        <v>2472</v>
      </c>
      <c r="C48">
        <v>5</v>
      </c>
      <c r="D48" s="1" t="str">
        <f>VLOOKUP(B:B,'7店'!$B:$B,1,0)</f>
        <v>Y7036-BL-ZH</v>
      </c>
      <c r="E48" t="s">
        <v>2309</v>
      </c>
      <c r="F48">
        <v>1</v>
      </c>
      <c r="G48" s="1" t="str">
        <f>VLOOKUP(E:E,'7店'!$B:$B,1,0)</f>
        <v>Y7011-OR+Y7019+Y7015</v>
      </c>
      <c r="H48" t="s">
        <v>2697</v>
      </c>
      <c r="I48">
        <v>2</v>
      </c>
      <c r="J48" s="1" t="e">
        <f>VLOOKUP(H:H,'7店'!$B:$B,1,0)</f>
        <v>#N/A</v>
      </c>
      <c r="K48" t="s">
        <v>2361</v>
      </c>
      <c r="L48">
        <v>1101</v>
      </c>
      <c r="M48">
        <v>7</v>
      </c>
      <c r="N48">
        <v>3.19</v>
      </c>
      <c r="O48">
        <v>12.99</v>
      </c>
      <c r="P48">
        <v>1</v>
      </c>
      <c r="Q48" s="31">
        <v>0.245573518090839</v>
      </c>
      <c r="R48" s="31">
        <v>0.142857142857143</v>
      </c>
      <c r="S48" s="1" t="str">
        <f>VLOOKUP(K:K,'7店'!$B:$B,1,0)</f>
        <v>Y7033-BL+Y7034</v>
      </c>
      <c r="T48" t="s">
        <v>2391</v>
      </c>
      <c r="U48">
        <v>54</v>
      </c>
      <c r="V48">
        <v>2</v>
      </c>
      <c r="W48">
        <v>0.44</v>
      </c>
      <c r="X48">
        <v>0</v>
      </c>
      <c r="Y48">
        <v>0</v>
      </c>
      <c r="Z48" s="31">
        <v>0</v>
      </c>
      <c r="AA48" s="31">
        <v>0</v>
      </c>
      <c r="AB48" s="1" t="str">
        <f>VLOOKUP(T:T,'7店'!$B:$B,1,0)</f>
        <v>Y7031-DB+Y7032</v>
      </c>
      <c r="AC48" t="s">
        <v>2420</v>
      </c>
      <c r="AD48">
        <v>1874</v>
      </c>
      <c r="AE48">
        <v>29</v>
      </c>
      <c r="AF48">
        <v>10.2</v>
      </c>
      <c r="AG48">
        <v>38.64</v>
      </c>
      <c r="AH48">
        <v>2</v>
      </c>
      <c r="AI48" s="31">
        <v>0.263975155279503</v>
      </c>
      <c r="AJ48" s="31">
        <v>0.0689655172413793</v>
      </c>
      <c r="AK48" s="1" t="str">
        <f>VLOOKUP(AC:AC,'7店'!$B:$B,1,0)</f>
        <v>Y73134-DB+Y03137+Y73268</v>
      </c>
      <c r="AL48" s="29" t="s">
        <v>2582</v>
      </c>
      <c r="AM48" s="33">
        <v>103.92</v>
      </c>
      <c r="AN48" s="1">
        <f t="shared" si="2"/>
        <v>711.852</v>
      </c>
      <c r="AP48" s="29" t="s">
        <v>2582</v>
      </c>
      <c r="AQ48" s="33">
        <v>166.87</v>
      </c>
      <c r="AR48" s="1">
        <f t="shared" si="3"/>
        <v>1143.0595</v>
      </c>
      <c r="AT48" s="43" t="s">
        <v>2688</v>
      </c>
      <c r="AU48" s="44">
        <v>27.8</v>
      </c>
      <c r="AV48" s="35"/>
      <c r="AW48" s="108" t="s">
        <v>2697</v>
      </c>
      <c r="AX48" s="44">
        <v>27.8</v>
      </c>
      <c r="AZ48" s="128" t="s">
        <v>2355</v>
      </c>
      <c r="BA48" s="106">
        <v>1.902</v>
      </c>
      <c r="BB48" s="1" t="s">
        <v>430</v>
      </c>
    </row>
    <row r="49" spans="2:54">
      <c r="B49" t="s">
        <v>2246</v>
      </c>
      <c r="C49">
        <v>8</v>
      </c>
      <c r="D49" s="1" t="str">
        <f>VLOOKUP(B:B,'7店'!$B:$B,1,0)</f>
        <v>Y73189-DB+Y73190+Y73270</v>
      </c>
      <c r="E49" t="s">
        <v>2688</v>
      </c>
      <c r="F49">
        <v>3</v>
      </c>
      <c r="G49" s="1" t="e">
        <f>VLOOKUP(E:E,'7店'!$B:$B,1,0)</f>
        <v>#N/A</v>
      </c>
      <c r="H49" t="s">
        <v>2246</v>
      </c>
      <c r="I49">
        <v>34</v>
      </c>
      <c r="J49" s="1" t="str">
        <f>VLOOKUP(H:H,'7店'!$B:$B,1,0)</f>
        <v>Y73189-DB+Y73190+Y73270</v>
      </c>
      <c r="K49" t="s">
        <v>2436</v>
      </c>
      <c r="L49">
        <v>411</v>
      </c>
      <c r="M49">
        <v>9</v>
      </c>
      <c r="N49">
        <v>3.08</v>
      </c>
      <c r="O49">
        <v>12.99</v>
      </c>
      <c r="P49">
        <v>1</v>
      </c>
      <c r="Q49" s="31">
        <v>0.237105465742879</v>
      </c>
      <c r="R49" s="31">
        <v>0.111111111111111</v>
      </c>
      <c r="S49" s="1" t="str">
        <f>VLOOKUP(K:K,'7店'!$B:$B,1,0)</f>
        <v>Y72559-OR+Y72560+Y72399</v>
      </c>
      <c r="T49" t="s">
        <v>2379</v>
      </c>
      <c r="U49">
        <v>1802</v>
      </c>
      <c r="V49">
        <v>13</v>
      </c>
      <c r="W49">
        <v>5.05</v>
      </c>
      <c r="X49">
        <v>0</v>
      </c>
      <c r="Y49">
        <v>0</v>
      </c>
      <c r="Z49" s="31">
        <v>0</v>
      </c>
      <c r="AA49" s="31">
        <v>0</v>
      </c>
      <c r="AB49" s="1" t="str">
        <f>VLOOKUP(T:T,'7店'!$B:$B,1,0)</f>
        <v>Y7028-DB+Y7029+Y7030</v>
      </c>
      <c r="AC49" t="s">
        <v>2388</v>
      </c>
      <c r="AD49">
        <v>1113</v>
      </c>
      <c r="AE49">
        <v>3</v>
      </c>
      <c r="AF49">
        <v>0.75</v>
      </c>
      <c r="AG49">
        <v>0</v>
      </c>
      <c r="AH49">
        <v>0</v>
      </c>
      <c r="AI49" s="31">
        <v>0</v>
      </c>
      <c r="AJ49" s="31">
        <v>0</v>
      </c>
      <c r="AK49" s="1" t="str">
        <f>VLOOKUP(AC:AC,'7店'!$B:$B,1,0)</f>
        <v>Y7031-BU+Y7032</v>
      </c>
      <c r="AL49" s="29" t="s">
        <v>2698</v>
      </c>
      <c r="AM49" s="33">
        <v>64.95</v>
      </c>
      <c r="AN49" s="1">
        <f t="shared" si="2"/>
        <v>444.9075</v>
      </c>
      <c r="AP49" s="29" t="s">
        <v>2195</v>
      </c>
      <c r="AQ49" s="33">
        <v>110.91</v>
      </c>
      <c r="AR49" s="1">
        <f t="shared" si="3"/>
        <v>759.7335</v>
      </c>
      <c r="AT49" s="43" t="s">
        <v>2697</v>
      </c>
      <c r="AU49" s="44">
        <v>0</v>
      </c>
      <c r="AV49" s="35"/>
      <c r="AW49" s="108" t="s">
        <v>2256</v>
      </c>
      <c r="AX49" s="44">
        <v>111.2</v>
      </c>
      <c r="AZ49" s="128" t="s">
        <v>2358</v>
      </c>
      <c r="BA49" s="106">
        <v>2.707</v>
      </c>
      <c r="BB49" s="1" t="s">
        <v>430</v>
      </c>
    </row>
    <row r="50" spans="2:54">
      <c r="B50" t="s">
        <v>2249</v>
      </c>
      <c r="C50">
        <v>5</v>
      </c>
      <c r="D50" s="1" t="str">
        <f>VLOOKUP(B:B,'7店'!$B:$B,1,0)</f>
        <v>Y73189-OR+Y73190+Y73270</v>
      </c>
      <c r="E50" t="s">
        <v>2294</v>
      </c>
      <c r="F50">
        <v>8</v>
      </c>
      <c r="G50" s="1" t="str">
        <f>VLOOKUP(E:E,'7店'!$B:$B,1,0)</f>
        <v>Y7010-OR+Y7018+Y7014</v>
      </c>
      <c r="H50" t="s">
        <v>2288</v>
      </c>
      <c r="I50">
        <v>7</v>
      </c>
      <c r="J50" s="1" t="str">
        <f>VLOOKUP(H:H,'7店'!$B:$B,1,0)</f>
        <v>Y7010-DB+Y7018+Y7014</v>
      </c>
      <c r="K50" t="s">
        <v>2472</v>
      </c>
      <c r="L50">
        <v>25</v>
      </c>
      <c r="M50">
        <v>0</v>
      </c>
      <c r="N50">
        <v>0</v>
      </c>
      <c r="O50">
        <v>0</v>
      </c>
      <c r="P50">
        <v>0</v>
      </c>
      <c r="Q50" s="31">
        <v>0</v>
      </c>
      <c r="R50" s="31">
        <v>0</v>
      </c>
      <c r="S50" s="1" t="str">
        <f>VLOOKUP(K:K,'7店'!$B:$B,1,0)</f>
        <v>Y7036-BL-ZH</v>
      </c>
      <c r="T50" t="s">
        <v>2382</v>
      </c>
      <c r="U50">
        <v>2457</v>
      </c>
      <c r="V50">
        <v>82</v>
      </c>
      <c r="W50">
        <v>31.13</v>
      </c>
      <c r="X50">
        <v>162.54</v>
      </c>
      <c r="Y50">
        <v>11</v>
      </c>
      <c r="Z50" s="31">
        <v>0.191522086870924</v>
      </c>
      <c r="AA50" s="31">
        <v>0.134146341463415</v>
      </c>
      <c r="AB50" s="1" t="str">
        <f>VLOOKUP(T:T,'7店'!$B:$B,1,0)</f>
        <v>Y7028-OR+Y7029+Y7030</v>
      </c>
      <c r="AC50" t="s">
        <v>2394</v>
      </c>
      <c r="AD50">
        <v>7795</v>
      </c>
      <c r="AE50">
        <v>122</v>
      </c>
      <c r="AF50">
        <v>34.08</v>
      </c>
      <c r="AG50">
        <v>103.92</v>
      </c>
      <c r="AH50">
        <v>8</v>
      </c>
      <c r="AI50" s="31">
        <v>0.327944572748268</v>
      </c>
      <c r="AJ50" s="31">
        <v>0.0655737704918033</v>
      </c>
      <c r="AK50" s="1" t="str">
        <f>VLOOKUP(AC:AC,'7店'!$B:$B,1,0)</f>
        <v>Y7031-OR+Y7032</v>
      </c>
      <c r="AL50" s="29" t="s">
        <v>2274</v>
      </c>
      <c r="AM50" s="33">
        <v>51.96</v>
      </c>
      <c r="AN50" s="1">
        <f t="shared" si="2"/>
        <v>355.926</v>
      </c>
      <c r="AP50" s="29" t="s">
        <v>2249</v>
      </c>
      <c r="AQ50" s="33">
        <v>112.91</v>
      </c>
      <c r="AR50" s="1">
        <f t="shared" si="3"/>
        <v>773.4335</v>
      </c>
      <c r="AT50" s="43" t="s">
        <v>2256</v>
      </c>
      <c r="AU50" s="44">
        <v>236.3</v>
      </c>
      <c r="AV50" s="35"/>
      <c r="AW50" s="108" t="s">
        <v>2259</v>
      </c>
      <c r="AX50" s="44">
        <v>278</v>
      </c>
      <c r="AZ50" s="128" t="s">
        <v>2397</v>
      </c>
      <c r="BA50" s="106">
        <v>1.767</v>
      </c>
      <c r="BB50" s="1" t="s">
        <v>430</v>
      </c>
    </row>
    <row r="51" spans="2:54">
      <c r="B51" t="s">
        <v>2385</v>
      </c>
      <c r="C51">
        <v>2</v>
      </c>
      <c r="D51" s="1" t="str">
        <f>VLOOKUP(B:B,'7店'!$B:$B,1,0)</f>
        <v>Y7031-BL+Y7032</v>
      </c>
      <c r="E51" t="s">
        <v>2420</v>
      </c>
      <c r="F51">
        <v>5</v>
      </c>
      <c r="G51" s="1" t="str">
        <f>VLOOKUP(E:E,'7店'!$B:$B,1,0)</f>
        <v>Y73134-DB+Y03137+Y73268</v>
      </c>
      <c r="H51" t="s">
        <v>2294</v>
      </c>
      <c r="I51">
        <v>19</v>
      </c>
      <c r="J51" s="1" t="str">
        <f>VLOOKUP(H:H,'7店'!$B:$B,1,0)</f>
        <v>Y7010-OR+Y7018+Y7014</v>
      </c>
      <c r="K51" t="s">
        <v>2475</v>
      </c>
      <c r="L51">
        <v>314</v>
      </c>
      <c r="M51">
        <v>3</v>
      </c>
      <c r="N51">
        <v>1.26</v>
      </c>
      <c r="O51">
        <v>0</v>
      </c>
      <c r="P51">
        <v>0</v>
      </c>
      <c r="Q51" s="31">
        <v>0</v>
      </c>
      <c r="R51" s="31">
        <v>0</v>
      </c>
      <c r="S51" s="1" t="str">
        <f>VLOOKUP(K:K,'7店'!$B:$B,1,0)</f>
        <v>Y7036-BU-ZH</v>
      </c>
      <c r="T51" t="s">
        <v>2397</v>
      </c>
      <c r="U51">
        <v>358</v>
      </c>
      <c r="V51">
        <v>4</v>
      </c>
      <c r="W51">
        <v>1.68</v>
      </c>
      <c r="X51">
        <v>0</v>
      </c>
      <c r="Y51">
        <v>0</v>
      </c>
      <c r="Z51" s="31">
        <v>0</v>
      </c>
      <c r="AA51" s="31">
        <v>0</v>
      </c>
      <c r="AB51" s="1" t="str">
        <f>VLOOKUP(T:T,'7店'!$B:$B,1,0)</f>
        <v>Y7025-BL+Y7027+Y7026</v>
      </c>
      <c r="AC51" t="s">
        <v>2391</v>
      </c>
      <c r="AD51">
        <v>174</v>
      </c>
      <c r="AE51">
        <v>4</v>
      </c>
      <c r="AF51">
        <v>0.89</v>
      </c>
      <c r="AG51">
        <v>12.99</v>
      </c>
      <c r="AH51">
        <v>1</v>
      </c>
      <c r="AI51" s="31">
        <v>0.0685142417244034</v>
      </c>
      <c r="AJ51" s="31">
        <v>0.25</v>
      </c>
      <c r="AK51" s="1" t="str">
        <f>VLOOKUP(AC:AC,'7店'!$B:$B,1,0)</f>
        <v>Y7031-DB+Y7032</v>
      </c>
      <c r="AL51" s="29" t="s">
        <v>2246</v>
      </c>
      <c r="AM51" s="33">
        <v>97.22</v>
      </c>
      <c r="AN51" s="1">
        <f t="shared" si="2"/>
        <v>665.957</v>
      </c>
      <c r="AP51" s="29" t="s">
        <v>2169</v>
      </c>
      <c r="AQ51" s="33">
        <v>125.9</v>
      </c>
      <c r="AR51" s="1">
        <f t="shared" si="3"/>
        <v>862.415</v>
      </c>
      <c r="AT51" s="43" t="s">
        <v>2259</v>
      </c>
      <c r="AU51" s="44">
        <v>264.1</v>
      </c>
      <c r="AV51" s="35"/>
      <c r="AW51" s="108" t="s">
        <v>2262</v>
      </c>
      <c r="AX51" s="44">
        <v>152.9</v>
      </c>
      <c r="AZ51" s="128" t="s">
        <v>2400</v>
      </c>
      <c r="BA51" s="106">
        <v>1.717</v>
      </c>
      <c r="BB51" s="1" t="s">
        <v>430</v>
      </c>
    </row>
    <row r="52" spans="2:54">
      <c r="B52" t="s">
        <v>2217</v>
      </c>
      <c r="C52">
        <v>3</v>
      </c>
      <c r="D52" s="1" t="str">
        <f>VLOOKUP(B:B,'7店'!$B:$B,1,0)</f>
        <v>Y73040-BL+Y73045+Y73063</v>
      </c>
      <c r="E52" t="s">
        <v>2403</v>
      </c>
      <c r="F52">
        <v>12</v>
      </c>
      <c r="G52" s="1" t="str">
        <f>VLOOKUP(E:E,'7店'!$B:$B,1,0)</f>
        <v>Y7025-DB+Y7027+Y7026</v>
      </c>
      <c r="H52" t="s">
        <v>2303</v>
      </c>
      <c r="I52">
        <v>3</v>
      </c>
      <c r="J52" s="1" t="str">
        <f>VLOOKUP(H:H,'7店'!$B:$B,1,0)</f>
        <v>Y7011-DB+Y7019+Y7015</v>
      </c>
      <c r="K52" t="s">
        <v>2479</v>
      </c>
      <c r="L52">
        <v>5</v>
      </c>
      <c r="M52">
        <v>0</v>
      </c>
      <c r="N52">
        <v>0</v>
      </c>
      <c r="O52">
        <v>0</v>
      </c>
      <c r="P52">
        <v>0</v>
      </c>
      <c r="Q52" s="31">
        <v>0</v>
      </c>
      <c r="R52" s="31">
        <v>0</v>
      </c>
      <c r="S52" s="1" t="str">
        <f>VLOOKUP(K:K,'7店'!$B:$B,1,0)</f>
        <v>Y7036-OR-ZH</v>
      </c>
      <c r="T52" t="s">
        <v>2406</v>
      </c>
      <c r="U52">
        <v>4273</v>
      </c>
      <c r="V52">
        <v>39</v>
      </c>
      <c r="W52">
        <v>13.87</v>
      </c>
      <c r="X52">
        <v>25.98</v>
      </c>
      <c r="Y52">
        <v>2</v>
      </c>
      <c r="Z52" s="31">
        <v>0.53387220939184</v>
      </c>
      <c r="AA52" s="31">
        <v>0.0512820512820513</v>
      </c>
      <c r="AB52" s="1" t="str">
        <f>VLOOKUP(T:T,'7店'!$B:$B,1,0)</f>
        <v>Y7025-OR+Y7027+Y7026</v>
      </c>
      <c r="AC52" t="s">
        <v>2379</v>
      </c>
      <c r="AD52">
        <v>3744</v>
      </c>
      <c r="AE52">
        <v>23</v>
      </c>
      <c r="AF52">
        <v>9.27</v>
      </c>
      <c r="AG52">
        <v>25.98</v>
      </c>
      <c r="AH52">
        <v>2</v>
      </c>
      <c r="AI52" s="31">
        <v>0.356812933025404</v>
      </c>
      <c r="AJ52" s="31">
        <v>0.0869565217391304</v>
      </c>
      <c r="AK52" s="1" t="str">
        <f>VLOOKUP(AC:AC,'7店'!$B:$B,1,0)</f>
        <v>Y7028-DB+Y7029+Y7030</v>
      </c>
      <c r="AL52" s="29" t="s">
        <v>2169</v>
      </c>
      <c r="AM52" s="33">
        <v>64.95</v>
      </c>
      <c r="AN52" s="1">
        <f t="shared" si="2"/>
        <v>444.9075</v>
      </c>
      <c r="AP52" s="29" t="s">
        <v>2157</v>
      </c>
      <c r="AQ52" s="33">
        <v>112.91</v>
      </c>
      <c r="AR52" s="1">
        <f t="shared" si="3"/>
        <v>773.4335</v>
      </c>
      <c r="AT52" s="43" t="s">
        <v>2262</v>
      </c>
      <c r="AU52" s="44">
        <v>55.6</v>
      </c>
      <c r="AV52" s="35"/>
      <c r="AW52" s="108" t="s">
        <v>2699</v>
      </c>
      <c r="AX52" s="44">
        <v>13.9</v>
      </c>
      <c r="AZ52" s="128" t="s">
        <v>2403</v>
      </c>
      <c r="BA52" s="106">
        <v>1.704</v>
      </c>
      <c r="BB52" s="1" t="s">
        <v>430</v>
      </c>
    </row>
    <row r="53" spans="2:54">
      <c r="B53" t="s">
        <v>2364</v>
      </c>
      <c r="C53">
        <v>1</v>
      </c>
      <c r="D53" s="1" t="str">
        <f>VLOOKUP(B:B,'7店'!$B:$B,1,0)</f>
        <v>Y7033-BU+Y7034</v>
      </c>
      <c r="E53" t="s">
        <v>2274</v>
      </c>
      <c r="F53">
        <v>6</v>
      </c>
      <c r="G53" s="1" t="str">
        <f>VLOOKUP(E:E,'7店'!$B:$B,1,0)</f>
        <v>Y72563-OR+Y72564+Y72571</v>
      </c>
      <c r="H53" t="s">
        <v>2420</v>
      </c>
      <c r="I53">
        <v>9</v>
      </c>
      <c r="J53" s="1" t="str">
        <f>VLOOKUP(H:H,'7店'!$B:$B,1,0)</f>
        <v>Y73134-DB+Y03137+Y73268</v>
      </c>
      <c r="K53" t="s">
        <v>2477</v>
      </c>
      <c r="L53">
        <v>198</v>
      </c>
      <c r="M53">
        <v>1</v>
      </c>
      <c r="N53">
        <v>0.27</v>
      </c>
      <c r="O53">
        <v>0</v>
      </c>
      <c r="P53">
        <v>0</v>
      </c>
      <c r="Q53" s="31">
        <v>0</v>
      </c>
      <c r="R53" s="31">
        <v>0</v>
      </c>
      <c r="S53" s="1" t="str">
        <f>VLOOKUP(K:K,'7店'!$B:$B,1,0)</f>
        <v>Y7036-DB-ZH</v>
      </c>
      <c r="T53" t="s">
        <v>2700</v>
      </c>
      <c r="U53">
        <v>507</v>
      </c>
      <c r="V53">
        <v>4</v>
      </c>
      <c r="W53">
        <v>1.41</v>
      </c>
      <c r="X53">
        <v>12.99</v>
      </c>
      <c r="Y53">
        <v>1</v>
      </c>
      <c r="Z53" s="31">
        <v>0.108545034642032</v>
      </c>
      <c r="AA53" s="31">
        <v>0.25</v>
      </c>
      <c r="AB53" s="1" t="e">
        <f>VLOOKUP(T:T,'7店'!$B:$B,1,0)</f>
        <v>#N/A</v>
      </c>
      <c r="AC53" t="s">
        <v>2382</v>
      </c>
      <c r="AD53">
        <v>4729</v>
      </c>
      <c r="AE53">
        <v>126</v>
      </c>
      <c r="AF53">
        <v>47.05</v>
      </c>
      <c r="AG53">
        <v>227.49</v>
      </c>
      <c r="AH53">
        <v>16</v>
      </c>
      <c r="AI53" s="31">
        <v>0.206822277902325</v>
      </c>
      <c r="AJ53" s="31">
        <v>0.126984126984127</v>
      </c>
      <c r="AK53" s="1" t="str">
        <f>VLOOKUP(AC:AC,'7店'!$B:$B,1,0)</f>
        <v>Y7028-OR+Y7029+Y7030</v>
      </c>
      <c r="AL53" s="29" t="s">
        <v>2142</v>
      </c>
      <c r="AM53" s="33">
        <v>51.96</v>
      </c>
      <c r="AN53" s="1">
        <f t="shared" si="2"/>
        <v>355.926</v>
      </c>
      <c r="AP53" s="29" t="s">
        <v>2698</v>
      </c>
      <c r="AQ53" s="33">
        <v>116.91</v>
      </c>
      <c r="AR53" s="1">
        <f t="shared" si="3"/>
        <v>800.8335</v>
      </c>
      <c r="AT53" s="43" t="s">
        <v>2699</v>
      </c>
      <c r="AU53" s="44">
        <v>0</v>
      </c>
      <c r="AV53" s="35"/>
      <c r="AW53" s="43" t="s">
        <v>2265</v>
      </c>
      <c r="AX53" s="44">
        <v>194.6</v>
      </c>
      <c r="AZ53" s="128" t="s">
        <v>2406</v>
      </c>
      <c r="BA53" s="106">
        <v>1.731</v>
      </c>
      <c r="BB53" s="1" t="s">
        <v>430</v>
      </c>
    </row>
    <row r="54" spans="2:54">
      <c r="B54" t="s">
        <v>2406</v>
      </c>
      <c r="C54">
        <v>1</v>
      </c>
      <c r="D54" s="1" t="str">
        <f>VLOOKUP(B:B,'7店'!$B:$B,1,0)</f>
        <v>Y7025-OR+Y7027+Y7026</v>
      </c>
      <c r="E54" t="s">
        <v>2321</v>
      </c>
      <c r="F54">
        <v>3</v>
      </c>
      <c r="G54" s="1" t="str">
        <f>VLOOKUP(E:E,'7店'!$B:$B,1,0)</f>
        <v>Y7012-GE+Y7020+Y7016</v>
      </c>
      <c r="H54" t="s">
        <v>2220</v>
      </c>
      <c r="I54">
        <v>6</v>
      </c>
      <c r="J54" s="1" t="str">
        <f>VLOOKUP(H:H,'7店'!$B:$B,1,0)</f>
        <v>Y73040-DB+Y73045+Y73063</v>
      </c>
      <c r="K54" t="s">
        <v>2451</v>
      </c>
      <c r="L54">
        <v>719</v>
      </c>
      <c r="M54">
        <v>4</v>
      </c>
      <c r="N54">
        <v>1.34</v>
      </c>
      <c r="O54">
        <v>0</v>
      </c>
      <c r="P54">
        <v>0</v>
      </c>
      <c r="Q54" s="31">
        <v>0</v>
      </c>
      <c r="R54" s="31">
        <v>0</v>
      </c>
      <c r="S54" s="1" t="str">
        <f>VLOOKUP(K:K,'7店'!$B:$B,1,0)</f>
        <v>Y73135-BL-ZH</v>
      </c>
      <c r="T54" t="s">
        <v>2345</v>
      </c>
      <c r="U54">
        <v>2355</v>
      </c>
      <c r="V54">
        <v>19</v>
      </c>
      <c r="W54">
        <v>7.24</v>
      </c>
      <c r="X54">
        <v>0</v>
      </c>
      <c r="Y54">
        <v>0</v>
      </c>
      <c r="Z54" s="31">
        <v>0</v>
      </c>
      <c r="AA54" s="31">
        <v>0</v>
      </c>
      <c r="AB54" s="1" t="str">
        <f>VLOOKUP(T:T,'7店'!$B:$B,1,0)</f>
        <v>Y72610-OR+Y72613+Y12803</v>
      </c>
      <c r="AC54" t="s">
        <v>2397</v>
      </c>
      <c r="AD54">
        <v>701</v>
      </c>
      <c r="AE54">
        <v>6</v>
      </c>
      <c r="AF54">
        <v>2.39</v>
      </c>
      <c r="AG54">
        <v>0</v>
      </c>
      <c r="AH54">
        <v>0</v>
      </c>
      <c r="AI54" s="31">
        <v>0</v>
      </c>
      <c r="AJ54" s="31">
        <v>0</v>
      </c>
      <c r="AK54" s="1" t="str">
        <f>VLOOKUP(AC:AC,'7店'!$B:$B,1,0)</f>
        <v>Y7025-BL+Y7027+Y7026</v>
      </c>
      <c r="AL54" s="29" t="s">
        <v>2294</v>
      </c>
      <c r="AM54" s="33">
        <v>51.96</v>
      </c>
      <c r="AN54" s="1">
        <f t="shared" si="2"/>
        <v>355.926</v>
      </c>
      <c r="AP54" s="29" t="s">
        <v>2662</v>
      </c>
      <c r="AQ54" s="33">
        <v>116.91</v>
      </c>
      <c r="AR54" s="1">
        <f t="shared" si="3"/>
        <v>800.8335</v>
      </c>
      <c r="AT54" s="43" t="s">
        <v>2265</v>
      </c>
      <c r="AU54" s="44">
        <v>152.9</v>
      </c>
      <c r="AV54" s="35"/>
      <c r="AW54" s="43" t="s">
        <v>2701</v>
      </c>
      <c r="AX54" s="44">
        <v>13.9</v>
      </c>
      <c r="AZ54" s="128" t="s">
        <v>2373</v>
      </c>
      <c r="BA54" s="106">
        <v>2.873</v>
      </c>
      <c r="BB54" s="1" t="s">
        <v>430</v>
      </c>
    </row>
    <row r="55" spans="2:54">
      <c r="B55" t="s">
        <v>2397</v>
      </c>
      <c r="C55">
        <v>3</v>
      </c>
      <c r="D55" s="1" t="str">
        <f>VLOOKUP(B:B,'7店'!$B:$B,1,0)</f>
        <v>Y7025-BL+Y7027+Y7026</v>
      </c>
      <c r="E55" t="s">
        <v>2220</v>
      </c>
      <c r="F55">
        <v>2</v>
      </c>
      <c r="G55" s="1" t="str">
        <f>VLOOKUP(E:E,'7店'!$B:$B,1,0)</f>
        <v>Y73040-DB+Y73045+Y73063</v>
      </c>
      <c r="H55" t="s">
        <v>2274</v>
      </c>
      <c r="I55">
        <v>6</v>
      </c>
      <c r="J55" s="1" t="str">
        <f>VLOOKUP(H:H,'7店'!$B:$B,1,0)</f>
        <v>Y72563-OR+Y72564+Y72571</v>
      </c>
      <c r="K55" t="s">
        <v>2460</v>
      </c>
      <c r="L55">
        <v>23</v>
      </c>
      <c r="M55">
        <v>1</v>
      </c>
      <c r="N55">
        <v>0.2</v>
      </c>
      <c r="O55">
        <v>12.99</v>
      </c>
      <c r="P55">
        <v>1</v>
      </c>
      <c r="Q55" s="31">
        <v>0.0153964588144727</v>
      </c>
      <c r="R55" s="31">
        <v>1</v>
      </c>
      <c r="S55" s="1" t="str">
        <f>VLOOKUP(K:K,'7店'!$B:$B,1,0)</f>
        <v>Y73153-OR-ZH</v>
      </c>
      <c r="T55" t="s">
        <v>2367</v>
      </c>
      <c r="U55">
        <v>3475</v>
      </c>
      <c r="V55">
        <v>35</v>
      </c>
      <c r="W55">
        <v>14.47</v>
      </c>
      <c r="X55">
        <v>47.96</v>
      </c>
      <c r="Y55">
        <v>3</v>
      </c>
      <c r="Z55" s="31">
        <v>0.301709758131777</v>
      </c>
      <c r="AA55" s="31">
        <v>0.0857142857142857</v>
      </c>
      <c r="AB55" s="1" t="str">
        <f>VLOOKUP(T:T,'7店'!$B:$B,1,0)</f>
        <v>Y7033-DB+Y7034</v>
      </c>
      <c r="AC55" t="s">
        <v>2406</v>
      </c>
      <c r="AD55">
        <v>7741</v>
      </c>
      <c r="AE55">
        <v>64</v>
      </c>
      <c r="AF55">
        <v>23.23</v>
      </c>
      <c r="AG55">
        <v>77.94</v>
      </c>
      <c r="AH55">
        <v>6</v>
      </c>
      <c r="AI55" s="31">
        <v>0.2980497818835</v>
      </c>
      <c r="AJ55" s="31">
        <v>0.09375</v>
      </c>
      <c r="AK55" s="1" t="str">
        <f>VLOOKUP(AC:AC,'7店'!$B:$B,1,0)</f>
        <v>Y7025-OR+Y7027+Y7026</v>
      </c>
      <c r="AL55" s="29" t="s">
        <v>2336</v>
      </c>
      <c r="AM55" s="33">
        <v>51.96</v>
      </c>
      <c r="AN55" s="1">
        <f t="shared" si="2"/>
        <v>355.926</v>
      </c>
      <c r="AP55" s="29" t="s">
        <v>2671</v>
      </c>
      <c r="AQ55" s="33">
        <v>116.91</v>
      </c>
      <c r="AR55" s="1">
        <f t="shared" si="3"/>
        <v>800.8335</v>
      </c>
      <c r="AT55" s="43" t="s">
        <v>2701</v>
      </c>
      <c r="AU55" s="44">
        <v>0</v>
      </c>
      <c r="AV55" s="35"/>
      <c r="AW55" s="43" t="s">
        <v>2268</v>
      </c>
      <c r="AX55" s="44">
        <v>13.9</v>
      </c>
      <c r="AZ55" s="128" t="s">
        <v>2376</v>
      </c>
      <c r="BA55" s="106">
        <v>1.69</v>
      </c>
      <c r="BB55" s="1" t="s">
        <v>430</v>
      </c>
    </row>
    <row r="56" spans="2:54">
      <c r="B56" t="s">
        <v>2388</v>
      </c>
      <c r="C56">
        <v>4</v>
      </c>
      <c r="D56" s="1" t="str">
        <f>VLOOKUP(B:B,'7店'!$B:$B,1,0)</f>
        <v>Y7031-BU+Y7032</v>
      </c>
      <c r="E56" t="s">
        <v>2345</v>
      </c>
      <c r="F56">
        <v>1</v>
      </c>
      <c r="G56" s="1" t="str">
        <f>VLOOKUP(E:E,'7店'!$B:$B,1,0)</f>
        <v>Y72610-OR+Y72613+Y12803</v>
      </c>
      <c r="H56" t="s">
        <v>2249</v>
      </c>
      <c r="I56">
        <v>13</v>
      </c>
      <c r="J56" s="1" t="str">
        <f>VLOOKUP(H:H,'7店'!$B:$B,1,0)</f>
        <v>Y73189-OR+Y73190+Y73270</v>
      </c>
      <c r="K56" t="s">
        <v>2491</v>
      </c>
      <c r="L56">
        <v>53</v>
      </c>
      <c r="M56">
        <v>1</v>
      </c>
      <c r="N56">
        <v>0.12</v>
      </c>
      <c r="O56">
        <v>0</v>
      </c>
      <c r="P56">
        <v>0</v>
      </c>
      <c r="Q56" s="31">
        <v>0</v>
      </c>
      <c r="R56" s="31">
        <v>0</v>
      </c>
      <c r="S56" s="1" t="str">
        <f>VLOOKUP(K:K,'7店'!$B:$B,1,0)</f>
        <v>Y73153-BL-ZH</v>
      </c>
      <c r="T56" t="s">
        <v>2361</v>
      </c>
      <c r="U56">
        <v>2230</v>
      </c>
      <c r="V56">
        <v>20</v>
      </c>
      <c r="W56">
        <v>8.51</v>
      </c>
      <c r="X56">
        <v>36.97</v>
      </c>
      <c r="Y56">
        <v>3</v>
      </c>
      <c r="Z56" s="31">
        <v>0.230186637814444</v>
      </c>
      <c r="AA56" s="31">
        <v>0.15</v>
      </c>
      <c r="AB56" s="1" t="str">
        <f>VLOOKUP(T:T,'7店'!$B:$B,1,0)</f>
        <v>Y7033-BL+Y7034</v>
      </c>
      <c r="AC56" t="s">
        <v>2700</v>
      </c>
      <c r="AD56">
        <v>2365</v>
      </c>
      <c r="AE56">
        <v>42</v>
      </c>
      <c r="AF56">
        <v>16.12</v>
      </c>
      <c r="AG56">
        <v>64.95</v>
      </c>
      <c r="AH56">
        <v>5</v>
      </c>
      <c r="AI56" s="31">
        <v>0.248190916089299</v>
      </c>
      <c r="AJ56" s="31">
        <v>0.119047619047619</v>
      </c>
      <c r="AK56" s="1" t="e">
        <f>VLOOKUP(AC:AC,'7店'!$B:$B,1,0)</f>
        <v>#N/A</v>
      </c>
      <c r="AL56" s="29" t="s">
        <v>2382</v>
      </c>
      <c r="AM56" s="33">
        <v>64.62</v>
      </c>
      <c r="AN56" s="1">
        <f t="shared" si="2"/>
        <v>442.647</v>
      </c>
      <c r="AP56" s="29" t="s">
        <v>2142</v>
      </c>
      <c r="AQ56" s="33">
        <v>101.92</v>
      </c>
      <c r="AR56" s="1">
        <f t="shared" si="3"/>
        <v>698.152</v>
      </c>
      <c r="AT56" s="43" t="s">
        <v>2268</v>
      </c>
      <c r="AU56" s="44">
        <v>0</v>
      </c>
      <c r="AV56" s="35"/>
      <c r="AW56" s="43" t="s">
        <v>2271</v>
      </c>
      <c r="AX56" s="44">
        <v>278</v>
      </c>
      <c r="AZ56" s="128" t="s">
        <v>2379</v>
      </c>
      <c r="BA56" s="106">
        <v>1.716</v>
      </c>
      <c r="BB56" s="1" t="s">
        <v>430</v>
      </c>
    </row>
    <row r="57" spans="2:54">
      <c r="B57" t="s">
        <v>2145</v>
      </c>
      <c r="C57">
        <v>2</v>
      </c>
      <c r="D57" s="1" t="str">
        <f>VLOOKUP(B:B,'7店'!$B:$B,1,0)</f>
        <v>Y7002-BL+Y7005</v>
      </c>
      <c r="E57" t="s">
        <v>2361</v>
      </c>
      <c r="F57">
        <v>9</v>
      </c>
      <c r="G57" s="1" t="str">
        <f>VLOOKUP(E:E,'7店'!$B:$B,1,0)</f>
        <v>Y7033-BL+Y7034</v>
      </c>
      <c r="H57" t="s">
        <v>2243</v>
      </c>
      <c r="I57">
        <v>29</v>
      </c>
      <c r="J57" s="1" t="str">
        <f>VLOOKUP(H:H,'7店'!$B:$B,1,0)</f>
        <v>Y73189-BL+Y73190+Y73270</v>
      </c>
      <c r="K57" t="s">
        <v>2484</v>
      </c>
      <c r="L57">
        <v>156</v>
      </c>
      <c r="M57">
        <v>2</v>
      </c>
      <c r="N57">
        <v>1.08</v>
      </c>
      <c r="O57">
        <v>0</v>
      </c>
      <c r="P57">
        <v>0</v>
      </c>
      <c r="Q57" s="31">
        <v>0</v>
      </c>
      <c r="R57" s="31">
        <v>0</v>
      </c>
      <c r="S57" s="1" t="str">
        <f>VLOOKUP(K:K,'7店'!$B:$B,1,0)</f>
        <v>Y7039-BU+Y7040+Y7041</v>
      </c>
      <c r="T57" t="s">
        <v>2702</v>
      </c>
      <c r="U57">
        <v>85</v>
      </c>
      <c r="V57">
        <v>1</v>
      </c>
      <c r="W57">
        <v>0.43</v>
      </c>
      <c r="X57">
        <v>0</v>
      </c>
      <c r="Y57">
        <v>0</v>
      </c>
      <c r="Z57" s="31">
        <v>0</v>
      </c>
      <c r="AA57" s="31">
        <v>0</v>
      </c>
      <c r="AB57" s="1" t="e">
        <f>VLOOKUP(T:T,'7店'!$B:$B,1,0)</f>
        <v>#N/A</v>
      </c>
      <c r="AC57" t="s">
        <v>2345</v>
      </c>
      <c r="AD57">
        <v>4689</v>
      </c>
      <c r="AE57">
        <v>48</v>
      </c>
      <c r="AF57">
        <v>18.54</v>
      </c>
      <c r="AG57">
        <v>25.98</v>
      </c>
      <c r="AH57">
        <v>2</v>
      </c>
      <c r="AI57" s="31">
        <v>0.713625866050808</v>
      </c>
      <c r="AJ57" s="31">
        <v>0.0416666666666667</v>
      </c>
      <c r="AK57" s="1" t="str">
        <f>VLOOKUP(AC:AC,'7店'!$B:$B,1,0)</f>
        <v>Y72610-OR+Y72613+Y12803</v>
      </c>
      <c r="AL57" s="29" t="s">
        <v>2388</v>
      </c>
      <c r="AM57" s="33">
        <v>51.96</v>
      </c>
      <c r="AN57" s="1">
        <f t="shared" si="2"/>
        <v>355.926</v>
      </c>
      <c r="AP57" s="29" t="s">
        <v>2294</v>
      </c>
      <c r="AQ57" s="33">
        <v>99.59</v>
      </c>
      <c r="AR57" s="1">
        <f t="shared" si="3"/>
        <v>682.1915</v>
      </c>
      <c r="AT57" s="43" t="s">
        <v>2271</v>
      </c>
      <c r="AU57" s="44">
        <v>97.3</v>
      </c>
      <c r="AV57" s="35"/>
      <c r="AW57" s="43" t="s">
        <v>2274</v>
      </c>
      <c r="AX57" s="44">
        <v>180.7</v>
      </c>
      <c r="AZ57" s="128" t="s">
        <v>2382</v>
      </c>
      <c r="BA57" s="106">
        <v>1.775</v>
      </c>
      <c r="BB57" s="1" t="s">
        <v>430</v>
      </c>
    </row>
    <row r="58" spans="2:54">
      <c r="B58" t="s">
        <v>2206</v>
      </c>
      <c r="C58">
        <v>1</v>
      </c>
      <c r="D58" s="1" t="str">
        <f>VLOOKUP(B:B,'7店'!$B:$B,1,0)</f>
        <v>Y73106-OR+Y73109+Y73112</v>
      </c>
      <c r="E58" t="s">
        <v>2367</v>
      </c>
      <c r="F58">
        <v>3</v>
      </c>
      <c r="G58" s="1" t="str">
        <f>VLOOKUP(E:E,'7店'!$B:$B,1,0)</f>
        <v>Y7033-DB+Y7034</v>
      </c>
      <c r="H58" t="s">
        <v>2209</v>
      </c>
      <c r="I58">
        <v>2</v>
      </c>
      <c r="J58" s="1" t="str">
        <f>VLOOKUP(H:H,'7店'!$B:$B,1,0)</f>
        <v>Y73230-BL+Y73231+Y73240</v>
      </c>
      <c r="K58" t="s">
        <v>2481</v>
      </c>
      <c r="L58">
        <v>1214</v>
      </c>
      <c r="M58">
        <v>4</v>
      </c>
      <c r="N58">
        <v>1.8</v>
      </c>
      <c r="O58">
        <v>12.99</v>
      </c>
      <c r="P58">
        <v>1</v>
      </c>
      <c r="Q58" s="31">
        <v>0.138568129330254</v>
      </c>
      <c r="R58" s="31">
        <v>0.25</v>
      </c>
      <c r="S58" s="1" t="str">
        <f>VLOOKUP(K:K,'7店'!$B:$B,1,0)</f>
        <v>Y7039-BL+Y7040+Y7041</v>
      </c>
      <c r="T58" t="s">
        <v>2436</v>
      </c>
      <c r="U58">
        <v>1166</v>
      </c>
      <c r="V58">
        <v>19</v>
      </c>
      <c r="W58">
        <v>6.04</v>
      </c>
      <c r="X58">
        <v>38.64</v>
      </c>
      <c r="Y58">
        <v>3</v>
      </c>
      <c r="Z58" s="31">
        <v>0.156314699792961</v>
      </c>
      <c r="AA58" s="31">
        <v>0.157894736842105</v>
      </c>
      <c r="AB58" s="1" t="str">
        <f>VLOOKUP(T:T,'7店'!$B:$B,1,0)</f>
        <v>Y72559-OR+Y72560+Y72399</v>
      </c>
      <c r="AC58" t="s">
        <v>2367</v>
      </c>
      <c r="AD58">
        <v>6793</v>
      </c>
      <c r="AE58">
        <v>73</v>
      </c>
      <c r="AF58">
        <v>29.3</v>
      </c>
      <c r="AG58">
        <v>99.92</v>
      </c>
      <c r="AH58">
        <v>7</v>
      </c>
      <c r="AI58" s="31">
        <v>0.293234587670136</v>
      </c>
      <c r="AJ58" s="31">
        <v>0.0958904109589041</v>
      </c>
      <c r="AK58" s="1" t="str">
        <f>VLOOKUP(AC:AC,'7店'!$B:$B,1,0)</f>
        <v>Y7033-DB+Y7034</v>
      </c>
      <c r="AL58" s="29" t="s">
        <v>2376</v>
      </c>
      <c r="AM58" s="33">
        <v>51.96</v>
      </c>
      <c r="AN58" s="1">
        <f t="shared" si="2"/>
        <v>355.926</v>
      </c>
      <c r="AP58" s="29" t="s">
        <v>2355</v>
      </c>
      <c r="AQ58" s="33">
        <v>88.93</v>
      </c>
      <c r="AR58" s="1">
        <f t="shared" si="3"/>
        <v>609.1705</v>
      </c>
      <c r="AT58" s="43" t="s">
        <v>2274</v>
      </c>
      <c r="AU58" s="44">
        <v>166.8</v>
      </c>
      <c r="AV58" s="35"/>
      <c r="AW58" s="43" t="s">
        <v>2276</v>
      </c>
      <c r="AX58" s="44">
        <v>1403.9</v>
      </c>
      <c r="AZ58" s="128" t="s">
        <v>2385</v>
      </c>
      <c r="BA58" s="106">
        <v>3.418</v>
      </c>
      <c r="BB58" s="1" t="s">
        <v>430</v>
      </c>
    </row>
    <row r="59" spans="2:54">
      <c r="B59" t="s">
        <v>2565</v>
      </c>
      <c r="C59">
        <v>1</v>
      </c>
      <c r="D59" s="1" t="str">
        <f>VLOOKUP(B:B,'7店'!$B:$B,1,0)</f>
        <v>Y7051-OR+Y7055+Y7059</v>
      </c>
      <c r="E59" t="s">
        <v>2364</v>
      </c>
      <c r="F59">
        <v>4</v>
      </c>
      <c r="G59" s="1" t="str">
        <f>VLOOKUP(E:E,'7店'!$B:$B,1,0)</f>
        <v>Y7033-BU+Y7034</v>
      </c>
      <c r="H59" t="s">
        <v>2151</v>
      </c>
      <c r="I59">
        <v>13</v>
      </c>
      <c r="J59" s="1" t="str">
        <f>VLOOKUP(H:H,'7店'!$B:$B,1,0)</f>
        <v>Y7002-OR+Y7005</v>
      </c>
      <c r="K59" t="s">
        <v>2513</v>
      </c>
      <c r="L59">
        <v>21</v>
      </c>
      <c r="M59">
        <v>0</v>
      </c>
      <c r="N59">
        <v>0</v>
      </c>
      <c r="O59">
        <v>0</v>
      </c>
      <c r="P59">
        <v>0</v>
      </c>
      <c r="Q59" s="31">
        <v>0</v>
      </c>
      <c r="R59" s="31">
        <v>0</v>
      </c>
      <c r="S59" s="1" t="str">
        <f>VLOOKUP(K:K,'7店'!$B:$B,1,0)</f>
        <v>Y73153-DB-ZH</v>
      </c>
      <c r="T59" t="s">
        <v>2472</v>
      </c>
      <c r="U59">
        <v>57</v>
      </c>
      <c r="V59">
        <v>0</v>
      </c>
      <c r="W59">
        <v>0</v>
      </c>
      <c r="X59">
        <v>0</v>
      </c>
      <c r="Y59">
        <v>0</v>
      </c>
      <c r="Z59" s="31">
        <v>0</v>
      </c>
      <c r="AA59" s="31">
        <v>0</v>
      </c>
      <c r="AB59" s="1" t="str">
        <f>VLOOKUP(T:T,'7店'!$B:$B,1,0)</f>
        <v>Y7036-BL-ZH</v>
      </c>
      <c r="AC59" t="s">
        <v>2361</v>
      </c>
      <c r="AD59">
        <v>5224</v>
      </c>
      <c r="AE59">
        <v>39</v>
      </c>
      <c r="AF59">
        <v>16.37</v>
      </c>
      <c r="AG59">
        <v>49.96</v>
      </c>
      <c r="AH59">
        <v>4</v>
      </c>
      <c r="AI59" s="31">
        <v>0.327662129703763</v>
      </c>
      <c r="AJ59" s="31">
        <v>0.102564102564103</v>
      </c>
      <c r="AK59" s="1" t="str">
        <f>VLOOKUP(AC:AC,'7店'!$B:$B,1,0)</f>
        <v>Y7033-BL+Y7034</v>
      </c>
      <c r="AL59" s="29" t="s">
        <v>2575</v>
      </c>
      <c r="AM59" s="33">
        <v>51.96</v>
      </c>
      <c r="AN59" s="1">
        <f t="shared" si="2"/>
        <v>355.926</v>
      </c>
      <c r="AP59" s="29" t="s">
        <v>2361</v>
      </c>
      <c r="AQ59" s="33">
        <v>112.91</v>
      </c>
      <c r="AR59" s="1">
        <f t="shared" si="3"/>
        <v>773.4335</v>
      </c>
      <c r="AT59" s="43" t="s">
        <v>2276</v>
      </c>
      <c r="AU59" s="44">
        <v>1681.9</v>
      </c>
      <c r="AV59" s="35"/>
      <c r="AW59" s="43" t="s">
        <v>2279</v>
      </c>
      <c r="AX59" s="44">
        <v>1445.6</v>
      </c>
      <c r="AZ59" s="128" t="s">
        <v>2388</v>
      </c>
      <c r="BA59" s="106">
        <v>2.32</v>
      </c>
      <c r="BB59" s="1" t="s">
        <v>430</v>
      </c>
    </row>
    <row r="60" spans="2:54">
      <c r="B60" t="s">
        <v>2502</v>
      </c>
      <c r="C60">
        <v>1</v>
      </c>
      <c r="D60" s="1" t="str">
        <f>VLOOKUP(B:B,'7店'!$B:$B,1,0)</f>
        <v>Y7045-BL+Y7046+Y7047</v>
      </c>
      <c r="E60" t="s">
        <v>2370</v>
      </c>
      <c r="F60">
        <v>2</v>
      </c>
      <c r="G60" s="1" t="str">
        <f>VLOOKUP(E:E,'7店'!$B:$B,1,0)</f>
        <v>Y7033-OR+Y7034</v>
      </c>
      <c r="H60" t="s">
        <v>2403</v>
      </c>
      <c r="I60">
        <v>15</v>
      </c>
      <c r="J60" s="1" t="str">
        <f>VLOOKUP(H:H,'7店'!$B:$B,1,0)</f>
        <v>Y7025-DB+Y7027+Y7026</v>
      </c>
      <c r="K60" t="s">
        <v>2209</v>
      </c>
      <c r="L60">
        <v>1543</v>
      </c>
      <c r="M60">
        <v>13</v>
      </c>
      <c r="N60">
        <v>5.75</v>
      </c>
      <c r="O60">
        <v>0</v>
      </c>
      <c r="P60">
        <v>0</v>
      </c>
      <c r="Q60" s="31">
        <v>0</v>
      </c>
      <c r="R60" s="31">
        <v>0</v>
      </c>
      <c r="S60" s="1" t="str">
        <f>VLOOKUP(K:K,'7店'!$B:$B,1,0)</f>
        <v>Y73230-BL+Y73231+Y73240</v>
      </c>
      <c r="T60" t="s">
        <v>2475</v>
      </c>
      <c r="U60">
        <v>645</v>
      </c>
      <c r="V60">
        <v>6</v>
      </c>
      <c r="W60">
        <v>2.08</v>
      </c>
      <c r="X60">
        <v>0</v>
      </c>
      <c r="Y60">
        <v>0</v>
      </c>
      <c r="Z60" s="31">
        <v>0</v>
      </c>
      <c r="AA60" s="31">
        <v>0</v>
      </c>
      <c r="AB60" s="1" t="str">
        <f>VLOOKUP(T:T,'7店'!$B:$B,1,0)</f>
        <v>Y7036-BU-ZH</v>
      </c>
      <c r="AC60" t="s">
        <v>2702</v>
      </c>
      <c r="AD60">
        <v>86</v>
      </c>
      <c r="AE60">
        <v>1</v>
      </c>
      <c r="AF60">
        <v>0.43</v>
      </c>
      <c r="AG60">
        <v>0</v>
      </c>
      <c r="AH60">
        <v>0</v>
      </c>
      <c r="AI60" s="31">
        <v>0</v>
      </c>
      <c r="AJ60" s="31">
        <v>0</v>
      </c>
      <c r="AK60" s="1" t="e">
        <f>VLOOKUP(AC:AC,'7店'!$B:$B,1,0)</f>
        <v>#N/A</v>
      </c>
      <c r="AL60" s="29" t="s">
        <v>2620</v>
      </c>
      <c r="AM60" s="33">
        <v>51.63</v>
      </c>
      <c r="AN60" s="1">
        <f t="shared" si="2"/>
        <v>353.6655</v>
      </c>
      <c r="AP60" s="29" t="s">
        <v>2376</v>
      </c>
      <c r="AQ60" s="33">
        <v>101.92</v>
      </c>
      <c r="AR60" s="1">
        <f t="shared" si="3"/>
        <v>698.152</v>
      </c>
      <c r="AT60" s="43" t="s">
        <v>2279</v>
      </c>
      <c r="AU60" s="44">
        <v>1390</v>
      </c>
      <c r="AV60" s="35"/>
      <c r="AW60" s="43" t="s">
        <v>2282</v>
      </c>
      <c r="AX60" s="44">
        <v>444.8</v>
      </c>
      <c r="AZ60" s="128" t="s">
        <v>2391</v>
      </c>
      <c r="BA60" s="106">
        <v>1.745</v>
      </c>
      <c r="BB60" s="1" t="s">
        <v>430</v>
      </c>
    </row>
    <row r="61" spans="2:54">
      <c r="B61" t="s">
        <v>2187</v>
      </c>
      <c r="C61">
        <v>8</v>
      </c>
      <c r="D61" s="1" t="str">
        <f>VLOOKUP(B:B,'7店'!$B:$B,1,0)</f>
        <v>Y72488-DB+Y72490+Y72380</v>
      </c>
      <c r="E61" t="s">
        <v>2394</v>
      </c>
      <c r="F61">
        <v>6</v>
      </c>
      <c r="G61" s="1" t="str">
        <f>VLOOKUP(E:E,'7店'!$B:$B,1,0)</f>
        <v>Y7031-OR+Y7032</v>
      </c>
      <c r="H61" t="s">
        <v>2688</v>
      </c>
      <c r="I61">
        <v>11</v>
      </c>
      <c r="J61" s="1" t="e">
        <f>VLOOKUP(H:H,'7店'!$B:$B,1,0)</f>
        <v>#N/A</v>
      </c>
      <c r="K61" t="s">
        <v>2349</v>
      </c>
      <c r="L61">
        <v>7075</v>
      </c>
      <c r="M61">
        <v>26</v>
      </c>
      <c r="N61">
        <v>11.48</v>
      </c>
      <c r="O61">
        <v>25.98</v>
      </c>
      <c r="P61">
        <v>2</v>
      </c>
      <c r="Q61" s="31">
        <v>0.441878367975366</v>
      </c>
      <c r="R61" s="31">
        <v>0.0769230769230769</v>
      </c>
      <c r="S61" s="1" t="str">
        <f>VLOOKUP(K:K,'7店'!$B:$B,1,0)</f>
        <v>Y7022-BL+Y7024+Y7023</v>
      </c>
      <c r="T61" t="s">
        <v>2479</v>
      </c>
      <c r="U61">
        <v>24</v>
      </c>
      <c r="V61">
        <v>0</v>
      </c>
      <c r="W61">
        <v>0</v>
      </c>
      <c r="X61">
        <v>0</v>
      </c>
      <c r="Y61">
        <v>0</v>
      </c>
      <c r="Z61" s="31">
        <v>0</v>
      </c>
      <c r="AA61" s="31">
        <v>0</v>
      </c>
      <c r="AB61" s="1" t="str">
        <f>VLOOKUP(T:T,'7店'!$B:$B,1,0)</f>
        <v>Y7036-OR-ZH</v>
      </c>
      <c r="AC61" t="s">
        <v>2436</v>
      </c>
      <c r="AD61">
        <v>2554</v>
      </c>
      <c r="AE61">
        <v>30</v>
      </c>
      <c r="AF61">
        <v>9.55</v>
      </c>
      <c r="AG61">
        <v>64.62</v>
      </c>
      <c r="AH61">
        <v>5</v>
      </c>
      <c r="AI61" s="31">
        <v>0.147787062828846</v>
      </c>
      <c r="AJ61" s="31">
        <v>0.166666666666667</v>
      </c>
      <c r="AK61" s="1" t="str">
        <f>VLOOKUP(AC:AC,'7店'!$B:$B,1,0)</f>
        <v>Y72559-OR+Y72560+Y72399</v>
      </c>
      <c r="AL61" s="29" t="s">
        <v>2656</v>
      </c>
      <c r="AM61" s="33">
        <v>51.96</v>
      </c>
      <c r="AN61" s="1">
        <f t="shared" si="2"/>
        <v>355.926</v>
      </c>
      <c r="AP61" s="29" t="s">
        <v>2400</v>
      </c>
      <c r="AQ61" s="33">
        <v>114.91</v>
      </c>
      <c r="AR61" s="1">
        <f t="shared" si="3"/>
        <v>787.1335</v>
      </c>
      <c r="AT61" s="43" t="s">
        <v>2282</v>
      </c>
      <c r="AU61" s="44">
        <v>1264.9</v>
      </c>
      <c r="AV61" s="35"/>
      <c r="AW61" s="43" t="s">
        <v>2285</v>
      </c>
      <c r="AX61" s="44">
        <v>792.3</v>
      </c>
      <c r="AZ61" s="128" t="s">
        <v>2394</v>
      </c>
      <c r="BA61" s="106">
        <v>1.724</v>
      </c>
      <c r="BB61" s="1" t="s">
        <v>430</v>
      </c>
    </row>
    <row r="62" spans="2:54">
      <c r="B62" t="s">
        <v>2559</v>
      </c>
      <c r="C62">
        <v>4</v>
      </c>
      <c r="D62" s="1" t="str">
        <f>VLOOKUP(B:B,'7店'!$B:$B,1,0)</f>
        <v>Y7051-BL+Y7055+Y7059</v>
      </c>
      <c r="E62" t="s">
        <v>2702</v>
      </c>
      <c r="F62">
        <v>1</v>
      </c>
      <c r="G62" s="1" t="e">
        <f>VLOOKUP(E:E,'7店'!$B:$B,1,0)</f>
        <v>#N/A</v>
      </c>
      <c r="H62" t="s">
        <v>2376</v>
      </c>
      <c r="I62">
        <v>12</v>
      </c>
      <c r="J62" s="1" t="str">
        <f>VLOOKUP(H:H,'7店'!$B:$B,1,0)</f>
        <v>Y7028-BU+Y7029+Y7030</v>
      </c>
      <c r="K62" t="s">
        <v>2309</v>
      </c>
      <c r="L62">
        <v>2</v>
      </c>
      <c r="M62">
        <v>0</v>
      </c>
      <c r="N62">
        <v>0</v>
      </c>
      <c r="O62">
        <v>0</v>
      </c>
      <c r="P62">
        <v>0</v>
      </c>
      <c r="Q62" s="31">
        <v>0</v>
      </c>
      <c r="R62" s="31">
        <v>0</v>
      </c>
      <c r="S62" s="1" t="str">
        <f>VLOOKUP(K:K,'7店'!$B:$B,1,0)</f>
        <v>Y7011-OR+Y7019+Y7015</v>
      </c>
      <c r="T62" t="s">
        <v>2477</v>
      </c>
      <c r="U62">
        <v>362</v>
      </c>
      <c r="V62">
        <v>4</v>
      </c>
      <c r="W62">
        <v>1.41</v>
      </c>
      <c r="X62">
        <v>0</v>
      </c>
      <c r="Y62">
        <v>0</v>
      </c>
      <c r="Z62" s="31">
        <v>0</v>
      </c>
      <c r="AA62" s="31">
        <v>0</v>
      </c>
      <c r="AB62" s="1" t="str">
        <f>VLOOKUP(T:T,'7店'!$B:$B,1,0)</f>
        <v>Y7036-DB-ZH</v>
      </c>
      <c r="AC62" t="s">
        <v>2448</v>
      </c>
      <c r="AD62">
        <v>632</v>
      </c>
      <c r="AE62">
        <v>9</v>
      </c>
      <c r="AF62">
        <v>2.73</v>
      </c>
      <c r="AG62">
        <v>12.99</v>
      </c>
      <c r="AH62">
        <v>1</v>
      </c>
      <c r="AI62" s="31">
        <v>0.210161662817552</v>
      </c>
      <c r="AJ62" s="31">
        <v>0.111111111111111</v>
      </c>
      <c r="AK62" s="1" t="str">
        <f>VLOOKUP(AC:AC,'7店'!$B:$B,1,0)</f>
        <v>Y7001-BB-ZH</v>
      </c>
      <c r="AL62" s="29" t="s">
        <v>2668</v>
      </c>
      <c r="AM62" s="33">
        <v>51.96</v>
      </c>
      <c r="AN62" s="1">
        <f t="shared" si="2"/>
        <v>355.926</v>
      </c>
      <c r="AP62" s="29" t="s">
        <v>2617</v>
      </c>
      <c r="AQ62" s="33">
        <v>103.92</v>
      </c>
      <c r="AR62" s="1">
        <f t="shared" si="3"/>
        <v>711.852</v>
      </c>
      <c r="AT62" s="43" t="s">
        <v>2285</v>
      </c>
      <c r="AU62" s="44">
        <v>2112.8</v>
      </c>
      <c r="AV62" s="35"/>
      <c r="AW62" s="43" t="s">
        <v>2288</v>
      </c>
      <c r="AX62" s="44">
        <v>305.8</v>
      </c>
      <c r="AZ62" s="128" t="s">
        <v>2703</v>
      </c>
      <c r="BA62" s="106">
        <v>6.575</v>
      </c>
      <c r="BB62" s="1" t="s">
        <v>430</v>
      </c>
    </row>
    <row r="63" spans="2:54">
      <c r="B63" t="s">
        <v>2274</v>
      </c>
      <c r="C63">
        <v>4</v>
      </c>
      <c r="D63" s="1" t="str">
        <f>VLOOKUP(B:B,'7店'!$B:$B,1,0)</f>
        <v>Y72563-OR+Y72564+Y72571</v>
      </c>
      <c r="E63" t="s">
        <v>2148</v>
      </c>
      <c r="F63">
        <v>2</v>
      </c>
      <c r="G63" s="1" t="str">
        <f>VLOOKUP(E:E,'7店'!$B:$B,1,0)</f>
        <v>Y7002-DB+Y7005</v>
      </c>
      <c r="H63" t="s">
        <v>2379</v>
      </c>
      <c r="I63">
        <v>10</v>
      </c>
      <c r="J63" s="1" t="str">
        <f>VLOOKUP(H:H,'7店'!$B:$B,1,0)</f>
        <v>Y7028-DB+Y7029+Y7030</v>
      </c>
      <c r="K63" t="s">
        <v>2575</v>
      </c>
      <c r="L63">
        <v>6239</v>
      </c>
      <c r="M63">
        <v>43</v>
      </c>
      <c r="N63">
        <v>19.72</v>
      </c>
      <c r="O63">
        <v>25.98</v>
      </c>
      <c r="P63">
        <v>2</v>
      </c>
      <c r="Q63" s="31">
        <v>0.759045419553503</v>
      </c>
      <c r="R63" s="31">
        <v>0.0465116279069767</v>
      </c>
      <c r="S63" s="1" t="str">
        <f>VLOOKUP(K:K,'7店'!$B:$B,1,0)</f>
        <v>Y7063-BL+Y7064+Y7065</v>
      </c>
      <c r="T63" t="s">
        <v>2425</v>
      </c>
      <c r="U63">
        <v>835</v>
      </c>
      <c r="V63">
        <v>9</v>
      </c>
      <c r="W63">
        <v>2.3</v>
      </c>
      <c r="X63">
        <v>18.99</v>
      </c>
      <c r="Y63">
        <v>1</v>
      </c>
      <c r="Z63" s="31">
        <v>0.121116377040548</v>
      </c>
      <c r="AA63" s="31">
        <v>0.111111111111111</v>
      </c>
      <c r="AB63" s="1" t="str">
        <f>VLOOKUP(T:T,'7店'!$B:$B,1,0)</f>
        <v>Y73630-GR+Y73635+Y73643</v>
      </c>
      <c r="AC63" t="s">
        <v>2472</v>
      </c>
      <c r="AD63">
        <v>98</v>
      </c>
      <c r="AE63">
        <v>0</v>
      </c>
      <c r="AF63">
        <v>0</v>
      </c>
      <c r="AG63">
        <v>0</v>
      </c>
      <c r="AH63">
        <v>0</v>
      </c>
      <c r="AI63" s="31">
        <v>0</v>
      </c>
      <c r="AJ63" s="31">
        <v>0</v>
      </c>
      <c r="AK63" s="1" t="str">
        <f>VLOOKUP(AC:AC,'7店'!$B:$B,1,0)</f>
        <v>Y7036-BL-ZH</v>
      </c>
      <c r="AL63" s="29" t="s">
        <v>2195</v>
      </c>
      <c r="AM63" s="33">
        <v>38.97</v>
      </c>
      <c r="AN63" s="1">
        <f t="shared" si="2"/>
        <v>266.9445</v>
      </c>
      <c r="AP63" s="29" t="s">
        <v>2228</v>
      </c>
      <c r="AQ63" s="33">
        <v>90.93</v>
      </c>
      <c r="AR63" s="1">
        <f t="shared" si="3"/>
        <v>622.8705</v>
      </c>
      <c r="AT63" s="43" t="s">
        <v>2288</v>
      </c>
      <c r="AU63" s="44">
        <v>444.8</v>
      </c>
      <c r="AV63" s="35"/>
      <c r="AW63" s="43" t="s">
        <v>2291</v>
      </c>
      <c r="AX63" s="44">
        <v>889.6</v>
      </c>
      <c r="AZ63" s="128" t="s">
        <v>2704</v>
      </c>
      <c r="BA63" s="106">
        <v>4.802</v>
      </c>
      <c r="BB63" s="1" t="s">
        <v>430</v>
      </c>
    </row>
    <row r="64" spans="2:54">
      <c r="B64" t="s">
        <v>2300</v>
      </c>
      <c r="C64">
        <v>2</v>
      </c>
      <c r="D64" s="1" t="str">
        <f>VLOOKUP(B:B,'7店'!$B:$B,1,0)</f>
        <v>Y7011-BU+Y7019+Y7015</v>
      </c>
      <c r="E64" t="s">
        <v>2484</v>
      </c>
      <c r="F64">
        <v>1</v>
      </c>
      <c r="G64" s="1" t="str">
        <f>VLOOKUP(E:E,'7店'!$B:$B,1,0)</f>
        <v>Y7039-BU+Y7040+Y7041</v>
      </c>
      <c r="H64" t="s">
        <v>2400</v>
      </c>
      <c r="I64">
        <v>22</v>
      </c>
      <c r="J64" s="1" t="str">
        <f>VLOOKUP(H:H,'7店'!$B:$B,1,0)</f>
        <v>Y7025-BU+Y7027+Y7026</v>
      </c>
      <c r="K64" t="s">
        <v>2504</v>
      </c>
      <c r="L64">
        <v>1</v>
      </c>
      <c r="M64">
        <v>0</v>
      </c>
      <c r="N64">
        <v>0</v>
      </c>
      <c r="O64">
        <v>0</v>
      </c>
      <c r="P64">
        <v>0</v>
      </c>
      <c r="Q64" s="31">
        <v>0</v>
      </c>
      <c r="R64" s="31">
        <v>0</v>
      </c>
      <c r="S64" s="1" t="str">
        <f>VLOOKUP(K:K,'7店'!$B:$B,1,0)</f>
        <v>Y7045-BU+Y7046+Y7047</v>
      </c>
      <c r="T64" t="s">
        <v>2451</v>
      </c>
      <c r="U64">
        <v>1640</v>
      </c>
      <c r="V64">
        <v>8</v>
      </c>
      <c r="W64">
        <v>2.73</v>
      </c>
      <c r="X64">
        <v>0</v>
      </c>
      <c r="Y64">
        <v>0</v>
      </c>
      <c r="Z64" s="31">
        <v>0</v>
      </c>
      <c r="AA64" s="31">
        <v>0</v>
      </c>
      <c r="AB64" s="1" t="str">
        <f>VLOOKUP(T:T,'7店'!$B:$B,1,0)</f>
        <v>Y73135-BL-ZH</v>
      </c>
      <c r="AC64" t="s">
        <v>2475</v>
      </c>
      <c r="AD64">
        <v>1410</v>
      </c>
      <c r="AE64">
        <v>11</v>
      </c>
      <c r="AF64">
        <v>4</v>
      </c>
      <c r="AG64">
        <v>0</v>
      </c>
      <c r="AH64">
        <v>0</v>
      </c>
      <c r="AI64" s="31">
        <v>0</v>
      </c>
      <c r="AJ64" s="31">
        <v>0</v>
      </c>
      <c r="AK64" s="1" t="str">
        <f>VLOOKUP(AC:AC,'7店'!$B:$B,1,0)</f>
        <v>Y7036-BU-ZH</v>
      </c>
      <c r="AL64" s="29" t="s">
        <v>2519</v>
      </c>
      <c r="AM64" s="33">
        <v>38.97</v>
      </c>
      <c r="AN64" s="1">
        <f t="shared" si="2"/>
        <v>266.9445</v>
      </c>
      <c r="AP64" s="29" t="s">
        <v>2151</v>
      </c>
      <c r="AQ64" s="33">
        <v>90.6</v>
      </c>
      <c r="AR64" s="1">
        <f t="shared" si="3"/>
        <v>620.61</v>
      </c>
      <c r="AT64" s="43" t="s">
        <v>2291</v>
      </c>
      <c r="AU64" s="44">
        <v>875.7</v>
      </c>
      <c r="AV64" s="35"/>
      <c r="AW64" s="43" t="s">
        <v>2294</v>
      </c>
      <c r="AX64" s="44">
        <v>236.3</v>
      </c>
      <c r="AZ64" s="128" t="s">
        <v>2705</v>
      </c>
      <c r="BA64" s="106">
        <v>6.575</v>
      </c>
      <c r="BB64" s="1" t="s">
        <v>430</v>
      </c>
    </row>
    <row r="65" spans="2:54">
      <c r="B65" t="s">
        <v>2142</v>
      </c>
      <c r="C65">
        <v>4</v>
      </c>
      <c r="D65" s="1" t="str">
        <f>VLOOKUP(B:B,'7店'!$B:$B,1,0)</f>
        <v>Y7002-BB+Y7005</v>
      </c>
      <c r="E65" t="s">
        <v>2249</v>
      </c>
      <c r="F65">
        <v>9</v>
      </c>
      <c r="G65" s="1" t="str">
        <f>VLOOKUP(E:E,'7店'!$B:$B,1,0)</f>
        <v>Y73189-OR+Y73190+Y73270</v>
      </c>
      <c r="H65" t="s">
        <v>2397</v>
      </c>
      <c r="I65">
        <v>32</v>
      </c>
      <c r="J65" s="1" t="str">
        <f>VLOOKUP(H:H,'7店'!$B:$B,1,0)</f>
        <v>Y7025-BL+Y7027+Y7026</v>
      </c>
      <c r="K65" t="s">
        <v>2502</v>
      </c>
      <c r="L65">
        <v>128</v>
      </c>
      <c r="M65">
        <v>0</v>
      </c>
      <c r="N65">
        <v>0</v>
      </c>
      <c r="O65">
        <v>0</v>
      </c>
      <c r="P65">
        <v>0</v>
      </c>
      <c r="Q65" s="31">
        <v>0</v>
      </c>
      <c r="R65" s="31">
        <v>0</v>
      </c>
      <c r="S65" s="1" t="str">
        <f>VLOOKUP(K:K,'7店'!$B:$B,1,0)</f>
        <v>Y7045-BL+Y7046+Y7047</v>
      </c>
      <c r="T65" t="s">
        <v>2460</v>
      </c>
      <c r="U65">
        <v>63</v>
      </c>
      <c r="V65">
        <v>1</v>
      </c>
      <c r="W65">
        <v>0.2</v>
      </c>
      <c r="X65">
        <v>12.99</v>
      </c>
      <c r="Y65">
        <v>1</v>
      </c>
      <c r="Z65" s="31">
        <v>0.0153964588144727</v>
      </c>
      <c r="AA65" s="31">
        <v>1</v>
      </c>
      <c r="AB65" s="1" t="str">
        <f>VLOOKUP(T:T,'7店'!$B:$B,1,0)</f>
        <v>Y73153-OR-ZH</v>
      </c>
      <c r="AC65" t="s">
        <v>2479</v>
      </c>
      <c r="AD65">
        <v>32</v>
      </c>
      <c r="AE65">
        <v>1</v>
      </c>
      <c r="AF65">
        <v>0.45</v>
      </c>
      <c r="AG65">
        <v>0</v>
      </c>
      <c r="AH65">
        <v>0</v>
      </c>
      <c r="AI65" s="31">
        <v>0</v>
      </c>
      <c r="AJ65" s="31">
        <v>0</v>
      </c>
      <c r="AK65" s="1" t="str">
        <f>VLOOKUP(AC:AC,'7店'!$B:$B,1,0)</f>
        <v>Y7036-OR-ZH</v>
      </c>
      <c r="AL65" s="29" t="s">
        <v>2217</v>
      </c>
      <c r="AM65" s="33">
        <v>38.97</v>
      </c>
      <c r="AN65" s="1">
        <f t="shared" si="2"/>
        <v>266.9445</v>
      </c>
      <c r="AP65" s="29" t="s">
        <v>2385</v>
      </c>
      <c r="AQ65" s="33">
        <v>84.93</v>
      </c>
      <c r="AR65" s="1">
        <f t="shared" si="3"/>
        <v>581.7705</v>
      </c>
      <c r="AT65" s="43" t="s">
        <v>2294</v>
      </c>
      <c r="AU65" s="44">
        <v>305.8</v>
      </c>
      <c r="AV65" s="35"/>
      <c r="AW65" s="43" t="s">
        <v>2297</v>
      </c>
      <c r="AX65" s="44">
        <v>2404.7</v>
      </c>
      <c r="AZ65" s="128" t="s">
        <v>2268</v>
      </c>
      <c r="BA65" s="106">
        <v>6.635</v>
      </c>
      <c r="BB65" s="1" t="s">
        <v>430</v>
      </c>
    </row>
    <row r="66" spans="2:54">
      <c r="B66" t="s">
        <v>2400</v>
      </c>
      <c r="C66">
        <v>5</v>
      </c>
      <c r="D66" s="1" t="str">
        <f>VLOOKUP(B:B,'7店'!$B:$B,1,0)</f>
        <v>Y7025-BU+Y7027+Y7026</v>
      </c>
      <c r="E66" t="s">
        <v>2489</v>
      </c>
      <c r="F66">
        <v>6</v>
      </c>
      <c r="G66" s="1" t="str">
        <f>VLOOKUP(E:E,'7店'!$B:$B,1,0)</f>
        <v>Y7039-OR+Y7040+Y7041</v>
      </c>
      <c r="H66" t="s">
        <v>2675</v>
      </c>
      <c r="I66">
        <v>4</v>
      </c>
      <c r="J66" s="1" t="e">
        <f>VLOOKUP(H:H,'7店'!$B:$B,1,0)</f>
        <v>#N/A</v>
      </c>
      <c r="K66" t="s">
        <v>2505</v>
      </c>
      <c r="L66">
        <v>188</v>
      </c>
      <c r="M66">
        <v>0</v>
      </c>
      <c r="N66">
        <v>0</v>
      </c>
      <c r="O66">
        <v>0</v>
      </c>
      <c r="P66">
        <v>0</v>
      </c>
      <c r="Q66" s="31">
        <v>0</v>
      </c>
      <c r="R66" s="31">
        <v>0</v>
      </c>
      <c r="S66" s="1" t="str">
        <f>VLOOKUP(K:K,'7店'!$B:$B,1,0)</f>
        <v>Y7045-DB+Y7046+Y7047</v>
      </c>
      <c r="T66" t="s">
        <v>2491</v>
      </c>
      <c r="U66">
        <v>137</v>
      </c>
      <c r="V66">
        <v>1</v>
      </c>
      <c r="W66">
        <v>0.12</v>
      </c>
      <c r="X66">
        <v>0</v>
      </c>
      <c r="Y66">
        <v>0</v>
      </c>
      <c r="Z66" s="31">
        <v>0</v>
      </c>
      <c r="AA66" s="31">
        <v>0</v>
      </c>
      <c r="AB66" s="1" t="str">
        <f>VLOOKUP(T:T,'7店'!$B:$B,1,0)</f>
        <v>Y73153-BL-ZH</v>
      </c>
      <c r="AC66" t="s">
        <v>2477</v>
      </c>
      <c r="AD66">
        <v>590</v>
      </c>
      <c r="AE66">
        <v>7</v>
      </c>
      <c r="AF66">
        <v>2.49</v>
      </c>
      <c r="AG66">
        <v>0</v>
      </c>
      <c r="AH66">
        <v>0</v>
      </c>
      <c r="AI66" s="31">
        <v>0</v>
      </c>
      <c r="AJ66" s="31">
        <v>0</v>
      </c>
      <c r="AK66" s="1" t="str">
        <f>VLOOKUP(AC:AC,'7店'!$B:$B,1,0)</f>
        <v>Y7036-DB-ZH</v>
      </c>
      <c r="AL66" s="29" t="s">
        <v>2394</v>
      </c>
      <c r="AM66" s="33">
        <v>38.97</v>
      </c>
      <c r="AN66" s="1">
        <f t="shared" si="2"/>
        <v>266.9445</v>
      </c>
      <c r="AP66" s="29" t="s">
        <v>2274</v>
      </c>
      <c r="AQ66" s="33">
        <v>75.94</v>
      </c>
      <c r="AR66" s="1">
        <f t="shared" si="3"/>
        <v>520.189</v>
      </c>
      <c r="AT66" s="43" t="s">
        <v>2297</v>
      </c>
      <c r="AU66" s="44">
        <v>1112</v>
      </c>
      <c r="AV66" s="35"/>
      <c r="AW66" s="43" t="s">
        <v>2300</v>
      </c>
      <c r="AX66" s="44">
        <v>430.9</v>
      </c>
      <c r="AZ66" s="128" t="s">
        <v>2706</v>
      </c>
      <c r="BA66" s="106">
        <v>2.907</v>
      </c>
      <c r="BB66" s="1" t="s">
        <v>430</v>
      </c>
    </row>
    <row r="67" spans="2:54">
      <c r="B67" t="s">
        <v>2629</v>
      </c>
      <c r="C67">
        <v>40</v>
      </c>
      <c r="D67" s="1" t="str">
        <f>VLOOKUP(B:B,'7店'!$B:$B,1,0)</f>
        <v>Y7075-BL+Y7076+Y7077</v>
      </c>
      <c r="E67" t="s">
        <v>2376</v>
      </c>
      <c r="F67">
        <v>8</v>
      </c>
      <c r="G67" s="1" t="str">
        <f>VLOOKUP(E:E,'7店'!$B:$B,1,0)</f>
        <v>Y7028-BU+Y7029+Y7030</v>
      </c>
      <c r="H67" t="s">
        <v>2145</v>
      </c>
      <c r="I67">
        <v>19</v>
      </c>
      <c r="J67" s="1" t="str">
        <f>VLOOKUP(H:H,'7店'!$B:$B,1,0)</f>
        <v>Y7002-BL+Y7005</v>
      </c>
      <c r="K67" t="s">
        <v>2499</v>
      </c>
      <c r="L67">
        <v>448</v>
      </c>
      <c r="M67">
        <v>2</v>
      </c>
      <c r="N67">
        <v>0.9</v>
      </c>
      <c r="O67">
        <v>0</v>
      </c>
      <c r="P67">
        <v>0</v>
      </c>
      <c r="Q67" s="31">
        <v>0</v>
      </c>
      <c r="R67" s="31">
        <v>0</v>
      </c>
      <c r="S67" s="1" t="str">
        <f>VLOOKUP(K:K,'7店'!$B:$B,1,0)</f>
        <v>Y7042-BU+Y7043+Y7044</v>
      </c>
      <c r="T67" t="s">
        <v>2484</v>
      </c>
      <c r="U67">
        <v>304</v>
      </c>
      <c r="V67">
        <v>6</v>
      </c>
      <c r="W67">
        <v>3.21</v>
      </c>
      <c r="X67">
        <v>12.99</v>
      </c>
      <c r="Y67">
        <v>1</v>
      </c>
      <c r="Z67" s="31">
        <v>0.247113163972286</v>
      </c>
      <c r="AA67" s="31">
        <v>0.166666666666667</v>
      </c>
      <c r="AB67" s="1" t="str">
        <f>VLOOKUP(T:T,'7店'!$B:$B,1,0)</f>
        <v>Y7039-BU+Y7040+Y7041</v>
      </c>
      <c r="AC67" t="s">
        <v>2425</v>
      </c>
      <c r="AD67">
        <v>3210</v>
      </c>
      <c r="AE67">
        <v>21</v>
      </c>
      <c r="AF67">
        <v>5.17</v>
      </c>
      <c r="AG67">
        <v>18.99</v>
      </c>
      <c r="AH67">
        <v>1</v>
      </c>
      <c r="AI67" s="31">
        <v>0.272248551869405</v>
      </c>
      <c r="AJ67" s="31">
        <v>0.0476190476190476</v>
      </c>
      <c r="AK67" s="1" t="str">
        <f>VLOOKUP(AC:AC,'7店'!$B:$B,1,0)</f>
        <v>Y73630-GR+Y73635+Y73643</v>
      </c>
      <c r="AL67" s="29" t="s">
        <v>2397</v>
      </c>
      <c r="AM67" s="33">
        <v>38.64</v>
      </c>
      <c r="AN67" s="1">
        <f t="shared" si="2"/>
        <v>264.684</v>
      </c>
      <c r="AP67" s="29" t="s">
        <v>2246</v>
      </c>
      <c r="AQ67" s="33">
        <v>119.2</v>
      </c>
      <c r="AR67" s="1">
        <f t="shared" si="3"/>
        <v>816.52</v>
      </c>
      <c r="AT67" s="43" t="s">
        <v>2300</v>
      </c>
      <c r="AU67" s="44">
        <v>625.5</v>
      </c>
      <c r="AV67" s="35"/>
      <c r="AW67" s="43" t="s">
        <v>2303</v>
      </c>
      <c r="AX67" s="44">
        <v>1112</v>
      </c>
      <c r="AZ67" s="128" t="s">
        <v>2707</v>
      </c>
      <c r="BA67" s="106">
        <v>3.287</v>
      </c>
      <c r="BB67" s="1" t="s">
        <v>430</v>
      </c>
    </row>
    <row r="68" spans="2:54">
      <c r="B68" t="s">
        <v>2632</v>
      </c>
      <c r="C68">
        <v>11</v>
      </c>
      <c r="D68" s="1" t="str">
        <f>VLOOKUP(B:B,'7店'!$B:$B,1,0)</f>
        <v>Y7075-BU+Y7076+Y7077</v>
      </c>
      <c r="E68" t="s">
        <v>2406</v>
      </c>
      <c r="F68">
        <v>5</v>
      </c>
      <c r="G68" s="1" t="str">
        <f>VLOOKUP(E:E,'7店'!$B:$B,1,0)</f>
        <v>Y7025-OR+Y7027+Y7026</v>
      </c>
      <c r="H68" t="s">
        <v>2700</v>
      </c>
      <c r="I68">
        <v>3</v>
      </c>
      <c r="J68" s="1" t="e">
        <f>VLOOKUP(H:H,'7店'!$B:$B,1,0)</f>
        <v>#N/A</v>
      </c>
      <c r="K68" t="s">
        <v>2501</v>
      </c>
      <c r="L68">
        <v>167</v>
      </c>
      <c r="M68">
        <v>4</v>
      </c>
      <c r="N68">
        <v>1.8</v>
      </c>
      <c r="O68">
        <v>0</v>
      </c>
      <c r="P68">
        <v>0</v>
      </c>
      <c r="Q68" s="31">
        <v>0</v>
      </c>
      <c r="R68" s="31">
        <v>0</v>
      </c>
      <c r="S68" s="1" t="str">
        <f>VLOOKUP(K:K,'7店'!$B:$B,1,0)</f>
        <v>Y7042-OR+Y7043+Y7044</v>
      </c>
      <c r="T68" t="s">
        <v>2481</v>
      </c>
      <c r="U68">
        <v>1410</v>
      </c>
      <c r="V68">
        <v>4</v>
      </c>
      <c r="W68">
        <v>1.8</v>
      </c>
      <c r="X68">
        <v>12.99</v>
      </c>
      <c r="Y68">
        <v>1</v>
      </c>
      <c r="Z68" s="31">
        <v>0.138568129330254</v>
      </c>
      <c r="AA68" s="31">
        <v>0.25</v>
      </c>
      <c r="AB68" s="1" t="str">
        <f>VLOOKUP(T:T,'7店'!$B:$B,1,0)</f>
        <v>Y7039-BL+Y7040+Y7041</v>
      </c>
      <c r="AC68" t="s">
        <v>2451</v>
      </c>
      <c r="AD68">
        <v>2992</v>
      </c>
      <c r="AE68">
        <v>15</v>
      </c>
      <c r="AF68">
        <v>4.54</v>
      </c>
      <c r="AG68">
        <v>12.99</v>
      </c>
      <c r="AH68">
        <v>1</v>
      </c>
      <c r="AI68" s="31">
        <v>0.34949961508853</v>
      </c>
      <c r="AJ68" s="31">
        <v>0.0666666666666667</v>
      </c>
      <c r="AK68" s="1" t="str">
        <f>VLOOKUP(AC:AC,'7店'!$B:$B,1,0)</f>
        <v>Y73135-BL-ZH</v>
      </c>
      <c r="AL68" s="29" t="s">
        <v>2445</v>
      </c>
      <c r="AM68" s="33">
        <v>38.97</v>
      </c>
      <c r="AN68" s="1">
        <f>AM68*$AS$1</f>
        <v>266.9445</v>
      </c>
      <c r="AP68" s="29" t="s">
        <v>2217</v>
      </c>
      <c r="AQ68" s="33">
        <v>75.94</v>
      </c>
      <c r="AR68" s="1">
        <f t="shared" si="3"/>
        <v>520.189</v>
      </c>
      <c r="AT68" s="43" t="s">
        <v>2303</v>
      </c>
      <c r="AU68" s="44">
        <v>1098.1</v>
      </c>
      <c r="AV68" s="35"/>
      <c r="AW68" s="43" t="s">
        <v>2306</v>
      </c>
      <c r="AX68" s="44">
        <v>1000.8</v>
      </c>
      <c r="AZ68" s="128" t="s">
        <v>2225</v>
      </c>
      <c r="BA68" s="106">
        <v>2.907</v>
      </c>
      <c r="BB68" s="1" t="s">
        <v>430</v>
      </c>
    </row>
    <row r="69" spans="2:54">
      <c r="B69" t="s">
        <v>2430</v>
      </c>
      <c r="C69">
        <v>1</v>
      </c>
      <c r="D69" s="1" t="str">
        <f>VLOOKUP(B:B,'7店'!$B:$B,1,0)</f>
        <v>Y72000-DB+Y72013+Y72749</v>
      </c>
      <c r="E69" t="s">
        <v>2142</v>
      </c>
      <c r="F69">
        <v>8</v>
      </c>
      <c r="G69" s="1" t="str">
        <f>VLOOKUP(E:E,'7店'!$B:$B,1,0)</f>
        <v>Y7002-BB+Y7005</v>
      </c>
      <c r="H69" t="s">
        <v>2708</v>
      </c>
      <c r="I69">
        <v>6</v>
      </c>
      <c r="J69" s="1" t="e">
        <f>VLOOKUP(H:H,'7店'!$B:$B,1,0)</f>
        <v>#N/A</v>
      </c>
      <c r="K69" t="s">
        <v>2500</v>
      </c>
      <c r="L69">
        <v>81</v>
      </c>
      <c r="M69">
        <v>0</v>
      </c>
      <c r="N69">
        <v>0</v>
      </c>
      <c r="O69">
        <v>0</v>
      </c>
      <c r="P69">
        <v>0</v>
      </c>
      <c r="Q69" s="31">
        <v>0</v>
      </c>
      <c r="R69" s="31">
        <v>0</v>
      </c>
      <c r="S69" s="1" t="str">
        <f>VLOOKUP(K:K,'7店'!$B:$B,1,0)</f>
        <v>Y7042-DB+Y7043+Y7044</v>
      </c>
      <c r="T69" t="s">
        <v>2489</v>
      </c>
      <c r="U69">
        <v>2099</v>
      </c>
      <c r="V69">
        <v>14</v>
      </c>
      <c r="W69">
        <v>5.49</v>
      </c>
      <c r="X69">
        <v>0</v>
      </c>
      <c r="Y69">
        <v>0</v>
      </c>
      <c r="Z69" s="31">
        <v>0</v>
      </c>
      <c r="AA69" s="31">
        <v>0</v>
      </c>
      <c r="AB69" s="1" t="str">
        <f>VLOOKUP(T:T,'7店'!$B:$B,1,0)</f>
        <v>Y7039-OR+Y7040+Y7041</v>
      </c>
      <c r="AC69" t="s">
        <v>2460</v>
      </c>
      <c r="AD69">
        <v>142</v>
      </c>
      <c r="AE69">
        <v>3</v>
      </c>
      <c r="AF69">
        <v>0.8</v>
      </c>
      <c r="AG69">
        <v>12.99</v>
      </c>
      <c r="AH69">
        <v>1</v>
      </c>
      <c r="AI69" s="31">
        <v>0.0615858352578907</v>
      </c>
      <c r="AJ69" s="31">
        <v>0.333333333333333</v>
      </c>
      <c r="AK69" s="1" t="str">
        <f>VLOOKUP(AC:AC,'7店'!$B:$B,1,0)</f>
        <v>Y73153-OR-ZH</v>
      </c>
      <c r="AL69" s="29" t="s">
        <v>2578</v>
      </c>
      <c r="AM69" s="33">
        <v>38.64</v>
      </c>
      <c r="AN69" s="1">
        <f>AM69*$AS$1</f>
        <v>264.684</v>
      </c>
      <c r="AP69" s="29" t="s">
        <v>2394</v>
      </c>
      <c r="AQ69" s="33">
        <v>77.94</v>
      </c>
      <c r="AR69" s="1">
        <f t="shared" ref="AR69:AR100" si="4">AQ69*$AS$1</f>
        <v>533.889</v>
      </c>
      <c r="AT69" s="43" t="s">
        <v>2306</v>
      </c>
      <c r="AU69" s="44">
        <v>973</v>
      </c>
      <c r="AV69" s="35"/>
      <c r="AW69" s="43" t="s">
        <v>2309</v>
      </c>
      <c r="AX69" s="44">
        <v>569.9</v>
      </c>
      <c r="AZ69" s="128" t="s">
        <v>2228</v>
      </c>
      <c r="BA69" s="106">
        <v>3.287</v>
      </c>
      <c r="BB69" s="1" t="s">
        <v>430</v>
      </c>
    </row>
    <row r="70" spans="2:54">
      <c r="B70" t="s">
        <v>2237</v>
      </c>
      <c r="C70">
        <v>1</v>
      </c>
      <c r="D70" s="1" t="str">
        <f>VLOOKUP(B:B,'7店'!$B:$B,1,0)</f>
        <v>Y73452-DB+Y73456+Y73457</v>
      </c>
      <c r="E70" t="s">
        <v>2481</v>
      </c>
      <c r="F70">
        <v>4</v>
      </c>
      <c r="G70" s="1" t="str">
        <f>VLOOKUP(E:E,'7店'!$B:$B,1,0)</f>
        <v>Y7039-BL+Y7040+Y7041</v>
      </c>
      <c r="H70" t="s">
        <v>2361</v>
      </c>
      <c r="I70">
        <v>13</v>
      </c>
      <c r="J70" s="1" t="str">
        <f>VLOOKUP(H:H,'7店'!$B:$B,1,0)</f>
        <v>Y7033-BL+Y7034</v>
      </c>
      <c r="K70" t="s">
        <v>2497</v>
      </c>
      <c r="L70">
        <v>854</v>
      </c>
      <c r="M70">
        <v>0</v>
      </c>
      <c r="N70">
        <v>0</v>
      </c>
      <c r="O70">
        <v>0</v>
      </c>
      <c r="P70">
        <v>0</v>
      </c>
      <c r="Q70" s="31">
        <v>0</v>
      </c>
      <c r="R70" s="31">
        <v>0</v>
      </c>
      <c r="S70" s="1" t="str">
        <f>VLOOKUP(K:K,'7店'!$B:$B,1,0)</f>
        <v>Y7042-BL+Y7043+Y7044</v>
      </c>
      <c r="T70" t="s">
        <v>2513</v>
      </c>
      <c r="U70">
        <v>41</v>
      </c>
      <c r="V70">
        <v>0</v>
      </c>
      <c r="W70">
        <v>0</v>
      </c>
      <c r="X70">
        <v>0</v>
      </c>
      <c r="Y70">
        <v>0</v>
      </c>
      <c r="Z70" s="31">
        <v>0</v>
      </c>
      <c r="AA70" s="31">
        <v>0</v>
      </c>
      <c r="AB70" s="1" t="str">
        <f>VLOOKUP(T:T,'7店'!$B:$B,1,0)</f>
        <v>Y73153-DB-ZH</v>
      </c>
      <c r="AC70" t="s">
        <v>2491</v>
      </c>
      <c r="AD70">
        <v>470</v>
      </c>
      <c r="AE70">
        <v>1</v>
      </c>
      <c r="AF70">
        <v>0.12</v>
      </c>
      <c r="AG70">
        <v>0</v>
      </c>
      <c r="AH70">
        <v>0</v>
      </c>
      <c r="AI70" s="31">
        <v>0</v>
      </c>
      <c r="AJ70" s="31">
        <v>0</v>
      </c>
      <c r="AK70" s="1" t="str">
        <f>VLOOKUP(AC:AC,'7店'!$B:$B,1,0)</f>
        <v>Y73153-BL-ZH</v>
      </c>
      <c r="AL70" s="29" t="s">
        <v>2596</v>
      </c>
      <c r="AM70" s="33">
        <v>25.98</v>
      </c>
      <c r="AN70" s="1">
        <f>AM70*$AS$1</f>
        <v>177.963</v>
      </c>
      <c r="AP70" s="29" t="s">
        <v>2605</v>
      </c>
      <c r="AQ70" s="33">
        <v>75.94</v>
      </c>
      <c r="AR70" s="1">
        <f t="shared" si="4"/>
        <v>520.189</v>
      </c>
      <c r="AT70" s="43" t="s">
        <v>2309</v>
      </c>
      <c r="AU70" s="44">
        <v>556</v>
      </c>
      <c r="AV70" s="35"/>
      <c r="AW70" s="43" t="s">
        <v>2312</v>
      </c>
      <c r="AX70" s="44">
        <v>1668</v>
      </c>
      <c r="AZ70" s="128" t="s">
        <v>2231</v>
      </c>
      <c r="BA70" s="106">
        <v>2.737</v>
      </c>
      <c r="BB70" s="1" t="s">
        <v>430</v>
      </c>
    </row>
    <row r="71" spans="2:54">
      <c r="B71" t="s">
        <v>2243</v>
      </c>
      <c r="C71">
        <v>8</v>
      </c>
      <c r="D71" s="1" t="str">
        <f>VLOOKUP(B:B,'7店'!$B:$B,1,0)</f>
        <v>Y73189-BL+Y73190+Y73270</v>
      </c>
      <c r="E71" t="s">
        <v>2582</v>
      </c>
      <c r="F71">
        <v>13</v>
      </c>
      <c r="G71" s="1" t="str">
        <f>VLOOKUP(E:E,'7店'!$B:$B,1,0)</f>
        <v>Y7063-OR+Y7064+Y7065</v>
      </c>
      <c r="H71" t="s">
        <v>2345</v>
      </c>
      <c r="I71">
        <v>3</v>
      </c>
      <c r="J71" s="1" t="str">
        <f>VLOOKUP(H:H,'7店'!$B:$B,1,0)</f>
        <v>Y72610-OR+Y72613+Y12803</v>
      </c>
      <c r="K71" t="s">
        <v>2512</v>
      </c>
      <c r="L71">
        <v>636</v>
      </c>
      <c r="M71">
        <v>1</v>
      </c>
      <c r="N71">
        <v>0.18</v>
      </c>
      <c r="O71">
        <v>0</v>
      </c>
      <c r="P71">
        <v>0</v>
      </c>
      <c r="Q71" s="31">
        <v>0</v>
      </c>
      <c r="R71" s="31">
        <v>0</v>
      </c>
      <c r="S71" s="1" t="str">
        <f>VLOOKUP(K:K,'7店'!$B:$B,1,0)</f>
        <v>Y7048-OR+Y7049+Y7050</v>
      </c>
      <c r="T71" t="s">
        <v>2209</v>
      </c>
      <c r="U71">
        <v>5804</v>
      </c>
      <c r="V71">
        <v>25</v>
      </c>
      <c r="W71">
        <v>11.71</v>
      </c>
      <c r="X71">
        <v>0</v>
      </c>
      <c r="Y71">
        <v>0</v>
      </c>
      <c r="Z71" s="31">
        <v>0</v>
      </c>
      <c r="AA71" s="31">
        <v>0</v>
      </c>
      <c r="AB71" s="1" t="str">
        <f>VLOOKUP(T:T,'7店'!$B:$B,1,0)</f>
        <v>Y73230-BL+Y73231+Y73240</v>
      </c>
      <c r="AC71" t="s">
        <v>2484</v>
      </c>
      <c r="AD71">
        <v>731</v>
      </c>
      <c r="AE71">
        <v>11</v>
      </c>
      <c r="AF71">
        <v>5.22</v>
      </c>
      <c r="AG71">
        <v>38.97</v>
      </c>
      <c r="AH71">
        <v>2</v>
      </c>
      <c r="AI71" s="31">
        <v>0.133949191685912</v>
      </c>
      <c r="AJ71" s="31">
        <v>0.181818181818182</v>
      </c>
      <c r="AK71" s="1" t="str">
        <f>VLOOKUP(AC:AC,'7店'!$B:$B,1,0)</f>
        <v>Y7039-BU+Y7040+Y7041</v>
      </c>
      <c r="AL71" s="29" t="s">
        <v>2587</v>
      </c>
      <c r="AM71" s="33">
        <v>38.97</v>
      </c>
      <c r="AN71" s="1">
        <f>AM71*$AS$1</f>
        <v>266.9445</v>
      </c>
      <c r="AP71" s="29" t="s">
        <v>2623</v>
      </c>
      <c r="AQ71" s="33">
        <v>73.94</v>
      </c>
      <c r="AR71" s="1">
        <f t="shared" si="4"/>
        <v>506.489</v>
      </c>
      <c r="AT71" s="43" t="s">
        <v>2312</v>
      </c>
      <c r="AU71" s="44">
        <v>1223.2</v>
      </c>
      <c r="AV71" s="35"/>
      <c r="AW71" s="43" t="s">
        <v>2315</v>
      </c>
      <c r="AX71" s="44">
        <v>2001.6</v>
      </c>
      <c r="AZ71" s="128" t="s">
        <v>2209</v>
      </c>
      <c r="BA71" s="106">
        <v>5.575</v>
      </c>
      <c r="BB71" s="1" t="s">
        <v>430</v>
      </c>
    </row>
    <row r="72" spans="2:54">
      <c r="B72" t="s">
        <v>2376</v>
      </c>
      <c r="C72">
        <v>4</v>
      </c>
      <c r="D72" s="1" t="str">
        <f>VLOOKUP(B:B,'7店'!$B:$B,1,0)</f>
        <v>Y7028-BU+Y7029+Y7030</v>
      </c>
      <c r="E72" t="s">
        <v>2578</v>
      </c>
      <c r="F72">
        <v>5</v>
      </c>
      <c r="G72" s="1" t="str">
        <f>VLOOKUP(E:E,'7店'!$B:$B,1,0)</f>
        <v>Y7063-BU+Y7064+Y7065</v>
      </c>
      <c r="H72" t="s">
        <v>2367</v>
      </c>
      <c r="I72">
        <v>8</v>
      </c>
      <c r="J72" s="1" t="str">
        <f>VLOOKUP(H:H,'7店'!$B:$B,1,0)</f>
        <v>Y7033-DB+Y7034</v>
      </c>
      <c r="K72" t="s">
        <v>2510</v>
      </c>
      <c r="L72">
        <v>144</v>
      </c>
      <c r="M72">
        <v>2</v>
      </c>
      <c r="N72">
        <v>0.6</v>
      </c>
      <c r="O72">
        <v>0</v>
      </c>
      <c r="P72">
        <v>0</v>
      </c>
      <c r="Q72" s="31">
        <v>0</v>
      </c>
      <c r="R72" s="31">
        <v>0</v>
      </c>
      <c r="S72" s="1" t="str">
        <f>VLOOKUP(K:K,'7店'!$B:$B,1,0)</f>
        <v>Y7048-BU+Y7049+Y7050</v>
      </c>
      <c r="T72" t="s">
        <v>2349</v>
      </c>
      <c r="U72">
        <v>17469</v>
      </c>
      <c r="V72">
        <v>65</v>
      </c>
      <c r="W72">
        <v>29.21</v>
      </c>
      <c r="X72">
        <v>47.96</v>
      </c>
      <c r="Y72">
        <v>4</v>
      </c>
      <c r="Z72" s="31">
        <v>0.609049207673061</v>
      </c>
      <c r="AA72" s="31">
        <v>0.0615384615384615</v>
      </c>
      <c r="AB72" s="1" t="str">
        <f>VLOOKUP(T:T,'7店'!$B:$B,1,0)</f>
        <v>Y7022-BL+Y7024+Y7023</v>
      </c>
      <c r="AC72" t="s">
        <v>2481</v>
      </c>
      <c r="AD72">
        <v>1809</v>
      </c>
      <c r="AE72">
        <v>6</v>
      </c>
      <c r="AF72">
        <v>2.64</v>
      </c>
      <c r="AG72">
        <v>12.99</v>
      </c>
      <c r="AH72">
        <v>1</v>
      </c>
      <c r="AI72" s="31">
        <v>0.203233256351039</v>
      </c>
      <c r="AJ72" s="31">
        <v>0.166666666666667</v>
      </c>
      <c r="AK72" s="1" t="str">
        <f>VLOOKUP(AC:AC,'7店'!$B:$B,1,0)</f>
        <v>Y7039-BL+Y7040+Y7041</v>
      </c>
      <c r="AL72" s="29" t="s">
        <v>2635</v>
      </c>
      <c r="AM72" s="33">
        <v>38.97</v>
      </c>
      <c r="AN72" s="1">
        <f>AM72*$AS$1</f>
        <v>266.9445</v>
      </c>
      <c r="AP72" s="29" t="s">
        <v>2237</v>
      </c>
      <c r="AQ72" s="33">
        <v>70.95</v>
      </c>
      <c r="AR72" s="1">
        <f t="shared" si="4"/>
        <v>486.0075</v>
      </c>
      <c r="AT72" s="43" t="s">
        <v>2315</v>
      </c>
      <c r="AU72" s="44">
        <v>1681.9</v>
      </c>
      <c r="AV72" s="35"/>
      <c r="AW72" s="43" t="s">
        <v>2318</v>
      </c>
      <c r="AX72" s="44">
        <v>764.5</v>
      </c>
      <c r="AZ72" s="128" t="s">
        <v>2211</v>
      </c>
      <c r="BA72" s="106">
        <v>6.322</v>
      </c>
      <c r="BB72" s="1" t="s">
        <v>430</v>
      </c>
    </row>
    <row r="73" spans="2:54">
      <c r="B73" t="s">
        <v>2611</v>
      </c>
      <c r="C73">
        <v>1</v>
      </c>
      <c r="D73" s="1" t="str">
        <f>VLOOKUP(B:B,'7店'!$B:$B,1,0)</f>
        <v>Y7069-OR+Y7070+Y7071</v>
      </c>
      <c r="E73" t="s">
        <v>2206</v>
      </c>
      <c r="F73">
        <v>3</v>
      </c>
      <c r="G73" s="1" t="str">
        <f>VLOOKUP(E:E,'7店'!$B:$B,1,0)</f>
        <v>Y73106-OR+Y73109+Y73112</v>
      </c>
      <c r="H73" t="s">
        <v>2364</v>
      </c>
      <c r="I73">
        <v>9</v>
      </c>
      <c r="J73" s="1" t="str">
        <f>VLOOKUP(H:H,'7店'!$B:$B,1,0)</f>
        <v>Y7033-BU+Y7034</v>
      </c>
      <c r="K73" t="s">
        <v>2551</v>
      </c>
      <c r="L73">
        <v>546</v>
      </c>
      <c r="M73">
        <v>2</v>
      </c>
      <c r="N73">
        <v>1.01</v>
      </c>
      <c r="O73">
        <v>0</v>
      </c>
      <c r="P73">
        <v>0</v>
      </c>
      <c r="Q73" s="31">
        <v>0</v>
      </c>
      <c r="R73" s="31">
        <v>0</v>
      </c>
      <c r="S73" s="1" t="str">
        <f>VLOOKUP(K:K,'7店'!$B:$B,1,0)</f>
        <v>Y7052-BL+Y7056+Y7060</v>
      </c>
      <c r="T73" t="s">
        <v>2309</v>
      </c>
      <c r="U73">
        <v>8</v>
      </c>
      <c r="V73">
        <v>0</v>
      </c>
      <c r="W73">
        <v>0</v>
      </c>
      <c r="X73">
        <v>0</v>
      </c>
      <c r="Y73">
        <v>0</v>
      </c>
      <c r="Z73" s="31">
        <v>0</v>
      </c>
      <c r="AA73" s="31">
        <v>0</v>
      </c>
      <c r="AB73" s="1" t="str">
        <f>VLOOKUP(T:T,'7店'!$B:$B,1,0)</f>
        <v>Y7011-OR+Y7019+Y7015</v>
      </c>
      <c r="AC73" t="s">
        <v>2489</v>
      </c>
      <c r="AD73">
        <v>6148</v>
      </c>
      <c r="AE73">
        <v>58</v>
      </c>
      <c r="AF73">
        <v>23.51</v>
      </c>
      <c r="AG73">
        <v>64.29</v>
      </c>
      <c r="AH73">
        <v>4</v>
      </c>
      <c r="AI73" s="31">
        <v>0.365686731995645</v>
      </c>
      <c r="AJ73" s="31">
        <v>0.0689655172413793</v>
      </c>
      <c r="AK73" s="1" t="str">
        <f>VLOOKUP(AC:AC,'7店'!$B:$B,1,0)</f>
        <v>Y7039-OR+Y7040+Y7041</v>
      </c>
      <c r="AL73" s="29" t="s">
        <v>2665</v>
      </c>
      <c r="AM73" s="33">
        <v>38.97</v>
      </c>
      <c r="AN73" s="1">
        <f>AM73*$AS$1</f>
        <v>266.9445</v>
      </c>
      <c r="AP73" s="29" t="s">
        <v>2318</v>
      </c>
      <c r="AQ73" s="33">
        <v>60.95</v>
      </c>
      <c r="AR73" s="1">
        <f t="shared" si="4"/>
        <v>417.5075</v>
      </c>
      <c r="AT73" s="43" t="s">
        <v>2318</v>
      </c>
      <c r="AU73" s="44">
        <v>611.6</v>
      </c>
      <c r="AV73" s="35"/>
      <c r="AW73" s="43" t="s">
        <v>2321</v>
      </c>
      <c r="AX73" s="44">
        <v>486.5</v>
      </c>
      <c r="AZ73" s="128" t="s">
        <v>2214</v>
      </c>
      <c r="BA73" s="106">
        <v>6.27</v>
      </c>
      <c r="BB73" s="1" t="s">
        <v>430</v>
      </c>
    </row>
    <row r="74" spans="2:54">
      <c r="B74" t="s">
        <v>2635</v>
      </c>
      <c r="C74">
        <v>3</v>
      </c>
      <c r="D74" s="1" t="str">
        <f>VLOOKUP(B:B,'7店'!$B:$B,1,0)</f>
        <v>Y7075-DB+Y7076+Y7077</v>
      </c>
      <c r="E74" t="s">
        <v>2379</v>
      </c>
      <c r="F74">
        <v>4</v>
      </c>
      <c r="G74" s="1" t="str">
        <f>VLOOKUP(E:E,'7店'!$B:$B,1,0)</f>
        <v>Y7028-DB+Y7029+Y7030</v>
      </c>
      <c r="H74" t="s">
        <v>2370</v>
      </c>
      <c r="I74">
        <v>3</v>
      </c>
      <c r="J74" s="1" t="str">
        <f>VLOOKUP(H:H,'7店'!$B:$B,1,0)</f>
        <v>Y7033-OR+Y7034</v>
      </c>
      <c r="K74" t="s">
        <v>2565</v>
      </c>
      <c r="L74">
        <v>697</v>
      </c>
      <c r="M74">
        <v>6</v>
      </c>
      <c r="N74">
        <v>2.68</v>
      </c>
      <c r="O74">
        <v>25.99</v>
      </c>
      <c r="P74">
        <v>1</v>
      </c>
      <c r="Q74" s="31">
        <v>0.10311658330127</v>
      </c>
      <c r="R74" s="31">
        <v>0.166666666666667</v>
      </c>
      <c r="S74" s="1" t="str">
        <f>VLOOKUP(K:K,'7店'!$B:$B,1,0)</f>
        <v>Y7051-OR+Y7055+Y7059</v>
      </c>
      <c r="T74" t="s">
        <v>2575</v>
      </c>
      <c r="U74">
        <v>14306</v>
      </c>
      <c r="V74">
        <v>103</v>
      </c>
      <c r="W74">
        <v>47.82</v>
      </c>
      <c r="X74">
        <v>114.58</v>
      </c>
      <c r="Y74">
        <v>9</v>
      </c>
      <c r="Z74" s="31">
        <v>0.417350322918485</v>
      </c>
      <c r="AA74" s="31">
        <v>0.087378640776699</v>
      </c>
      <c r="AB74" s="1" t="str">
        <f>VLOOKUP(T:T,'7店'!$B:$B,1,0)</f>
        <v>Y7063-BL+Y7064+Y7065</v>
      </c>
      <c r="AC74" t="s">
        <v>2513</v>
      </c>
      <c r="AD74">
        <v>109</v>
      </c>
      <c r="AE74">
        <v>1</v>
      </c>
      <c r="AF74">
        <v>0.35</v>
      </c>
      <c r="AG74">
        <v>0</v>
      </c>
      <c r="AH74">
        <v>0</v>
      </c>
      <c r="AI74" s="31">
        <v>0</v>
      </c>
      <c r="AJ74" s="31">
        <v>0</v>
      </c>
      <c r="AK74" s="1" t="str">
        <f>VLOOKUP(AC:AC,'7店'!$B:$B,1,0)</f>
        <v>Y73153-DB-ZH</v>
      </c>
      <c r="AL74" s="29" t="s">
        <v>2271</v>
      </c>
      <c r="AM74" s="33">
        <v>25.98</v>
      </c>
      <c r="AN74" s="1">
        <f>AM74*$AS$1</f>
        <v>177.963</v>
      </c>
      <c r="AP74" s="29" t="s">
        <v>2388</v>
      </c>
      <c r="AQ74" s="33">
        <v>64.95</v>
      </c>
      <c r="AR74" s="1">
        <f t="shared" si="4"/>
        <v>444.9075</v>
      </c>
      <c r="AT74" s="43" t="s">
        <v>2321</v>
      </c>
      <c r="AU74" s="44">
        <v>333.6</v>
      </c>
      <c r="AV74" s="35"/>
      <c r="AW74" s="43" t="s">
        <v>2324</v>
      </c>
      <c r="AX74" s="44">
        <v>792.3</v>
      </c>
      <c r="AZ74" s="128" t="s">
        <v>2252</v>
      </c>
      <c r="BA74" s="106">
        <v>6.494</v>
      </c>
      <c r="BB74" s="1" t="s">
        <v>430</v>
      </c>
    </row>
    <row r="75" spans="2:54">
      <c r="B75" t="s">
        <v>2641</v>
      </c>
      <c r="C75">
        <v>9</v>
      </c>
      <c r="D75" s="1" t="str">
        <f>VLOOKUP(B:B,'7店'!$B:$B,1,0)</f>
        <v>Y7075-OR+Y7076+Y7077</v>
      </c>
      <c r="E75" t="s">
        <v>2575</v>
      </c>
      <c r="F75">
        <v>14</v>
      </c>
      <c r="G75" s="1" t="str">
        <f>VLOOKUP(E:E,'7店'!$B:$B,1,0)</f>
        <v>Y7063-BL+Y7064+Y7065</v>
      </c>
      <c r="H75" t="s">
        <v>2425</v>
      </c>
      <c r="I75">
        <v>4</v>
      </c>
      <c r="J75" s="1" t="str">
        <f>VLOOKUP(H:H,'7店'!$B:$B,1,0)</f>
        <v>Y73630-GR+Y73635+Y73643</v>
      </c>
      <c r="K75" t="s">
        <v>2567</v>
      </c>
      <c r="L75">
        <v>481</v>
      </c>
      <c r="M75">
        <v>4</v>
      </c>
      <c r="N75">
        <v>1.91</v>
      </c>
      <c r="O75">
        <v>0</v>
      </c>
      <c r="P75">
        <v>0</v>
      </c>
      <c r="Q75" s="31">
        <v>0</v>
      </c>
      <c r="R75" s="31">
        <v>0</v>
      </c>
      <c r="S75" s="1" t="str">
        <f>VLOOKUP(K:K,'7店'!$B:$B,1,0)</f>
        <v>Y7053-BL+Y7057+Y7061</v>
      </c>
      <c r="T75" t="s">
        <v>2507</v>
      </c>
      <c r="U75">
        <v>2</v>
      </c>
      <c r="V75">
        <v>0</v>
      </c>
      <c r="W75">
        <v>0</v>
      </c>
      <c r="X75">
        <v>0</v>
      </c>
      <c r="Y75">
        <v>0</v>
      </c>
      <c r="Z75" s="31">
        <v>0</v>
      </c>
      <c r="AA75" s="31">
        <v>0</v>
      </c>
      <c r="AB75" s="1" t="str">
        <f>VLOOKUP(T:T,'7店'!$B:$B,1,0)</f>
        <v>Y7045-OR+Y7046+Y7047</v>
      </c>
      <c r="AC75" t="s">
        <v>2209</v>
      </c>
      <c r="AD75">
        <v>8760</v>
      </c>
      <c r="AE75">
        <v>40</v>
      </c>
      <c r="AF75">
        <v>19.14</v>
      </c>
      <c r="AG75">
        <v>12.99</v>
      </c>
      <c r="AH75">
        <v>1</v>
      </c>
      <c r="AI75" s="31">
        <v>1.47344110854503</v>
      </c>
      <c r="AJ75" s="31">
        <v>0.025</v>
      </c>
      <c r="AK75" s="1" t="str">
        <f>VLOOKUP(AC:AC,'7店'!$B:$B,1,0)</f>
        <v>Y73230-BL+Y73231+Y73240</v>
      </c>
      <c r="AL75" s="29" t="s">
        <v>2214</v>
      </c>
      <c r="AM75" s="33">
        <v>25.98</v>
      </c>
      <c r="AN75" s="1">
        <f>AM75*$AS$1</f>
        <v>177.963</v>
      </c>
      <c r="AP75" s="29" t="s">
        <v>2397</v>
      </c>
      <c r="AQ75" s="33">
        <v>62.62</v>
      </c>
      <c r="AR75" s="1">
        <f t="shared" si="4"/>
        <v>428.947</v>
      </c>
      <c r="AT75" s="43" t="s">
        <v>2324</v>
      </c>
      <c r="AU75" s="44">
        <v>500.4</v>
      </c>
      <c r="AV75" s="35"/>
      <c r="AW75" s="43" t="s">
        <v>2327</v>
      </c>
      <c r="AX75" s="44">
        <v>9479.8</v>
      </c>
      <c r="AZ75" s="128" t="s">
        <v>2254</v>
      </c>
      <c r="BA75" s="106">
        <v>6.482</v>
      </c>
      <c r="BB75" s="1" t="s">
        <v>430</v>
      </c>
    </row>
    <row r="76" spans="2:54">
      <c r="B76" t="s">
        <v>2599</v>
      </c>
      <c r="C76">
        <v>19</v>
      </c>
      <c r="D76" s="1" t="str">
        <f>VLOOKUP(B:B,'7店'!$B:$B,1,0)</f>
        <v>Y7069-BL+Y7070+Y7071</v>
      </c>
      <c r="E76" t="s">
        <v>2472</v>
      </c>
      <c r="F76">
        <v>7</v>
      </c>
      <c r="G76" s="1" t="str">
        <f>VLOOKUP(E:E,'7店'!$B:$B,1,0)</f>
        <v>Y7036-BL-ZH</v>
      </c>
      <c r="H76" t="s">
        <v>2382</v>
      </c>
      <c r="I76">
        <v>20</v>
      </c>
      <c r="J76" s="1" t="str">
        <f>VLOOKUP(H:H,'7店'!$B:$B,1,0)</f>
        <v>Y7028-OR+Y7029+Y7030</v>
      </c>
      <c r="K76" t="s">
        <v>2573</v>
      </c>
      <c r="L76">
        <v>348</v>
      </c>
      <c r="M76">
        <v>4</v>
      </c>
      <c r="N76">
        <v>2.72</v>
      </c>
      <c r="O76">
        <v>25.99</v>
      </c>
      <c r="P76">
        <v>1</v>
      </c>
      <c r="Q76" s="31">
        <v>0.104655636783378</v>
      </c>
      <c r="R76" s="31">
        <v>0.25</v>
      </c>
      <c r="S76" s="1" t="str">
        <f>VLOOKUP(K:K,'7店'!$B:$B,1,0)</f>
        <v>Y7053-OR+Y7057+Y7061</v>
      </c>
      <c r="T76" t="s">
        <v>2504</v>
      </c>
      <c r="U76">
        <v>1</v>
      </c>
      <c r="V76">
        <v>0</v>
      </c>
      <c r="W76">
        <v>0</v>
      </c>
      <c r="X76">
        <v>0</v>
      </c>
      <c r="Y76">
        <v>0</v>
      </c>
      <c r="Z76" s="31">
        <v>0</v>
      </c>
      <c r="AA76" s="31">
        <v>0</v>
      </c>
      <c r="AB76" s="1" t="str">
        <f>VLOOKUP(T:T,'7店'!$B:$B,1,0)</f>
        <v>Y7045-BU+Y7046+Y7047</v>
      </c>
      <c r="AC76" t="s">
        <v>2349</v>
      </c>
      <c r="AD76">
        <v>28257</v>
      </c>
      <c r="AE76">
        <v>111</v>
      </c>
      <c r="AF76">
        <v>49.85</v>
      </c>
      <c r="AG76">
        <v>112.91</v>
      </c>
      <c r="AH76">
        <v>9</v>
      </c>
      <c r="AI76" s="31">
        <v>0.441502081303693</v>
      </c>
      <c r="AJ76" s="31">
        <v>0.0810810810810811</v>
      </c>
      <c r="AK76" s="1" t="str">
        <f>VLOOKUP(AC:AC,'7店'!$B:$B,1,0)</f>
        <v>Y7022-BL+Y7024+Y7023</v>
      </c>
      <c r="AL76" s="29" t="s">
        <v>2211</v>
      </c>
      <c r="AM76" s="33">
        <v>25.98</v>
      </c>
      <c r="AN76" s="1">
        <f>AM76*$AS$1</f>
        <v>177.963</v>
      </c>
      <c r="AP76" s="29" t="s">
        <v>2406</v>
      </c>
      <c r="AQ76" s="33">
        <v>60.95</v>
      </c>
      <c r="AR76" s="1">
        <f t="shared" si="4"/>
        <v>417.5075</v>
      </c>
      <c r="AT76" s="43" t="s">
        <v>2327</v>
      </c>
      <c r="AU76" s="44">
        <v>14150.2</v>
      </c>
      <c r="AV76" s="35"/>
      <c r="AW76" s="43" t="s">
        <v>2330</v>
      </c>
      <c r="AX76" s="44">
        <v>2168.4</v>
      </c>
      <c r="AZ76" s="128" t="s">
        <v>2709</v>
      </c>
      <c r="BA76" s="106">
        <v>5.737</v>
      </c>
      <c r="BB76" s="1" t="s">
        <v>430</v>
      </c>
    </row>
    <row r="77" spans="2:54">
      <c r="B77" t="s">
        <v>2638</v>
      </c>
      <c r="C77">
        <v>2</v>
      </c>
      <c r="D77" s="1" t="str">
        <f>VLOOKUP(B:B,'7店'!$B:$B,1,0)</f>
        <v>Y7075-GE+Y7076+Y7077</v>
      </c>
      <c r="E77" t="s">
        <v>2580</v>
      </c>
      <c r="F77">
        <v>1</v>
      </c>
      <c r="G77" s="1" t="str">
        <f>VLOOKUP(E:E,'7店'!$B:$B,1,0)</f>
        <v>Y7063-DB+Y7064+Y7065</v>
      </c>
      <c r="H77" t="s">
        <v>2355</v>
      </c>
      <c r="I77">
        <v>15</v>
      </c>
      <c r="J77" s="1" t="str">
        <f>VLOOKUP(H:H,'7店'!$B:$B,1,0)</f>
        <v>Y7022-DB+Y7024+Y7023</v>
      </c>
      <c r="K77" t="s">
        <v>2557</v>
      </c>
      <c r="L77">
        <v>222</v>
      </c>
      <c r="M77">
        <v>4</v>
      </c>
      <c r="N77">
        <v>1.96</v>
      </c>
      <c r="O77">
        <v>0</v>
      </c>
      <c r="P77">
        <v>0</v>
      </c>
      <c r="Q77" s="31">
        <v>0</v>
      </c>
      <c r="R77" s="31">
        <v>0</v>
      </c>
      <c r="S77" s="1" t="str">
        <f>VLOOKUP(K:K,'7店'!$B:$B,1,0)</f>
        <v>Y7052-OR+Y7056+Y7060</v>
      </c>
      <c r="T77" t="s">
        <v>2502</v>
      </c>
      <c r="U77">
        <v>251</v>
      </c>
      <c r="V77">
        <v>2</v>
      </c>
      <c r="W77">
        <v>0.8</v>
      </c>
      <c r="X77">
        <v>25.99</v>
      </c>
      <c r="Y77">
        <v>1</v>
      </c>
      <c r="Z77" s="31">
        <v>0.0307810696421701</v>
      </c>
      <c r="AA77" s="31">
        <v>0.5</v>
      </c>
      <c r="AB77" s="1" t="str">
        <f>VLOOKUP(T:T,'7店'!$B:$B,1,0)</f>
        <v>Y7045-BL+Y7046+Y7047</v>
      </c>
      <c r="AC77" t="s">
        <v>2575</v>
      </c>
      <c r="AD77">
        <v>27802</v>
      </c>
      <c r="AE77">
        <v>189</v>
      </c>
      <c r="AF77">
        <v>92.74</v>
      </c>
      <c r="AG77">
        <v>231.49</v>
      </c>
      <c r="AH77">
        <v>18</v>
      </c>
      <c r="AI77" s="31">
        <v>0.400622057108298</v>
      </c>
      <c r="AJ77" s="31">
        <v>0.0952380952380952</v>
      </c>
      <c r="AK77" s="1" t="str">
        <f>VLOOKUP(AC:AC,'7店'!$B:$B,1,0)</f>
        <v>Y7063-BL+Y7064+Y7065</v>
      </c>
      <c r="AL77" s="29" t="s">
        <v>2145</v>
      </c>
      <c r="AM77" s="33">
        <v>25.98</v>
      </c>
      <c r="AN77" s="1">
        <f t="shared" ref="AN77:AN108" si="5">AM77*$AS$1</f>
        <v>177.963</v>
      </c>
      <c r="AP77" s="29" t="s">
        <v>2578</v>
      </c>
      <c r="AQ77" s="33">
        <v>64.62</v>
      </c>
      <c r="AR77" s="1">
        <f t="shared" si="4"/>
        <v>442.647</v>
      </c>
      <c r="AT77" s="43" t="s">
        <v>2330</v>
      </c>
      <c r="AU77" s="44">
        <v>2404.7</v>
      </c>
      <c r="AV77" s="35"/>
      <c r="AW77" s="43" t="s">
        <v>2333</v>
      </c>
      <c r="AX77" s="44">
        <v>750.6</v>
      </c>
      <c r="AZ77" s="128" t="s">
        <v>2710</v>
      </c>
      <c r="BA77" s="106">
        <v>4.323</v>
      </c>
      <c r="BB77" s="1" t="s">
        <v>430</v>
      </c>
    </row>
    <row r="78" spans="2:54">
      <c r="B78" t="s">
        <v>2602</v>
      </c>
      <c r="C78">
        <v>6</v>
      </c>
      <c r="D78" s="1" t="str">
        <f>VLOOKUP(B:B,'7店'!$B:$B,1,0)</f>
        <v>Y7069-BU+Y7070+Y7071</v>
      </c>
      <c r="E78" t="s">
        <v>2246</v>
      </c>
      <c r="F78">
        <v>10</v>
      </c>
      <c r="G78" s="1" t="str">
        <f>VLOOKUP(E:E,'7店'!$B:$B,1,0)</f>
        <v>Y73189-DB+Y73190+Y73270</v>
      </c>
      <c r="H78" t="s">
        <v>2217</v>
      </c>
      <c r="I78">
        <v>10</v>
      </c>
      <c r="J78" s="1" t="str">
        <f>VLOOKUP(H:H,'7店'!$B:$B,1,0)</f>
        <v>Y73040-BL+Y73045+Y73063</v>
      </c>
      <c r="K78" t="s">
        <v>2466</v>
      </c>
      <c r="L78">
        <v>492</v>
      </c>
      <c r="M78">
        <v>3</v>
      </c>
      <c r="N78">
        <v>1.07</v>
      </c>
      <c r="O78">
        <v>0</v>
      </c>
      <c r="P78">
        <v>0</v>
      </c>
      <c r="Q78" s="31">
        <v>0</v>
      </c>
      <c r="R78" s="31">
        <v>0</v>
      </c>
      <c r="S78" s="1" t="str">
        <f>VLOOKUP(K:K,'7店'!$B:$B,1,0)</f>
        <v>Y73821-DB-ZH</v>
      </c>
      <c r="T78" t="s">
        <v>2505</v>
      </c>
      <c r="U78">
        <v>368</v>
      </c>
      <c r="V78">
        <v>1</v>
      </c>
      <c r="W78">
        <v>0.36</v>
      </c>
      <c r="X78">
        <v>0</v>
      </c>
      <c r="Y78">
        <v>0</v>
      </c>
      <c r="Z78" s="31">
        <v>0</v>
      </c>
      <c r="AA78" s="31">
        <v>0</v>
      </c>
      <c r="AB78" s="1" t="str">
        <f>VLOOKUP(T:T,'7店'!$B:$B,1,0)</f>
        <v>Y7045-DB+Y7046+Y7047</v>
      </c>
      <c r="AC78" t="s">
        <v>2237</v>
      </c>
      <c r="AD78">
        <v>4205</v>
      </c>
      <c r="AE78">
        <v>68</v>
      </c>
      <c r="AF78">
        <v>26.67</v>
      </c>
      <c r="AG78">
        <v>12.99</v>
      </c>
      <c r="AH78">
        <v>1</v>
      </c>
      <c r="AI78" s="31">
        <v>2.05311778290993</v>
      </c>
      <c r="AJ78" s="31">
        <v>0.0147058823529412</v>
      </c>
      <c r="AK78" s="1" t="str">
        <f>VLOOKUP(AC:AC,'7店'!$B:$B,1,0)</f>
        <v>Y73452-DB+Y73456+Y73457</v>
      </c>
      <c r="AL78" s="29" t="s">
        <v>2300</v>
      </c>
      <c r="AM78" s="33">
        <v>25.98</v>
      </c>
      <c r="AN78" s="1">
        <f t="shared" si="5"/>
        <v>177.963</v>
      </c>
      <c r="AP78" s="29" t="s">
        <v>2288</v>
      </c>
      <c r="AQ78" s="33">
        <v>47.96</v>
      </c>
      <c r="AR78" s="1">
        <f t="shared" si="4"/>
        <v>328.526</v>
      </c>
      <c r="AT78" s="43" t="s">
        <v>2333</v>
      </c>
      <c r="AU78" s="44">
        <v>778.4</v>
      </c>
      <c r="AV78" s="35"/>
      <c r="AW78" s="43" t="s">
        <v>2336</v>
      </c>
      <c r="AX78" s="44">
        <v>417</v>
      </c>
      <c r="AZ78" s="128" t="s">
        <v>2184</v>
      </c>
      <c r="BA78" s="106">
        <v>4.323</v>
      </c>
      <c r="BB78" s="1" t="s">
        <v>430</v>
      </c>
    </row>
    <row r="79" spans="2:54">
      <c r="B79" t="s">
        <v>2614</v>
      </c>
      <c r="C79">
        <v>7</v>
      </c>
      <c r="D79" s="1" t="str">
        <f>VLOOKUP(B:B,'7店'!$B:$B,1,0)</f>
        <v>Y7072-BL+Y7073+Y7074</v>
      </c>
      <c r="E79" t="s">
        <v>2391</v>
      </c>
      <c r="F79">
        <v>2</v>
      </c>
      <c r="G79" s="1" t="str">
        <f>VLOOKUP(E:E,'7店'!$B:$B,1,0)</f>
        <v>Y7031-DB+Y7032</v>
      </c>
      <c r="H79" t="s">
        <v>2206</v>
      </c>
      <c r="I79">
        <v>5</v>
      </c>
      <c r="J79" s="1" t="str">
        <f>VLOOKUP(H:H,'7店'!$B:$B,1,0)</f>
        <v>Y73106-OR+Y73109+Y73112</v>
      </c>
      <c r="K79" t="s">
        <v>2489</v>
      </c>
      <c r="L79">
        <v>147</v>
      </c>
      <c r="M79">
        <v>0</v>
      </c>
      <c r="N79">
        <v>0</v>
      </c>
      <c r="O79">
        <v>0</v>
      </c>
      <c r="P79">
        <v>0</v>
      </c>
      <c r="Q79" s="31">
        <v>0</v>
      </c>
      <c r="R79" s="31">
        <v>0</v>
      </c>
      <c r="S79" s="1" t="str">
        <f>VLOOKUP(K:K,'7店'!$B:$B,1,0)</f>
        <v>Y7039-OR+Y7040+Y7041</v>
      </c>
      <c r="T79" t="s">
        <v>2499</v>
      </c>
      <c r="U79">
        <v>2372</v>
      </c>
      <c r="V79">
        <v>4</v>
      </c>
      <c r="W79">
        <v>1.79</v>
      </c>
      <c r="X79">
        <v>0</v>
      </c>
      <c r="Y79">
        <v>0</v>
      </c>
      <c r="Z79" s="31">
        <v>0</v>
      </c>
      <c r="AA79" s="31">
        <v>0</v>
      </c>
      <c r="AB79" s="1" t="str">
        <f>VLOOKUP(T:T,'7店'!$B:$B,1,0)</f>
        <v>Y7042-BU+Y7043+Y7044</v>
      </c>
      <c r="AC79" t="s">
        <v>2507</v>
      </c>
      <c r="AD79">
        <v>5</v>
      </c>
      <c r="AE79">
        <v>0</v>
      </c>
      <c r="AF79">
        <v>0</v>
      </c>
      <c r="AG79">
        <v>0</v>
      </c>
      <c r="AH79">
        <v>0</v>
      </c>
      <c r="AI79" s="31">
        <v>0</v>
      </c>
      <c r="AJ79" s="31">
        <v>0</v>
      </c>
      <c r="AK79" s="1" t="str">
        <f>VLOOKUP(AC:AC,'7店'!$B:$B,1,0)</f>
        <v>Y7045-OR+Y7046+Y7047</v>
      </c>
      <c r="AL79" s="29" t="s">
        <v>2385</v>
      </c>
      <c r="AM79" s="33">
        <v>25.98</v>
      </c>
      <c r="AN79" s="1">
        <f t="shared" si="5"/>
        <v>177.963</v>
      </c>
      <c r="AP79" s="29" t="s">
        <v>2300</v>
      </c>
      <c r="AQ79" s="33">
        <v>49.96</v>
      </c>
      <c r="AR79" s="1">
        <f t="shared" si="4"/>
        <v>342.226</v>
      </c>
      <c r="AT79" s="43" t="s">
        <v>2336</v>
      </c>
      <c r="AU79" s="44">
        <v>583.8</v>
      </c>
      <c r="AV79" s="35"/>
      <c r="AW79" s="43" t="s">
        <v>2339</v>
      </c>
      <c r="AX79" s="44">
        <v>2529.8</v>
      </c>
      <c r="AZ79" s="128" t="s">
        <v>2187</v>
      </c>
      <c r="BA79" s="106">
        <v>3.997</v>
      </c>
      <c r="BB79" s="1" t="s">
        <v>430</v>
      </c>
    </row>
    <row r="80" spans="2:54">
      <c r="B80" t="s">
        <v>2605</v>
      </c>
      <c r="C80">
        <v>1</v>
      </c>
      <c r="D80" s="1" t="str">
        <f>VLOOKUP(B:B,'7店'!$B:$B,1,0)</f>
        <v>Y7069-DB+Y7070+Y7071</v>
      </c>
      <c r="E80" t="s">
        <v>2306</v>
      </c>
      <c r="F80">
        <v>1</v>
      </c>
      <c r="G80" s="1" t="str">
        <f>VLOOKUP(E:E,'7店'!$B:$B,1,0)</f>
        <v>Y7011-GE+Y7019+Y7015</v>
      </c>
      <c r="H80" t="s">
        <v>2265</v>
      </c>
      <c r="I80">
        <v>6</v>
      </c>
      <c r="J80" s="1" t="str">
        <f>VLOOKUP(H:H,'7店'!$B:$B,1,0)</f>
        <v>Y73474-DB+Y72614+Y73477</v>
      </c>
      <c r="K80" t="s">
        <v>2178</v>
      </c>
      <c r="L80">
        <v>891</v>
      </c>
      <c r="M80">
        <v>2</v>
      </c>
      <c r="N80">
        <v>1.17</v>
      </c>
      <c r="O80">
        <v>0</v>
      </c>
      <c r="P80">
        <v>0</v>
      </c>
      <c r="Q80" s="31">
        <v>0</v>
      </c>
      <c r="R80" s="31">
        <v>0</v>
      </c>
      <c r="S80" s="1" t="str">
        <f>VLOOKUP(K:K,'7店'!$B:$B,1,0)</f>
        <v>Y73694-BL+Y73712+Y73744</v>
      </c>
      <c r="T80" t="s">
        <v>2501</v>
      </c>
      <c r="U80">
        <v>504</v>
      </c>
      <c r="V80">
        <v>6</v>
      </c>
      <c r="W80">
        <v>2.64</v>
      </c>
      <c r="X80">
        <v>0</v>
      </c>
      <c r="Y80">
        <v>0</v>
      </c>
      <c r="Z80" s="31">
        <v>0</v>
      </c>
      <c r="AA80" s="31">
        <v>0</v>
      </c>
      <c r="AB80" s="1" t="str">
        <f>VLOOKUP(T:T,'7店'!$B:$B,1,0)</f>
        <v>Y7042-OR+Y7043+Y7044</v>
      </c>
      <c r="AC80" t="s">
        <v>2504</v>
      </c>
      <c r="AD80">
        <v>60</v>
      </c>
      <c r="AE80">
        <v>0</v>
      </c>
      <c r="AF80">
        <v>0</v>
      </c>
      <c r="AG80">
        <v>0</v>
      </c>
      <c r="AH80">
        <v>0</v>
      </c>
      <c r="AI80" s="31">
        <v>0</v>
      </c>
      <c r="AJ80" s="31">
        <v>0</v>
      </c>
      <c r="AK80" s="1" t="str">
        <f>VLOOKUP(AC:AC,'7店'!$B:$B,1,0)</f>
        <v>Y7045-BU+Y7046+Y7047</v>
      </c>
      <c r="AL80" s="29" t="s">
        <v>2472</v>
      </c>
      <c r="AM80" s="33">
        <v>64.95</v>
      </c>
      <c r="AN80" s="1">
        <f t="shared" si="5"/>
        <v>444.9075</v>
      </c>
      <c r="AP80" s="29" t="s">
        <v>2403</v>
      </c>
      <c r="AQ80" s="33">
        <v>145.16</v>
      </c>
      <c r="AR80" s="1">
        <f t="shared" si="4"/>
        <v>994.346</v>
      </c>
      <c r="AT80" s="43" t="s">
        <v>2339</v>
      </c>
      <c r="AU80" s="44">
        <v>1709.7</v>
      </c>
      <c r="AV80" s="35"/>
      <c r="AW80" s="43" t="s">
        <v>2342</v>
      </c>
      <c r="AX80" s="44">
        <v>583.8</v>
      </c>
      <c r="AZ80" s="128" t="s">
        <v>2190</v>
      </c>
      <c r="BA80" s="106">
        <v>4.216</v>
      </c>
      <c r="BB80" s="1" t="s">
        <v>430</v>
      </c>
    </row>
    <row r="81" spans="2:54">
      <c r="B81" t="s">
        <v>2620</v>
      </c>
      <c r="C81">
        <v>4</v>
      </c>
      <c r="D81" s="1" t="str">
        <f>VLOOKUP(B:B,'7店'!$B:$B,1,0)</f>
        <v>Y7072-DB+Y7073+Y7074</v>
      </c>
      <c r="E81" t="s">
        <v>2397</v>
      </c>
      <c r="F81">
        <v>5</v>
      </c>
      <c r="G81" s="1" t="str">
        <f>VLOOKUP(E:E,'7店'!$B:$B,1,0)</f>
        <v>Y7025-BL+Y7027+Y7026</v>
      </c>
      <c r="H81" t="s">
        <v>2262</v>
      </c>
      <c r="I81">
        <v>8</v>
      </c>
      <c r="J81" s="1" t="str">
        <f>VLOOKUP(H:H,'7店'!$B:$B,1,0)</f>
        <v>Y73473-OR+Y72614+Y73476</v>
      </c>
      <c r="K81" t="s">
        <v>2211</v>
      </c>
      <c r="L81">
        <v>520</v>
      </c>
      <c r="M81">
        <v>6</v>
      </c>
      <c r="N81">
        <v>1.75</v>
      </c>
      <c r="O81">
        <v>0</v>
      </c>
      <c r="P81">
        <v>0</v>
      </c>
      <c r="Q81" s="31">
        <v>0</v>
      </c>
      <c r="R81" s="31">
        <v>0</v>
      </c>
      <c r="S81" s="1" t="str">
        <f>VLOOKUP(K:K,'7店'!$B:$B,1,0)</f>
        <v>Y73230-DB+Y73231+Y73240</v>
      </c>
      <c r="T81" t="s">
        <v>2500</v>
      </c>
      <c r="U81">
        <v>200</v>
      </c>
      <c r="V81">
        <v>0</v>
      </c>
      <c r="W81">
        <v>0</v>
      </c>
      <c r="X81">
        <v>0</v>
      </c>
      <c r="Y81">
        <v>0</v>
      </c>
      <c r="Z81" s="31">
        <v>0</v>
      </c>
      <c r="AA81" s="31">
        <v>0</v>
      </c>
      <c r="AB81" s="1" t="str">
        <f>VLOOKUP(T:T,'7店'!$B:$B,1,0)</f>
        <v>Y7042-DB+Y7043+Y7044</v>
      </c>
      <c r="AC81" t="s">
        <v>2502</v>
      </c>
      <c r="AD81">
        <v>566</v>
      </c>
      <c r="AE81">
        <v>5</v>
      </c>
      <c r="AF81">
        <v>1.84</v>
      </c>
      <c r="AG81">
        <v>25.99</v>
      </c>
      <c r="AH81">
        <v>1</v>
      </c>
      <c r="AI81" s="31">
        <v>0.0707964601769912</v>
      </c>
      <c r="AJ81" s="31">
        <v>0.2</v>
      </c>
      <c r="AK81" s="1" t="str">
        <f>VLOOKUP(AC:AC,'7店'!$B:$B,1,0)</f>
        <v>Y7045-BL+Y7046+Y7047</v>
      </c>
      <c r="AL81" s="29" t="s">
        <v>2584</v>
      </c>
      <c r="AM81" s="33">
        <v>25.98</v>
      </c>
      <c r="AN81" s="1">
        <f t="shared" si="5"/>
        <v>177.963</v>
      </c>
      <c r="AP81" s="29" t="s">
        <v>2445</v>
      </c>
      <c r="AQ81" s="33">
        <v>49.96</v>
      </c>
      <c r="AR81" s="1">
        <f t="shared" si="4"/>
        <v>342.226</v>
      </c>
      <c r="AT81" s="43" t="s">
        <v>2342</v>
      </c>
      <c r="AU81" s="44">
        <v>1487.3</v>
      </c>
      <c r="AV81" s="35"/>
      <c r="AW81" s="43" t="s">
        <v>2708</v>
      </c>
      <c r="AX81" s="44">
        <v>97.3</v>
      </c>
      <c r="AZ81" s="128" t="s">
        <v>2361</v>
      </c>
      <c r="BA81" s="106">
        <v>2.229</v>
      </c>
      <c r="BB81" s="1" t="s">
        <v>430</v>
      </c>
    </row>
    <row r="82" spans="2:54">
      <c r="B82" t="s">
        <v>2391</v>
      </c>
      <c r="C82">
        <v>1</v>
      </c>
      <c r="D82" s="1" t="str">
        <f>VLOOKUP(B:B,'7店'!$B:$B,1,0)</f>
        <v>Y7031-DB+Y7032</v>
      </c>
      <c r="E82" t="s">
        <v>2442</v>
      </c>
      <c r="F82">
        <v>1</v>
      </c>
      <c r="G82" s="1" t="str">
        <f>VLOOKUP(E:E,'7店'!$B:$B,1,0)</f>
        <v>Y71973-BL+Y71974+Y72754</v>
      </c>
      <c r="H82" t="s">
        <v>2394</v>
      </c>
      <c r="I82">
        <v>9</v>
      </c>
      <c r="J82" s="1" t="str">
        <f>VLOOKUP(H:H,'7店'!$B:$B,1,0)</f>
        <v>Y7031-OR+Y7032</v>
      </c>
      <c r="K82" t="s">
        <v>2237</v>
      </c>
      <c r="L82">
        <v>875</v>
      </c>
      <c r="M82">
        <v>13</v>
      </c>
      <c r="N82">
        <v>5.1</v>
      </c>
      <c r="O82">
        <v>0</v>
      </c>
      <c r="P82">
        <v>0</v>
      </c>
      <c r="Q82" s="31">
        <v>0</v>
      </c>
      <c r="R82" s="31">
        <v>0</v>
      </c>
      <c r="S82" s="1" t="str">
        <f>VLOOKUP(K:K,'7店'!$B:$B,1,0)</f>
        <v>Y73452-DB+Y73456+Y73457</v>
      </c>
      <c r="T82" t="s">
        <v>2497</v>
      </c>
      <c r="U82">
        <v>2116</v>
      </c>
      <c r="V82">
        <v>1</v>
      </c>
      <c r="W82">
        <v>0.2</v>
      </c>
      <c r="X82">
        <v>0</v>
      </c>
      <c r="Y82">
        <v>0</v>
      </c>
      <c r="Z82" s="31">
        <v>0</v>
      </c>
      <c r="AA82" s="31">
        <v>0</v>
      </c>
      <c r="AB82" s="1" t="str">
        <f>VLOOKUP(T:T,'7店'!$B:$B,1,0)</f>
        <v>Y7042-BL+Y7043+Y7044</v>
      </c>
      <c r="AC82" t="s">
        <v>2505</v>
      </c>
      <c r="AD82">
        <v>699</v>
      </c>
      <c r="AE82">
        <v>5</v>
      </c>
      <c r="AF82">
        <v>1.91</v>
      </c>
      <c r="AG82">
        <v>25.99</v>
      </c>
      <c r="AH82">
        <v>1</v>
      </c>
      <c r="AI82" s="31">
        <v>0.073489803770681</v>
      </c>
      <c r="AJ82" s="31">
        <v>0.2</v>
      </c>
      <c r="AK82" s="1" t="str">
        <f>VLOOKUP(AC:AC,'7店'!$B:$B,1,0)</f>
        <v>Y7045-DB+Y7046+Y7047</v>
      </c>
      <c r="AL82" s="29" t="s">
        <v>2593</v>
      </c>
      <c r="AM82" s="33">
        <v>25.98</v>
      </c>
      <c r="AN82" s="1">
        <f t="shared" si="5"/>
        <v>177.963</v>
      </c>
      <c r="AP82" s="29" t="s">
        <v>2477</v>
      </c>
      <c r="AQ82" s="33">
        <v>49.96</v>
      </c>
      <c r="AR82" s="1">
        <f t="shared" si="4"/>
        <v>342.226</v>
      </c>
      <c r="AT82" s="43" t="s">
        <v>2708</v>
      </c>
      <c r="AU82" s="44">
        <v>0</v>
      </c>
      <c r="AV82" s="35"/>
      <c r="AW82" s="43" t="s">
        <v>2700</v>
      </c>
      <c r="AX82" s="44">
        <v>55.6</v>
      </c>
      <c r="AZ82" s="128" t="s">
        <v>2364</v>
      </c>
      <c r="BA82" s="106">
        <v>1.936</v>
      </c>
      <c r="BB82" s="1" t="s">
        <v>430</v>
      </c>
    </row>
    <row r="83" spans="2:54">
      <c r="B83" t="s">
        <v>2445</v>
      </c>
      <c r="C83">
        <v>3</v>
      </c>
      <c r="D83" s="1" t="str">
        <f>VLOOKUP(B:B,'7店'!$B:$B,1,0)</f>
        <v>Y72691-DB+Y72692+Y72758</v>
      </c>
      <c r="E83" t="s">
        <v>2388</v>
      </c>
      <c r="F83">
        <v>5</v>
      </c>
      <c r="G83" s="1" t="str">
        <f>VLOOKUP(E:E,'7店'!$B:$B,1,0)</f>
        <v>Y7031-BU+Y7032</v>
      </c>
      <c r="H83" t="s">
        <v>2203</v>
      </c>
      <c r="I83">
        <v>2</v>
      </c>
      <c r="J83" s="1" t="str">
        <f>VLOOKUP(H:H,'7店'!$B:$B,1,0)</f>
        <v>Y73106-DB+Y73109+Y73112</v>
      </c>
      <c r="K83" t="s">
        <v>2265</v>
      </c>
      <c r="L83">
        <v>684</v>
      </c>
      <c r="M83">
        <v>11</v>
      </c>
      <c r="N83">
        <v>4.68</v>
      </c>
      <c r="O83">
        <v>0</v>
      </c>
      <c r="P83">
        <v>0</v>
      </c>
      <c r="Q83" s="31">
        <v>0</v>
      </c>
      <c r="R83" s="31">
        <v>0</v>
      </c>
      <c r="S83" s="1" t="str">
        <f>VLOOKUP(K:K,'7店'!$B:$B,1,0)</f>
        <v>Y73474-DB+Y72614+Y73477</v>
      </c>
      <c r="T83" t="s">
        <v>2512</v>
      </c>
      <c r="U83">
        <v>922</v>
      </c>
      <c r="V83">
        <v>3</v>
      </c>
      <c r="W83">
        <v>0.83</v>
      </c>
      <c r="X83">
        <v>0</v>
      </c>
      <c r="Y83">
        <v>0</v>
      </c>
      <c r="Z83" s="31">
        <v>0</v>
      </c>
      <c r="AA83" s="31">
        <v>0</v>
      </c>
      <c r="AB83" s="1" t="str">
        <f>VLOOKUP(T:T,'7店'!$B:$B,1,0)</f>
        <v>Y7048-OR+Y7049+Y7050</v>
      </c>
      <c r="AC83" t="s">
        <v>2499</v>
      </c>
      <c r="AD83">
        <v>3019</v>
      </c>
      <c r="AE83">
        <v>7</v>
      </c>
      <c r="AF83">
        <v>3.14</v>
      </c>
      <c r="AG83">
        <v>0</v>
      </c>
      <c r="AH83">
        <v>0</v>
      </c>
      <c r="AI83" s="31">
        <v>0</v>
      </c>
      <c r="AJ83" s="31">
        <v>0</v>
      </c>
      <c r="AK83" s="1" t="str">
        <f>VLOOKUP(AC:AC,'7店'!$B:$B,1,0)</f>
        <v>Y7042-BU+Y7043+Y7044</v>
      </c>
      <c r="AL83" s="29" t="s">
        <v>2608</v>
      </c>
      <c r="AM83" s="33">
        <v>25.98</v>
      </c>
      <c r="AN83" s="1">
        <f t="shared" si="5"/>
        <v>177.963</v>
      </c>
      <c r="AP83" s="29" t="s">
        <v>2472</v>
      </c>
      <c r="AQ83" s="33">
        <v>88.93</v>
      </c>
      <c r="AR83" s="1">
        <f t="shared" si="4"/>
        <v>609.1705</v>
      </c>
      <c r="AT83" s="43" t="s">
        <v>2700</v>
      </c>
      <c r="AU83" s="44">
        <v>0</v>
      </c>
      <c r="AV83" s="35"/>
      <c r="AW83" s="43" t="s">
        <v>2345</v>
      </c>
      <c r="AX83" s="44">
        <v>389.2</v>
      </c>
      <c r="AZ83" s="128" t="s">
        <v>2367</v>
      </c>
      <c r="BA83" s="106">
        <v>2.533</v>
      </c>
      <c r="BB83" s="1" t="s">
        <v>430</v>
      </c>
    </row>
    <row r="84" spans="2:54">
      <c r="B84" t="s">
        <v>2617</v>
      </c>
      <c r="C84">
        <v>2</v>
      </c>
      <c r="D84" s="1" t="str">
        <f>VLOOKUP(B:B,'7店'!$B:$B,1,0)</f>
        <v>Y7072-BU+Y7073+Y7074</v>
      </c>
      <c r="E84" t="s">
        <v>2145</v>
      </c>
      <c r="F84">
        <v>12</v>
      </c>
      <c r="G84" s="1" t="str">
        <f>VLOOKUP(E:E,'7店'!$B:$B,1,0)</f>
        <v>Y7002-BL+Y7005</v>
      </c>
      <c r="H84" t="s">
        <v>2252</v>
      </c>
      <c r="I84">
        <v>1</v>
      </c>
      <c r="J84" s="1" t="str">
        <f>VLOOKUP(H:H,'7店'!$B:$B,1,0)</f>
        <v>Y73405-BL+Y73406+Y73397</v>
      </c>
      <c r="K84" t="s">
        <v>2445</v>
      </c>
      <c r="L84">
        <v>432</v>
      </c>
      <c r="M84">
        <v>5</v>
      </c>
      <c r="N84">
        <v>1.57</v>
      </c>
      <c r="O84">
        <v>25.98</v>
      </c>
      <c r="P84">
        <v>2</v>
      </c>
      <c r="Q84" s="31">
        <v>0.0604311008468052</v>
      </c>
      <c r="R84" s="31">
        <v>0.4</v>
      </c>
      <c r="S84" s="1" t="str">
        <f>VLOOKUP(K:K,'7店'!$B:$B,1,0)</f>
        <v>Y72691-DB+Y72692+Y72758</v>
      </c>
      <c r="T84" t="s">
        <v>2510</v>
      </c>
      <c r="U84">
        <v>405</v>
      </c>
      <c r="V84">
        <v>4</v>
      </c>
      <c r="W84">
        <v>1.43</v>
      </c>
      <c r="X84">
        <v>0</v>
      </c>
      <c r="Y84">
        <v>0</v>
      </c>
      <c r="Z84" s="31">
        <v>0</v>
      </c>
      <c r="AA84" s="31">
        <v>0</v>
      </c>
      <c r="AB84" s="1" t="str">
        <f>VLOOKUP(T:T,'7店'!$B:$B,1,0)</f>
        <v>Y7048-BU+Y7049+Y7050</v>
      </c>
      <c r="AC84" t="s">
        <v>2501</v>
      </c>
      <c r="AD84">
        <v>1019</v>
      </c>
      <c r="AE84">
        <v>10</v>
      </c>
      <c r="AF84">
        <v>4.36</v>
      </c>
      <c r="AG84">
        <v>0</v>
      </c>
      <c r="AH84">
        <v>0</v>
      </c>
      <c r="AI84" s="31">
        <v>0</v>
      </c>
      <c r="AJ84" s="31">
        <v>0</v>
      </c>
      <c r="AK84" s="1" t="str">
        <f>VLOOKUP(AC:AC,'7店'!$B:$B,1,0)</f>
        <v>Y7042-OR+Y7043+Y7044</v>
      </c>
      <c r="AL84" s="29" t="s">
        <v>2617</v>
      </c>
      <c r="AM84" s="33">
        <v>25.98</v>
      </c>
      <c r="AN84" s="1">
        <f t="shared" si="5"/>
        <v>177.963</v>
      </c>
      <c r="AP84" s="29" t="s">
        <v>2596</v>
      </c>
      <c r="AQ84" s="33">
        <v>45.97</v>
      </c>
      <c r="AR84" s="1">
        <f t="shared" si="4"/>
        <v>314.8945</v>
      </c>
      <c r="AT84" s="43" t="s">
        <v>2345</v>
      </c>
      <c r="AU84" s="44">
        <v>333.6</v>
      </c>
      <c r="AV84" s="35"/>
      <c r="AW84" s="43" t="s">
        <v>2348</v>
      </c>
      <c r="AX84" s="44">
        <v>583.8</v>
      </c>
      <c r="AZ84" s="128" t="s">
        <v>2370</v>
      </c>
      <c r="BA84" s="106">
        <v>1.964</v>
      </c>
      <c r="BB84" s="1" t="s">
        <v>430</v>
      </c>
    </row>
    <row r="85" spans="2:54">
      <c r="B85" t="s">
        <v>2211</v>
      </c>
      <c r="C85">
        <v>2</v>
      </c>
      <c r="D85" s="1" t="str">
        <f>VLOOKUP(B:B,'7店'!$B:$B,1,0)</f>
        <v>Y73230-DB+Y73231+Y73240</v>
      </c>
      <c r="E85" t="s">
        <v>2265</v>
      </c>
      <c r="F85">
        <v>2</v>
      </c>
      <c r="G85" s="1" t="str">
        <f>VLOOKUP(E:E,'7店'!$B:$B,1,0)</f>
        <v>Y73474-DB+Y72614+Y73477</v>
      </c>
      <c r="H85" t="s">
        <v>2254</v>
      </c>
      <c r="I85">
        <v>7</v>
      </c>
      <c r="J85" s="1" t="str">
        <f>VLOOKUP(H:H,'7店'!$B:$B,1,0)</f>
        <v>Y73405-DB+Y73406+Y73397</v>
      </c>
      <c r="K85" t="s">
        <v>2430</v>
      </c>
      <c r="L85">
        <v>1007</v>
      </c>
      <c r="M85">
        <v>14</v>
      </c>
      <c r="N85">
        <v>5.01</v>
      </c>
      <c r="O85">
        <v>12.99</v>
      </c>
      <c r="P85">
        <v>1</v>
      </c>
      <c r="Q85" s="31">
        <v>0.38568129330254</v>
      </c>
      <c r="R85" s="31">
        <v>0.0714285714285714</v>
      </c>
      <c r="S85" s="1" t="str">
        <f>VLOOKUP(K:K,'7店'!$B:$B,1,0)</f>
        <v>Y72000-DB+Y72013+Y72749</v>
      </c>
      <c r="T85" t="s">
        <v>2551</v>
      </c>
      <c r="U85">
        <v>1371</v>
      </c>
      <c r="V85">
        <v>4</v>
      </c>
      <c r="W85">
        <v>1.83</v>
      </c>
      <c r="X85">
        <v>0</v>
      </c>
      <c r="Y85">
        <v>0</v>
      </c>
      <c r="Z85" s="31">
        <v>0</v>
      </c>
      <c r="AA85" s="31">
        <v>0</v>
      </c>
      <c r="AB85" s="1" t="str">
        <f>VLOOKUP(T:T,'7店'!$B:$B,1,0)</f>
        <v>Y7052-BL+Y7056+Y7060</v>
      </c>
      <c r="AC85" t="s">
        <v>2500</v>
      </c>
      <c r="AD85">
        <v>1865</v>
      </c>
      <c r="AE85">
        <v>6</v>
      </c>
      <c r="AF85">
        <v>2.54</v>
      </c>
      <c r="AG85">
        <v>25.99</v>
      </c>
      <c r="AH85">
        <v>1</v>
      </c>
      <c r="AI85" s="31">
        <v>0.09772989611389</v>
      </c>
      <c r="AJ85" s="31">
        <v>0.166666666666667</v>
      </c>
      <c r="AK85" s="1" t="str">
        <f>VLOOKUP(AC:AC,'7店'!$B:$B,1,0)</f>
        <v>Y7042-DB+Y7043+Y7044</v>
      </c>
      <c r="AL85" s="29" t="s">
        <v>2638</v>
      </c>
      <c r="AM85" s="33">
        <v>25.98</v>
      </c>
      <c r="AN85" s="1">
        <f t="shared" si="5"/>
        <v>177.963</v>
      </c>
      <c r="AP85" s="29" t="s">
        <v>2608</v>
      </c>
      <c r="AQ85" s="33">
        <v>49.96</v>
      </c>
      <c r="AR85" s="1">
        <f t="shared" si="4"/>
        <v>342.226</v>
      </c>
      <c r="AT85" s="43" t="s">
        <v>2348</v>
      </c>
      <c r="AU85" s="44">
        <v>1084.2</v>
      </c>
      <c r="AV85" s="35"/>
      <c r="AW85" s="43" t="s">
        <v>2349</v>
      </c>
      <c r="AX85" s="44">
        <v>3558.4</v>
      </c>
      <c r="AZ85" s="128" t="s">
        <v>2193</v>
      </c>
      <c r="BA85" s="106">
        <v>3.816</v>
      </c>
      <c r="BB85" s="1" t="s">
        <v>430</v>
      </c>
    </row>
    <row r="86" spans="2:54">
      <c r="B86" t="s">
        <v>2151</v>
      </c>
      <c r="C86">
        <v>6</v>
      </c>
      <c r="D86" s="1" t="str">
        <f>VLOOKUP(B:B,'7店'!$B:$B,1,0)</f>
        <v>Y7002-OR+Y7005</v>
      </c>
      <c r="E86" t="s">
        <v>2211</v>
      </c>
      <c r="F86">
        <v>4</v>
      </c>
      <c r="G86" s="1" t="str">
        <f>VLOOKUP(E:E,'7店'!$B:$B,1,0)</f>
        <v>Y73230-DB+Y73231+Y73240</v>
      </c>
      <c r="H86" t="s">
        <v>2142</v>
      </c>
      <c r="I86">
        <v>10</v>
      </c>
      <c r="J86" s="1" t="str">
        <f>VLOOKUP(H:H,'7店'!$B:$B,1,0)</f>
        <v>Y7002-BB+Y7005</v>
      </c>
      <c r="K86" t="s">
        <v>2243</v>
      </c>
      <c r="L86">
        <v>786</v>
      </c>
      <c r="M86">
        <v>13</v>
      </c>
      <c r="N86">
        <v>2.94</v>
      </c>
      <c r="O86">
        <v>12.99</v>
      </c>
      <c r="P86">
        <v>1</v>
      </c>
      <c r="Q86" s="31">
        <v>0.226327944572748</v>
      </c>
      <c r="R86" s="31">
        <v>0.0769230769230769</v>
      </c>
      <c r="S86" s="1" t="str">
        <f>VLOOKUP(K:K,'7店'!$B:$B,1,0)</f>
        <v>Y73189-BL+Y73190+Y73270</v>
      </c>
      <c r="T86" t="s">
        <v>2565</v>
      </c>
      <c r="U86">
        <v>4940</v>
      </c>
      <c r="V86">
        <v>67</v>
      </c>
      <c r="W86">
        <v>37.07</v>
      </c>
      <c r="X86">
        <v>155.94</v>
      </c>
      <c r="Y86">
        <v>6</v>
      </c>
      <c r="Z86" s="31">
        <v>0.237719635757343</v>
      </c>
      <c r="AA86" s="31">
        <v>0.0895522388059702</v>
      </c>
      <c r="AB86" s="1" t="str">
        <f>VLOOKUP(T:T,'7店'!$B:$B,1,0)</f>
        <v>Y7051-OR+Y7055+Y7059</v>
      </c>
      <c r="AC86" t="s">
        <v>2497</v>
      </c>
      <c r="AD86">
        <v>3907</v>
      </c>
      <c r="AE86">
        <v>4</v>
      </c>
      <c r="AF86">
        <v>1.48</v>
      </c>
      <c r="AG86">
        <v>0</v>
      </c>
      <c r="AH86">
        <v>0</v>
      </c>
      <c r="AI86" s="31">
        <v>0</v>
      </c>
      <c r="AJ86" s="31">
        <v>0</v>
      </c>
      <c r="AK86" s="1" t="str">
        <f>VLOOKUP(AC:AC,'7店'!$B:$B,1,0)</f>
        <v>Y7042-BL+Y7043+Y7044</v>
      </c>
      <c r="AL86" s="29" t="s">
        <v>2206</v>
      </c>
      <c r="AM86" s="33">
        <v>12.99</v>
      </c>
      <c r="AN86" s="1">
        <f t="shared" si="5"/>
        <v>88.9815</v>
      </c>
      <c r="AP86" s="29" t="s">
        <v>2587</v>
      </c>
      <c r="AQ86" s="33">
        <v>51.96</v>
      </c>
      <c r="AR86" s="1">
        <f t="shared" si="4"/>
        <v>355.926</v>
      </c>
      <c r="AT86" s="43" t="s">
        <v>2349</v>
      </c>
      <c r="AU86" s="44">
        <v>2460.3</v>
      </c>
      <c r="AV86" s="35"/>
      <c r="AW86" s="43" t="s">
        <v>2352</v>
      </c>
      <c r="AX86" s="44">
        <v>847.9</v>
      </c>
      <c r="AZ86" s="128" t="s">
        <v>2195</v>
      </c>
      <c r="BA86" s="106">
        <v>3.948</v>
      </c>
      <c r="BB86" s="1" t="s">
        <v>430</v>
      </c>
    </row>
    <row r="87" spans="2:54">
      <c r="B87" t="s">
        <v>2436</v>
      </c>
      <c r="C87">
        <v>1</v>
      </c>
      <c r="D87" s="1" t="str">
        <f>VLOOKUP(B:B,'7店'!$B:$B,1,0)</f>
        <v>Y72559-OR+Y72560+Y72399</v>
      </c>
      <c r="E87" t="s">
        <v>2565</v>
      </c>
      <c r="F87">
        <v>5</v>
      </c>
      <c r="G87" s="1" t="str">
        <f>VLOOKUP(E:E,'7店'!$B:$B,1,0)</f>
        <v>Y7051-OR+Y7055+Y7059</v>
      </c>
      <c r="H87" t="s">
        <v>2291</v>
      </c>
      <c r="I87">
        <v>2</v>
      </c>
      <c r="J87" s="1" t="str">
        <f>VLOOKUP(H:H,'7店'!$B:$B,1,0)</f>
        <v>Y7010-GE+Y7018+Y7014</v>
      </c>
      <c r="K87" t="s">
        <v>2274</v>
      </c>
      <c r="L87">
        <v>2295</v>
      </c>
      <c r="M87">
        <v>24</v>
      </c>
      <c r="N87">
        <v>9.97</v>
      </c>
      <c r="O87">
        <v>12.99</v>
      </c>
      <c r="P87">
        <v>1</v>
      </c>
      <c r="Q87" s="31">
        <v>0.767513471901463</v>
      </c>
      <c r="R87" s="31">
        <v>0.0416666666666667</v>
      </c>
      <c r="S87" s="1" t="str">
        <f>VLOOKUP(K:K,'7店'!$B:$B,1,0)</f>
        <v>Y72563-OR+Y72564+Y72571</v>
      </c>
      <c r="T87" t="s">
        <v>2567</v>
      </c>
      <c r="U87">
        <v>1117</v>
      </c>
      <c r="V87">
        <v>8</v>
      </c>
      <c r="W87">
        <v>4.14</v>
      </c>
      <c r="X87">
        <v>0</v>
      </c>
      <c r="Y87">
        <v>0</v>
      </c>
      <c r="Z87" s="31">
        <v>0</v>
      </c>
      <c r="AA87" s="31">
        <v>0</v>
      </c>
      <c r="AB87" s="1" t="str">
        <f>VLOOKUP(T:T,'7店'!$B:$B,1,0)</f>
        <v>Y7053-BL+Y7057+Y7061</v>
      </c>
      <c r="AC87" t="s">
        <v>2508</v>
      </c>
      <c r="AD87">
        <v>24</v>
      </c>
      <c r="AE87">
        <v>2</v>
      </c>
      <c r="AF87">
        <v>0.81</v>
      </c>
      <c r="AG87">
        <v>0</v>
      </c>
      <c r="AH87">
        <v>0</v>
      </c>
      <c r="AI87" s="31">
        <v>0</v>
      </c>
      <c r="AJ87" s="31">
        <v>0</v>
      </c>
      <c r="AK87" s="1" t="str">
        <f>VLOOKUP(AC:AC,'7店'!$B:$B,1,0)</f>
        <v>Y7048-BL+Y7049+Y7050</v>
      </c>
      <c r="AL87" s="29" t="s">
        <v>2711</v>
      </c>
      <c r="AM87" s="33">
        <v>12.99</v>
      </c>
      <c r="AN87" s="1">
        <f t="shared" si="5"/>
        <v>88.9815</v>
      </c>
      <c r="AP87" s="29" t="s">
        <v>2656</v>
      </c>
      <c r="AQ87" s="33">
        <v>51.96</v>
      </c>
      <c r="AR87" s="1">
        <f t="shared" si="4"/>
        <v>355.926</v>
      </c>
      <c r="AT87" s="43" t="s">
        <v>2352</v>
      </c>
      <c r="AU87" s="44">
        <v>722.8</v>
      </c>
      <c r="AV87" s="35"/>
      <c r="AW87" s="43" t="s">
        <v>2355</v>
      </c>
      <c r="AX87" s="44">
        <v>486.5</v>
      </c>
      <c r="AZ87" s="128" t="s">
        <v>2197</v>
      </c>
      <c r="BA87" s="106">
        <v>3.199</v>
      </c>
      <c r="BB87" s="1" t="s">
        <v>430</v>
      </c>
    </row>
    <row r="88" spans="2:54">
      <c r="B88" t="s">
        <v>2457</v>
      </c>
      <c r="C88">
        <v>1</v>
      </c>
      <c r="D88" s="1" t="str">
        <f>VLOOKUP(B:B,'7店'!$B:$B,1,0)</f>
        <v>Y73135-OR-ZH</v>
      </c>
      <c r="E88" t="s">
        <v>2559</v>
      </c>
      <c r="F88">
        <v>7</v>
      </c>
      <c r="G88" s="1" t="str">
        <f>VLOOKUP(E:E,'7店'!$B:$B,1,0)</f>
        <v>Y7051-BL+Y7055+Y7059</v>
      </c>
      <c r="H88" t="s">
        <v>2674</v>
      </c>
      <c r="I88">
        <v>2</v>
      </c>
      <c r="J88" s="1" t="e">
        <f>VLOOKUP(H:H,'7店'!$B:$B,1,0)</f>
        <v>#N/A</v>
      </c>
      <c r="K88" t="s">
        <v>2599</v>
      </c>
      <c r="L88">
        <v>7875</v>
      </c>
      <c r="M88">
        <v>49</v>
      </c>
      <c r="N88">
        <v>26.57</v>
      </c>
      <c r="O88">
        <v>51.96</v>
      </c>
      <c r="P88">
        <v>4</v>
      </c>
      <c r="Q88" s="31">
        <v>0.511354888375674</v>
      </c>
      <c r="R88" s="31">
        <v>0.0816326530612245</v>
      </c>
      <c r="S88" s="1" t="str">
        <f>VLOOKUP(K:K,'7店'!$B:$B,1,0)</f>
        <v>Y7069-BL+Y7070+Y7071</v>
      </c>
      <c r="T88" t="s">
        <v>2573</v>
      </c>
      <c r="U88">
        <v>783</v>
      </c>
      <c r="V88">
        <v>7</v>
      </c>
      <c r="W88">
        <v>4.84</v>
      </c>
      <c r="X88">
        <v>25.99</v>
      </c>
      <c r="Y88">
        <v>1</v>
      </c>
      <c r="Z88" s="31">
        <v>0.186225471335129</v>
      </c>
      <c r="AA88" s="31">
        <v>0.142857142857143</v>
      </c>
      <c r="AB88" s="1" t="str">
        <f>VLOOKUP(T:T,'7店'!$B:$B,1,0)</f>
        <v>Y7053-OR+Y7057+Y7061</v>
      </c>
      <c r="AC88" t="s">
        <v>2512</v>
      </c>
      <c r="AD88">
        <v>1517</v>
      </c>
      <c r="AE88">
        <v>7</v>
      </c>
      <c r="AF88">
        <v>2.34</v>
      </c>
      <c r="AG88">
        <v>28.9</v>
      </c>
      <c r="AH88">
        <v>1</v>
      </c>
      <c r="AI88" s="31">
        <v>0.0809688581314879</v>
      </c>
      <c r="AJ88" s="31">
        <v>0.142857142857143</v>
      </c>
      <c r="AK88" s="1" t="str">
        <f>VLOOKUP(AC:AC,'7店'!$B:$B,1,0)</f>
        <v>Y7048-OR+Y7049+Y7050</v>
      </c>
      <c r="AL88" s="29" t="s">
        <v>2237</v>
      </c>
      <c r="AM88" s="33">
        <v>12.99</v>
      </c>
      <c r="AN88" s="1">
        <f t="shared" si="5"/>
        <v>88.9815</v>
      </c>
      <c r="AP88" s="29" t="s">
        <v>2668</v>
      </c>
      <c r="AQ88" s="33">
        <v>51.96</v>
      </c>
      <c r="AR88" s="1">
        <f t="shared" si="4"/>
        <v>355.926</v>
      </c>
      <c r="AT88" s="43" t="s">
        <v>2355</v>
      </c>
      <c r="AU88" s="44">
        <v>931.3</v>
      </c>
      <c r="AV88" s="35"/>
      <c r="AW88" s="43" t="s">
        <v>2358</v>
      </c>
      <c r="AX88" s="44">
        <v>667.2</v>
      </c>
      <c r="AZ88" s="128" t="s">
        <v>2712</v>
      </c>
      <c r="BA88" s="106">
        <v>1.05</v>
      </c>
      <c r="BB88" s="1" t="s">
        <v>430</v>
      </c>
    </row>
    <row r="89" spans="2:54">
      <c r="B89" t="s">
        <v>2608</v>
      </c>
      <c r="C89">
        <v>2</v>
      </c>
      <c r="D89" s="1" t="str">
        <f>VLOOKUP(B:B,'7店'!$B:$B,1,0)</f>
        <v>Y7069-GE+Y7070+Y7071</v>
      </c>
      <c r="E89" t="s">
        <v>2502</v>
      </c>
      <c r="F89">
        <v>2</v>
      </c>
      <c r="G89" s="1" t="str">
        <f>VLOOKUP(E:E,'7店'!$B:$B,1,0)</f>
        <v>Y7045-BL+Y7046+Y7047</v>
      </c>
      <c r="H89" t="s">
        <v>2428</v>
      </c>
      <c r="I89">
        <v>6</v>
      </c>
      <c r="J89" s="1" t="str">
        <f>VLOOKUP(H:H,'7店'!$B:$B,1,0)</f>
        <v>Y72000-BL+Y72013+Y72749</v>
      </c>
      <c r="K89" t="s">
        <v>2611</v>
      </c>
      <c r="L89">
        <v>108</v>
      </c>
      <c r="M89">
        <v>5</v>
      </c>
      <c r="N89">
        <v>1.81</v>
      </c>
      <c r="O89">
        <v>12.99</v>
      </c>
      <c r="P89">
        <v>1</v>
      </c>
      <c r="Q89" s="31">
        <v>0.139337952270978</v>
      </c>
      <c r="R89" s="31">
        <v>0.2</v>
      </c>
      <c r="S89" s="1" t="str">
        <f>VLOOKUP(K:K,'7店'!$B:$B,1,0)</f>
        <v>Y7069-OR+Y7070+Y7071</v>
      </c>
      <c r="T89" t="s">
        <v>2557</v>
      </c>
      <c r="U89">
        <v>491</v>
      </c>
      <c r="V89">
        <v>9</v>
      </c>
      <c r="W89">
        <v>4.3</v>
      </c>
      <c r="X89">
        <v>0</v>
      </c>
      <c r="Y89">
        <v>0</v>
      </c>
      <c r="Z89" s="31">
        <v>0</v>
      </c>
      <c r="AA89" s="31">
        <v>0</v>
      </c>
      <c r="AB89" s="1" t="str">
        <f>VLOOKUP(T:T,'7店'!$B:$B,1,0)</f>
        <v>Y7052-OR+Y7056+Y7060</v>
      </c>
      <c r="AC89" t="s">
        <v>2510</v>
      </c>
      <c r="AD89">
        <v>957</v>
      </c>
      <c r="AE89">
        <v>6</v>
      </c>
      <c r="AF89">
        <v>2.33</v>
      </c>
      <c r="AG89">
        <v>0</v>
      </c>
      <c r="AH89">
        <v>0</v>
      </c>
      <c r="AI89" s="31">
        <v>0</v>
      </c>
      <c r="AJ89" s="31">
        <v>0</v>
      </c>
      <c r="AK89" s="1" t="str">
        <f>VLOOKUP(AC:AC,'7店'!$B:$B,1,0)</f>
        <v>Y7048-BU+Y7049+Y7050</v>
      </c>
      <c r="AL89" s="29" t="s">
        <v>2259</v>
      </c>
      <c r="AM89" s="33">
        <v>12.99</v>
      </c>
      <c r="AN89" s="1">
        <f t="shared" si="5"/>
        <v>88.9815</v>
      </c>
      <c r="AP89" s="29" t="s">
        <v>2665</v>
      </c>
      <c r="AQ89" s="33">
        <v>51.96</v>
      </c>
      <c r="AR89" s="1">
        <f t="shared" si="4"/>
        <v>355.926</v>
      </c>
      <c r="AT89" s="43" t="s">
        <v>2358</v>
      </c>
      <c r="AU89" s="44">
        <v>1417.8</v>
      </c>
      <c r="AV89" s="35"/>
      <c r="AW89" s="43" t="s">
        <v>2361</v>
      </c>
      <c r="AX89" s="44">
        <v>486.5</v>
      </c>
      <c r="AZ89" s="128" t="s">
        <v>2713</v>
      </c>
      <c r="BA89" s="106">
        <v>2.596</v>
      </c>
      <c r="BB89" s="1" t="s">
        <v>430</v>
      </c>
    </row>
    <row r="90" spans="2:54">
      <c r="B90" t="s">
        <v>2587</v>
      </c>
      <c r="C90">
        <v>3</v>
      </c>
      <c r="D90" s="1" t="str">
        <f>VLOOKUP(B:B,'7店'!$B:$B,1,0)</f>
        <v>Y7066-BU+Y7067+Y7068</v>
      </c>
      <c r="E90" t="s">
        <v>2545</v>
      </c>
      <c r="F90">
        <v>2</v>
      </c>
      <c r="G90" s="1" t="str">
        <f>VLOOKUP(E:E,'7店'!$B:$B,1,0)</f>
        <v>Y7054-BU+Y7062+Y7058</v>
      </c>
      <c r="H90" t="s">
        <v>2448</v>
      </c>
      <c r="I90">
        <v>1</v>
      </c>
      <c r="J90" s="1" t="str">
        <f>VLOOKUP(H:H,'7店'!$B:$B,1,0)</f>
        <v>Y7001-BB-ZH</v>
      </c>
      <c r="K90" t="s">
        <v>2602</v>
      </c>
      <c r="L90">
        <v>122</v>
      </c>
      <c r="M90">
        <v>11</v>
      </c>
      <c r="N90">
        <v>4.57</v>
      </c>
      <c r="O90">
        <v>25.98</v>
      </c>
      <c r="P90">
        <v>2</v>
      </c>
      <c r="Q90" s="31">
        <v>0.17590454195535</v>
      </c>
      <c r="R90" s="31">
        <v>0.181818181818182</v>
      </c>
      <c r="S90" s="1" t="str">
        <f>VLOOKUP(K:K,'7店'!$B:$B,1,0)</f>
        <v>Y7069-BU+Y7070+Y7071</v>
      </c>
      <c r="T90" t="s">
        <v>2466</v>
      </c>
      <c r="U90">
        <v>1314</v>
      </c>
      <c r="V90">
        <v>10</v>
      </c>
      <c r="W90">
        <v>3.59</v>
      </c>
      <c r="X90">
        <v>0</v>
      </c>
      <c r="Y90">
        <v>0</v>
      </c>
      <c r="Z90" s="31">
        <v>0</v>
      </c>
      <c r="AA90" s="31">
        <v>0</v>
      </c>
      <c r="AB90" s="1" t="str">
        <f>VLOOKUP(T:T,'7店'!$B:$B,1,0)</f>
        <v>Y73821-DB-ZH</v>
      </c>
      <c r="AC90" t="s">
        <v>2557</v>
      </c>
      <c r="AD90">
        <v>952</v>
      </c>
      <c r="AE90">
        <v>17</v>
      </c>
      <c r="AF90">
        <v>8.93</v>
      </c>
      <c r="AG90">
        <v>0</v>
      </c>
      <c r="AH90">
        <v>0</v>
      </c>
      <c r="AI90" s="31">
        <v>0</v>
      </c>
      <c r="AJ90" s="31">
        <v>0</v>
      </c>
      <c r="AK90" s="1" t="str">
        <f>VLOOKUP(AC:AC,'7店'!$B:$B,1,0)</f>
        <v>Y7052-OR+Y7056+Y7060</v>
      </c>
      <c r="AL90" s="29" t="s">
        <v>2256</v>
      </c>
      <c r="AM90" s="33">
        <v>12.99</v>
      </c>
      <c r="AN90" s="1">
        <f t="shared" si="5"/>
        <v>88.9815</v>
      </c>
      <c r="AP90" s="29" t="s">
        <v>2519</v>
      </c>
      <c r="AQ90" s="33">
        <v>38.97</v>
      </c>
      <c r="AR90" s="1">
        <f t="shared" si="4"/>
        <v>266.9445</v>
      </c>
      <c r="AT90" s="43" t="s">
        <v>2361</v>
      </c>
      <c r="AU90" s="44">
        <v>903.5</v>
      </c>
      <c r="AV90" s="35"/>
      <c r="AW90" s="43" t="s">
        <v>2364</v>
      </c>
      <c r="AX90" s="44">
        <v>611.6</v>
      </c>
      <c r="AZ90" s="128" t="s">
        <v>2425</v>
      </c>
      <c r="BA90" s="106">
        <v>6.624</v>
      </c>
      <c r="BB90" s="1" t="s">
        <v>430</v>
      </c>
    </row>
    <row r="91" spans="2:54">
      <c r="B91" t="s">
        <v>2573</v>
      </c>
      <c r="C91">
        <v>1</v>
      </c>
      <c r="D91" s="1" t="str">
        <f>VLOOKUP(B:B,'7店'!$B:$B,1,0)</f>
        <v>Y7053-OR+Y7057+Y7061</v>
      </c>
      <c r="E91" t="s">
        <v>2507</v>
      </c>
      <c r="F91">
        <v>1</v>
      </c>
      <c r="G91" s="1" t="str">
        <f>VLOOKUP(E:E,'7店'!$B:$B,1,0)</f>
        <v>Y7045-OR+Y7046+Y7047</v>
      </c>
      <c r="H91" t="s">
        <v>2433</v>
      </c>
      <c r="I91">
        <v>1</v>
      </c>
      <c r="J91" s="1" t="str">
        <f>VLOOKUP(H:H,'7店'!$B:$B,1,0)</f>
        <v>Y72000-OR+Y72013+Y72749</v>
      </c>
      <c r="K91" t="s">
        <v>2629</v>
      </c>
      <c r="L91">
        <v>15891</v>
      </c>
      <c r="M91">
        <v>184</v>
      </c>
      <c r="N91">
        <v>93.39</v>
      </c>
      <c r="O91">
        <v>194.85</v>
      </c>
      <c r="P91">
        <v>15</v>
      </c>
      <c r="Q91" s="31">
        <v>0.479291762894534</v>
      </c>
      <c r="R91" s="31">
        <v>0.0815217391304348</v>
      </c>
      <c r="S91" s="1" t="str">
        <f>VLOOKUP(K:K,'7店'!$B:$B,1,0)</f>
        <v>Y7075-BL+Y7076+Y7077</v>
      </c>
      <c r="T91" t="s">
        <v>2211</v>
      </c>
      <c r="U91">
        <v>1095</v>
      </c>
      <c r="V91">
        <v>22</v>
      </c>
      <c r="W91">
        <v>6.48</v>
      </c>
      <c r="X91">
        <v>12.99</v>
      </c>
      <c r="Y91">
        <v>1</v>
      </c>
      <c r="Z91" s="31">
        <v>0.498845265588915</v>
      </c>
      <c r="AA91" s="31">
        <v>0.0454545454545455</v>
      </c>
      <c r="AB91" s="1" t="str">
        <f>VLOOKUP(T:T,'7店'!$B:$B,1,0)</f>
        <v>Y73230-DB+Y73231+Y73240</v>
      </c>
      <c r="AC91" t="s">
        <v>2551</v>
      </c>
      <c r="AD91">
        <v>3197</v>
      </c>
      <c r="AE91">
        <v>15</v>
      </c>
      <c r="AF91">
        <v>7.16</v>
      </c>
      <c r="AG91">
        <v>0</v>
      </c>
      <c r="AH91">
        <v>0</v>
      </c>
      <c r="AI91" s="31">
        <v>0</v>
      </c>
      <c r="AJ91" s="31">
        <v>0</v>
      </c>
      <c r="AK91" s="1" t="str">
        <f>VLOOKUP(AC:AC,'7店'!$B:$B,1,0)</f>
        <v>Y7052-BL+Y7056+Y7060</v>
      </c>
      <c r="AL91" s="29" t="s">
        <v>2223</v>
      </c>
      <c r="AM91" s="33">
        <v>12.99</v>
      </c>
      <c r="AN91" s="1">
        <f t="shared" si="5"/>
        <v>88.9815</v>
      </c>
      <c r="AP91" s="29" t="s">
        <v>2206</v>
      </c>
      <c r="AQ91" s="33">
        <v>36.97</v>
      </c>
      <c r="AR91" s="1">
        <f t="shared" si="4"/>
        <v>253.2445</v>
      </c>
      <c r="AT91" s="43" t="s">
        <v>2364</v>
      </c>
      <c r="AU91" s="44">
        <v>528.2</v>
      </c>
      <c r="AV91" s="35"/>
      <c r="AW91" s="43" t="s">
        <v>2367</v>
      </c>
      <c r="AX91" s="44">
        <v>417</v>
      </c>
      <c r="AZ91" s="128" t="s">
        <v>2714</v>
      </c>
      <c r="BA91" s="106">
        <v>5.822</v>
      </c>
      <c r="BB91" s="1" t="s">
        <v>430</v>
      </c>
    </row>
    <row r="92" spans="2:54">
      <c r="B92" t="s">
        <v>2282</v>
      </c>
      <c r="C92">
        <v>38</v>
      </c>
      <c r="D92" s="1" t="str">
        <f>VLOOKUP(B:B,'7店'!$B:$B,1,0)</f>
        <v>Y7010-BL+Y7018+Y7014</v>
      </c>
      <c r="E92" t="s">
        <v>2504</v>
      </c>
      <c r="F92">
        <v>1</v>
      </c>
      <c r="G92" s="1" t="str">
        <f>VLOOKUP(E:E,'7店'!$B:$B,1,0)</f>
        <v>Y7045-BU+Y7046+Y7047</v>
      </c>
      <c r="H92" t="s">
        <v>2430</v>
      </c>
      <c r="I92">
        <v>5</v>
      </c>
      <c r="J92" s="1" t="str">
        <f>VLOOKUP(H:H,'7店'!$B:$B,1,0)</f>
        <v>Y72000-DB+Y72013+Y72749</v>
      </c>
      <c r="K92" t="s">
        <v>2614</v>
      </c>
      <c r="L92">
        <v>22</v>
      </c>
      <c r="M92">
        <v>0</v>
      </c>
      <c r="N92">
        <v>0</v>
      </c>
      <c r="O92">
        <v>0</v>
      </c>
      <c r="P92">
        <v>0</v>
      </c>
      <c r="Q92" s="31">
        <v>0</v>
      </c>
      <c r="R92" s="31">
        <v>0</v>
      </c>
      <c r="S92" s="1" t="str">
        <f>VLOOKUP(K:K,'7店'!$B:$B,1,0)</f>
        <v>Y7072-BL+Y7073+Y7074</v>
      </c>
      <c r="T92" t="s">
        <v>2237</v>
      </c>
      <c r="U92">
        <v>1913</v>
      </c>
      <c r="V92">
        <v>28</v>
      </c>
      <c r="W92">
        <v>10.87</v>
      </c>
      <c r="X92">
        <v>0</v>
      </c>
      <c r="Y92">
        <v>0</v>
      </c>
      <c r="Z92" s="31">
        <v>0</v>
      </c>
      <c r="AA92" s="31">
        <v>0</v>
      </c>
      <c r="AB92" s="1" t="str">
        <f>VLOOKUP(T:T,'7店'!$B:$B,1,0)</f>
        <v>Y73452-DB+Y73456+Y73457</v>
      </c>
      <c r="AC92" t="s">
        <v>2565</v>
      </c>
      <c r="AD92">
        <v>10622</v>
      </c>
      <c r="AE92">
        <v>162</v>
      </c>
      <c r="AF92">
        <v>90.73</v>
      </c>
      <c r="AG92">
        <v>401.84</v>
      </c>
      <c r="AH92">
        <v>16</v>
      </c>
      <c r="AI92" s="31">
        <v>0.225786382639857</v>
      </c>
      <c r="AJ92" s="31">
        <v>0.0987654320987654</v>
      </c>
      <c r="AK92" s="1" t="str">
        <f>VLOOKUP(AC:AC,'7店'!$B:$B,1,0)</f>
        <v>Y7051-OR+Y7055+Y7059</v>
      </c>
      <c r="AL92" s="29" t="s">
        <v>2148</v>
      </c>
      <c r="AM92" s="33">
        <v>12.99</v>
      </c>
      <c r="AN92" s="1">
        <f t="shared" si="5"/>
        <v>88.9815</v>
      </c>
      <c r="AP92" s="29" t="s">
        <v>2254</v>
      </c>
      <c r="AQ92" s="33">
        <v>56.95</v>
      </c>
      <c r="AR92" s="1">
        <f t="shared" si="4"/>
        <v>390.1075</v>
      </c>
      <c r="AT92" s="43" t="s">
        <v>2367</v>
      </c>
      <c r="AU92" s="44">
        <v>722.8</v>
      </c>
      <c r="AV92" s="35"/>
      <c r="AW92" s="43" t="s">
        <v>2370</v>
      </c>
      <c r="AX92" s="44">
        <v>444.8</v>
      </c>
      <c r="AZ92" s="128" t="s">
        <v>2715</v>
      </c>
      <c r="BA92" s="106">
        <v>6.321</v>
      </c>
      <c r="BB92" s="1" t="s">
        <v>430</v>
      </c>
    </row>
    <row r="93" spans="2:54">
      <c r="B93" t="s">
        <v>2271</v>
      </c>
      <c r="C93">
        <v>3</v>
      </c>
      <c r="D93" s="1" t="str">
        <f>VLOOKUP(B:B,'7店'!$B:$B,1,0)</f>
        <v>Y72563-BL+Y72564+Y72571</v>
      </c>
      <c r="E93" t="s">
        <v>2563</v>
      </c>
      <c r="F93">
        <v>2</v>
      </c>
      <c r="G93" s="1" t="str">
        <f>VLOOKUP(E:E,'7店'!$B:$B,1,0)</f>
        <v>Y7051-DB+Y7055+Y7059</v>
      </c>
      <c r="H93" t="s">
        <v>2439</v>
      </c>
      <c r="I93">
        <v>1</v>
      </c>
      <c r="J93" s="1" t="str">
        <f>VLOOKUP(H:H,'7店'!$B:$B,1,0)</f>
        <v>Y72559-NB+Y72560+Y72399</v>
      </c>
      <c r="K93" t="s">
        <v>2157</v>
      </c>
      <c r="L93">
        <v>0</v>
      </c>
      <c r="M93">
        <v>0</v>
      </c>
      <c r="N93">
        <v>0</v>
      </c>
      <c r="O93">
        <v>0</v>
      </c>
      <c r="P93">
        <v>0</v>
      </c>
      <c r="Q93" s="31">
        <v>0</v>
      </c>
      <c r="R93" s="31">
        <v>0</v>
      </c>
      <c r="S93" s="1" t="str">
        <f>VLOOKUP(K:K,'7店'!$B:$B,1,0)</f>
        <v>Y72611-DB+Y72614+Y72635</v>
      </c>
      <c r="T93" t="s">
        <v>2265</v>
      </c>
      <c r="U93">
        <v>1860</v>
      </c>
      <c r="V93">
        <v>26</v>
      </c>
      <c r="W93">
        <v>11.07</v>
      </c>
      <c r="X93">
        <v>10.99</v>
      </c>
      <c r="Y93">
        <v>1</v>
      </c>
      <c r="Z93" s="31">
        <v>1.00727934485896</v>
      </c>
      <c r="AA93" s="31">
        <v>0.0384615384615385</v>
      </c>
      <c r="AB93" s="1" t="str">
        <f>VLOOKUP(T:T,'7店'!$B:$B,1,0)</f>
        <v>Y73474-DB+Y72614+Y73477</v>
      </c>
      <c r="AC93" t="s">
        <v>2573</v>
      </c>
      <c r="AD93">
        <v>1584</v>
      </c>
      <c r="AE93">
        <v>13</v>
      </c>
      <c r="AF93">
        <v>8.19</v>
      </c>
      <c r="AG93">
        <v>25.99</v>
      </c>
      <c r="AH93">
        <v>1</v>
      </c>
      <c r="AI93" s="31">
        <v>0.315121200461716</v>
      </c>
      <c r="AJ93" s="31">
        <v>0.0769230769230769</v>
      </c>
      <c r="AK93" s="1" t="str">
        <f>VLOOKUP(AC:AC,'7店'!$B:$B,1,0)</f>
        <v>Y7053-OR+Y7057+Y7061</v>
      </c>
      <c r="AL93" s="29" t="s">
        <v>2288</v>
      </c>
      <c r="AM93" s="33">
        <v>12.99</v>
      </c>
      <c r="AN93" s="1">
        <f t="shared" si="5"/>
        <v>88.9815</v>
      </c>
      <c r="AP93" s="29" t="s">
        <v>2211</v>
      </c>
      <c r="AQ93" s="33">
        <v>38.97</v>
      </c>
      <c r="AR93" s="1">
        <f t="shared" si="4"/>
        <v>266.9445</v>
      </c>
      <c r="AT93" s="43" t="s">
        <v>2370</v>
      </c>
      <c r="AU93" s="44">
        <v>861.8</v>
      </c>
      <c r="AV93" s="35"/>
      <c r="AW93" s="43" t="s">
        <v>2373</v>
      </c>
      <c r="AX93" s="44">
        <v>695</v>
      </c>
      <c r="AZ93" s="128" t="s">
        <v>2716</v>
      </c>
      <c r="BA93" s="106">
        <v>6.005</v>
      </c>
      <c r="BB93" s="1" t="s">
        <v>430</v>
      </c>
    </row>
    <row r="94" spans="2:54">
      <c r="B94" t="s">
        <v>2698</v>
      </c>
      <c r="C94">
        <v>5</v>
      </c>
      <c r="D94" s="1" t="e">
        <f>VLOOKUP(B:B,'7店'!$B:$B,1,0)</f>
        <v>#N/A</v>
      </c>
      <c r="E94" t="s">
        <v>2479</v>
      </c>
      <c r="F94">
        <v>1</v>
      </c>
      <c r="G94" s="1" t="str">
        <f>VLOOKUP(E:E,'7店'!$B:$B,1,0)</f>
        <v>Y7036-OR-ZH</v>
      </c>
      <c r="H94" t="s">
        <v>2481</v>
      </c>
      <c r="I94">
        <v>15</v>
      </c>
      <c r="J94" s="1" t="str">
        <f>VLOOKUP(H:H,'7店'!$B:$B,1,0)</f>
        <v>Y7039-BL+Y7040+Y7041</v>
      </c>
      <c r="K94" t="s">
        <v>2507</v>
      </c>
      <c r="L94">
        <v>0</v>
      </c>
      <c r="M94">
        <v>0</v>
      </c>
      <c r="N94">
        <v>0</v>
      </c>
      <c r="O94">
        <v>0</v>
      </c>
      <c r="P94">
        <v>0</v>
      </c>
      <c r="Q94" s="31">
        <v>0</v>
      </c>
      <c r="R94" s="31">
        <v>0</v>
      </c>
      <c r="S94" s="1" t="str">
        <f>VLOOKUP(K:K,'7店'!$B:$B,1,0)</f>
        <v>Y7045-OR+Y7046+Y7047</v>
      </c>
      <c r="T94" t="s">
        <v>2445</v>
      </c>
      <c r="U94">
        <v>1008</v>
      </c>
      <c r="V94">
        <v>14</v>
      </c>
      <c r="W94">
        <v>4.99</v>
      </c>
      <c r="X94">
        <v>62.95</v>
      </c>
      <c r="Y94">
        <v>5</v>
      </c>
      <c r="Z94" s="31">
        <v>0.0792692613185068</v>
      </c>
      <c r="AA94" s="31">
        <v>0.357142857142857</v>
      </c>
      <c r="AB94" s="1" t="str">
        <f>VLOOKUP(T:T,'7店'!$B:$B,1,0)</f>
        <v>Y72691-DB+Y72692+Y72758</v>
      </c>
      <c r="AC94" t="s">
        <v>2567</v>
      </c>
      <c r="AD94">
        <v>1789</v>
      </c>
      <c r="AE94">
        <v>10</v>
      </c>
      <c r="AF94">
        <v>5.22</v>
      </c>
      <c r="AG94">
        <v>0</v>
      </c>
      <c r="AH94">
        <v>0</v>
      </c>
      <c r="AI94" s="31">
        <v>0</v>
      </c>
      <c r="AJ94" s="31">
        <v>0</v>
      </c>
      <c r="AK94" s="1" t="str">
        <f>VLOOKUP(AC:AC,'7店'!$B:$B,1,0)</f>
        <v>Y7053-BL+Y7057+Y7061</v>
      </c>
      <c r="AL94" s="29" t="s">
        <v>2291</v>
      </c>
      <c r="AM94" s="33">
        <v>12.99</v>
      </c>
      <c r="AN94" s="1">
        <f t="shared" si="5"/>
        <v>88.9815</v>
      </c>
      <c r="AP94" s="29" t="s">
        <v>2303</v>
      </c>
      <c r="AQ94" s="33">
        <v>36.97</v>
      </c>
      <c r="AR94" s="1">
        <f t="shared" si="4"/>
        <v>253.2445</v>
      </c>
      <c r="AT94" s="43" t="s">
        <v>2373</v>
      </c>
      <c r="AU94" s="44">
        <v>847.9</v>
      </c>
      <c r="AV94" s="35"/>
      <c r="AW94" s="43" t="s">
        <v>2376</v>
      </c>
      <c r="AX94" s="44">
        <v>444.8</v>
      </c>
      <c r="AZ94" s="128" t="s">
        <v>2717</v>
      </c>
      <c r="BA94" s="106">
        <v>6.632</v>
      </c>
      <c r="BB94" s="1" t="s">
        <v>430</v>
      </c>
    </row>
    <row r="95" spans="2:54">
      <c r="B95" t="s">
        <v>2623</v>
      </c>
      <c r="C95">
        <v>1</v>
      </c>
      <c r="D95" s="1" t="str">
        <f>VLOOKUP(B:B,'7店'!$B:$B,1,0)</f>
        <v>Y7072-GE+Y7073+Y7074</v>
      </c>
      <c r="E95" t="s">
        <v>2291</v>
      </c>
      <c r="F95">
        <v>1</v>
      </c>
      <c r="G95" s="1" t="str">
        <f>VLOOKUP(E:E,'7店'!$B:$B,1,0)</f>
        <v>Y7010-GE+Y7018+Y7014</v>
      </c>
      <c r="H95" t="s">
        <v>2436</v>
      </c>
      <c r="I95">
        <v>4</v>
      </c>
      <c r="J95" s="1" t="str">
        <f>VLOOKUP(H:H,'7店'!$B:$B,1,0)</f>
        <v>Y72559-OR+Y72560+Y72399</v>
      </c>
      <c r="K95" t="s">
        <v>2303</v>
      </c>
      <c r="L95">
        <v>1258</v>
      </c>
      <c r="M95">
        <v>4</v>
      </c>
      <c r="N95">
        <v>1.6</v>
      </c>
      <c r="O95">
        <v>0</v>
      </c>
      <c r="P95">
        <v>0</v>
      </c>
      <c r="Q95" s="31">
        <v>0</v>
      </c>
      <c r="R95" s="31">
        <v>0</v>
      </c>
      <c r="S95" s="1" t="str">
        <f>VLOOKUP(K:K,'7店'!$B:$B,1,0)</f>
        <v>Y7011-DB+Y7019+Y7015</v>
      </c>
      <c r="T95" t="s">
        <v>2430</v>
      </c>
      <c r="U95">
        <v>2203</v>
      </c>
      <c r="V95">
        <v>25</v>
      </c>
      <c r="W95">
        <v>8.96</v>
      </c>
      <c r="X95">
        <v>42.97</v>
      </c>
      <c r="Y95">
        <v>3</v>
      </c>
      <c r="Z95" s="31">
        <v>0.208517570397952</v>
      </c>
      <c r="AA95" s="31">
        <v>0.12</v>
      </c>
      <c r="AB95" s="1" t="str">
        <f>VLOOKUP(T:T,'7店'!$B:$B,1,0)</f>
        <v>Y72000-DB+Y72013+Y72749</v>
      </c>
      <c r="AC95" t="s">
        <v>2466</v>
      </c>
      <c r="AD95">
        <v>2749</v>
      </c>
      <c r="AE95">
        <v>29</v>
      </c>
      <c r="AF95">
        <v>10.88</v>
      </c>
      <c r="AG95">
        <v>25.98</v>
      </c>
      <c r="AH95">
        <v>3</v>
      </c>
      <c r="AI95" s="31">
        <v>0.418783679753657</v>
      </c>
      <c r="AJ95" s="31">
        <v>0.103448275862069</v>
      </c>
      <c r="AK95" s="1" t="str">
        <f>VLOOKUP(AC:AC,'7店'!$B:$B,1,0)</f>
        <v>Y73821-DB-ZH</v>
      </c>
      <c r="AL95" s="29" t="s">
        <v>2318</v>
      </c>
      <c r="AM95" s="33">
        <v>12.99</v>
      </c>
      <c r="AN95" s="1">
        <f t="shared" si="5"/>
        <v>88.9815</v>
      </c>
      <c r="AP95" s="29" t="s">
        <v>2321</v>
      </c>
      <c r="AQ95" s="33">
        <v>38.97</v>
      </c>
      <c r="AR95" s="1">
        <f t="shared" si="4"/>
        <v>266.9445</v>
      </c>
      <c r="AT95" s="43" t="s">
        <v>2376</v>
      </c>
      <c r="AU95" s="44">
        <v>375.3</v>
      </c>
      <c r="AV95" s="35"/>
      <c r="AW95" s="43" t="s">
        <v>2379</v>
      </c>
      <c r="AX95" s="44">
        <v>583.8</v>
      </c>
      <c r="AZ95" s="128" t="s">
        <v>2718</v>
      </c>
      <c r="BA95" s="106">
        <v>6.613</v>
      </c>
      <c r="BB95" s="1" t="s">
        <v>430</v>
      </c>
    </row>
    <row r="96" spans="2:54">
      <c r="B96" t="s">
        <v>2288</v>
      </c>
      <c r="C96">
        <v>1</v>
      </c>
      <c r="D96" s="1" t="str">
        <f>VLOOKUP(B:B,'7店'!$B:$B,1,0)</f>
        <v>Y7010-DB+Y7018+Y7014</v>
      </c>
      <c r="E96" t="s">
        <v>2254</v>
      </c>
      <c r="F96">
        <v>5</v>
      </c>
      <c r="G96" s="1" t="str">
        <f>VLOOKUP(E:E,'7店'!$B:$B,1,0)</f>
        <v>Y73405-DB+Y73406+Y73397</v>
      </c>
      <c r="H96" t="s">
        <v>2702</v>
      </c>
      <c r="I96">
        <v>1</v>
      </c>
      <c r="J96" s="1" t="e">
        <f>VLOOKUP(H:H,'7店'!$B:$B,1,0)</f>
        <v>#N/A</v>
      </c>
      <c r="K96" t="s">
        <v>2282</v>
      </c>
      <c r="L96">
        <v>303</v>
      </c>
      <c r="M96">
        <v>1</v>
      </c>
      <c r="N96">
        <v>0.47</v>
      </c>
      <c r="O96">
        <v>0</v>
      </c>
      <c r="P96">
        <v>0</v>
      </c>
      <c r="Q96" s="31">
        <v>0</v>
      </c>
      <c r="R96" s="31">
        <v>0</v>
      </c>
      <c r="S96" s="1" t="str">
        <f>VLOOKUP(K:K,'7店'!$B:$B,1,0)</f>
        <v>Y7010-BL+Y7018+Y7014</v>
      </c>
      <c r="T96" t="s">
        <v>2274</v>
      </c>
      <c r="U96">
        <v>4873</v>
      </c>
      <c r="V96">
        <v>40</v>
      </c>
      <c r="W96">
        <v>17.29</v>
      </c>
      <c r="X96">
        <v>57.96</v>
      </c>
      <c r="Y96">
        <v>4</v>
      </c>
      <c r="Z96" s="31">
        <v>0.298309178743961</v>
      </c>
      <c r="AA96" s="31">
        <v>0.1</v>
      </c>
      <c r="AB96" s="1" t="str">
        <f>VLOOKUP(T:T,'7店'!$B:$B,1,0)</f>
        <v>Y72563-OR+Y72564+Y72571</v>
      </c>
      <c r="AC96" t="s">
        <v>2211</v>
      </c>
      <c r="AD96">
        <v>2257</v>
      </c>
      <c r="AE96">
        <v>42</v>
      </c>
      <c r="AF96">
        <v>12.27</v>
      </c>
      <c r="AG96">
        <v>12.99</v>
      </c>
      <c r="AH96">
        <v>1</v>
      </c>
      <c r="AI96" s="31">
        <v>0.944572748267898</v>
      </c>
      <c r="AJ96" s="31">
        <v>0.0238095238095238</v>
      </c>
      <c r="AK96" s="1" t="str">
        <f>VLOOKUP(AC:AC,'7店'!$B:$B,1,0)</f>
        <v>Y73230-DB+Y73231+Y73240</v>
      </c>
      <c r="AL96" s="29" t="s">
        <v>2309</v>
      </c>
      <c r="AM96" s="33">
        <v>12.99</v>
      </c>
      <c r="AN96" s="1">
        <f t="shared" si="5"/>
        <v>88.9815</v>
      </c>
      <c r="AP96" s="29" t="s">
        <v>2428</v>
      </c>
      <c r="AQ96" s="33">
        <v>40.97</v>
      </c>
      <c r="AR96" s="1">
        <f t="shared" si="4"/>
        <v>280.6445</v>
      </c>
      <c r="AT96" s="43" t="s">
        <v>2379</v>
      </c>
      <c r="AU96" s="44">
        <v>500.4</v>
      </c>
      <c r="AV96" s="35"/>
      <c r="AW96" s="43" t="s">
        <v>2382</v>
      </c>
      <c r="AX96" s="44">
        <v>458.7</v>
      </c>
      <c r="AZ96" s="128" t="s">
        <v>2719</v>
      </c>
      <c r="BA96" s="106">
        <v>3.824</v>
      </c>
      <c r="BB96" s="1" t="s">
        <v>430</v>
      </c>
    </row>
    <row r="97" spans="2:54">
      <c r="B97" t="s">
        <v>2148</v>
      </c>
      <c r="C97">
        <v>1</v>
      </c>
      <c r="D97" s="1" t="str">
        <f>VLOOKUP(B:B,'7店'!$B:$B,1,0)</f>
        <v>Y7002-DB+Y7005</v>
      </c>
      <c r="E97" t="s">
        <v>2466</v>
      </c>
      <c r="F97">
        <v>2</v>
      </c>
      <c r="G97" s="1" t="str">
        <f>VLOOKUP(E:E,'7店'!$B:$B,1,0)</f>
        <v>Y73821-DB-ZH</v>
      </c>
      <c r="H97" t="s">
        <v>2720</v>
      </c>
      <c r="I97">
        <v>3</v>
      </c>
      <c r="J97" s="1" t="e">
        <f>VLOOKUP(H:H,'7店'!$B:$B,1,0)</f>
        <v>#N/A</v>
      </c>
      <c r="K97" t="s">
        <v>2262</v>
      </c>
      <c r="L97">
        <v>1027</v>
      </c>
      <c r="M97">
        <v>9</v>
      </c>
      <c r="N97">
        <v>2.48</v>
      </c>
      <c r="O97">
        <v>0</v>
      </c>
      <c r="P97">
        <v>0</v>
      </c>
      <c r="Q97" s="31">
        <v>0</v>
      </c>
      <c r="R97" s="31">
        <v>0</v>
      </c>
      <c r="S97" s="1" t="str">
        <f>VLOOKUP(K:K,'7店'!$B:$B,1,0)</f>
        <v>Y73473-OR+Y72614+Y73476</v>
      </c>
      <c r="T97" t="s">
        <v>2599</v>
      </c>
      <c r="U97">
        <v>16099</v>
      </c>
      <c r="V97">
        <v>107</v>
      </c>
      <c r="W97">
        <v>59.55</v>
      </c>
      <c r="X97">
        <v>90.93</v>
      </c>
      <c r="Y97">
        <v>7</v>
      </c>
      <c r="Z97" s="31">
        <v>0.654899373144177</v>
      </c>
      <c r="AA97" s="31">
        <v>0.0654205607476636</v>
      </c>
      <c r="AB97" s="1" t="str">
        <f>VLOOKUP(T:T,'7店'!$B:$B,1,0)</f>
        <v>Y7069-BL+Y7070+Y7071</v>
      </c>
      <c r="AC97" t="s">
        <v>2265</v>
      </c>
      <c r="AD97">
        <v>4911</v>
      </c>
      <c r="AE97">
        <v>48</v>
      </c>
      <c r="AF97">
        <v>20.27</v>
      </c>
      <c r="AG97">
        <v>36.97</v>
      </c>
      <c r="AH97">
        <v>3</v>
      </c>
      <c r="AI97" s="31">
        <v>0.548282391127942</v>
      </c>
      <c r="AJ97" s="31">
        <v>0.0625</v>
      </c>
      <c r="AK97" s="1" t="str">
        <f>VLOOKUP(AC:AC,'7店'!$B:$B,1,0)</f>
        <v>Y73474-DB+Y72614+Y73477</v>
      </c>
      <c r="AL97" s="29" t="s">
        <v>2303</v>
      </c>
      <c r="AM97" s="33">
        <v>12.99</v>
      </c>
      <c r="AN97" s="1">
        <f t="shared" si="5"/>
        <v>88.9815</v>
      </c>
      <c r="AP97" s="29" t="s">
        <v>2364</v>
      </c>
      <c r="AQ97" s="33">
        <v>49.96</v>
      </c>
      <c r="AR97" s="1">
        <f t="shared" si="4"/>
        <v>342.226</v>
      </c>
      <c r="AT97" s="43" t="s">
        <v>2382</v>
      </c>
      <c r="AU97" s="44">
        <v>291.9</v>
      </c>
      <c r="AV97" s="35"/>
      <c r="AW97" s="43" t="s">
        <v>2385</v>
      </c>
      <c r="AX97" s="44">
        <v>1987.7</v>
      </c>
      <c r="AZ97" s="128" t="s">
        <v>2721</v>
      </c>
      <c r="BA97" s="106">
        <v>6.651</v>
      </c>
      <c r="BB97" s="1" t="s">
        <v>430</v>
      </c>
    </row>
    <row r="98" spans="2:54">
      <c r="B98" t="s">
        <v>2303</v>
      </c>
      <c r="C98">
        <v>1</v>
      </c>
      <c r="D98" s="1" t="str">
        <f>VLOOKUP(B:B,'7店'!$B:$B,1,0)</f>
        <v>Y7011-DB+Y7019+Y7015</v>
      </c>
      <c r="E98" t="s">
        <v>2400</v>
      </c>
      <c r="F98">
        <v>9</v>
      </c>
      <c r="G98" s="1" t="str">
        <f>VLOOKUP(E:E,'7店'!$B:$B,1,0)</f>
        <v>Y7025-BU+Y7027+Y7026</v>
      </c>
      <c r="H98" t="s">
        <v>2148</v>
      </c>
      <c r="I98">
        <v>3</v>
      </c>
      <c r="J98" s="1" t="str">
        <f>VLOOKUP(H:H,'7店'!$B:$B,1,0)</f>
        <v>Y7002-DB+Y7005</v>
      </c>
      <c r="K98" t="s">
        <v>2418</v>
      </c>
      <c r="L98">
        <v>596</v>
      </c>
      <c r="M98">
        <v>6</v>
      </c>
      <c r="N98">
        <v>2.4</v>
      </c>
      <c r="O98">
        <v>12.99</v>
      </c>
      <c r="P98">
        <v>1</v>
      </c>
      <c r="Q98" s="31">
        <v>0.184757505773672</v>
      </c>
      <c r="R98" s="31">
        <v>0.166666666666667</v>
      </c>
      <c r="S98" s="1" t="str">
        <f>VLOOKUP(K:K,'7店'!$B:$B,1,0)</f>
        <v>Y73134-BL+Y03137+Y73268</v>
      </c>
      <c r="T98" t="s">
        <v>2611</v>
      </c>
      <c r="U98">
        <v>154</v>
      </c>
      <c r="V98">
        <v>5</v>
      </c>
      <c r="W98">
        <v>1.81</v>
      </c>
      <c r="X98">
        <v>12.99</v>
      </c>
      <c r="Y98">
        <v>1</v>
      </c>
      <c r="Z98" s="31">
        <v>0.139337952270978</v>
      </c>
      <c r="AA98" s="31">
        <v>0.2</v>
      </c>
      <c r="AB98" s="1" t="str">
        <f>VLOOKUP(T:T,'7店'!$B:$B,1,0)</f>
        <v>Y7069-OR+Y7070+Y7071</v>
      </c>
      <c r="AC98" t="s">
        <v>2445</v>
      </c>
      <c r="AD98">
        <v>2039</v>
      </c>
      <c r="AE98">
        <v>24</v>
      </c>
      <c r="AF98">
        <v>8.62</v>
      </c>
      <c r="AG98">
        <v>75.94</v>
      </c>
      <c r="AH98">
        <v>6</v>
      </c>
      <c r="AI98" s="31">
        <v>0.113510666315512</v>
      </c>
      <c r="AJ98" s="31">
        <v>0.25</v>
      </c>
      <c r="AK98" s="1" t="str">
        <f>VLOOKUP(AC:AC,'7店'!$B:$B,1,0)</f>
        <v>Y72691-DB+Y72692+Y72758</v>
      </c>
      <c r="AL98" s="29" t="s">
        <v>2321</v>
      </c>
      <c r="AM98" s="33">
        <v>12.99</v>
      </c>
      <c r="AN98" s="1">
        <f t="shared" si="5"/>
        <v>88.9815</v>
      </c>
      <c r="AP98" s="29" t="s">
        <v>2367</v>
      </c>
      <c r="AQ98" s="33">
        <v>38.97</v>
      </c>
      <c r="AR98" s="1">
        <f t="shared" si="4"/>
        <v>266.9445</v>
      </c>
      <c r="AT98" s="43" t="s">
        <v>2385</v>
      </c>
      <c r="AU98" s="44">
        <v>1848.7</v>
      </c>
      <c r="AV98" s="35"/>
      <c r="AW98" s="43" t="s">
        <v>2388</v>
      </c>
      <c r="AX98" s="44">
        <v>1209.3</v>
      </c>
      <c r="AZ98" s="128" t="s">
        <v>2722</v>
      </c>
      <c r="BA98" s="106">
        <v>6.632</v>
      </c>
      <c r="BB98" s="1" t="s">
        <v>430</v>
      </c>
    </row>
    <row r="99" spans="2:54">
      <c r="B99" t="s">
        <v>2394</v>
      </c>
      <c r="C99">
        <v>3</v>
      </c>
      <c r="D99" s="1" t="str">
        <f>VLOOKUP(B:B,'7店'!$B:$B,1,0)</f>
        <v>Y7031-OR+Y7032</v>
      </c>
      <c r="E99" t="s">
        <v>2445</v>
      </c>
      <c r="F99">
        <v>4</v>
      </c>
      <c r="G99" s="1" t="str">
        <f>VLOOKUP(E:E,'7店'!$B:$B,1,0)</f>
        <v>Y72691-DB+Y72692+Y72758</v>
      </c>
      <c r="H99" t="s">
        <v>2463</v>
      </c>
      <c r="I99">
        <v>1</v>
      </c>
      <c r="J99" s="1" t="str">
        <f>VLOOKUP(H:H,'7店'!$B:$B,1,0)</f>
        <v>Y73821-BU-ZH</v>
      </c>
      <c r="K99" t="s">
        <v>2385</v>
      </c>
      <c r="L99">
        <v>529</v>
      </c>
      <c r="M99">
        <v>6</v>
      </c>
      <c r="N99">
        <v>1.9</v>
      </c>
      <c r="O99">
        <v>12.99</v>
      </c>
      <c r="P99">
        <v>1</v>
      </c>
      <c r="Q99" s="31">
        <v>0.14626635873749</v>
      </c>
      <c r="R99" s="31">
        <v>0.166666666666667</v>
      </c>
      <c r="S99" s="1" t="str">
        <f>VLOOKUP(K:K,'7店'!$B:$B,1,0)</f>
        <v>Y7031-BL+Y7032</v>
      </c>
      <c r="T99" t="s">
        <v>2602</v>
      </c>
      <c r="U99">
        <v>153</v>
      </c>
      <c r="V99">
        <v>14</v>
      </c>
      <c r="W99">
        <v>5.83</v>
      </c>
      <c r="X99">
        <v>36.97</v>
      </c>
      <c r="Y99">
        <v>3</v>
      </c>
      <c r="Z99" s="31">
        <v>0.157695428725994</v>
      </c>
      <c r="AA99" s="31">
        <v>0.214285714285714</v>
      </c>
      <c r="AB99" s="1" t="str">
        <f>VLOOKUP(T:T,'7店'!$B:$B,1,0)</f>
        <v>Y7069-BU+Y7070+Y7071</v>
      </c>
      <c r="AC99" t="s">
        <v>2430</v>
      </c>
      <c r="AD99">
        <v>4581</v>
      </c>
      <c r="AE99">
        <v>50</v>
      </c>
      <c r="AF99">
        <v>17.87</v>
      </c>
      <c r="AG99">
        <v>81.94</v>
      </c>
      <c r="AH99">
        <v>6</v>
      </c>
      <c r="AI99" s="31">
        <v>0.218086404686356</v>
      </c>
      <c r="AJ99" s="31">
        <v>0.12</v>
      </c>
      <c r="AK99" s="1" t="str">
        <f>VLOOKUP(AC:AC,'7店'!$B:$B,1,0)</f>
        <v>Y72000-DB+Y72013+Y72749</v>
      </c>
      <c r="AL99" s="29" t="s">
        <v>2430</v>
      </c>
      <c r="AM99" s="33">
        <v>12.99</v>
      </c>
      <c r="AN99" s="1">
        <f t="shared" si="5"/>
        <v>88.9815</v>
      </c>
      <c r="AP99" s="29" t="s">
        <v>2379</v>
      </c>
      <c r="AQ99" s="33">
        <v>45.96</v>
      </c>
      <c r="AR99" s="1">
        <f t="shared" si="4"/>
        <v>314.826</v>
      </c>
      <c r="AT99" s="43" t="s">
        <v>2388</v>
      </c>
      <c r="AU99" s="44">
        <v>1125.9</v>
      </c>
      <c r="AV99" s="35"/>
      <c r="AW99" s="43" t="s">
        <v>2391</v>
      </c>
      <c r="AX99" s="44">
        <v>861.8</v>
      </c>
      <c r="AZ99" s="128" t="s">
        <v>2723</v>
      </c>
      <c r="BA99" s="106">
        <v>6.675</v>
      </c>
      <c r="BB99" s="1" t="s">
        <v>430</v>
      </c>
    </row>
    <row r="100" spans="2:54">
      <c r="B100" t="s">
        <v>2578</v>
      </c>
      <c r="C100">
        <v>3</v>
      </c>
      <c r="D100" s="1" t="str">
        <f>VLOOKUP(B:B,'7店'!$B:$B,1,0)</f>
        <v>Y7063-BU+Y7064+Y7065</v>
      </c>
      <c r="E100" t="s">
        <v>2436</v>
      </c>
      <c r="F100">
        <v>2</v>
      </c>
      <c r="G100" s="1" t="str">
        <f>VLOOKUP(E:E,'7店'!$B:$B,1,0)</f>
        <v>Y72559-OR+Y72560+Y72399</v>
      </c>
      <c r="H100" t="s">
        <v>2484</v>
      </c>
      <c r="I100">
        <v>3</v>
      </c>
      <c r="J100" s="1" t="str">
        <f>VLOOKUP(H:H,'7店'!$B:$B,1,0)</f>
        <v>Y7039-BU+Y7040+Y7041</v>
      </c>
      <c r="K100" t="s">
        <v>2448</v>
      </c>
      <c r="L100">
        <v>391</v>
      </c>
      <c r="M100">
        <v>5</v>
      </c>
      <c r="N100">
        <v>1.48</v>
      </c>
      <c r="O100">
        <v>12.99</v>
      </c>
      <c r="P100">
        <v>1</v>
      </c>
      <c r="Q100" s="31">
        <v>0.113933795227098</v>
      </c>
      <c r="R100" s="31">
        <v>0.2</v>
      </c>
      <c r="S100" s="1" t="str">
        <f>VLOOKUP(K:K,'7店'!$B:$B,1,0)</f>
        <v>Y7001-BB-ZH</v>
      </c>
      <c r="T100" t="s">
        <v>2629</v>
      </c>
      <c r="U100">
        <v>36475</v>
      </c>
      <c r="V100">
        <v>433</v>
      </c>
      <c r="W100">
        <v>217.72</v>
      </c>
      <c r="X100">
        <v>515.6</v>
      </c>
      <c r="Y100">
        <v>40</v>
      </c>
      <c r="Z100" s="31">
        <v>0.422265321955004</v>
      </c>
      <c r="AA100" s="31">
        <v>0.092378752886836</v>
      </c>
      <c r="AB100" s="1" t="str">
        <f>VLOOKUP(T:T,'7店'!$B:$B,1,0)</f>
        <v>Y7075-BL+Y7076+Y7077</v>
      </c>
      <c r="AC100" t="s">
        <v>2274</v>
      </c>
      <c r="AD100">
        <v>8682</v>
      </c>
      <c r="AE100">
        <v>61</v>
      </c>
      <c r="AF100">
        <v>26.84</v>
      </c>
      <c r="AG100">
        <v>70.95</v>
      </c>
      <c r="AH100">
        <v>5</v>
      </c>
      <c r="AI100" s="31">
        <v>0.378294573643411</v>
      </c>
      <c r="AJ100" s="31">
        <v>0.0819672131147541</v>
      </c>
      <c r="AK100" s="1" t="str">
        <f>VLOOKUP(AC:AC,'7店'!$B:$B,1,0)</f>
        <v>Y72563-OR+Y72564+Y72571</v>
      </c>
      <c r="AL100" s="29" t="s">
        <v>2364</v>
      </c>
      <c r="AM100" s="33">
        <v>12.99</v>
      </c>
      <c r="AN100" s="1">
        <f t="shared" si="5"/>
        <v>88.9815</v>
      </c>
      <c r="AP100" s="29" t="s">
        <v>2420</v>
      </c>
      <c r="AQ100" s="33">
        <v>60.62</v>
      </c>
      <c r="AR100" s="1">
        <f t="shared" si="4"/>
        <v>415.247</v>
      </c>
      <c r="AT100" s="43" t="s">
        <v>2391</v>
      </c>
      <c r="AU100" s="44">
        <v>820.1</v>
      </c>
      <c r="AV100" s="35"/>
      <c r="AW100" s="43" t="s">
        <v>2394</v>
      </c>
      <c r="AX100" s="44">
        <v>861.8</v>
      </c>
      <c r="AZ100" s="128" t="s">
        <v>2234</v>
      </c>
      <c r="BA100" s="106">
        <v>6.598</v>
      </c>
      <c r="BB100" s="1" t="s">
        <v>430</v>
      </c>
    </row>
    <row r="101" spans="2:54">
      <c r="B101" t="s">
        <v>2671</v>
      </c>
      <c r="C101">
        <v>9</v>
      </c>
      <c r="D101" s="1" t="str">
        <f>VLOOKUP(B:B,'7店'!$B:$B,1,0)</f>
        <v>Y7086-OR+Y7087</v>
      </c>
      <c r="E101" t="s">
        <v>2629</v>
      </c>
      <c r="F101">
        <v>81</v>
      </c>
      <c r="G101" s="1" t="str">
        <f>VLOOKUP(E:E,'7店'!$B:$B,1,0)</f>
        <v>Y7075-BL+Y7076+Y7077</v>
      </c>
      <c r="H101" t="s">
        <v>2469</v>
      </c>
      <c r="I101">
        <v>4</v>
      </c>
      <c r="J101" s="1" t="str">
        <f>VLOOKUP(H:H,'7店'!$B:$B,1,0)</f>
        <v>Y73821-OR-ZH</v>
      </c>
      <c r="K101" t="s">
        <v>2584</v>
      </c>
      <c r="L101">
        <v>2870</v>
      </c>
      <c r="M101">
        <v>27</v>
      </c>
      <c r="N101">
        <v>18.61</v>
      </c>
      <c r="O101">
        <v>51.96</v>
      </c>
      <c r="P101">
        <v>4</v>
      </c>
      <c r="Q101" s="31">
        <v>0.358160123171671</v>
      </c>
      <c r="R101" s="31">
        <v>0.148148148148148</v>
      </c>
      <c r="S101" s="1" t="str">
        <f>VLOOKUP(K:K,'7店'!$B:$B,1,0)</f>
        <v>Y7066-BL+Y7067+Y7068</v>
      </c>
      <c r="T101" t="s">
        <v>2641</v>
      </c>
      <c r="U101">
        <v>1645</v>
      </c>
      <c r="V101">
        <v>45</v>
      </c>
      <c r="W101">
        <v>29.12</v>
      </c>
      <c r="X101">
        <v>58.96</v>
      </c>
      <c r="Y101">
        <v>4</v>
      </c>
      <c r="Z101" s="31">
        <v>0.493894165535957</v>
      </c>
      <c r="AA101" s="31">
        <v>0.0888888888888889</v>
      </c>
      <c r="AB101" s="1" t="str">
        <f>VLOOKUP(T:T,'7店'!$B:$B,1,0)</f>
        <v>Y7075-OR+Y7076+Y7077</v>
      </c>
      <c r="AC101" t="s">
        <v>2599</v>
      </c>
      <c r="AD101">
        <v>26402</v>
      </c>
      <c r="AE101">
        <v>212</v>
      </c>
      <c r="AF101">
        <v>126.3</v>
      </c>
      <c r="AG101">
        <v>480.3</v>
      </c>
      <c r="AH101">
        <v>27</v>
      </c>
      <c r="AI101" s="31">
        <v>0.262960649594004</v>
      </c>
      <c r="AJ101" s="31">
        <v>0.127358490566038</v>
      </c>
      <c r="AK101" s="1" t="str">
        <f>VLOOKUP(AC:AC,'7店'!$B:$B,1,0)</f>
        <v>Y7069-BL+Y7070+Y7071</v>
      </c>
      <c r="AL101" s="29" t="s">
        <v>2361</v>
      </c>
      <c r="AM101" s="33">
        <v>25.98</v>
      </c>
      <c r="AN101" s="1">
        <f t="shared" si="5"/>
        <v>177.963</v>
      </c>
      <c r="AP101" s="29" t="s">
        <v>2593</v>
      </c>
      <c r="AQ101" s="33">
        <v>38.97</v>
      </c>
      <c r="AR101" s="1">
        <f t="shared" ref="AR101:AR132" si="6">AQ101*$AS$1</f>
        <v>266.9445</v>
      </c>
      <c r="AT101" s="43" t="s">
        <v>2394</v>
      </c>
      <c r="AU101" s="44">
        <v>778.4</v>
      </c>
      <c r="AV101" s="35"/>
      <c r="AW101" s="43" t="s">
        <v>2397</v>
      </c>
      <c r="AX101" s="44">
        <v>569.9</v>
      </c>
      <c r="AZ101" s="128" t="s">
        <v>2237</v>
      </c>
      <c r="BA101" s="106">
        <v>6.675</v>
      </c>
      <c r="BB101" s="1" t="s">
        <v>430</v>
      </c>
    </row>
    <row r="102" spans="2:54">
      <c r="B102" t="s">
        <v>2412</v>
      </c>
      <c r="C102">
        <v>1</v>
      </c>
      <c r="D102" s="1" t="str">
        <f>VLOOKUP(B:B,'7店'!$B:$B,1,0)</f>
        <v>Y73133-DB+Y73136+Y73267</v>
      </c>
      <c r="E102" t="s">
        <v>2223</v>
      </c>
      <c r="F102">
        <v>1</v>
      </c>
      <c r="G102" s="1" t="str">
        <f>VLOOKUP(E:E,'7店'!$B:$B,1,0)</f>
        <v>Y73040-OR+Y73045+Y73063</v>
      </c>
      <c r="H102" t="s">
        <v>2466</v>
      </c>
      <c r="I102">
        <v>4</v>
      </c>
      <c r="J102" s="1" t="str">
        <f>VLOOKUP(H:H,'7店'!$B:$B,1,0)</f>
        <v>Y73821-DB-ZH</v>
      </c>
      <c r="K102" t="s">
        <v>2596</v>
      </c>
      <c r="L102">
        <v>4222</v>
      </c>
      <c r="M102">
        <v>45</v>
      </c>
      <c r="N102">
        <v>31.69</v>
      </c>
      <c r="O102">
        <v>38.97</v>
      </c>
      <c r="P102">
        <v>3</v>
      </c>
      <c r="Q102" s="31">
        <v>0.813189633051065</v>
      </c>
      <c r="R102" s="31">
        <v>0.0666666666666667</v>
      </c>
      <c r="S102" s="1" t="str">
        <f>VLOOKUP(K:K,'7店'!$B:$B,1,0)</f>
        <v>Y7066-OR+Y7067+Y7068</v>
      </c>
      <c r="T102" t="s">
        <v>2614</v>
      </c>
      <c r="U102">
        <v>25</v>
      </c>
      <c r="V102">
        <v>0</v>
      </c>
      <c r="W102">
        <v>0</v>
      </c>
      <c r="X102">
        <v>0</v>
      </c>
      <c r="Y102">
        <v>0</v>
      </c>
      <c r="Z102" s="31">
        <v>0</v>
      </c>
      <c r="AA102" s="31">
        <v>0</v>
      </c>
      <c r="AB102" s="1" t="str">
        <f>VLOOKUP(T:T,'7店'!$B:$B,1,0)</f>
        <v>Y7072-BL+Y7073+Y7074</v>
      </c>
      <c r="AC102" t="s">
        <v>2611</v>
      </c>
      <c r="AD102">
        <v>154</v>
      </c>
      <c r="AE102">
        <v>5</v>
      </c>
      <c r="AF102">
        <v>1.81</v>
      </c>
      <c r="AG102">
        <v>12.99</v>
      </c>
      <c r="AH102">
        <v>1</v>
      </c>
      <c r="AI102" s="31">
        <v>0.139337952270978</v>
      </c>
      <c r="AJ102" s="31">
        <v>0.2</v>
      </c>
      <c r="AK102" s="1" t="str">
        <f>VLOOKUP(AC:AC,'7店'!$B:$B,1,0)</f>
        <v>Y7069-OR+Y7070+Y7071</v>
      </c>
      <c r="AL102" s="29" t="s">
        <v>2367</v>
      </c>
      <c r="AM102" s="33">
        <v>12.99</v>
      </c>
      <c r="AN102" s="1">
        <f t="shared" si="5"/>
        <v>88.9815</v>
      </c>
      <c r="AP102" s="29" t="s">
        <v>2638</v>
      </c>
      <c r="AQ102" s="33">
        <v>38.97</v>
      </c>
      <c r="AR102" s="1">
        <f t="shared" si="6"/>
        <v>266.9445</v>
      </c>
      <c r="AT102" s="43" t="s">
        <v>2397</v>
      </c>
      <c r="AU102" s="44">
        <v>166.8</v>
      </c>
      <c r="AV102" s="35"/>
      <c r="AW102" s="43" t="s">
        <v>2400</v>
      </c>
      <c r="AX102" s="44">
        <v>458.7</v>
      </c>
      <c r="AZ102" s="128" t="s">
        <v>2240</v>
      </c>
      <c r="BA102" s="106">
        <v>6.657</v>
      </c>
      <c r="BB102" s="1" t="s">
        <v>430</v>
      </c>
    </row>
    <row r="103" spans="2:54">
      <c r="B103" t="s">
        <v>2596</v>
      </c>
      <c r="C103">
        <v>3</v>
      </c>
      <c r="D103" s="1" t="str">
        <f>VLOOKUP(B:B,'7店'!$B:$B,1,0)</f>
        <v>Y7066-OR+Y7067+Y7068</v>
      </c>
      <c r="E103" t="s">
        <v>2632</v>
      </c>
      <c r="F103">
        <v>27</v>
      </c>
      <c r="G103" s="1" t="str">
        <f>VLOOKUP(E:E,'7店'!$B:$B,1,0)</f>
        <v>Y7075-BU+Y7076+Y7077</v>
      </c>
      <c r="H103" t="s">
        <v>2214</v>
      </c>
      <c r="I103">
        <v>3</v>
      </c>
      <c r="J103" s="1" t="str">
        <f>VLOOKUP(H:H,'7店'!$B:$B,1,0)</f>
        <v>Y73230-OR+Y73231+Y73240</v>
      </c>
      <c r="K103" t="s">
        <v>2620</v>
      </c>
      <c r="L103">
        <v>1806</v>
      </c>
      <c r="M103">
        <v>37</v>
      </c>
      <c r="N103">
        <v>17.75</v>
      </c>
      <c r="O103">
        <v>90.93</v>
      </c>
      <c r="P103">
        <v>7</v>
      </c>
      <c r="Q103" s="31">
        <v>0.19520510282635</v>
      </c>
      <c r="R103" s="31">
        <v>0.189189189189189</v>
      </c>
      <c r="S103" s="1" t="str">
        <f>VLOOKUP(K:K,'7店'!$B:$B,1,0)</f>
        <v>Y7072-DB+Y7073+Y7074</v>
      </c>
      <c r="T103" t="s">
        <v>2617</v>
      </c>
      <c r="U103">
        <v>1855</v>
      </c>
      <c r="V103">
        <v>19</v>
      </c>
      <c r="W103">
        <v>10.03</v>
      </c>
      <c r="X103">
        <v>25.98</v>
      </c>
      <c r="Y103">
        <v>2</v>
      </c>
      <c r="Z103" s="31">
        <v>0.386066204772902</v>
      </c>
      <c r="AA103" s="31">
        <v>0.105263157894737</v>
      </c>
      <c r="AB103" s="1" t="str">
        <f>VLOOKUP(T:T,'7店'!$B:$B,1,0)</f>
        <v>Y7072-BU+Y7073+Y7074</v>
      </c>
      <c r="AC103" t="s">
        <v>2602</v>
      </c>
      <c r="AD103">
        <v>1419</v>
      </c>
      <c r="AE103">
        <v>45</v>
      </c>
      <c r="AF103">
        <v>26.56</v>
      </c>
      <c r="AG103">
        <v>75.94</v>
      </c>
      <c r="AH103">
        <v>6</v>
      </c>
      <c r="AI103" s="31">
        <v>0.349749802475639</v>
      </c>
      <c r="AJ103" s="31">
        <v>0.133333333333333</v>
      </c>
      <c r="AK103" s="1" t="str">
        <f>VLOOKUP(AC:AC,'7店'!$B:$B,1,0)</f>
        <v>Y7069-BU+Y7070+Y7071</v>
      </c>
      <c r="AL103" s="29" t="s">
        <v>2391</v>
      </c>
      <c r="AM103" s="33">
        <v>12.99</v>
      </c>
      <c r="AN103" s="1">
        <f t="shared" si="5"/>
        <v>88.9815</v>
      </c>
      <c r="AP103" s="29" t="s">
        <v>2724</v>
      </c>
      <c r="AQ103" s="33">
        <v>25.98</v>
      </c>
      <c r="AR103" s="1">
        <f t="shared" si="6"/>
        <v>177.963</v>
      </c>
      <c r="AT103" s="43" t="s">
        <v>2400</v>
      </c>
      <c r="AU103" s="44">
        <v>291.9</v>
      </c>
      <c r="AV103" s="35"/>
      <c r="AW103" s="43" t="s">
        <v>2403</v>
      </c>
      <c r="AX103" s="44">
        <v>500.4</v>
      </c>
      <c r="AZ103" s="128" t="s">
        <v>2472</v>
      </c>
      <c r="BA103" s="106">
        <v>6.481</v>
      </c>
      <c r="BB103" s="1" t="s">
        <v>430</v>
      </c>
    </row>
    <row r="104" spans="2:54">
      <c r="B104" t="s">
        <v>2590</v>
      </c>
      <c r="C104">
        <v>1</v>
      </c>
      <c r="D104" s="1" t="str">
        <f>VLOOKUP(B:B,'7店'!$B:$B,1,0)</f>
        <v>Y7066-DB+Y7067+Y7068</v>
      </c>
      <c r="E104" t="s">
        <v>2303</v>
      </c>
      <c r="F104">
        <v>3</v>
      </c>
      <c r="G104" s="1" t="str">
        <f>VLOOKUP(E:E,'7店'!$B:$B,1,0)</f>
        <v>Y7011-DB+Y7019+Y7015</v>
      </c>
      <c r="H104" t="s">
        <v>2391</v>
      </c>
      <c r="I104">
        <v>5</v>
      </c>
      <c r="J104" s="1" t="str">
        <f>VLOOKUP(H:H,'7店'!$B:$B,1,0)</f>
        <v>Y7031-DB+Y7032</v>
      </c>
      <c r="K104" t="s">
        <v>2656</v>
      </c>
      <c r="L104">
        <v>1537</v>
      </c>
      <c r="M104">
        <v>9</v>
      </c>
      <c r="N104">
        <v>5.59</v>
      </c>
      <c r="O104">
        <v>0</v>
      </c>
      <c r="P104">
        <v>0</v>
      </c>
      <c r="Q104" s="31">
        <v>0</v>
      </c>
      <c r="R104" s="31">
        <v>0</v>
      </c>
      <c r="S104" s="1" t="str">
        <f>VLOOKUP(K:K,'7店'!$B:$B,1,0)</f>
        <v>Y7084-OR+Y7085</v>
      </c>
      <c r="T104" t="s">
        <v>2626</v>
      </c>
      <c r="U104">
        <v>74</v>
      </c>
      <c r="V104">
        <v>1</v>
      </c>
      <c r="W104">
        <v>0.4</v>
      </c>
      <c r="X104">
        <v>0</v>
      </c>
      <c r="Y104">
        <v>0</v>
      </c>
      <c r="Z104" s="31">
        <v>0</v>
      </c>
      <c r="AA104" s="31">
        <v>0</v>
      </c>
      <c r="AB104" s="1" t="str">
        <f>VLOOKUP(T:T,'7店'!$B:$B,1,0)</f>
        <v>Y7072-OR+Y7073+Y7074</v>
      </c>
      <c r="AC104" t="s">
        <v>2629</v>
      </c>
      <c r="AD104">
        <v>75046</v>
      </c>
      <c r="AE104">
        <v>896</v>
      </c>
      <c r="AF104">
        <v>484.45</v>
      </c>
      <c r="AG104">
        <v>1281.35</v>
      </c>
      <c r="AH104">
        <v>98</v>
      </c>
      <c r="AI104" s="31">
        <v>0.378077808561283</v>
      </c>
      <c r="AJ104" s="31">
        <v>0.109375</v>
      </c>
      <c r="AK104" s="1" t="str">
        <f>VLOOKUP(AC:AC,'7店'!$B:$B,1,0)</f>
        <v>Y7075-BL+Y7076+Y7077</v>
      </c>
      <c r="AL104" s="29" t="s">
        <v>2412</v>
      </c>
      <c r="AM104" s="33">
        <v>12.99</v>
      </c>
      <c r="AN104" s="1">
        <f t="shared" si="5"/>
        <v>88.9815</v>
      </c>
      <c r="AP104" s="29" t="s">
        <v>2265</v>
      </c>
      <c r="AQ104" s="33">
        <v>21.98</v>
      </c>
      <c r="AR104" s="1">
        <f t="shared" si="6"/>
        <v>150.563</v>
      </c>
      <c r="AT104" s="43" t="s">
        <v>2403</v>
      </c>
      <c r="AU104" s="44">
        <v>417</v>
      </c>
      <c r="AV104" s="35"/>
      <c r="AW104" s="43" t="s">
        <v>2406</v>
      </c>
      <c r="AX104" s="44">
        <v>667.2</v>
      </c>
      <c r="AZ104" s="128" t="s">
        <v>2475</v>
      </c>
      <c r="BA104" s="106">
        <v>5.097</v>
      </c>
      <c r="BB104" s="1" t="s">
        <v>430</v>
      </c>
    </row>
    <row r="105" spans="2:54">
      <c r="B105" t="s">
        <v>2662</v>
      </c>
      <c r="C105">
        <v>8</v>
      </c>
      <c r="D105" s="1" t="str">
        <f>VLOOKUP(B:B,'7店'!$B:$B,1,0)</f>
        <v>Y7086-BU+Y7087</v>
      </c>
      <c r="E105" t="s">
        <v>2430</v>
      </c>
      <c r="F105">
        <v>3</v>
      </c>
      <c r="G105" s="1" t="str">
        <f>VLOOKUP(E:E,'7店'!$B:$B,1,0)</f>
        <v>Y72000-DB+Y72013+Y72749</v>
      </c>
      <c r="H105" t="s">
        <v>2489</v>
      </c>
      <c r="I105">
        <v>11</v>
      </c>
      <c r="J105" s="1" t="str">
        <f>VLOOKUP(H:H,'7店'!$B:$B,1,0)</f>
        <v>Y7039-OR+Y7040+Y7041</v>
      </c>
      <c r="K105" t="s">
        <v>2647</v>
      </c>
      <c r="L105">
        <v>1704</v>
      </c>
      <c r="M105">
        <v>21</v>
      </c>
      <c r="N105">
        <v>12.44</v>
      </c>
      <c r="O105">
        <v>51.96</v>
      </c>
      <c r="P105">
        <v>4</v>
      </c>
      <c r="Q105" s="31">
        <v>0.23941493456505</v>
      </c>
      <c r="R105" s="31">
        <v>0.19047619047619</v>
      </c>
      <c r="S105" s="1" t="str">
        <f>VLOOKUP(K:K,'7店'!$B:$B,1,0)</f>
        <v>Y7084-BU+Y7085</v>
      </c>
      <c r="T105" t="s">
        <v>2303</v>
      </c>
      <c r="U105">
        <v>1261</v>
      </c>
      <c r="V105">
        <v>4</v>
      </c>
      <c r="W105">
        <v>1.6</v>
      </c>
      <c r="X105">
        <v>0</v>
      </c>
      <c r="Y105">
        <v>0</v>
      </c>
      <c r="Z105" s="31">
        <v>0</v>
      </c>
      <c r="AA105" s="31">
        <v>0</v>
      </c>
      <c r="AB105" s="1" t="str">
        <f>VLOOKUP(T:T,'7店'!$B:$B,1,0)</f>
        <v>Y7011-DB+Y7019+Y7015</v>
      </c>
      <c r="AC105" t="s">
        <v>2641</v>
      </c>
      <c r="AD105">
        <v>2605</v>
      </c>
      <c r="AE105">
        <v>82</v>
      </c>
      <c r="AF105">
        <v>44.44</v>
      </c>
      <c r="AG105">
        <v>97.93</v>
      </c>
      <c r="AH105">
        <v>7</v>
      </c>
      <c r="AI105" s="31">
        <v>0.453793525987951</v>
      </c>
      <c r="AJ105" s="31">
        <v>0.0853658536585366</v>
      </c>
      <c r="AK105" s="1" t="str">
        <f>VLOOKUP(AC:AC,'7店'!$B:$B,1,0)</f>
        <v>Y7075-OR+Y7076+Y7077</v>
      </c>
      <c r="AL105" s="29" t="s">
        <v>2420</v>
      </c>
      <c r="AM105" s="33">
        <v>12.66</v>
      </c>
      <c r="AN105" s="1">
        <f t="shared" si="5"/>
        <v>86.721</v>
      </c>
      <c r="AP105" s="29" t="s">
        <v>2688</v>
      </c>
      <c r="AQ105" s="33">
        <v>34.97</v>
      </c>
      <c r="AR105" s="1">
        <f t="shared" si="6"/>
        <v>239.5445</v>
      </c>
      <c r="AT105" s="43" t="s">
        <v>2406</v>
      </c>
      <c r="AU105" s="44">
        <v>556</v>
      </c>
      <c r="AV105" s="35"/>
      <c r="AW105" s="43" t="s">
        <v>2409</v>
      </c>
      <c r="AX105" s="44">
        <v>139</v>
      </c>
      <c r="AZ105" s="128" t="s">
        <v>2477</v>
      </c>
      <c r="BA105" s="106">
        <v>5.119</v>
      </c>
      <c r="BB105" s="1" t="s">
        <v>430</v>
      </c>
    </row>
    <row r="106" spans="2:54">
      <c r="B106" t="s">
        <v>2665</v>
      </c>
      <c r="C106">
        <v>4</v>
      </c>
      <c r="D106" s="1" t="str">
        <f>VLOOKUP(B:B,'7店'!$B:$B,1,0)</f>
        <v>Y7086-DB+Y7087</v>
      </c>
      <c r="E106" t="s">
        <v>2243</v>
      </c>
      <c r="F106">
        <v>21</v>
      </c>
      <c r="G106" s="1" t="str">
        <f>VLOOKUP(E:E,'7店'!$B:$B,1,0)</f>
        <v>Y73189-BL+Y73190+Y73270</v>
      </c>
      <c r="H106" t="s">
        <v>2406</v>
      </c>
      <c r="I106">
        <v>14</v>
      </c>
      <c r="J106" s="1" t="str">
        <f>VLOOKUP(H:H,'7店'!$B:$B,1,0)</f>
        <v>Y7025-OR+Y7027+Y7026</v>
      </c>
      <c r="K106" t="s">
        <v>2671</v>
      </c>
      <c r="L106">
        <v>1880</v>
      </c>
      <c r="M106">
        <v>33</v>
      </c>
      <c r="N106">
        <v>20.07</v>
      </c>
      <c r="O106">
        <v>51.96</v>
      </c>
      <c r="P106">
        <v>4</v>
      </c>
      <c r="Q106" s="31">
        <v>0.386258660508083</v>
      </c>
      <c r="R106" s="31">
        <v>0.121212121212121</v>
      </c>
      <c r="S106" s="1" t="str">
        <f>VLOOKUP(K:K,'7店'!$B:$B,1,0)</f>
        <v>Y7086-OR+Y7087</v>
      </c>
      <c r="T106" t="s">
        <v>2262</v>
      </c>
      <c r="U106">
        <v>1011</v>
      </c>
      <c r="V106">
        <v>9</v>
      </c>
      <c r="W106">
        <v>2.48</v>
      </c>
      <c r="X106">
        <v>0</v>
      </c>
      <c r="Y106">
        <v>0</v>
      </c>
      <c r="Z106" s="31">
        <v>0</v>
      </c>
      <c r="AA106" s="31">
        <v>0</v>
      </c>
      <c r="AB106" s="1" t="str">
        <f>VLOOKUP(T:T,'7店'!$B:$B,1,0)</f>
        <v>Y73473-OR+Y72614+Y73476</v>
      </c>
      <c r="AC106" t="s">
        <v>2614</v>
      </c>
      <c r="AD106">
        <v>1319</v>
      </c>
      <c r="AE106">
        <v>12</v>
      </c>
      <c r="AF106">
        <v>8.03</v>
      </c>
      <c r="AG106">
        <v>38.97</v>
      </c>
      <c r="AH106">
        <v>3</v>
      </c>
      <c r="AI106" s="31">
        <v>0.206055940467026</v>
      </c>
      <c r="AJ106" s="31">
        <v>0.25</v>
      </c>
      <c r="AK106" s="1" t="str">
        <f>VLOOKUP(AC:AC,'7店'!$B:$B,1,0)</f>
        <v>Y7072-BL+Y7073+Y7074</v>
      </c>
      <c r="AL106" s="29" t="s">
        <v>2423</v>
      </c>
      <c r="AM106" s="33">
        <v>12.99</v>
      </c>
      <c r="AN106" s="1">
        <f t="shared" si="5"/>
        <v>88.9815</v>
      </c>
      <c r="AP106" s="29" t="s">
        <v>2214</v>
      </c>
      <c r="AQ106" s="33">
        <v>25.98</v>
      </c>
      <c r="AR106" s="1">
        <f t="shared" si="6"/>
        <v>177.963</v>
      </c>
      <c r="AT106" s="43" t="s">
        <v>2409</v>
      </c>
      <c r="AU106" s="44">
        <v>139</v>
      </c>
      <c r="AV106" s="35"/>
      <c r="AW106" s="43" t="s">
        <v>2412</v>
      </c>
      <c r="AX106" s="44">
        <v>111.2</v>
      </c>
      <c r="AZ106" s="128" t="s">
        <v>2479</v>
      </c>
      <c r="BA106" s="106">
        <v>5.162</v>
      </c>
      <c r="BB106" s="1" t="s">
        <v>430</v>
      </c>
    </row>
    <row r="107" spans="2:54">
      <c r="B107" t="s">
        <v>2659</v>
      </c>
      <c r="C107">
        <v>13</v>
      </c>
      <c r="D107" s="1" t="str">
        <f>VLOOKUP(B:B,'7店'!$B:$B,1,0)</f>
        <v>Y7086-BL+Y7087</v>
      </c>
      <c r="E107" t="s">
        <v>2611</v>
      </c>
      <c r="F107">
        <v>14</v>
      </c>
      <c r="G107" s="1" t="str">
        <f>VLOOKUP(E:E,'7店'!$B:$B,1,0)</f>
        <v>Y7069-OR+Y7070+Y7071</v>
      </c>
      <c r="H107" t="s">
        <v>2486</v>
      </c>
      <c r="I107">
        <v>2</v>
      </c>
      <c r="J107" s="1" t="str">
        <f>VLOOKUP(H:H,'7店'!$B:$B,1,0)</f>
        <v>Y7039-DB+Y7040+Y7041</v>
      </c>
      <c r="K107" t="s">
        <v>2662</v>
      </c>
      <c r="L107">
        <v>4256</v>
      </c>
      <c r="M107">
        <v>72</v>
      </c>
      <c r="N107">
        <v>45.38</v>
      </c>
      <c r="O107">
        <v>129.9</v>
      </c>
      <c r="P107">
        <v>10</v>
      </c>
      <c r="Q107" s="31">
        <v>0.349345650500385</v>
      </c>
      <c r="R107" s="31">
        <v>0.138888888888889</v>
      </c>
      <c r="S107" s="1" t="str">
        <f>VLOOKUP(K:K,'7店'!$B:$B,1,0)</f>
        <v>Y7086-BU+Y7087</v>
      </c>
      <c r="T107" t="s">
        <v>2418</v>
      </c>
      <c r="U107">
        <v>602</v>
      </c>
      <c r="V107">
        <v>6</v>
      </c>
      <c r="W107">
        <v>2.4</v>
      </c>
      <c r="X107">
        <v>12.99</v>
      </c>
      <c r="Y107">
        <v>1</v>
      </c>
      <c r="Z107" s="31">
        <v>0.184757505773672</v>
      </c>
      <c r="AA107" s="31">
        <v>0.166666666666667</v>
      </c>
      <c r="AB107" s="1" t="str">
        <f>VLOOKUP(T:T,'7店'!$B:$B,1,0)</f>
        <v>Y73134-BL+Y03137+Y73268</v>
      </c>
      <c r="AC107" t="s">
        <v>2617</v>
      </c>
      <c r="AD107">
        <v>6285</v>
      </c>
      <c r="AE107">
        <v>86</v>
      </c>
      <c r="AF107">
        <v>45.85</v>
      </c>
      <c r="AG107">
        <v>129.9</v>
      </c>
      <c r="AH107">
        <v>10</v>
      </c>
      <c r="AI107" s="31">
        <v>0.352963818321786</v>
      </c>
      <c r="AJ107" s="31">
        <v>0.116279069767442</v>
      </c>
      <c r="AK107" s="1" t="str">
        <f>VLOOKUP(AC:AC,'7店'!$B:$B,1,0)</f>
        <v>Y7072-BU+Y7073+Y7074</v>
      </c>
      <c r="AL107" s="29" t="s">
        <v>2406</v>
      </c>
      <c r="AM107" s="33">
        <v>12.99</v>
      </c>
      <c r="AN107" s="1">
        <f t="shared" si="5"/>
        <v>88.9815</v>
      </c>
      <c r="AP107" s="29" t="s">
        <v>2220</v>
      </c>
      <c r="AQ107" s="33">
        <v>23.98</v>
      </c>
      <c r="AR107" s="1">
        <f t="shared" si="6"/>
        <v>164.263</v>
      </c>
      <c r="AT107" s="43" t="s">
        <v>2412</v>
      </c>
      <c r="AU107" s="44">
        <v>97.3</v>
      </c>
      <c r="AV107" s="35"/>
      <c r="AW107" s="43" t="s">
        <v>2415</v>
      </c>
      <c r="AX107" s="44">
        <v>139</v>
      </c>
      <c r="AZ107" s="128" t="s">
        <v>2725</v>
      </c>
      <c r="BA107" s="106">
        <v>2.395</v>
      </c>
      <c r="BB107" s="1" t="s">
        <v>430</v>
      </c>
    </row>
    <row r="108" spans="2:54">
      <c r="B108" t="s">
        <v>2656</v>
      </c>
      <c r="C108">
        <v>4</v>
      </c>
      <c r="D108" s="1" t="str">
        <f>VLOOKUP(B:B,'7店'!$B:$B,1,0)</f>
        <v>Y7084-OR+Y7085</v>
      </c>
      <c r="E108" t="s">
        <v>2635</v>
      </c>
      <c r="F108">
        <v>12</v>
      </c>
      <c r="G108" s="1" t="str">
        <f>VLOOKUP(E:E,'7店'!$B:$B,1,0)</f>
        <v>Y7075-DB+Y7076+Y7077</v>
      </c>
      <c r="H108" t="s">
        <v>2582</v>
      </c>
      <c r="I108">
        <v>28</v>
      </c>
      <c r="J108" s="1" t="str">
        <f>VLOOKUP(H:H,'7店'!$B:$B,1,0)</f>
        <v>Y7063-OR+Y7064+Y7065</v>
      </c>
      <c r="K108" t="s">
        <v>2659</v>
      </c>
      <c r="L108">
        <v>6727</v>
      </c>
      <c r="M108">
        <v>30</v>
      </c>
      <c r="N108">
        <v>17.15</v>
      </c>
      <c r="O108">
        <v>77.94</v>
      </c>
      <c r="P108">
        <v>6</v>
      </c>
      <c r="Q108" s="31">
        <v>0.220041057223505</v>
      </c>
      <c r="R108" s="31">
        <v>0.2</v>
      </c>
      <c r="S108" s="1" t="str">
        <f>VLOOKUP(K:K,'7店'!$B:$B,1,0)</f>
        <v>Y7086-BL+Y7087</v>
      </c>
      <c r="T108" t="s">
        <v>2385</v>
      </c>
      <c r="U108">
        <v>566</v>
      </c>
      <c r="V108">
        <v>6</v>
      </c>
      <c r="W108">
        <v>1.9</v>
      </c>
      <c r="X108">
        <v>12.99</v>
      </c>
      <c r="Y108">
        <v>1</v>
      </c>
      <c r="Z108" s="31">
        <v>0.14626635873749</v>
      </c>
      <c r="AA108" s="31">
        <v>0.166666666666667</v>
      </c>
      <c r="AB108" s="1" t="str">
        <f>VLOOKUP(T:T,'7店'!$B:$B,1,0)</f>
        <v>Y7031-BL+Y7032</v>
      </c>
      <c r="AC108" t="s">
        <v>2626</v>
      </c>
      <c r="AD108">
        <v>19028</v>
      </c>
      <c r="AE108">
        <v>313</v>
      </c>
      <c r="AF108">
        <v>178.8</v>
      </c>
      <c r="AG108">
        <v>649.5</v>
      </c>
      <c r="AH108">
        <v>51</v>
      </c>
      <c r="AI108" s="31">
        <v>0.275288683602771</v>
      </c>
      <c r="AJ108" s="31">
        <v>0.162939297124601</v>
      </c>
      <c r="AK108" s="1" t="str">
        <f>VLOOKUP(AC:AC,'7店'!$B:$B,1,0)</f>
        <v>Y7072-OR+Y7073+Y7074</v>
      </c>
      <c r="AL108" s="29" t="s">
        <v>2436</v>
      </c>
      <c r="AM108" s="33">
        <v>12.99</v>
      </c>
      <c r="AN108" s="1">
        <f t="shared" si="5"/>
        <v>88.9815</v>
      </c>
      <c r="AP108" s="29" t="s">
        <v>2148</v>
      </c>
      <c r="AQ108" s="33">
        <v>25.98</v>
      </c>
      <c r="AR108" s="1">
        <f t="shared" si="6"/>
        <v>177.963</v>
      </c>
      <c r="AT108" s="43" t="s">
        <v>2415</v>
      </c>
      <c r="AU108" s="44">
        <v>139</v>
      </c>
      <c r="AV108" s="35"/>
      <c r="AW108" s="43" t="s">
        <v>2418</v>
      </c>
      <c r="AX108" s="44">
        <v>41.7</v>
      </c>
      <c r="AZ108" s="128" t="s">
        <v>2726</v>
      </c>
      <c r="BA108" s="106">
        <v>6.707</v>
      </c>
      <c r="BB108" s="1" t="s">
        <v>430</v>
      </c>
    </row>
    <row r="109" spans="2:54">
      <c r="B109" t="s">
        <v>2668</v>
      </c>
      <c r="C109">
        <v>4</v>
      </c>
      <c r="D109" s="1" t="str">
        <f>VLOOKUP(B:B,'7店'!$B:$B,1,0)</f>
        <v>Y7086-GE+Y7087</v>
      </c>
      <c r="E109" t="s">
        <v>2641</v>
      </c>
      <c r="F109">
        <v>21</v>
      </c>
      <c r="G109" s="1" t="str">
        <f>VLOOKUP(E:E,'7店'!$B:$B,1,0)</f>
        <v>Y7075-OR+Y7076+Y7077</v>
      </c>
      <c r="H109" t="s">
        <v>2578</v>
      </c>
      <c r="I109">
        <v>10</v>
      </c>
      <c r="J109" s="1" t="str">
        <f>VLOOKUP(H:H,'7店'!$B:$B,1,0)</f>
        <v>Y7063-BU+Y7064+Y7065</v>
      </c>
      <c r="K109" t="s">
        <v>2545</v>
      </c>
      <c r="L109">
        <v>2256</v>
      </c>
      <c r="M109">
        <v>10</v>
      </c>
      <c r="N109">
        <v>5.94</v>
      </c>
      <c r="O109">
        <v>0</v>
      </c>
      <c r="P109">
        <v>0</v>
      </c>
      <c r="Q109" s="31">
        <v>0</v>
      </c>
      <c r="R109" s="31">
        <v>0</v>
      </c>
      <c r="S109" s="1" t="str">
        <f>VLOOKUP(K:K,'7店'!$B:$B,1,0)</f>
        <v>Y7054-BU+Y7062+Y7058</v>
      </c>
      <c r="T109" t="s">
        <v>2448</v>
      </c>
      <c r="U109">
        <v>632</v>
      </c>
      <c r="V109">
        <v>9</v>
      </c>
      <c r="W109">
        <v>2.73</v>
      </c>
      <c r="X109">
        <v>12.99</v>
      </c>
      <c r="Y109">
        <v>1</v>
      </c>
      <c r="Z109" s="31">
        <v>0.210161662817552</v>
      </c>
      <c r="AA109" s="31">
        <v>0.111111111111111</v>
      </c>
      <c r="AB109" s="1" t="str">
        <f>VLOOKUP(T:T,'7店'!$B:$B,1,0)</f>
        <v>Y7001-BB-ZH</v>
      </c>
      <c r="AC109" t="s">
        <v>2303</v>
      </c>
      <c r="AD109">
        <v>1261</v>
      </c>
      <c r="AE109">
        <v>4</v>
      </c>
      <c r="AF109">
        <v>1.6</v>
      </c>
      <c r="AG109">
        <v>0</v>
      </c>
      <c r="AH109">
        <v>0</v>
      </c>
      <c r="AI109" s="31">
        <v>0</v>
      </c>
      <c r="AJ109" s="31">
        <v>0</v>
      </c>
      <c r="AK109" s="1" t="str">
        <f>VLOOKUP(AC:AC,'7店'!$B:$B,1,0)</f>
        <v>Y7011-DB+Y7019+Y7015</v>
      </c>
      <c r="AL109" s="29" t="s">
        <v>2448</v>
      </c>
      <c r="AM109" s="33">
        <v>12.99</v>
      </c>
      <c r="AN109" s="1">
        <f>AM109*$AS$1</f>
        <v>88.9815</v>
      </c>
      <c r="AP109" s="29" t="s">
        <v>2430</v>
      </c>
      <c r="AQ109" s="33">
        <v>34.97</v>
      </c>
      <c r="AR109" s="1">
        <f t="shared" si="6"/>
        <v>239.5445</v>
      </c>
      <c r="AT109" s="43" t="s">
        <v>2418</v>
      </c>
      <c r="AU109" s="44">
        <v>139</v>
      </c>
      <c r="AV109" s="35"/>
      <c r="AW109" s="43" t="s">
        <v>2420</v>
      </c>
      <c r="AX109" s="44">
        <v>83.4</v>
      </c>
      <c r="AZ109" s="128" t="s">
        <v>2727</v>
      </c>
      <c r="BA109" s="106">
        <v>6.775</v>
      </c>
      <c r="BB109" s="1" t="s">
        <v>430</v>
      </c>
    </row>
    <row r="110" spans="2:54">
      <c r="B110" t="s">
        <v>2519</v>
      </c>
      <c r="C110">
        <v>3</v>
      </c>
      <c r="D110" s="1" t="str">
        <f>VLOOKUP(B:B,'7店'!$B:$B,1,0)</f>
        <v>Y72431-OR+Y72433+Y72531</v>
      </c>
      <c r="E110" t="s">
        <v>2599</v>
      </c>
      <c r="F110">
        <v>36</v>
      </c>
      <c r="G110" s="1" t="str">
        <f>VLOOKUP(E:E,'7店'!$B:$B,1,0)</f>
        <v>Y7069-BL+Y7070+Y7071</v>
      </c>
      <c r="H110" t="s">
        <v>2211</v>
      </c>
      <c r="I110">
        <v>5</v>
      </c>
      <c r="J110" s="1" t="str">
        <f>VLOOKUP(H:H,'7店'!$B:$B,1,0)</f>
        <v>Y73230-DB+Y73231+Y73240</v>
      </c>
      <c r="K110" t="s">
        <v>2193</v>
      </c>
      <c r="L110">
        <v>1233</v>
      </c>
      <c r="M110">
        <v>9</v>
      </c>
      <c r="N110">
        <v>2.75</v>
      </c>
      <c r="O110">
        <v>0</v>
      </c>
      <c r="P110">
        <v>0</v>
      </c>
      <c r="Q110" s="31">
        <v>0</v>
      </c>
      <c r="R110" s="31">
        <v>0</v>
      </c>
      <c r="S110" s="1" t="str">
        <f>VLOOKUP(K:K,'7店'!$B:$B,1,0)</f>
        <v>Y72648-BL+Y72649+Y72381</v>
      </c>
      <c r="T110" t="s">
        <v>2584</v>
      </c>
      <c r="U110">
        <v>5203</v>
      </c>
      <c r="V110">
        <v>33</v>
      </c>
      <c r="W110">
        <v>22.55</v>
      </c>
      <c r="X110">
        <v>51.96</v>
      </c>
      <c r="Y110">
        <v>4</v>
      </c>
      <c r="Z110" s="31">
        <v>0.433987682832948</v>
      </c>
      <c r="AA110" s="31">
        <v>0.121212121212121</v>
      </c>
      <c r="AB110" s="1" t="str">
        <f>VLOOKUP(T:T,'7店'!$B:$B,1,0)</f>
        <v>Y7066-BL+Y7067+Y7068</v>
      </c>
      <c r="AC110" t="s">
        <v>2262</v>
      </c>
      <c r="AD110">
        <v>1009</v>
      </c>
      <c r="AE110">
        <v>9</v>
      </c>
      <c r="AF110">
        <v>2.48</v>
      </c>
      <c r="AG110">
        <v>0</v>
      </c>
      <c r="AH110">
        <v>0</v>
      </c>
      <c r="AI110" s="31">
        <v>0</v>
      </c>
      <c r="AJ110" s="31">
        <v>0</v>
      </c>
      <c r="AK110" s="1" t="str">
        <f>VLOOKUP(AC:AC,'7店'!$B:$B,1,0)</f>
        <v>Y73473-OR+Y72614+Y73476</v>
      </c>
      <c r="AL110" s="29" t="s">
        <v>2457</v>
      </c>
      <c r="AM110" s="33">
        <v>12.99</v>
      </c>
      <c r="AN110" s="1">
        <f>AM110*$AS$1</f>
        <v>88.9815</v>
      </c>
      <c r="AP110" s="29" t="s">
        <v>2370</v>
      </c>
      <c r="AQ110" s="33">
        <v>25.98</v>
      </c>
      <c r="AR110" s="1">
        <f t="shared" si="6"/>
        <v>177.963</v>
      </c>
      <c r="AT110" s="43" t="s">
        <v>2420</v>
      </c>
      <c r="AU110" s="44">
        <v>139</v>
      </c>
      <c r="AV110" s="35"/>
      <c r="AW110" s="43" t="s">
        <v>2423</v>
      </c>
      <c r="AX110" s="44">
        <v>41.7</v>
      </c>
      <c r="AZ110" s="128" t="s">
        <v>2728</v>
      </c>
      <c r="BA110" s="106">
        <v>6.775</v>
      </c>
      <c r="BB110" s="1" t="s">
        <v>430</v>
      </c>
    </row>
    <row r="111" spans="2:54">
      <c r="B111" t="s">
        <v>2214</v>
      </c>
      <c r="C111">
        <v>2</v>
      </c>
      <c r="D111" s="1" t="str">
        <f>VLOOKUP(B:B,'7店'!$B:$B,1,0)</f>
        <v>Y73230-OR+Y73231+Y73240</v>
      </c>
      <c r="E111" t="s">
        <v>2638</v>
      </c>
      <c r="F111">
        <v>3</v>
      </c>
      <c r="G111" s="1" t="str">
        <f>VLOOKUP(E:E,'7店'!$B:$B,1,0)</f>
        <v>Y7075-GE+Y7076+Y7077</v>
      </c>
      <c r="H111" t="s">
        <v>2479</v>
      </c>
      <c r="I111">
        <v>2</v>
      </c>
      <c r="J111" s="1" t="str">
        <f>VLOOKUP(H:H,'7店'!$B:$B,1,0)</f>
        <v>Y7036-OR-ZH</v>
      </c>
      <c r="K111" t="s">
        <v>2184</v>
      </c>
      <c r="L111">
        <v>131</v>
      </c>
      <c r="M111">
        <v>0</v>
      </c>
      <c r="N111">
        <v>0</v>
      </c>
      <c r="O111">
        <v>0</v>
      </c>
      <c r="P111">
        <v>0</v>
      </c>
      <c r="Q111" s="31">
        <v>0</v>
      </c>
      <c r="R111" s="31">
        <v>0</v>
      </c>
      <c r="S111" s="1" t="str">
        <f>VLOOKUP(K:K,'7店'!$B:$B,1,0)</f>
        <v>Y72488-BL+Y72490+Y72380</v>
      </c>
      <c r="T111" t="s">
        <v>2596</v>
      </c>
      <c r="U111">
        <v>8290</v>
      </c>
      <c r="V111">
        <v>58</v>
      </c>
      <c r="W111">
        <v>40.89</v>
      </c>
      <c r="X111">
        <v>58.96</v>
      </c>
      <c r="Y111">
        <v>4</v>
      </c>
      <c r="Z111" s="31">
        <v>0.693521031207598</v>
      </c>
      <c r="AA111" s="31">
        <v>0.0689655172413793</v>
      </c>
      <c r="AB111" s="1" t="str">
        <f>VLOOKUP(T:T,'7店'!$B:$B,1,0)</f>
        <v>Y7066-OR+Y7067+Y7068</v>
      </c>
      <c r="AC111" t="s">
        <v>2175</v>
      </c>
      <c r="AD111">
        <v>1</v>
      </c>
      <c r="AE111">
        <v>0</v>
      </c>
      <c r="AF111">
        <v>0</v>
      </c>
      <c r="AG111">
        <v>0</v>
      </c>
      <c r="AH111">
        <v>0</v>
      </c>
      <c r="AI111" s="31">
        <v>0</v>
      </c>
      <c r="AJ111" s="31">
        <v>0</v>
      </c>
      <c r="AK111" s="1" t="str">
        <f>VLOOKUP(AC:AC,'7店'!$B:$B,1,0)</f>
        <v>Y73694-BB+Y73712+Y73744</v>
      </c>
      <c r="AL111" s="29" t="s">
        <v>2460</v>
      </c>
      <c r="AM111" s="33">
        <v>12.99</v>
      </c>
      <c r="AN111" s="1">
        <f>AM111*$AS$1</f>
        <v>88.9815</v>
      </c>
      <c r="AP111" s="29" t="s">
        <v>2391</v>
      </c>
      <c r="AQ111" s="33">
        <v>25.98</v>
      </c>
      <c r="AR111" s="1">
        <f t="shared" si="6"/>
        <v>177.963</v>
      </c>
      <c r="AT111" s="43" t="s">
        <v>2423</v>
      </c>
      <c r="AU111" s="44">
        <v>139</v>
      </c>
      <c r="AV111" s="35"/>
      <c r="AW111" s="43" t="s">
        <v>2425</v>
      </c>
      <c r="AX111" s="44">
        <v>111.2</v>
      </c>
      <c r="AZ111" s="128" t="s">
        <v>2729</v>
      </c>
      <c r="BA111" s="106">
        <v>5.57</v>
      </c>
      <c r="BB111" s="1" t="s">
        <v>430</v>
      </c>
    </row>
    <row r="112" spans="2:54">
      <c r="B112" t="s">
        <v>2584</v>
      </c>
      <c r="C112">
        <v>2</v>
      </c>
      <c r="D112" s="1" t="str">
        <f>VLOOKUP(B:B,'7店'!$B:$B,1,0)</f>
        <v>Y7066-BL+Y7067+Y7068</v>
      </c>
      <c r="E112" t="s">
        <v>2602</v>
      </c>
      <c r="F112">
        <v>19</v>
      </c>
      <c r="G112" s="1" t="str">
        <f>VLOOKUP(E:E,'7店'!$B:$B,1,0)</f>
        <v>Y7069-BU+Y7070+Y7071</v>
      </c>
      <c r="H112" t="s">
        <v>2445</v>
      </c>
      <c r="I112">
        <v>5</v>
      </c>
      <c r="J112" s="1" t="str">
        <f>VLOOKUP(H:H,'7店'!$B:$B,1,0)</f>
        <v>Y72691-DB+Y72692+Y72758</v>
      </c>
      <c r="K112" t="s">
        <v>2582</v>
      </c>
      <c r="L112">
        <v>462</v>
      </c>
      <c r="M112">
        <v>10</v>
      </c>
      <c r="N112">
        <v>4.37</v>
      </c>
      <c r="O112">
        <v>12.99</v>
      </c>
      <c r="P112">
        <v>1</v>
      </c>
      <c r="Q112" s="31">
        <v>0.336412625096228</v>
      </c>
      <c r="R112" s="31">
        <v>0.1</v>
      </c>
      <c r="S112" s="1" t="str">
        <f>VLOOKUP(K:K,'7店'!$B:$B,1,0)</f>
        <v>Y7063-OR+Y7064+Y7065</v>
      </c>
      <c r="T112" t="s">
        <v>2620</v>
      </c>
      <c r="U112">
        <v>2006</v>
      </c>
      <c r="V112">
        <v>46</v>
      </c>
      <c r="W112">
        <v>22.8</v>
      </c>
      <c r="X112">
        <v>125.9</v>
      </c>
      <c r="Y112">
        <v>10</v>
      </c>
      <c r="Z112" s="31">
        <v>0.18109610802224</v>
      </c>
      <c r="AA112" s="31">
        <v>0.217391304347826</v>
      </c>
      <c r="AB112" s="1" t="str">
        <f>VLOOKUP(T:T,'7店'!$B:$B,1,0)</f>
        <v>Y7072-DB+Y7073+Y7074</v>
      </c>
      <c r="AC112" t="s">
        <v>2418</v>
      </c>
      <c r="AD112">
        <v>602</v>
      </c>
      <c r="AE112">
        <v>6</v>
      </c>
      <c r="AF112">
        <v>2.4</v>
      </c>
      <c r="AG112">
        <v>12.99</v>
      </c>
      <c r="AH112">
        <v>1</v>
      </c>
      <c r="AI112" s="31">
        <v>0.184757505773672</v>
      </c>
      <c r="AJ112" s="31">
        <v>0.166666666666667</v>
      </c>
      <c r="AK112" s="1" t="str">
        <f>VLOOKUP(AC:AC,'7店'!$B:$B,1,0)</f>
        <v>Y73134-BL+Y03137+Y73268</v>
      </c>
      <c r="AL112" s="29" t="s">
        <v>2730</v>
      </c>
      <c r="AM112" s="33">
        <v>12.99</v>
      </c>
      <c r="AN112" s="1">
        <f t="shared" ref="AN112:AN121" si="7">AM112*$AS$1</f>
        <v>88.9815</v>
      </c>
      <c r="AP112" s="29" t="s">
        <v>2412</v>
      </c>
      <c r="AQ112" s="33">
        <v>23.98</v>
      </c>
      <c r="AR112" s="1">
        <f t="shared" si="6"/>
        <v>164.263</v>
      </c>
      <c r="AT112" s="43" t="s">
        <v>2425</v>
      </c>
      <c r="AU112" s="44">
        <v>55.6</v>
      </c>
      <c r="AV112" s="35"/>
      <c r="AW112" s="43" t="s">
        <v>2428</v>
      </c>
      <c r="AX112" s="44">
        <v>375.3</v>
      </c>
      <c r="AZ112" s="128" t="s">
        <v>2731</v>
      </c>
      <c r="BA112" s="106">
        <v>5.496</v>
      </c>
      <c r="BB112" s="1" t="s">
        <v>430</v>
      </c>
    </row>
    <row r="113" spans="2:54">
      <c r="B113" t="s">
        <v>2593</v>
      </c>
      <c r="C113">
        <v>2</v>
      </c>
      <c r="D113" s="1" t="str">
        <f>VLOOKUP(B:B,'7店'!$B:$B,1,0)</f>
        <v>Y7066-GE+Y7067+Y7068</v>
      </c>
      <c r="E113" t="s">
        <v>2614</v>
      </c>
      <c r="F113">
        <v>12</v>
      </c>
      <c r="G113" s="1" t="str">
        <f>VLOOKUP(E:E,'7店'!$B:$B,1,0)</f>
        <v>Y7072-BL+Y7073+Y7074</v>
      </c>
      <c r="H113" t="s">
        <v>2575</v>
      </c>
      <c r="I113">
        <v>29</v>
      </c>
      <c r="J113" s="1" t="str">
        <f>VLOOKUP(H:H,'7店'!$B:$B,1,0)</f>
        <v>Y7063-BL+Y7064+Y7065</v>
      </c>
      <c r="K113" t="s">
        <v>2626</v>
      </c>
      <c r="L113">
        <v>74</v>
      </c>
      <c r="M113">
        <v>1</v>
      </c>
      <c r="N113">
        <v>0.4</v>
      </c>
      <c r="O113">
        <v>0</v>
      </c>
      <c r="P113">
        <v>0</v>
      </c>
      <c r="Q113" s="31">
        <v>0</v>
      </c>
      <c r="R113" s="31">
        <v>0</v>
      </c>
      <c r="S113" s="1" t="str">
        <f>VLOOKUP(K:K,'7店'!$B:$B,1,0)</f>
        <v>Y7072-OR+Y7073+Y7074</v>
      </c>
      <c r="T113" t="s">
        <v>2656</v>
      </c>
      <c r="U113">
        <v>1607</v>
      </c>
      <c r="V113">
        <v>11</v>
      </c>
      <c r="W113">
        <v>6.89</v>
      </c>
      <c r="X113">
        <v>0</v>
      </c>
      <c r="Y113">
        <v>0</v>
      </c>
      <c r="Z113" s="31">
        <v>0</v>
      </c>
      <c r="AA113" s="31">
        <v>0</v>
      </c>
      <c r="AB113" s="1" t="str">
        <f>VLOOKUP(T:T,'7店'!$B:$B,1,0)</f>
        <v>Y7084-OR+Y7085</v>
      </c>
      <c r="AC113" t="s">
        <v>2385</v>
      </c>
      <c r="AD113">
        <v>566</v>
      </c>
      <c r="AE113">
        <v>6</v>
      </c>
      <c r="AF113">
        <v>1.9</v>
      </c>
      <c r="AG113">
        <v>12.99</v>
      </c>
      <c r="AH113">
        <v>1</v>
      </c>
      <c r="AI113" s="31">
        <v>0.14626635873749</v>
      </c>
      <c r="AJ113" s="31">
        <v>0.166666666666667</v>
      </c>
      <c r="AK113" s="1" t="str">
        <f>VLOOKUP(AC:AC,'7店'!$B:$B,1,0)</f>
        <v>Y7031-BL+Y7032</v>
      </c>
      <c r="AL113" s="29" t="s">
        <v>2479</v>
      </c>
      <c r="AM113" s="33">
        <v>12.66</v>
      </c>
      <c r="AN113" s="1">
        <f t="shared" si="7"/>
        <v>86.721</v>
      </c>
      <c r="AP113" s="29" t="s">
        <v>2436</v>
      </c>
      <c r="AQ113" s="33">
        <v>25.98</v>
      </c>
      <c r="AR113" s="1">
        <f t="shared" si="6"/>
        <v>177.963</v>
      </c>
      <c r="AT113" s="43" t="s">
        <v>2428</v>
      </c>
      <c r="AU113" s="44">
        <v>305.8</v>
      </c>
      <c r="AV113" s="35"/>
      <c r="AW113" s="43" t="s">
        <v>2430</v>
      </c>
      <c r="AX113" s="44">
        <v>152.9</v>
      </c>
      <c r="AZ113" s="128" t="s">
        <v>2732</v>
      </c>
      <c r="BA113" s="106">
        <v>6.662</v>
      </c>
      <c r="BB113" s="1" t="s">
        <v>430</v>
      </c>
    </row>
    <row r="114" spans="2:54">
      <c r="B114" t="s">
        <v>2711</v>
      </c>
      <c r="C114">
        <v>1</v>
      </c>
      <c r="D114" s="1" t="e">
        <f>VLOOKUP(B:B,'7店'!$B:$B,1,0)</f>
        <v>#N/A</v>
      </c>
      <c r="E114" t="s">
        <v>2605</v>
      </c>
      <c r="F114">
        <v>6</v>
      </c>
      <c r="G114" s="1" t="str">
        <f>VLOOKUP(E:E,'7店'!$B:$B,1,0)</f>
        <v>Y7069-DB+Y7070+Y7071</v>
      </c>
      <c r="H114" t="s">
        <v>2472</v>
      </c>
      <c r="I114">
        <v>12</v>
      </c>
      <c r="J114" s="1" t="str">
        <f>VLOOKUP(H:H,'7店'!$B:$B,1,0)</f>
        <v>Y7036-BL-ZH</v>
      </c>
      <c r="K114" t="s">
        <v>2644</v>
      </c>
      <c r="L114">
        <v>8</v>
      </c>
      <c r="M114">
        <v>0</v>
      </c>
      <c r="N114">
        <v>0</v>
      </c>
      <c r="O114">
        <v>0</v>
      </c>
      <c r="P114">
        <v>0</v>
      </c>
      <c r="Q114" s="31">
        <v>0</v>
      </c>
      <c r="R114" s="31">
        <v>0</v>
      </c>
      <c r="S114" s="1" t="str">
        <f>VLOOKUP(K:K,'7店'!$B:$B,1,0)</f>
        <v>Y7084-BL+Y7085</v>
      </c>
      <c r="T114" t="s">
        <v>2647</v>
      </c>
      <c r="U114">
        <v>1861</v>
      </c>
      <c r="V114">
        <v>23</v>
      </c>
      <c r="W114">
        <v>13.54</v>
      </c>
      <c r="X114">
        <v>51.96</v>
      </c>
      <c r="Y114">
        <v>4</v>
      </c>
      <c r="Z114" s="31">
        <v>0.26058506543495</v>
      </c>
      <c r="AA114" s="31">
        <v>0.173913043478261</v>
      </c>
      <c r="AB114" s="1" t="str">
        <f>VLOOKUP(T:T,'7店'!$B:$B,1,0)</f>
        <v>Y7084-BU+Y7085</v>
      </c>
      <c r="AC114" t="s">
        <v>2584</v>
      </c>
      <c r="AD114">
        <v>5203</v>
      </c>
      <c r="AE114">
        <v>33</v>
      </c>
      <c r="AF114">
        <v>22.55</v>
      </c>
      <c r="AG114">
        <v>51.96</v>
      </c>
      <c r="AH114">
        <v>4</v>
      </c>
      <c r="AI114" s="31">
        <v>0.433987682832948</v>
      </c>
      <c r="AJ114" s="31">
        <v>0.121212121212121</v>
      </c>
      <c r="AK114" s="1" t="str">
        <f>VLOOKUP(AC:AC,'7店'!$B:$B,1,0)</f>
        <v>Y7066-BL+Y7067+Y7068</v>
      </c>
      <c r="AL114" s="29" t="s">
        <v>2489</v>
      </c>
      <c r="AM114" s="33">
        <v>12.99</v>
      </c>
      <c r="AN114" s="1">
        <f t="shared" si="7"/>
        <v>88.9815</v>
      </c>
      <c r="AP114" s="29" t="s">
        <v>2733</v>
      </c>
      <c r="AQ114" s="33">
        <v>25.98</v>
      </c>
      <c r="AR114" s="1">
        <f t="shared" si="6"/>
        <v>177.963</v>
      </c>
      <c r="AT114" s="43" t="s">
        <v>2430</v>
      </c>
      <c r="AU114" s="44">
        <v>139</v>
      </c>
      <c r="AV114" s="35"/>
      <c r="AW114" s="43" t="s">
        <v>2433</v>
      </c>
      <c r="AX114" s="44">
        <v>83.4</v>
      </c>
      <c r="AZ114" s="128" t="s">
        <v>2734</v>
      </c>
      <c r="BA114" s="106">
        <v>5.57</v>
      </c>
      <c r="BB114" s="1" t="s">
        <v>430</v>
      </c>
    </row>
    <row r="115" spans="2:54">
      <c r="B115" t="s">
        <v>2259</v>
      </c>
      <c r="C115">
        <v>1</v>
      </c>
      <c r="D115" s="1" t="str">
        <f>VLOOKUP(B:B,'7店'!$B:$B,1,0)</f>
        <v>Y73473-GR+Y72614+Y73476</v>
      </c>
      <c r="E115" t="s">
        <v>2626</v>
      </c>
      <c r="F115">
        <v>1</v>
      </c>
      <c r="G115" s="1" t="str">
        <f>VLOOKUP(E:E,'7店'!$B:$B,1,0)</f>
        <v>Y7072-OR+Y7073+Y7074</v>
      </c>
      <c r="H115" t="s">
        <v>2580</v>
      </c>
      <c r="I115">
        <v>6</v>
      </c>
      <c r="J115" s="1" t="str">
        <f>VLOOKUP(H:H,'7店'!$B:$B,1,0)</f>
        <v>Y7063-DB+Y7064+Y7065</v>
      </c>
      <c r="K115" t="s">
        <v>2587</v>
      </c>
      <c r="L115">
        <v>291</v>
      </c>
      <c r="M115">
        <v>6</v>
      </c>
      <c r="N115">
        <v>3.71</v>
      </c>
      <c r="O115">
        <v>25.98</v>
      </c>
      <c r="P115">
        <v>2</v>
      </c>
      <c r="Q115" s="31">
        <v>0.142802155504234</v>
      </c>
      <c r="R115" s="31">
        <v>0.333333333333333</v>
      </c>
      <c r="S115" s="1" t="str">
        <f>VLOOKUP(K:K,'7店'!$B:$B,1,0)</f>
        <v>Y7066-BU+Y7067+Y7068</v>
      </c>
      <c r="T115" t="s">
        <v>2671</v>
      </c>
      <c r="U115">
        <v>2799</v>
      </c>
      <c r="V115">
        <v>43</v>
      </c>
      <c r="W115">
        <v>26.43</v>
      </c>
      <c r="X115">
        <v>77.94</v>
      </c>
      <c r="Y115">
        <v>6</v>
      </c>
      <c r="Z115" s="31">
        <v>0.339107005388761</v>
      </c>
      <c r="AA115" s="31">
        <v>0.13953488372093</v>
      </c>
      <c r="AB115" s="1" t="str">
        <f>VLOOKUP(T:T,'7店'!$B:$B,1,0)</f>
        <v>Y7086-OR+Y7087</v>
      </c>
      <c r="AC115" t="s">
        <v>2596</v>
      </c>
      <c r="AD115">
        <v>8290</v>
      </c>
      <c r="AE115">
        <v>58</v>
      </c>
      <c r="AF115">
        <v>40.89</v>
      </c>
      <c r="AG115">
        <v>58.96</v>
      </c>
      <c r="AH115">
        <v>4</v>
      </c>
      <c r="AI115" s="31">
        <v>0.693521031207598</v>
      </c>
      <c r="AJ115" s="31">
        <v>0.0689655172413793</v>
      </c>
      <c r="AK115" s="1" t="str">
        <f>VLOOKUP(AC:AC,'7店'!$B:$B,1,0)</f>
        <v>Y7066-OR+Y7067+Y7068</v>
      </c>
      <c r="AL115" s="29" t="s">
        <v>2481</v>
      </c>
      <c r="AM115" s="33">
        <v>12.99</v>
      </c>
      <c r="AN115" s="1">
        <f t="shared" si="7"/>
        <v>88.9815</v>
      </c>
      <c r="AP115" s="29" t="s">
        <v>2457</v>
      </c>
      <c r="AQ115" s="33">
        <v>25.98</v>
      </c>
      <c r="AR115" s="1">
        <f t="shared" si="6"/>
        <v>177.963</v>
      </c>
      <c r="AT115" s="45" t="s">
        <v>2433</v>
      </c>
      <c r="AU115" s="44">
        <v>69.5</v>
      </c>
      <c r="AV115" s="35"/>
      <c r="AW115" s="43" t="s">
        <v>2702</v>
      </c>
      <c r="AX115" s="44">
        <v>41.7</v>
      </c>
      <c r="AZ115" s="128" t="s">
        <v>2442</v>
      </c>
      <c r="BA115" s="106">
        <v>6.556</v>
      </c>
      <c r="BB115" s="1" t="s">
        <v>430</v>
      </c>
    </row>
    <row r="116" spans="2:54">
      <c r="B116" t="s">
        <v>2256</v>
      </c>
      <c r="C116">
        <v>1</v>
      </c>
      <c r="D116" s="1" t="str">
        <f>VLOOKUP(B:B,'7店'!$B:$B,1,0)</f>
        <v>Y73473-DB+Y72614+Y73476</v>
      </c>
      <c r="E116" t="s">
        <v>2620</v>
      </c>
      <c r="F116">
        <v>12</v>
      </c>
      <c r="G116" s="1" t="str">
        <f>VLOOKUP(E:E,'7店'!$B:$B,1,0)</f>
        <v>Y7072-DB+Y7073+Y7074</v>
      </c>
      <c r="H116" t="s">
        <v>2178</v>
      </c>
      <c r="I116">
        <v>1</v>
      </c>
      <c r="J116" s="1" t="str">
        <f>VLOOKUP(H:H,'7店'!$B:$B,1,0)</f>
        <v>Y73694-BL+Y73712+Y73744</v>
      </c>
      <c r="K116" t="s">
        <v>2508</v>
      </c>
      <c r="L116">
        <v>1</v>
      </c>
      <c r="M116">
        <v>0</v>
      </c>
      <c r="N116">
        <v>0</v>
      </c>
      <c r="O116">
        <v>0</v>
      </c>
      <c r="P116">
        <v>0</v>
      </c>
      <c r="Q116" s="31">
        <v>0</v>
      </c>
      <c r="R116" s="31">
        <v>0</v>
      </c>
      <c r="S116" s="1" t="str">
        <f>VLOOKUP(K:K,'7店'!$B:$B,1,0)</f>
        <v>Y7048-BL+Y7049+Y7050</v>
      </c>
      <c r="T116" t="s">
        <v>2662</v>
      </c>
      <c r="U116">
        <v>5289</v>
      </c>
      <c r="V116">
        <v>76</v>
      </c>
      <c r="W116">
        <v>47.66</v>
      </c>
      <c r="X116">
        <v>155.88</v>
      </c>
      <c r="Y116">
        <v>12</v>
      </c>
      <c r="Z116" s="31">
        <v>0.305748011290737</v>
      </c>
      <c r="AA116" s="31">
        <v>0.157894736842105</v>
      </c>
      <c r="AB116" s="1" t="str">
        <f>VLOOKUP(T:T,'7店'!$B:$B,1,0)</f>
        <v>Y7086-BU+Y7087</v>
      </c>
      <c r="AC116" t="s">
        <v>2620</v>
      </c>
      <c r="AD116">
        <v>2006</v>
      </c>
      <c r="AE116">
        <v>46</v>
      </c>
      <c r="AF116">
        <v>22.8</v>
      </c>
      <c r="AG116">
        <v>125.9</v>
      </c>
      <c r="AH116">
        <v>10</v>
      </c>
      <c r="AI116" s="31">
        <v>0.18109610802224</v>
      </c>
      <c r="AJ116" s="31">
        <v>0.217391304347826</v>
      </c>
      <c r="AK116" s="1" t="str">
        <f>VLOOKUP(AC:AC,'7店'!$B:$B,1,0)</f>
        <v>Y7072-DB+Y7073+Y7074</v>
      </c>
      <c r="AL116" s="29" t="s">
        <v>2611</v>
      </c>
      <c r="AM116" s="33">
        <v>12.99</v>
      </c>
      <c r="AN116" s="1">
        <f t="shared" si="7"/>
        <v>88.9815</v>
      </c>
      <c r="AP116" s="29" t="s">
        <v>2466</v>
      </c>
      <c r="AQ116" s="33">
        <v>25.98</v>
      </c>
      <c r="AR116" s="1">
        <f t="shared" si="6"/>
        <v>177.963</v>
      </c>
      <c r="AT116" s="45" t="s">
        <v>2702</v>
      </c>
      <c r="AU116" s="44">
        <v>13.9</v>
      </c>
      <c r="AV116" s="35"/>
      <c r="AW116" s="43" t="s">
        <v>2436</v>
      </c>
      <c r="AX116" s="44">
        <v>166.8</v>
      </c>
      <c r="AZ116" s="128" t="s">
        <v>2735</v>
      </c>
      <c r="BA116" s="106">
        <v>6.556</v>
      </c>
      <c r="BB116" s="1" t="s">
        <v>430</v>
      </c>
    </row>
    <row r="117" spans="2:54">
      <c r="B117" t="s">
        <v>2223</v>
      </c>
      <c r="C117">
        <v>1</v>
      </c>
      <c r="D117" s="1" t="str">
        <f>VLOOKUP(B:B,'7店'!$B:$B,1,0)</f>
        <v>Y73040-OR+Y73045+Y73063</v>
      </c>
      <c r="E117" t="s">
        <v>2477</v>
      </c>
      <c r="F117">
        <v>4</v>
      </c>
      <c r="G117" s="1" t="str">
        <f>VLOOKUP(E:E,'7店'!$B:$B,1,0)</f>
        <v>Y7036-DB-ZH</v>
      </c>
      <c r="H117" t="s">
        <v>2306</v>
      </c>
      <c r="I117">
        <v>3</v>
      </c>
      <c r="J117" s="1" t="str">
        <f>VLOOKUP(H:H,'7店'!$B:$B,1,0)</f>
        <v>Y7011-GE+Y7019+Y7015</v>
      </c>
      <c r="K117" t="s">
        <v>2511</v>
      </c>
      <c r="L117">
        <v>1</v>
      </c>
      <c r="M117">
        <v>0</v>
      </c>
      <c r="N117">
        <v>0</v>
      </c>
      <c r="O117">
        <v>0</v>
      </c>
      <c r="P117">
        <v>0</v>
      </c>
      <c r="Q117" s="31">
        <v>0</v>
      </c>
      <c r="R117" s="31">
        <v>0</v>
      </c>
      <c r="S117" s="1" t="str">
        <f>VLOOKUP(K:K,'7店'!$B:$B,1,0)</f>
        <v>Y7048-DB+Y7049+Y7050</v>
      </c>
      <c r="T117" t="s">
        <v>2659</v>
      </c>
      <c r="U117">
        <v>6725</v>
      </c>
      <c r="V117">
        <v>30</v>
      </c>
      <c r="W117">
        <v>17.15</v>
      </c>
      <c r="X117">
        <v>77.94</v>
      </c>
      <c r="Y117">
        <v>6</v>
      </c>
      <c r="Z117" s="31">
        <v>0.220041057223505</v>
      </c>
      <c r="AA117" s="31">
        <v>0.2</v>
      </c>
      <c r="AB117" s="1" t="str">
        <f>VLOOKUP(T:T,'7店'!$B:$B,1,0)</f>
        <v>Y7086-BL+Y7087</v>
      </c>
      <c r="AC117" t="s">
        <v>2656</v>
      </c>
      <c r="AD117">
        <v>1607</v>
      </c>
      <c r="AE117">
        <v>11</v>
      </c>
      <c r="AF117">
        <v>6.89</v>
      </c>
      <c r="AG117">
        <v>0</v>
      </c>
      <c r="AH117">
        <v>0</v>
      </c>
      <c r="AI117" s="31">
        <v>0</v>
      </c>
      <c r="AJ117" s="31">
        <v>0</v>
      </c>
      <c r="AK117" s="1" t="str">
        <f>VLOOKUP(AC:AC,'7店'!$B:$B,1,0)</f>
        <v>Y7084-OR+Y7085</v>
      </c>
      <c r="AL117" s="29" t="s">
        <v>2590</v>
      </c>
      <c r="AM117" s="33">
        <v>12.99</v>
      </c>
      <c r="AN117" s="1">
        <f t="shared" si="7"/>
        <v>88.9815</v>
      </c>
      <c r="AP117" s="29" t="s">
        <v>2489</v>
      </c>
      <c r="AQ117" s="33">
        <v>77.94</v>
      </c>
      <c r="AR117" s="1">
        <f t="shared" si="6"/>
        <v>533.889</v>
      </c>
      <c r="AT117" s="45" t="s">
        <v>2436</v>
      </c>
      <c r="AU117" s="44">
        <v>111.2</v>
      </c>
      <c r="AV117" s="35"/>
      <c r="AW117" s="43" t="s">
        <v>2439</v>
      </c>
      <c r="AX117" s="44">
        <v>69.5</v>
      </c>
      <c r="AZ117" s="128" t="s">
        <v>2736</v>
      </c>
      <c r="BA117" s="106">
        <v>6.556</v>
      </c>
      <c r="BB117" s="1" t="s">
        <v>430</v>
      </c>
    </row>
    <row r="118" spans="2:54">
      <c r="B118" t="s">
        <v>2291</v>
      </c>
      <c r="C118">
        <v>1</v>
      </c>
      <c r="D118" s="1" t="str">
        <f>VLOOKUP(B:B,'7店'!$B:$B,1,0)</f>
        <v>Y7010-GE+Y7018+Y7014</v>
      </c>
      <c r="E118" t="s">
        <v>2617</v>
      </c>
      <c r="F118">
        <v>8</v>
      </c>
      <c r="G118" s="1" t="str">
        <f>VLOOKUP(E:E,'7店'!$B:$B,1,0)</f>
        <v>Y7072-BU+Y7073+Y7074</v>
      </c>
      <c r="H118" t="s">
        <v>2442</v>
      </c>
      <c r="I118">
        <v>3</v>
      </c>
      <c r="J118" s="1" t="str">
        <f>VLOOKUP(H:H,'7店'!$B:$B,1,0)</f>
        <v>Y71973-BL+Y71974+Y72754</v>
      </c>
      <c r="K118" t="s">
        <v>439</v>
      </c>
      <c r="L118">
        <v>184638</v>
      </c>
      <c r="M118">
        <v>1951</v>
      </c>
      <c r="N118">
        <v>842.74</v>
      </c>
      <c r="O118">
        <v>3200.2</v>
      </c>
      <c r="P118">
        <v>238</v>
      </c>
      <c r="Q118" s="31">
        <v>0.263339791263046</v>
      </c>
      <c r="R118" s="31">
        <v>0.12198872373142</v>
      </c>
      <c r="T118" t="s">
        <v>2545</v>
      </c>
      <c r="U118">
        <v>4115</v>
      </c>
      <c r="V118">
        <v>27</v>
      </c>
      <c r="W118">
        <v>15.49</v>
      </c>
      <c r="X118">
        <v>51.98</v>
      </c>
      <c r="Y118">
        <v>2</v>
      </c>
      <c r="Z118" s="31">
        <v>0.297999230473259</v>
      </c>
      <c r="AA118" s="31">
        <v>0.0740740740740741</v>
      </c>
      <c r="AB118" s="1" t="str">
        <f>VLOOKUP(T:T,'7店'!$B:$B,1,0)</f>
        <v>Y7054-BU+Y7062+Y7058</v>
      </c>
      <c r="AC118" t="s">
        <v>2647</v>
      </c>
      <c r="AD118">
        <v>1861</v>
      </c>
      <c r="AE118">
        <v>23</v>
      </c>
      <c r="AF118">
        <v>13.54</v>
      </c>
      <c r="AG118">
        <v>51.96</v>
      </c>
      <c r="AH118">
        <v>4</v>
      </c>
      <c r="AI118" s="31">
        <v>0.26058506543495</v>
      </c>
      <c r="AJ118" s="31">
        <v>0.173913043478261</v>
      </c>
      <c r="AK118" s="1" t="str">
        <f>VLOOKUP(AC:AC,'7店'!$B:$B,1,0)</f>
        <v>Y7084-BU+Y7085</v>
      </c>
      <c r="AL118" s="29" t="s">
        <v>2605</v>
      </c>
      <c r="AM118" s="33">
        <v>12.99</v>
      </c>
      <c r="AN118" s="1">
        <f t="shared" si="7"/>
        <v>88.9815</v>
      </c>
      <c r="AP118" s="29" t="s">
        <v>2481</v>
      </c>
      <c r="AQ118" s="33">
        <v>51.96</v>
      </c>
      <c r="AR118" s="1">
        <f t="shared" si="6"/>
        <v>355.926</v>
      </c>
      <c r="AT118" s="45" t="s">
        <v>2439</v>
      </c>
      <c r="AU118" s="44">
        <v>55.6</v>
      </c>
      <c r="AV118" s="35"/>
      <c r="AW118" s="43" t="s">
        <v>2442</v>
      </c>
      <c r="AX118" s="44">
        <v>97.3</v>
      </c>
      <c r="AZ118" s="128" t="s">
        <v>2737</v>
      </c>
      <c r="BA118" s="106">
        <v>6.556</v>
      </c>
      <c r="BB118" s="1" t="s">
        <v>430</v>
      </c>
    </row>
    <row r="119" spans="2:54">
      <c r="B119" t="s">
        <v>2309</v>
      </c>
      <c r="C119">
        <v>1</v>
      </c>
      <c r="D119" s="1" t="str">
        <f>VLOOKUP(B:B,'7店'!$B:$B,1,0)</f>
        <v>Y7011-OR+Y7019+Y7015</v>
      </c>
      <c r="E119" t="s">
        <v>2151</v>
      </c>
      <c r="F119">
        <v>8</v>
      </c>
      <c r="G119" s="1" t="str">
        <f>VLOOKUP(E:E,'7店'!$B:$B,1,0)</f>
        <v>Y7002-OR+Y7005</v>
      </c>
      <c r="H119" t="s">
        <v>2559</v>
      </c>
      <c r="I119">
        <v>11</v>
      </c>
      <c r="J119" s="1" t="str">
        <f>VLOOKUP(H:H,'7店'!$B:$B,1,0)</f>
        <v>Y7051-BL+Y7055+Y7059</v>
      </c>
      <c r="K119"/>
      <c r="L119"/>
      <c r="M119"/>
      <c r="N119"/>
      <c r="O119"/>
      <c r="P119"/>
      <c r="Q119"/>
      <c r="R119"/>
      <c r="T119" t="s">
        <v>2193</v>
      </c>
      <c r="U119">
        <v>1232</v>
      </c>
      <c r="V119">
        <v>9</v>
      </c>
      <c r="W119">
        <v>2.75</v>
      </c>
      <c r="X119">
        <v>0</v>
      </c>
      <c r="Y119">
        <v>0</v>
      </c>
      <c r="Z119" s="31">
        <v>0</v>
      </c>
      <c r="AA119" s="31">
        <v>0</v>
      </c>
      <c r="AB119" s="1" t="str">
        <f>VLOOKUP(T:T,'7店'!$B:$B,1,0)</f>
        <v>Y72648-BL+Y72649+Y72381</v>
      </c>
      <c r="AC119" t="s">
        <v>2671</v>
      </c>
      <c r="AD119">
        <v>2799</v>
      </c>
      <c r="AE119">
        <v>43</v>
      </c>
      <c r="AF119">
        <v>26.43</v>
      </c>
      <c r="AG119">
        <v>77.94</v>
      </c>
      <c r="AH119">
        <v>6</v>
      </c>
      <c r="AI119" s="31">
        <v>0.339107005388761</v>
      </c>
      <c r="AJ119" s="31">
        <v>0.13953488372093</v>
      </c>
      <c r="AK119" s="1" t="str">
        <f>VLOOKUP(AC:AC,'7店'!$B:$B,1,0)</f>
        <v>Y7086-OR+Y7087</v>
      </c>
      <c r="AL119" s="29" t="s">
        <v>2626</v>
      </c>
      <c r="AM119" s="33">
        <v>12.99</v>
      </c>
      <c r="AN119" s="1">
        <f t="shared" si="7"/>
        <v>88.9815</v>
      </c>
      <c r="AP119" s="29" t="s">
        <v>2584</v>
      </c>
      <c r="AQ119" s="33">
        <v>25.98</v>
      </c>
      <c r="AR119" s="1">
        <f t="shared" si="6"/>
        <v>177.963</v>
      </c>
      <c r="AT119" s="45" t="s">
        <v>2442</v>
      </c>
      <c r="AU119" s="44">
        <v>69.5</v>
      </c>
      <c r="AV119" s="35"/>
      <c r="AW119" s="43" t="s">
        <v>2445</v>
      </c>
      <c r="AX119" s="44">
        <v>83.4</v>
      </c>
      <c r="AZ119" s="128" t="s">
        <v>2243</v>
      </c>
      <c r="BA119" s="106">
        <v>6.623</v>
      </c>
      <c r="BB119" s="1" t="s">
        <v>430</v>
      </c>
    </row>
    <row r="120" spans="2:54">
      <c r="B120" t="s">
        <v>2423</v>
      </c>
      <c r="C120">
        <v>1</v>
      </c>
      <c r="D120" s="1" t="str">
        <f>VLOOKUP(B:B,'7店'!$B:$B,1,0)</f>
        <v>Y73134-OR+Y03137+Y73268</v>
      </c>
      <c r="E120" t="s">
        <v>2700</v>
      </c>
      <c r="F120">
        <v>1</v>
      </c>
      <c r="G120" s="1" t="e">
        <f>VLOOKUP(E:E,'7店'!$B:$B,1,0)</f>
        <v>#N/A</v>
      </c>
      <c r="H120" t="s">
        <v>2565</v>
      </c>
      <c r="I120">
        <v>13</v>
      </c>
      <c r="J120" s="1" t="str">
        <f>VLOOKUP(H:H,'7店'!$B:$B,1,0)</f>
        <v>Y7051-OR+Y7055+Y7059</v>
      </c>
      <c r="K120"/>
      <c r="L120"/>
      <c r="M120"/>
      <c r="N120"/>
      <c r="O120"/>
      <c r="P120"/>
      <c r="Q120"/>
      <c r="R120"/>
      <c r="T120" t="s">
        <v>2184</v>
      </c>
      <c r="U120">
        <v>131</v>
      </c>
      <c r="V120">
        <v>0</v>
      </c>
      <c r="W120">
        <v>0</v>
      </c>
      <c r="X120">
        <v>0</v>
      </c>
      <c r="Y120">
        <v>0</v>
      </c>
      <c r="Z120" s="31">
        <v>0</v>
      </c>
      <c r="AA120" s="31">
        <v>0</v>
      </c>
      <c r="AB120" s="1" t="str">
        <f>VLOOKUP(T:T,'7店'!$B:$B,1,0)</f>
        <v>Y72488-BL+Y72490+Y72380</v>
      </c>
      <c r="AC120" t="s">
        <v>2662</v>
      </c>
      <c r="AD120">
        <v>5289</v>
      </c>
      <c r="AE120">
        <v>76</v>
      </c>
      <c r="AF120">
        <v>47.66</v>
      </c>
      <c r="AG120">
        <v>155.88</v>
      </c>
      <c r="AH120">
        <v>12</v>
      </c>
      <c r="AI120" s="31">
        <v>0.305748011290737</v>
      </c>
      <c r="AJ120" s="31">
        <v>0.157894736842105</v>
      </c>
      <c r="AK120" s="1" t="str">
        <f>VLOOKUP(AC:AC,'7店'!$B:$B,1,0)</f>
        <v>Y7086-BU+Y7087</v>
      </c>
      <c r="AL120" s="29" t="s">
        <v>2623</v>
      </c>
      <c r="AM120" s="33">
        <v>12.99</v>
      </c>
      <c r="AN120" s="1">
        <f t="shared" si="7"/>
        <v>88.9815</v>
      </c>
      <c r="AP120" s="29" t="s">
        <v>2590</v>
      </c>
      <c r="AQ120" s="33">
        <v>25.98</v>
      </c>
      <c r="AR120" s="1">
        <f t="shared" si="6"/>
        <v>177.963</v>
      </c>
      <c r="AT120" s="45" t="s">
        <v>2445</v>
      </c>
      <c r="AU120" s="44">
        <v>69.5</v>
      </c>
      <c r="AV120" s="35"/>
      <c r="AW120" s="43" t="s">
        <v>2720</v>
      </c>
      <c r="AX120" s="44">
        <v>41.7</v>
      </c>
      <c r="AZ120" s="128" t="s">
        <v>2724</v>
      </c>
      <c r="BA120" s="106">
        <v>6.681</v>
      </c>
      <c r="BB120" s="1" t="s">
        <v>430</v>
      </c>
    </row>
    <row r="121" spans="2:54">
      <c r="B121" t="s">
        <v>2448</v>
      </c>
      <c r="C121">
        <v>1</v>
      </c>
      <c r="D121" s="1" t="str">
        <f>VLOOKUP(B:B,'7店'!$B:$B,1,0)</f>
        <v>Y7001-BB-ZH</v>
      </c>
      <c r="E121" t="s">
        <v>2409</v>
      </c>
      <c r="F121">
        <v>1</v>
      </c>
      <c r="G121" s="1" t="str">
        <f>VLOOKUP(E:E,'7店'!$B:$B,1,0)</f>
        <v>Y73133-BL+Y73136+Y73267</v>
      </c>
      <c r="H121" t="s">
        <v>2567</v>
      </c>
      <c r="I121">
        <v>1</v>
      </c>
      <c r="J121" s="1" t="str">
        <f>VLOOKUP(H:H,'7店'!$B:$B,1,0)</f>
        <v>Y7053-BL+Y7057+Y7061</v>
      </c>
      <c r="K121"/>
      <c r="L121"/>
      <c r="M121"/>
      <c r="N121"/>
      <c r="O121"/>
      <c r="P121"/>
      <c r="Q121"/>
      <c r="R121"/>
      <c r="T121" t="s">
        <v>2582</v>
      </c>
      <c r="U121">
        <v>461</v>
      </c>
      <c r="V121">
        <v>10</v>
      </c>
      <c r="W121">
        <v>4.37</v>
      </c>
      <c r="X121">
        <v>12.99</v>
      </c>
      <c r="Y121">
        <v>1</v>
      </c>
      <c r="Z121" s="31">
        <v>0.336412625096228</v>
      </c>
      <c r="AA121" s="31">
        <v>0.1</v>
      </c>
      <c r="AB121" s="1" t="str">
        <f>VLOOKUP(T:T,'7店'!$B:$B,1,0)</f>
        <v>Y7063-OR+Y7064+Y7065</v>
      </c>
      <c r="AC121" t="s">
        <v>2659</v>
      </c>
      <c r="AD121">
        <v>6725</v>
      </c>
      <c r="AE121">
        <v>30</v>
      </c>
      <c r="AF121">
        <v>17.15</v>
      </c>
      <c r="AG121">
        <v>77.94</v>
      </c>
      <c r="AH121">
        <v>6</v>
      </c>
      <c r="AI121" s="31">
        <v>0.220041057223505</v>
      </c>
      <c r="AJ121" s="31">
        <v>0.2</v>
      </c>
      <c r="AK121" s="1" t="str">
        <f>VLOOKUP(AC:AC,'7店'!$B:$B,1,0)</f>
        <v>Y7086-BL+Y7087</v>
      </c>
      <c r="AL121" s="29" t="s">
        <v>2647</v>
      </c>
      <c r="AM121" s="33">
        <v>12.99</v>
      </c>
      <c r="AN121" s="1">
        <f t="shared" si="7"/>
        <v>88.9815</v>
      </c>
      <c r="AP121" s="29" t="s">
        <v>2516</v>
      </c>
      <c r="AQ121" s="33">
        <v>12.99</v>
      </c>
      <c r="AR121" s="1">
        <f t="shared" si="6"/>
        <v>88.9815</v>
      </c>
      <c r="AT121" s="45" t="s">
        <v>2720</v>
      </c>
      <c r="AU121" s="44">
        <v>0</v>
      </c>
      <c r="AV121" s="35"/>
      <c r="AW121" s="43" t="s">
        <v>2448</v>
      </c>
      <c r="AX121" s="44">
        <v>0</v>
      </c>
      <c r="AZ121" s="128" t="s">
        <v>2519</v>
      </c>
      <c r="BA121" s="106">
        <v>6.922</v>
      </c>
      <c r="BB121" s="1" t="s">
        <v>430</v>
      </c>
    </row>
    <row r="122" spans="2:54">
      <c r="B122" t="s">
        <v>2460</v>
      </c>
      <c r="C122">
        <v>1</v>
      </c>
      <c r="D122" s="1" t="str">
        <f>VLOOKUP(B:B,'7店'!$B:$B,1,0)</f>
        <v>Y73153-OR-ZH</v>
      </c>
      <c r="E122" t="s">
        <v>2425</v>
      </c>
      <c r="F122">
        <v>1</v>
      </c>
      <c r="G122" s="1" t="str">
        <f>VLOOKUP(E:E,'7店'!$B:$B,1,0)</f>
        <v>Y73630-GR+Y73635+Y73643</v>
      </c>
      <c r="H122" t="s">
        <v>2561</v>
      </c>
      <c r="I122">
        <v>4</v>
      </c>
      <c r="J122" s="1" t="str">
        <f>VLOOKUP(H:H,'7店'!$B:$B,1,0)</f>
        <v>Y7051-BU+Y7055+Y7059</v>
      </c>
      <c r="K122"/>
      <c r="L122"/>
      <c r="M122"/>
      <c r="N122"/>
      <c r="O122"/>
      <c r="P122"/>
      <c r="Q122"/>
      <c r="R122"/>
      <c r="T122" t="s">
        <v>2644</v>
      </c>
      <c r="U122">
        <v>8</v>
      </c>
      <c r="V122">
        <v>0</v>
      </c>
      <c r="W122">
        <v>0</v>
      </c>
      <c r="X122">
        <v>0</v>
      </c>
      <c r="Y122">
        <v>0</v>
      </c>
      <c r="Z122" s="31">
        <v>0</v>
      </c>
      <c r="AA122" s="31">
        <v>0</v>
      </c>
      <c r="AB122" s="1" t="str">
        <f>VLOOKUP(T:T,'7店'!$B:$B,1,0)</f>
        <v>Y7084-BL+Y7085</v>
      </c>
      <c r="AC122" t="s">
        <v>2545</v>
      </c>
      <c r="AD122">
        <v>4115</v>
      </c>
      <c r="AE122">
        <v>27</v>
      </c>
      <c r="AF122">
        <v>15.49</v>
      </c>
      <c r="AG122">
        <v>51.98</v>
      </c>
      <c r="AH122">
        <v>2</v>
      </c>
      <c r="AI122" s="31">
        <v>0.297999230473259</v>
      </c>
      <c r="AJ122" s="31">
        <v>0.0740740740740741</v>
      </c>
      <c r="AK122" s="1" t="str">
        <f>VLOOKUP(AC:AC,'7店'!$B:$B,1,0)</f>
        <v>Y7054-BU+Y7062+Y7058</v>
      </c>
      <c r="AL122" s="29" t="s">
        <v>2559</v>
      </c>
      <c r="AM122" s="107">
        <v>103.96</v>
      </c>
      <c r="AN122" s="1">
        <f>AM122*4.9</f>
        <v>509.404</v>
      </c>
      <c r="AP122" s="29" t="s">
        <v>2711</v>
      </c>
      <c r="AQ122" s="33">
        <v>12.99</v>
      </c>
      <c r="AR122" s="1">
        <f t="shared" si="6"/>
        <v>88.9815</v>
      </c>
      <c r="AT122" s="45" t="s">
        <v>2448</v>
      </c>
      <c r="AU122" s="44">
        <v>13.9</v>
      </c>
      <c r="AV122" s="35"/>
      <c r="AW122" s="43" t="s">
        <v>2738</v>
      </c>
      <c r="AX122" s="44">
        <v>13.9</v>
      </c>
      <c r="AZ122" s="128" t="s">
        <v>2430</v>
      </c>
      <c r="BA122" s="106">
        <v>6.686</v>
      </c>
      <c r="BB122" s="1" t="s">
        <v>430</v>
      </c>
    </row>
    <row r="123" spans="2:54">
      <c r="B123" t="s">
        <v>2730</v>
      </c>
      <c r="C123">
        <v>1</v>
      </c>
      <c r="D123" s="1" t="e">
        <f>VLOOKUP(B:B,'7店'!$B:$B,1,0)</f>
        <v>#N/A</v>
      </c>
      <c r="E123" t="s">
        <v>2457</v>
      </c>
      <c r="F123">
        <v>2</v>
      </c>
      <c r="G123" s="1" t="str">
        <f>VLOOKUP(E:E,'7店'!$B:$B,1,0)</f>
        <v>Y73135-OR-ZH</v>
      </c>
      <c r="H123" t="s">
        <v>2545</v>
      </c>
      <c r="I123">
        <v>3</v>
      </c>
      <c r="J123" s="1" t="str">
        <f>VLOOKUP(H:H,'7店'!$B:$B,1,0)</f>
        <v>Y7054-BU+Y7062+Y7058</v>
      </c>
      <c r="K123"/>
      <c r="L123"/>
      <c r="M123"/>
      <c r="N123"/>
      <c r="O123"/>
      <c r="P123"/>
      <c r="Q123"/>
      <c r="R123"/>
      <c r="T123" t="s">
        <v>2587</v>
      </c>
      <c r="U123">
        <v>291</v>
      </c>
      <c r="V123">
        <v>6</v>
      </c>
      <c r="W123">
        <v>3.71</v>
      </c>
      <c r="X123">
        <v>25.98</v>
      </c>
      <c r="Y123">
        <v>2</v>
      </c>
      <c r="Z123" s="31">
        <v>0.142802155504234</v>
      </c>
      <c r="AA123" s="31">
        <v>0.333333333333333</v>
      </c>
      <c r="AB123" s="1" t="str">
        <f>VLOOKUP(T:T,'7店'!$B:$B,1,0)</f>
        <v>Y7066-BU+Y7067+Y7068</v>
      </c>
      <c r="AC123" t="s">
        <v>2193</v>
      </c>
      <c r="AD123">
        <v>1232</v>
      </c>
      <c r="AE123">
        <v>9</v>
      </c>
      <c r="AF123">
        <v>2.75</v>
      </c>
      <c r="AG123">
        <v>0</v>
      </c>
      <c r="AH123">
        <v>0</v>
      </c>
      <c r="AI123" s="31">
        <v>0</v>
      </c>
      <c r="AJ123" s="31">
        <v>0</v>
      </c>
      <c r="AK123" s="1" t="str">
        <f>VLOOKUP(AC:AC,'7店'!$B:$B,1,0)</f>
        <v>Y72648-BL+Y72649+Y72381</v>
      </c>
      <c r="AL123" s="29" t="s">
        <v>2671</v>
      </c>
      <c r="AM123" s="107">
        <v>42.22</v>
      </c>
      <c r="AN123" s="1">
        <f t="shared" ref="AN123:AN133" si="8">AM123*4.9</f>
        <v>206.878</v>
      </c>
      <c r="AP123" s="29" t="s">
        <v>2252</v>
      </c>
      <c r="AQ123" s="33">
        <v>12.99</v>
      </c>
      <c r="AR123" s="1">
        <f t="shared" si="6"/>
        <v>88.9815</v>
      </c>
      <c r="AT123" s="45" t="s">
        <v>2738</v>
      </c>
      <c r="AU123" s="44">
        <v>0</v>
      </c>
      <c r="AV123" s="35"/>
      <c r="AW123" s="43" t="s">
        <v>2451</v>
      </c>
      <c r="AX123" s="44">
        <v>139</v>
      </c>
      <c r="AZ123" s="128" t="s">
        <v>2433</v>
      </c>
      <c r="BA123" s="106">
        <v>6.677</v>
      </c>
      <c r="BB123" s="1" t="s">
        <v>430</v>
      </c>
    </row>
    <row r="124" spans="2:54">
      <c r="B124" t="s">
        <v>2479</v>
      </c>
      <c r="C124">
        <v>1</v>
      </c>
      <c r="D124" s="1" t="str">
        <f>VLOOKUP(B:B,'7店'!$B:$B,1,0)</f>
        <v>Y7036-OR-ZH</v>
      </c>
      <c r="E124" t="s">
        <v>2608</v>
      </c>
      <c r="F124">
        <v>4</v>
      </c>
      <c r="G124" s="1" t="str">
        <f>VLOOKUP(E:E,'7店'!$B:$B,1,0)</f>
        <v>Y7069-GE+Y7070+Y7071</v>
      </c>
      <c r="H124" t="s">
        <v>2502</v>
      </c>
      <c r="I124">
        <v>3</v>
      </c>
      <c r="J124" s="1" t="str">
        <f>VLOOKUP(H:H,'7店'!$B:$B,1,0)</f>
        <v>Y7045-BL+Y7046+Y7047</v>
      </c>
      <c r="K124"/>
      <c r="L124"/>
      <c r="M124"/>
      <c r="N124"/>
      <c r="O124"/>
      <c r="P124"/>
      <c r="Q124"/>
      <c r="R124"/>
      <c r="T124" t="s">
        <v>2508</v>
      </c>
      <c r="U124">
        <v>1</v>
      </c>
      <c r="V124">
        <v>0</v>
      </c>
      <c r="W124">
        <v>0</v>
      </c>
      <c r="X124">
        <v>0</v>
      </c>
      <c r="Y124">
        <v>0</v>
      </c>
      <c r="Z124" s="31">
        <v>0</v>
      </c>
      <c r="AA124" s="31">
        <v>0</v>
      </c>
      <c r="AB124" s="1" t="str">
        <f>VLOOKUP(T:T,'7店'!$B:$B,1,0)</f>
        <v>Y7048-BL+Y7049+Y7050</v>
      </c>
      <c r="AC124" t="s">
        <v>2184</v>
      </c>
      <c r="AD124">
        <v>131</v>
      </c>
      <c r="AE124">
        <v>0</v>
      </c>
      <c r="AF124">
        <v>0</v>
      </c>
      <c r="AG124">
        <v>0</v>
      </c>
      <c r="AH124">
        <v>0</v>
      </c>
      <c r="AI124" s="31">
        <v>0</v>
      </c>
      <c r="AJ124" s="31">
        <v>0</v>
      </c>
      <c r="AK124" s="1" t="str">
        <f>VLOOKUP(AC:AC,'7店'!$B:$B,1,0)</f>
        <v>Y72488-BL+Y72490+Y72380</v>
      </c>
      <c r="AL124" s="29" t="s">
        <v>2225</v>
      </c>
      <c r="AM124" s="107">
        <v>32.77</v>
      </c>
      <c r="AN124" s="1">
        <f t="shared" si="8"/>
        <v>160.573</v>
      </c>
      <c r="AP124" s="29" t="s">
        <v>2259</v>
      </c>
      <c r="AQ124" s="33">
        <v>12.99</v>
      </c>
      <c r="AR124" s="1">
        <f t="shared" si="6"/>
        <v>88.9815</v>
      </c>
      <c r="AT124" s="45" t="s">
        <v>2454</v>
      </c>
      <c r="AU124" s="44">
        <v>250.2</v>
      </c>
      <c r="AV124" s="35"/>
      <c r="AW124" s="43" t="s">
        <v>2454</v>
      </c>
      <c r="AX124" s="44">
        <v>55.6</v>
      </c>
      <c r="AZ124" s="128" t="s">
        <v>2246</v>
      </c>
      <c r="BA124" s="106">
        <v>6.976</v>
      </c>
      <c r="BB124" s="1" t="s">
        <v>430</v>
      </c>
    </row>
    <row r="125" spans="2:54">
      <c r="B125" t="s">
        <v>2626</v>
      </c>
      <c r="C125">
        <v>1</v>
      </c>
      <c r="D125" s="1" t="str">
        <f>VLOOKUP(B:B,'7店'!$B:$B,1,0)</f>
        <v>Y7072-OR+Y7073+Y7074</v>
      </c>
      <c r="E125" t="s">
        <v>2587</v>
      </c>
      <c r="F125">
        <v>4</v>
      </c>
      <c r="G125" s="1" t="str">
        <f>VLOOKUP(E:E,'7店'!$B:$B,1,0)</f>
        <v>Y7066-BU+Y7067+Y7068</v>
      </c>
      <c r="H125" t="s">
        <v>2563</v>
      </c>
      <c r="I125">
        <v>5</v>
      </c>
      <c r="J125" s="1" t="str">
        <f>VLOOKUP(H:H,'7店'!$B:$B,1,0)</f>
        <v>Y7051-DB+Y7055+Y7059</v>
      </c>
      <c r="T125" t="s">
        <v>2511</v>
      </c>
      <c r="U125">
        <v>1</v>
      </c>
      <c r="V125">
        <v>0</v>
      </c>
      <c r="W125">
        <v>0</v>
      </c>
      <c r="X125">
        <v>0</v>
      </c>
      <c r="Y125">
        <v>0</v>
      </c>
      <c r="Z125" s="31">
        <v>0</v>
      </c>
      <c r="AA125" s="31">
        <v>0</v>
      </c>
      <c r="AB125" s="1" t="str">
        <f>VLOOKUP(T:T,'7店'!$B:$B,1,0)</f>
        <v>Y7048-DB+Y7049+Y7050</v>
      </c>
      <c r="AC125" t="s">
        <v>2582</v>
      </c>
      <c r="AD125">
        <v>461</v>
      </c>
      <c r="AE125">
        <v>10</v>
      </c>
      <c r="AF125">
        <v>4.37</v>
      </c>
      <c r="AG125">
        <v>12.99</v>
      </c>
      <c r="AH125">
        <v>1</v>
      </c>
      <c r="AI125" s="31">
        <v>0.336412625096228</v>
      </c>
      <c r="AJ125" s="31">
        <v>0.1</v>
      </c>
      <c r="AK125" s="1" t="str">
        <f>VLOOKUP(AC:AC,'7店'!$B:$B,1,0)</f>
        <v>Y7063-OR+Y7064+Y7065</v>
      </c>
      <c r="AL125" s="29" t="s">
        <v>2271</v>
      </c>
      <c r="AM125" s="107">
        <v>25.78</v>
      </c>
      <c r="AN125" s="1">
        <f t="shared" si="8"/>
        <v>126.322</v>
      </c>
      <c r="AP125" s="29" t="s">
        <v>2256</v>
      </c>
      <c r="AQ125" s="33">
        <v>12.99</v>
      </c>
      <c r="AR125" s="1">
        <f t="shared" si="6"/>
        <v>88.9815</v>
      </c>
      <c r="AT125" s="45" t="s">
        <v>2457</v>
      </c>
      <c r="AU125" s="44">
        <v>236.3</v>
      </c>
      <c r="AV125" s="35"/>
      <c r="AW125" s="43" t="s">
        <v>2457</v>
      </c>
      <c r="AX125" s="44">
        <v>125.1</v>
      </c>
      <c r="AZ125" s="128" t="s">
        <v>2249</v>
      </c>
      <c r="BA125" s="106">
        <v>6.236</v>
      </c>
      <c r="BB125" s="1" t="s">
        <v>430</v>
      </c>
    </row>
    <row r="126" spans="2:54">
      <c r="B126" t="s">
        <v>2647</v>
      </c>
      <c r="C126">
        <v>1</v>
      </c>
      <c r="D126" s="1" t="str">
        <f>VLOOKUP(B:B,'7店'!$B:$B,1,0)</f>
        <v>Y7084-BU+Y7085</v>
      </c>
      <c r="E126" t="s">
        <v>2573</v>
      </c>
      <c r="F126">
        <v>2</v>
      </c>
      <c r="G126" s="1" t="str">
        <f>VLOOKUP(E:E,'7店'!$B:$B,1,0)</f>
        <v>Y7053-OR+Y7057+Y7061</v>
      </c>
      <c r="H126" t="s">
        <v>2507</v>
      </c>
      <c r="I126">
        <v>4</v>
      </c>
      <c r="J126" s="1" t="str">
        <f>VLOOKUP(H:H,'7店'!$B:$B,1,0)</f>
        <v>Y7045-OR+Y7046+Y7047</v>
      </c>
      <c r="T126" t="s">
        <v>439</v>
      </c>
      <c r="U126">
        <v>424545</v>
      </c>
      <c r="V126">
        <v>4263</v>
      </c>
      <c r="W126">
        <v>1809.77</v>
      </c>
      <c r="X126">
        <v>6708.84</v>
      </c>
      <c r="Y126">
        <v>496</v>
      </c>
      <c r="Z126" s="31">
        <v>0.269759004537297</v>
      </c>
      <c r="AA126" s="31">
        <v>0.116349988271171</v>
      </c>
      <c r="AC126" t="s">
        <v>2644</v>
      </c>
      <c r="AD126">
        <v>8</v>
      </c>
      <c r="AE126">
        <v>0</v>
      </c>
      <c r="AF126">
        <v>0</v>
      </c>
      <c r="AG126">
        <v>0</v>
      </c>
      <c r="AH126">
        <v>0</v>
      </c>
      <c r="AI126" s="31">
        <v>0</v>
      </c>
      <c r="AJ126" s="31">
        <v>0</v>
      </c>
      <c r="AK126" s="1" t="str">
        <f>VLOOKUP(AC:AC,'7店'!$B:$B,1,0)</f>
        <v>Y7084-BL+Y7085</v>
      </c>
      <c r="AL126" s="29" t="s">
        <v>2571</v>
      </c>
      <c r="AM126" s="107">
        <v>25.99</v>
      </c>
      <c r="AN126" s="1">
        <f t="shared" si="8"/>
        <v>127.351</v>
      </c>
      <c r="AP126" s="29" t="s">
        <v>2442</v>
      </c>
      <c r="AQ126" s="33">
        <v>8.99</v>
      </c>
      <c r="AR126" s="1">
        <f t="shared" si="6"/>
        <v>61.5815</v>
      </c>
      <c r="AT126" s="45" t="s">
        <v>2513</v>
      </c>
      <c r="AU126" s="44">
        <v>264.1</v>
      </c>
      <c r="AV126" s="35"/>
      <c r="AW126" s="43" t="s">
        <v>2513</v>
      </c>
      <c r="AX126" s="44">
        <v>264.1</v>
      </c>
      <c r="AZ126" s="128" t="s">
        <v>2700</v>
      </c>
      <c r="BA126" s="106">
        <v>6.077</v>
      </c>
      <c r="BB126" s="1" t="s">
        <v>430</v>
      </c>
    </row>
    <row r="127" spans="2:54">
      <c r="B127" t="s">
        <v>2571</v>
      </c>
      <c r="C127">
        <v>1</v>
      </c>
      <c r="D127" s="1" t="str">
        <f>VLOOKUP(B:B,'7店'!$B:$B,1,0)</f>
        <v>Y7053-DB+Y7057+Y7061</v>
      </c>
      <c r="E127" t="s">
        <v>2463</v>
      </c>
      <c r="F127">
        <v>1</v>
      </c>
      <c r="G127" s="1" t="str">
        <f>VLOOKUP(E:E,'7店'!$B:$B,1,0)</f>
        <v>Y73821-BU-ZH</v>
      </c>
      <c r="H127" t="s">
        <v>2569</v>
      </c>
      <c r="I127">
        <v>1</v>
      </c>
      <c r="J127" s="1" t="str">
        <f>VLOOKUP(H:H,'7店'!$B:$B,1,0)</f>
        <v>Y7053-BU+Y7057+Y7061</v>
      </c>
      <c r="T127"/>
      <c r="U127"/>
      <c r="V127"/>
      <c r="W127"/>
      <c r="X127"/>
      <c r="Y127"/>
      <c r="Z127"/>
      <c r="AA127"/>
      <c r="AC127" t="s">
        <v>2587</v>
      </c>
      <c r="AD127">
        <v>291</v>
      </c>
      <c r="AE127">
        <v>6</v>
      </c>
      <c r="AF127">
        <v>3.71</v>
      </c>
      <c r="AG127">
        <v>25.98</v>
      </c>
      <c r="AH127">
        <v>2</v>
      </c>
      <c r="AI127" s="31">
        <v>0.142802155504234</v>
      </c>
      <c r="AJ127" s="31">
        <v>0.333333333333333</v>
      </c>
      <c r="AK127" s="1" t="str">
        <f>VLOOKUP(AC:AC,'7店'!$B:$B,1,0)</f>
        <v>Y7066-BU+Y7067+Y7068</v>
      </c>
      <c r="AL127" s="29" t="s">
        <v>2573</v>
      </c>
      <c r="AM127" s="107">
        <v>25.99</v>
      </c>
      <c r="AN127" s="1">
        <f t="shared" si="8"/>
        <v>127.351</v>
      </c>
      <c r="AP127" s="29" t="s">
        <v>2223</v>
      </c>
      <c r="AQ127" s="33">
        <v>12.99</v>
      </c>
      <c r="AR127" s="1">
        <f t="shared" si="6"/>
        <v>88.9815</v>
      </c>
      <c r="AT127" s="45" t="s">
        <v>2460</v>
      </c>
      <c r="AU127" s="44">
        <v>250.2</v>
      </c>
      <c r="AV127" s="35"/>
      <c r="AW127" s="43" t="s">
        <v>2460</v>
      </c>
      <c r="AX127" s="44">
        <v>250.2</v>
      </c>
      <c r="AZ127" s="128" t="s">
        <v>2345</v>
      </c>
      <c r="BA127" s="106">
        <v>5.716</v>
      </c>
      <c r="BB127" s="1" t="s">
        <v>430</v>
      </c>
    </row>
    <row r="128" spans="2:54">
      <c r="B128" t="s">
        <v>2567</v>
      </c>
      <c r="C128">
        <v>1</v>
      </c>
      <c r="D128" s="1" t="str">
        <f>VLOOKUP(B:B,'7店'!$B:$B,1,0)</f>
        <v>Y7053-BL+Y7057+Y7061</v>
      </c>
      <c r="E128" t="s">
        <v>2623</v>
      </c>
      <c r="F128">
        <v>6</v>
      </c>
      <c r="G128" s="1" t="str">
        <f>VLOOKUP(E:E,'7店'!$B:$B,1,0)</f>
        <v>Y7072-GE+Y7073+Y7074</v>
      </c>
      <c r="H128" t="s">
        <v>2504</v>
      </c>
      <c r="I128">
        <v>1</v>
      </c>
      <c r="J128" s="1" t="str">
        <f>VLOOKUP(H:H,'7店'!$B:$B,1,0)</f>
        <v>Y7045-BU+Y7046+Y7047</v>
      </c>
      <c r="AC128" t="s">
        <v>2511</v>
      </c>
      <c r="AD128">
        <v>1</v>
      </c>
      <c r="AE128">
        <v>0</v>
      </c>
      <c r="AF128">
        <v>0</v>
      </c>
      <c r="AG128">
        <v>0</v>
      </c>
      <c r="AH128">
        <v>0</v>
      </c>
      <c r="AI128" s="31">
        <v>0</v>
      </c>
      <c r="AJ128" s="31">
        <v>0</v>
      </c>
      <c r="AK128" s="1" t="str">
        <f>VLOOKUP(AC:AC,'7店'!$B:$B,1,0)</f>
        <v>Y7048-DB+Y7049+Y7050</v>
      </c>
      <c r="AL128" s="29" t="s">
        <v>2565</v>
      </c>
      <c r="AM128" s="107">
        <v>25.99</v>
      </c>
      <c r="AN128" s="1">
        <f t="shared" si="8"/>
        <v>127.351</v>
      </c>
      <c r="AP128" s="29" t="s">
        <v>2291</v>
      </c>
      <c r="AQ128" s="33">
        <v>12.99</v>
      </c>
      <c r="AR128" s="1">
        <f t="shared" si="6"/>
        <v>88.9815</v>
      </c>
      <c r="AT128" s="45" t="s">
        <v>2739</v>
      </c>
      <c r="AU128" s="44">
        <v>0</v>
      </c>
      <c r="AV128" s="35"/>
      <c r="AW128" s="43" t="s">
        <v>2739</v>
      </c>
      <c r="AX128" s="44">
        <v>13.9</v>
      </c>
      <c r="AZ128" s="128" t="s">
        <v>2708</v>
      </c>
      <c r="BA128" s="106">
        <v>6.121</v>
      </c>
      <c r="BB128" s="1" t="s">
        <v>430</v>
      </c>
    </row>
    <row r="129" spans="2:54">
      <c r="B129" t="s">
        <v>2507</v>
      </c>
      <c r="C129">
        <v>1</v>
      </c>
      <c r="D129" s="1" t="str">
        <f>VLOOKUP(B:B,'7店'!$B:$B,1,0)</f>
        <v>Y7045-OR+Y7046+Y7047</v>
      </c>
      <c r="E129" t="s">
        <v>2428</v>
      </c>
      <c r="F129">
        <v>3</v>
      </c>
      <c r="G129" s="1" t="str">
        <f>VLOOKUP(E:E,'7店'!$B:$B,1,0)</f>
        <v>Y72000-BL+Y72013+Y72749</v>
      </c>
      <c r="H129" t="s">
        <v>2223</v>
      </c>
      <c r="I129">
        <v>3</v>
      </c>
      <c r="J129" s="1" t="str">
        <f>VLOOKUP(H:H,'7店'!$B:$B,1,0)</f>
        <v>Y73040-OR+Y73045+Y73063</v>
      </c>
      <c r="AC129" t="s">
        <v>439</v>
      </c>
      <c r="AD129">
        <v>811288</v>
      </c>
      <c r="AE129">
        <v>8443</v>
      </c>
      <c r="AF129">
        <v>3658.18</v>
      </c>
      <c r="AG129">
        <v>13936.68</v>
      </c>
      <c r="AH129">
        <v>1025</v>
      </c>
      <c r="AI129" s="31">
        <v>0.26248575700956</v>
      </c>
      <c r="AJ129" s="31">
        <v>0.121402345137984</v>
      </c>
      <c r="AL129" s="29" t="s">
        <v>2567</v>
      </c>
      <c r="AM129" s="107">
        <v>25.99</v>
      </c>
      <c r="AN129" s="1">
        <f t="shared" si="8"/>
        <v>127.351</v>
      </c>
      <c r="AP129" s="29" t="s">
        <v>2309</v>
      </c>
      <c r="AQ129" s="33">
        <v>12.99</v>
      </c>
      <c r="AR129" s="1">
        <f t="shared" si="6"/>
        <v>88.9815</v>
      </c>
      <c r="AT129" s="45" t="s">
        <v>2463</v>
      </c>
      <c r="AU129" s="44">
        <v>83.4</v>
      </c>
      <c r="AV129" s="35"/>
      <c r="AW129" s="43" t="s">
        <v>2463</v>
      </c>
      <c r="AX129" s="44">
        <v>83.4</v>
      </c>
      <c r="AZ129" s="128" t="s">
        <v>2740</v>
      </c>
      <c r="BA129" s="106">
        <v>6.077</v>
      </c>
      <c r="BB129" s="1" t="s">
        <v>430</v>
      </c>
    </row>
    <row r="130" spans="2:54">
      <c r="B130" t="s">
        <v>439</v>
      </c>
      <c r="C130">
        <v>854</v>
      </c>
      <c r="E130" t="s">
        <v>2698</v>
      </c>
      <c r="F130">
        <v>9</v>
      </c>
      <c r="G130" s="1" t="e">
        <f>VLOOKUP(E:E,'7店'!$B:$B,1,0)</f>
        <v>#N/A</v>
      </c>
      <c r="H130" t="s">
        <v>2494</v>
      </c>
      <c r="I130">
        <v>3</v>
      </c>
      <c r="J130" s="1" t="str">
        <f>VLOOKUP(H:H,'7店'!$B:$B,1,0)</f>
        <v>Y72055-OR+Y72058+Y72741</v>
      </c>
      <c r="AC130"/>
      <c r="AD130"/>
      <c r="AE130"/>
      <c r="AF130"/>
      <c r="AG130"/>
      <c r="AH130"/>
      <c r="AI130"/>
      <c r="AJ130"/>
      <c r="AL130" s="29" t="s">
        <v>2507</v>
      </c>
      <c r="AM130" s="107">
        <v>25.99</v>
      </c>
      <c r="AN130" s="1">
        <f t="shared" si="8"/>
        <v>127.351</v>
      </c>
      <c r="AP130" s="29" t="s">
        <v>2306</v>
      </c>
      <c r="AQ130" s="33">
        <v>12.99</v>
      </c>
      <c r="AR130" s="1">
        <f t="shared" si="6"/>
        <v>88.9815</v>
      </c>
      <c r="AT130" s="45" t="s">
        <v>2466</v>
      </c>
      <c r="AU130" s="44">
        <v>41.7</v>
      </c>
      <c r="AV130" s="35"/>
      <c r="AW130" s="43" t="s">
        <v>2466</v>
      </c>
      <c r="AX130" s="44">
        <v>97.3</v>
      </c>
      <c r="AZ130" s="128" t="s">
        <v>2741</v>
      </c>
      <c r="BA130" s="106">
        <v>2.14</v>
      </c>
      <c r="BB130" s="1" t="s">
        <v>430</v>
      </c>
    </row>
    <row r="131" spans="2:54">
      <c r="B131"/>
      <c r="C131"/>
      <c r="E131" t="s">
        <v>2724</v>
      </c>
      <c r="F131">
        <v>2</v>
      </c>
      <c r="G131" s="1" t="e">
        <f>VLOOKUP(E:E,'7店'!$B:$B,1,0)</f>
        <v>#N/A</v>
      </c>
      <c r="H131" t="s">
        <v>2724</v>
      </c>
      <c r="I131">
        <v>2</v>
      </c>
      <c r="J131" s="1" t="e">
        <f>VLOOKUP(H:H,'7店'!$B:$B,1,0)</f>
        <v>#N/A</v>
      </c>
      <c r="AL131" s="29" t="s">
        <v>2502</v>
      </c>
      <c r="AM131" s="107">
        <v>25.99</v>
      </c>
      <c r="AN131" s="1">
        <f t="shared" si="8"/>
        <v>127.351</v>
      </c>
      <c r="AP131" s="29" t="s">
        <v>2700</v>
      </c>
      <c r="AQ131" s="33">
        <v>12.99</v>
      </c>
      <c r="AR131" s="1">
        <f t="shared" si="6"/>
        <v>88.9815</v>
      </c>
      <c r="AT131" s="45" t="s">
        <v>2469</v>
      </c>
      <c r="AU131" s="44">
        <v>83.4</v>
      </c>
      <c r="AV131" s="35"/>
      <c r="AW131" s="43" t="s">
        <v>2469</v>
      </c>
      <c r="AX131" s="44">
        <v>125.1</v>
      </c>
      <c r="AZ131" s="128" t="s">
        <v>2742</v>
      </c>
      <c r="BA131" s="106">
        <v>2.08</v>
      </c>
      <c r="BB131" s="1" t="s">
        <v>430</v>
      </c>
    </row>
    <row r="132" spans="2:54">
      <c r="B132"/>
      <c r="C132"/>
      <c r="E132" t="s">
        <v>2733</v>
      </c>
      <c r="F132">
        <v>2</v>
      </c>
      <c r="G132" s="1" t="e">
        <f>VLOOKUP(E:E,'7店'!$B:$B,1,0)</f>
        <v>#N/A</v>
      </c>
      <c r="H132" t="s">
        <v>2256</v>
      </c>
      <c r="I132">
        <v>3</v>
      </c>
      <c r="J132" s="1" t="str">
        <f>VLOOKUP(H:H,'7店'!$B:$B,1,0)</f>
        <v>Y73473-DB+Y72614+Y73476</v>
      </c>
      <c r="AL132" s="29" t="s">
        <v>2665</v>
      </c>
      <c r="AM132" s="107">
        <v>21.45</v>
      </c>
      <c r="AN132" s="1">
        <f t="shared" si="8"/>
        <v>105.105</v>
      </c>
      <c r="AP132" s="29" t="s">
        <v>2345</v>
      </c>
      <c r="AQ132" s="33">
        <v>12.99</v>
      </c>
      <c r="AR132" s="1">
        <f t="shared" si="6"/>
        <v>88.9815</v>
      </c>
      <c r="AT132" s="45" t="s">
        <v>2472</v>
      </c>
      <c r="AU132" s="44">
        <v>278</v>
      </c>
      <c r="AV132" s="35"/>
      <c r="AW132" s="43" t="s">
        <v>2472</v>
      </c>
      <c r="AX132" s="44">
        <v>375.3</v>
      </c>
      <c r="AZ132" s="128" t="s">
        <v>2154</v>
      </c>
      <c r="BA132" s="106">
        <v>2.908</v>
      </c>
      <c r="BB132" s="1" t="s">
        <v>430</v>
      </c>
    </row>
    <row r="133" spans="2:54">
      <c r="B133"/>
      <c r="C133"/>
      <c r="E133" t="s">
        <v>2671</v>
      </c>
      <c r="F133">
        <v>11</v>
      </c>
      <c r="G133" s="1" t="str">
        <f>VLOOKUP(E:E,'7店'!$B:$B,1,0)</f>
        <v>Y7086-OR+Y7087</v>
      </c>
      <c r="H133" t="s">
        <v>2516</v>
      </c>
      <c r="I133">
        <v>1</v>
      </c>
      <c r="J133" s="1" t="str">
        <f>VLOOKUP(H:H,'7店'!$B:$B,1,0)</f>
        <v>Y72431-DB+Y72433+Y72531</v>
      </c>
      <c r="AN133" s="1">
        <f t="shared" si="8"/>
        <v>0</v>
      </c>
      <c r="AP133" s="29" t="s">
        <v>2423</v>
      </c>
      <c r="AQ133" s="33">
        <v>12.99</v>
      </c>
      <c r="AR133" s="1">
        <f>AQ133*$AS$1</f>
        <v>88.9815</v>
      </c>
      <c r="AT133" s="45" t="s">
        <v>2475</v>
      </c>
      <c r="AU133" s="44">
        <v>583.8</v>
      </c>
      <c r="AV133" s="35"/>
      <c r="AW133" s="43" t="s">
        <v>2475</v>
      </c>
      <c r="AX133" s="44">
        <v>569.9</v>
      </c>
      <c r="AZ133" s="128" t="s">
        <v>2157</v>
      </c>
      <c r="BA133" s="106">
        <v>6.135</v>
      </c>
      <c r="BB133" s="1" t="s">
        <v>430</v>
      </c>
    </row>
    <row r="134" spans="2:54">
      <c r="B134"/>
      <c r="C134"/>
      <c r="E134" t="s">
        <v>2516</v>
      </c>
      <c r="F134">
        <v>1</v>
      </c>
      <c r="G134" s="1" t="str">
        <f>VLOOKUP(E:E,'7店'!$B:$B,1,0)</f>
        <v>Y72431-DB+Y72433+Y72531</v>
      </c>
      <c r="H134" t="s">
        <v>2415</v>
      </c>
      <c r="I134">
        <v>2</v>
      </c>
      <c r="J134" s="1" t="str">
        <f>VLOOKUP(H:H,'7店'!$B:$B,1,0)</f>
        <v>Y73133-OR+Y73136+Y73267</v>
      </c>
      <c r="AN134" s="1">
        <f t="shared" ref="AN128:AN140" si="9">AM134*4.9</f>
        <v>0</v>
      </c>
      <c r="AP134" s="29" t="s">
        <v>2409</v>
      </c>
      <c r="AQ134" s="33">
        <v>10.99</v>
      </c>
      <c r="AR134" s="1">
        <f>AQ134*$AS$1</f>
        <v>75.2815</v>
      </c>
      <c r="AT134" s="45" t="s">
        <v>2477</v>
      </c>
      <c r="AU134" s="44">
        <v>597.7</v>
      </c>
      <c r="AV134" s="35"/>
      <c r="AW134" s="43" t="s">
        <v>2477</v>
      </c>
      <c r="AX134" s="44">
        <v>653.3</v>
      </c>
      <c r="AZ134" s="128" t="s">
        <v>2159</v>
      </c>
      <c r="BA134" s="106">
        <v>2.5</v>
      </c>
      <c r="BB134" s="1" t="s">
        <v>430</v>
      </c>
    </row>
    <row r="135" spans="2:54">
      <c r="B135"/>
      <c r="C135"/>
      <c r="E135" t="s">
        <v>2252</v>
      </c>
      <c r="F135">
        <v>1</v>
      </c>
      <c r="G135" s="1" t="str">
        <f>VLOOKUP(E:E,'7店'!$B:$B,1,0)</f>
        <v>Y73405-BL+Y73406+Y73397</v>
      </c>
      <c r="H135" t="s">
        <v>2629</v>
      </c>
      <c r="I135">
        <v>220</v>
      </c>
      <c r="J135" s="1" t="str">
        <f>VLOOKUP(H:H,'7店'!$B:$B,1,0)</f>
        <v>Y7075-BL+Y7076+Y7077</v>
      </c>
      <c r="AN135" s="1">
        <f t="shared" si="9"/>
        <v>0</v>
      </c>
      <c r="AP135" s="29" t="s">
        <v>2425</v>
      </c>
      <c r="AQ135" s="33">
        <v>18.99</v>
      </c>
      <c r="AR135" s="1">
        <f>AQ135*$AS$1</f>
        <v>130.0815</v>
      </c>
      <c r="AT135" s="45" t="s">
        <v>2479</v>
      </c>
      <c r="AU135" s="44">
        <v>611.6</v>
      </c>
      <c r="AW135" s="43" t="s">
        <v>2479</v>
      </c>
      <c r="AX135" s="44">
        <v>625.5</v>
      </c>
      <c r="AZ135" s="128" t="s">
        <v>2276</v>
      </c>
      <c r="BA135" s="106">
        <v>2.951</v>
      </c>
      <c r="BB135" s="1" t="s">
        <v>430</v>
      </c>
    </row>
    <row r="136" spans="2:54">
      <c r="B136"/>
      <c r="C136"/>
      <c r="E136" t="s">
        <v>2214</v>
      </c>
      <c r="F136">
        <v>2</v>
      </c>
      <c r="G136" s="1" t="str">
        <f>VLOOKUP(E:E,'7店'!$B:$B,1,0)</f>
        <v>Y73230-OR+Y73231+Y73240</v>
      </c>
      <c r="H136" t="s">
        <v>2632</v>
      </c>
      <c r="I136">
        <v>55</v>
      </c>
      <c r="J136" s="1" t="str">
        <f>VLOOKUP(H:H,'7店'!$B:$B,1,0)</f>
        <v>Y7075-BU+Y7076+Y7077</v>
      </c>
      <c r="AN136" s="1">
        <f t="shared" si="9"/>
        <v>0</v>
      </c>
      <c r="AP136" s="29" t="s">
        <v>2702</v>
      </c>
      <c r="AQ136" s="33">
        <v>12.66</v>
      </c>
      <c r="AR136" s="1">
        <f>AQ136*$AS$1</f>
        <v>86.721</v>
      </c>
      <c r="AT136" s="45" t="s">
        <v>2481</v>
      </c>
      <c r="AU136" s="44">
        <v>1098.1</v>
      </c>
      <c r="AW136" s="43" t="s">
        <v>2481</v>
      </c>
      <c r="AX136" s="44">
        <v>1334.4</v>
      </c>
      <c r="AZ136" s="128" t="s">
        <v>2279</v>
      </c>
      <c r="BA136" s="106">
        <v>2.707</v>
      </c>
      <c r="BB136" s="1" t="s">
        <v>430</v>
      </c>
    </row>
    <row r="137" spans="2:54">
      <c r="B137"/>
      <c r="C137"/>
      <c r="E137" t="s">
        <v>2412</v>
      </c>
      <c r="F137">
        <v>2</v>
      </c>
      <c r="G137" s="1" t="str">
        <f>VLOOKUP(E:E,'7店'!$B:$B,1,0)</f>
        <v>Y73133-DB+Y73136+Y73267</v>
      </c>
      <c r="H137" t="s">
        <v>2611</v>
      </c>
      <c r="I137">
        <v>41</v>
      </c>
      <c r="J137" s="1" t="str">
        <f>VLOOKUP(H:H,'7店'!$B:$B,1,0)</f>
        <v>Y7069-OR+Y7070+Y7071</v>
      </c>
      <c r="AN137" s="1">
        <f t="shared" si="9"/>
        <v>0</v>
      </c>
      <c r="AP137" s="29" t="s">
        <v>2448</v>
      </c>
      <c r="AQ137" s="33">
        <v>12.99</v>
      </c>
      <c r="AR137" s="1">
        <f>AQ137*$AS$1</f>
        <v>88.9815</v>
      </c>
      <c r="AT137" s="45" t="s">
        <v>2484</v>
      </c>
      <c r="AU137" s="44">
        <v>375.3</v>
      </c>
      <c r="AW137" s="43" t="s">
        <v>2484</v>
      </c>
      <c r="AX137" s="44">
        <v>208.5</v>
      </c>
      <c r="AZ137" s="128" t="s">
        <v>2342</v>
      </c>
      <c r="BA137" s="106">
        <v>2.809</v>
      </c>
      <c r="BB137" s="1" t="s">
        <v>430</v>
      </c>
    </row>
    <row r="138" spans="2:54">
      <c r="B138"/>
      <c r="C138"/>
      <c r="E138" t="s">
        <v>2596</v>
      </c>
      <c r="F138">
        <v>4</v>
      </c>
      <c r="G138" s="1" t="str">
        <f>VLOOKUP(E:E,'7店'!$B:$B,1,0)</f>
        <v>Y7066-OR+Y7067+Y7068</v>
      </c>
      <c r="H138" t="s">
        <v>2635</v>
      </c>
      <c r="I138">
        <v>27</v>
      </c>
      <c r="J138" s="1" t="str">
        <f>VLOOKUP(H:H,'7店'!$B:$B,1,0)</f>
        <v>Y7075-DB+Y7076+Y7077</v>
      </c>
      <c r="AN138" s="1">
        <f t="shared" si="9"/>
        <v>0</v>
      </c>
      <c r="AP138" s="29" t="s">
        <v>2460</v>
      </c>
      <c r="AQ138" s="33">
        <v>12.99</v>
      </c>
      <c r="AR138" s="1">
        <f>AQ138*$AS$1</f>
        <v>88.9815</v>
      </c>
      <c r="AT138" s="45" t="s">
        <v>2486</v>
      </c>
      <c r="AU138" s="44">
        <v>361.4</v>
      </c>
      <c r="AW138" s="43" t="s">
        <v>2486</v>
      </c>
      <c r="AX138" s="44">
        <v>389.2</v>
      </c>
      <c r="AZ138" s="128" t="s">
        <v>2743</v>
      </c>
      <c r="BA138" s="106">
        <v>6.645</v>
      </c>
      <c r="BB138" s="1" t="s">
        <v>430</v>
      </c>
    </row>
    <row r="139" spans="2:54">
      <c r="B139"/>
      <c r="C139"/>
      <c r="E139" t="s">
        <v>2593</v>
      </c>
      <c r="F139">
        <v>3</v>
      </c>
      <c r="G139" s="1" t="str">
        <f>VLOOKUP(E:E,'7店'!$B:$B,1,0)</f>
        <v>Y7066-GE+Y7067+Y7068</v>
      </c>
      <c r="H139" t="s">
        <v>2641</v>
      </c>
      <c r="I139">
        <v>35</v>
      </c>
      <c r="J139" s="1" t="str">
        <f>VLOOKUP(H:H,'7店'!$B:$B,1,0)</f>
        <v>Y7075-OR+Y7076+Y7077</v>
      </c>
      <c r="AN139" s="1">
        <f t="shared" si="9"/>
        <v>0</v>
      </c>
      <c r="AP139" s="29" t="s">
        <v>2463</v>
      </c>
      <c r="AQ139" s="33">
        <v>12.99</v>
      </c>
      <c r="AR139" s="1">
        <f>AQ139*$AS$1</f>
        <v>88.9815</v>
      </c>
      <c r="AT139" s="45" t="s">
        <v>2489</v>
      </c>
      <c r="AU139" s="44">
        <v>305.8</v>
      </c>
      <c r="AW139" s="45" t="s">
        <v>2489</v>
      </c>
      <c r="AX139" s="44">
        <v>444.8</v>
      </c>
      <c r="AZ139" s="128" t="s">
        <v>2348</v>
      </c>
      <c r="BA139" s="106">
        <v>2.809</v>
      </c>
      <c r="BB139" s="1" t="s">
        <v>430</v>
      </c>
    </row>
    <row r="140" spans="5:54">
      <c r="E140" t="s">
        <v>2590</v>
      </c>
      <c r="F140">
        <v>2</v>
      </c>
      <c r="G140" s="1" t="str">
        <f>VLOOKUP(E:E,'7店'!$B:$B,1,0)</f>
        <v>Y7066-DB+Y7067+Y7068</v>
      </c>
      <c r="H140" t="s">
        <v>2599</v>
      </c>
      <c r="I140">
        <v>104</v>
      </c>
      <c r="J140" s="1" t="str">
        <f>VLOOKUP(H:H,'7店'!$B:$B,1,0)</f>
        <v>Y7069-BL+Y7070+Y7071</v>
      </c>
      <c r="AN140" s="1">
        <f t="shared" si="9"/>
        <v>0</v>
      </c>
      <c r="AP140" s="29" t="s">
        <v>2730</v>
      </c>
      <c r="AQ140" s="33">
        <v>12.99</v>
      </c>
      <c r="AR140" s="1">
        <f>AQ140*$AS$1</f>
        <v>88.9815</v>
      </c>
      <c r="AT140" s="45" t="s">
        <v>2451</v>
      </c>
      <c r="AU140" s="44">
        <v>139</v>
      </c>
      <c r="AW140" s="45" t="s">
        <v>2494</v>
      </c>
      <c r="AX140" s="44">
        <v>69.5</v>
      </c>
      <c r="AZ140" s="128" t="s">
        <v>2744</v>
      </c>
      <c r="BA140" s="106">
        <v>2.177</v>
      </c>
      <c r="BB140" s="1" t="s">
        <v>430</v>
      </c>
    </row>
    <row r="141" spans="5:54">
      <c r="E141" t="s">
        <v>2662</v>
      </c>
      <c r="F141">
        <v>9</v>
      </c>
      <c r="G141" s="1" t="str">
        <f>VLOOKUP(E:E,'7店'!$B:$B,1,0)</f>
        <v>Y7086-BU+Y7087</v>
      </c>
      <c r="H141" t="s">
        <v>2638</v>
      </c>
      <c r="I141">
        <v>17</v>
      </c>
      <c r="J141" s="1" t="str">
        <f>VLOOKUP(H:H,'7店'!$B:$B,1,0)</f>
        <v>Y7075-GE+Y7076+Y7077</v>
      </c>
      <c r="AN141" s="1">
        <f t="shared" ref="AN135:AN148" si="10">AM141*$AS$1</f>
        <v>0</v>
      </c>
      <c r="AP141" s="29" t="s">
        <v>2479</v>
      </c>
      <c r="AQ141" s="33">
        <v>12.66</v>
      </c>
      <c r="AR141" s="1">
        <f>AQ141*$AS$1</f>
        <v>86.721</v>
      </c>
      <c r="AT141" s="45" t="s">
        <v>2491</v>
      </c>
      <c r="AU141" s="44">
        <v>139</v>
      </c>
      <c r="AW141" s="45" t="s">
        <v>2497</v>
      </c>
      <c r="AX141" s="44">
        <v>1000.8</v>
      </c>
      <c r="AZ141" s="128" t="s">
        <v>2745</v>
      </c>
      <c r="BA141" s="106">
        <v>1.818</v>
      </c>
      <c r="BB141" s="1" t="s">
        <v>430</v>
      </c>
    </row>
    <row r="142" spans="5:54">
      <c r="E142" t="s">
        <v>2665</v>
      </c>
      <c r="F142">
        <v>5</v>
      </c>
      <c r="G142" s="1" t="str">
        <f>VLOOKUP(E:E,'7店'!$B:$B,1,0)</f>
        <v>Y7086-DB+Y7087</v>
      </c>
      <c r="H142" t="s">
        <v>2602</v>
      </c>
      <c r="I142">
        <v>38</v>
      </c>
      <c r="J142" s="1" t="str">
        <f>VLOOKUP(H:H,'7店'!$B:$B,1,0)</f>
        <v>Y7069-BU+Y7070+Y7071</v>
      </c>
      <c r="AN142" s="1">
        <f t="shared" si="10"/>
        <v>0</v>
      </c>
      <c r="AP142" s="29" t="s">
        <v>2484</v>
      </c>
      <c r="AQ142" s="33">
        <v>12.99</v>
      </c>
      <c r="AR142" s="1">
        <f>AQ142*$AS$1</f>
        <v>88.9815</v>
      </c>
      <c r="AT142" s="45" t="s">
        <v>2494</v>
      </c>
      <c r="AU142" s="44">
        <v>41.7</v>
      </c>
      <c r="AW142" s="45" t="s">
        <v>2499</v>
      </c>
      <c r="AX142" s="44">
        <v>695</v>
      </c>
      <c r="AZ142" s="128" t="s">
        <v>2746</v>
      </c>
      <c r="BA142" s="106">
        <v>5.26</v>
      </c>
      <c r="BB142" s="1" t="s">
        <v>430</v>
      </c>
    </row>
    <row r="143" spans="5:54">
      <c r="E143" t="s">
        <v>2505</v>
      </c>
      <c r="F143">
        <v>1</v>
      </c>
      <c r="G143" s="1" t="str">
        <f>VLOOKUP(E:E,'7店'!$B:$B,1,0)</f>
        <v>Y7045-DB+Y7046+Y7047</v>
      </c>
      <c r="H143" t="s">
        <v>2614</v>
      </c>
      <c r="I143">
        <v>93</v>
      </c>
      <c r="J143" s="1" t="str">
        <f>VLOOKUP(H:H,'7店'!$B:$B,1,0)</f>
        <v>Y7072-BL+Y7073+Y7074</v>
      </c>
      <c r="AN143" s="1">
        <f t="shared" si="10"/>
        <v>0</v>
      </c>
      <c r="AP143" s="29" t="s">
        <v>2580</v>
      </c>
      <c r="AQ143" s="33">
        <v>12.99</v>
      </c>
      <c r="AR143" s="1">
        <f>AQ143*$AS$1</f>
        <v>88.9815</v>
      </c>
      <c r="AT143" s="45" t="s">
        <v>2497</v>
      </c>
      <c r="AU143" s="44">
        <v>986.9</v>
      </c>
      <c r="AW143" s="45" t="s">
        <v>2500</v>
      </c>
      <c r="AX143" s="44">
        <v>695</v>
      </c>
      <c r="AZ143" s="128" t="s">
        <v>2688</v>
      </c>
      <c r="BA143" s="106">
        <v>5.877</v>
      </c>
      <c r="BB143" s="1" t="s">
        <v>430</v>
      </c>
    </row>
    <row r="144" spans="5:54">
      <c r="E144" t="s">
        <v>2659</v>
      </c>
      <c r="F144">
        <v>13</v>
      </c>
      <c r="G144" s="1" t="str">
        <f>VLOOKUP(E:E,'7店'!$B:$B,1,0)</f>
        <v>Y7086-BL+Y7087</v>
      </c>
      <c r="H144" t="s">
        <v>2605</v>
      </c>
      <c r="I144">
        <v>14</v>
      </c>
      <c r="J144" s="1" t="str">
        <f>VLOOKUP(H:H,'7店'!$B:$B,1,0)</f>
        <v>Y7069-DB+Y7070+Y7071</v>
      </c>
      <c r="AN144" s="1">
        <f t="shared" si="10"/>
        <v>0</v>
      </c>
      <c r="AP144" s="29" t="s">
        <v>2626</v>
      </c>
      <c r="AQ144" s="33">
        <v>12.99</v>
      </c>
      <c r="AR144" s="1">
        <f>AQ144*$AS$1</f>
        <v>88.9815</v>
      </c>
      <c r="AT144" s="45" t="s">
        <v>2499</v>
      </c>
      <c r="AU144" s="44">
        <v>695</v>
      </c>
      <c r="AW144" s="45" t="s">
        <v>2501</v>
      </c>
      <c r="AX144" s="44">
        <v>639.4</v>
      </c>
      <c r="AZ144" s="128" t="s">
        <v>2697</v>
      </c>
      <c r="BA144" s="106">
        <v>5.446</v>
      </c>
      <c r="BB144" s="1" t="s">
        <v>430</v>
      </c>
    </row>
    <row r="145" spans="5:54">
      <c r="E145" t="s">
        <v>2656</v>
      </c>
      <c r="F145">
        <v>4</v>
      </c>
      <c r="G145" s="1" t="str">
        <f>VLOOKUP(E:E,'7店'!$B:$B,1,0)</f>
        <v>Y7084-OR+Y7085</v>
      </c>
      <c r="H145" t="s">
        <v>2626</v>
      </c>
      <c r="I145">
        <v>37</v>
      </c>
      <c r="J145" s="1" t="str">
        <f>VLOOKUP(H:H,'7店'!$B:$B,1,0)</f>
        <v>Y7072-OR+Y7073+Y7074</v>
      </c>
      <c r="AN145" s="1">
        <f t="shared" si="10"/>
        <v>0</v>
      </c>
      <c r="AP145" s="29" t="s">
        <v>2647</v>
      </c>
      <c r="AQ145" s="33">
        <v>12.99</v>
      </c>
      <c r="AR145" s="1">
        <f>AQ145*$AS$1</f>
        <v>88.9815</v>
      </c>
      <c r="AT145" s="45" t="s">
        <v>2500</v>
      </c>
      <c r="AU145" s="44">
        <v>695</v>
      </c>
      <c r="AW145" s="45" t="s">
        <v>2502</v>
      </c>
      <c r="AX145" s="44">
        <v>69.5</v>
      </c>
      <c r="AZ145" s="128" t="s">
        <v>2256</v>
      </c>
      <c r="BA145" s="106">
        <v>5.26</v>
      </c>
      <c r="BB145" s="1" t="s">
        <v>430</v>
      </c>
    </row>
    <row r="146" spans="5:54">
      <c r="E146" t="s">
        <v>2668</v>
      </c>
      <c r="F146">
        <v>4</v>
      </c>
      <c r="G146" s="1" t="str">
        <f>VLOOKUP(E:E,'7店'!$B:$B,1,0)</f>
        <v>Y7086-GE+Y7087</v>
      </c>
      <c r="H146" t="s">
        <v>2747</v>
      </c>
      <c r="I146">
        <v>3</v>
      </c>
      <c r="J146" s="1" t="e">
        <f>VLOOKUP(H:H,'7店'!$B:$B,1,0)</f>
        <v>#N/A</v>
      </c>
      <c r="AN146" s="1">
        <f t="shared" si="10"/>
        <v>0</v>
      </c>
      <c r="AP146" s="29" t="s">
        <v>2559</v>
      </c>
      <c r="AQ146" s="107">
        <v>181.93</v>
      </c>
      <c r="AR146" s="1">
        <f>AQ146*4.9</f>
        <v>891.457</v>
      </c>
      <c r="AT146" s="45" t="s">
        <v>2501</v>
      </c>
      <c r="AU146" s="44">
        <v>639.4</v>
      </c>
      <c r="AW146" s="45" t="s">
        <v>2504</v>
      </c>
      <c r="AX146" s="44">
        <v>319.7</v>
      </c>
      <c r="AZ146" s="128" t="s">
        <v>2259</v>
      </c>
      <c r="BA146" s="106">
        <v>4.999</v>
      </c>
      <c r="BB146" s="1" t="s">
        <v>430</v>
      </c>
    </row>
    <row r="147" spans="5:54">
      <c r="E147" t="s">
        <v>2519</v>
      </c>
      <c r="F147">
        <v>3</v>
      </c>
      <c r="G147" s="1" t="str">
        <f>VLOOKUP(E:E,'7店'!$B:$B,1,0)</f>
        <v>Y72431-OR+Y72433+Y72531</v>
      </c>
      <c r="H147" t="s">
        <v>2620</v>
      </c>
      <c r="I147">
        <v>29</v>
      </c>
      <c r="J147" s="1" t="str">
        <f>VLOOKUP(H:H,'7店'!$B:$B,1,0)</f>
        <v>Y7072-DB+Y7073+Y7074</v>
      </c>
      <c r="AN147" s="1">
        <f t="shared" si="10"/>
        <v>0</v>
      </c>
      <c r="AP147" s="29" t="s">
        <v>2565</v>
      </c>
      <c r="AQ147" s="107">
        <v>129.95</v>
      </c>
      <c r="AR147" s="1">
        <f t="shared" ref="AR147:AR174" si="11">AQ147*4.9</f>
        <v>636.755</v>
      </c>
      <c r="AT147" s="45" t="s">
        <v>2502</v>
      </c>
      <c r="AU147" s="44">
        <v>55.6</v>
      </c>
      <c r="AW147" s="45" t="s">
        <v>2505</v>
      </c>
      <c r="AX147" s="44">
        <v>333.6</v>
      </c>
      <c r="AZ147" s="128" t="s">
        <v>2262</v>
      </c>
      <c r="BA147" s="106">
        <v>3.33</v>
      </c>
      <c r="BB147" s="1" t="s">
        <v>430</v>
      </c>
    </row>
    <row r="148" spans="5:54">
      <c r="E148" t="s">
        <v>2584</v>
      </c>
      <c r="F148">
        <v>2</v>
      </c>
      <c r="G148" s="1" t="str">
        <f>VLOOKUP(E:E,'7店'!$B:$B,1,0)</f>
        <v>Y7066-BL+Y7067+Y7068</v>
      </c>
      <c r="H148" t="s">
        <v>2477</v>
      </c>
      <c r="I148">
        <v>5</v>
      </c>
      <c r="J148" s="1" t="str">
        <f>VLOOKUP(H:H,'7店'!$B:$B,1,0)</f>
        <v>Y7036-DB-ZH</v>
      </c>
      <c r="AN148" s="1">
        <f t="shared" si="10"/>
        <v>0</v>
      </c>
      <c r="AP148" s="29" t="s">
        <v>2545</v>
      </c>
      <c r="AQ148" s="107">
        <v>51.98</v>
      </c>
      <c r="AR148" s="1">
        <f t="shared" si="11"/>
        <v>254.702</v>
      </c>
      <c r="AT148" s="45" t="s">
        <v>2504</v>
      </c>
      <c r="AU148" s="44">
        <v>305.8</v>
      </c>
      <c r="AW148" s="45" t="s">
        <v>2507</v>
      </c>
      <c r="AX148" s="44">
        <v>97.3</v>
      </c>
      <c r="AZ148" s="128" t="s">
        <v>2747</v>
      </c>
      <c r="BA148" s="106">
        <v>2.356</v>
      </c>
      <c r="BB148" s="1" t="s">
        <v>430</v>
      </c>
    </row>
    <row r="149" spans="5:54">
      <c r="E149" t="s">
        <v>2711</v>
      </c>
      <c r="F149">
        <v>1</v>
      </c>
      <c r="G149" s="1" t="e">
        <f>VLOOKUP(E:E,'7店'!$B:$B,1,0)</f>
        <v>#N/A</v>
      </c>
      <c r="H149" t="s">
        <v>2617</v>
      </c>
      <c r="I149">
        <v>51</v>
      </c>
      <c r="J149" s="1" t="str">
        <f>VLOOKUP(H:H,'7店'!$B:$B,1,0)</f>
        <v>Y7072-BU+Y7073+Y7074</v>
      </c>
      <c r="AN149" s="1">
        <f t="shared" ref="AN149:AN156" si="12">AM149*$AS$1</f>
        <v>0</v>
      </c>
      <c r="AP149" s="29" t="s">
        <v>2573</v>
      </c>
      <c r="AQ149" s="107">
        <v>51.98</v>
      </c>
      <c r="AR149" s="1">
        <f t="shared" si="11"/>
        <v>254.702</v>
      </c>
      <c r="AT149" s="45" t="s">
        <v>2505</v>
      </c>
      <c r="AU149" s="44">
        <v>319.7</v>
      </c>
      <c r="AW149" s="45" t="s">
        <v>2508</v>
      </c>
      <c r="AX149" s="44">
        <v>417</v>
      </c>
      <c r="AZ149" s="128" t="s">
        <v>2748</v>
      </c>
      <c r="BA149" s="106">
        <v>6.662</v>
      </c>
      <c r="BB149" s="1" t="s">
        <v>430</v>
      </c>
    </row>
    <row r="150" spans="5:54">
      <c r="E150" t="s">
        <v>2259</v>
      </c>
      <c r="F150">
        <v>1</v>
      </c>
      <c r="G150" s="1" t="str">
        <f>VLOOKUP(E:E,'7店'!$B:$B,1,0)</f>
        <v>Y73473-GR+Y72614+Y73476</v>
      </c>
      <c r="H150" t="s">
        <v>2409</v>
      </c>
      <c r="I150">
        <v>2</v>
      </c>
      <c r="J150" s="1" t="str">
        <f>VLOOKUP(H:H,'7店'!$B:$B,1,0)</f>
        <v>Y73133-BL+Y73136+Y73267</v>
      </c>
      <c r="AN150" s="1">
        <f t="shared" si="12"/>
        <v>0</v>
      </c>
      <c r="AP150" s="29" t="s">
        <v>2563</v>
      </c>
      <c r="AQ150" s="107">
        <v>51.98</v>
      </c>
      <c r="AR150" s="1">
        <f t="shared" si="11"/>
        <v>254.702</v>
      </c>
      <c r="AT150" s="45" t="s">
        <v>2507</v>
      </c>
      <c r="AU150" s="44">
        <v>55.6</v>
      </c>
      <c r="AW150" s="45" t="s">
        <v>2510</v>
      </c>
      <c r="AX150" s="44">
        <v>403.1</v>
      </c>
      <c r="AZ150" s="128" t="s">
        <v>2749</v>
      </c>
      <c r="BA150" s="106">
        <v>2.152</v>
      </c>
      <c r="BB150" s="1" t="s">
        <v>430</v>
      </c>
    </row>
    <row r="151" spans="5:54">
      <c r="E151" t="s">
        <v>2256</v>
      </c>
      <c r="F151">
        <v>1</v>
      </c>
      <c r="G151" s="1" t="str">
        <f>VLOOKUP(E:E,'7店'!$B:$B,1,0)</f>
        <v>Y73473-DB+Y72614+Y73476</v>
      </c>
      <c r="H151" t="s">
        <v>2457</v>
      </c>
      <c r="I151">
        <v>3</v>
      </c>
      <c r="J151" s="1" t="str">
        <f>VLOOKUP(H:H,'7店'!$B:$B,1,0)</f>
        <v>Y73135-OR-ZH</v>
      </c>
      <c r="AN151" s="1">
        <f t="shared" si="12"/>
        <v>0</v>
      </c>
      <c r="AP151" s="29" t="s">
        <v>2502</v>
      </c>
      <c r="AQ151" s="107">
        <v>51.98</v>
      </c>
      <c r="AR151" s="1">
        <f t="shared" si="11"/>
        <v>254.702</v>
      </c>
      <c r="AT151" s="45" t="s">
        <v>2508</v>
      </c>
      <c r="AU151" s="44">
        <v>417</v>
      </c>
      <c r="AW151" s="45" t="s">
        <v>2511</v>
      </c>
      <c r="AX151" s="44">
        <v>375.3</v>
      </c>
      <c r="AZ151" s="128" t="s">
        <v>2265</v>
      </c>
      <c r="BA151" s="106">
        <v>6.747</v>
      </c>
      <c r="BB151" s="1" t="s">
        <v>430</v>
      </c>
    </row>
    <row r="152" spans="5:54">
      <c r="E152" t="s">
        <v>2448</v>
      </c>
      <c r="F152">
        <v>1</v>
      </c>
      <c r="G152" s="1" t="str">
        <f>VLOOKUP(E:E,'7店'!$B:$B,1,0)</f>
        <v>Y7001-BB-ZH</v>
      </c>
      <c r="H152" t="s">
        <v>2608</v>
      </c>
      <c r="I152">
        <v>8</v>
      </c>
      <c r="J152" s="1" t="str">
        <f>VLOOKUP(H:H,'7店'!$B:$B,1,0)</f>
        <v>Y7069-GE+Y7070+Y7071</v>
      </c>
      <c r="AN152" s="1">
        <f t="shared" si="12"/>
        <v>0</v>
      </c>
      <c r="AP152" s="29" t="s">
        <v>2671</v>
      </c>
      <c r="AQ152" s="107">
        <v>42.22</v>
      </c>
      <c r="AR152" s="1">
        <f t="shared" si="11"/>
        <v>206.878</v>
      </c>
      <c r="AT152" s="45" t="s">
        <v>2510</v>
      </c>
      <c r="AU152" s="44">
        <v>403.1</v>
      </c>
      <c r="AW152" s="45" t="s">
        <v>2512</v>
      </c>
      <c r="AX152" s="44">
        <v>417</v>
      </c>
      <c r="AZ152" s="128" t="s">
        <v>2750</v>
      </c>
      <c r="BA152" s="106">
        <v>5.867</v>
      </c>
      <c r="BB152" s="1" t="s">
        <v>430</v>
      </c>
    </row>
    <row r="153" spans="5:54">
      <c r="E153" t="s">
        <v>2460</v>
      </c>
      <c r="F153">
        <v>1</v>
      </c>
      <c r="G153" s="1" t="str">
        <f>VLOOKUP(E:E,'7店'!$B:$B,1,0)</f>
        <v>Y73153-OR-ZH</v>
      </c>
      <c r="H153" t="s">
        <v>2587</v>
      </c>
      <c r="I153">
        <v>9</v>
      </c>
      <c r="J153" s="1" t="str">
        <f>VLOOKUP(H:H,'7店'!$B:$B,1,0)</f>
        <v>Y7066-BU+Y7067+Y7068</v>
      </c>
      <c r="AN153" s="1">
        <f t="shared" si="12"/>
        <v>0</v>
      </c>
      <c r="AP153" s="29" t="s">
        <v>2225</v>
      </c>
      <c r="AQ153" s="107">
        <v>32.77</v>
      </c>
      <c r="AR153" s="1">
        <f t="shared" si="11"/>
        <v>160.573</v>
      </c>
      <c r="AT153" s="45" t="s">
        <v>2511</v>
      </c>
      <c r="AU153" s="44">
        <v>375.3</v>
      </c>
      <c r="AW153" s="45" t="s">
        <v>2491</v>
      </c>
      <c r="AX153" s="44">
        <v>97.3</v>
      </c>
      <c r="AZ153" s="128" t="s">
        <v>2751</v>
      </c>
      <c r="BA153" s="106">
        <v>6.1</v>
      </c>
      <c r="BB153" s="1" t="s">
        <v>430</v>
      </c>
    </row>
    <row r="154" spans="5:54">
      <c r="E154" t="s">
        <v>2730</v>
      </c>
      <c r="F154">
        <v>1</v>
      </c>
      <c r="G154" s="1" t="e">
        <f>VLOOKUP(E:E,'7店'!$B:$B,1,0)</f>
        <v>#N/A</v>
      </c>
      <c r="H154" t="s">
        <v>2573</v>
      </c>
      <c r="I154">
        <v>3</v>
      </c>
      <c r="J154" s="1" t="str">
        <f>VLOOKUP(H:H,'7店'!$B:$B,1,0)</f>
        <v>Y7053-OR+Y7057+Y7061</v>
      </c>
      <c r="AN154" s="1">
        <f t="shared" si="12"/>
        <v>0</v>
      </c>
      <c r="AP154" s="29" t="s">
        <v>2271</v>
      </c>
      <c r="AQ154" s="107">
        <v>25.78</v>
      </c>
      <c r="AR154" s="1">
        <f t="shared" si="11"/>
        <v>126.322</v>
      </c>
      <c r="AT154" s="45" t="s">
        <v>2512</v>
      </c>
      <c r="AU154" s="44">
        <v>417</v>
      </c>
      <c r="AW154" s="45" t="s">
        <v>2724</v>
      </c>
      <c r="AX154" s="44">
        <v>27.8</v>
      </c>
      <c r="AZ154" s="128" t="s">
        <v>2699</v>
      </c>
      <c r="BA154" s="106">
        <v>4.708</v>
      </c>
      <c r="BB154" s="1" t="s">
        <v>430</v>
      </c>
    </row>
    <row r="155" spans="5:54">
      <c r="E155" t="s">
        <v>2647</v>
      </c>
      <c r="F155">
        <v>1</v>
      </c>
      <c r="G155" s="1" t="str">
        <f>VLOOKUP(E:E,'7店'!$B:$B,1,0)</f>
        <v>Y7084-BU+Y7085</v>
      </c>
      <c r="H155" t="s">
        <v>2623</v>
      </c>
      <c r="I155">
        <v>18</v>
      </c>
      <c r="J155" s="1" t="str">
        <f>VLOOKUP(H:H,'7店'!$B:$B,1,0)</f>
        <v>Y7072-GE+Y7073+Y7074</v>
      </c>
      <c r="AN155" s="1">
        <f t="shared" ref="AN155:AN195" si="13">AM155*$AS$1</f>
        <v>0</v>
      </c>
      <c r="AP155" s="29" t="s">
        <v>2211</v>
      </c>
      <c r="AQ155" s="107">
        <v>32.03</v>
      </c>
      <c r="AR155" s="1">
        <f t="shared" si="11"/>
        <v>156.947</v>
      </c>
      <c r="AT155" s="45" t="s">
        <v>2724</v>
      </c>
      <c r="AU155" s="44">
        <v>0</v>
      </c>
      <c r="AW155" s="45" t="s">
        <v>2516</v>
      </c>
      <c r="AX155" s="44">
        <v>125.1</v>
      </c>
      <c r="AZ155" s="128" t="s">
        <v>2701</v>
      </c>
      <c r="BA155" s="106">
        <v>6.54</v>
      </c>
      <c r="BB155" s="1" t="s">
        <v>430</v>
      </c>
    </row>
    <row r="156" spans="5:54">
      <c r="E156" t="s">
        <v>2571</v>
      </c>
      <c r="F156">
        <v>1</v>
      </c>
      <c r="G156" s="1" t="str">
        <f>VLOOKUP(E:E,'7店'!$B:$B,1,0)</f>
        <v>Y7053-DB+Y7057+Y7061</v>
      </c>
      <c r="H156" t="s">
        <v>2752</v>
      </c>
      <c r="I156">
        <v>5</v>
      </c>
      <c r="J156" s="1" t="e">
        <f>VLOOKUP(H:H,'7店'!$B:$B,1,0)</f>
        <v>#N/A</v>
      </c>
      <c r="AN156" s="1">
        <f t="shared" si="13"/>
        <v>0</v>
      </c>
      <c r="AP156" s="29" t="s">
        <v>2571</v>
      </c>
      <c r="AQ156" s="107">
        <v>25.99</v>
      </c>
      <c r="AR156" s="1">
        <f t="shared" si="11"/>
        <v>127.351</v>
      </c>
      <c r="AT156" s="45" t="s">
        <v>2516</v>
      </c>
      <c r="AU156" s="44">
        <v>111.2</v>
      </c>
      <c r="AW156" s="45" t="s">
        <v>2519</v>
      </c>
      <c r="AX156" s="44">
        <v>236.3</v>
      </c>
      <c r="AZ156" s="128" t="s">
        <v>2162</v>
      </c>
      <c r="BA156" s="106">
        <v>3.212</v>
      </c>
      <c r="BB156" s="1" t="s">
        <v>430</v>
      </c>
    </row>
    <row r="157" spans="5:54">
      <c r="E157" t="s">
        <v>2567</v>
      </c>
      <c r="F157">
        <v>1</v>
      </c>
      <c r="G157" s="1" t="str">
        <f>VLOOKUP(E:E,'7店'!$B:$B,1,0)</f>
        <v>Y7053-BL+Y7057+Y7061</v>
      </c>
      <c r="H157" t="s">
        <v>2698</v>
      </c>
      <c r="I157">
        <v>9</v>
      </c>
      <c r="J157" s="1" t="e">
        <f>VLOOKUP(H:H,'7店'!$B:$B,1,0)</f>
        <v>#N/A</v>
      </c>
      <c r="AN157" s="1">
        <f t="shared" si="13"/>
        <v>0</v>
      </c>
      <c r="AP157" s="29" t="s">
        <v>2567</v>
      </c>
      <c r="AQ157" s="107">
        <v>25.99</v>
      </c>
      <c r="AR157" s="1">
        <f t="shared" si="11"/>
        <v>127.351</v>
      </c>
      <c r="AT157" s="45" t="s">
        <v>2519</v>
      </c>
      <c r="AU157" s="44">
        <v>236.3</v>
      </c>
      <c r="AW157" s="45" t="s">
        <v>2522</v>
      </c>
      <c r="AX157" s="44">
        <v>125.1</v>
      </c>
      <c r="AZ157" s="128" t="s">
        <v>2164</v>
      </c>
      <c r="BA157" s="106">
        <v>3.175</v>
      </c>
      <c r="BB157" s="1" t="s">
        <v>430</v>
      </c>
    </row>
    <row r="158" spans="5:54">
      <c r="E158" t="s">
        <v>439</v>
      </c>
      <c r="F158">
        <v>1811</v>
      </c>
      <c r="H158" t="s">
        <v>2733</v>
      </c>
      <c r="I158">
        <v>2</v>
      </c>
      <c r="J158" s="1" t="e">
        <f>VLOOKUP(H:H,'7店'!$B:$B,1,0)</f>
        <v>#N/A</v>
      </c>
      <c r="AN158" s="1">
        <f t="shared" si="13"/>
        <v>0</v>
      </c>
      <c r="AP158" s="29" t="s">
        <v>2507</v>
      </c>
      <c r="AQ158" s="107">
        <v>25.99</v>
      </c>
      <c r="AR158" s="1">
        <f t="shared" si="11"/>
        <v>127.351</v>
      </c>
      <c r="AT158" s="45" t="s">
        <v>2522</v>
      </c>
      <c r="AU158" s="44">
        <v>139</v>
      </c>
      <c r="AW158" s="45" t="s">
        <v>2525</v>
      </c>
      <c r="AX158" s="44">
        <v>125.1</v>
      </c>
      <c r="AZ158" s="128" t="s">
        <v>2166</v>
      </c>
      <c r="BA158" s="106">
        <v>4.683</v>
      </c>
      <c r="BB158" s="1" t="s">
        <v>430</v>
      </c>
    </row>
    <row r="159" spans="5:54">
      <c r="E159"/>
      <c r="F159"/>
      <c r="H159" t="s">
        <v>2671</v>
      </c>
      <c r="I159">
        <v>11</v>
      </c>
      <c r="J159" s="1" t="str">
        <f>VLOOKUP(H:H,'7店'!$B:$B,1,0)</f>
        <v>Y7086-OR+Y7087</v>
      </c>
      <c r="AN159" s="1">
        <f t="shared" si="13"/>
        <v>0</v>
      </c>
      <c r="AP159" s="29" t="s">
        <v>2504</v>
      </c>
      <c r="AQ159" s="107">
        <v>25.99</v>
      </c>
      <c r="AR159" s="1">
        <f t="shared" si="11"/>
        <v>127.351</v>
      </c>
      <c r="AT159" s="45" t="s">
        <v>2525</v>
      </c>
      <c r="AU159" s="44">
        <v>125.1</v>
      </c>
      <c r="AW159" s="45" t="s">
        <v>2528</v>
      </c>
      <c r="AX159" s="44">
        <v>111.2</v>
      </c>
      <c r="AZ159" s="128" t="s">
        <v>2169</v>
      </c>
      <c r="BA159" s="106">
        <v>4.665</v>
      </c>
      <c r="BB159" s="1" t="s">
        <v>430</v>
      </c>
    </row>
    <row r="160" spans="5:54">
      <c r="E160"/>
      <c r="F160"/>
      <c r="H160" t="s">
        <v>2268</v>
      </c>
      <c r="I160">
        <v>1</v>
      </c>
      <c r="J160" s="1" t="str">
        <f>VLOOKUP(H:H,'7店'!$B:$B,1,0)</f>
        <v>Y72056-BL+Y72059-Y72740</v>
      </c>
      <c r="AN160" s="1">
        <f t="shared" si="13"/>
        <v>0</v>
      </c>
      <c r="AP160" s="29" t="s">
        <v>2505</v>
      </c>
      <c r="AQ160" s="107">
        <v>25.99</v>
      </c>
      <c r="AR160" s="1">
        <f t="shared" si="11"/>
        <v>127.351</v>
      </c>
      <c r="AT160" s="45" t="s">
        <v>2528</v>
      </c>
      <c r="AU160" s="44">
        <v>111.2</v>
      </c>
      <c r="AW160" s="45" t="s">
        <v>2531</v>
      </c>
      <c r="AX160" s="44">
        <v>55.6</v>
      </c>
      <c r="AZ160" s="128" t="s">
        <v>2172</v>
      </c>
      <c r="BA160" s="106">
        <v>2.892</v>
      </c>
      <c r="BB160" s="1" t="s">
        <v>430</v>
      </c>
    </row>
    <row r="161" spans="5:54">
      <c r="E161"/>
      <c r="F161"/>
      <c r="H161" t="s">
        <v>2259</v>
      </c>
      <c r="I161">
        <v>2</v>
      </c>
      <c r="J161" s="1" t="str">
        <f>VLOOKUP(H:H,'7店'!$B:$B,1,0)</f>
        <v>Y73473-GR+Y72614+Y73476</v>
      </c>
      <c r="AN161" s="1">
        <f t="shared" si="13"/>
        <v>0</v>
      </c>
      <c r="AP161" s="29" t="s">
        <v>2665</v>
      </c>
      <c r="AQ161" s="107">
        <v>21.45</v>
      </c>
      <c r="AR161" s="1">
        <f t="shared" si="11"/>
        <v>105.105</v>
      </c>
      <c r="AT161" s="45" t="s">
        <v>2531</v>
      </c>
      <c r="AU161" s="44">
        <v>55.6</v>
      </c>
      <c r="AW161" s="45" t="s">
        <v>2534</v>
      </c>
      <c r="AX161" s="44">
        <v>139</v>
      </c>
      <c r="AZ161" s="128" t="s">
        <v>2282</v>
      </c>
      <c r="BA161" s="106">
        <v>2.356</v>
      </c>
      <c r="BB161" s="1" t="s">
        <v>430</v>
      </c>
    </row>
    <row r="162" spans="5:54">
      <c r="E162"/>
      <c r="F162"/>
      <c r="H162" t="s">
        <v>2683</v>
      </c>
      <c r="I162">
        <v>1</v>
      </c>
      <c r="J162" s="1" t="e">
        <f>VLOOKUP(H:H,'7店'!$B:$B,1,0)</f>
        <v>#N/A</v>
      </c>
      <c r="AN162" s="1">
        <f t="shared" si="13"/>
        <v>0</v>
      </c>
      <c r="AR162" s="1">
        <f t="shared" si="11"/>
        <v>0</v>
      </c>
      <c r="AT162" s="45" t="s">
        <v>2534</v>
      </c>
      <c r="AU162" s="44">
        <v>139</v>
      </c>
      <c r="AW162" s="45" t="s">
        <v>2537</v>
      </c>
      <c r="AX162" s="44">
        <v>125.1</v>
      </c>
      <c r="AZ162" s="128" t="s">
        <v>2285</v>
      </c>
      <c r="BA162" s="106">
        <v>2.427</v>
      </c>
      <c r="BB162" s="1" t="s">
        <v>430</v>
      </c>
    </row>
    <row r="163" spans="5:54">
      <c r="E163"/>
      <c r="F163"/>
      <c r="H163" t="s">
        <v>2412</v>
      </c>
      <c r="I163">
        <v>2</v>
      </c>
      <c r="J163" s="1" t="str">
        <f>VLOOKUP(H:H,'7店'!$B:$B,1,0)</f>
        <v>Y73133-DB+Y73136+Y73267</v>
      </c>
      <c r="AN163" s="1">
        <f t="shared" si="13"/>
        <v>0</v>
      </c>
      <c r="AR163" s="1">
        <f t="shared" si="11"/>
        <v>0</v>
      </c>
      <c r="AT163" s="45" t="s">
        <v>2537</v>
      </c>
      <c r="AU163" s="44">
        <v>139</v>
      </c>
      <c r="AW163" s="45" t="s">
        <v>2540</v>
      </c>
      <c r="AX163" s="44">
        <v>139</v>
      </c>
      <c r="AZ163" s="128" t="s">
        <v>2291</v>
      </c>
      <c r="BA163" s="106">
        <v>4.753</v>
      </c>
      <c r="BB163" s="1" t="s">
        <v>430</v>
      </c>
    </row>
    <row r="164" spans="8:54">
      <c r="H164" t="s">
        <v>2454</v>
      </c>
      <c r="I164">
        <v>1</v>
      </c>
      <c r="J164" s="1" t="str">
        <f>VLOOKUP(H:H,'7店'!$B:$B,1,0)</f>
        <v>Y73135-DB-ZH</v>
      </c>
      <c r="AN164" s="1">
        <f t="shared" si="13"/>
        <v>0</v>
      </c>
      <c r="AR164" s="1">
        <f t="shared" si="11"/>
        <v>0</v>
      </c>
      <c r="AT164" s="45" t="s">
        <v>2540</v>
      </c>
      <c r="AU164" s="44">
        <v>139</v>
      </c>
      <c r="AW164" s="45" t="s">
        <v>2543</v>
      </c>
      <c r="AX164" s="44">
        <v>13.9</v>
      </c>
      <c r="AZ164" s="128" t="s">
        <v>2294</v>
      </c>
      <c r="BA164" s="106">
        <v>3.561</v>
      </c>
      <c r="BB164" s="1" t="s">
        <v>430</v>
      </c>
    </row>
    <row r="165" spans="8:54">
      <c r="H165" t="s">
        <v>2596</v>
      </c>
      <c r="I165">
        <v>4</v>
      </c>
      <c r="J165" s="1" t="str">
        <f>VLOOKUP(H:H,'7店'!$B:$B,1,0)</f>
        <v>Y7066-OR+Y7067+Y7068</v>
      </c>
      <c r="AN165" s="1">
        <f t="shared" si="13"/>
        <v>0</v>
      </c>
      <c r="AR165" s="1">
        <f t="shared" si="11"/>
        <v>0</v>
      </c>
      <c r="AT165" s="45" t="s">
        <v>2543</v>
      </c>
      <c r="AU165" s="44">
        <v>13.9</v>
      </c>
      <c r="AW165" s="45" t="s">
        <v>2545</v>
      </c>
      <c r="AX165" s="44">
        <v>194.6</v>
      </c>
      <c r="AZ165" s="128" t="s">
        <v>2288</v>
      </c>
      <c r="BA165" s="106">
        <v>3.762</v>
      </c>
      <c r="BB165" s="1" t="s">
        <v>430</v>
      </c>
    </row>
    <row r="166" spans="8:54">
      <c r="H166" t="s">
        <v>2593</v>
      </c>
      <c r="I166">
        <v>3</v>
      </c>
      <c r="J166" s="1" t="str">
        <f>VLOOKUP(H:H,'7店'!$B:$B,1,0)</f>
        <v>Y7066-GE+Y7067+Y7068</v>
      </c>
      <c r="AN166" s="1">
        <f t="shared" si="13"/>
        <v>0</v>
      </c>
      <c r="AR166" s="1">
        <f t="shared" si="11"/>
        <v>0</v>
      </c>
      <c r="AT166" s="45" t="s">
        <v>2545</v>
      </c>
      <c r="AU166" s="44">
        <v>166.8</v>
      </c>
      <c r="AW166" s="45" t="s">
        <v>2547</v>
      </c>
      <c r="AX166" s="44">
        <v>291.9</v>
      </c>
      <c r="AZ166" s="128" t="s">
        <v>2297</v>
      </c>
      <c r="BA166" s="106">
        <v>2.784</v>
      </c>
      <c r="BB166" s="1" t="s">
        <v>430</v>
      </c>
    </row>
    <row r="167" spans="8:54">
      <c r="H167" t="s">
        <v>2590</v>
      </c>
      <c r="I167">
        <v>2</v>
      </c>
      <c r="J167" s="1" t="str">
        <f>VLOOKUP(H:H,'7店'!$B:$B,1,0)</f>
        <v>Y7066-DB+Y7067+Y7068</v>
      </c>
      <c r="AN167" s="1">
        <f t="shared" si="13"/>
        <v>0</v>
      </c>
      <c r="AR167" s="1">
        <f t="shared" si="11"/>
        <v>0</v>
      </c>
      <c r="AT167" s="45" t="s">
        <v>2547</v>
      </c>
      <c r="AU167" s="44">
        <v>291.9</v>
      </c>
      <c r="AW167" s="45" t="s">
        <v>2549</v>
      </c>
      <c r="AX167" s="44">
        <v>13.9</v>
      </c>
      <c r="AZ167" s="128" t="s">
        <v>2300</v>
      </c>
      <c r="BA167" s="106">
        <v>3.3</v>
      </c>
      <c r="BB167" s="1" t="s">
        <v>430</v>
      </c>
    </row>
    <row r="168" spans="8:54">
      <c r="H168" t="s">
        <v>2662</v>
      </c>
      <c r="I168">
        <v>9</v>
      </c>
      <c r="J168" s="1" t="str">
        <f>VLOOKUP(H:H,'7店'!$B:$B,1,0)</f>
        <v>Y7086-BU+Y7087</v>
      </c>
      <c r="AN168" s="1">
        <f t="shared" si="13"/>
        <v>0</v>
      </c>
      <c r="AR168" s="1">
        <f t="shared" si="11"/>
        <v>0</v>
      </c>
      <c r="AT168" s="45" t="s">
        <v>2549</v>
      </c>
      <c r="AU168" s="44">
        <v>13.9</v>
      </c>
      <c r="AW168" s="45" t="s">
        <v>2551</v>
      </c>
      <c r="AX168" s="44">
        <v>264.1</v>
      </c>
      <c r="AZ168" s="128" t="s">
        <v>2303</v>
      </c>
      <c r="BA168" s="106">
        <v>3.791</v>
      </c>
      <c r="BB168" s="1" t="s">
        <v>430</v>
      </c>
    </row>
    <row r="169" spans="8:54">
      <c r="H169" t="s">
        <v>2665</v>
      </c>
      <c r="I169">
        <v>5</v>
      </c>
      <c r="J169" s="1" t="str">
        <f>VLOOKUP(H:H,'7店'!$B:$B,1,0)</f>
        <v>Y7086-DB+Y7087</v>
      </c>
      <c r="AN169" s="1">
        <f t="shared" si="13"/>
        <v>0</v>
      </c>
      <c r="AR169" s="1">
        <f t="shared" si="11"/>
        <v>0</v>
      </c>
      <c r="AT169" s="45" t="s">
        <v>2551</v>
      </c>
      <c r="AU169" s="44">
        <v>264.1</v>
      </c>
      <c r="AW169" s="45" t="s">
        <v>2553</v>
      </c>
      <c r="AX169" s="44">
        <v>389.2</v>
      </c>
      <c r="AZ169" s="128" t="s">
        <v>2306</v>
      </c>
      <c r="BA169" s="106">
        <v>4.867</v>
      </c>
      <c r="BB169" s="1" t="s">
        <v>430</v>
      </c>
    </row>
    <row r="170" spans="8:54">
      <c r="H170" t="s">
        <v>2505</v>
      </c>
      <c r="I170">
        <v>2</v>
      </c>
      <c r="J170" s="1" t="str">
        <f>VLOOKUP(H:H,'7店'!$B:$B,1,0)</f>
        <v>Y7045-DB+Y7046+Y7047</v>
      </c>
      <c r="AN170" s="1">
        <f t="shared" si="13"/>
        <v>0</v>
      </c>
      <c r="AR170" s="1">
        <f t="shared" si="11"/>
        <v>0</v>
      </c>
      <c r="AT170" s="45" t="s">
        <v>2553</v>
      </c>
      <c r="AU170" s="44">
        <v>389.2</v>
      </c>
      <c r="AW170" s="45" t="s">
        <v>2555</v>
      </c>
      <c r="AX170" s="44">
        <v>389.2</v>
      </c>
      <c r="AZ170" s="128" t="s">
        <v>2309</v>
      </c>
      <c r="BA170" s="106">
        <v>3.792</v>
      </c>
      <c r="BB170" s="1" t="s">
        <v>430</v>
      </c>
    </row>
    <row r="171" spans="8:54">
      <c r="H171" t="s">
        <v>2497</v>
      </c>
      <c r="I171">
        <v>1</v>
      </c>
      <c r="J171" s="1" t="str">
        <f>VLOOKUP(H:H,'7店'!$B:$B,1,0)</f>
        <v>Y7042-BL+Y7043+Y7044</v>
      </c>
      <c r="AN171" s="1">
        <f t="shared" si="13"/>
        <v>0</v>
      </c>
      <c r="AR171" s="1">
        <f t="shared" si="11"/>
        <v>0</v>
      </c>
      <c r="AT171" s="45" t="s">
        <v>2555</v>
      </c>
      <c r="AU171" s="44">
        <v>389.2</v>
      </c>
      <c r="AW171" s="45" t="s">
        <v>2557</v>
      </c>
      <c r="AX171" s="44">
        <v>347.5</v>
      </c>
      <c r="AZ171" s="128" t="s">
        <v>2312</v>
      </c>
      <c r="BA171" s="106">
        <v>2.724</v>
      </c>
      <c r="BB171" s="1" t="s">
        <v>430</v>
      </c>
    </row>
    <row r="172" spans="8:54">
      <c r="H172" t="s">
        <v>2491</v>
      </c>
      <c r="I172">
        <v>1</v>
      </c>
      <c r="J172" s="1" t="str">
        <f>VLOOKUP(H:H,'7店'!$B:$B,1,0)</f>
        <v>Y73153-BL-ZH</v>
      </c>
      <c r="AN172" s="1">
        <f t="shared" si="13"/>
        <v>0</v>
      </c>
      <c r="AR172" s="1">
        <f t="shared" si="11"/>
        <v>0</v>
      </c>
      <c r="AT172" s="45" t="s">
        <v>2557</v>
      </c>
      <c r="AU172" s="44">
        <v>347.5</v>
      </c>
      <c r="AW172" s="45" t="s">
        <v>2559</v>
      </c>
      <c r="AX172" s="44">
        <v>528.2</v>
      </c>
      <c r="AZ172" s="128" t="s">
        <v>2315</v>
      </c>
      <c r="BA172" s="106">
        <v>2.339</v>
      </c>
      <c r="BB172" s="1" t="s">
        <v>430</v>
      </c>
    </row>
    <row r="173" spans="8:54">
      <c r="H173" t="s">
        <v>2659</v>
      </c>
      <c r="I173">
        <v>13</v>
      </c>
      <c r="J173" s="1" t="str">
        <f>VLOOKUP(H:H,'7店'!$B:$B,1,0)</f>
        <v>Y7086-BL+Y7087</v>
      </c>
      <c r="AN173" s="1">
        <f t="shared" si="13"/>
        <v>0</v>
      </c>
      <c r="AR173" s="1">
        <f t="shared" si="11"/>
        <v>0</v>
      </c>
      <c r="AT173" s="45" t="s">
        <v>2559</v>
      </c>
      <c r="AU173" s="44">
        <v>458.7</v>
      </c>
      <c r="AW173" s="45" t="s">
        <v>2561</v>
      </c>
      <c r="AX173" s="44">
        <v>430.9</v>
      </c>
      <c r="AZ173" s="128" t="s">
        <v>2318</v>
      </c>
      <c r="BA173" s="106">
        <v>2.951</v>
      </c>
      <c r="BB173" s="1" t="s">
        <v>430</v>
      </c>
    </row>
    <row r="174" spans="8:54">
      <c r="H174" t="s">
        <v>2656</v>
      </c>
      <c r="I174">
        <v>4</v>
      </c>
      <c r="J174" s="1" t="str">
        <f>VLOOKUP(H:H,'7店'!$B:$B,1,0)</f>
        <v>Y7084-OR+Y7085</v>
      </c>
      <c r="AN174" s="1">
        <f t="shared" si="13"/>
        <v>0</v>
      </c>
      <c r="AR174" s="1">
        <f t="shared" si="11"/>
        <v>0</v>
      </c>
      <c r="AT174" s="45" t="s">
        <v>2561</v>
      </c>
      <c r="AU174" s="44">
        <v>375.3</v>
      </c>
      <c r="AW174" s="45" t="s">
        <v>2563</v>
      </c>
      <c r="AX174" s="44">
        <v>514.3</v>
      </c>
      <c r="AZ174" s="128" t="s">
        <v>2321</v>
      </c>
      <c r="BA174" s="106">
        <v>3.923</v>
      </c>
      <c r="BB174" s="1" t="s">
        <v>430</v>
      </c>
    </row>
    <row r="175" spans="8:54">
      <c r="H175" t="s">
        <v>2668</v>
      </c>
      <c r="I175">
        <v>4</v>
      </c>
      <c r="J175" s="1" t="str">
        <f>VLOOKUP(H:H,'7店'!$B:$B,1,0)</f>
        <v>Y7086-GE+Y7087</v>
      </c>
      <c r="AN175" s="1">
        <f t="shared" si="13"/>
        <v>0</v>
      </c>
      <c r="AR175" s="1">
        <f t="shared" ref="AR171:AR202" si="14">AQ175*$AS$1</f>
        <v>0</v>
      </c>
      <c r="AT175" s="45" t="s">
        <v>2563</v>
      </c>
      <c r="AU175" s="44">
        <v>472.6</v>
      </c>
      <c r="AW175" s="45" t="s">
        <v>2565</v>
      </c>
      <c r="AX175" s="44">
        <v>152.9</v>
      </c>
      <c r="AZ175" s="128" t="s">
        <v>2324</v>
      </c>
      <c r="BA175" s="106">
        <v>2.998</v>
      </c>
      <c r="BB175" s="1" t="s">
        <v>430</v>
      </c>
    </row>
    <row r="176" spans="8:54">
      <c r="H176" t="s">
        <v>2519</v>
      </c>
      <c r="I176">
        <v>3</v>
      </c>
      <c r="J176" s="1" t="str">
        <f>VLOOKUP(H:H,'7店'!$B:$B,1,0)</f>
        <v>Y72431-OR+Y72433+Y72531</v>
      </c>
      <c r="AN176" s="1">
        <f t="shared" si="13"/>
        <v>0</v>
      </c>
      <c r="AR176" s="1">
        <f t="shared" si="14"/>
        <v>0</v>
      </c>
      <c r="AT176" s="45" t="s">
        <v>2565</v>
      </c>
      <c r="AU176" s="44">
        <v>41.7</v>
      </c>
      <c r="AW176" s="45" t="s">
        <v>2567</v>
      </c>
      <c r="AX176" s="44">
        <v>472.6</v>
      </c>
      <c r="AZ176" s="128" t="s">
        <v>2327</v>
      </c>
      <c r="BA176" s="106">
        <v>2.803</v>
      </c>
      <c r="BB176" s="1" t="s">
        <v>430</v>
      </c>
    </row>
    <row r="177" spans="8:54">
      <c r="H177" t="s">
        <v>2584</v>
      </c>
      <c r="I177">
        <v>2</v>
      </c>
      <c r="J177" s="1" t="str">
        <f>VLOOKUP(H:H,'7店'!$B:$B,1,0)</f>
        <v>Y7066-BL+Y7067+Y7068</v>
      </c>
      <c r="AN177" s="1">
        <f t="shared" si="13"/>
        <v>0</v>
      </c>
      <c r="AR177" s="1">
        <f t="shared" si="14"/>
        <v>0</v>
      </c>
      <c r="AT177" s="45" t="s">
        <v>2567</v>
      </c>
      <c r="AU177" s="44">
        <v>472.6</v>
      </c>
      <c r="AW177" s="45" t="s">
        <v>2569</v>
      </c>
      <c r="AX177" s="44">
        <v>361.4</v>
      </c>
      <c r="AZ177" s="128" t="s">
        <v>2330</v>
      </c>
      <c r="BA177" s="106">
        <v>2.176</v>
      </c>
      <c r="BB177" s="1" t="s">
        <v>430</v>
      </c>
    </row>
    <row r="178" spans="8:54">
      <c r="H178" t="s">
        <v>2711</v>
      </c>
      <c r="I178">
        <v>1</v>
      </c>
      <c r="J178" s="1" t="e">
        <f>VLOOKUP(H:H,'7店'!$B:$B,1,0)</f>
        <v>#N/A</v>
      </c>
      <c r="AN178" s="1">
        <f t="shared" si="13"/>
        <v>0</v>
      </c>
      <c r="AR178" s="1">
        <f t="shared" si="14"/>
        <v>0</v>
      </c>
      <c r="AT178" s="45" t="s">
        <v>2569</v>
      </c>
      <c r="AU178" s="44">
        <v>347.5</v>
      </c>
      <c r="AW178" s="45" t="s">
        <v>2571</v>
      </c>
      <c r="AX178" s="44">
        <v>319.7</v>
      </c>
      <c r="AZ178" s="128" t="s">
        <v>2333</v>
      </c>
      <c r="BA178" s="106">
        <v>3.208</v>
      </c>
      <c r="BB178" s="1" t="s">
        <v>430</v>
      </c>
    </row>
    <row r="179" spans="8:54">
      <c r="H179" t="s">
        <v>2460</v>
      </c>
      <c r="I179">
        <v>1</v>
      </c>
      <c r="J179" s="1" t="str">
        <f>VLOOKUP(H:H,'7店'!$B:$B,1,0)</f>
        <v>Y73153-OR-ZH</v>
      </c>
      <c r="AN179" s="1">
        <f t="shared" si="13"/>
        <v>0</v>
      </c>
      <c r="AR179" s="1">
        <f t="shared" si="14"/>
        <v>0</v>
      </c>
      <c r="AT179" s="45" t="s">
        <v>2571</v>
      </c>
      <c r="AU179" s="44">
        <v>319.7</v>
      </c>
      <c r="AW179" s="45" t="s">
        <v>2573</v>
      </c>
      <c r="AX179" s="44">
        <v>278</v>
      </c>
      <c r="AZ179" s="128" t="s">
        <v>2336</v>
      </c>
      <c r="BA179" s="106">
        <v>3.227</v>
      </c>
      <c r="BB179" s="1" t="s">
        <v>430</v>
      </c>
    </row>
    <row r="180" spans="8:54">
      <c r="H180" t="s">
        <v>2730</v>
      </c>
      <c r="I180">
        <v>1</v>
      </c>
      <c r="J180" s="1" t="e">
        <f>VLOOKUP(H:H,'7店'!$B:$B,1,0)</f>
        <v>#N/A</v>
      </c>
      <c r="AN180" s="1">
        <f t="shared" si="13"/>
        <v>0</v>
      </c>
      <c r="AR180" s="1">
        <f t="shared" si="14"/>
        <v>0</v>
      </c>
      <c r="AT180" s="45" t="s">
        <v>2573</v>
      </c>
      <c r="AU180" s="44">
        <v>250.2</v>
      </c>
      <c r="AW180" s="45" t="s">
        <v>2575</v>
      </c>
      <c r="AX180" s="44">
        <v>1056.4</v>
      </c>
      <c r="AZ180" s="128" t="s">
        <v>2339</v>
      </c>
      <c r="BA180" s="106">
        <v>2.517</v>
      </c>
      <c r="BB180" s="1" t="s">
        <v>430</v>
      </c>
    </row>
    <row r="181" spans="8:54">
      <c r="H181" t="s">
        <v>2647</v>
      </c>
      <c r="I181">
        <v>1</v>
      </c>
      <c r="J181" s="1" t="str">
        <f>VLOOKUP(H:H,'7店'!$B:$B,1,0)</f>
        <v>Y7084-BU+Y7085</v>
      </c>
      <c r="AN181" s="1">
        <f t="shared" si="13"/>
        <v>0</v>
      </c>
      <c r="AR181" s="1">
        <f t="shared" si="14"/>
        <v>0</v>
      </c>
      <c r="AT181" s="45" t="s">
        <v>2575</v>
      </c>
      <c r="AU181" s="44">
        <v>1167.6</v>
      </c>
      <c r="AW181" s="45" t="s">
        <v>2578</v>
      </c>
      <c r="AX181" s="44">
        <v>1014.7</v>
      </c>
      <c r="AZ181" s="128" t="s">
        <v>2753</v>
      </c>
      <c r="BA181" s="106">
        <v>2.176</v>
      </c>
      <c r="BB181" s="1" t="s">
        <v>430</v>
      </c>
    </row>
    <row r="182" spans="8:54">
      <c r="H182" t="s">
        <v>2571</v>
      </c>
      <c r="I182">
        <v>1</v>
      </c>
      <c r="J182" s="1" t="str">
        <f>VLOOKUP(H:H,'7店'!$B:$B,1,0)</f>
        <v>Y7053-DB+Y7057+Y7061</v>
      </c>
      <c r="AN182" s="1">
        <f t="shared" si="13"/>
        <v>0</v>
      </c>
      <c r="AR182" s="1">
        <f t="shared" si="14"/>
        <v>0</v>
      </c>
      <c r="AT182" s="45" t="s">
        <v>2578</v>
      </c>
      <c r="AU182" s="44">
        <v>903.5</v>
      </c>
      <c r="AW182" s="45" t="s">
        <v>2580</v>
      </c>
      <c r="AX182" s="44">
        <v>333.6</v>
      </c>
      <c r="AZ182" s="128" t="s">
        <v>2754</v>
      </c>
      <c r="BA182" s="106">
        <v>1.368</v>
      </c>
      <c r="BB182" s="1" t="s">
        <v>430</v>
      </c>
    </row>
    <row r="183" spans="8:54">
      <c r="H183" t="s">
        <v>439</v>
      </c>
      <c r="I183">
        <v>3762</v>
      </c>
      <c r="AN183" s="1">
        <f t="shared" si="13"/>
        <v>0</v>
      </c>
      <c r="AR183" s="1">
        <f t="shared" si="14"/>
        <v>0</v>
      </c>
      <c r="AT183" s="45" t="s">
        <v>2580</v>
      </c>
      <c r="AU183" s="44">
        <v>403.1</v>
      </c>
      <c r="AW183" s="45" t="s">
        <v>2582</v>
      </c>
      <c r="AX183" s="44">
        <v>1139.8</v>
      </c>
      <c r="AZ183" s="128" t="s">
        <v>2755</v>
      </c>
      <c r="BA183" s="106">
        <v>1.195</v>
      </c>
      <c r="BB183" s="1" t="s">
        <v>430</v>
      </c>
    </row>
    <row r="184" spans="8:54">
      <c r="H184"/>
      <c r="I184"/>
      <c r="AN184" s="1">
        <f t="shared" si="13"/>
        <v>0</v>
      </c>
      <c r="AR184" s="1">
        <f t="shared" si="14"/>
        <v>0</v>
      </c>
      <c r="AT184" s="45" t="s">
        <v>2582</v>
      </c>
      <c r="AU184" s="44">
        <v>736.7</v>
      </c>
      <c r="AW184" s="45" t="s">
        <v>2584</v>
      </c>
      <c r="AX184" s="44">
        <v>389.2</v>
      </c>
      <c r="AZ184" s="128" t="s">
        <v>2756</v>
      </c>
      <c r="BA184" s="106">
        <v>1.277</v>
      </c>
      <c r="BB184" s="1" t="s">
        <v>430</v>
      </c>
    </row>
    <row r="185" spans="8:54">
      <c r="H185"/>
      <c r="I185"/>
      <c r="AN185" s="1">
        <f t="shared" si="13"/>
        <v>0</v>
      </c>
      <c r="AR185" s="1">
        <f t="shared" si="14"/>
        <v>0</v>
      </c>
      <c r="AT185" s="45" t="s">
        <v>2584</v>
      </c>
      <c r="AU185" s="44">
        <v>333.6</v>
      </c>
      <c r="AW185" s="45" t="s">
        <v>2587</v>
      </c>
      <c r="AX185" s="44">
        <v>695</v>
      </c>
      <c r="AZ185" s="128" t="s">
        <v>2409</v>
      </c>
      <c r="BA185" s="106">
        <v>4.361</v>
      </c>
      <c r="BB185" s="1" t="s">
        <v>430</v>
      </c>
    </row>
    <row r="186" spans="8:54">
      <c r="H186"/>
      <c r="I186"/>
      <c r="AN186" s="1">
        <f t="shared" si="13"/>
        <v>0</v>
      </c>
      <c r="AR186" s="1">
        <f t="shared" si="14"/>
        <v>0</v>
      </c>
      <c r="AT186" s="45" t="s">
        <v>2587</v>
      </c>
      <c r="AU186" s="44">
        <v>611.6</v>
      </c>
      <c r="AW186" s="45" t="s">
        <v>2590</v>
      </c>
      <c r="AX186" s="44">
        <v>695</v>
      </c>
      <c r="AZ186" s="128" t="s">
        <v>2412</v>
      </c>
      <c r="BA186" s="106">
        <v>6.642</v>
      </c>
      <c r="BB186" s="1" t="s">
        <v>430</v>
      </c>
    </row>
    <row r="187" spans="8:54">
      <c r="H187"/>
      <c r="I187"/>
      <c r="AN187" s="1">
        <f t="shared" si="13"/>
        <v>0</v>
      </c>
      <c r="AR187" s="1">
        <f t="shared" si="14"/>
        <v>0</v>
      </c>
      <c r="AT187" s="45" t="s">
        <v>2590</v>
      </c>
      <c r="AU187" s="44">
        <v>667.2</v>
      </c>
      <c r="AW187" s="45" t="s">
        <v>2593</v>
      </c>
      <c r="AX187" s="44">
        <v>417</v>
      </c>
      <c r="AZ187" s="128" t="s">
        <v>2415</v>
      </c>
      <c r="BA187" s="106">
        <v>6.706</v>
      </c>
      <c r="BB187" s="1" t="s">
        <v>430</v>
      </c>
    </row>
    <row r="188" spans="8:54">
      <c r="H188"/>
      <c r="I188"/>
      <c r="AN188" s="1">
        <f t="shared" si="13"/>
        <v>0</v>
      </c>
      <c r="AR188" s="1">
        <f t="shared" si="14"/>
        <v>0</v>
      </c>
      <c r="AT188" s="45" t="s">
        <v>2593</v>
      </c>
      <c r="AU188" s="44">
        <v>403.1</v>
      </c>
      <c r="AW188" s="45" t="s">
        <v>2596</v>
      </c>
      <c r="AX188" s="44">
        <v>556</v>
      </c>
      <c r="AZ188" s="128" t="s">
        <v>2757</v>
      </c>
      <c r="BA188" s="106">
        <v>2.221</v>
      </c>
      <c r="BB188" s="1" t="s">
        <v>430</v>
      </c>
    </row>
    <row r="189" spans="8:54">
      <c r="H189"/>
      <c r="I189"/>
      <c r="AN189" s="1">
        <f t="shared" si="13"/>
        <v>0</v>
      </c>
      <c r="AR189" s="1">
        <f t="shared" si="14"/>
        <v>0</v>
      </c>
      <c r="AT189" s="45" t="s">
        <v>2596</v>
      </c>
      <c r="AU189" s="44">
        <v>542.1</v>
      </c>
      <c r="AW189" s="45" t="s">
        <v>2599</v>
      </c>
      <c r="AX189" s="44">
        <v>2210.1</v>
      </c>
      <c r="AZ189" s="128" t="s">
        <v>2418</v>
      </c>
      <c r="BA189" s="106">
        <v>6.8</v>
      </c>
      <c r="BB189" s="1" t="s">
        <v>430</v>
      </c>
    </row>
    <row r="190" spans="8:54">
      <c r="H190"/>
      <c r="I190"/>
      <c r="AN190" s="1">
        <f t="shared" si="13"/>
        <v>0</v>
      </c>
      <c r="AR190" s="1">
        <f t="shared" si="14"/>
        <v>0</v>
      </c>
      <c r="AT190" s="45" t="s">
        <v>2599</v>
      </c>
      <c r="AU190" s="44">
        <v>1501.2</v>
      </c>
      <c r="AW190" s="45" t="s">
        <v>2602</v>
      </c>
      <c r="AX190" s="44">
        <v>583.8</v>
      </c>
      <c r="AZ190" s="128" t="s">
        <v>2420</v>
      </c>
      <c r="BA190" s="106">
        <v>6.107</v>
      </c>
      <c r="BB190" s="1" t="s">
        <v>430</v>
      </c>
    </row>
    <row r="191" spans="8:54">
      <c r="H191"/>
      <c r="I191"/>
      <c r="AN191" s="1">
        <f t="shared" si="13"/>
        <v>0</v>
      </c>
      <c r="AR191" s="1">
        <f t="shared" si="14"/>
        <v>0</v>
      </c>
      <c r="AT191" s="45" t="s">
        <v>2602</v>
      </c>
      <c r="AU191" s="44">
        <v>208.5</v>
      </c>
      <c r="AW191" s="45" t="s">
        <v>2605</v>
      </c>
      <c r="AX191" s="44">
        <v>625.5</v>
      </c>
      <c r="AZ191" s="128" t="s">
        <v>2423</v>
      </c>
      <c r="BA191" s="106">
        <v>6.183</v>
      </c>
      <c r="BB191" s="1" t="s">
        <v>430</v>
      </c>
    </row>
    <row r="192" spans="8:54">
      <c r="H192"/>
      <c r="I192"/>
      <c r="AN192" s="1">
        <f t="shared" si="13"/>
        <v>0</v>
      </c>
      <c r="AR192" s="1">
        <f t="shared" si="14"/>
        <v>0</v>
      </c>
      <c r="AT192" s="45" t="s">
        <v>2605</v>
      </c>
      <c r="AU192" s="44">
        <v>430.9</v>
      </c>
      <c r="AW192" s="45" t="s">
        <v>2608</v>
      </c>
      <c r="AX192" s="44">
        <v>417</v>
      </c>
      <c r="AZ192" s="128" t="s">
        <v>2758</v>
      </c>
      <c r="BA192" s="106">
        <v>2.382</v>
      </c>
      <c r="BB192" s="1" t="s">
        <v>430</v>
      </c>
    </row>
    <row r="193" spans="40:54">
      <c r="AN193" s="1">
        <f t="shared" si="13"/>
        <v>0</v>
      </c>
      <c r="AR193" s="1">
        <f t="shared" si="14"/>
        <v>0</v>
      </c>
      <c r="AT193" s="45" t="s">
        <v>2608</v>
      </c>
      <c r="AU193" s="44">
        <v>347.5</v>
      </c>
      <c r="AW193" s="45" t="s">
        <v>2611</v>
      </c>
      <c r="AX193" s="44">
        <v>528.2</v>
      </c>
      <c r="AZ193" s="128" t="s">
        <v>2759</v>
      </c>
      <c r="BA193" s="106">
        <v>2.395</v>
      </c>
      <c r="BB193" s="1" t="s">
        <v>430</v>
      </c>
    </row>
    <row r="194" spans="40:54">
      <c r="AN194" s="1">
        <f t="shared" si="13"/>
        <v>0</v>
      </c>
      <c r="AR194" s="1">
        <f t="shared" si="14"/>
        <v>0</v>
      </c>
      <c r="AT194" s="45" t="s">
        <v>2611</v>
      </c>
      <c r="AU194" s="44">
        <v>41.7</v>
      </c>
      <c r="AW194" s="45" t="s">
        <v>2614</v>
      </c>
      <c r="AX194" s="44">
        <v>1042.5</v>
      </c>
      <c r="AZ194" s="128" t="s">
        <v>2760</v>
      </c>
      <c r="BA194" s="106">
        <v>2.29</v>
      </c>
      <c r="BB194" s="1" t="s">
        <v>430</v>
      </c>
    </row>
    <row r="195" spans="40:54">
      <c r="AN195" s="1">
        <f t="shared" ref="AN195:AN236" si="15">AM195*$AS$1</f>
        <v>0</v>
      </c>
      <c r="AR195" s="1">
        <f t="shared" si="14"/>
        <v>0</v>
      </c>
      <c r="AT195" s="45" t="s">
        <v>2614</v>
      </c>
      <c r="AU195" s="44">
        <v>667.2</v>
      </c>
      <c r="AW195" s="45" t="s">
        <v>2617</v>
      </c>
      <c r="AX195" s="44">
        <v>639.4</v>
      </c>
      <c r="AZ195" s="128" t="s">
        <v>2761</v>
      </c>
      <c r="BA195" s="106">
        <v>2.395</v>
      </c>
      <c r="BB195" s="1" t="s">
        <v>430</v>
      </c>
    </row>
    <row r="196" spans="40:54">
      <c r="AN196" s="1">
        <f t="shared" si="15"/>
        <v>0</v>
      </c>
      <c r="AR196" s="1">
        <f t="shared" si="14"/>
        <v>0</v>
      </c>
      <c r="AT196" s="45" t="s">
        <v>2617</v>
      </c>
      <c r="AU196" s="44">
        <v>13.9</v>
      </c>
      <c r="AW196" s="45" t="s">
        <v>2620</v>
      </c>
      <c r="AX196" s="44">
        <v>667.2</v>
      </c>
      <c r="AZ196" s="128" t="s">
        <v>2762</v>
      </c>
      <c r="BA196" s="106">
        <v>6.702</v>
      </c>
      <c r="BB196" s="1" t="s">
        <v>430</v>
      </c>
    </row>
    <row r="197" spans="40:54">
      <c r="AN197" s="1">
        <f t="shared" si="15"/>
        <v>0</v>
      </c>
      <c r="AR197" s="1">
        <f t="shared" si="14"/>
        <v>0</v>
      </c>
      <c r="AT197" s="45" t="s">
        <v>2620</v>
      </c>
      <c r="AU197" s="44">
        <v>361.4</v>
      </c>
      <c r="AW197" s="45" t="s">
        <v>2623</v>
      </c>
      <c r="AX197" s="44">
        <v>834</v>
      </c>
      <c r="AZ197" s="128" t="s">
        <v>2448</v>
      </c>
      <c r="BA197" s="106">
        <v>6.702</v>
      </c>
      <c r="BB197" s="1" t="s">
        <v>430</v>
      </c>
    </row>
    <row r="198" spans="40:54">
      <c r="AN198" s="1">
        <f t="shared" si="15"/>
        <v>0</v>
      </c>
      <c r="AR198" s="1">
        <f t="shared" si="14"/>
        <v>0</v>
      </c>
      <c r="AT198" s="45" t="s">
        <v>2623</v>
      </c>
      <c r="AU198" s="44">
        <v>611.6</v>
      </c>
      <c r="AW198" s="45" t="s">
        <v>2626</v>
      </c>
      <c r="AX198" s="44">
        <v>514.3</v>
      </c>
      <c r="AZ198" s="128" t="s">
        <v>2763</v>
      </c>
      <c r="BA198" s="106">
        <v>6.775</v>
      </c>
      <c r="BB198" s="1" t="s">
        <v>430</v>
      </c>
    </row>
    <row r="199" spans="40:54">
      <c r="AN199" s="1">
        <f t="shared" si="15"/>
        <v>0</v>
      </c>
      <c r="AR199" s="1">
        <f t="shared" si="14"/>
        <v>0</v>
      </c>
      <c r="AT199" s="45" t="s">
        <v>2626</v>
      </c>
      <c r="AU199" s="44">
        <v>13.9</v>
      </c>
      <c r="AW199" s="45" t="s">
        <v>2629</v>
      </c>
      <c r="AX199" s="44">
        <v>2154.5</v>
      </c>
      <c r="AZ199" s="128" t="s">
        <v>2764</v>
      </c>
      <c r="BA199" s="106">
        <v>6.757</v>
      </c>
      <c r="BB199" s="1" t="s">
        <v>430</v>
      </c>
    </row>
    <row r="200" spans="40:54">
      <c r="AN200" s="1">
        <f t="shared" si="15"/>
        <v>0</v>
      </c>
      <c r="AR200" s="1">
        <f t="shared" si="14"/>
        <v>0</v>
      </c>
      <c r="AT200" s="45" t="s">
        <v>2629</v>
      </c>
      <c r="AU200" s="44">
        <v>4170</v>
      </c>
      <c r="AW200" s="45" t="s">
        <v>2632</v>
      </c>
      <c r="AX200" s="44">
        <v>514.3</v>
      </c>
      <c r="AZ200" s="128" t="s">
        <v>2738</v>
      </c>
      <c r="BA200" s="106">
        <v>6.723</v>
      </c>
      <c r="BB200" s="1" t="s">
        <v>430</v>
      </c>
    </row>
    <row r="201" spans="40:54">
      <c r="AN201" s="1">
        <f t="shared" si="15"/>
        <v>0</v>
      </c>
      <c r="AR201" s="1">
        <f t="shared" si="14"/>
        <v>0</v>
      </c>
      <c r="AT201" s="45" t="s">
        <v>2632</v>
      </c>
      <c r="AU201" s="44">
        <v>1251</v>
      </c>
      <c r="AW201" s="45" t="s">
        <v>2635</v>
      </c>
      <c r="AX201" s="44">
        <v>1000.8</v>
      </c>
      <c r="AZ201" s="128" t="s">
        <v>2733</v>
      </c>
      <c r="BA201" s="106">
        <v>6.638</v>
      </c>
      <c r="BB201" s="1" t="s">
        <v>430</v>
      </c>
    </row>
    <row r="202" spans="40:54">
      <c r="AN202" s="1">
        <f t="shared" si="15"/>
        <v>0</v>
      </c>
      <c r="AR202" s="1">
        <f t="shared" si="14"/>
        <v>0</v>
      </c>
      <c r="AT202" s="45" t="s">
        <v>2635</v>
      </c>
      <c r="AU202" s="44">
        <v>2821.7</v>
      </c>
      <c r="AW202" s="45" t="s">
        <v>2638</v>
      </c>
      <c r="AX202" s="44">
        <v>250.2</v>
      </c>
      <c r="AZ202" s="128" t="s">
        <v>2445</v>
      </c>
      <c r="BA202" s="106">
        <v>6.646</v>
      </c>
      <c r="BB202" s="1" t="s">
        <v>430</v>
      </c>
    </row>
    <row r="203" spans="40:54">
      <c r="AN203" s="1">
        <f t="shared" si="15"/>
        <v>0</v>
      </c>
      <c r="AR203" s="1">
        <f t="shared" ref="AR203:AR234" si="16">AQ203*$AS$1</f>
        <v>0</v>
      </c>
      <c r="AT203" s="45" t="s">
        <v>2638</v>
      </c>
      <c r="AU203" s="44">
        <v>444.8</v>
      </c>
      <c r="AW203" s="45" t="s">
        <v>2641</v>
      </c>
      <c r="AX203" s="44">
        <v>514.3</v>
      </c>
      <c r="AZ203" s="128" t="s">
        <v>2720</v>
      </c>
      <c r="BA203" s="106">
        <v>6.638</v>
      </c>
      <c r="BB203" s="1" t="s">
        <v>430</v>
      </c>
    </row>
    <row r="204" spans="40:54">
      <c r="AN204" s="1">
        <f t="shared" si="15"/>
        <v>0</v>
      </c>
      <c r="AR204" s="1">
        <f t="shared" si="16"/>
        <v>0</v>
      </c>
      <c r="AT204" s="45" t="s">
        <v>2641</v>
      </c>
      <c r="AU204" s="44">
        <v>2210.1</v>
      </c>
      <c r="AZ204" s="128" t="s">
        <v>2702</v>
      </c>
      <c r="BA204" s="106">
        <v>6.764</v>
      </c>
      <c r="BB204" s="1" t="s">
        <v>430</v>
      </c>
    </row>
    <row r="205" spans="40:54">
      <c r="AN205" s="1">
        <f t="shared" si="15"/>
        <v>0</v>
      </c>
      <c r="AR205" s="1">
        <f t="shared" si="16"/>
        <v>0</v>
      </c>
      <c r="AT205" s="129" t="s">
        <v>2765</v>
      </c>
      <c r="AU205" s="44">
        <v>33215</v>
      </c>
      <c r="AZ205" s="128" t="s">
        <v>2439</v>
      </c>
      <c r="BA205" s="106">
        <v>0.791</v>
      </c>
      <c r="BB205" s="1" t="s">
        <v>430</v>
      </c>
    </row>
    <row r="206" spans="40:54">
      <c r="AN206" s="1">
        <f t="shared" si="15"/>
        <v>0</v>
      </c>
      <c r="AR206" s="1">
        <f t="shared" si="16"/>
        <v>0</v>
      </c>
      <c r="AT206" s="129" t="s">
        <v>2766</v>
      </c>
      <c r="AU206" s="44">
        <v>27375</v>
      </c>
      <c r="AZ206" s="128" t="s">
        <v>2436</v>
      </c>
      <c r="BA206" s="106">
        <v>4.359</v>
      </c>
      <c r="BB206" s="1" t="s">
        <v>430</v>
      </c>
    </row>
    <row r="207" spans="40:54">
      <c r="AN207" s="1">
        <f t="shared" si="15"/>
        <v>0</v>
      </c>
      <c r="AR207" s="1">
        <f t="shared" si="16"/>
        <v>0</v>
      </c>
      <c r="AT207" s="129" t="s">
        <v>2767</v>
      </c>
      <c r="AU207" s="44">
        <v>32120</v>
      </c>
      <c r="AZ207" s="128" t="s">
        <v>2768</v>
      </c>
      <c r="BA207" s="106">
        <v>2.919</v>
      </c>
      <c r="BB207" s="1" t="s">
        <v>430</v>
      </c>
    </row>
    <row r="208" spans="40:54">
      <c r="AN208" s="1">
        <f t="shared" si="15"/>
        <v>0</v>
      </c>
      <c r="AR208" s="1">
        <f t="shared" si="16"/>
        <v>0</v>
      </c>
      <c r="AT208" s="45" t="s">
        <v>2644</v>
      </c>
      <c r="AU208" s="44">
        <v>550</v>
      </c>
      <c r="AZ208" s="128" t="s">
        <v>2769</v>
      </c>
      <c r="BA208" s="106">
        <v>2.486</v>
      </c>
      <c r="BB208" s="1" t="s">
        <v>430</v>
      </c>
    </row>
    <row r="209" spans="40:54">
      <c r="AN209" s="1">
        <f t="shared" si="15"/>
        <v>0</v>
      </c>
      <c r="AR209" s="1">
        <f t="shared" si="16"/>
        <v>0</v>
      </c>
      <c r="AT209" s="45" t="s">
        <v>2647</v>
      </c>
      <c r="AU209" s="44">
        <v>880</v>
      </c>
      <c r="AZ209" s="128" t="s">
        <v>2770</v>
      </c>
      <c r="BA209" s="106">
        <v>6.556</v>
      </c>
      <c r="BB209" s="1" t="s">
        <v>430</v>
      </c>
    </row>
    <row r="210" spans="40:54">
      <c r="AN210" s="1">
        <f t="shared" si="15"/>
        <v>0</v>
      </c>
      <c r="AR210" s="1">
        <f t="shared" si="16"/>
        <v>0</v>
      </c>
      <c r="AT210" s="45" t="s">
        <v>2650</v>
      </c>
      <c r="AU210" s="44">
        <v>880</v>
      </c>
      <c r="AZ210" s="128" t="s">
        <v>2771</v>
      </c>
      <c r="BA210" s="106">
        <v>1.522</v>
      </c>
      <c r="BB210" s="1" t="s">
        <v>430</v>
      </c>
    </row>
    <row r="211" spans="40:54">
      <c r="AN211" s="1">
        <f t="shared" si="15"/>
        <v>0</v>
      </c>
      <c r="AR211" s="1">
        <f t="shared" si="16"/>
        <v>0</v>
      </c>
      <c r="AT211" s="45" t="s">
        <v>2653</v>
      </c>
      <c r="AU211" s="44">
        <v>440</v>
      </c>
      <c r="AZ211" s="128" t="s">
        <v>2481</v>
      </c>
      <c r="BA211" s="106">
        <v>2.989</v>
      </c>
      <c r="BB211" s="1" t="s">
        <v>430</v>
      </c>
    </row>
    <row r="212" spans="40:54">
      <c r="AN212" s="1">
        <f t="shared" si="15"/>
        <v>0</v>
      </c>
      <c r="AR212" s="1">
        <f t="shared" si="16"/>
        <v>0</v>
      </c>
      <c r="AT212" s="45" t="s">
        <v>2656</v>
      </c>
      <c r="AU212" s="44">
        <v>550</v>
      </c>
      <c r="AZ212" s="128" t="s">
        <v>2484</v>
      </c>
      <c r="BA212" s="106">
        <v>4.441</v>
      </c>
      <c r="BB212" s="1" t="s">
        <v>430</v>
      </c>
    </row>
    <row r="213" spans="40:54">
      <c r="AN213" s="1">
        <f t="shared" si="15"/>
        <v>0</v>
      </c>
      <c r="AR213" s="1">
        <f t="shared" si="16"/>
        <v>0</v>
      </c>
      <c r="AT213" s="45" t="s">
        <v>2659</v>
      </c>
      <c r="AU213" s="44">
        <v>550</v>
      </c>
      <c r="AZ213" s="128" t="s">
        <v>2489</v>
      </c>
      <c r="BA213" s="106">
        <v>3.776</v>
      </c>
      <c r="BB213" s="1" t="s">
        <v>430</v>
      </c>
    </row>
    <row r="214" spans="40:54">
      <c r="AN214" s="1">
        <f t="shared" si="15"/>
        <v>0</v>
      </c>
      <c r="AR214" s="1">
        <f t="shared" si="16"/>
        <v>0</v>
      </c>
      <c r="AT214" s="45" t="s">
        <v>2662</v>
      </c>
      <c r="AU214" s="44">
        <v>440</v>
      </c>
      <c r="AZ214" s="128" t="s">
        <v>2486</v>
      </c>
      <c r="BA214" s="106">
        <v>4.441</v>
      </c>
      <c r="BB214" s="1" t="s">
        <v>430</v>
      </c>
    </row>
    <row r="215" spans="40:54">
      <c r="AN215" s="1">
        <f t="shared" si="15"/>
        <v>0</v>
      </c>
      <c r="AR215" s="1">
        <f t="shared" si="16"/>
        <v>0</v>
      </c>
      <c r="AT215" s="45" t="s">
        <v>2665</v>
      </c>
      <c r="AU215" s="44">
        <v>429</v>
      </c>
      <c r="AZ215" s="128" t="s">
        <v>2516</v>
      </c>
      <c r="BA215" s="106">
        <v>6.681</v>
      </c>
      <c r="BB215" s="1" t="s">
        <v>430</v>
      </c>
    </row>
    <row r="216" spans="40:54">
      <c r="AN216" s="1">
        <f t="shared" si="15"/>
        <v>0</v>
      </c>
      <c r="AR216" s="1">
        <f t="shared" si="16"/>
        <v>0</v>
      </c>
      <c r="AT216" s="45" t="s">
        <v>2668</v>
      </c>
      <c r="AU216" s="44">
        <v>220</v>
      </c>
      <c r="AZ216" s="128" t="s">
        <v>2451</v>
      </c>
      <c r="BA216" s="106">
        <v>3.733</v>
      </c>
      <c r="BB216" s="1" t="s">
        <v>430</v>
      </c>
    </row>
    <row r="217" spans="40:54">
      <c r="AN217" s="1">
        <f t="shared" si="15"/>
        <v>0</v>
      </c>
      <c r="AR217" s="1">
        <f t="shared" si="16"/>
        <v>0</v>
      </c>
      <c r="AT217" s="45" t="s">
        <v>2671</v>
      </c>
      <c r="AU217" s="44">
        <v>352</v>
      </c>
      <c r="AZ217" s="128" t="s">
        <v>2454</v>
      </c>
      <c r="BA217" s="106">
        <v>6.753</v>
      </c>
      <c r="BB217" s="1" t="s">
        <v>430</v>
      </c>
    </row>
    <row r="218" spans="40:54">
      <c r="AN218" s="1">
        <f t="shared" si="15"/>
        <v>0</v>
      </c>
      <c r="AR218" s="1">
        <f t="shared" si="16"/>
        <v>0</v>
      </c>
      <c r="AZ218" s="128" t="s">
        <v>2457</v>
      </c>
      <c r="BA218" s="106">
        <v>6.657</v>
      </c>
      <c r="BB218" s="1" t="s">
        <v>430</v>
      </c>
    </row>
    <row r="219" spans="40:54">
      <c r="AN219" s="1">
        <f t="shared" si="15"/>
        <v>0</v>
      </c>
      <c r="AR219" s="1">
        <f t="shared" si="16"/>
        <v>0</v>
      </c>
      <c r="AZ219" s="128" t="s">
        <v>2513</v>
      </c>
      <c r="BA219" s="106">
        <v>6.699</v>
      </c>
      <c r="BB219" s="1" t="s">
        <v>430</v>
      </c>
    </row>
    <row r="220" spans="40:54">
      <c r="AN220" s="1">
        <f t="shared" si="15"/>
        <v>0</v>
      </c>
      <c r="AR220" s="1">
        <f t="shared" si="16"/>
        <v>0</v>
      </c>
      <c r="AZ220" s="128" t="s">
        <v>2491</v>
      </c>
      <c r="BA220" s="106">
        <v>6.699</v>
      </c>
      <c r="BB220" s="1" t="s">
        <v>430</v>
      </c>
    </row>
    <row r="221" spans="40:54">
      <c r="AN221" s="1">
        <f t="shared" si="15"/>
        <v>0</v>
      </c>
      <c r="AR221" s="1">
        <f t="shared" si="16"/>
        <v>0</v>
      </c>
      <c r="AZ221" s="128" t="s">
        <v>2460</v>
      </c>
      <c r="BA221" s="106">
        <v>6.699</v>
      </c>
      <c r="BB221" s="1" t="s">
        <v>430</v>
      </c>
    </row>
    <row r="222" spans="40:54">
      <c r="AN222" s="1">
        <f t="shared" si="15"/>
        <v>0</v>
      </c>
      <c r="AR222" s="1">
        <f t="shared" si="16"/>
        <v>0</v>
      </c>
      <c r="AZ222" s="128" t="s">
        <v>2466</v>
      </c>
      <c r="BA222" s="106">
        <v>6.742</v>
      </c>
      <c r="BB222" s="1" t="s">
        <v>430</v>
      </c>
    </row>
    <row r="223" spans="40:54">
      <c r="AN223" s="1">
        <f t="shared" si="15"/>
        <v>0</v>
      </c>
      <c r="AR223" s="1">
        <f t="shared" si="16"/>
        <v>0</v>
      </c>
      <c r="AZ223" s="128" t="s">
        <v>2739</v>
      </c>
      <c r="BA223" s="106">
        <v>6.741</v>
      </c>
      <c r="BB223" s="1" t="s">
        <v>430</v>
      </c>
    </row>
    <row r="224" spans="40:54">
      <c r="AN224" s="1">
        <f t="shared" si="15"/>
        <v>0</v>
      </c>
      <c r="AR224" s="1">
        <f t="shared" si="16"/>
        <v>0</v>
      </c>
      <c r="AZ224" s="128" t="s">
        <v>2463</v>
      </c>
      <c r="BA224" s="106">
        <v>6.719</v>
      </c>
      <c r="BB224" s="1" t="s">
        <v>430</v>
      </c>
    </row>
    <row r="225" spans="40:54">
      <c r="AN225" s="1">
        <f t="shared" si="15"/>
        <v>0</v>
      </c>
      <c r="AR225" s="1">
        <f t="shared" si="16"/>
        <v>0</v>
      </c>
      <c r="AZ225" s="128" t="s">
        <v>2469</v>
      </c>
      <c r="BA225" s="106">
        <v>6.706</v>
      </c>
      <c r="BB225" s="1" t="s">
        <v>430</v>
      </c>
    </row>
    <row r="226" spans="40:54">
      <c r="AN226" s="1">
        <f t="shared" si="15"/>
        <v>0</v>
      </c>
      <c r="AR226" s="1">
        <f t="shared" si="16"/>
        <v>0</v>
      </c>
      <c r="AZ226" s="128" t="s">
        <v>2772</v>
      </c>
      <c r="BA226" s="106">
        <v>6</v>
      </c>
      <c r="BB226" s="1" t="s">
        <v>430</v>
      </c>
    </row>
    <row r="227" spans="40:54">
      <c r="AN227" s="1">
        <f t="shared" si="15"/>
        <v>0</v>
      </c>
      <c r="AR227" s="1">
        <f t="shared" si="16"/>
        <v>0</v>
      </c>
      <c r="AZ227" s="128" t="s">
        <v>2580</v>
      </c>
      <c r="BA227" s="106">
        <v>7.65</v>
      </c>
      <c r="BB227" s="1" t="s">
        <v>430</v>
      </c>
    </row>
    <row r="228" spans="40:54">
      <c r="AN228" s="1">
        <f t="shared" si="15"/>
        <v>0</v>
      </c>
      <c r="AR228" s="1">
        <f t="shared" si="16"/>
        <v>0</v>
      </c>
      <c r="AZ228" s="128" t="s">
        <v>2575</v>
      </c>
      <c r="BA228" s="106">
        <v>5.373</v>
      </c>
      <c r="BB228" s="1" t="s">
        <v>430</v>
      </c>
    </row>
    <row r="229" spans="40:54">
      <c r="AN229" s="1">
        <f t="shared" si="15"/>
        <v>0</v>
      </c>
      <c r="AR229" s="1">
        <f t="shared" si="16"/>
        <v>0</v>
      </c>
      <c r="AZ229" s="128" t="s">
        <v>2578</v>
      </c>
      <c r="BA229" s="106">
        <v>5.65</v>
      </c>
      <c r="BB229" s="1" t="s">
        <v>430</v>
      </c>
    </row>
    <row r="230" spans="40:54">
      <c r="AN230" s="1">
        <f t="shared" si="15"/>
        <v>0</v>
      </c>
      <c r="AR230" s="1">
        <f t="shared" si="16"/>
        <v>0</v>
      </c>
      <c r="AZ230" s="104" t="s">
        <v>2582</v>
      </c>
      <c r="BA230" s="104">
        <v>5.492</v>
      </c>
      <c r="BB230" s="1" t="s">
        <v>430</v>
      </c>
    </row>
    <row r="231" spans="40:54">
      <c r="AN231" s="1">
        <f t="shared" si="15"/>
        <v>0</v>
      </c>
      <c r="AR231" s="1">
        <f t="shared" si="16"/>
        <v>0</v>
      </c>
      <c r="AZ231" s="104" t="s">
        <v>2587</v>
      </c>
      <c r="BA231" s="104">
        <v>1.748</v>
      </c>
      <c r="BB231" s="1" t="s">
        <v>430</v>
      </c>
    </row>
    <row r="232" spans="40:54">
      <c r="AN232" s="1">
        <f t="shared" si="15"/>
        <v>0</v>
      </c>
      <c r="AR232" s="1">
        <f t="shared" si="16"/>
        <v>0</v>
      </c>
      <c r="AZ232" s="104" t="s">
        <v>2599</v>
      </c>
      <c r="BA232" s="104">
        <v>4.799</v>
      </c>
      <c r="BB232" s="1" t="s">
        <v>430</v>
      </c>
    </row>
    <row r="233" spans="40:54">
      <c r="AN233" s="1">
        <f t="shared" si="15"/>
        <v>0</v>
      </c>
      <c r="AR233" s="1">
        <f t="shared" si="16"/>
        <v>0</v>
      </c>
      <c r="AZ233" s="104" t="s">
        <v>2602</v>
      </c>
      <c r="BA233" s="104">
        <v>1.748</v>
      </c>
      <c r="BB233" s="1" t="s">
        <v>430</v>
      </c>
    </row>
    <row r="234" spans="40:54">
      <c r="AN234" s="1">
        <f t="shared" si="15"/>
        <v>0</v>
      </c>
      <c r="AR234" s="1">
        <f t="shared" si="16"/>
        <v>0</v>
      </c>
      <c r="AZ234" s="104" t="s">
        <v>2605</v>
      </c>
      <c r="BA234" s="104">
        <v>1.748</v>
      </c>
      <c r="BB234" s="1" t="s">
        <v>430</v>
      </c>
    </row>
    <row r="235" spans="40:54">
      <c r="AN235" s="1">
        <f t="shared" si="15"/>
        <v>0</v>
      </c>
      <c r="AZ235" s="104" t="s">
        <v>2608</v>
      </c>
      <c r="BA235" s="104">
        <v>1.748</v>
      </c>
      <c r="BB235" s="1" t="s">
        <v>430</v>
      </c>
    </row>
    <row r="236" spans="40:54">
      <c r="AN236" s="1">
        <f t="shared" si="15"/>
        <v>0</v>
      </c>
      <c r="AZ236" s="104" t="s">
        <v>2611</v>
      </c>
      <c r="BA236" s="104">
        <v>1.748</v>
      </c>
      <c r="BB236" s="1" t="s">
        <v>430</v>
      </c>
    </row>
    <row r="237" spans="52:54">
      <c r="AZ237" s="104" t="s">
        <v>2614</v>
      </c>
      <c r="BA237" s="104">
        <v>4.172</v>
      </c>
      <c r="BB237" s="1" t="s">
        <v>430</v>
      </c>
    </row>
    <row r="238" spans="52:54">
      <c r="AZ238" s="104" t="s">
        <v>2617</v>
      </c>
      <c r="BA238" s="104">
        <v>1.748</v>
      </c>
      <c r="BB238" s="1" t="s">
        <v>430</v>
      </c>
    </row>
    <row r="239" spans="52:54">
      <c r="AZ239" s="104" t="s">
        <v>2620</v>
      </c>
      <c r="BA239" s="104">
        <v>1.748</v>
      </c>
      <c r="BB239" s="1" t="s">
        <v>430</v>
      </c>
    </row>
    <row r="240" spans="52:54">
      <c r="AZ240" s="104" t="s">
        <v>2623</v>
      </c>
      <c r="BA240" s="104">
        <v>1.748</v>
      </c>
      <c r="BB240" s="1" t="s">
        <v>430</v>
      </c>
    </row>
    <row r="241" spans="52:54">
      <c r="AZ241" s="104" t="s">
        <v>2626</v>
      </c>
      <c r="BA241" s="104">
        <v>1.748</v>
      </c>
      <c r="BB241" s="1" t="s">
        <v>430</v>
      </c>
    </row>
    <row r="242" spans="52:54">
      <c r="AZ242" s="104" t="s">
        <v>2629</v>
      </c>
      <c r="BA242" s="104">
        <v>6.223</v>
      </c>
      <c r="BB242" s="1" t="s">
        <v>430</v>
      </c>
    </row>
    <row r="243" spans="52:54">
      <c r="AZ243" s="104" t="s">
        <v>2632</v>
      </c>
      <c r="BA243" s="104">
        <v>5.529</v>
      </c>
      <c r="BB243" s="1" t="s">
        <v>430</v>
      </c>
    </row>
    <row r="244" spans="52:54">
      <c r="AZ244" s="104" t="s">
        <v>2635</v>
      </c>
      <c r="BA244" s="104">
        <v>6.207</v>
      </c>
      <c r="BB244" s="1" t="s">
        <v>430</v>
      </c>
    </row>
    <row r="245" spans="52:54">
      <c r="AZ245" s="104" t="s">
        <v>2638</v>
      </c>
      <c r="BA245" s="104">
        <v>4.899</v>
      </c>
      <c r="BB245" s="1" t="s">
        <v>430</v>
      </c>
    </row>
    <row r="246" spans="52:54">
      <c r="AZ246" s="104" t="s">
        <v>2641</v>
      </c>
      <c r="BA246" s="104">
        <v>6.249</v>
      </c>
      <c r="BB246" s="1" t="s">
        <v>430</v>
      </c>
    </row>
    <row r="247" spans="52:54">
      <c r="AZ247" t="s">
        <v>2559</v>
      </c>
      <c r="BA247">
        <v>8.607</v>
      </c>
      <c r="BB247" s="1" t="s">
        <v>455</v>
      </c>
    </row>
    <row r="248" spans="52:54">
      <c r="AZ248" t="s">
        <v>2561</v>
      </c>
      <c r="BA248">
        <v>8.607</v>
      </c>
      <c r="BB248" s="1" t="s">
        <v>455</v>
      </c>
    </row>
    <row r="249" spans="52:54">
      <c r="AZ249" t="s">
        <v>2563</v>
      </c>
      <c r="BA249">
        <v>8.607</v>
      </c>
      <c r="BB249" s="1" t="s">
        <v>455</v>
      </c>
    </row>
    <row r="250" spans="52:54">
      <c r="AZ250" t="s">
        <v>2565</v>
      </c>
      <c r="BA250">
        <v>8.607</v>
      </c>
      <c r="BB250" s="1" t="s">
        <v>455</v>
      </c>
    </row>
    <row r="251" spans="52:54">
      <c r="AZ251" t="s">
        <v>2551</v>
      </c>
      <c r="BA251">
        <v>8.607</v>
      </c>
      <c r="BB251" s="1" t="s">
        <v>455</v>
      </c>
    </row>
    <row r="252" spans="52:54">
      <c r="AZ252" t="s">
        <v>2557</v>
      </c>
      <c r="BA252">
        <v>8.607</v>
      </c>
      <c r="BB252" s="1" t="s">
        <v>455</v>
      </c>
    </row>
    <row r="253" spans="52:54">
      <c r="AZ253" t="s">
        <v>2553</v>
      </c>
      <c r="BA253">
        <v>8.607</v>
      </c>
      <c r="BB253" s="1" t="s">
        <v>455</v>
      </c>
    </row>
    <row r="254" spans="52:54">
      <c r="AZ254" t="s">
        <v>2555</v>
      </c>
      <c r="BA254">
        <v>8.607</v>
      </c>
      <c r="BB254" s="1" t="s">
        <v>455</v>
      </c>
    </row>
    <row r="255" spans="52:54">
      <c r="AZ255" t="s">
        <v>2571</v>
      </c>
      <c r="BA255">
        <v>8.607</v>
      </c>
      <c r="BB255" s="1" t="s">
        <v>455</v>
      </c>
    </row>
    <row r="256" spans="52:54">
      <c r="AZ256" t="s">
        <v>2567</v>
      </c>
      <c r="BA256">
        <v>8.607</v>
      </c>
      <c r="BB256" s="1" t="s">
        <v>455</v>
      </c>
    </row>
    <row r="257" spans="52:54">
      <c r="AZ257" t="s">
        <v>2569</v>
      </c>
      <c r="BA257">
        <v>8.607</v>
      </c>
      <c r="BB257" s="1" t="s">
        <v>455</v>
      </c>
    </row>
    <row r="258" spans="52:54">
      <c r="AZ258" t="s">
        <v>2573</v>
      </c>
      <c r="BA258">
        <v>8.607</v>
      </c>
      <c r="BB258" s="1" t="s">
        <v>455</v>
      </c>
    </row>
    <row r="259" spans="52:54">
      <c r="AZ259" t="s">
        <v>2543</v>
      </c>
      <c r="BA259">
        <v>8.607</v>
      </c>
      <c r="BB259" s="1" t="s">
        <v>455</v>
      </c>
    </row>
    <row r="260" spans="52:54">
      <c r="AZ260" t="s">
        <v>2545</v>
      </c>
      <c r="BA260">
        <v>8.607</v>
      </c>
      <c r="BB260" s="1" t="s">
        <v>455</v>
      </c>
    </row>
    <row r="261" spans="52:54">
      <c r="AZ261" t="s">
        <v>2547</v>
      </c>
      <c r="BA261">
        <v>8.607</v>
      </c>
      <c r="BB261" s="1" t="s">
        <v>455</v>
      </c>
    </row>
    <row r="262" spans="52:54">
      <c r="AZ262" t="s">
        <v>2549</v>
      </c>
      <c r="BA262">
        <v>8.607</v>
      </c>
      <c r="BB262" s="1" t="s">
        <v>455</v>
      </c>
    </row>
    <row r="263" spans="52:54">
      <c r="AZ263" t="s">
        <v>2502</v>
      </c>
      <c r="BA263">
        <v>8.489</v>
      </c>
      <c r="BB263" s="1" t="s">
        <v>455</v>
      </c>
    </row>
    <row r="264" spans="52:54">
      <c r="AZ264" t="s">
        <v>2505</v>
      </c>
      <c r="BA264">
        <v>8.489</v>
      </c>
      <c r="BB264" s="1" t="s">
        <v>455</v>
      </c>
    </row>
    <row r="265" spans="52:54">
      <c r="AZ265" t="s">
        <v>2504</v>
      </c>
      <c r="BA265">
        <v>8.489</v>
      </c>
      <c r="BB265" s="1" t="s">
        <v>455</v>
      </c>
    </row>
    <row r="266" spans="52:54">
      <c r="AZ266" t="s">
        <v>2507</v>
      </c>
      <c r="BA266">
        <v>8.489</v>
      </c>
      <c r="BB266" s="1" t="s">
        <v>455</v>
      </c>
    </row>
    <row r="267" spans="52:54">
      <c r="AZ267" t="s">
        <v>2497</v>
      </c>
      <c r="BA267">
        <v>8.489</v>
      </c>
      <c r="BB267" s="1" t="s">
        <v>455</v>
      </c>
    </row>
    <row r="268" spans="52:54">
      <c r="AZ268" t="s">
        <v>2499</v>
      </c>
      <c r="BA268">
        <v>8.489</v>
      </c>
      <c r="BB268" s="1" t="s">
        <v>455</v>
      </c>
    </row>
    <row r="269" spans="52:54">
      <c r="AZ269" t="s">
        <v>2500</v>
      </c>
      <c r="BA269">
        <v>8.489</v>
      </c>
      <c r="BB269" s="1" t="s">
        <v>455</v>
      </c>
    </row>
    <row r="270" spans="52:54">
      <c r="AZ270" t="s">
        <v>2501</v>
      </c>
      <c r="BA270">
        <v>8.489</v>
      </c>
      <c r="BB270" s="1" t="s">
        <v>455</v>
      </c>
    </row>
    <row r="271" spans="52:54">
      <c r="AZ271" t="s">
        <v>2511</v>
      </c>
      <c r="BA271">
        <v>8.489</v>
      </c>
      <c r="BB271" s="1" t="s">
        <v>455</v>
      </c>
    </row>
    <row r="272" spans="52:54">
      <c r="AZ272" t="s">
        <v>2508</v>
      </c>
      <c r="BA272">
        <v>8.489</v>
      </c>
      <c r="BB272" s="1" t="s">
        <v>455</v>
      </c>
    </row>
    <row r="273" spans="52:54">
      <c r="AZ273" t="s">
        <v>2510</v>
      </c>
      <c r="BA273">
        <v>8.489</v>
      </c>
      <c r="BB273" s="1" t="s">
        <v>455</v>
      </c>
    </row>
    <row r="274" spans="52:54">
      <c r="AZ274" t="s">
        <v>2512</v>
      </c>
      <c r="BA274">
        <v>8.489</v>
      </c>
      <c r="BB274" s="1" t="s">
        <v>455</v>
      </c>
    </row>
    <row r="275" spans="52:54">
      <c r="AZ275" t="s">
        <v>2765</v>
      </c>
      <c r="BA275">
        <v>222.117</v>
      </c>
      <c r="BB275" s="1" t="s">
        <v>430</v>
      </c>
    </row>
    <row r="276" spans="52:54">
      <c r="AZ276" t="s">
        <v>2766</v>
      </c>
      <c r="BA276">
        <v>222.117</v>
      </c>
      <c r="BB276" s="1" t="s">
        <v>430</v>
      </c>
    </row>
    <row r="277" spans="52:54">
      <c r="AZ277" t="s">
        <v>2767</v>
      </c>
      <c r="BA277">
        <v>213.574</v>
      </c>
      <c r="BB277" s="1" t="s">
        <v>430</v>
      </c>
    </row>
    <row r="278" spans="52:54">
      <c r="AZ278" t="s">
        <v>2644</v>
      </c>
      <c r="BA278">
        <v>1.482</v>
      </c>
      <c r="BB278" s="1" t="s">
        <v>430</v>
      </c>
    </row>
    <row r="279" spans="52:54">
      <c r="AZ279" t="s">
        <v>2647</v>
      </c>
      <c r="BA279">
        <v>1.482</v>
      </c>
      <c r="BB279" s="1" t="s">
        <v>430</v>
      </c>
    </row>
    <row r="280" spans="52:54">
      <c r="AZ280" t="s">
        <v>2650</v>
      </c>
      <c r="BA280">
        <v>1.482</v>
      </c>
      <c r="BB280" s="1" t="s">
        <v>430</v>
      </c>
    </row>
    <row r="281" spans="52:54">
      <c r="AZ281" t="s">
        <v>2653</v>
      </c>
      <c r="BA281">
        <v>1.482</v>
      </c>
      <c r="BB281" s="1" t="s">
        <v>430</v>
      </c>
    </row>
    <row r="282" spans="52:54">
      <c r="AZ282" t="s">
        <v>2656</v>
      </c>
      <c r="BA282">
        <v>1.482</v>
      </c>
      <c r="BB282" s="1" t="s">
        <v>430</v>
      </c>
    </row>
    <row r="283" spans="52:54">
      <c r="AZ283" t="s">
        <v>2659</v>
      </c>
      <c r="BA283">
        <v>1.482</v>
      </c>
      <c r="BB283" s="1" t="s">
        <v>430</v>
      </c>
    </row>
    <row r="284" spans="52:54">
      <c r="AZ284" t="s">
        <v>2662</v>
      </c>
      <c r="BA284">
        <v>1.482</v>
      </c>
      <c r="BB284" s="1" t="s">
        <v>430</v>
      </c>
    </row>
    <row r="285" spans="52:54">
      <c r="AZ285" t="s">
        <v>2665</v>
      </c>
      <c r="BA285">
        <v>1.482</v>
      </c>
      <c r="BB285" s="1" t="s">
        <v>430</v>
      </c>
    </row>
    <row r="286" spans="52:54">
      <c r="AZ286" t="s">
        <v>2668</v>
      </c>
      <c r="BA286">
        <v>1.482</v>
      </c>
      <c r="BB286" s="1" t="s">
        <v>430</v>
      </c>
    </row>
    <row r="287" spans="52:54">
      <c r="AZ287" t="s">
        <v>2671</v>
      </c>
      <c r="BA287">
        <v>1.482</v>
      </c>
      <c r="BB287" s="1" t="s">
        <v>430</v>
      </c>
    </row>
    <row r="288" spans="52:54">
      <c r="AZ288" s="104" t="s">
        <v>2522</v>
      </c>
      <c r="BA288">
        <v>6.681</v>
      </c>
      <c r="BB288" s="1" t="s">
        <v>430</v>
      </c>
    </row>
    <row r="289" spans="52:54">
      <c r="AZ289" s="104" t="s">
        <v>2534</v>
      </c>
      <c r="BA289">
        <v>6.681</v>
      </c>
      <c r="BB289" s="1" t="s">
        <v>430</v>
      </c>
    </row>
    <row r="290" spans="52:54">
      <c r="AZ290" s="104" t="s">
        <v>2537</v>
      </c>
      <c r="BA290">
        <v>6.681</v>
      </c>
      <c r="BB290" s="1" t="s">
        <v>430</v>
      </c>
    </row>
    <row r="291" spans="52:54">
      <c r="AZ291" s="104" t="s">
        <v>2540</v>
      </c>
      <c r="BA291">
        <v>2.842</v>
      </c>
      <c r="BB291" s="1" t="s">
        <v>430</v>
      </c>
    </row>
    <row r="292" spans="52:54">
      <c r="AZ292" s="104" t="s">
        <v>2584</v>
      </c>
      <c r="BA292">
        <v>1.748</v>
      </c>
      <c r="BB292" s="1" t="s">
        <v>430</v>
      </c>
    </row>
    <row r="293" spans="52:54">
      <c r="AZ293" s="104" t="s">
        <v>2590</v>
      </c>
      <c r="BA293">
        <v>1.748</v>
      </c>
      <c r="BB293" s="1" t="s">
        <v>430</v>
      </c>
    </row>
    <row r="294" spans="52:54">
      <c r="AZ294" s="104" t="s">
        <v>2593</v>
      </c>
      <c r="BA294">
        <v>1.748</v>
      </c>
      <c r="BB294" s="1" t="s">
        <v>430</v>
      </c>
    </row>
    <row r="295" spans="52:54">
      <c r="AZ295" s="104" t="s">
        <v>2596</v>
      </c>
      <c r="BA295">
        <v>1.748</v>
      </c>
      <c r="BB295" s="1" t="s">
        <v>430</v>
      </c>
    </row>
    <row r="296" spans="52:54">
      <c r="AZ296"/>
      <c r="BA296"/>
      <c r="BB296" s="106"/>
    </row>
    <row r="297" spans="52:54">
      <c r="AZ297"/>
      <c r="BA297"/>
      <c r="BB297" s="106"/>
    </row>
    <row r="298" spans="52:54">
      <c r="AZ298"/>
      <c r="BA298"/>
      <c r="BB298" s="106"/>
    </row>
    <row r="299" spans="52:54">
      <c r="AZ299"/>
      <c r="BA299"/>
      <c r="BB299" s="106"/>
    </row>
    <row r="300" spans="52:54">
      <c r="AZ300"/>
      <c r="BA300"/>
      <c r="BB300" s="106"/>
    </row>
    <row r="301" spans="52:53">
      <c r="AZ301"/>
      <c r="BA301"/>
    </row>
    <row r="302" spans="52:53">
      <c r="AZ302"/>
      <c r="BA302"/>
    </row>
    <row r="303" spans="52:53">
      <c r="AZ303"/>
      <c r="BA303"/>
    </row>
    <row r="304" spans="52:53">
      <c r="AZ304"/>
      <c r="BA304"/>
    </row>
    <row r="305" spans="52:53">
      <c r="AZ305"/>
      <c r="BA305"/>
    </row>
    <row r="306" spans="52:53">
      <c r="AZ306"/>
      <c r="BA306"/>
    </row>
    <row r="307" spans="52:53">
      <c r="AZ307"/>
      <c r="BA307"/>
    </row>
    <row r="308" spans="52:53">
      <c r="AZ308"/>
      <c r="BA308"/>
    </row>
    <row r="309" spans="52:53">
      <c r="AZ309"/>
      <c r="BA309"/>
    </row>
    <row r="310" spans="52:53">
      <c r="AZ310"/>
      <c r="BA310"/>
    </row>
    <row r="311" spans="52:53">
      <c r="AZ311"/>
      <c r="BA311"/>
    </row>
    <row r="312" spans="52:53">
      <c r="AZ312"/>
      <c r="BA312"/>
    </row>
    <row r="313" spans="52:53">
      <c r="AZ313"/>
      <c r="BA313"/>
    </row>
    <row r="314" spans="52:53">
      <c r="AZ314"/>
      <c r="BA314"/>
    </row>
    <row r="315" spans="52:53">
      <c r="AZ315"/>
      <c r="BA315"/>
    </row>
    <row r="316" spans="52:53">
      <c r="AZ316"/>
      <c r="BA316"/>
    </row>
    <row r="317" spans="52:53">
      <c r="AZ317"/>
      <c r="BA317"/>
    </row>
    <row r="318" spans="52:53">
      <c r="AZ318"/>
      <c r="BA318"/>
    </row>
    <row r="319" spans="52:53">
      <c r="AZ319"/>
      <c r="BA319"/>
    </row>
    <row r="320" spans="52:53">
      <c r="AZ320"/>
      <c r="BA320"/>
    </row>
    <row r="321" spans="52:53">
      <c r="AZ321"/>
      <c r="BA321"/>
    </row>
  </sheetData>
  <autoFilter ref="B1:BC320">
    <extLst/>
  </autoFilter>
  <conditionalFormatting sqref="AT3">
    <cfRule type="duplicateValues" dxfId="984" priority="1"/>
  </conditionalFormatting>
  <conditionalFormatting sqref="AW3">
    <cfRule type="duplicateValues" dxfId="984" priority="2"/>
  </conditionalFormatting>
  <conditionalFormatting sqref="AZ3">
    <cfRule type="duplicateValues" dxfId="984" priority="10"/>
  </conditionalFormatting>
  <conditionalFormatting sqref="AZ3:AZ229">
    <cfRule type="duplicateValues" dxfId="984" priority="9"/>
  </conditionalFormatting>
  <conditionalFormatting sqref="AZ1:AZ274 AZ322:AZ1048576">
    <cfRule type="duplicateValues" dxfId="984" priority="4"/>
  </conditionalFormatting>
  <conditionalFormatting sqref="AZ1:AZ2 AZ322:AZ65706">
    <cfRule type="duplicateValues" dxfId="988" priority="47"/>
    <cfRule type="duplicateValues" dxfId="984" priority="46"/>
    <cfRule type="duplicateValues" dxfId="984" priority="45"/>
  </conditionalFormatting>
  <conditionalFormatting sqref="AZ1:AZ2 AZ322:AZ1048576">
    <cfRule type="duplicateValues" dxfId="984" priority="42"/>
  </conditionalFormatting>
  <pageMargins left="0.75" right="0.75" top="1" bottom="1" header="0.5" footer="0.5"/>
  <pageSetup paperSize="9" orientation="portrait"/>
  <headerFooter/>
  <legacyDrawing r:id="rId8"/>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tabColor rgb="FFFFFF00"/>
  </sheetPr>
  <dimension ref="A1:AO99"/>
  <sheetViews>
    <sheetView workbookViewId="0">
      <pane ySplit="3" topLeftCell="A4" activePane="bottomLeft" state="frozen"/>
      <selection/>
      <selection pane="bottomLeft" activeCell="M8" sqref="M8"/>
    </sheetView>
  </sheetViews>
  <sheetFormatPr defaultColWidth="9" defaultRowHeight="21" customHeight="1"/>
  <cols>
    <col min="1" max="1" width="5.22935779816514" customWidth="1"/>
    <col min="2" max="2" width="12.2110091743119" style="120" customWidth="1"/>
    <col min="3" max="3" width="15.6330275229358" customWidth="1"/>
    <col min="4" max="4" width="11.3302752293578" customWidth="1"/>
    <col min="5" max="5" width="11.5045871559633" customWidth="1"/>
    <col min="6" max="10" width="9" hidden="1" customWidth="1"/>
    <col min="12" max="12" width="9.22018348623853" customWidth="1"/>
    <col min="13" max="13" width="12.0917431192661" customWidth="1"/>
    <col min="14" max="14" width="7.71559633027523" customWidth="1"/>
    <col min="22" max="22" width="10.6697247706422"/>
    <col min="23" max="23" width="13.0733944954128" style="121" customWidth="1"/>
    <col min="24" max="24" width="12.8807339449541" customWidth="1"/>
    <col min="26" max="26" width="9.3302752293578"/>
    <col min="27" max="27" width="9.44036697247706"/>
    <col min="30" max="30" width="10.7155963302752" customWidth="1"/>
    <col min="32" max="32" width="8.46788990825688" customWidth="1"/>
    <col min="35" max="36" width="12.8256880733945" customWidth="1"/>
    <col min="37" max="37" width="12.3394495412844" customWidth="1"/>
    <col min="38" max="38" width="11.9633027522936" customWidth="1"/>
    <col min="39" max="39" width="10.4954128440367"/>
    <col min="41" max="41" width="9.4954128440367"/>
  </cols>
  <sheetData>
    <row r="1" s="1" customFormat="1" ht="152" customHeight="1" spans="2:37">
      <c r="B1" s="35">
        <f>COUNTA(B4:B1047583)</f>
        <v>96</v>
      </c>
      <c r="C1" s="51" t="s">
        <v>0</v>
      </c>
      <c r="K1" s="35">
        <f>SUM(K4:K1047856)</f>
        <v>3470</v>
      </c>
      <c r="M1" s="36"/>
      <c r="T1" s="66" t="s">
        <v>1</v>
      </c>
      <c r="W1" s="67" t="s">
        <v>2</v>
      </c>
      <c r="X1" s="68" t="s">
        <v>3</v>
      </c>
      <c r="Y1" s="84" t="s">
        <v>4</v>
      </c>
      <c r="Z1" s="85"/>
      <c r="AA1" s="85"/>
      <c r="AB1" s="85"/>
      <c r="AC1" s="85"/>
      <c r="AD1" s="86"/>
      <c r="AE1" s="85"/>
      <c r="AF1" s="85"/>
      <c r="AG1" s="93" t="s">
        <v>587</v>
      </c>
      <c r="AH1" s="93"/>
      <c r="AI1" s="94" t="s">
        <v>6</v>
      </c>
      <c r="AJ1" s="94" t="s">
        <v>7</v>
      </c>
      <c r="AK1" s="95" t="s">
        <v>8</v>
      </c>
    </row>
    <row r="2" s="1" customFormat="1" ht="51.6" spans="1:40">
      <c r="A2" s="37" t="s">
        <v>9</v>
      </c>
      <c r="B2" s="37" t="s">
        <v>10</v>
      </c>
      <c r="C2" s="37" t="s">
        <v>11</v>
      </c>
      <c r="D2" s="122"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72" t="s">
        <v>30</v>
      </c>
      <c r="W2" s="73" t="s">
        <v>458</v>
      </c>
      <c r="X2" s="74" t="s">
        <v>32</v>
      </c>
      <c r="Y2" s="38" t="s">
        <v>33</v>
      </c>
      <c r="Z2" s="38" t="s">
        <v>34</v>
      </c>
      <c r="AA2" s="38" t="s">
        <v>35</v>
      </c>
      <c r="AB2" s="87" t="s">
        <v>36</v>
      </c>
      <c r="AC2" s="88" t="s">
        <v>37</v>
      </c>
      <c r="AD2" s="88" t="s">
        <v>38</v>
      </c>
      <c r="AE2" s="38" t="s">
        <v>39</v>
      </c>
      <c r="AF2" s="38" t="s">
        <v>40</v>
      </c>
      <c r="AG2" s="96" t="s">
        <v>41</v>
      </c>
      <c r="AH2" s="96" t="s">
        <v>42</v>
      </c>
      <c r="AI2" s="97" t="s">
        <v>43</v>
      </c>
      <c r="AJ2" s="97" t="s">
        <v>44</v>
      </c>
      <c r="AK2" s="38" t="s">
        <v>45</v>
      </c>
      <c r="AL2" s="38" t="s">
        <v>46</v>
      </c>
      <c r="AM2" s="24">
        <v>45200</v>
      </c>
      <c r="AN2" s="24" t="s">
        <v>47</v>
      </c>
    </row>
    <row r="3" s="49" customFormat="1" ht="20" customHeight="1" spans="2:38">
      <c r="B3" s="40" t="s">
        <v>48</v>
      </c>
      <c r="C3" s="54"/>
      <c r="D3" s="54"/>
      <c r="E3" s="56"/>
      <c r="F3" s="57"/>
      <c r="G3" s="57"/>
      <c r="H3" s="57"/>
      <c r="I3" s="57"/>
      <c r="J3" s="57"/>
      <c r="K3" s="57">
        <f>SUM(K4:K1047813)</f>
        <v>3470</v>
      </c>
      <c r="L3" s="41"/>
      <c r="M3" s="41">
        <f t="shared" ref="M3:R3" si="0">SUM(M4:M1047813)</f>
        <v>104025.676</v>
      </c>
      <c r="N3" s="57">
        <f t="shared" si="0"/>
        <v>795</v>
      </c>
      <c r="O3" s="57">
        <f t="shared" si="0"/>
        <v>1595</v>
      </c>
      <c r="P3" s="57">
        <f t="shared" si="0"/>
        <v>3058</v>
      </c>
      <c r="Q3" s="57">
        <f t="shared" si="0"/>
        <v>717</v>
      </c>
      <c r="R3" s="57">
        <f t="shared" si="0"/>
        <v>78</v>
      </c>
      <c r="S3" s="75"/>
      <c r="T3" s="76"/>
      <c r="U3" s="77"/>
      <c r="V3" s="78"/>
      <c r="W3" s="76"/>
      <c r="X3" s="76"/>
      <c r="Y3" s="57">
        <f>SUM(Y4:Y1047813)</f>
        <v>586.78</v>
      </c>
      <c r="Z3" s="57">
        <f>SUM(Z4:Z1047813)</f>
        <v>1077.11</v>
      </c>
      <c r="AA3" s="57">
        <f>SUM(AA4:AA1047813)</f>
        <v>1812.07</v>
      </c>
      <c r="AB3" s="89"/>
      <c r="AC3" s="89"/>
      <c r="AD3" s="90"/>
      <c r="AE3" s="89"/>
      <c r="AF3" s="89"/>
      <c r="AG3" s="89"/>
      <c r="AH3" s="98"/>
      <c r="AI3" s="98"/>
      <c r="AJ3" s="89"/>
      <c r="AK3" s="41">
        <f>SUM(AK4:AK1046503)</f>
        <v>26113.517</v>
      </c>
      <c r="AL3" s="41">
        <f>SUM(AL4:AL1047813)</f>
        <v>50627.315</v>
      </c>
    </row>
    <row r="4" customHeight="1" spans="1:41">
      <c r="A4" s="58" t="str">
        <f>INDEX('[1]8店'!$A:$A,MATCH(B:B,'[1]8店'!$B:$B,0))</f>
        <v>晓美</v>
      </c>
      <c r="B4" s="108" t="s">
        <v>2773</v>
      </c>
      <c r="C4" s="123" t="s">
        <v>1879</v>
      </c>
      <c r="D4" s="59">
        <f>VLOOKUP(B:B,'[1]8店'!$B:$L,3,0)</f>
        <v>44713</v>
      </c>
      <c r="E4" s="108" t="s">
        <v>2774</v>
      </c>
      <c r="F4" s="108">
        <v>5</v>
      </c>
      <c r="G4" s="108">
        <v>0</v>
      </c>
      <c r="H4" s="108">
        <v>2</v>
      </c>
      <c r="I4" s="108">
        <v>0</v>
      </c>
      <c r="J4" s="108">
        <v>0</v>
      </c>
      <c r="K4" s="63">
        <f t="shared" ref="K4:K17" si="1">F4+G4+H4+I4+J4</f>
        <v>7</v>
      </c>
      <c r="L4" s="124">
        <f>VLOOKUP($B:$B,'[1]8店'!$B:$L,11,0)</f>
        <v>26.42</v>
      </c>
      <c r="M4" s="44">
        <f>K4*L4</f>
        <v>184.94</v>
      </c>
      <c r="N4" s="65">
        <f>IFERROR(VLOOKUP(B:B,'8店辅助表'!B:C,2,FALSE),0)</f>
        <v>4</v>
      </c>
      <c r="O4" s="65">
        <f>IFERROR(VLOOKUP(B:B,'8店辅助表'!E:F,2,FALSE),0)</f>
        <v>5</v>
      </c>
      <c r="P4" s="65">
        <f>IFERROR(VLOOKUP(B:B,'8店辅助表'!H:I,2,FALSE),0)</f>
        <v>7</v>
      </c>
      <c r="Q4" s="65">
        <f>IFERROR(VLOOKUP(B:B,'[1]8店'!$B:$N,13,FALSE),0)</f>
        <v>1</v>
      </c>
      <c r="R4" s="79">
        <f t="shared" ref="R4:R17" si="2">N4-Q4</f>
        <v>3</v>
      </c>
      <c r="S4" s="80">
        <f t="shared" ref="S4:S17" si="3">IFERROR(K4/((N4/7+O4/15+P4/30)/3),"-")</f>
        <v>18.4518828451883</v>
      </c>
      <c r="T4" s="44">
        <f t="shared" ref="T4:T17" si="4">IFERROR(S4/30,"-")</f>
        <v>0.615062761506276</v>
      </c>
      <c r="U4" s="44">
        <f>IFERROR(VLOOKUP(B:B,'[1]8店'!$B:$T,19,0),"-")</f>
        <v>2.70967741935484</v>
      </c>
      <c r="V4" s="81">
        <f t="shared" ref="V4:V17" si="5">IFERROR(T4-U4,"-")</f>
        <v>-2.09461465784856</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库存过低</v>
      </c>
      <c r="X4" s="83" t="str">
        <f>_xlfn.IFS(AND(D4&lt;&gt;0,D4-$AM$2&gt;=0,K4&gt;0,D4&lt;&gt;0),"本月刚到货",AND(T4="-",K4&gt;0),"有库存无销量",AND(T4="-",K4=0),"无库存无销量",AND(T4&lt;=0.5,K4=0),"无库存有销量",T4&lt;=0.5,"库存过低",T4&lt;=1.5,"正常",T4&gt;1.5,"库存过高")</f>
        <v>正常</v>
      </c>
      <c r="Y4" s="44">
        <f>IFERROR(SUMIF('8店辅助表'!K:K,B:B,'8店辅助表'!N:N),0)</f>
        <v>4.37</v>
      </c>
      <c r="Z4" s="44">
        <f>IFERROR(SUMIF('8店辅助表'!T:T,B:B,'8店辅助表'!W:W),0)</f>
        <v>10.12</v>
      </c>
      <c r="AA4" s="44">
        <f>IFERROR(SUMIF('8店辅助表'!AC:AC,B:B,'8店辅助表'!AF:AF),0)</f>
        <v>25.41</v>
      </c>
      <c r="AB4" s="91">
        <f>IFERROR(SUMIF('8店辅助表'!K:K,B:B,'8店辅助表'!N:N)/SUMIF('8店辅助表'!K:K,B:B,'8店辅助表'!O:O),"-")</f>
        <v>0.257210123602119</v>
      </c>
      <c r="AC4" s="91" t="str">
        <f>IFERROR(VLOOKUP(B:B,'[1]8店'!$B:$AB,27,FALSE),"-")</f>
        <v>-</v>
      </c>
      <c r="AD4" s="92" t="str">
        <f t="shared" ref="AD4:AD17" si="6">IFERROR(AB4-AC4,"-")</f>
        <v>-</v>
      </c>
      <c r="AE4" s="91">
        <f>IFERROR(SUMIF('8店辅助表'!T:T,B:B,'8店辅助表'!W:W)/SUMIF('8店辅助表'!T:T,B:B,'8店辅助表'!X:X),"-")</f>
        <v>0.595644496762802</v>
      </c>
      <c r="AF4" s="91">
        <f>IFERROR(SUMIF('8店辅助表'!AC:AC,B:B,'8店辅助表'!AF:AF)/SUMIF('8店辅助表'!AC:AC,B:B,'8店辅助表'!AG:AG),"-")</f>
        <v>0.216016322366743</v>
      </c>
      <c r="AG4" s="99">
        <f>IFERROR(AK4/((SUMIF('8店辅助表'!AT:AT,B:B,'8店辅助表'!AU:AU)+M4)/2),"-")</f>
        <v>0.421052631578947</v>
      </c>
      <c r="AH4" s="99">
        <f>IFERROR(AL4/((SUMIF('8店辅助表'!AW:AW,B:B,'8店辅助表'!AX:AX)+M4)/2),"-")</f>
        <v>0.476190476190476</v>
      </c>
      <c r="AI4" s="100">
        <f>IFERROR((SUMIF('8店辅助表'!AP:AP,B:B,'8店辅助表'!AR:AR)-SUMIF('8店辅助表'!AP:AP,B:B,'8店辅助表'!AR:AR)*0.15-(L4+IFERROR(VLOOKUP(B:B,'8店辅助表'!AZ:BA,2,0),0))*O4-IF(AN:AN="US",6.85,4.9)*(Z4+4.03*O4))/SUMIF('8店辅助表'!AP:AP,B:B,'8店辅助表'!AR:AR),"-")</f>
        <v>0.213110718693805</v>
      </c>
      <c r="AJ4" s="100">
        <f t="shared" ref="AJ4:AJ17" si="7">IFERROR(AH4*AI4,"-")</f>
        <v>0.101481294616098</v>
      </c>
      <c r="AK4" s="101">
        <f t="shared" ref="AK4:AK17" si="8">N4*$L4</f>
        <v>105.68</v>
      </c>
      <c r="AL4" s="101">
        <f t="shared" ref="AL4:AL17" si="9">O4*$L4</f>
        <v>132.1</v>
      </c>
      <c r="AM4" s="1" t="str">
        <f>VLOOKUP(B:B,'8店辅助表'!AZ:AZ,1,FALSE)</f>
        <v>Y8002-GR</v>
      </c>
      <c r="AN4" t="str">
        <f>VLOOKUP(B:B,'8店辅助表'!AZ:BB,3,FALSE)</f>
        <v>US</v>
      </c>
      <c r="AO4" s="31"/>
    </row>
    <row r="5" customHeight="1" spans="1:41">
      <c r="A5" s="58" t="str">
        <f>INDEX('[1]8店'!$A:$A,MATCH(B:B,'[1]8店'!$B:$B,0))</f>
        <v>晓美</v>
      </c>
      <c r="B5" s="108" t="s">
        <v>2775</v>
      </c>
      <c r="C5" s="123" t="s">
        <v>1882</v>
      </c>
      <c r="D5" s="59">
        <f>VLOOKUP(B:B,'[1]8店'!$B:$L,3,0)</f>
        <v>44718</v>
      </c>
      <c r="E5" s="108" t="s">
        <v>2776</v>
      </c>
      <c r="F5" s="108">
        <v>46</v>
      </c>
      <c r="G5" s="108">
        <v>0</v>
      </c>
      <c r="H5" s="108">
        <v>0</v>
      </c>
      <c r="I5" s="108">
        <v>0</v>
      </c>
      <c r="J5" s="108">
        <v>0</v>
      </c>
      <c r="K5" s="63">
        <f t="shared" si="1"/>
        <v>46</v>
      </c>
      <c r="L5" s="124">
        <f>VLOOKUP($B:$B,'[1]8店'!$B:$L,11,0)</f>
        <v>51.808</v>
      </c>
      <c r="M5" s="44">
        <f t="shared" ref="M5:M36" si="10">K5*L5</f>
        <v>2383.168</v>
      </c>
      <c r="N5" s="65">
        <f>IFERROR(VLOOKUP(B:B,'8店辅助表'!B:C,2,FALSE),0)</f>
        <v>5</v>
      </c>
      <c r="O5" s="65">
        <f>IFERROR(VLOOKUP(B:B,'8店辅助表'!E:F,2,FALSE),0)</f>
        <v>5</v>
      </c>
      <c r="P5" s="65">
        <f>IFERROR(VLOOKUP(B:B,'8店辅助表'!H:I,2,FALSE),0)</f>
        <v>5</v>
      </c>
      <c r="Q5" s="65">
        <f>IFERROR(VLOOKUP(B:B,'[1]8店'!$B:$N,13,FALSE),0)</f>
        <v>0</v>
      </c>
      <c r="R5" s="79">
        <f t="shared" si="2"/>
        <v>5</v>
      </c>
      <c r="S5" s="80">
        <f t="shared" si="3"/>
        <v>113.647058823529</v>
      </c>
      <c r="T5" s="44">
        <f t="shared" si="4"/>
        <v>3.78823529411765</v>
      </c>
      <c r="U5" s="44" t="str">
        <f>IFERROR(VLOOKUP(B:B,'[1]8店'!$B:$T,19,0),"-")</f>
        <v>-</v>
      </c>
      <c r="V5" s="81" t="str">
        <f t="shared" si="5"/>
        <v>-</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库存过高</v>
      </c>
      <c r="X5" s="83" t="str">
        <f>_xlfn.IFS(AND(D5&lt;&gt;0,D5-$AM$2&gt;=0,K5&gt;0,D5&lt;&gt;0),"本月刚到货",AND(T5="-",K5&gt;0),"有库存无销量",AND(T5="-",K5=0),"无库存无销量",AND(T5&lt;=0.5,K5=0),"无库存有销量",T5&lt;=0.5,"库存过低",T5&lt;=1.5,"正常",T5&gt;1.5,"库存过高")</f>
        <v>库存过高</v>
      </c>
      <c r="Y5" s="44">
        <f>IFERROR(SUMIF('8店辅助表'!K:K,B:B,'8店辅助表'!N:N),0)</f>
        <v>25.77</v>
      </c>
      <c r="Z5" s="44">
        <f>IFERROR(SUMIF('8店辅助表'!T:T,B:B,'8店辅助表'!W:W),0)</f>
        <v>32.05</v>
      </c>
      <c r="AA5" s="44">
        <f>IFERROR(SUMIF('8店辅助表'!AC:AC,B:B,'8店辅助表'!AF:AF),0)</f>
        <v>37.49</v>
      </c>
      <c r="AB5" s="91" t="str">
        <f>IFERROR(SUMIF('8店辅助表'!K:K,B:B,'8店辅助表'!N:N)/SUMIF('8店辅助表'!K:K,B:B,'8店辅助表'!O:O),"-")</f>
        <v>-</v>
      </c>
      <c r="AC5" s="91">
        <f>IFERROR(VLOOKUP(B:B,'[1]8店'!$B:$AB,27,FALSE),"-")</f>
        <v>0.251300520208083</v>
      </c>
      <c r="AD5" s="92" t="str">
        <f t="shared" si="6"/>
        <v>-</v>
      </c>
      <c r="AE5" s="91">
        <f>IFERROR(SUMIF('8店辅助表'!T:T,B:B,'8店辅助表'!W:W)/SUMIF('8店辅助表'!T:T,B:B,'8店辅助表'!X:X),"-")</f>
        <v>1.28251300520208</v>
      </c>
      <c r="AF5" s="91">
        <f>IFERROR(SUMIF('8店辅助表'!AC:AC,B:B,'8店辅助表'!AF:AF)/SUMIF('8店辅助表'!AC:AC,B:B,'8店辅助表'!AG:AG),"-")</f>
        <v>1.50020008003201</v>
      </c>
      <c r="AG5" s="99">
        <f>IFERROR(AK5/((SUMIF('8店辅助表'!AT:AT,B:B,'8店辅助表'!AU:AU)+M5)/2),"-")</f>
        <v>0.103092783505155</v>
      </c>
      <c r="AH5" s="99">
        <f>IFERROR(AL5/((SUMIF('8店辅助表'!AW:AW,B:B,'8店辅助表'!AX:AX)+M5)/2),"-")</f>
        <v>0.102040816326531</v>
      </c>
      <c r="AI5" s="100">
        <f>IFERROR((SUMIF('8店辅助表'!AP:AP,B:B,'8店辅助表'!AR:AR)-SUMIF('8店辅助表'!AP:AP,B:B,'8店辅助表'!AR:AR)*0.15-(L5+IFERROR(VLOOKUP(B:B,'8店辅助表'!AZ:BA,2,0),0))*O5-IF(AN:AN="US",6.85,4.9)*(Z5+4.03*O5))/SUMIF('8店辅助表'!AP:AP,B:B,'8店辅助表'!AR:AR),"-")</f>
        <v>0.0832524250576143</v>
      </c>
      <c r="AJ5" s="100">
        <f t="shared" si="7"/>
        <v>0.00849514541404228</v>
      </c>
      <c r="AK5" s="101">
        <f t="shared" si="8"/>
        <v>259.04</v>
      </c>
      <c r="AL5" s="101">
        <f t="shared" si="9"/>
        <v>259.04</v>
      </c>
      <c r="AM5" s="1" t="str">
        <f>VLOOKUP(B:B,'8店辅助表'!AZ:AZ,1,FALSE)</f>
        <v>Y8005</v>
      </c>
      <c r="AN5" t="str">
        <f>VLOOKUP(B:B,'8店辅助表'!AZ:BB,3,FALSE)</f>
        <v>US</v>
      </c>
      <c r="AO5" s="31"/>
    </row>
    <row r="6" customHeight="1" spans="1:41">
      <c r="A6" s="58" t="str">
        <f>INDEX('[1]8店'!$A:$A,MATCH(B:B,'[1]8店'!$B:$B,0))</f>
        <v>晓美</v>
      </c>
      <c r="B6" s="108" t="s">
        <v>2777</v>
      </c>
      <c r="C6" s="123" t="s">
        <v>1885</v>
      </c>
      <c r="D6" s="59">
        <f>VLOOKUP(B:B,'[1]8店'!$B:$L,3,0)</f>
        <v>44718</v>
      </c>
      <c r="E6" s="108" t="s">
        <v>2778</v>
      </c>
      <c r="F6" s="108">
        <v>11</v>
      </c>
      <c r="G6" s="108">
        <v>1</v>
      </c>
      <c r="H6" s="108">
        <v>2</v>
      </c>
      <c r="I6" s="108">
        <v>0</v>
      </c>
      <c r="J6" s="108">
        <v>0</v>
      </c>
      <c r="K6" s="63">
        <f t="shared" si="1"/>
        <v>14</v>
      </c>
      <c r="L6" s="124">
        <f>VLOOKUP($B:$B,'[1]8店'!$B:$L,11,0)</f>
        <v>49.476</v>
      </c>
      <c r="M6" s="44">
        <f t="shared" si="10"/>
        <v>692.664</v>
      </c>
      <c r="N6" s="65">
        <f>IFERROR(VLOOKUP(B:B,'8店辅助表'!B:C,2,FALSE),0)</f>
        <v>1</v>
      </c>
      <c r="O6" s="65">
        <f>IFERROR(VLOOKUP(B:B,'8店辅助表'!E:F,2,FALSE),0)</f>
        <v>4</v>
      </c>
      <c r="P6" s="65">
        <f>IFERROR(VLOOKUP(B:B,'8店辅助表'!H:I,2,FALSE),0)</f>
        <v>11</v>
      </c>
      <c r="Q6" s="65">
        <f>IFERROR(VLOOKUP(B:B,'[1]8店'!$B:$N,13,FALSE),0)</f>
        <v>2</v>
      </c>
      <c r="R6" s="79">
        <f t="shared" si="2"/>
        <v>-1</v>
      </c>
      <c r="S6" s="80">
        <f t="shared" si="3"/>
        <v>54.1104294478528</v>
      </c>
      <c r="T6" s="44">
        <f t="shared" si="4"/>
        <v>1.80368098159509</v>
      </c>
      <c r="U6" s="44">
        <f>IFERROR(VLOOKUP(B:B,'[1]8店'!$B:$T,19,0),"-")</f>
        <v>1.52036199095023</v>
      </c>
      <c r="V6" s="81">
        <f t="shared" si="5"/>
        <v>0.28331899064486</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库存过高</v>
      </c>
      <c r="X6" s="83" t="str">
        <f>_xlfn.IFS(AND(D6&lt;&gt;0,D6-$AM$2&gt;=0,K6&gt;0,D6&lt;&gt;0),"本月刚到货",AND(T6="-",K6&gt;0),"有库存无销量",AND(T6="-",K6=0),"无库存无销量",AND(T6&lt;=0.5,K6=0),"无库存有销量",T6&lt;=0.5,"库存过低",T6&lt;=1.5,"正常",T6&gt;1.5,"库存过高")</f>
        <v>库存过高</v>
      </c>
      <c r="Y6" s="44">
        <f>IFERROR(SUMIF('8店辅助表'!K:K,B:B,'8店辅助表'!N:N),0)</f>
        <v>0</v>
      </c>
      <c r="Z6" s="44">
        <f>IFERROR(SUMIF('8店辅助表'!T:T,B:B,'8店辅助表'!W:W),0)</f>
        <v>0</v>
      </c>
      <c r="AA6" s="44">
        <f>IFERROR(SUMIF('8店辅助表'!AC:AC,B:B,'8店辅助表'!AF:AF),0)</f>
        <v>0</v>
      </c>
      <c r="AB6" s="91" t="str">
        <f>IFERROR(SUMIF('8店辅助表'!K:K,B:B,'8店辅助表'!N:N)/SUMIF('8店辅助表'!K:K,B:B,'8店辅助表'!O:O),"-")</f>
        <v>-</v>
      </c>
      <c r="AC6" s="91" t="str">
        <f>IFERROR(VLOOKUP(B:B,'[1]8店'!$B:$AB,27,FALSE),"-")</f>
        <v>-</v>
      </c>
      <c r="AD6" s="92" t="str">
        <f t="shared" si="6"/>
        <v>-</v>
      </c>
      <c r="AE6" s="91" t="str">
        <f>IFERROR(SUMIF('8店辅助表'!T:T,B:B,'8店辅助表'!W:W)/SUMIF('8店辅助表'!T:T,B:B,'8店辅助表'!X:X),"-")</f>
        <v>-</v>
      </c>
      <c r="AF6" s="91" t="str">
        <f>IFERROR(SUMIF('8店辅助表'!AC:AC,B:B,'8店辅助表'!AF:AF)/SUMIF('8店辅助表'!AC:AC,B:B,'8店辅助表'!AG:AG),"-")</f>
        <v>-</v>
      </c>
      <c r="AG6" s="99">
        <f>IFERROR(AK6/((SUMIF('8店辅助表'!AT:AT,B:B,'8店辅助表'!AU:AU)+M6)/2),"-")</f>
        <v>0.0666666666666667</v>
      </c>
      <c r="AH6" s="99">
        <f>IFERROR(AL6/((SUMIF('8店辅助表'!AW:AW,B:B,'8店辅助表'!AX:AX)+M6)/2),"-")</f>
        <v>0.216216216216216</v>
      </c>
      <c r="AI6" s="100">
        <f>IFERROR((SUMIF('8店辅助表'!AP:AP,B:B,'8店辅助表'!AR:AR)-SUMIF('8店辅助表'!AP:AP,B:B,'8店辅助表'!AR:AR)*0.15-(L6+IFERROR(VLOOKUP(B:B,'8店辅助表'!AZ:BA,2,0),0))*O6-IF(AN:AN="US",6.85,4.9)*(Z6+4.03*O6))/SUMIF('8店辅助表'!AP:AP,B:B,'8店辅助表'!AR:AR),"-")</f>
        <v>0.326461557934913</v>
      </c>
      <c r="AJ6" s="100">
        <f t="shared" si="7"/>
        <v>0.070586282796738</v>
      </c>
      <c r="AK6" s="101">
        <f t="shared" si="8"/>
        <v>49.476</v>
      </c>
      <c r="AL6" s="101">
        <f t="shared" si="9"/>
        <v>197.904</v>
      </c>
      <c r="AM6" s="1" t="str">
        <f>VLOOKUP(B:B,'8店辅助表'!AZ:AZ,1,FALSE)</f>
        <v>Y8006</v>
      </c>
      <c r="AN6" t="str">
        <f>VLOOKUP(B:B,'8店辅助表'!AZ:BB,3,FALSE)</f>
        <v>US</v>
      </c>
      <c r="AO6" s="31"/>
    </row>
    <row r="7" customHeight="1" spans="1:41">
      <c r="A7" s="58" t="str">
        <f>INDEX('[1]8店'!$A:$A,MATCH(B:B,'[1]8店'!$B:$B,0))</f>
        <v>晓美</v>
      </c>
      <c r="B7" s="108" t="s">
        <v>2779</v>
      </c>
      <c r="C7" s="123" t="s">
        <v>1894</v>
      </c>
      <c r="D7" s="59">
        <f>VLOOKUP(B:B,'[1]8店'!$B:$L,3,0)</f>
        <v>44729</v>
      </c>
      <c r="E7" s="108" t="s">
        <v>2780</v>
      </c>
      <c r="F7" s="108">
        <v>14</v>
      </c>
      <c r="G7" s="108">
        <v>0</v>
      </c>
      <c r="H7" s="108">
        <v>0</v>
      </c>
      <c r="I7" s="108">
        <v>0</v>
      </c>
      <c r="J7" s="108">
        <v>0</v>
      </c>
      <c r="K7" s="63">
        <f t="shared" si="1"/>
        <v>14</v>
      </c>
      <c r="L7" s="124">
        <f>VLOOKUP($B:$B,'[1]8店'!$B:$L,11,0)</f>
        <v>28.32</v>
      </c>
      <c r="M7" s="44">
        <f t="shared" si="10"/>
        <v>396.48</v>
      </c>
      <c r="N7" s="65">
        <f>IFERROR(VLOOKUP(B:B,'8店辅助表'!B:C,2,FALSE),0)</f>
        <v>1</v>
      </c>
      <c r="O7" s="65">
        <f>IFERROR(VLOOKUP(B:B,'8店辅助表'!E:F,2,FALSE),0)</f>
        <v>1</v>
      </c>
      <c r="P7" s="65">
        <f>IFERROR(VLOOKUP(B:B,'8店辅助表'!H:I,2,FALSE),0)</f>
        <v>6</v>
      </c>
      <c r="Q7" s="65">
        <f>IFERROR(VLOOKUP(B:B,'[1]8店'!$B:$N,13,FALSE),0)</f>
        <v>0</v>
      </c>
      <c r="R7" s="79">
        <f t="shared" si="2"/>
        <v>1</v>
      </c>
      <c r="S7" s="80">
        <f t="shared" si="3"/>
        <v>102.558139534884</v>
      </c>
      <c r="T7" s="44">
        <f t="shared" si="4"/>
        <v>3.41860465116279</v>
      </c>
      <c r="U7" s="44">
        <f>IFERROR(VLOOKUP(B:B,'[1]8店'!$B:$T,19,0),"-")</f>
        <v>0</v>
      </c>
      <c r="V7" s="81">
        <f t="shared" si="5"/>
        <v>3.41860465116279</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库存过高</v>
      </c>
      <c r="X7" s="83" t="str">
        <f>_xlfn.IFS(AND(D7&lt;&gt;0,D7-$AM$2&gt;=0,K7&gt;0,D7&lt;&gt;0),"本月刚到货",AND(T7="-",K7&gt;0),"有库存无销量",AND(T7="-",K7=0),"无库存无销量",AND(T7&lt;=0.5,K7=0),"无库存有销量",T7&lt;=0.5,"库存过低",T7&lt;=1.5,"正常",T7&gt;1.5,"库存过高")</f>
        <v>库存过高</v>
      </c>
      <c r="Y7" s="44">
        <f>IFERROR(SUMIF('8店辅助表'!K:K,B:B,'8店辅助表'!N:N),0)</f>
        <v>0</v>
      </c>
      <c r="Z7" s="44">
        <f>IFERROR(SUMIF('8店辅助表'!T:T,B:B,'8店辅助表'!W:W),0)</f>
        <v>0</v>
      </c>
      <c r="AA7" s="44">
        <f>IFERROR(SUMIF('8店辅助表'!AC:AC,B:B,'8店辅助表'!AF:AF),0)</f>
        <v>0.09</v>
      </c>
      <c r="AB7" s="91" t="str">
        <f>IFERROR(SUMIF('8店辅助表'!K:K,B:B,'8店辅助表'!N:N)/SUMIF('8店辅助表'!K:K,B:B,'8店辅助表'!O:O),"-")</f>
        <v>-</v>
      </c>
      <c r="AC7" s="91" t="str">
        <f>IFERROR(VLOOKUP(B:B,'[1]8店'!$B:$AB,27,FALSE),"-")</f>
        <v>-</v>
      </c>
      <c r="AD7" s="92" t="str">
        <f t="shared" si="6"/>
        <v>-</v>
      </c>
      <c r="AE7" s="91" t="str">
        <f>IFERROR(SUMIF('8店辅助表'!T:T,B:B,'8店辅助表'!W:W)/SUMIF('8店辅助表'!T:T,B:B,'8店辅助表'!X:X),"-")</f>
        <v>-</v>
      </c>
      <c r="AF7" s="91" t="str">
        <f>IFERROR(SUMIF('8店辅助表'!AC:AC,B:B,'8店辅助表'!AF:AF)/SUMIF('8店辅助表'!AC:AC,B:B,'8店辅助表'!AG:AG),"-")</f>
        <v>-</v>
      </c>
      <c r="AG7" s="99">
        <f>IFERROR(AK7/((SUMIF('8店辅助表'!AT:AT,B:B,'8店辅助表'!AU:AU)+M7)/2),"-")</f>
        <v>0.142857142857143</v>
      </c>
      <c r="AH7" s="99">
        <f>IFERROR(AL7/((SUMIF('8店辅助表'!AW:AW,B:B,'8店辅助表'!AX:AX)+M7)/2),"-")</f>
        <v>0.105263157894737</v>
      </c>
      <c r="AI7" s="100">
        <f>IFERROR((SUMIF('8店辅助表'!AP:AP,B:B,'8店辅助表'!AR:AR)-SUMIF('8店辅助表'!AP:AP,B:B,'8店辅助表'!AR:AR)*0.15-(L7+IFERROR(VLOOKUP(B:B,'8店辅助表'!AZ:BA,2,0),0))*O7-IF(AN:AN="US",6.85,4.9)*(Z7+4.03*O7))/SUMIF('8店辅助表'!AP:AP,B:B,'8店辅助表'!AR:AR),"-")</f>
        <v>0.360484913839399</v>
      </c>
      <c r="AJ7" s="100">
        <f t="shared" si="7"/>
        <v>0.0379457804041472</v>
      </c>
      <c r="AK7" s="101">
        <f t="shared" si="8"/>
        <v>28.32</v>
      </c>
      <c r="AL7" s="101">
        <f t="shared" si="9"/>
        <v>28.32</v>
      </c>
      <c r="AM7" s="1" t="str">
        <f>VLOOKUP(B:B,'8店辅助表'!AZ:AZ,1,FALSE)</f>
        <v>Y8007</v>
      </c>
      <c r="AN7" t="str">
        <f>VLOOKUP(B:B,'8店辅助表'!AZ:BB,3,FALSE)</f>
        <v>US</v>
      </c>
      <c r="AO7" s="31"/>
    </row>
    <row r="8" customHeight="1" spans="1:41">
      <c r="A8" s="58" t="str">
        <f>INDEX('[1]8店'!$A:$A,MATCH(B:B,'[1]8店'!$B:$B,0))</f>
        <v>晓美</v>
      </c>
      <c r="B8" s="108" t="s">
        <v>2781</v>
      </c>
      <c r="C8" s="123" t="s">
        <v>1902</v>
      </c>
      <c r="D8" s="59">
        <f>VLOOKUP(B:B,'[1]8店'!$B:$L,3,0)</f>
        <v>44735</v>
      </c>
      <c r="E8" s="108" t="s">
        <v>2782</v>
      </c>
      <c r="F8" s="108">
        <v>87</v>
      </c>
      <c r="G8" s="108">
        <v>13</v>
      </c>
      <c r="H8" s="108">
        <v>174</v>
      </c>
      <c r="I8" s="108">
        <v>8</v>
      </c>
      <c r="J8" s="108">
        <v>0</v>
      </c>
      <c r="K8" s="63">
        <f t="shared" si="1"/>
        <v>282</v>
      </c>
      <c r="L8" s="124">
        <f>VLOOKUP($B:$B,'[1]8店'!$B:$L,11,0)</f>
        <v>42.527</v>
      </c>
      <c r="M8" s="44">
        <f t="shared" si="10"/>
        <v>11992.614</v>
      </c>
      <c r="N8" s="65">
        <f>IFERROR(VLOOKUP(B:B,'8店辅助表'!B:C,2,FALSE),0)</f>
        <v>101</v>
      </c>
      <c r="O8" s="65">
        <f>IFERROR(VLOOKUP(B:B,'8店辅助表'!E:F,2,FALSE),0)</f>
        <v>185</v>
      </c>
      <c r="P8" s="65">
        <f>IFERROR(VLOOKUP(B:B,'8店辅助表'!H:I,2,FALSE),0)</f>
        <v>351</v>
      </c>
      <c r="Q8" s="65">
        <f>IFERROR(VLOOKUP(B:B,'[1]8店'!$B:$N,13,FALSE),0)</f>
        <v>80</v>
      </c>
      <c r="R8" s="79">
        <f t="shared" si="2"/>
        <v>21</v>
      </c>
      <c r="S8" s="80">
        <f t="shared" si="3"/>
        <v>21.9957905162808</v>
      </c>
      <c r="T8" s="44">
        <f t="shared" si="4"/>
        <v>0.73319301720936</v>
      </c>
      <c r="U8" s="44">
        <f>IFERROR(VLOOKUP(B:B,'[1]8店'!$B:$T,19,0),"-")</f>
        <v>0.331991051454139</v>
      </c>
      <c r="V8" s="81">
        <f t="shared" si="5"/>
        <v>0.401201965755221</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正常</v>
      </c>
      <c r="X8" s="83" t="str">
        <f>_xlfn.IFS(AND(D8&lt;&gt;0,D8-$AM$2&gt;=0,K8&gt;0,D8&lt;&gt;0),"本月刚到货",AND(T8="-",K8&gt;0),"有库存无销量",AND(T8="-",K8=0),"无库存无销量",AND(T8&lt;=0.5,K8=0),"无库存有销量",T8&lt;=0.5,"库存过低",T8&lt;=1.5,"正常",T8&gt;1.5,"库存过高")</f>
        <v>正常</v>
      </c>
      <c r="Y8" s="44">
        <f>IFERROR(SUMIF('8店辅助表'!K:K,B:B,'8店辅助表'!N:N),0)</f>
        <v>81.14</v>
      </c>
      <c r="Z8" s="44">
        <f>IFERROR(SUMIF('8店辅助表'!T:T,B:B,'8店辅助表'!W:W),0)</f>
        <v>166.03</v>
      </c>
      <c r="AA8" s="44">
        <f>IFERROR(SUMIF('8店辅助表'!AC:AC,B:B,'8店辅助表'!AF:AF),0)</f>
        <v>301.32</v>
      </c>
      <c r="AB8" s="91">
        <f>IFERROR(SUMIF('8店辅助表'!K:K,B:B,'8店辅助表'!N:N)/SUMIF('8店辅助表'!K:K,B:B,'8店辅助表'!O:O),"-")</f>
        <v>0.0845560650270946</v>
      </c>
      <c r="AC8" s="91">
        <f>IFERROR(VLOOKUP(B:B,'[1]8店'!$B:$AB,27,FALSE),"-")</f>
        <v>0.0825050235866797</v>
      </c>
      <c r="AD8" s="92">
        <f t="shared" si="6"/>
        <v>0.0020510414404149</v>
      </c>
      <c r="AE8" s="91">
        <f>IFERROR(SUMIF('8店辅助表'!T:T,B:B,'8店辅助表'!W:W)/SUMIF('8店辅助表'!T:T,B:B,'8店辅助表'!X:X),"-")</f>
        <v>0.0816213160288081</v>
      </c>
      <c r="AF8" s="91">
        <f>IFERROR(SUMIF('8店辅助表'!AC:AC,B:B,'8店辅助表'!AF:AF)/SUMIF('8店辅助表'!AC:AC,B:B,'8店辅助表'!AG:AG),"-")</f>
        <v>0.0811428725309348</v>
      </c>
      <c r="AG8" s="99">
        <f>IFERROR(AK8/((SUMIF('8店辅助表'!AT:AT,B:B,'8店辅助表'!AU:AU)+M8)/2),"-")</f>
        <v>0.520618556701031</v>
      </c>
      <c r="AH8" s="99">
        <f>IFERROR(AL8/((SUMIF('8店辅助表'!AW:AW,B:B,'8店辅助表'!AX:AX)+M8)/2),"-")</f>
        <v>0.74</v>
      </c>
      <c r="AI8" s="100">
        <f>IFERROR((SUMIF('8店辅助表'!AP:AP,B:B,'8店辅助表'!AR:AR)-SUMIF('8店辅助表'!AP:AP,B:B,'8店辅助表'!AR:AR)*0.15-(L8+IFERROR(VLOOKUP(B:B,'8店辅助表'!AZ:BA,2,0),0))*O8-IF(AN:AN="US",6.85,4.9)*(Z8+4.03*O8))/SUMIF('8店辅助表'!AP:AP,B:B,'8店辅助表'!AR:AR),"-")</f>
        <v>0.313104009290563</v>
      </c>
      <c r="AJ8" s="100">
        <f t="shared" si="7"/>
        <v>0.231696966875017</v>
      </c>
      <c r="AK8" s="101">
        <f t="shared" si="8"/>
        <v>4295.227</v>
      </c>
      <c r="AL8" s="101">
        <f t="shared" si="9"/>
        <v>7867.495</v>
      </c>
      <c r="AM8" s="1" t="str">
        <f>VLOOKUP(B:B,'8店辅助表'!AZ:AZ,1,FALSE)</f>
        <v>Y8010</v>
      </c>
      <c r="AN8" t="str">
        <f>VLOOKUP(B:B,'8店辅助表'!AZ:BB,3,FALSE)</f>
        <v>US</v>
      </c>
      <c r="AO8" s="31"/>
    </row>
    <row r="9" customHeight="1" spans="1:41">
      <c r="A9" s="58" t="str">
        <f>INDEX('[1]8店'!$A:$A,MATCH(B:B,'[1]8店'!$B:$B,0))</f>
        <v>晓美</v>
      </c>
      <c r="B9" s="108" t="s">
        <v>2783</v>
      </c>
      <c r="C9" s="123" t="s">
        <v>1948</v>
      </c>
      <c r="D9" s="59">
        <f>VLOOKUP(B:B,'[1]8店'!$B:$L,3,0)</f>
        <v>44757</v>
      </c>
      <c r="E9" s="108" t="s">
        <v>2784</v>
      </c>
      <c r="F9" s="108">
        <v>125</v>
      </c>
      <c r="G9" s="108">
        <v>1</v>
      </c>
      <c r="H9" s="108">
        <v>2</v>
      </c>
      <c r="I9" s="108">
        <v>5</v>
      </c>
      <c r="J9" s="108">
        <v>0</v>
      </c>
      <c r="K9" s="63">
        <f t="shared" si="1"/>
        <v>133</v>
      </c>
      <c r="L9" s="124">
        <f>VLOOKUP($B:$B,'[1]8店'!$B:$L,11,0)</f>
        <v>15.54</v>
      </c>
      <c r="M9" s="44">
        <f t="shared" si="10"/>
        <v>2066.82</v>
      </c>
      <c r="N9" s="65">
        <f>IFERROR(VLOOKUP(B:B,'8店辅助表'!B:C,2,FALSE),0)</f>
        <v>26</v>
      </c>
      <c r="O9" s="65">
        <f>IFERROR(VLOOKUP(B:B,'8店辅助表'!E:F,2,FALSE),0)</f>
        <v>61</v>
      </c>
      <c r="P9" s="65">
        <f>IFERROR(VLOOKUP(B:B,'8店辅助表'!H:I,2,FALSE),0)</f>
        <v>120</v>
      </c>
      <c r="Q9" s="65">
        <f>IFERROR(VLOOKUP(B:B,'[1]8店'!$B:$N,13,FALSE),0)</f>
        <v>34</v>
      </c>
      <c r="R9" s="79">
        <f t="shared" si="2"/>
        <v>-8</v>
      </c>
      <c r="S9" s="80">
        <f t="shared" si="3"/>
        <v>33.8682295877122</v>
      </c>
      <c r="T9" s="44">
        <f t="shared" si="4"/>
        <v>1.12894098625707</v>
      </c>
      <c r="U9" s="44">
        <f>IFERROR(VLOOKUP(B:B,'[1]8店'!$B:$T,19,0),"-")</f>
        <v>0.777213352685051</v>
      </c>
      <c r="V9" s="81">
        <f t="shared" si="5"/>
        <v>0.351727633572019</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正常</v>
      </c>
      <c r="X9" s="83" t="str">
        <f>_xlfn.IFS(AND(D9&lt;&gt;0,D9-$AM$2&gt;=0,K9&gt;0,D9&lt;&gt;0),"本月刚到货",AND(T9="-",K9&gt;0),"有库存无销量",AND(T9="-",K9=0),"无库存无销量",AND(T9&lt;=0.5,K9=0),"无库存有销量",T9&lt;=0.5,"库存过低",T9&lt;=1.5,"正常",T9&gt;1.5,"库存过高")</f>
        <v>正常</v>
      </c>
      <c r="Y9" s="44">
        <f>IFERROR(SUMIF('8店辅助表'!K:K,B:B,'8店辅助表'!N:N),0)</f>
        <v>0</v>
      </c>
      <c r="Z9" s="44">
        <f>IFERROR(SUMIF('8店辅助表'!T:T,B:B,'8店辅助表'!W:W),0)</f>
        <v>0</v>
      </c>
      <c r="AA9" s="44">
        <f>IFERROR(SUMIF('8店辅助表'!AC:AC,B:B,'8店辅助表'!AF:AF),0)</f>
        <v>0</v>
      </c>
      <c r="AB9" s="91" t="str">
        <f>IFERROR(SUMIF('8店辅助表'!K:K,B:B,'8店辅助表'!N:N)/SUMIF('8店辅助表'!K:K,B:B,'8店辅助表'!O:O),"-")</f>
        <v>-</v>
      </c>
      <c r="AC9" s="91" t="str">
        <f>IFERROR(VLOOKUP(B:B,'[1]8店'!$B:$AB,27,FALSE),"-")</f>
        <v>-</v>
      </c>
      <c r="AD9" s="92" t="str">
        <f t="shared" si="6"/>
        <v>-</v>
      </c>
      <c r="AE9" s="91" t="str">
        <f>IFERROR(SUMIF('8店辅助表'!T:T,B:B,'8店辅助表'!W:W)/SUMIF('8店辅助表'!T:T,B:B,'8店辅助表'!X:X),"-")</f>
        <v>-</v>
      </c>
      <c r="AF9" s="91" t="str">
        <f>IFERROR(SUMIF('8店辅助表'!AC:AC,B:B,'8店辅助表'!AF:AF)/SUMIF('8店辅助表'!AC:AC,B:B,'8店辅助表'!AG:AG),"-")</f>
        <v>-</v>
      </c>
      <c r="AG9" s="99">
        <f>IFERROR(AK9/((SUMIF('8店辅助表'!AT:AT,B:B,'8店辅助表'!AU:AU)+M9)/2),"-")</f>
        <v>0.221276595744681</v>
      </c>
      <c r="AH9" s="99">
        <f>IFERROR(AL9/((SUMIF('8店辅助表'!AW:AW,B:B,'8店辅助表'!AX:AX)+M9)/2),"-")</f>
        <v>0.437275985663082</v>
      </c>
      <c r="AI9" s="100">
        <f>IFERROR((SUMIF('8店辅助表'!AP:AP,B:B,'8店辅助表'!AR:AR)-SUMIF('8店辅助表'!AP:AP,B:B,'8店辅助表'!AR:AR)*0.15-(L9+IFERROR(VLOOKUP(B:B,'8店辅助表'!AZ:BA,2,0),0))*O9-IF(AN:AN="US",6.85,4.9)*(Z9+4.03*O9))/SUMIF('8店辅助表'!AP:AP,B:B,'8店辅助表'!AR:AR),"-")</f>
        <v>0.342227528786049</v>
      </c>
      <c r="AJ9" s="100">
        <f t="shared" si="7"/>
        <v>0.149647879970961</v>
      </c>
      <c r="AK9" s="101">
        <f t="shared" si="8"/>
        <v>404.04</v>
      </c>
      <c r="AL9" s="101">
        <f t="shared" si="9"/>
        <v>947.94</v>
      </c>
      <c r="AM9" s="1" t="str">
        <f>VLOOKUP(B:B,'8店辅助表'!AZ:AZ,1,FALSE)</f>
        <v>Y8012</v>
      </c>
      <c r="AN9" t="str">
        <f>VLOOKUP(B:B,'8店辅助表'!AZ:BB,3,FALSE)</f>
        <v>US</v>
      </c>
      <c r="AO9" s="31"/>
    </row>
    <row r="10" customHeight="1" spans="1:41">
      <c r="A10" s="58" t="str">
        <f>INDEX('[1]8店'!$A:$A,MATCH(B:B,'[1]8店'!$B:$B,0))</f>
        <v>晓美</v>
      </c>
      <c r="B10" s="108" t="s">
        <v>2785</v>
      </c>
      <c r="C10" s="123" t="s">
        <v>1897</v>
      </c>
      <c r="D10" s="59">
        <f>VLOOKUP(B:B,'[1]8店'!$B:$L,3,0)</f>
        <v>44757</v>
      </c>
      <c r="E10" s="108" t="s">
        <v>2786</v>
      </c>
      <c r="F10" s="108">
        <v>21</v>
      </c>
      <c r="G10" s="108">
        <v>0</v>
      </c>
      <c r="H10" s="108">
        <v>1</v>
      </c>
      <c r="I10" s="108">
        <v>1</v>
      </c>
      <c r="J10" s="108">
        <v>19</v>
      </c>
      <c r="K10" s="63">
        <f t="shared" si="1"/>
        <v>42</v>
      </c>
      <c r="L10" s="124">
        <f>VLOOKUP($B:$B,'[1]8店'!$B:$L,11,0)</f>
        <v>28.185</v>
      </c>
      <c r="M10" s="44">
        <f t="shared" si="10"/>
        <v>1183.77</v>
      </c>
      <c r="N10" s="65">
        <f>IFERROR(VLOOKUP(B:B,'8店辅助表'!B:C,2,FALSE),0)</f>
        <v>4</v>
      </c>
      <c r="O10" s="65">
        <f>IFERROR(VLOOKUP(B:B,'8店辅助表'!E:F,2,FALSE),0)</f>
        <v>10</v>
      </c>
      <c r="P10" s="65">
        <f>IFERROR(VLOOKUP(B:B,'8店辅助表'!H:I,2,FALSE),0)</f>
        <v>38</v>
      </c>
      <c r="Q10" s="65">
        <f>IFERROR(VLOOKUP(B:B,'[1]8店'!$B:$N,13,FALSE),0)</f>
        <v>4</v>
      </c>
      <c r="R10" s="79">
        <f t="shared" si="2"/>
        <v>0</v>
      </c>
      <c r="S10" s="80">
        <f t="shared" si="3"/>
        <v>50.3041825095057</v>
      </c>
      <c r="T10" s="44">
        <f t="shared" si="4"/>
        <v>1.67680608365019</v>
      </c>
      <c r="U10" s="44">
        <f>IFERROR(VLOOKUP(B:B,'[1]8店'!$B:$T,19,0),"-")</f>
        <v>1.04186046511628</v>
      </c>
      <c r="V10" s="81">
        <f t="shared" si="5"/>
        <v>0.63494561853391</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库存过高</v>
      </c>
      <c r="X10" s="83" t="str">
        <f>_xlfn.IFS(AND(D10&lt;&gt;0,D10-$AM$2&gt;=0,K10&gt;0,D10&lt;&gt;0),"本月刚到货",AND(T10="-",K10&gt;0),"有库存无销量",AND(T10="-",K10=0),"无库存无销量",AND(T10&lt;=0.5,K10=0),"无库存有销量",T10&lt;=0.5,"库存过低",T10&lt;=1.5,"正常",T10&gt;1.5,"库存过高")</f>
        <v>库存过高</v>
      </c>
      <c r="Y10" s="44">
        <f>IFERROR(SUMIF('8店辅助表'!K:K,B:B,'8店辅助表'!N:N),0)</f>
        <v>0</v>
      </c>
      <c r="Z10" s="44">
        <f>IFERROR(SUMIF('8店辅助表'!T:T,B:B,'8店辅助表'!W:W),0)</f>
        <v>0</v>
      </c>
      <c r="AA10" s="44">
        <f>IFERROR(SUMIF('8店辅助表'!AC:AC,B:B,'8店辅助表'!AF:AF),0)</f>
        <v>0</v>
      </c>
      <c r="AB10" s="91" t="str">
        <f>IFERROR(SUMIF('8店辅助表'!K:K,B:B,'8店辅助表'!N:N)/SUMIF('8店辅助表'!K:K,B:B,'8店辅助表'!O:O),"-")</f>
        <v>-</v>
      </c>
      <c r="AC10" s="91" t="str">
        <f>IFERROR(VLOOKUP(B:B,'[1]8店'!$B:$AB,27,FALSE),"-")</f>
        <v>-</v>
      </c>
      <c r="AD10" s="92" t="str">
        <f t="shared" si="6"/>
        <v>-</v>
      </c>
      <c r="AE10" s="91" t="str">
        <f>IFERROR(SUMIF('8店辅助表'!T:T,B:B,'8店辅助表'!W:W)/SUMIF('8店辅助表'!T:T,B:B,'8店辅助表'!X:X),"-")</f>
        <v>-</v>
      </c>
      <c r="AF10" s="91" t="str">
        <f>IFERROR(SUMIF('8店辅助表'!AC:AC,B:B,'8店辅助表'!AF:AF)/SUMIF('8店辅助表'!AC:AC,B:B,'8店辅助表'!AG:AG),"-")</f>
        <v>-</v>
      </c>
      <c r="AG10" s="99">
        <f>IFERROR(AK10/((SUMIF('8店辅助表'!AT:AT,B:B,'8店辅助表'!AU:AU)+M10)/2),"-")</f>
        <v>0.108108108108108</v>
      </c>
      <c r="AH10" s="99">
        <f>IFERROR(AL10/((SUMIF('8店辅助表'!AW:AW,B:B,'8店辅助表'!AX:AX)+M10)/2),"-")</f>
        <v>0.227272727272727</v>
      </c>
      <c r="AI10" s="100">
        <f>IFERROR((SUMIF('8店辅助表'!AP:AP,B:B,'8店辅助表'!AR:AR)-SUMIF('8店辅助表'!AP:AP,B:B,'8店辅助表'!AR:AR)*0.15-(L10+IFERROR(VLOOKUP(B:B,'8店辅助表'!AZ:BA,2,0),0))*O10-IF(AN:AN="US",6.85,4.9)*(Z10+4.03*O10))/SUMIF('8店辅助表'!AP:AP,B:B,'8店辅助表'!AR:AR),"-")</f>
        <v>0.307373666204107</v>
      </c>
      <c r="AJ10" s="100">
        <f t="shared" si="7"/>
        <v>0.0698576514100244</v>
      </c>
      <c r="AK10" s="101">
        <f t="shared" si="8"/>
        <v>112.74</v>
      </c>
      <c r="AL10" s="101">
        <f t="shared" si="9"/>
        <v>281.85</v>
      </c>
      <c r="AM10" s="1" t="str">
        <f>VLOOKUP(B:B,'8店辅助表'!AZ:AZ,1,FALSE)</f>
        <v>Y8015-GR</v>
      </c>
      <c r="AN10" t="str">
        <f>VLOOKUP(B:B,'8店辅助表'!AZ:BB,3,FALSE)</f>
        <v>US</v>
      </c>
      <c r="AO10" s="31"/>
    </row>
    <row r="11" customHeight="1" spans="1:41">
      <c r="A11" s="58" t="str">
        <f>INDEX('[1]8店'!$A:$A,MATCH(B:B,'[1]8店'!$B:$B,0))</f>
        <v>晓美</v>
      </c>
      <c r="B11" s="108" t="s">
        <v>2787</v>
      </c>
      <c r="C11" s="123" t="s">
        <v>1897</v>
      </c>
      <c r="D11" s="59">
        <f>VLOOKUP(B:B,'[1]8店'!$B:$L,3,0)</f>
        <v>44757</v>
      </c>
      <c r="E11" s="108" t="s">
        <v>2788</v>
      </c>
      <c r="F11" s="108">
        <v>55</v>
      </c>
      <c r="G11" s="108">
        <v>0</v>
      </c>
      <c r="H11" s="108">
        <v>32</v>
      </c>
      <c r="I11" s="108">
        <v>1</v>
      </c>
      <c r="J11" s="108">
        <v>0</v>
      </c>
      <c r="K11" s="63">
        <f t="shared" si="1"/>
        <v>88</v>
      </c>
      <c r="L11" s="124">
        <f>VLOOKUP($B:$B,'[1]8店'!$B:$L,11,0)</f>
        <v>28.096</v>
      </c>
      <c r="M11" s="44">
        <f t="shared" si="10"/>
        <v>2472.448</v>
      </c>
      <c r="N11" s="65">
        <f>IFERROR(VLOOKUP(B:B,'8店辅助表'!B:C,2,FALSE),0)</f>
        <v>12</v>
      </c>
      <c r="O11" s="65">
        <f>IFERROR(VLOOKUP(B:B,'8店辅助表'!E:F,2,FALSE),0)</f>
        <v>43</v>
      </c>
      <c r="P11" s="65">
        <f>IFERROR(VLOOKUP(B:B,'8店辅助表'!H:I,2,FALSE),0)</f>
        <v>87</v>
      </c>
      <c r="Q11" s="65">
        <f>IFERROR(VLOOKUP(B:B,'[1]8店'!$B:$N,13,FALSE),0)</f>
        <v>25</v>
      </c>
      <c r="R11" s="79">
        <f t="shared" si="2"/>
        <v>-13</v>
      </c>
      <c r="S11" s="80">
        <f t="shared" si="3"/>
        <v>35.2896244430299</v>
      </c>
      <c r="T11" s="44">
        <f t="shared" si="4"/>
        <v>1.17632081476766</v>
      </c>
      <c r="U11" s="44">
        <f>IFERROR(VLOOKUP(B:B,'[1]8店'!$B:$T,19,0),"-")</f>
        <v>0.712034383954155</v>
      </c>
      <c r="V11" s="81">
        <f t="shared" si="5"/>
        <v>0.464286430813505</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库存过高</v>
      </c>
      <c r="X11" s="83" t="str">
        <f>_xlfn.IFS(AND(D11&lt;&gt;0,D11-$AM$2&gt;=0,K11&gt;0,D11&lt;&gt;0),"本月刚到货",AND(T11="-",K11&gt;0),"有库存无销量",AND(T11="-",K11=0),"无库存无销量",AND(T11&lt;=0.5,K11=0),"无库存有销量",T11&lt;=0.5,"库存过低",T11&lt;=1.5,"正常",T11&gt;1.5,"库存过高")</f>
        <v>正常</v>
      </c>
      <c r="Y11" s="44">
        <f>IFERROR(SUMIF('8店辅助表'!K:K,B:B,'8店辅助表'!N:N),0)</f>
        <v>13.49</v>
      </c>
      <c r="Z11" s="44">
        <f>IFERROR(SUMIF('8店辅助表'!T:T,B:B,'8店辅助表'!W:W),0)</f>
        <v>27.89</v>
      </c>
      <c r="AA11" s="44">
        <f>IFERROR(SUMIF('8店辅助表'!AC:AC,B:B,'8店辅助表'!AF:AF),0)</f>
        <v>50.09</v>
      </c>
      <c r="AB11" s="91">
        <f>IFERROR(SUMIF('8店辅助表'!K:K,B:B,'8店辅助表'!N:N)/SUMIF('8店辅助表'!K:K,B:B,'8店辅助表'!O:O),"-")</f>
        <v>0.396998234255444</v>
      </c>
      <c r="AC11" s="91">
        <f>IFERROR(VLOOKUP(B:B,'[1]8店'!$B:$AB,27,FALSE),"-")</f>
        <v>0.121149695899549</v>
      </c>
      <c r="AD11" s="92">
        <f t="shared" si="6"/>
        <v>0.275848538355895</v>
      </c>
      <c r="AE11" s="91">
        <f>IFERROR(SUMIF('8店辅助表'!T:T,B:B,'8店辅助表'!W:W)/SUMIF('8店辅助表'!T:T,B:B,'8店辅助表'!X:X),"-")</f>
        <v>0.182394872800994</v>
      </c>
      <c r="AF11" s="91">
        <f>IFERROR(SUMIF('8店辅助表'!AC:AC,B:B,'8店辅助表'!AF:AF)/SUMIF('8店辅助表'!AC:AC,B:B,'8店辅助表'!AG:AG),"-")</f>
        <v>0.173423813315791</v>
      </c>
      <c r="AG11" s="99">
        <f>IFERROR(AK11/((SUMIF('8店辅助表'!AT:AT,B:B,'8店辅助表'!AU:AU)+M11)/2),"-")</f>
        <v>0.150943396226415</v>
      </c>
      <c r="AH11" s="99">
        <f>IFERROR(AL11/((SUMIF('8店辅助表'!AW:AW,B:B,'8店辅助表'!AX:AX)+M11)/2),"-")</f>
        <v>0.378854625550661</v>
      </c>
      <c r="AI11" s="100">
        <f>IFERROR((SUMIF('8店辅助表'!AP:AP,B:B,'8店辅助表'!AR:AR)-SUMIF('8店辅助表'!AP:AP,B:B,'8店辅助表'!AR:AR)*0.15-(L11+IFERROR(VLOOKUP(B:B,'8店辅助表'!AZ:BA,2,0),0))*O11-IF(AN:AN="US",6.85,4.9)*(Z11+4.03*O11))/SUMIF('8店辅助表'!AP:AP,B:B,'8店辅助表'!AR:AR),"-")</f>
        <v>0.324526089967348</v>
      </c>
      <c r="AJ11" s="100">
        <f t="shared" si="7"/>
        <v>0.122948210296</v>
      </c>
      <c r="AK11" s="101">
        <f t="shared" si="8"/>
        <v>337.152</v>
      </c>
      <c r="AL11" s="101">
        <f t="shared" si="9"/>
        <v>1208.128</v>
      </c>
      <c r="AM11" s="1" t="str">
        <f>VLOOKUP(B:B,'8店辅助表'!AZ:AZ,1,FALSE)</f>
        <v>Y8015-RE</v>
      </c>
      <c r="AN11" t="str">
        <f>VLOOKUP(B:B,'8店辅助表'!AZ:BB,3,FALSE)</f>
        <v>US</v>
      </c>
      <c r="AO11" s="31"/>
    </row>
    <row r="12" customHeight="1" spans="1:41">
      <c r="A12" s="58" t="str">
        <f>INDEX('[1]8店'!$A:$A,MATCH(B:B,'[1]8店'!$B:$B,0))</f>
        <v>晓美</v>
      </c>
      <c r="B12" s="108" t="s">
        <v>2789</v>
      </c>
      <c r="C12" s="123" t="s">
        <v>1758</v>
      </c>
      <c r="D12" s="59">
        <f>VLOOKUP(B:B,'[1]8店'!$B:$L,3,0)</f>
        <v>44757</v>
      </c>
      <c r="E12" s="108" t="s">
        <v>2790</v>
      </c>
      <c r="F12" s="108">
        <v>27</v>
      </c>
      <c r="G12" s="108">
        <v>0</v>
      </c>
      <c r="H12" s="108">
        <v>1</v>
      </c>
      <c r="I12" s="108">
        <v>1</v>
      </c>
      <c r="J12" s="108">
        <v>0</v>
      </c>
      <c r="K12" s="63">
        <f t="shared" si="1"/>
        <v>29</v>
      </c>
      <c r="L12" s="124">
        <f>VLOOKUP($B:$B,'[1]8店'!$B:$L,11,0)</f>
        <v>62.607</v>
      </c>
      <c r="M12" s="44">
        <f t="shared" si="10"/>
        <v>1815.603</v>
      </c>
      <c r="N12" s="65">
        <f>IFERROR(VLOOKUP(B:B,'8店辅助表'!B:C,2,FALSE),0)</f>
        <v>10</v>
      </c>
      <c r="O12" s="65">
        <f>IFERROR(VLOOKUP(B:B,'8店辅助表'!E:F,2,FALSE),0)</f>
        <v>15</v>
      </c>
      <c r="P12" s="65">
        <f>IFERROR(VLOOKUP(B:B,'8店辅助表'!H:I,2,FALSE),0)</f>
        <v>22</v>
      </c>
      <c r="Q12" s="65">
        <f>IFERROR(VLOOKUP(B:B,'[1]8店'!$B:$N,13,FALSE),0)</f>
        <v>5</v>
      </c>
      <c r="R12" s="79">
        <f t="shared" si="2"/>
        <v>5</v>
      </c>
      <c r="S12" s="80">
        <f t="shared" si="3"/>
        <v>27.5150602409639</v>
      </c>
      <c r="T12" s="44">
        <f t="shared" si="4"/>
        <v>0.917168674698795</v>
      </c>
      <c r="U12" s="44">
        <f>IFERROR(VLOOKUP(B:B,'[1]8店'!$B:$T,19,0),"-")</f>
        <v>1.74572127139364</v>
      </c>
      <c r="V12" s="81">
        <f t="shared" si="5"/>
        <v>-0.828552596694845</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正常</v>
      </c>
      <c r="X12" s="83" t="str">
        <f>_xlfn.IFS(AND(D12&lt;&gt;0,D12-$AM$2&gt;=0,K12&gt;0,D12&lt;&gt;0),"本月刚到货",AND(T12="-",K12&gt;0),"有库存无销量",AND(T12="-",K12=0),"无库存无销量",AND(T12&lt;=0.5,K12=0),"无库存有销量",T12&lt;=0.5,"库存过低",T12&lt;=1.5,"正常",T12&gt;1.5,"库存过高")</f>
        <v>正常</v>
      </c>
      <c r="Y12" s="44">
        <f>IFERROR(SUMIF('8店辅助表'!K:K,B:B,'8店辅助表'!N:N),0)</f>
        <v>40.96</v>
      </c>
      <c r="Z12" s="44">
        <f>IFERROR(SUMIF('8店辅助表'!T:T,B:B,'8店辅助表'!W:W),0)</f>
        <v>72.02</v>
      </c>
      <c r="AA12" s="44">
        <f>IFERROR(SUMIF('8店辅助表'!AC:AC,B:B,'8店辅助表'!AF:AF),0)</f>
        <v>91.76</v>
      </c>
      <c r="AB12" s="91">
        <f>IFERROR(SUMIF('8店辅助表'!K:K,B:B,'8店辅助表'!N:N)/SUMIF('8店辅助表'!K:K,B:B,'8店辅助表'!O:O),"-")</f>
        <v>0.31042061386889</v>
      </c>
      <c r="AC12" s="91">
        <f>IFERROR(VLOOKUP(B:B,'[1]8店'!$B:$AB,27,FALSE),"-")</f>
        <v>0.217355058734369</v>
      </c>
      <c r="AD12" s="92">
        <f t="shared" si="6"/>
        <v>0.093065555134521</v>
      </c>
      <c r="AE12" s="91">
        <f>IFERROR(SUMIF('8店辅助表'!T:T,B:B,'8店辅助表'!W:W)/SUMIF('8店辅助表'!T:T,B:B,'8店辅助表'!X:X),"-")</f>
        <v>0.272906403940887</v>
      </c>
      <c r="AF12" s="91">
        <f>IFERROR(SUMIF('8店辅助表'!AC:AC,B:B,'8店辅助表'!AF:AF)/SUMIF('8店辅助表'!AC:AC,B:B,'8店辅助表'!AG:AG),"-")</f>
        <v>0.201303117390255</v>
      </c>
      <c r="AG12" s="99">
        <f>IFERROR(AK12/((SUMIF('8店辅助表'!AT:AT,B:B,'8店辅助表'!AU:AU)+M12)/2),"-")</f>
        <v>0.317460317460317</v>
      </c>
      <c r="AH12" s="99">
        <f>IFERROR(AL12/((SUMIF('8店辅助表'!AW:AW,B:B,'8店辅助表'!AX:AX)+M12)/2),"-")</f>
        <v>0.394736842105263</v>
      </c>
      <c r="AI12" s="100">
        <f>IFERROR((SUMIF('8店辅助表'!AP:AP,B:B,'8店辅助表'!AR:AR)-SUMIF('8店辅助表'!AP:AP,B:B,'8店辅助表'!AR:AR)*0.15-(L12+IFERROR(VLOOKUP(B:B,'8店辅助表'!AZ:BA,2,0),0))*O12-IF(AN:AN="US",6.85,4.9)*(Z12+4.03*O12))/SUMIF('8店辅助表'!AP:AP,B:B,'8店辅助表'!AR:AR),"-")</f>
        <v>0.141663765183808</v>
      </c>
      <c r="AJ12" s="100">
        <f t="shared" si="7"/>
        <v>0.0559199073093981</v>
      </c>
      <c r="AK12" s="101">
        <f t="shared" si="8"/>
        <v>626.07</v>
      </c>
      <c r="AL12" s="101">
        <f t="shared" si="9"/>
        <v>939.105</v>
      </c>
      <c r="AM12" s="1" t="str">
        <f>VLOOKUP(B:B,'8店辅助表'!AZ:AZ,1,FALSE)</f>
        <v>Y8016-GR</v>
      </c>
      <c r="AN12" t="str">
        <f>VLOOKUP(B:B,'8店辅助表'!AZ:BB,3,FALSE)</f>
        <v>US</v>
      </c>
      <c r="AO12" s="31"/>
    </row>
    <row r="13" customHeight="1" spans="1:41">
      <c r="A13" s="58" t="str">
        <f>INDEX('[1]8店'!$A:$A,MATCH(B:B,'[1]8店'!$B:$B,0))</f>
        <v>晓美</v>
      </c>
      <c r="B13" s="108" t="s">
        <v>2791</v>
      </c>
      <c r="C13" s="123" t="s">
        <v>1758</v>
      </c>
      <c r="D13" s="59">
        <f>VLOOKUP(B:B,'[1]8店'!$B:$L,3,0)</f>
        <v>44804</v>
      </c>
      <c r="E13" s="108" t="s">
        <v>2792</v>
      </c>
      <c r="F13" s="108">
        <v>8</v>
      </c>
      <c r="G13" s="108">
        <v>0</v>
      </c>
      <c r="H13" s="108">
        <v>1</v>
      </c>
      <c r="I13" s="108">
        <v>3</v>
      </c>
      <c r="J13" s="108">
        <v>0</v>
      </c>
      <c r="K13" s="63">
        <f t="shared" si="1"/>
        <v>12</v>
      </c>
      <c r="L13" s="124">
        <f>VLOOKUP($B:$B,'[1]8店'!$B:$L,11,0)</f>
        <v>42.651</v>
      </c>
      <c r="M13" s="44">
        <f t="shared" si="10"/>
        <v>511.812</v>
      </c>
      <c r="N13" s="65">
        <f>IFERROR(VLOOKUP(B:B,'8店辅助表'!B:C,2,FALSE),0)</f>
        <v>9</v>
      </c>
      <c r="O13" s="65">
        <f>IFERROR(VLOOKUP(B:B,'8店辅助表'!E:F,2,FALSE),0)</f>
        <v>16</v>
      </c>
      <c r="P13" s="65">
        <f>IFERROR(VLOOKUP(B:B,'8店辅助表'!H:I,2,FALSE),0)</f>
        <v>24</v>
      </c>
      <c r="Q13" s="65">
        <f>IFERROR(VLOOKUP(B:B,'[1]8店'!$B:$N,13,FALSE),0)</f>
        <v>7</v>
      </c>
      <c r="R13" s="79">
        <f t="shared" si="2"/>
        <v>2</v>
      </c>
      <c r="S13" s="80">
        <f t="shared" si="3"/>
        <v>11.4199395770393</v>
      </c>
      <c r="T13" s="44">
        <f t="shared" si="4"/>
        <v>0.380664652567976</v>
      </c>
      <c r="U13" s="44">
        <f>IFERROR(VLOOKUP(B:B,'[1]8店'!$B:$T,19,0),"-")</f>
        <v>0.76</v>
      </c>
      <c r="V13" s="81">
        <f t="shared" si="5"/>
        <v>-0.379335347432024</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库存过低</v>
      </c>
      <c r="X13" s="83" t="str">
        <f>_xlfn.IFS(AND(D13&lt;&gt;0,D13-$AM$2&gt;=0,K13&gt;0,D13&lt;&gt;0),"本月刚到货",AND(T13="-",K13&gt;0),"有库存无销量",AND(T13="-",K13=0),"无库存无销量",AND(T13&lt;=0.5,K13=0),"无库存有销量",T13&lt;=0.5,"库存过低",T13&lt;=1.5,"正常",T13&gt;1.5,"库存过高")</f>
        <v>库存过低</v>
      </c>
      <c r="Y13" s="44">
        <f>IFERROR(SUMIF('8店辅助表'!K:K,B:B,'8店辅助表'!N:N),0)</f>
        <v>18.14</v>
      </c>
      <c r="Z13" s="44">
        <f>IFERROR(SUMIF('8店辅助表'!T:T,B:B,'8店辅助表'!W:W),0)</f>
        <v>49.31</v>
      </c>
      <c r="AA13" s="44">
        <f>IFERROR(SUMIF('8店辅助表'!AC:AC,B:B,'8店辅助表'!AF:AF),0)</f>
        <v>105.69</v>
      </c>
      <c r="AB13" s="91">
        <f>IFERROR(SUMIF('8店辅助表'!K:K,B:B,'8店辅助表'!N:N)/SUMIF('8店辅助表'!K:K,B:B,'8店辅助表'!O:O),"-")</f>
        <v>0.104294831253953</v>
      </c>
      <c r="AC13" s="91">
        <f>IFERROR(VLOOKUP(B:B,'[1]8店'!$B:$AB,27,FALSE),"-")</f>
        <v>0.296894539391413</v>
      </c>
      <c r="AD13" s="92">
        <f t="shared" si="6"/>
        <v>-0.19259970813746</v>
      </c>
      <c r="AE13" s="91">
        <f>IFERROR(SUMIF('8店辅助表'!T:T,B:B,'8店辅助表'!W:W)/SUMIF('8店辅助表'!T:T,B:B,'8店辅助表'!X:X),"-")</f>
        <v>0.182704064618919</v>
      </c>
      <c r="AF13" s="91">
        <f>IFERROR(SUMIF('8店辅助表'!AC:AC,B:B,'8店辅助表'!AF:AF)/SUMIF('8店辅助表'!AC:AC,B:B,'8店辅助表'!AG:AG),"-")</f>
        <v>0.255394727303482</v>
      </c>
      <c r="AG13" s="99">
        <f>IFERROR(AK13/((SUMIF('8店辅助表'!AT:AT,B:B,'8店辅助表'!AU:AU)+M13)/2),"-")</f>
        <v>0.580645161290323</v>
      </c>
      <c r="AH13" s="99">
        <f>IFERROR(AL13/((SUMIF('8店辅助表'!AW:AW,B:B,'8店辅助表'!AX:AX)+M13)/2),"-")</f>
        <v>1.03225806451613</v>
      </c>
      <c r="AI13" s="100">
        <f>IFERROR((SUMIF('8店辅助表'!AP:AP,B:B,'8店辅助表'!AR:AR)-SUMIF('8店辅助表'!AP:AP,B:B,'8店辅助表'!AR:AR)*0.15-(L13+IFERROR(VLOOKUP(B:B,'8店辅助表'!AZ:BA,2,0),0))*O13-IF(AN:AN="US",6.85,4.9)*(Z13+4.03*O13))/SUMIF('8店辅助表'!AP:AP,B:B,'8店辅助表'!AR:AR),"-")</f>
        <v>0.234845000806297</v>
      </c>
      <c r="AJ13" s="100">
        <f t="shared" si="7"/>
        <v>0.242420645993597</v>
      </c>
      <c r="AK13" s="101">
        <f t="shared" si="8"/>
        <v>383.859</v>
      </c>
      <c r="AL13" s="101">
        <f t="shared" si="9"/>
        <v>682.416</v>
      </c>
      <c r="AM13" s="1" t="str">
        <f>VLOOKUP(B:B,'8店辅助表'!AZ:AZ,1,FALSE)</f>
        <v>Y8016-RE</v>
      </c>
      <c r="AN13" t="str">
        <f>VLOOKUP(B:B,'8店辅助表'!AZ:BB,3,FALSE)</f>
        <v>US</v>
      </c>
      <c r="AO13" s="31"/>
    </row>
    <row r="14" customHeight="1" spans="1:41">
      <c r="A14" s="58" t="str">
        <f>INDEX('[1]8店'!$A:$A,MATCH(B:B,'[1]8店'!$B:$B,0))</f>
        <v>晓美</v>
      </c>
      <c r="B14" s="108" t="s">
        <v>2793</v>
      </c>
      <c r="C14" s="123" t="s">
        <v>1734</v>
      </c>
      <c r="D14" s="59">
        <f>VLOOKUP(B:B,'[1]8店'!$B:$L,3,0)</f>
        <v>44734</v>
      </c>
      <c r="E14" s="108" t="s">
        <v>2794</v>
      </c>
      <c r="F14" s="108">
        <v>31</v>
      </c>
      <c r="G14" s="108">
        <v>3</v>
      </c>
      <c r="H14" s="108">
        <v>56</v>
      </c>
      <c r="I14" s="108">
        <v>1</v>
      </c>
      <c r="J14" s="108">
        <v>0</v>
      </c>
      <c r="K14" s="63">
        <f t="shared" si="1"/>
        <v>91</v>
      </c>
      <c r="L14" s="124">
        <f>VLOOKUP($B:$B,'[1]8店'!$B:$L,11,0)</f>
        <v>31.511</v>
      </c>
      <c r="M14" s="44">
        <f t="shared" si="10"/>
        <v>2867.501</v>
      </c>
      <c r="N14" s="65">
        <f>IFERROR(VLOOKUP(B:B,'8店辅助表'!B:C,2,FALSE),0)</f>
        <v>20</v>
      </c>
      <c r="O14" s="65">
        <f>IFERROR(VLOOKUP(B:B,'8店辅助表'!E:F,2,FALSE),0)</f>
        <v>45</v>
      </c>
      <c r="P14" s="65">
        <f>IFERROR(VLOOKUP(B:B,'8店辅助表'!H:I,2,FALSE),0)</f>
        <v>92</v>
      </c>
      <c r="Q14" s="65">
        <f>IFERROR(VLOOKUP(B:B,'[1]8店'!$B:$N,13,FALSE),0)</f>
        <v>22</v>
      </c>
      <c r="R14" s="79">
        <f t="shared" si="2"/>
        <v>-2</v>
      </c>
      <c r="S14" s="80">
        <f t="shared" si="3"/>
        <v>30.5923159018143</v>
      </c>
      <c r="T14" s="44">
        <f t="shared" si="4"/>
        <v>1.01974386339381</v>
      </c>
      <c r="U14" s="44">
        <f>IFERROR(VLOOKUP(B:B,'[1]8店'!$B:$T,19,0),"-")</f>
        <v>0.642968344577063</v>
      </c>
      <c r="V14" s="81">
        <f t="shared" si="5"/>
        <v>0.376775518816747</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正常</v>
      </c>
      <c r="X14" s="83" t="str">
        <f>_xlfn.IFS(AND(D14&lt;&gt;0,D14-$AM$2&gt;=0,K14&gt;0,D14&lt;&gt;0),"本月刚到货",AND(T14="-",K14&gt;0),"有库存无销量",AND(T14="-",K14=0),"无库存无销量",AND(T14&lt;=0.5,K14=0),"无库存有销量",T14&lt;=0.5,"库存过低",T14&lt;=1.5,"正常",T14&gt;1.5,"库存过高")</f>
        <v>正常</v>
      </c>
      <c r="Y14" s="44">
        <f>IFERROR(SUMIF('8店辅助表'!K:K,B:B,'8店辅助表'!N:N),0)</f>
        <v>0</v>
      </c>
      <c r="Z14" s="44">
        <f>IFERROR(SUMIF('8店辅助表'!T:T,B:B,'8店辅助表'!W:W),0)</f>
        <v>0</v>
      </c>
      <c r="AA14" s="44">
        <f>IFERROR(SUMIF('8店辅助表'!AC:AC,B:B,'8店辅助表'!AF:AF),0)</f>
        <v>0</v>
      </c>
      <c r="AB14" s="91" t="str">
        <f>IFERROR(SUMIF('8店辅助表'!K:K,B:B,'8店辅助表'!N:N)/SUMIF('8店辅助表'!K:K,B:B,'8店辅助表'!O:O),"-")</f>
        <v>-</v>
      </c>
      <c r="AC14" s="91" t="str">
        <f>IFERROR(VLOOKUP(B:B,'[1]8店'!$B:$AB,27,FALSE),"-")</f>
        <v>-</v>
      </c>
      <c r="AD14" s="92" t="str">
        <f t="shared" si="6"/>
        <v>-</v>
      </c>
      <c r="AE14" s="91" t="str">
        <f>IFERROR(SUMIF('8店辅助表'!T:T,B:B,'8店辅助表'!W:W)/SUMIF('8店辅助表'!T:T,B:B,'8店辅助表'!X:X),"-")</f>
        <v>-</v>
      </c>
      <c r="AF14" s="91" t="str">
        <f>IFERROR(SUMIF('8店辅助表'!AC:AC,B:B,'8店辅助表'!AF:AF)/SUMIF('8店辅助表'!AC:AC,B:B,'8店辅助表'!AG:AG),"-")</f>
        <v>-</v>
      </c>
      <c r="AG14" s="99">
        <f>IFERROR(AK14/((SUMIF('8店辅助表'!AT:AT,B:B,'8店辅助表'!AU:AU)+M14)/2),"-")</f>
        <v>0.266666666666667</v>
      </c>
      <c r="AH14" s="99">
        <f>IFERROR(AL14/((SUMIF('8店辅助表'!AW:AW,B:B,'8店辅助表'!AX:AX)+M14)/2),"-")</f>
        <v>0.494505494505494</v>
      </c>
      <c r="AI14" s="100">
        <f>IFERROR((SUMIF('8店辅助表'!AP:AP,B:B,'8店辅助表'!AR:AR)-SUMIF('8店辅助表'!AP:AP,B:B,'8店辅助表'!AR:AR)*0.15-(L14+IFERROR(VLOOKUP(B:B,'8店辅助表'!AZ:BA,2,0),0))*O14-IF(AN:AN="US",6.85,4.9)*(Z14+4.03*O14))/SUMIF('8店辅助表'!AP:AP,B:B,'8店辅助表'!AR:AR),"-")</f>
        <v>0.381343811379789</v>
      </c>
      <c r="AJ14" s="100">
        <f t="shared" si="7"/>
        <v>0.188576610022972</v>
      </c>
      <c r="AK14" s="101">
        <f t="shared" si="8"/>
        <v>630.22</v>
      </c>
      <c r="AL14" s="101">
        <f t="shared" si="9"/>
        <v>1417.995</v>
      </c>
      <c r="AM14" s="1" t="str">
        <f>VLOOKUP(B:B,'8店辅助表'!AZ:AZ,1,FALSE)</f>
        <v>Y8009-RD</v>
      </c>
      <c r="AN14" t="str">
        <f>VLOOKUP(B:B,'8店辅助表'!AZ:BB,3,FALSE)</f>
        <v>US</v>
      </c>
      <c r="AO14" s="31"/>
    </row>
    <row r="15" customHeight="1" spans="1:41">
      <c r="A15" s="58" t="str">
        <f>INDEX('[1]8店'!$A:$A,MATCH(B:B,'[1]8店'!$B:$B,0))</f>
        <v>晓美</v>
      </c>
      <c r="B15" s="108" t="s">
        <v>2795</v>
      </c>
      <c r="C15" s="123" t="s">
        <v>1737</v>
      </c>
      <c r="D15" s="59">
        <f>VLOOKUP(B:B,'[1]8店'!$B:$L,3,0)</f>
        <v>44767</v>
      </c>
      <c r="E15" s="108" t="s">
        <v>2796</v>
      </c>
      <c r="F15" s="108">
        <v>162</v>
      </c>
      <c r="G15" s="108">
        <v>5</v>
      </c>
      <c r="H15" s="108">
        <v>75</v>
      </c>
      <c r="I15" s="108">
        <v>7</v>
      </c>
      <c r="J15" s="108">
        <v>2</v>
      </c>
      <c r="K15" s="63">
        <f t="shared" si="1"/>
        <v>251</v>
      </c>
      <c r="L15" s="124">
        <f>VLOOKUP($B:$B,'[1]8店'!$B:$L,11,0)</f>
        <v>32.165</v>
      </c>
      <c r="M15" s="44">
        <f t="shared" si="10"/>
        <v>8073.415</v>
      </c>
      <c r="N15" s="65">
        <f>IFERROR(VLOOKUP(B:B,'8店辅助表'!B:C,2,FALSE),0)</f>
        <v>65</v>
      </c>
      <c r="O15" s="65">
        <f>IFERROR(VLOOKUP(B:B,'8店辅助表'!E:F,2,FALSE),0)</f>
        <v>151</v>
      </c>
      <c r="P15" s="65">
        <f>IFERROR(VLOOKUP(B:B,'8店辅助表'!H:I,2,FALSE),0)</f>
        <v>302</v>
      </c>
      <c r="Q15" s="65">
        <f>IFERROR(VLOOKUP(B:B,'[1]8店'!$B:$N,13,FALSE),0)</f>
        <v>73</v>
      </c>
      <c r="R15" s="79">
        <f t="shared" si="2"/>
        <v>-8</v>
      </c>
      <c r="S15" s="80">
        <f t="shared" si="3"/>
        <v>25.5956620265458</v>
      </c>
      <c r="T15" s="44">
        <f t="shared" si="4"/>
        <v>0.853188734218194</v>
      </c>
      <c r="U15" s="44">
        <f>IFERROR(VLOOKUP(B:B,'[1]8店'!$B:$T,19,0),"-")</f>
        <v>0.587047678210902</v>
      </c>
      <c r="V15" s="81">
        <f t="shared" si="5"/>
        <v>0.266141056007292</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正常</v>
      </c>
      <c r="X15" s="83" t="str">
        <f>_xlfn.IFS(AND(D15&lt;&gt;0,D15-$AM$2&gt;=0,K15&gt;0,D15&lt;&gt;0),"本月刚到货",AND(T15="-",K15&gt;0),"有库存无销量",AND(T15="-",K15=0),"无库存无销量",AND(T15&lt;=0.5,K15=0),"无库存有销量",T15&lt;=0.5,"库存过低",T15&lt;=1.5,"正常",T15&gt;1.5,"库存过高")</f>
        <v>正常</v>
      </c>
      <c r="Y15" s="44">
        <f>IFERROR(SUMIF('8店辅助表'!K:K,B:B,'8店辅助表'!N:N),0)</f>
        <v>15.22</v>
      </c>
      <c r="Z15" s="44">
        <f>IFERROR(SUMIF('8店辅助表'!T:T,B:B,'8店辅助表'!W:W),0)</f>
        <v>34.37</v>
      </c>
      <c r="AA15" s="44">
        <f>IFERROR(SUMIF('8店辅助表'!AC:AC,B:B,'8店辅助表'!AF:AF),0)</f>
        <v>67.13</v>
      </c>
      <c r="AB15" s="91">
        <f>IFERROR(SUMIF('8店辅助表'!K:K,B:B,'8店辅助表'!N:N)/SUMIF('8店辅助表'!K:K,B:B,'8店辅助表'!O:O),"-")</f>
        <v>0.114496351463176</v>
      </c>
      <c r="AC15" s="91">
        <f>IFERROR(VLOOKUP(B:B,'[1]8店'!$B:$AB,27,FALSE),"-")</f>
        <v>0.0457581552617721</v>
      </c>
      <c r="AD15" s="92">
        <f t="shared" si="6"/>
        <v>0.0687381962014039</v>
      </c>
      <c r="AE15" s="91">
        <f>IFERROR(SUMIF('8店辅助表'!T:T,B:B,'8店辅助表'!W:W)/SUMIF('8店辅助表'!T:T,B:B,'8店辅助表'!X:X),"-")</f>
        <v>0.0517114270668773</v>
      </c>
      <c r="AF15" s="91">
        <f>IFERROR(SUMIF('8店辅助表'!AC:AC,B:B,'8店辅助表'!AF:AF)/SUMIF('8店辅助表'!AC:AC,B:B,'8店辅助表'!AG:AG),"-")</f>
        <v>0.0535608853144398</v>
      </c>
      <c r="AG15" s="99">
        <f>IFERROR(AK15/((SUMIF('8店辅助表'!AT:AT,B:B,'8店辅助表'!AU:AU)+M15)/2),"-")</f>
        <v>0.301624129930394</v>
      </c>
      <c r="AH15" s="99">
        <f>IFERROR(AL15/((SUMIF('8店辅助表'!AW:AW,B:B,'8店辅助表'!AX:AX)+M15)/2),"-")</f>
        <v>0.478605388272583</v>
      </c>
      <c r="AI15" s="100">
        <f>IFERROR((SUMIF('8店辅助表'!AP:AP,B:B,'8店辅助表'!AR:AR)-SUMIF('8店辅助表'!AP:AP,B:B,'8店辅助表'!AR:AR)*0.15-(L15+IFERROR(VLOOKUP(B:B,'8店辅助表'!AZ:BA,2,0),0))*O15-IF(AN:AN="US",6.85,4.9)*(Z15+4.03*O15))/SUMIF('8店辅助表'!AP:AP,B:B,'8店辅助表'!AR:AR),"-")</f>
        <v>0.359815410595153</v>
      </c>
      <c r="AJ15" s="100">
        <f t="shared" si="7"/>
        <v>0.172209594294352</v>
      </c>
      <c r="AK15" s="101">
        <f t="shared" si="8"/>
        <v>2090.725</v>
      </c>
      <c r="AL15" s="101">
        <f t="shared" si="9"/>
        <v>4856.915</v>
      </c>
      <c r="AM15" s="1" t="str">
        <f>VLOOKUP(B:B,'8店辅助表'!AZ:AZ,1,FALSE)</f>
        <v>Y8020-BL-1</v>
      </c>
      <c r="AN15" t="str">
        <f>VLOOKUP(B:B,'8店辅助表'!AZ:BB,3,FALSE)</f>
        <v>US</v>
      </c>
      <c r="AO15" s="31"/>
    </row>
    <row r="16" customHeight="1" spans="1:41">
      <c r="A16" s="58" t="str">
        <f>INDEX('[1]8店'!$A:$A,MATCH(B:B,'[1]8店'!$B:$B,0))</f>
        <v>晓美</v>
      </c>
      <c r="B16" s="109" t="s">
        <v>2797</v>
      </c>
      <c r="C16" s="123" t="s">
        <v>1737</v>
      </c>
      <c r="D16" s="59">
        <f>VLOOKUP(B:B,'[1]8店'!$B:$L,3,0)</f>
        <v>44767</v>
      </c>
      <c r="E16" s="108" t="s">
        <v>2798</v>
      </c>
      <c r="F16" s="108">
        <v>0</v>
      </c>
      <c r="G16" s="108">
        <v>63</v>
      </c>
      <c r="H16" s="108">
        <v>0</v>
      </c>
      <c r="I16" s="108">
        <v>10</v>
      </c>
      <c r="J16" s="108">
        <v>0</v>
      </c>
      <c r="K16" s="63">
        <f t="shared" si="1"/>
        <v>73</v>
      </c>
      <c r="L16" s="124">
        <f>VLOOKUP($B:$B,'[1]8店'!$B:$L,11,0)</f>
        <v>32.521</v>
      </c>
      <c r="M16" s="44">
        <f t="shared" si="10"/>
        <v>2374.033</v>
      </c>
      <c r="N16" s="65">
        <f>IFERROR(VLOOKUP(B:B,'8店辅助表'!B:C,2,FALSE),0)</f>
        <v>0</v>
      </c>
      <c r="O16" s="65">
        <f>IFERROR(VLOOKUP(B:B,'8店辅助表'!E:F,2,FALSE),0)</f>
        <v>0</v>
      </c>
      <c r="P16" s="65">
        <f>IFERROR(VLOOKUP(B:B,'8店辅助表'!H:I,2,FALSE),0)</f>
        <v>0</v>
      </c>
      <c r="Q16" s="65">
        <f>IFERROR(VLOOKUP(B:B,'[1]8店'!$B:$N,13,FALSE),0)</f>
        <v>0</v>
      </c>
      <c r="R16" s="79">
        <f t="shared" si="2"/>
        <v>0</v>
      </c>
      <c r="S16" s="80" t="str">
        <f t="shared" si="3"/>
        <v>-</v>
      </c>
      <c r="T16" s="44" t="str">
        <f t="shared" si="4"/>
        <v>-</v>
      </c>
      <c r="U16" s="44" t="str">
        <f>IFERROR(VLOOKUP(B:B,'[1]8店'!$B:$T,19,0),"-")</f>
        <v>-</v>
      </c>
      <c r="V16" s="81" t="str">
        <f t="shared" si="5"/>
        <v>-</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有库存无销量</v>
      </c>
      <c r="X16" s="83" t="str">
        <f>_xlfn.IFS(AND(D16&lt;&gt;0,D16-$AM$2&gt;=0,K16&gt;0,D16&lt;&gt;0),"本月刚到货",AND(T16="-",K16&gt;0),"有库存无销量",AND(T16="-",K16=0),"无库存无销量",AND(T16&lt;=0.5,K16=0),"无库存有销量",T16&lt;=0.5,"库存过低",T16&lt;=1.5,"正常",T16&gt;1.5,"库存过高")</f>
        <v>有库存无销量</v>
      </c>
      <c r="Y16" s="44">
        <f>IFERROR(SUMIF('8店辅助表'!K:K,B:B,'8店辅助表'!N:N),0)</f>
        <v>0</v>
      </c>
      <c r="Z16" s="44">
        <f>IFERROR(SUMIF('8店辅助表'!T:T,B:B,'8店辅助表'!W:W),0)</f>
        <v>0</v>
      </c>
      <c r="AA16" s="44">
        <f>IFERROR(SUMIF('8店辅助表'!AC:AC,B:B,'8店辅助表'!AF:AF),0)</f>
        <v>0</v>
      </c>
      <c r="AB16" s="91" t="str">
        <f>IFERROR(SUMIF('8店辅助表'!K:K,B:B,'8店辅助表'!N:N)/SUMIF('8店辅助表'!K:K,B:B,'8店辅助表'!O:O),"-")</f>
        <v>-</v>
      </c>
      <c r="AC16" s="91" t="str">
        <f>IFERROR(VLOOKUP(B:B,'[1]8店'!$B:$AB,27,FALSE),"-")</f>
        <v>-</v>
      </c>
      <c r="AD16" s="92" t="str">
        <f t="shared" si="6"/>
        <v>-</v>
      </c>
      <c r="AE16" s="91" t="str">
        <f>IFERROR(SUMIF('8店辅助表'!T:T,B:B,'8店辅助表'!W:W)/SUMIF('8店辅助表'!T:T,B:B,'8店辅助表'!X:X),"-")</f>
        <v>-</v>
      </c>
      <c r="AF16" s="91" t="str">
        <f>IFERROR(SUMIF('8店辅助表'!AC:AC,B:B,'8店辅助表'!AF:AF)/SUMIF('8店辅助表'!AC:AC,B:B,'8店辅助表'!AG:AG),"-")</f>
        <v>-</v>
      </c>
      <c r="AG16" s="99">
        <f>IFERROR(AK16/((SUMIF('8店辅助表'!AT:AT,B:B,'8店辅助表'!AU:AU)+M16)/2),"-")</f>
        <v>0</v>
      </c>
      <c r="AH16" s="99">
        <f>IFERROR(AL16/((SUMIF('8店辅助表'!AW:AW,B:B,'8店辅助表'!AX:AX)+M16)/2),"-")</f>
        <v>0</v>
      </c>
      <c r="AI16" s="100" t="str">
        <f>IFERROR((SUMIF('8店辅助表'!AP:AP,B:B,'8店辅助表'!AR:AR)-SUMIF('8店辅助表'!AP:AP,B:B,'8店辅助表'!AR:AR)*0.15-(L16+IFERROR(VLOOKUP(B:B,'8店辅助表'!AZ:BA,2,0),0))*O16-IF(AN:AN="US",6.85,4.9)*(Z16+4.03*O16))/SUMIF('8店辅助表'!AP:AP,B:B,'8店辅助表'!AR:AR),"-")</f>
        <v>-</v>
      </c>
      <c r="AJ16" s="100" t="str">
        <f t="shared" si="7"/>
        <v>-</v>
      </c>
      <c r="AK16" s="101">
        <f t="shared" si="8"/>
        <v>0</v>
      </c>
      <c r="AL16" s="101">
        <f t="shared" si="9"/>
        <v>0</v>
      </c>
      <c r="AM16" s="1" t="str">
        <f>VLOOKUP(B:B,'8店辅助表'!AZ:AZ,1,FALSE)</f>
        <v>Y8020-RE-1</v>
      </c>
      <c r="AN16" t="str">
        <f>VLOOKUP(B:B,'8店辅助表'!AZ:BB,3,FALSE)</f>
        <v>US</v>
      </c>
      <c r="AO16" s="31"/>
    </row>
    <row r="17" customHeight="1" spans="1:41">
      <c r="A17" s="58" t="str">
        <f>INDEX('[1]8店'!$A:$A,MATCH(B:B,'[1]8店'!$B:$B,0))</f>
        <v>晓美</v>
      </c>
      <c r="B17" s="108" t="s">
        <v>2799</v>
      </c>
      <c r="C17" s="123" t="s">
        <v>1734</v>
      </c>
      <c r="D17" s="59">
        <f>VLOOKUP(B:B,'[1]8店'!$B:$L,3,0)</f>
        <v>44734</v>
      </c>
      <c r="E17" s="108" t="s">
        <v>2800</v>
      </c>
      <c r="F17" s="108">
        <v>86</v>
      </c>
      <c r="G17" s="108">
        <v>15</v>
      </c>
      <c r="H17" s="108">
        <v>192</v>
      </c>
      <c r="I17" s="108">
        <v>6</v>
      </c>
      <c r="J17" s="108">
        <v>3</v>
      </c>
      <c r="K17" s="63">
        <f t="shared" si="1"/>
        <v>302</v>
      </c>
      <c r="L17" s="124">
        <f>VLOOKUP($B:$B,'[1]8店'!$B:$L,11,0)</f>
        <v>31.342</v>
      </c>
      <c r="M17" s="44">
        <f t="shared" si="10"/>
        <v>9465.284</v>
      </c>
      <c r="N17" s="65">
        <f>IFERROR(VLOOKUP(B:B,'8店辅助表'!B:C,2,FALSE),0)</f>
        <v>89</v>
      </c>
      <c r="O17" s="65">
        <f>IFERROR(VLOOKUP(B:B,'8店辅助表'!E:F,2,FALSE),0)</f>
        <v>187</v>
      </c>
      <c r="P17" s="65">
        <f>IFERROR(VLOOKUP(B:B,'8店辅助表'!H:I,2,FALSE),0)</f>
        <v>389</v>
      </c>
      <c r="Q17" s="65">
        <f>IFERROR(VLOOKUP(B:B,'[1]8店'!$B:$N,13,FALSE),0)</f>
        <v>87</v>
      </c>
      <c r="R17" s="79">
        <f t="shared" si="2"/>
        <v>2</v>
      </c>
      <c r="S17" s="80">
        <f t="shared" si="3"/>
        <v>23.7498439645487</v>
      </c>
      <c r="T17" s="44">
        <f t="shared" si="4"/>
        <v>0.791661465484958</v>
      </c>
      <c r="U17" s="44">
        <f>IFERROR(VLOOKUP(B:B,'[1]8店'!$B:$T,19,0),"-")</f>
        <v>0.299768518518519</v>
      </c>
      <c r="V17" s="81">
        <f t="shared" si="5"/>
        <v>0.491892946966439</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正常</v>
      </c>
      <c r="X17" s="83" t="str">
        <f>_xlfn.IFS(AND(D17&lt;&gt;0,D17-$AM$2&gt;=0,K17&gt;0,D17&lt;&gt;0),"本月刚到货",AND(T17="-",K17&gt;0),"有库存无销量",AND(T17="-",K17=0),"无库存无销量",AND(T17&lt;=0.5,K17=0),"无库存有销量",T17&lt;=0.5,"库存过低",T17&lt;=1.5,"正常",T17&gt;1.5,"库存过高")</f>
        <v>正常</v>
      </c>
      <c r="Y17" s="44">
        <f>IFERROR(SUMIF('8店辅助表'!K:K,B:B,'8店辅助表'!N:N),0)</f>
        <v>16.12</v>
      </c>
      <c r="Z17" s="44">
        <f>IFERROR(SUMIF('8店辅助表'!T:T,B:B,'8店辅助表'!W:W),0)</f>
        <v>35.68</v>
      </c>
      <c r="AA17" s="44">
        <f>IFERROR(SUMIF('8店辅助表'!AC:AC,B:B,'8店辅助表'!AF:AF),0)</f>
        <v>67.36</v>
      </c>
      <c r="AB17" s="91">
        <f>IFERROR(SUMIF('8店辅助表'!K:K,B:B,'8店辅助表'!N:N)/SUMIF('8店辅助表'!K:K,B:B,'8店辅助表'!O:O),"-")</f>
        <v>0.0512185047501033</v>
      </c>
      <c r="AC17" s="91">
        <f>IFERROR(VLOOKUP(B:B,'[1]8店'!$B:$AB,27,FALSE),"-")</f>
        <v>0.0669901451891973</v>
      </c>
      <c r="AD17" s="92">
        <f t="shared" si="6"/>
        <v>-0.015771640439094</v>
      </c>
      <c r="AE17" s="91">
        <f>IFERROR(SUMIF('8店辅助表'!T:T,B:B,'8店辅助表'!W:W)/SUMIF('8店辅助表'!T:T,B:B,'8店辅助表'!X:X),"-")</f>
        <v>0.0513728708623098</v>
      </c>
      <c r="AF17" s="91">
        <f>IFERROR(SUMIF('8店辅助表'!AC:AC,B:B,'8店辅助表'!AF:AF)/SUMIF('8店辅助表'!AC:AC,B:B,'8店辅助表'!AG:AG),"-")</f>
        <v>0.0410223930135259</v>
      </c>
      <c r="AG17" s="99">
        <f>IFERROR(AK17/((SUMIF('8店辅助表'!AT:AT,B:B,'8店辅助表'!AU:AU)+M17)/2),"-")</f>
        <v>0.430992736077482</v>
      </c>
      <c r="AH17" s="99">
        <f>IFERROR(AL17/((SUMIF('8店辅助表'!AW:AW,B:B,'8店辅助表'!AX:AX)+M17)/2),"-")</f>
        <v>0.634974533106961</v>
      </c>
      <c r="AI17" s="100">
        <f>IFERROR((SUMIF('8店辅助表'!AP:AP,B:B,'8店辅助表'!AR:AR)-SUMIF('8店辅助表'!AP:AP,B:B,'8店辅助表'!AR:AR)*0.15-(L17+IFERROR(VLOOKUP(B:B,'8店辅助表'!AZ:BA,2,0),0))*O17-IF(AN:AN="US",6.85,4.9)*(Z17+4.03*O17))/SUMIF('8店辅助表'!AP:AP,B:B,'8店辅助表'!AR:AR),"-")</f>
        <v>0.368784460147586</v>
      </c>
      <c r="AJ17" s="100">
        <f t="shared" si="7"/>
        <v>0.234168740399316</v>
      </c>
      <c r="AK17" s="101">
        <f t="shared" si="8"/>
        <v>2789.438</v>
      </c>
      <c r="AL17" s="101">
        <f t="shared" si="9"/>
        <v>5860.954</v>
      </c>
      <c r="AM17" s="1" t="str">
        <f>VLOOKUP(B:B,'8店辅助表'!AZ:AZ,1,FALSE)</f>
        <v>Y8009-BA-1</v>
      </c>
      <c r="AN17" t="str">
        <f>VLOOKUP(B:B,'8店辅助表'!AZ:BB,3,FALSE)</f>
        <v>US</v>
      </c>
      <c r="AO17" s="31"/>
    </row>
    <row r="18" customHeight="1" spans="1:41">
      <c r="A18" s="58" t="str">
        <f>INDEX('[1]8店'!$A:$A,MATCH(B:B,'[1]8店'!$B:$B,0))</f>
        <v>晓美</v>
      </c>
      <c r="B18" s="108" t="s">
        <v>2801</v>
      </c>
      <c r="C18" s="123" t="s">
        <v>2802</v>
      </c>
      <c r="D18" s="59">
        <f>VLOOKUP(B:B,'[1]8店'!$B:$L,3,0)</f>
        <v>44767</v>
      </c>
      <c r="E18" s="108" t="s">
        <v>2803</v>
      </c>
      <c r="F18" s="108">
        <v>6</v>
      </c>
      <c r="G18" s="108">
        <v>0</v>
      </c>
      <c r="H18" s="108">
        <v>0</v>
      </c>
      <c r="I18" s="108">
        <v>0</v>
      </c>
      <c r="J18" s="108">
        <v>0</v>
      </c>
      <c r="K18" s="63">
        <f t="shared" ref="K18:K30" si="11">F18+G18+H18+I18+J18</f>
        <v>6</v>
      </c>
      <c r="L18" s="124">
        <f>VLOOKUP($B:$B,'[1]8店'!$B:$L,11,0)</f>
        <v>9.6</v>
      </c>
      <c r="M18" s="44">
        <f t="shared" si="10"/>
        <v>57.6</v>
      </c>
      <c r="N18" s="65">
        <f>IFERROR(VLOOKUP(B:B,'8店辅助表'!B:C,2,FALSE),0)</f>
        <v>1</v>
      </c>
      <c r="O18" s="65">
        <f>IFERROR(VLOOKUP(B:B,'8店辅助表'!E:F,2,FALSE),0)</f>
        <v>1</v>
      </c>
      <c r="P18" s="65">
        <f>IFERROR(VLOOKUP(B:B,'8店辅助表'!H:I,2,FALSE),0)</f>
        <v>1</v>
      </c>
      <c r="Q18" s="65">
        <f>IFERROR(VLOOKUP(B:B,'[1]8店'!$B:$N,13,FALSE),0)</f>
        <v>0</v>
      </c>
      <c r="R18" s="79">
        <f t="shared" ref="R18:R30" si="12">N18-Q18</f>
        <v>1</v>
      </c>
      <c r="S18" s="80">
        <f t="shared" ref="S18:S30" si="13">IFERROR(K18/((N18/7+O18/15+P18/30)/3),"-")</f>
        <v>74.1176470588235</v>
      </c>
      <c r="T18" s="44">
        <f t="shared" ref="T18:T30" si="14">IFERROR(S18/30,"-")</f>
        <v>2.47058823529412</v>
      </c>
      <c r="U18" s="44" t="str">
        <f>IFERROR(VLOOKUP(B:B,'[1]8店'!$B:$T,19,0),"-")</f>
        <v>-</v>
      </c>
      <c r="V18" s="81" t="str">
        <f t="shared" ref="V18:V30" si="15">IFERROR(T18-U18,"-")</f>
        <v>-</v>
      </c>
      <c r="W18" s="82" t="str">
        <f>_xlfn.IFS(AND(D18&lt;&gt;0,D18-$AM$2&gt;=0,B18&gt;0,D18&lt;&gt;0),"本月刚到货",AND(IFERROR((K18/(N18/7))/30,"-")="-",K18&gt;0),"有库存无销量",AND(IFERROR((K18/(N18/7))/30,"-")="-",K18=0),"无库存无销量",AND(IFERROR((K18/(N18/7))/30,"-")&lt;=0.5,K18=0),"无库存有销量",IFERROR((K18/(N18/7))/30,"-")&lt;=0.5,"库存过低",IFERROR((K18/(N18/7))/30,"-")&lt;=1.5,"正常",IFERROR((K18/(N18/7))/30,"-")&gt;1.5,"库存过高")</f>
        <v>正常</v>
      </c>
      <c r="X18" s="83" t="str">
        <f>_xlfn.IFS(AND(D18&lt;&gt;0,D18-$AM$2&gt;=0,K18&gt;0,D18&lt;&gt;0),"本月刚到货",AND(T18="-",K18&gt;0),"有库存无销量",AND(T18="-",K18=0),"无库存无销量",AND(T18&lt;=0.5,K18=0),"无库存有销量",T18&lt;=0.5,"库存过低",T18&lt;=1.5,"正常",T18&gt;1.5,"库存过高")</f>
        <v>库存过高</v>
      </c>
      <c r="Y18" s="44">
        <f>IFERROR(SUMIF('8店辅助表'!K:K,B:B,'8店辅助表'!N:N),0)</f>
        <v>0</v>
      </c>
      <c r="Z18" s="44">
        <f>IFERROR(SUMIF('8店辅助表'!T:T,B:B,'8店辅助表'!W:W),0)</f>
        <v>0</v>
      </c>
      <c r="AA18" s="44">
        <f>IFERROR(SUMIF('8店辅助表'!AC:AC,B:B,'8店辅助表'!AF:AF),0)</f>
        <v>0</v>
      </c>
      <c r="AB18" s="91" t="str">
        <f>IFERROR(SUMIF('8店辅助表'!K:K,B:B,'8店辅助表'!N:N)/SUMIF('8店辅助表'!K:K,B:B,'8店辅助表'!O:O),"-")</f>
        <v>-</v>
      </c>
      <c r="AC18" s="91" t="str">
        <f>IFERROR(VLOOKUP(B:B,'[1]8店'!$B:$AB,27,FALSE),"-")</f>
        <v>-</v>
      </c>
      <c r="AD18" s="92" t="str">
        <f t="shared" ref="AD18:AD30" si="16">IFERROR(AB18-AC18,"-")</f>
        <v>-</v>
      </c>
      <c r="AE18" s="91" t="str">
        <f>IFERROR(SUMIF('8店辅助表'!T:T,B:B,'8店辅助表'!W:W)/SUMIF('8店辅助表'!T:T,B:B,'8店辅助表'!X:X),"-")</f>
        <v>-</v>
      </c>
      <c r="AF18" s="91" t="str">
        <f>IFERROR(SUMIF('8店辅助表'!AC:AC,B:B,'8店辅助表'!AF:AF)/SUMIF('8店辅助表'!AC:AC,B:B,'8店辅助表'!AG:AG),"-")</f>
        <v>-</v>
      </c>
      <c r="AG18" s="99">
        <f>IFERROR(AK18/((SUMIF('8店辅助表'!AT:AT,B:B,'8店辅助表'!AU:AU)+M18)/2),"-")</f>
        <v>0.166666666666667</v>
      </c>
      <c r="AH18" s="99">
        <f>IFERROR(AL18/((SUMIF('8店辅助表'!AW:AW,B:B,'8店辅助表'!AX:AX)+M18)/2),"-")</f>
        <v>0.166666666666667</v>
      </c>
      <c r="AI18" s="100">
        <f>IFERROR((SUMIF('8店辅助表'!AP:AP,B:B,'8店辅助表'!AR:AR)-SUMIF('8店辅助表'!AP:AP,B:B,'8店辅助表'!AR:AR)*0.15-(L18+IFERROR(VLOOKUP(B:B,'8店辅助表'!AZ:BA,2,0),0))*O18-IF(AN:AN="US",6.85,4.9)*(Z18+4.03*O18))/SUMIF('8店辅助表'!AP:AP,B:B,'8店辅助表'!AR:AR),"-")</f>
        <v>0.28237714445116</v>
      </c>
      <c r="AJ18" s="100">
        <f t="shared" ref="AJ18:AJ30" si="17">IFERROR(AH18*AI18,"-")</f>
        <v>0.0470628574085267</v>
      </c>
      <c r="AK18" s="101">
        <f t="shared" ref="AK18:AK30" si="18">N18*$L18</f>
        <v>9.6</v>
      </c>
      <c r="AL18" s="101">
        <f t="shared" ref="AL18:AL30" si="19">O18*$L18</f>
        <v>9.6</v>
      </c>
      <c r="AM18" s="1" t="str">
        <f>VLOOKUP(B:B,'8店辅助表'!AZ:AZ,1,FALSE)</f>
        <v>Y8025</v>
      </c>
      <c r="AN18" t="str">
        <f>VLOOKUP(B:B,'8店辅助表'!AZ:BB,3,FALSE)</f>
        <v>US</v>
      </c>
      <c r="AO18" s="31"/>
    </row>
    <row r="19" customHeight="1" spans="1:41">
      <c r="A19" s="58" t="str">
        <f>INDEX('[1]8店'!$A:$A,MATCH(B:B,'[1]8店'!$B:$B,0))</f>
        <v>晓美</v>
      </c>
      <c r="B19" s="108" t="s">
        <v>2804</v>
      </c>
      <c r="C19" s="123" t="s">
        <v>2805</v>
      </c>
      <c r="D19" s="59">
        <f>VLOOKUP(B:B,'[1]8店'!$B:$L,3,0)</f>
        <v>44767</v>
      </c>
      <c r="E19" s="108" t="s">
        <v>2806</v>
      </c>
      <c r="F19" s="108">
        <v>9</v>
      </c>
      <c r="G19" s="108">
        <v>0</v>
      </c>
      <c r="H19" s="108">
        <v>0</v>
      </c>
      <c r="I19" s="108">
        <v>0</v>
      </c>
      <c r="J19" s="108">
        <v>0</v>
      </c>
      <c r="K19" s="63">
        <f t="shared" si="11"/>
        <v>9</v>
      </c>
      <c r="L19" s="124">
        <f>VLOOKUP($B:$B,'[1]8店'!$B:$L,11,0)</f>
        <v>19</v>
      </c>
      <c r="M19" s="44">
        <f t="shared" si="10"/>
        <v>171</v>
      </c>
      <c r="N19" s="65">
        <f>IFERROR(VLOOKUP(B:B,'8店辅助表'!B:C,2,FALSE),0)</f>
        <v>0</v>
      </c>
      <c r="O19" s="65">
        <f>IFERROR(VLOOKUP(B:B,'8店辅助表'!E:F,2,FALSE),0)</f>
        <v>0</v>
      </c>
      <c r="P19" s="65">
        <f>IFERROR(VLOOKUP(B:B,'8店辅助表'!H:I,2,FALSE),0)</f>
        <v>0</v>
      </c>
      <c r="Q19" s="65">
        <f>IFERROR(VLOOKUP(B:B,'[1]8店'!$B:$N,13,FALSE),0)</f>
        <v>0</v>
      </c>
      <c r="R19" s="79">
        <f t="shared" si="12"/>
        <v>0</v>
      </c>
      <c r="S19" s="80" t="str">
        <f t="shared" si="13"/>
        <v>-</v>
      </c>
      <c r="T19" s="44" t="str">
        <f t="shared" si="14"/>
        <v>-</v>
      </c>
      <c r="U19" s="44">
        <f>IFERROR(VLOOKUP(B:B,'[1]8店'!$B:$T,19,0),"-")</f>
        <v>27</v>
      </c>
      <c r="V19" s="81" t="str">
        <f t="shared" si="15"/>
        <v>-</v>
      </c>
      <c r="W19" s="82" t="str">
        <f>_xlfn.IFS(AND(D19&lt;&gt;0,D19-$AM$2&gt;=0,B19&gt;0,D19&lt;&gt;0),"本月刚到货",AND(IFERROR((K19/(N19/7))/30,"-")="-",K19&gt;0),"有库存无销量",AND(IFERROR((K19/(N19/7))/30,"-")="-",K19=0),"无库存无销量",AND(IFERROR((K19/(N19/7))/30,"-")&lt;=0.5,K19=0),"无库存有销量",IFERROR((K19/(N19/7))/30,"-")&lt;=0.5,"库存过低",IFERROR((K19/(N19/7))/30,"-")&lt;=1.5,"正常",IFERROR((K19/(N19/7))/30,"-")&gt;1.5,"库存过高")</f>
        <v>有库存无销量</v>
      </c>
      <c r="X19" s="83" t="str">
        <f>_xlfn.IFS(AND(D19&lt;&gt;0,D19-$AM$2&gt;=0,K19&gt;0,D19&lt;&gt;0),"本月刚到货",AND(T19="-",K19&gt;0),"有库存无销量",AND(T19="-",K19=0),"无库存无销量",AND(T19&lt;=0.5,K19=0),"无库存有销量",T19&lt;=0.5,"库存过低",T19&lt;=1.5,"正常",T19&gt;1.5,"库存过高")</f>
        <v>有库存无销量</v>
      </c>
      <c r="Y19" s="44">
        <f>IFERROR(SUMIF('8店辅助表'!K:K,B:B,'8店辅助表'!N:N),0)</f>
        <v>0</v>
      </c>
      <c r="Z19" s="44">
        <f>IFERROR(SUMIF('8店辅助表'!T:T,B:B,'8店辅助表'!W:W),0)</f>
        <v>0</v>
      </c>
      <c r="AA19" s="44">
        <f>IFERROR(SUMIF('8店辅助表'!AC:AC,B:B,'8店辅助表'!AF:AF),0)</f>
        <v>0</v>
      </c>
      <c r="AB19" s="91" t="str">
        <f>IFERROR(SUMIF('8店辅助表'!K:K,B:B,'8店辅助表'!N:N)/SUMIF('8店辅助表'!K:K,B:B,'8店辅助表'!O:O),"-")</f>
        <v>-</v>
      </c>
      <c r="AC19" s="91" t="str">
        <f>IFERROR(VLOOKUP(B:B,'[1]8店'!$B:$AB,27,FALSE),"-")</f>
        <v>-</v>
      </c>
      <c r="AD19" s="92" t="str">
        <f t="shared" si="16"/>
        <v>-</v>
      </c>
      <c r="AE19" s="91" t="str">
        <f>IFERROR(SUMIF('8店辅助表'!T:T,B:B,'8店辅助表'!W:W)/SUMIF('8店辅助表'!T:T,B:B,'8店辅助表'!X:X),"-")</f>
        <v>-</v>
      </c>
      <c r="AF19" s="91" t="str">
        <f>IFERROR(SUMIF('8店辅助表'!AC:AC,B:B,'8店辅助表'!AF:AF)/SUMIF('8店辅助表'!AC:AC,B:B,'8店辅助表'!AG:AG),"-")</f>
        <v>-</v>
      </c>
      <c r="AG19" s="99">
        <f>IFERROR(AK19/((SUMIF('8店辅助表'!AT:AT,B:B,'8店辅助表'!AU:AU)+M19)/2),"-")</f>
        <v>0</v>
      </c>
      <c r="AH19" s="99">
        <f>IFERROR(AL19/((SUMIF('8店辅助表'!AW:AW,B:B,'8店辅助表'!AX:AX)+M19)/2),"-")</f>
        <v>0</v>
      </c>
      <c r="AI19" s="100" t="str">
        <f>IFERROR((SUMIF('8店辅助表'!AP:AP,B:B,'8店辅助表'!AR:AR)-SUMIF('8店辅助表'!AP:AP,B:B,'8店辅助表'!AR:AR)*0.15-(L19+IFERROR(VLOOKUP(B:B,'8店辅助表'!AZ:BA,2,0),0))*O19-IF(AN:AN="US",6.85,4.9)*(Z19+4.03*O19))/SUMIF('8店辅助表'!AP:AP,B:B,'8店辅助表'!AR:AR),"-")</f>
        <v>-</v>
      </c>
      <c r="AJ19" s="100" t="str">
        <f t="shared" si="17"/>
        <v>-</v>
      </c>
      <c r="AK19" s="101">
        <f t="shared" si="18"/>
        <v>0</v>
      </c>
      <c r="AL19" s="101">
        <f t="shared" si="19"/>
        <v>0</v>
      </c>
      <c r="AM19" s="1" t="str">
        <f>VLOOKUP(B:B,'8店辅助表'!AZ:AZ,1,FALSE)</f>
        <v>Y8027</v>
      </c>
      <c r="AN19" t="str">
        <f>VLOOKUP(B:B,'8店辅助表'!AZ:BB,3,FALSE)</f>
        <v>US</v>
      </c>
      <c r="AO19" s="31"/>
    </row>
    <row r="20" customHeight="1" spans="1:41">
      <c r="A20" s="58" t="str">
        <f>INDEX('[1]8店'!$A:$A,MATCH(B:B,'[1]8店'!$B:$B,0))</f>
        <v>晓美</v>
      </c>
      <c r="B20" s="108" t="s">
        <v>2807</v>
      </c>
      <c r="C20" s="123" t="s">
        <v>2808</v>
      </c>
      <c r="D20" s="59">
        <f>VLOOKUP(B:B,'[1]8店'!$B:$L,3,0)</f>
        <v>44767</v>
      </c>
      <c r="E20" s="108" t="s">
        <v>2809</v>
      </c>
      <c r="F20" s="108">
        <v>9</v>
      </c>
      <c r="G20" s="108">
        <v>0</v>
      </c>
      <c r="H20" s="108">
        <v>0</v>
      </c>
      <c r="I20" s="108">
        <v>0</v>
      </c>
      <c r="J20" s="108">
        <v>0</v>
      </c>
      <c r="K20" s="63">
        <f t="shared" si="11"/>
        <v>9</v>
      </c>
      <c r="L20" s="124">
        <f>VLOOKUP($B:$B,'[1]8店'!$B:$L,11,0)</f>
        <v>15.5</v>
      </c>
      <c r="M20" s="44">
        <f t="shared" si="10"/>
        <v>139.5</v>
      </c>
      <c r="N20" s="65">
        <f>IFERROR(VLOOKUP(B:B,'8店辅助表'!B:C,2,FALSE),0)</f>
        <v>0</v>
      </c>
      <c r="O20" s="65">
        <f>IFERROR(VLOOKUP(B:B,'8店辅助表'!E:F,2,FALSE),0)</f>
        <v>0</v>
      </c>
      <c r="P20" s="65">
        <f>IFERROR(VLOOKUP(B:B,'8店辅助表'!H:I,2,FALSE),0)</f>
        <v>1</v>
      </c>
      <c r="Q20" s="65">
        <f>IFERROR(VLOOKUP(B:B,'[1]8店'!$B:$N,13,FALSE),0)</f>
        <v>0</v>
      </c>
      <c r="R20" s="79">
        <f t="shared" si="12"/>
        <v>0</v>
      </c>
      <c r="S20" s="80">
        <f t="shared" si="13"/>
        <v>810</v>
      </c>
      <c r="T20" s="44">
        <f t="shared" si="14"/>
        <v>27</v>
      </c>
      <c r="U20" s="44">
        <f>IFERROR(VLOOKUP(B:B,'[1]8店'!$B:$T,19,0),"-")</f>
        <v>9</v>
      </c>
      <c r="V20" s="81">
        <f t="shared" si="15"/>
        <v>18</v>
      </c>
      <c r="W20" s="82" t="str">
        <f>_xlfn.IFS(AND(D20&lt;&gt;0,D20-$AM$2&gt;=0,B20&gt;0,D20&lt;&gt;0),"本月刚到货",AND(IFERROR((K20/(N20/7))/30,"-")="-",K20&gt;0),"有库存无销量",AND(IFERROR((K20/(N20/7))/30,"-")="-",K20=0),"无库存无销量",AND(IFERROR((K20/(N20/7))/30,"-")&lt;=0.5,K20=0),"无库存有销量",IFERROR((K20/(N20/7))/30,"-")&lt;=0.5,"库存过低",IFERROR((K20/(N20/7))/30,"-")&lt;=1.5,"正常",IFERROR((K20/(N20/7))/30,"-")&gt;1.5,"库存过高")</f>
        <v>有库存无销量</v>
      </c>
      <c r="X20" s="83" t="str">
        <f>_xlfn.IFS(AND(D20&lt;&gt;0,D20-$AM$2&gt;=0,K20&gt;0,D20&lt;&gt;0),"本月刚到货",AND(T20="-",K20&gt;0),"有库存无销量",AND(T20="-",K20=0),"无库存无销量",AND(T20&lt;=0.5,K20=0),"无库存有销量",T20&lt;=0.5,"库存过低",T20&lt;=1.5,"正常",T20&gt;1.5,"库存过高")</f>
        <v>库存过高</v>
      </c>
      <c r="Y20" s="44">
        <f>IFERROR(SUMIF('8店辅助表'!K:K,B:B,'8店辅助表'!N:N),0)</f>
        <v>0</v>
      </c>
      <c r="Z20" s="44">
        <f>IFERROR(SUMIF('8店辅助表'!T:T,B:B,'8店辅助表'!W:W),0)</f>
        <v>0</v>
      </c>
      <c r="AA20" s="44">
        <f>IFERROR(SUMIF('8店辅助表'!AC:AC,B:B,'8店辅助表'!AF:AF),0)</f>
        <v>0</v>
      </c>
      <c r="AB20" s="91" t="str">
        <f>IFERROR(SUMIF('8店辅助表'!K:K,B:B,'8店辅助表'!N:N)/SUMIF('8店辅助表'!K:K,B:B,'8店辅助表'!O:O),"-")</f>
        <v>-</v>
      </c>
      <c r="AC20" s="91" t="str">
        <f>IFERROR(VLOOKUP(B:B,'[1]8店'!$B:$AB,27,FALSE),"-")</f>
        <v>-</v>
      </c>
      <c r="AD20" s="92" t="str">
        <f t="shared" si="16"/>
        <v>-</v>
      </c>
      <c r="AE20" s="91" t="str">
        <f>IFERROR(SUMIF('8店辅助表'!T:T,B:B,'8店辅助表'!W:W)/SUMIF('8店辅助表'!T:T,B:B,'8店辅助表'!X:X),"-")</f>
        <v>-</v>
      </c>
      <c r="AF20" s="91" t="str">
        <f>IFERROR(SUMIF('8店辅助表'!AC:AC,B:B,'8店辅助表'!AF:AF)/SUMIF('8店辅助表'!AC:AC,B:B,'8店辅助表'!AG:AG),"-")</f>
        <v>-</v>
      </c>
      <c r="AG20" s="99">
        <f>IFERROR(AK20/((SUMIF('8店辅助表'!AT:AT,B:B,'8店辅助表'!AU:AU)+M20)/2),"-")</f>
        <v>0</v>
      </c>
      <c r="AH20" s="99">
        <f>IFERROR(AL20/((SUMIF('8店辅助表'!AW:AW,B:B,'8店辅助表'!AX:AX)+M20)/2),"-")</f>
        <v>0</v>
      </c>
      <c r="AI20" s="100" t="str">
        <f>IFERROR((SUMIF('8店辅助表'!AP:AP,B:B,'8店辅助表'!AR:AR)-SUMIF('8店辅助表'!AP:AP,B:B,'8店辅助表'!AR:AR)*0.15-(L20+IFERROR(VLOOKUP(B:B,'8店辅助表'!AZ:BA,2,0),0))*O20-IF(AN:AN="US",6.85,4.9)*(Z20+4.03*O20))/SUMIF('8店辅助表'!AP:AP,B:B,'8店辅助表'!AR:AR),"-")</f>
        <v>-</v>
      </c>
      <c r="AJ20" s="100" t="str">
        <f t="shared" si="17"/>
        <v>-</v>
      </c>
      <c r="AK20" s="101">
        <f t="shared" si="18"/>
        <v>0</v>
      </c>
      <c r="AL20" s="101">
        <f t="shared" si="19"/>
        <v>0</v>
      </c>
      <c r="AM20" s="1" t="str">
        <f>VLOOKUP(B:B,'8店辅助表'!AZ:AZ,1,FALSE)</f>
        <v>Y8029</v>
      </c>
      <c r="AN20" t="str">
        <f>VLOOKUP(B:B,'8店辅助表'!AZ:BB,3,FALSE)</f>
        <v>US</v>
      </c>
      <c r="AO20" s="31"/>
    </row>
    <row r="21" customHeight="1" spans="1:41">
      <c r="A21" s="58" t="str">
        <f>INDEX('[1]8店'!$A:$A,MATCH(B:B,'[1]8店'!$B:$B,0))</f>
        <v>晓美</v>
      </c>
      <c r="B21" s="108" t="s">
        <v>2810</v>
      </c>
      <c r="C21" s="123" t="s">
        <v>2811</v>
      </c>
      <c r="D21" s="59">
        <f>VLOOKUP(B:B,'[1]8店'!$B:$L,3,0)</f>
        <v>44922</v>
      </c>
      <c r="E21" s="108" t="s">
        <v>2812</v>
      </c>
      <c r="F21" s="108">
        <v>5</v>
      </c>
      <c r="G21" s="108">
        <v>0</v>
      </c>
      <c r="H21" s="108">
        <v>0</v>
      </c>
      <c r="I21" s="108">
        <v>0</v>
      </c>
      <c r="J21" s="108">
        <v>0</v>
      </c>
      <c r="K21" s="63">
        <f t="shared" si="11"/>
        <v>5</v>
      </c>
      <c r="L21" s="124">
        <f>VLOOKUP($B:$B,'[1]8店'!$B:$L,11,0)</f>
        <v>14</v>
      </c>
      <c r="M21" s="44">
        <f t="shared" si="10"/>
        <v>70</v>
      </c>
      <c r="N21" s="65">
        <f>IFERROR(VLOOKUP(B:B,'8店辅助表'!B:C,2,FALSE),0)</f>
        <v>0</v>
      </c>
      <c r="O21" s="65">
        <f>IFERROR(VLOOKUP(B:B,'8店辅助表'!E:F,2,FALSE),0)</f>
        <v>0</v>
      </c>
      <c r="P21" s="65">
        <f>IFERROR(VLOOKUP(B:B,'8店辅助表'!H:I,2,FALSE),0)</f>
        <v>0</v>
      </c>
      <c r="Q21" s="65">
        <f>IFERROR(VLOOKUP(B:B,'[1]8店'!$B:$N,13,FALSE),0)</f>
        <v>0</v>
      </c>
      <c r="R21" s="79">
        <f t="shared" si="12"/>
        <v>0</v>
      </c>
      <c r="S21" s="80" t="str">
        <f t="shared" si="13"/>
        <v>-</v>
      </c>
      <c r="T21" s="44" t="str">
        <f t="shared" si="14"/>
        <v>-</v>
      </c>
      <c r="U21" s="44" t="str">
        <f>IFERROR(VLOOKUP(B:B,'[1]8店'!$B:$T,19,0),"-")</f>
        <v>-</v>
      </c>
      <c r="V21" s="81" t="str">
        <f t="shared" si="15"/>
        <v>-</v>
      </c>
      <c r="W21" s="82" t="str">
        <f>_xlfn.IFS(AND(D21&lt;&gt;0,D21-$AM$2&gt;=0,B21&gt;0,D21&lt;&gt;0),"本月刚到货",AND(IFERROR((K21/(N21/7))/30,"-")="-",K21&gt;0),"有库存无销量",AND(IFERROR((K21/(N21/7))/30,"-")="-",K21=0),"无库存无销量",AND(IFERROR((K21/(N21/7))/30,"-")&lt;=0.5,K21=0),"无库存有销量",IFERROR((K21/(N21/7))/30,"-")&lt;=0.5,"库存过低",IFERROR((K21/(N21/7))/30,"-")&lt;=1.5,"正常",IFERROR((K21/(N21/7))/30,"-")&gt;1.5,"库存过高")</f>
        <v>有库存无销量</v>
      </c>
      <c r="X21" s="83" t="str">
        <f>_xlfn.IFS(AND(D21&lt;&gt;0,D21-$AM$2&gt;=0,K21&gt;0,D21&lt;&gt;0),"本月刚到货",AND(T21="-",K21&gt;0),"有库存无销量",AND(T21="-",K21=0),"无库存无销量",AND(T21&lt;=0.5,K21=0),"无库存有销量",T21&lt;=0.5,"库存过低",T21&lt;=1.5,"正常",T21&gt;1.5,"库存过高")</f>
        <v>有库存无销量</v>
      </c>
      <c r="Y21" s="44">
        <f>IFERROR(SUMIF('8店辅助表'!K:K,B:B,'8店辅助表'!N:N),0)</f>
        <v>0</v>
      </c>
      <c r="Z21" s="44">
        <f>IFERROR(SUMIF('8店辅助表'!T:T,B:B,'8店辅助表'!W:W),0)</f>
        <v>0</v>
      </c>
      <c r="AA21" s="44">
        <f>IFERROR(SUMIF('8店辅助表'!AC:AC,B:B,'8店辅助表'!AF:AF),0)</f>
        <v>0</v>
      </c>
      <c r="AB21" s="91" t="str">
        <f>IFERROR(SUMIF('8店辅助表'!K:K,B:B,'8店辅助表'!N:N)/SUMIF('8店辅助表'!K:K,B:B,'8店辅助表'!O:O),"-")</f>
        <v>-</v>
      </c>
      <c r="AC21" s="91" t="str">
        <f>IFERROR(VLOOKUP(B:B,'[1]8店'!$B:$AB,27,FALSE),"-")</f>
        <v>-</v>
      </c>
      <c r="AD21" s="92" t="str">
        <f t="shared" si="16"/>
        <v>-</v>
      </c>
      <c r="AE21" s="91" t="str">
        <f>IFERROR(SUMIF('8店辅助表'!T:T,B:B,'8店辅助表'!W:W)/SUMIF('8店辅助表'!T:T,B:B,'8店辅助表'!X:X),"-")</f>
        <v>-</v>
      </c>
      <c r="AF21" s="91" t="str">
        <f>IFERROR(SUMIF('8店辅助表'!AC:AC,B:B,'8店辅助表'!AF:AF)/SUMIF('8店辅助表'!AC:AC,B:B,'8店辅助表'!AG:AG),"-")</f>
        <v>-</v>
      </c>
      <c r="AG21" s="99">
        <f>IFERROR(AK21/((SUMIF('8店辅助表'!AT:AT,B:B,'8店辅助表'!AU:AU)+M21)/2),"-")</f>
        <v>0</v>
      </c>
      <c r="AH21" s="99">
        <f>IFERROR(AL21/((SUMIF('8店辅助表'!AW:AW,B:B,'8店辅助表'!AX:AX)+M21)/2),"-")</f>
        <v>0</v>
      </c>
      <c r="AI21" s="100" t="str">
        <f>IFERROR((SUMIF('8店辅助表'!AP:AP,B:B,'8店辅助表'!AR:AR)-SUMIF('8店辅助表'!AP:AP,B:B,'8店辅助表'!AR:AR)*0.15-(L21+IFERROR(VLOOKUP(B:B,'8店辅助表'!AZ:BA,2,0),0))*O21-IF(AN:AN="US",6.85,4.9)*(Z21+4.03*O21))/SUMIF('8店辅助表'!AP:AP,B:B,'8店辅助表'!AR:AR),"-")</f>
        <v>-</v>
      </c>
      <c r="AJ21" s="100" t="str">
        <f t="shared" si="17"/>
        <v>-</v>
      </c>
      <c r="AK21" s="101">
        <f t="shared" si="18"/>
        <v>0</v>
      </c>
      <c r="AL21" s="101">
        <f t="shared" si="19"/>
        <v>0</v>
      </c>
      <c r="AM21" s="1" t="str">
        <f>VLOOKUP(B:B,'8店辅助表'!AZ:AZ,1,FALSE)</f>
        <v>Y8031</v>
      </c>
      <c r="AN21" t="str">
        <f>VLOOKUP(B:B,'8店辅助表'!AZ:BB,3,FALSE)</f>
        <v>US</v>
      </c>
      <c r="AO21" s="31"/>
    </row>
    <row r="22" customHeight="1" spans="1:41">
      <c r="A22" s="58" t="str">
        <f>INDEX('[1]8店'!$A:$A,MATCH(B:B,'[1]8店'!$B:$B,0))</f>
        <v>晓美</v>
      </c>
      <c r="B22" s="109" t="s">
        <v>2813</v>
      </c>
      <c r="C22" s="123" t="s">
        <v>1742</v>
      </c>
      <c r="D22" s="59">
        <f>VLOOKUP(B:B,'[1]8店'!$B:$L,3,0)</f>
        <v>44898</v>
      </c>
      <c r="E22" s="108" t="s">
        <v>2814</v>
      </c>
      <c r="F22" s="108">
        <v>63</v>
      </c>
      <c r="G22" s="108">
        <v>0</v>
      </c>
      <c r="H22" s="108">
        <v>0</v>
      </c>
      <c r="I22" s="108">
        <v>0</v>
      </c>
      <c r="J22" s="108">
        <v>6</v>
      </c>
      <c r="K22" s="63">
        <f t="shared" si="11"/>
        <v>69</v>
      </c>
      <c r="L22" s="124">
        <f>VLOOKUP($B:$B,'[1]8店'!$B:$L,11,0)</f>
        <v>34.087</v>
      </c>
      <c r="M22" s="44">
        <f t="shared" si="10"/>
        <v>2352.003</v>
      </c>
      <c r="N22" s="65">
        <f>IFERROR(VLOOKUP(B:B,'8店辅助表'!B:C,2,FALSE),0)</f>
        <v>0</v>
      </c>
      <c r="O22" s="65">
        <f>IFERROR(VLOOKUP(B:B,'8店辅助表'!E:F,2,FALSE),0)</f>
        <v>0</v>
      </c>
      <c r="P22" s="65">
        <f>IFERROR(VLOOKUP(B:B,'8店辅助表'!H:I,2,FALSE),0)</f>
        <v>0</v>
      </c>
      <c r="Q22" s="65">
        <f>IFERROR(VLOOKUP(B:B,'[1]8店'!$B:$N,13,FALSE),0)</f>
        <v>0</v>
      </c>
      <c r="R22" s="79">
        <f t="shared" si="12"/>
        <v>0</v>
      </c>
      <c r="S22" s="80" t="str">
        <f t="shared" si="13"/>
        <v>-</v>
      </c>
      <c r="T22" s="44" t="str">
        <f t="shared" si="14"/>
        <v>-</v>
      </c>
      <c r="U22" s="44">
        <f>IFERROR(VLOOKUP(B:B,'[1]8店'!$B:$T,19,0),"-")</f>
        <v>103.5</v>
      </c>
      <c r="V22" s="81" t="str">
        <f t="shared" si="15"/>
        <v>-</v>
      </c>
      <c r="W22" s="82" t="str">
        <f>_xlfn.IFS(AND(D22&lt;&gt;0,D22-$AM$2&gt;=0,B22&gt;0,D22&lt;&gt;0),"本月刚到货",AND(IFERROR((K22/(N22/7))/30,"-")="-",K22&gt;0),"有库存无销量",AND(IFERROR((K22/(N22/7))/30,"-")="-",K22=0),"无库存无销量",AND(IFERROR((K22/(N22/7))/30,"-")&lt;=0.5,K22=0),"无库存有销量",IFERROR((K22/(N22/7))/30,"-")&lt;=0.5,"库存过低",IFERROR((K22/(N22/7))/30,"-")&lt;=1.5,"正常",IFERROR((K22/(N22/7))/30,"-")&gt;1.5,"库存过高")</f>
        <v>有库存无销量</v>
      </c>
      <c r="X22" s="83" t="str">
        <f>_xlfn.IFS(AND(D22&lt;&gt;0,D22-$AM$2&gt;=0,K22&gt;0,D22&lt;&gt;0),"本月刚到货",AND(T22="-",K22&gt;0),"有库存无销量",AND(T22="-",K22=0),"无库存无销量",AND(T22&lt;=0.5,K22=0),"无库存有销量",T22&lt;=0.5,"库存过低",T22&lt;=1.5,"正常",T22&gt;1.5,"库存过高")</f>
        <v>有库存无销量</v>
      </c>
      <c r="Y22" s="44">
        <f>IFERROR(SUMIF('8店辅助表'!K:K,B:B,'8店辅助表'!N:N),0)</f>
        <v>0</v>
      </c>
      <c r="Z22" s="44">
        <f>IFERROR(SUMIF('8店辅助表'!T:T,B:B,'8店辅助表'!W:W),0)</f>
        <v>0</v>
      </c>
      <c r="AA22" s="44">
        <f>IFERROR(SUMIF('8店辅助表'!AC:AC,B:B,'8店辅助表'!AF:AF),0)</f>
        <v>0</v>
      </c>
      <c r="AB22" s="91" t="str">
        <f>IFERROR(SUMIF('8店辅助表'!K:K,B:B,'8店辅助表'!N:N)/SUMIF('8店辅助表'!K:K,B:B,'8店辅助表'!O:O),"-")</f>
        <v>-</v>
      </c>
      <c r="AC22" s="91" t="str">
        <f>IFERROR(VLOOKUP(B:B,'[1]8店'!$B:$AB,27,FALSE),"-")</f>
        <v>-</v>
      </c>
      <c r="AD22" s="92" t="str">
        <f t="shared" si="16"/>
        <v>-</v>
      </c>
      <c r="AE22" s="91" t="str">
        <f>IFERROR(SUMIF('8店辅助表'!T:T,B:B,'8店辅助表'!W:W)/SUMIF('8店辅助表'!T:T,B:B,'8店辅助表'!X:X),"-")</f>
        <v>-</v>
      </c>
      <c r="AF22" s="91" t="str">
        <f>IFERROR(SUMIF('8店辅助表'!AC:AC,B:B,'8店辅助表'!AF:AF)/SUMIF('8店辅助表'!AC:AC,B:B,'8店辅助表'!AG:AG),"-")</f>
        <v>-</v>
      </c>
      <c r="AG22" s="99">
        <f>IFERROR(AK22/((SUMIF('8店辅助表'!AT:AT,B:B,'8店辅助表'!AU:AU)+M22)/2),"-")</f>
        <v>0</v>
      </c>
      <c r="AH22" s="99">
        <f>IFERROR(AL22/((SUMIF('8店辅助表'!AW:AW,B:B,'8店辅助表'!AX:AX)+M22)/2),"-")</f>
        <v>0</v>
      </c>
      <c r="AI22" s="100" t="str">
        <f>IFERROR((SUMIF('8店辅助表'!AP:AP,B:B,'8店辅助表'!AR:AR)-SUMIF('8店辅助表'!AP:AP,B:B,'8店辅助表'!AR:AR)*0.15-(L22+IFERROR(VLOOKUP(B:B,'8店辅助表'!AZ:BA,2,0),0))*O22-IF(AN:AN="US",6.85,4.9)*(Z22+4.03*O22))/SUMIF('8店辅助表'!AP:AP,B:B,'8店辅助表'!AR:AR),"-")</f>
        <v>-</v>
      </c>
      <c r="AJ22" s="100" t="str">
        <f t="shared" si="17"/>
        <v>-</v>
      </c>
      <c r="AK22" s="101">
        <f t="shared" si="18"/>
        <v>0</v>
      </c>
      <c r="AL22" s="101">
        <f t="shared" si="19"/>
        <v>0</v>
      </c>
      <c r="AM22" s="1" t="str">
        <f>VLOOKUP(B:B,'8店辅助表'!AZ:AZ,1,FALSE)</f>
        <v>Y8033-RD</v>
      </c>
      <c r="AN22" t="str">
        <f>VLOOKUP(B:B,'8店辅助表'!AZ:BB,3,FALSE)</f>
        <v>US</v>
      </c>
      <c r="AO22" s="31"/>
    </row>
    <row r="23" customHeight="1" spans="1:41">
      <c r="A23" s="58" t="str">
        <f>INDEX('[1]8店'!$A:$A,MATCH(B:B,'[1]8店'!$B:$B,0))</f>
        <v>晓美</v>
      </c>
      <c r="B23" s="108" t="s">
        <v>2815</v>
      </c>
      <c r="C23" s="123" t="s">
        <v>1742</v>
      </c>
      <c r="D23" s="59">
        <f>VLOOKUP(B:B,'[1]8店'!$B:$L,3,0)</f>
        <v>44898</v>
      </c>
      <c r="E23" s="108" t="s">
        <v>2816</v>
      </c>
      <c r="F23" s="108">
        <v>98</v>
      </c>
      <c r="G23" s="108">
        <v>8</v>
      </c>
      <c r="H23" s="108">
        <v>28</v>
      </c>
      <c r="I23" s="108">
        <v>5</v>
      </c>
      <c r="J23" s="108">
        <v>19</v>
      </c>
      <c r="K23" s="63">
        <f t="shared" si="11"/>
        <v>158</v>
      </c>
      <c r="L23" s="124">
        <f>VLOOKUP($B:$B,'[1]8店'!$B:$L,11,0)</f>
        <v>34.11</v>
      </c>
      <c r="M23" s="44">
        <f t="shared" si="10"/>
        <v>5389.38</v>
      </c>
      <c r="N23" s="65">
        <f>IFERROR(VLOOKUP(B:B,'8店辅助表'!B:C,2,FALSE),0)</f>
        <v>64</v>
      </c>
      <c r="O23" s="65">
        <f>IFERROR(VLOOKUP(B:B,'8店辅助表'!E:F,2,FALSE),0)</f>
        <v>118</v>
      </c>
      <c r="P23" s="65">
        <f>IFERROR(VLOOKUP(B:B,'8店辅助表'!H:I,2,FALSE),0)</f>
        <v>219</v>
      </c>
      <c r="Q23" s="65">
        <f>IFERROR(VLOOKUP(B:B,'[1]8店'!$B:$N,13,FALSE),0)</f>
        <v>48</v>
      </c>
      <c r="R23" s="79">
        <f t="shared" si="12"/>
        <v>16</v>
      </c>
      <c r="S23" s="80">
        <f t="shared" si="13"/>
        <v>19.4985308521058</v>
      </c>
      <c r="T23" s="44">
        <f t="shared" si="14"/>
        <v>0.649951028403526</v>
      </c>
      <c r="U23" s="44">
        <f>IFERROR(VLOOKUP(B:B,'[1]8店'!$B:$T,19,0),"-")</f>
        <v>0.50770324721498</v>
      </c>
      <c r="V23" s="81">
        <f t="shared" si="15"/>
        <v>0.142247781188546</v>
      </c>
      <c r="W23" s="82" t="str">
        <f>_xlfn.IFS(AND(D23&lt;&gt;0,D23-$AM$2&gt;=0,B23&gt;0,D23&lt;&gt;0),"本月刚到货",AND(IFERROR((K23/(N23/7))/30,"-")="-",K23&gt;0),"有库存无销量",AND(IFERROR((K23/(N23/7))/30,"-")="-",K23=0),"无库存无销量",AND(IFERROR((K23/(N23/7))/30,"-")&lt;=0.5,K23=0),"无库存有销量",IFERROR((K23/(N23/7))/30,"-")&lt;=0.5,"库存过低",IFERROR((K23/(N23/7))/30,"-")&lt;=1.5,"正常",IFERROR((K23/(N23/7))/30,"-")&gt;1.5,"库存过高")</f>
        <v>正常</v>
      </c>
      <c r="X23" s="83" t="str">
        <f>_xlfn.IFS(AND(D23&lt;&gt;0,D23-$AM$2&gt;=0,K23&gt;0,D23&lt;&gt;0),"本月刚到货",AND(T23="-",K23&gt;0),"有库存无销量",AND(T23="-",K23=0),"无库存无销量",AND(T23&lt;=0.5,K23=0),"无库存有销量",T23&lt;=0.5,"库存过低",T23&lt;=1.5,"正常",T23&gt;1.5,"库存过高")</f>
        <v>正常</v>
      </c>
      <c r="Y23" s="44">
        <f>IFERROR(SUMIF('8店辅助表'!K:K,B:B,'8店辅助表'!N:N),0)</f>
        <v>3.88</v>
      </c>
      <c r="Z23" s="44">
        <f>IFERROR(SUMIF('8店辅助表'!T:T,B:B,'8店辅助表'!W:W),0)</f>
        <v>6.75</v>
      </c>
      <c r="AA23" s="44">
        <f>IFERROR(SUMIF('8店辅助表'!AC:AC,B:B,'8店辅助表'!AF:AF),0)</f>
        <v>9.87</v>
      </c>
      <c r="AB23" s="91">
        <f>IFERROR(SUMIF('8店辅助表'!K:K,B:B,'8店辅助表'!N:N)/SUMIF('8店辅助表'!K:K,B:B,'8店辅助表'!O:O),"-")</f>
        <v>0.0185743692852698</v>
      </c>
      <c r="AC23" s="91">
        <f>IFERROR(VLOOKUP(B:B,'[1]8店'!$B:$AB,27,FALSE),"-")</f>
        <v>0.0220291381428822</v>
      </c>
      <c r="AD23" s="92">
        <f t="shared" si="16"/>
        <v>-0.0034547688576124</v>
      </c>
      <c r="AE23" s="91">
        <f>IFERROR(SUMIF('8店辅助表'!T:T,B:B,'8店辅助表'!W:W)/SUMIF('8店辅助表'!T:T,B:B,'8店辅助表'!X:X),"-")</f>
        <v>0.0148104265402844</v>
      </c>
      <c r="AF23" s="91">
        <f>IFERROR(SUMIF('8店辅助表'!AC:AC,B:B,'8店辅助表'!AF:AF)/SUMIF('8店辅助表'!AC:AC,B:B,'8店辅助表'!AG:AG),"-")</f>
        <v>0.0144374232051957</v>
      </c>
      <c r="AG23" s="99">
        <f>IFERROR(AK23/((SUMIF('8店辅助表'!AT:AT,B:B,'8店辅助表'!AU:AU)+M23)/2),"-")</f>
        <v>0.492307692307692</v>
      </c>
      <c r="AH23" s="99">
        <f>IFERROR(AL23/((SUMIF('8店辅助表'!AW:AW,B:B,'8店辅助表'!AX:AX)+M23)/2),"-")</f>
        <v>0.598984771573604</v>
      </c>
      <c r="AI23" s="100">
        <f>IFERROR((SUMIF('8店辅助表'!AP:AP,B:B,'8店辅助表'!AR:AR)-SUMIF('8店辅助表'!AP:AP,B:B,'8店辅助表'!AR:AR)*0.15-(L23+IFERROR(VLOOKUP(B:B,'8店辅助表'!AZ:BA,2,0),0))*O23-IF(AN:AN="US",6.85,4.9)*(Z23+4.03*O23))/SUMIF('8店辅助表'!AP:AP,B:B,'8店辅助表'!AR:AR),"-")</f>
        <v>0.351459652926421</v>
      </c>
      <c r="AJ23" s="100">
        <f t="shared" si="17"/>
        <v>0.210518979925471</v>
      </c>
      <c r="AK23" s="101">
        <f t="shared" si="18"/>
        <v>2183.04</v>
      </c>
      <c r="AL23" s="101">
        <f t="shared" si="19"/>
        <v>4024.98</v>
      </c>
      <c r="AM23" s="1" t="str">
        <f>VLOOKUP(B:B,'8店辅助表'!AZ:AZ,1,FALSE)</f>
        <v>Y8033-BL</v>
      </c>
      <c r="AN23" t="str">
        <f>VLOOKUP(B:B,'8店辅助表'!AZ:BB,3,FALSE)</f>
        <v>US</v>
      </c>
      <c r="AO23" s="31"/>
    </row>
    <row r="24" customHeight="1" spans="1:41">
      <c r="A24" s="58" t="str">
        <f>INDEX('[1]8店'!$A:$A,MATCH(B:B,'[1]8店'!$B:$B,0))</f>
        <v>晓美</v>
      </c>
      <c r="B24" s="108" t="s">
        <v>2817</v>
      </c>
      <c r="C24" s="123" t="s">
        <v>2818</v>
      </c>
      <c r="D24" s="59">
        <f>VLOOKUP(B:B,'[1]8店'!$B:$L,3,0)</f>
        <v>44922</v>
      </c>
      <c r="E24" s="108" t="s">
        <v>2819</v>
      </c>
      <c r="F24" s="108">
        <v>19</v>
      </c>
      <c r="G24" s="108">
        <v>0</v>
      </c>
      <c r="H24" s="108">
        <v>0</v>
      </c>
      <c r="I24" s="108">
        <v>0</v>
      </c>
      <c r="J24" s="108">
        <v>0</v>
      </c>
      <c r="K24" s="63">
        <f t="shared" si="11"/>
        <v>19</v>
      </c>
      <c r="L24" s="124">
        <f>VLOOKUP($B:$B,'[1]8店'!$B:$L,11,0)</f>
        <v>32.372</v>
      </c>
      <c r="M24" s="44">
        <f t="shared" si="10"/>
        <v>615.068</v>
      </c>
      <c r="N24" s="65">
        <f>IFERROR(VLOOKUP(B:B,'8店辅助表'!B:C,2,FALSE),0)</f>
        <v>1</v>
      </c>
      <c r="O24" s="65">
        <f>IFERROR(VLOOKUP(B:B,'8店辅助表'!E:F,2,FALSE),0)</f>
        <v>3</v>
      </c>
      <c r="P24" s="65">
        <f>IFERROR(VLOOKUP(B:B,'8店辅助表'!H:I,2,FALSE),0)</f>
        <v>3</v>
      </c>
      <c r="Q24" s="65">
        <f>IFERROR(VLOOKUP(B:B,'[1]8店'!$B:$N,13,FALSE),0)</f>
        <v>2</v>
      </c>
      <c r="R24" s="79">
        <f t="shared" si="12"/>
        <v>-1</v>
      </c>
      <c r="S24" s="80">
        <f t="shared" si="13"/>
        <v>128.709677419355</v>
      </c>
      <c r="T24" s="44">
        <f t="shared" si="14"/>
        <v>4.29032258064516</v>
      </c>
      <c r="U24" s="44">
        <f>IFERROR(VLOOKUP(B:B,'[1]8店'!$B:$T,19,0),"-")</f>
        <v>4.04587155963303</v>
      </c>
      <c r="V24" s="81">
        <f t="shared" si="15"/>
        <v>0.24445102101213</v>
      </c>
      <c r="W24" s="82" t="str">
        <f>_xlfn.IFS(AND(D24&lt;&gt;0,D24-$AM$2&gt;=0,B24&gt;0,D24&lt;&gt;0),"本月刚到货",AND(IFERROR((K24/(N24/7))/30,"-")="-",K24&gt;0),"有库存无销量",AND(IFERROR((K24/(N24/7))/30,"-")="-",K24=0),"无库存无销量",AND(IFERROR((K24/(N24/7))/30,"-")&lt;=0.5,K24=0),"无库存有销量",IFERROR((K24/(N24/7))/30,"-")&lt;=0.5,"库存过低",IFERROR((K24/(N24/7))/30,"-")&lt;=1.5,"正常",IFERROR((K24/(N24/7))/30,"-")&gt;1.5,"库存过高")</f>
        <v>库存过高</v>
      </c>
      <c r="X24" s="83" t="str">
        <f>_xlfn.IFS(AND(D24&lt;&gt;0,D24-$AM$2&gt;=0,K24&gt;0,D24&lt;&gt;0),"本月刚到货",AND(T24="-",K24&gt;0),"有库存无销量",AND(T24="-",K24=0),"无库存无销量",AND(T24&lt;=0.5,K24=0),"无库存有销量",T24&lt;=0.5,"库存过低",T24&lt;=1.5,"正常",T24&gt;1.5,"库存过高")</f>
        <v>库存过高</v>
      </c>
      <c r="Y24" s="44">
        <f>IFERROR(SUMIF('8店辅助表'!K:K,B:B,'8店辅助表'!N:N),0)</f>
        <v>0.32</v>
      </c>
      <c r="Z24" s="44">
        <f>IFERROR(SUMIF('8店辅助表'!T:T,B:B,'8店辅助表'!W:W),0)</f>
        <v>0.56</v>
      </c>
      <c r="AA24" s="44">
        <f>IFERROR(SUMIF('8店辅助表'!AC:AC,B:B,'8店辅助表'!AF:AF),0)</f>
        <v>0.66</v>
      </c>
      <c r="AB24" s="91">
        <f>IFERROR(SUMIF('8店辅助表'!K:K,B:B,'8店辅助表'!N:N)/SUMIF('8店辅助表'!K:K,B:B,'8店辅助表'!O:O),"-")</f>
        <v>0.016008004002001</v>
      </c>
      <c r="AC24" s="91">
        <f>IFERROR(VLOOKUP(B:B,'[1]8店'!$B:$AB,27,FALSE),"-")</f>
        <v>0.0126382306477093</v>
      </c>
      <c r="AD24" s="92">
        <f t="shared" si="16"/>
        <v>0.0033697733542917</v>
      </c>
      <c r="AE24" s="91">
        <f>IFERROR(SUMIF('8店辅助表'!T:T,B:B,'8店辅助表'!W:W)/SUMIF('8店辅助表'!T:T,B:B,'8店辅助表'!X:X),"-")</f>
        <v>0.0143663417136993</v>
      </c>
      <c r="AF24" s="91">
        <f>IFERROR(SUMIF('8店辅助表'!AC:AC,B:B,'8店辅助表'!AF:AF)/SUMIF('8店辅助表'!AC:AC,B:B,'8店辅助表'!AG:AG),"-")</f>
        <v>0.0169317598768599</v>
      </c>
      <c r="AG24" s="99">
        <f>IFERROR(AK24/((SUMIF('8店辅助表'!AT:AT,B:B,'8店辅助表'!AU:AU)+M24)/2),"-")</f>
        <v>0.05</v>
      </c>
      <c r="AH24" s="99">
        <f>IFERROR(AL24/((SUMIF('8店辅助表'!AW:AW,B:B,'8店辅助表'!AX:AX)+M24)/2),"-")</f>
        <v>0.146341463414634</v>
      </c>
      <c r="AI24" s="100">
        <f>IFERROR((SUMIF('8店辅助表'!AP:AP,B:B,'8店辅助表'!AR:AR)-SUMIF('8店辅助表'!AP:AP,B:B,'8店辅助表'!AR:AR)*0.15-(L24+IFERROR(VLOOKUP(B:B,'8店辅助表'!AZ:BA,2,0),0))*O24-IF(AN:AN="US",6.85,4.9)*(Z24+4.03*O24))/SUMIF('8店辅助表'!AP:AP,B:B,'8店辅助表'!AR:AR),"-")</f>
        <v>0.31140402347552</v>
      </c>
      <c r="AJ24" s="100">
        <f t="shared" si="17"/>
        <v>0.0455713205086127</v>
      </c>
      <c r="AK24" s="101">
        <f t="shared" si="18"/>
        <v>32.372</v>
      </c>
      <c r="AL24" s="101">
        <f t="shared" si="19"/>
        <v>97.116</v>
      </c>
      <c r="AM24" s="1" t="str">
        <f>VLOOKUP(B:B,'8店辅助表'!AZ:AZ,1,FALSE)</f>
        <v>Y8034-BL</v>
      </c>
      <c r="AN24" t="str">
        <f>VLOOKUP(B:B,'8店辅助表'!AZ:BB,3,FALSE)</f>
        <v>US</v>
      </c>
      <c r="AO24" s="31"/>
    </row>
    <row r="25" customHeight="1" spans="1:41">
      <c r="A25" s="58" t="str">
        <f>INDEX('[1]8店'!$A:$A,MATCH(B:B,'[1]8店'!$B:$B,0))</f>
        <v>晓美</v>
      </c>
      <c r="B25" s="108" t="s">
        <v>2820</v>
      </c>
      <c r="C25" s="123" t="s">
        <v>2818</v>
      </c>
      <c r="D25" s="59">
        <f>VLOOKUP(B:B,'[1]8店'!$B:$L,3,0)</f>
        <v>44922</v>
      </c>
      <c r="E25" s="108" t="s">
        <v>2821</v>
      </c>
      <c r="F25" s="108">
        <v>18</v>
      </c>
      <c r="G25" s="108">
        <v>0</v>
      </c>
      <c r="H25" s="108">
        <v>0</v>
      </c>
      <c r="I25" s="108">
        <v>0</v>
      </c>
      <c r="J25" s="108">
        <v>0</v>
      </c>
      <c r="K25" s="63">
        <f t="shared" si="11"/>
        <v>18</v>
      </c>
      <c r="L25" s="124">
        <f>VLOOKUP($B:$B,'[1]8店'!$B:$L,11,0)</f>
        <v>33.933</v>
      </c>
      <c r="M25" s="44">
        <f t="shared" si="10"/>
        <v>610.794</v>
      </c>
      <c r="N25" s="65">
        <f>IFERROR(VLOOKUP(B:B,'8店辅助表'!B:C,2,FALSE),0)</f>
        <v>0</v>
      </c>
      <c r="O25" s="65">
        <f>IFERROR(VLOOKUP(B:B,'8店辅助表'!E:F,2,FALSE),0)</f>
        <v>0</v>
      </c>
      <c r="P25" s="65">
        <f>IFERROR(VLOOKUP(B:B,'8店辅助表'!H:I,2,FALSE),0)</f>
        <v>0</v>
      </c>
      <c r="Q25" s="65">
        <f>IFERROR(VLOOKUP(B:B,'[1]8店'!$B:$N,13,FALSE),0)</f>
        <v>0</v>
      </c>
      <c r="R25" s="79">
        <f t="shared" si="12"/>
        <v>0</v>
      </c>
      <c r="S25" s="80" t="str">
        <f t="shared" si="13"/>
        <v>-</v>
      </c>
      <c r="T25" s="44" t="str">
        <f t="shared" si="14"/>
        <v>-</v>
      </c>
      <c r="U25" s="44" t="str">
        <f>IFERROR(VLOOKUP(B:B,'[1]8店'!$B:$T,19,0),"-")</f>
        <v>-</v>
      </c>
      <c r="V25" s="81" t="str">
        <f t="shared" si="15"/>
        <v>-</v>
      </c>
      <c r="W25" s="82" t="str">
        <f>_xlfn.IFS(AND(D25&lt;&gt;0,D25-$AM$2&gt;=0,B25&gt;0,D25&lt;&gt;0),"本月刚到货",AND(IFERROR((K25/(N25/7))/30,"-")="-",K25&gt;0),"有库存无销量",AND(IFERROR((K25/(N25/7))/30,"-")="-",K25=0),"无库存无销量",AND(IFERROR((K25/(N25/7))/30,"-")&lt;=0.5,K25=0),"无库存有销量",IFERROR((K25/(N25/7))/30,"-")&lt;=0.5,"库存过低",IFERROR((K25/(N25/7))/30,"-")&lt;=1.5,"正常",IFERROR((K25/(N25/7))/30,"-")&gt;1.5,"库存过高")</f>
        <v>有库存无销量</v>
      </c>
      <c r="X25" s="83" t="str">
        <f>_xlfn.IFS(AND(D25&lt;&gt;0,D25-$AM$2&gt;=0,K25&gt;0,D25&lt;&gt;0),"本月刚到货",AND(T25="-",K25&gt;0),"有库存无销量",AND(T25="-",K25=0),"无库存无销量",AND(T25&lt;=0.5,K25=0),"无库存有销量",T25&lt;=0.5,"库存过低",T25&lt;=1.5,"正常",T25&gt;1.5,"库存过高")</f>
        <v>有库存无销量</v>
      </c>
      <c r="Y25" s="44">
        <f>IFERROR(SUMIF('8店辅助表'!K:K,B:B,'8店辅助表'!N:N),0)</f>
        <v>0</v>
      </c>
      <c r="Z25" s="44">
        <f>IFERROR(SUMIF('8店辅助表'!T:T,B:B,'8店辅助表'!W:W),0)</f>
        <v>0</v>
      </c>
      <c r="AA25" s="44">
        <f>IFERROR(SUMIF('8店辅助表'!AC:AC,B:B,'8店辅助表'!AF:AF),0)</f>
        <v>0</v>
      </c>
      <c r="AB25" s="91" t="str">
        <f>IFERROR(SUMIF('8店辅助表'!K:K,B:B,'8店辅助表'!N:N)/SUMIF('8店辅助表'!K:K,B:B,'8店辅助表'!O:O),"-")</f>
        <v>-</v>
      </c>
      <c r="AC25" s="91" t="str">
        <f>IFERROR(VLOOKUP(B:B,'[1]8店'!$B:$AB,27,FALSE),"-")</f>
        <v>-</v>
      </c>
      <c r="AD25" s="92" t="str">
        <f t="shared" si="16"/>
        <v>-</v>
      </c>
      <c r="AE25" s="91" t="str">
        <f>IFERROR(SUMIF('8店辅助表'!T:T,B:B,'8店辅助表'!W:W)/SUMIF('8店辅助表'!T:T,B:B,'8店辅助表'!X:X),"-")</f>
        <v>-</v>
      </c>
      <c r="AF25" s="91" t="str">
        <f>IFERROR(SUMIF('8店辅助表'!AC:AC,B:B,'8店辅助表'!AF:AF)/SUMIF('8店辅助表'!AC:AC,B:B,'8店辅助表'!AG:AG),"-")</f>
        <v>-</v>
      </c>
      <c r="AG25" s="99">
        <f>IFERROR(AK25/((SUMIF('8店辅助表'!AT:AT,B:B,'8店辅助表'!AU:AU)+M25)/2),"-")</f>
        <v>0</v>
      </c>
      <c r="AH25" s="99">
        <f>IFERROR(AL25/((SUMIF('8店辅助表'!AW:AW,B:B,'8店辅助表'!AX:AX)+M25)/2),"-")</f>
        <v>0</v>
      </c>
      <c r="AI25" s="100" t="str">
        <f>IFERROR((SUMIF('8店辅助表'!AP:AP,B:B,'8店辅助表'!AR:AR)-SUMIF('8店辅助表'!AP:AP,B:B,'8店辅助表'!AR:AR)*0.15-(L25+IFERROR(VLOOKUP(B:B,'8店辅助表'!AZ:BA,2,0),0))*O25-IF(AN:AN="US",6.85,4.9)*(Z25+4.03*O25))/SUMIF('8店辅助表'!AP:AP,B:B,'8店辅助表'!AR:AR),"-")</f>
        <v>-</v>
      </c>
      <c r="AJ25" s="100" t="str">
        <f t="shared" si="17"/>
        <v>-</v>
      </c>
      <c r="AK25" s="101">
        <f t="shared" si="18"/>
        <v>0</v>
      </c>
      <c r="AL25" s="101">
        <f t="shared" si="19"/>
        <v>0</v>
      </c>
      <c r="AM25" s="1" t="str">
        <f>VLOOKUP(B:B,'8店辅助表'!AZ:AZ,1,FALSE)</f>
        <v>Y8034-SC</v>
      </c>
      <c r="AN25" t="str">
        <f>VLOOKUP(B:B,'8店辅助表'!AZ:BB,3,FALSE)</f>
        <v>US</v>
      </c>
      <c r="AO25" s="31"/>
    </row>
    <row r="26" customHeight="1" spans="1:41">
      <c r="A26" s="58" t="str">
        <f>INDEX('[1]8店'!$A:$A,MATCH(B:B,'[1]8店'!$B:$B,0))</f>
        <v>晓美</v>
      </c>
      <c r="B26" s="108" t="s">
        <v>2822</v>
      </c>
      <c r="C26" s="123" t="s">
        <v>2823</v>
      </c>
      <c r="D26" s="59">
        <f>VLOOKUP(B:B,'[1]8店'!$B:$L,3,0)</f>
        <v>44933</v>
      </c>
      <c r="E26" s="108" t="s">
        <v>2824</v>
      </c>
      <c r="F26" s="108">
        <v>4</v>
      </c>
      <c r="G26" s="108">
        <v>0</v>
      </c>
      <c r="H26" s="108">
        <v>0</v>
      </c>
      <c r="I26" s="108">
        <v>0</v>
      </c>
      <c r="J26" s="108">
        <v>0</v>
      </c>
      <c r="K26" s="63">
        <f t="shared" si="11"/>
        <v>4</v>
      </c>
      <c r="L26" s="124">
        <f>VLOOKUP($B:$B,'[1]8店'!$B:$L,11,0)</f>
        <v>16.925</v>
      </c>
      <c r="M26" s="44">
        <f t="shared" si="10"/>
        <v>67.7</v>
      </c>
      <c r="N26" s="65">
        <f>IFERROR(VLOOKUP(B:B,'8店辅助表'!B:C,2,FALSE),0)</f>
        <v>0</v>
      </c>
      <c r="O26" s="65">
        <f>IFERROR(VLOOKUP(B:B,'8店辅助表'!E:F,2,FALSE),0)</f>
        <v>0</v>
      </c>
      <c r="P26" s="65">
        <f>IFERROR(VLOOKUP(B:B,'8店辅助表'!H:I,2,FALSE),0)</f>
        <v>0</v>
      </c>
      <c r="Q26" s="65">
        <f>IFERROR(VLOOKUP(B:B,'[1]8店'!$B:$N,13,FALSE),0)</f>
        <v>0</v>
      </c>
      <c r="R26" s="79">
        <f t="shared" si="12"/>
        <v>0</v>
      </c>
      <c r="S26" s="80" t="str">
        <f t="shared" si="13"/>
        <v>-</v>
      </c>
      <c r="T26" s="44" t="str">
        <f t="shared" si="14"/>
        <v>-</v>
      </c>
      <c r="U26" s="44" t="str">
        <f>IFERROR(VLOOKUP(B:B,'[1]8店'!$B:$T,19,0),"-")</f>
        <v>-</v>
      </c>
      <c r="V26" s="81" t="str">
        <f t="shared" si="15"/>
        <v>-</v>
      </c>
      <c r="W26" s="82" t="str">
        <f>_xlfn.IFS(AND(D26&lt;&gt;0,D26-$AM$2&gt;=0,B26&gt;0,D26&lt;&gt;0),"本月刚到货",AND(IFERROR((K26/(N26/7))/30,"-")="-",K26&gt;0),"有库存无销量",AND(IFERROR((K26/(N26/7))/30,"-")="-",K26=0),"无库存无销量",AND(IFERROR((K26/(N26/7))/30,"-")&lt;=0.5,K26=0),"无库存有销量",IFERROR((K26/(N26/7))/30,"-")&lt;=0.5,"库存过低",IFERROR((K26/(N26/7))/30,"-")&lt;=1.5,"正常",IFERROR((K26/(N26/7))/30,"-")&gt;1.5,"库存过高")</f>
        <v>有库存无销量</v>
      </c>
      <c r="X26" s="83" t="str">
        <f>_xlfn.IFS(AND(D26&lt;&gt;0,D26-$AM$2&gt;=0,K26&gt;0,D26&lt;&gt;0),"本月刚到货",AND(T26="-",K26&gt;0),"有库存无销量",AND(T26="-",K26=0),"无库存无销量",AND(T26&lt;=0.5,K26=0),"无库存有销量",T26&lt;=0.5,"库存过低",T26&lt;=1.5,"正常",T26&gt;1.5,"库存过高")</f>
        <v>有库存无销量</v>
      </c>
      <c r="Y26" s="44">
        <f>IFERROR(SUMIF('8店辅助表'!K:K,B:B,'8店辅助表'!N:N),0)</f>
        <v>0</v>
      </c>
      <c r="Z26" s="44">
        <f>IFERROR(SUMIF('8店辅助表'!T:T,B:B,'8店辅助表'!W:W),0)</f>
        <v>0</v>
      </c>
      <c r="AA26" s="44">
        <f>IFERROR(SUMIF('8店辅助表'!AC:AC,B:B,'8店辅助表'!AF:AF),0)</f>
        <v>0</v>
      </c>
      <c r="AB26" s="91" t="str">
        <f>IFERROR(SUMIF('8店辅助表'!K:K,B:B,'8店辅助表'!N:N)/SUMIF('8店辅助表'!K:K,B:B,'8店辅助表'!O:O),"-")</f>
        <v>-</v>
      </c>
      <c r="AC26" s="91" t="str">
        <f>IFERROR(VLOOKUP(B:B,'[1]8店'!$B:$AB,27,FALSE),"-")</f>
        <v>-</v>
      </c>
      <c r="AD26" s="92" t="str">
        <f t="shared" si="16"/>
        <v>-</v>
      </c>
      <c r="AE26" s="91" t="str">
        <f>IFERROR(SUMIF('8店辅助表'!T:T,B:B,'8店辅助表'!W:W)/SUMIF('8店辅助表'!T:T,B:B,'8店辅助表'!X:X),"-")</f>
        <v>-</v>
      </c>
      <c r="AF26" s="91" t="str">
        <f>IFERROR(SUMIF('8店辅助表'!AC:AC,B:B,'8店辅助表'!AF:AF)/SUMIF('8店辅助表'!AC:AC,B:B,'8店辅助表'!AG:AG),"-")</f>
        <v>-</v>
      </c>
      <c r="AG26" s="99">
        <f>IFERROR(AK26/((SUMIF('8店辅助表'!AT:AT,B:B,'8店辅助表'!AU:AU)+M26)/2),"-")</f>
        <v>0</v>
      </c>
      <c r="AH26" s="99">
        <f>IFERROR(AL26/((SUMIF('8店辅助表'!AW:AW,B:B,'8店辅助表'!AX:AX)+M26)/2),"-")</f>
        <v>0</v>
      </c>
      <c r="AI26" s="100" t="str">
        <f>IFERROR((SUMIF('8店辅助表'!AP:AP,B:B,'8店辅助表'!AR:AR)-SUMIF('8店辅助表'!AP:AP,B:B,'8店辅助表'!AR:AR)*0.15-(L26+IFERROR(VLOOKUP(B:B,'8店辅助表'!AZ:BA,2,0),0))*O26-IF(AN:AN="US",6.85,4.9)*(Z26+4.03*O26))/SUMIF('8店辅助表'!AP:AP,B:B,'8店辅助表'!AR:AR),"-")</f>
        <v>-</v>
      </c>
      <c r="AJ26" s="100" t="str">
        <f t="shared" si="17"/>
        <v>-</v>
      </c>
      <c r="AK26" s="101">
        <f t="shared" si="18"/>
        <v>0</v>
      </c>
      <c r="AL26" s="101">
        <f t="shared" si="19"/>
        <v>0</v>
      </c>
      <c r="AM26" s="1" t="str">
        <f>VLOOKUP(B:B,'8店辅助表'!AZ:AZ,1,FALSE)</f>
        <v>Y8040</v>
      </c>
      <c r="AN26" t="str">
        <f>VLOOKUP(B:B,'8店辅助表'!AZ:BB,3,FALSE)</f>
        <v>US</v>
      </c>
      <c r="AO26" s="31"/>
    </row>
    <row r="27" customHeight="1" spans="1:41">
      <c r="A27" s="58" t="str">
        <f>INDEX('[1]8店'!$A:$A,MATCH(B:B,'[1]8店'!$B:$B,0))</f>
        <v>晓美</v>
      </c>
      <c r="B27" s="108" t="s">
        <v>2825</v>
      </c>
      <c r="C27" s="123" t="s">
        <v>1747</v>
      </c>
      <c r="D27" s="59">
        <f>VLOOKUP(B:B,'[1]8店'!$B:$L,3,0)</f>
        <v>44918</v>
      </c>
      <c r="E27" s="108" t="s">
        <v>2826</v>
      </c>
      <c r="F27" s="108">
        <v>154</v>
      </c>
      <c r="G27" s="108">
        <v>5</v>
      </c>
      <c r="H27" s="108">
        <v>86</v>
      </c>
      <c r="I27" s="108">
        <v>20</v>
      </c>
      <c r="J27" s="108">
        <v>3</v>
      </c>
      <c r="K27" s="63">
        <f t="shared" si="11"/>
        <v>268</v>
      </c>
      <c r="L27" s="124">
        <f>VLOOKUP($B:$B,'[1]8店'!$B:$L,11,0)</f>
        <v>34.082</v>
      </c>
      <c r="M27" s="44">
        <f t="shared" si="10"/>
        <v>9133.976</v>
      </c>
      <c r="N27" s="65">
        <f>IFERROR(VLOOKUP(B:B,'8店辅助表'!B:C,2,FALSE),0)</f>
        <v>92</v>
      </c>
      <c r="O27" s="65">
        <f>IFERROR(VLOOKUP(B:B,'8店辅助表'!E:F,2,FALSE),0)</f>
        <v>184</v>
      </c>
      <c r="P27" s="65">
        <f>IFERROR(VLOOKUP(B:B,'8店辅助表'!H:I,2,FALSE),0)</f>
        <v>346</v>
      </c>
      <c r="Q27" s="65">
        <f>IFERROR(VLOOKUP(B:B,'[1]8店'!$B:$N,13,FALSE),0)</f>
        <v>87</v>
      </c>
      <c r="R27" s="79">
        <f t="shared" si="12"/>
        <v>5</v>
      </c>
      <c r="S27" s="80">
        <f t="shared" si="13"/>
        <v>21.7633410672854</v>
      </c>
      <c r="T27" s="44">
        <f t="shared" si="14"/>
        <v>0.725444702242846</v>
      </c>
      <c r="U27" s="44">
        <f>IFERROR(VLOOKUP(B:B,'[1]8店'!$B:$T,19,0),"-")</f>
        <v>0.384217877094972</v>
      </c>
      <c r="V27" s="81">
        <f t="shared" si="15"/>
        <v>0.341226825147874</v>
      </c>
      <c r="W27" s="82" t="str">
        <f>_xlfn.IFS(AND(D27&lt;&gt;0,D27-$AM$2&gt;=0,B27&gt;0,D27&lt;&gt;0),"本月刚到货",AND(IFERROR((K27/(N27/7))/30,"-")="-",K27&gt;0),"有库存无销量",AND(IFERROR((K27/(N27/7))/30,"-")="-",K27=0),"无库存无销量",AND(IFERROR((K27/(N27/7))/30,"-")&lt;=0.5,K27=0),"无库存有销量",IFERROR((K27/(N27/7))/30,"-")&lt;=0.5,"库存过低",IFERROR((K27/(N27/7))/30,"-")&lt;=1.5,"正常",IFERROR((K27/(N27/7))/30,"-")&gt;1.5,"库存过高")</f>
        <v>正常</v>
      </c>
      <c r="X27" s="83" t="str">
        <f>_xlfn.IFS(AND(D27&lt;&gt;0,D27-$AM$2&gt;=0,K27&gt;0,D27&lt;&gt;0),"本月刚到货",AND(T27="-",K27&gt;0),"有库存无销量",AND(T27="-",K27=0),"无库存无销量",AND(T27&lt;=0.5,K27=0),"无库存有销量",T27&lt;=0.5,"库存过低",T27&lt;=1.5,"正常",T27&gt;1.5,"库存过高")</f>
        <v>正常</v>
      </c>
      <c r="Y27" s="44">
        <f>IFERROR(SUMIF('8店辅助表'!K:K,B:B,'8店辅助表'!N:N),0)</f>
        <v>12.28</v>
      </c>
      <c r="Z27" s="44">
        <f>IFERROR(SUMIF('8店辅助表'!T:T,B:B,'8店辅助表'!W:W),0)</f>
        <v>27.23</v>
      </c>
      <c r="AA27" s="44">
        <f>IFERROR(SUMIF('8店辅助表'!AC:AC,B:B,'8店辅助表'!AF:AF),0)</f>
        <v>44.71</v>
      </c>
      <c r="AB27" s="91">
        <f>IFERROR(SUMIF('8店辅助表'!K:K,B:B,'8店辅助表'!N:N)/SUMIF('8店辅助表'!K:K,B:B,'8店辅助表'!O:O),"-")</f>
        <v>0.0239502272151035</v>
      </c>
      <c r="AC27" s="91">
        <f>IFERROR(VLOOKUP(B:B,'[1]8店'!$B:$AB,27,FALSE),"-")</f>
        <v>0.0516361924193675</v>
      </c>
      <c r="AD27" s="92">
        <f t="shared" si="16"/>
        <v>-0.027685965204264</v>
      </c>
      <c r="AE27" s="91">
        <f>IFERROR(SUMIF('8店辅助表'!T:T,B:B,'8店辅助表'!W:W)/SUMIF('8店辅助表'!T:T,B:B,'8店辅助表'!X:X),"-")</f>
        <v>0.0330236732317842</v>
      </c>
      <c r="AF27" s="91">
        <f>IFERROR(SUMIF('8店辅助表'!AC:AC,B:B,'8店辅助表'!AF:AF)/SUMIF('8店辅助表'!AC:AC,B:B,'8店辅助表'!AG:AG),"-")</f>
        <v>0.0278888438386926</v>
      </c>
      <c r="AG27" s="99">
        <f>IFERROR(AK27/((SUMIF('8店辅助表'!AT:AT,B:B,'8店辅助表'!AU:AU)+M27)/2),"-")</f>
        <v>0.461152882205514</v>
      </c>
      <c r="AH27" s="99">
        <f>IFERROR(AL27/((SUMIF('8店辅助表'!AW:AW,B:B,'8店辅助表'!AX:AX)+M27)/2),"-")</f>
        <v>0.647887323943662</v>
      </c>
      <c r="AI27" s="100">
        <f>IFERROR((SUMIF('8店辅助表'!AP:AP,B:B,'8店辅助表'!AR:AR)-SUMIF('8店辅助表'!AP:AP,B:B,'8店辅助表'!AR:AR)*0.15-(L27+IFERROR(VLOOKUP(B:B,'8店辅助表'!AZ:BA,2,0),0))*O27-IF(AN:AN="US",6.85,4.9)*(Z27+4.03*O27))/SUMIF('8店辅助表'!AP:AP,B:B,'8店辅助表'!AR:AR),"-")</f>
        <v>0.352839438757183</v>
      </c>
      <c r="AJ27" s="100">
        <f t="shared" si="17"/>
        <v>0.228600199758175</v>
      </c>
      <c r="AK27" s="101">
        <f t="shared" si="18"/>
        <v>3135.544</v>
      </c>
      <c r="AL27" s="101">
        <f t="shared" si="19"/>
        <v>6271.088</v>
      </c>
      <c r="AM27" s="1" t="str">
        <f>VLOOKUP(B:B,'8店辅助表'!AZ:AZ,1,FALSE)</f>
        <v>Y8041-BL</v>
      </c>
      <c r="AN27" t="str">
        <f>VLOOKUP(B:B,'8店辅助表'!AZ:BB,3,FALSE)</f>
        <v>US</v>
      </c>
      <c r="AO27" s="31"/>
    </row>
    <row r="28" customHeight="1" spans="1:41">
      <c r="A28" s="58" t="str">
        <f>INDEX('[1]8店'!$A:$A,MATCH(B:B,'[1]8店'!$B:$B,0))</f>
        <v>晓美</v>
      </c>
      <c r="B28" s="109" t="s">
        <v>2827</v>
      </c>
      <c r="C28" s="123" t="s">
        <v>1747</v>
      </c>
      <c r="D28" s="59">
        <f>VLOOKUP(B:B,'[1]8店'!$B:$L,3,0)</f>
        <v>44918</v>
      </c>
      <c r="E28" s="108" t="s">
        <v>2828</v>
      </c>
      <c r="F28" s="108">
        <v>50</v>
      </c>
      <c r="G28" s="108">
        <v>0</v>
      </c>
      <c r="H28" s="108">
        <v>0</v>
      </c>
      <c r="I28" s="108">
        <v>0</v>
      </c>
      <c r="J28" s="108">
        <v>0</v>
      </c>
      <c r="K28" s="63">
        <f t="shared" si="11"/>
        <v>50</v>
      </c>
      <c r="L28" s="124">
        <f>VLOOKUP($B:$B,'[1]8店'!$B:$L,11,0)</f>
        <v>34.06</v>
      </c>
      <c r="M28" s="44">
        <f t="shared" si="10"/>
        <v>1703</v>
      </c>
      <c r="N28" s="65">
        <f>IFERROR(VLOOKUP(B:B,'8店辅助表'!B:C,2,FALSE),0)</f>
        <v>0</v>
      </c>
      <c r="O28" s="65">
        <f>IFERROR(VLOOKUP(B:B,'8店辅助表'!E:F,2,FALSE),0)</f>
        <v>0</v>
      </c>
      <c r="P28" s="65">
        <f>IFERROR(VLOOKUP(B:B,'8店辅助表'!H:I,2,FALSE),0)</f>
        <v>0</v>
      </c>
      <c r="Q28" s="65">
        <f>IFERROR(VLOOKUP(B:B,'[1]8店'!$B:$N,13,FALSE),0)</f>
        <v>0</v>
      </c>
      <c r="R28" s="79">
        <f t="shared" si="12"/>
        <v>0</v>
      </c>
      <c r="S28" s="80" t="str">
        <f t="shared" si="13"/>
        <v>-</v>
      </c>
      <c r="T28" s="44" t="str">
        <f t="shared" si="14"/>
        <v>-</v>
      </c>
      <c r="U28" s="44">
        <f>IFERROR(VLOOKUP(B:B,'[1]8店'!$B:$T,19,0),"-")</f>
        <v>150</v>
      </c>
      <c r="V28" s="81" t="str">
        <f t="shared" si="15"/>
        <v>-</v>
      </c>
      <c r="W28" s="82" t="str">
        <f>_xlfn.IFS(AND(D28&lt;&gt;0,D28-$AM$2&gt;=0,B28&gt;0,D28&lt;&gt;0),"本月刚到货",AND(IFERROR((K28/(N28/7))/30,"-")="-",K28&gt;0),"有库存无销量",AND(IFERROR((K28/(N28/7))/30,"-")="-",K28=0),"无库存无销量",AND(IFERROR((K28/(N28/7))/30,"-")&lt;=0.5,K28=0),"无库存有销量",IFERROR((K28/(N28/7))/30,"-")&lt;=0.5,"库存过低",IFERROR((K28/(N28/7))/30,"-")&lt;=1.5,"正常",IFERROR((K28/(N28/7))/30,"-")&gt;1.5,"库存过高")</f>
        <v>有库存无销量</v>
      </c>
      <c r="X28" s="83" t="str">
        <f>_xlfn.IFS(AND(D28&lt;&gt;0,D28-$AM$2&gt;=0,K28&gt;0,D28&lt;&gt;0),"本月刚到货",AND(T28="-",K28&gt;0),"有库存无销量",AND(T28="-",K28=0),"无库存无销量",AND(T28&lt;=0.5,K28=0),"无库存有销量",T28&lt;=0.5,"库存过低",T28&lt;=1.5,"正常",T28&gt;1.5,"库存过高")</f>
        <v>有库存无销量</v>
      </c>
      <c r="Y28" s="44">
        <f>IFERROR(SUMIF('8店辅助表'!K:K,B:B,'8店辅助表'!N:N),0)</f>
        <v>0</v>
      </c>
      <c r="Z28" s="44">
        <f>IFERROR(SUMIF('8店辅助表'!T:T,B:B,'8店辅助表'!W:W),0)</f>
        <v>0</v>
      </c>
      <c r="AA28" s="44">
        <f>IFERROR(SUMIF('8店辅助表'!AC:AC,B:B,'8店辅助表'!AF:AF),0)</f>
        <v>0</v>
      </c>
      <c r="AB28" s="91" t="str">
        <f>IFERROR(SUMIF('8店辅助表'!K:K,B:B,'8店辅助表'!N:N)/SUMIF('8店辅助表'!K:K,B:B,'8店辅助表'!O:O),"-")</f>
        <v>-</v>
      </c>
      <c r="AC28" s="91" t="str">
        <f>IFERROR(VLOOKUP(B:B,'[1]8店'!$B:$AB,27,FALSE),"-")</f>
        <v>-</v>
      </c>
      <c r="AD28" s="92" t="str">
        <f t="shared" si="16"/>
        <v>-</v>
      </c>
      <c r="AE28" s="91" t="str">
        <f>IFERROR(SUMIF('8店辅助表'!T:T,B:B,'8店辅助表'!W:W)/SUMIF('8店辅助表'!T:T,B:B,'8店辅助表'!X:X),"-")</f>
        <v>-</v>
      </c>
      <c r="AF28" s="91" t="str">
        <f>IFERROR(SUMIF('8店辅助表'!AC:AC,B:B,'8店辅助表'!AF:AF)/SUMIF('8店辅助表'!AC:AC,B:B,'8店辅助表'!AG:AG),"-")</f>
        <v>-</v>
      </c>
      <c r="AG28" s="99">
        <f>IFERROR(AK28/((SUMIF('8店辅助表'!AT:AT,B:B,'8店辅助表'!AU:AU)+M28)/2),"-")</f>
        <v>0</v>
      </c>
      <c r="AH28" s="99">
        <f>IFERROR(AL28/((SUMIF('8店辅助表'!AW:AW,B:B,'8店辅助表'!AX:AX)+M28)/2),"-")</f>
        <v>0</v>
      </c>
      <c r="AI28" s="100" t="str">
        <f>IFERROR((SUMIF('8店辅助表'!AP:AP,B:B,'8店辅助表'!AR:AR)-SUMIF('8店辅助表'!AP:AP,B:B,'8店辅助表'!AR:AR)*0.15-(L28+IFERROR(VLOOKUP(B:B,'8店辅助表'!AZ:BA,2,0),0))*O28-IF(AN:AN="US",6.85,4.9)*(Z28+4.03*O28))/SUMIF('8店辅助表'!AP:AP,B:B,'8店辅助表'!AR:AR),"-")</f>
        <v>-</v>
      </c>
      <c r="AJ28" s="100" t="str">
        <f t="shared" si="17"/>
        <v>-</v>
      </c>
      <c r="AK28" s="101">
        <f t="shared" si="18"/>
        <v>0</v>
      </c>
      <c r="AL28" s="101">
        <f t="shared" si="19"/>
        <v>0</v>
      </c>
      <c r="AM28" s="1" t="str">
        <f>VLOOKUP(B:B,'8店辅助表'!AZ:AZ,1,FALSE)</f>
        <v>Y8041-RE</v>
      </c>
      <c r="AN28" t="str">
        <f>VLOOKUP(B:B,'8店辅助表'!AZ:BB,3,FALSE)</f>
        <v>US</v>
      </c>
      <c r="AO28" s="31"/>
    </row>
    <row r="29" customHeight="1" spans="1:41">
      <c r="A29" s="58" t="str">
        <f>INDEX('[1]8店'!$A:$A,MATCH(B:B,'[1]8店'!$B:$B,0))</f>
        <v>晓美</v>
      </c>
      <c r="B29" s="108" t="s">
        <v>2829</v>
      </c>
      <c r="C29" s="123" t="s">
        <v>2830</v>
      </c>
      <c r="D29" s="59">
        <f>VLOOKUP(B:B,'[1]8店'!$B:$L,3,0)</f>
        <v>44927</v>
      </c>
      <c r="E29" s="108" t="s">
        <v>2831</v>
      </c>
      <c r="F29" s="108">
        <v>3</v>
      </c>
      <c r="G29" s="108">
        <v>0</v>
      </c>
      <c r="H29" s="108">
        <v>0</v>
      </c>
      <c r="I29" s="108">
        <v>0</v>
      </c>
      <c r="J29" s="108">
        <v>0</v>
      </c>
      <c r="K29" s="63">
        <f t="shared" si="11"/>
        <v>3</v>
      </c>
      <c r="L29" s="124">
        <f>VLOOKUP($B:$B,'[1]8店'!$B:$L,11,0)</f>
        <v>68.6</v>
      </c>
      <c r="M29" s="44">
        <f t="shared" si="10"/>
        <v>205.8</v>
      </c>
      <c r="N29" s="65">
        <f>IFERROR(VLOOKUP(B:B,'8店辅助表'!B:C,2,FALSE),0)</f>
        <v>0</v>
      </c>
      <c r="O29" s="65">
        <f>IFERROR(VLOOKUP(B:B,'8店辅助表'!E:F,2,FALSE),0)</f>
        <v>1</v>
      </c>
      <c r="P29" s="65">
        <f>IFERROR(VLOOKUP(B:B,'8店辅助表'!H:I,2,FALSE),0)</f>
        <v>1</v>
      </c>
      <c r="Q29" s="65">
        <f>IFERROR(VLOOKUP(B:B,'[1]8店'!$B:$N,13,FALSE),0)</f>
        <v>1</v>
      </c>
      <c r="R29" s="79">
        <f t="shared" si="12"/>
        <v>-1</v>
      </c>
      <c r="S29" s="80">
        <f t="shared" si="13"/>
        <v>90</v>
      </c>
      <c r="T29" s="44">
        <f t="shared" si="14"/>
        <v>3</v>
      </c>
      <c r="U29" s="44">
        <f>IFERROR(VLOOKUP(B:B,'[1]8店'!$B:$T,19,0),"-")</f>
        <v>1.23529411764706</v>
      </c>
      <c r="V29" s="81">
        <f t="shared" si="15"/>
        <v>1.76470588235294</v>
      </c>
      <c r="W29" s="82" t="str">
        <f>_xlfn.IFS(AND(D29&lt;&gt;0,D29-$AM$2&gt;=0,B29&gt;0,D29&lt;&gt;0),"本月刚到货",AND(IFERROR((K29/(N29/7))/30,"-")="-",K29&gt;0),"有库存无销量",AND(IFERROR((K29/(N29/7))/30,"-")="-",K29=0),"无库存无销量",AND(IFERROR((K29/(N29/7))/30,"-")&lt;=0.5,K29=0),"无库存有销量",IFERROR((K29/(N29/7))/30,"-")&lt;=0.5,"库存过低",IFERROR((K29/(N29/7))/30,"-")&lt;=1.5,"正常",IFERROR((K29/(N29/7))/30,"-")&gt;1.5,"库存过高")</f>
        <v>有库存无销量</v>
      </c>
      <c r="X29" s="83" t="str">
        <f>_xlfn.IFS(AND(D29&lt;&gt;0,D29-$AM$2&gt;=0,K29&gt;0,D29&lt;&gt;0),"本月刚到货",AND(T29="-",K29&gt;0),"有库存无销量",AND(T29="-",K29=0),"无库存无销量",AND(T29&lt;=0.5,K29=0),"无库存有销量",T29&lt;=0.5,"库存过低",T29&lt;=1.5,"正常",T29&gt;1.5,"库存过高")</f>
        <v>库存过高</v>
      </c>
      <c r="Y29" s="44">
        <f>IFERROR(SUMIF('8店辅助表'!K:K,B:B,'8店辅助表'!N:N),0)</f>
        <v>1.97</v>
      </c>
      <c r="Z29" s="44">
        <f>IFERROR(SUMIF('8店辅助表'!T:T,B:B,'8店辅助表'!W:W),0)</f>
        <v>1.97</v>
      </c>
      <c r="AA29" s="44">
        <f>IFERROR(SUMIF('8店辅助表'!AC:AC,B:B,'8店辅助表'!AF:AF),0)</f>
        <v>2.73</v>
      </c>
      <c r="AB29" s="91" t="str">
        <f>IFERROR(SUMIF('8店辅助表'!K:K,B:B,'8店辅助表'!N:N)/SUMIF('8店辅助表'!K:K,B:B,'8店辅助表'!O:O),"-")</f>
        <v>-</v>
      </c>
      <c r="AC29" s="91" t="str">
        <f>IFERROR(VLOOKUP(B:B,'[1]8店'!$B:$AB,27,FALSE),"-")</f>
        <v>-</v>
      </c>
      <c r="AD29" s="92" t="str">
        <f t="shared" si="16"/>
        <v>-</v>
      </c>
      <c r="AE29" s="91" t="str">
        <f>IFERROR(SUMIF('8店辅助表'!T:T,B:B,'8店辅助表'!W:W)/SUMIF('8店辅助表'!T:T,B:B,'8店辅助表'!X:X),"-")</f>
        <v>-</v>
      </c>
      <c r="AF29" s="91" t="str">
        <f>IFERROR(SUMIF('8店辅助表'!AC:AC,B:B,'8店辅助表'!AF:AF)/SUMIF('8店辅助表'!AC:AC,B:B,'8店辅助表'!AG:AG),"-")</f>
        <v>-</v>
      </c>
      <c r="AG29" s="99">
        <f>IFERROR(AK29/((SUMIF('8店辅助表'!AT:AT,B:B,'8店辅助表'!AU:AU)+M29)/2),"-")</f>
        <v>0</v>
      </c>
      <c r="AH29" s="99">
        <f>IFERROR(AL29/((SUMIF('8店辅助表'!AW:AW,B:B,'8店辅助表'!AX:AX)+M29)/2),"-")</f>
        <v>0.285714285714286</v>
      </c>
      <c r="AI29" s="100">
        <f>IFERROR((SUMIF('8店辅助表'!AP:AP,B:B,'8店辅助表'!AR:AR)-SUMIF('8店辅助表'!AP:AP,B:B,'8店辅助表'!AR:AR)*0.15-(L29+IFERROR(VLOOKUP(B:B,'8店辅助表'!AZ:BA,2,0),0))*O29-IF(AN:AN="US",6.85,4.9)*(Z29+4.03*O29))/SUMIF('8店辅助表'!AP:AP,B:B,'8店辅助表'!AR:AR),"-")</f>
        <v>0.210076589599284</v>
      </c>
      <c r="AJ29" s="100">
        <f t="shared" si="17"/>
        <v>0.0600218827426525</v>
      </c>
      <c r="AK29" s="101">
        <f t="shared" si="18"/>
        <v>0</v>
      </c>
      <c r="AL29" s="101">
        <f t="shared" si="19"/>
        <v>68.6</v>
      </c>
      <c r="AM29" s="1" t="str">
        <f>VLOOKUP(B:B,'8店辅助表'!AZ:AZ,1,FALSE)</f>
        <v>Y8042-GR</v>
      </c>
      <c r="AN29" t="str">
        <f>VLOOKUP(B:B,'8店辅助表'!AZ:BB,3,FALSE)</f>
        <v>US</v>
      </c>
      <c r="AO29" s="31"/>
    </row>
    <row r="30" customHeight="1" spans="1:41">
      <c r="A30" s="58" t="str">
        <f>INDEX('[1]8店'!$A:$A,MATCH(B:B,'[1]8店'!$B:$B,0))</f>
        <v>晓美</v>
      </c>
      <c r="B30" s="108" t="s">
        <v>2832</v>
      </c>
      <c r="C30" s="123" t="s">
        <v>2833</v>
      </c>
      <c r="D30" s="59">
        <f>VLOOKUP(B:B,'[1]8店'!$B:$L,3,0)</f>
        <v>44946</v>
      </c>
      <c r="E30" s="108" t="s">
        <v>2834</v>
      </c>
      <c r="F30" s="108">
        <v>1</v>
      </c>
      <c r="G30" s="108">
        <v>0</v>
      </c>
      <c r="H30" s="108">
        <v>0</v>
      </c>
      <c r="I30" s="108">
        <v>0</v>
      </c>
      <c r="J30" s="108">
        <v>0</v>
      </c>
      <c r="K30" s="63">
        <f t="shared" ref="K30:K60" si="20">F30+G30+H30+I30+J30</f>
        <v>1</v>
      </c>
      <c r="L30" s="124">
        <f>VLOOKUP($B:$B,'[1]8店'!$B:$L,11,0)</f>
        <v>107.75</v>
      </c>
      <c r="M30" s="44">
        <f t="shared" si="10"/>
        <v>107.75</v>
      </c>
      <c r="N30" s="65">
        <f>IFERROR(VLOOKUP(B:B,'8店辅助表'!B:C,2,FALSE),0)</f>
        <v>1</v>
      </c>
      <c r="O30" s="65">
        <f>IFERROR(VLOOKUP(B:B,'8店辅助表'!E:F,2,FALSE),0)</f>
        <v>1</v>
      </c>
      <c r="P30" s="65">
        <f>IFERROR(VLOOKUP(B:B,'8店辅助表'!H:I,2,FALSE),0)</f>
        <v>1</v>
      </c>
      <c r="Q30" s="65">
        <f>IFERROR(VLOOKUP(B:B,'[1]8店'!$B:$N,13,FALSE),0)</f>
        <v>0</v>
      </c>
      <c r="R30" s="79">
        <f t="shared" ref="R30:R60" si="21">N30-Q30</f>
        <v>1</v>
      </c>
      <c r="S30" s="80">
        <f t="shared" ref="S30:S60" si="22">IFERROR(K30/((N30/7+O30/15+P30/30)/3),"-")</f>
        <v>12.3529411764706</v>
      </c>
      <c r="T30" s="44">
        <f t="shared" ref="T30:T60" si="23">IFERROR(S30/30,"-")</f>
        <v>0.411764705882353</v>
      </c>
      <c r="U30" s="44" t="str">
        <f>IFERROR(VLOOKUP(B:B,'[1]8店'!$B:$T,19,0),"-")</f>
        <v>-</v>
      </c>
      <c r="V30" s="81" t="str">
        <f t="shared" ref="V30:V60" si="24">IFERROR(T30-U30,"-")</f>
        <v>-</v>
      </c>
      <c r="W30" s="82" t="str">
        <f>_xlfn.IFS(AND(D30&lt;&gt;0,D30-$AM$2&gt;=0,B30&gt;0,D30&lt;&gt;0),"本月刚到货",AND(IFERROR((K30/(N30/7))/30,"-")="-",K30&gt;0),"有库存无销量",AND(IFERROR((K30/(N30/7))/30,"-")="-",K30=0),"无库存无销量",AND(IFERROR((K30/(N30/7))/30,"-")&lt;=0.5,K30=0),"无库存有销量",IFERROR((K30/(N30/7))/30,"-")&lt;=0.5,"库存过低",IFERROR((K30/(N30/7))/30,"-")&lt;=1.5,"正常",IFERROR((K30/(N30/7))/30,"-")&gt;1.5,"库存过高")</f>
        <v>库存过低</v>
      </c>
      <c r="X30" s="83" t="str">
        <f>_xlfn.IFS(AND(D30&lt;&gt;0,D30-$AM$2&gt;=0,K30&gt;0,D30&lt;&gt;0),"本月刚到货",AND(T30="-",K30&gt;0),"有库存无销量",AND(T30="-",K30=0),"无库存无销量",AND(T30&lt;=0.5,K30=0),"无库存有销量",T30&lt;=0.5,"库存过低",T30&lt;=1.5,"正常",T30&gt;1.5,"库存过高")</f>
        <v>库存过低</v>
      </c>
      <c r="Y30" s="44">
        <f>IFERROR(SUMIF('8店辅助表'!K:K,B:B,'8店辅助表'!N:N),0)</f>
        <v>0</v>
      </c>
      <c r="Z30" s="44">
        <f>IFERROR(SUMIF('8店辅助表'!T:T,B:B,'8店辅助表'!W:W),0)</f>
        <v>0</v>
      </c>
      <c r="AA30" s="44">
        <f>IFERROR(SUMIF('8店辅助表'!AC:AC,B:B,'8店辅助表'!AF:AF),0)</f>
        <v>0</v>
      </c>
      <c r="AB30" s="91" t="str">
        <f>IFERROR(SUMIF('8店辅助表'!K:K,B:B,'8店辅助表'!N:N)/SUMIF('8店辅助表'!K:K,B:B,'8店辅助表'!O:O),"-")</f>
        <v>-</v>
      </c>
      <c r="AC30" s="91" t="str">
        <f>IFERROR(VLOOKUP(B:B,'[1]8店'!$B:$AB,27,FALSE),"-")</f>
        <v>-</v>
      </c>
      <c r="AD30" s="92" t="str">
        <f t="shared" ref="AD30:AD60" si="25">IFERROR(AB30-AC30,"-")</f>
        <v>-</v>
      </c>
      <c r="AE30" s="91" t="str">
        <f>IFERROR(SUMIF('8店辅助表'!T:T,B:B,'8店辅助表'!W:W)/SUMIF('8店辅助表'!T:T,B:B,'8店辅助表'!X:X),"-")</f>
        <v>-</v>
      </c>
      <c r="AF30" s="91" t="str">
        <f>IFERROR(SUMIF('8店辅助表'!AC:AC,B:B,'8店辅助表'!AF:AF)/SUMIF('8店辅助表'!AC:AC,B:B,'8店辅助表'!AG:AG),"-")</f>
        <v>-</v>
      </c>
      <c r="AG30" s="99">
        <f>IFERROR(AK30/((SUMIF('8店辅助表'!AT:AT,B:B,'8店辅助表'!AU:AU)+M30)/2),"-")</f>
        <v>1</v>
      </c>
      <c r="AH30" s="99">
        <f>IFERROR(AL30/((SUMIF('8店辅助表'!AW:AW,B:B,'8店辅助表'!AX:AX)+M30)/2),"-")</f>
        <v>1</v>
      </c>
      <c r="AI30" s="100">
        <f>IFERROR((SUMIF('8店辅助表'!AP:AP,B:B,'8店辅助表'!AR:AR)-SUMIF('8店辅助表'!AP:AP,B:B,'8店辅助表'!AR:AR)*0.15-(L30+IFERROR(VLOOKUP(B:B,'8店辅助表'!AZ:BA,2,0),0))*O30-IF(AN:AN="US",6.85,4.9)*(Z30+4.03*O30))/SUMIF('8店辅助表'!AP:AP,B:B,'8店辅助表'!AR:AR),"-")</f>
        <v>0.260195693055728</v>
      </c>
      <c r="AJ30" s="100">
        <f t="shared" ref="AJ30:AJ60" si="26">IFERROR(AH30*AI30,"-")</f>
        <v>0.260195693055728</v>
      </c>
      <c r="AK30" s="101">
        <f t="shared" ref="AK30:AK60" si="27">N30*$L30</f>
        <v>107.75</v>
      </c>
      <c r="AL30" s="101">
        <f t="shared" ref="AL30:AL60" si="28">O30*$L30</f>
        <v>107.75</v>
      </c>
      <c r="AM30" s="1" t="str">
        <f>VLOOKUP(B:B,'8店辅助表'!AZ:AZ,1,FALSE)</f>
        <v>Y8043-RE*1</v>
      </c>
      <c r="AN30" t="str">
        <f>VLOOKUP(B:B,'8店辅助表'!AZ:BB,3,FALSE)</f>
        <v>US</v>
      </c>
      <c r="AO30" s="31"/>
    </row>
    <row r="31" customHeight="1" spans="1:41">
      <c r="A31" s="58" t="str">
        <f>INDEX('[1]8店'!$A:$A,MATCH(B:B,'[1]8店'!$B:$B,0))</f>
        <v>晓美</v>
      </c>
      <c r="B31" s="108" t="s">
        <v>2835</v>
      </c>
      <c r="C31" s="123" t="s">
        <v>2836</v>
      </c>
      <c r="D31" s="59">
        <f>VLOOKUP(B:B,'[1]8店'!$B:$L,3,0)</f>
        <v>44946</v>
      </c>
      <c r="E31" s="108" t="s">
        <v>2837</v>
      </c>
      <c r="F31" s="108">
        <v>10</v>
      </c>
      <c r="G31" s="108">
        <v>0</v>
      </c>
      <c r="H31" s="108">
        <v>0</v>
      </c>
      <c r="I31" s="108">
        <v>0</v>
      </c>
      <c r="J31" s="108">
        <v>0</v>
      </c>
      <c r="K31" s="63">
        <f t="shared" si="20"/>
        <v>10</v>
      </c>
      <c r="L31" s="124">
        <f>VLOOKUP($B:$B,'[1]8店'!$B:$L,11,0)</f>
        <v>37.464</v>
      </c>
      <c r="M31" s="44">
        <f t="shared" si="10"/>
        <v>374.64</v>
      </c>
      <c r="N31" s="65">
        <f>IFERROR(VLOOKUP(B:B,'8店辅助表'!B:C,2,FALSE),0)</f>
        <v>2</v>
      </c>
      <c r="O31" s="65">
        <f>IFERROR(VLOOKUP(B:B,'8店辅助表'!E:F,2,FALSE),0)</f>
        <v>3</v>
      </c>
      <c r="P31" s="65">
        <f>IFERROR(VLOOKUP(B:B,'8店辅助表'!H:I,2,FALSE),0)</f>
        <v>3</v>
      </c>
      <c r="Q31" s="65">
        <f>IFERROR(VLOOKUP(B:B,'[1]8店'!$B:$N,13,FALSE),0)</f>
        <v>1</v>
      </c>
      <c r="R31" s="79">
        <f t="shared" si="21"/>
        <v>1</v>
      </c>
      <c r="S31" s="80">
        <f t="shared" si="22"/>
        <v>51.219512195122</v>
      </c>
      <c r="T31" s="44">
        <f t="shared" si="23"/>
        <v>1.70731707317073</v>
      </c>
      <c r="U31" s="44">
        <f>IFERROR(VLOOKUP(B:B,'[1]8店'!$B:$T,19,0),"-")</f>
        <v>4.94117647058824</v>
      </c>
      <c r="V31" s="81">
        <f t="shared" si="24"/>
        <v>-3.23385939741751</v>
      </c>
      <c r="W31" s="82" t="str">
        <f>_xlfn.IFS(AND(D31&lt;&gt;0,D31-$AM$2&gt;=0,B31&gt;0,D31&lt;&gt;0),"本月刚到货",AND(IFERROR((K31/(N31/7))/30,"-")="-",K31&gt;0),"有库存无销量",AND(IFERROR((K31/(N31/7))/30,"-")="-",K31=0),"无库存无销量",AND(IFERROR((K31/(N31/7))/30,"-")&lt;=0.5,K31=0),"无库存有销量",IFERROR((K31/(N31/7))/30,"-")&lt;=0.5,"库存过低",IFERROR((K31/(N31/7))/30,"-")&lt;=1.5,"正常",IFERROR((K31/(N31/7))/30,"-")&gt;1.5,"库存过高")</f>
        <v>正常</v>
      </c>
      <c r="X31" s="83" t="str">
        <f>_xlfn.IFS(AND(D31&lt;&gt;0,D31-$AM$2&gt;=0,K31&gt;0,D31&lt;&gt;0),"本月刚到货",AND(T31="-",K31&gt;0),"有库存无销量",AND(T31="-",K31=0),"无库存无销量",AND(T31&lt;=0.5,K31=0),"无库存有销量",T31&lt;=0.5,"库存过低",T31&lt;=1.5,"正常",T31&gt;1.5,"库存过高")</f>
        <v>库存过高</v>
      </c>
      <c r="Y31" s="44">
        <f>IFERROR(SUMIF('8店辅助表'!K:K,B:B,'8店辅助表'!N:N),0)</f>
        <v>2.24</v>
      </c>
      <c r="Z31" s="44">
        <f>IFERROR(SUMIF('8店辅助表'!T:T,B:B,'8店辅助表'!W:W),0)</f>
        <v>3.69</v>
      </c>
      <c r="AA31" s="44">
        <f>IFERROR(SUMIF('8店辅助表'!AC:AC,B:B,'8店辅助表'!AF:AF),0)</f>
        <v>9.65</v>
      </c>
      <c r="AB31" s="91" t="str">
        <f>IFERROR(SUMIF('8店辅助表'!K:K,B:B,'8店辅助表'!N:N)/SUMIF('8店辅助表'!K:K,B:B,'8店辅助表'!O:O),"-")</f>
        <v>-</v>
      </c>
      <c r="AC31" s="91" t="str">
        <f>IFERROR(VLOOKUP(B:B,'[1]8店'!$B:$AB,27,FALSE),"-")</f>
        <v>-</v>
      </c>
      <c r="AD31" s="92" t="str">
        <f t="shared" si="25"/>
        <v>-</v>
      </c>
      <c r="AE31" s="91" t="str">
        <f>IFERROR(SUMIF('8店辅助表'!T:T,B:B,'8店辅助表'!W:W)/SUMIF('8店辅助表'!T:T,B:B,'8店辅助表'!X:X),"-")</f>
        <v>-</v>
      </c>
      <c r="AF31" s="91" t="str">
        <f>IFERROR(SUMIF('8店辅助表'!AC:AC,B:B,'8店辅助表'!AF:AF)/SUMIF('8店辅助表'!AC:AC,B:B,'8店辅助表'!AG:AG),"-")</f>
        <v>-</v>
      </c>
      <c r="AG31" s="99">
        <f>IFERROR(AK31/((SUMIF('8店辅助表'!AT:AT,B:B,'8店辅助表'!AU:AU)+M31)/2),"-")</f>
        <v>0.181818181818182</v>
      </c>
      <c r="AH31" s="99">
        <f>IFERROR(AL31/((SUMIF('8店辅助表'!AW:AW,B:B,'8店辅助表'!AX:AX)+M31)/2),"-")</f>
        <v>0.260869565217391</v>
      </c>
      <c r="AI31" s="100">
        <f>IFERROR((SUMIF('8店辅助表'!AP:AP,B:B,'8店辅助表'!AR:AR)-SUMIF('8店辅助表'!AP:AP,B:B,'8店辅助表'!AR:AR)*0.15-(L31+IFERROR(VLOOKUP(B:B,'8店辅助表'!AZ:BA,2,0),0))*O31-IF(AN:AN="US",6.85,4.9)*(Z31+4.03*O31))/SUMIF('8店辅助表'!AP:AP,B:B,'8店辅助表'!AR:AR),"-")</f>
        <v>0.344704082629842</v>
      </c>
      <c r="AJ31" s="100">
        <f t="shared" si="26"/>
        <v>0.0899228041643066</v>
      </c>
      <c r="AK31" s="101">
        <f t="shared" si="27"/>
        <v>74.928</v>
      </c>
      <c r="AL31" s="101">
        <f t="shared" si="28"/>
        <v>112.392</v>
      </c>
      <c r="AM31" s="1" t="str">
        <f>VLOOKUP(B:B,'8店辅助表'!AZ:AZ,1,FALSE)</f>
        <v>Y8055</v>
      </c>
      <c r="AN31" t="str">
        <f>VLOOKUP(B:B,'8店辅助表'!AZ:BB,3,FALSE)</f>
        <v>US</v>
      </c>
      <c r="AO31" s="31"/>
    </row>
    <row r="32" customHeight="1" spans="1:41">
      <c r="A32" s="58" t="str">
        <f>INDEX('[1]8店'!$A:$A,MATCH(B:B,'[1]8店'!$B:$B,0))</f>
        <v>晓美</v>
      </c>
      <c r="B32" s="108" t="s">
        <v>2838</v>
      </c>
      <c r="C32" s="123" t="s">
        <v>2839</v>
      </c>
      <c r="D32" s="59">
        <f>VLOOKUP(B:B,'[1]8店'!$B:$L,3,0)</f>
        <v>44952</v>
      </c>
      <c r="E32" s="108" t="s">
        <v>2840</v>
      </c>
      <c r="F32" s="108">
        <v>1</v>
      </c>
      <c r="G32" s="108">
        <v>0</v>
      </c>
      <c r="H32" s="108">
        <v>0</v>
      </c>
      <c r="I32" s="108">
        <v>0</v>
      </c>
      <c r="J32" s="108">
        <v>0</v>
      </c>
      <c r="K32" s="63">
        <f t="shared" si="20"/>
        <v>1</v>
      </c>
      <c r="L32" s="124">
        <f>VLOOKUP($B:$B,'[1]8店'!$B:$L,11,0)</f>
        <v>132.911</v>
      </c>
      <c r="M32" s="44">
        <f t="shared" si="10"/>
        <v>132.911</v>
      </c>
      <c r="N32" s="65">
        <f>IFERROR(VLOOKUP(B:B,'8店辅助表'!B:C,2,FALSE),0)</f>
        <v>0</v>
      </c>
      <c r="O32" s="65">
        <f>IFERROR(VLOOKUP(B:B,'8店辅助表'!E:F,2,FALSE),0)</f>
        <v>0</v>
      </c>
      <c r="P32" s="65">
        <f>IFERROR(VLOOKUP(B:B,'8店辅助表'!H:I,2,FALSE),0)</f>
        <v>0</v>
      </c>
      <c r="Q32" s="65">
        <f>IFERROR(VLOOKUP(B:B,'[1]8店'!$B:$N,13,FALSE),0)</f>
        <v>0</v>
      </c>
      <c r="R32" s="79">
        <f t="shared" si="21"/>
        <v>0</v>
      </c>
      <c r="S32" s="80" t="str">
        <f t="shared" si="22"/>
        <v>-</v>
      </c>
      <c r="T32" s="44" t="str">
        <f t="shared" si="23"/>
        <v>-</v>
      </c>
      <c r="U32" s="44" t="str">
        <f>IFERROR(VLOOKUP(B:B,'[1]8店'!$B:$T,19,0),"-")</f>
        <v>-</v>
      </c>
      <c r="V32" s="81" t="str">
        <f t="shared" si="24"/>
        <v>-</v>
      </c>
      <c r="W32" s="82" t="str">
        <f>_xlfn.IFS(AND(D32&lt;&gt;0,D32-$AM$2&gt;=0,B32&gt;0,D32&lt;&gt;0),"本月刚到货",AND(IFERROR((K32/(N32/7))/30,"-")="-",K32&gt;0),"有库存无销量",AND(IFERROR((K32/(N32/7))/30,"-")="-",K32=0),"无库存无销量",AND(IFERROR((K32/(N32/7))/30,"-")&lt;=0.5,K32=0),"无库存有销量",IFERROR((K32/(N32/7))/30,"-")&lt;=0.5,"库存过低",IFERROR((K32/(N32/7))/30,"-")&lt;=1.5,"正常",IFERROR((K32/(N32/7))/30,"-")&gt;1.5,"库存过高")</f>
        <v>有库存无销量</v>
      </c>
      <c r="X32" s="83" t="str">
        <f>_xlfn.IFS(AND(D32&lt;&gt;0,D32-$AM$2&gt;=0,K32&gt;0,D32&lt;&gt;0),"本月刚到货",AND(T32="-",K32&gt;0),"有库存无销量",AND(T32="-",K32=0),"无库存无销量",AND(T32&lt;=0.5,K32=0),"无库存有销量",T32&lt;=0.5,"库存过低",T32&lt;=1.5,"正常",T32&gt;1.5,"库存过高")</f>
        <v>有库存无销量</v>
      </c>
      <c r="Y32" s="44">
        <f>IFERROR(SUMIF('8店辅助表'!K:K,B:B,'8店辅助表'!N:N),0)</f>
        <v>0</v>
      </c>
      <c r="Z32" s="44">
        <f>IFERROR(SUMIF('8店辅助表'!T:T,B:B,'8店辅助表'!W:W),0)</f>
        <v>0</v>
      </c>
      <c r="AA32" s="44">
        <f>IFERROR(SUMIF('8店辅助表'!AC:AC,B:B,'8店辅助表'!AF:AF),0)</f>
        <v>0</v>
      </c>
      <c r="AB32" s="91" t="str">
        <f>IFERROR(SUMIF('8店辅助表'!K:K,B:B,'8店辅助表'!N:N)/SUMIF('8店辅助表'!K:K,B:B,'8店辅助表'!O:O),"-")</f>
        <v>-</v>
      </c>
      <c r="AC32" s="91" t="str">
        <f>IFERROR(VLOOKUP(B:B,'[1]8店'!$B:$AB,27,FALSE),"-")</f>
        <v>-</v>
      </c>
      <c r="AD32" s="92" t="str">
        <f t="shared" si="25"/>
        <v>-</v>
      </c>
      <c r="AE32" s="91" t="str">
        <f>IFERROR(SUMIF('8店辅助表'!T:T,B:B,'8店辅助表'!W:W)/SUMIF('8店辅助表'!T:T,B:B,'8店辅助表'!X:X),"-")</f>
        <v>-</v>
      </c>
      <c r="AF32" s="91" t="str">
        <f>IFERROR(SUMIF('8店辅助表'!AC:AC,B:B,'8店辅助表'!AF:AF)/SUMIF('8店辅助表'!AC:AC,B:B,'8店辅助表'!AG:AG),"-")</f>
        <v>-</v>
      </c>
      <c r="AG32" s="99">
        <f>IFERROR(AK32/((SUMIF('8店辅助表'!AT:AT,B:B,'8店辅助表'!AU:AU)+M32)/2),"-")</f>
        <v>0</v>
      </c>
      <c r="AH32" s="99">
        <f>IFERROR(AL32/((SUMIF('8店辅助表'!AW:AW,B:B,'8店辅助表'!AX:AX)+M32)/2),"-")</f>
        <v>0</v>
      </c>
      <c r="AI32" s="100" t="str">
        <f>IFERROR((SUMIF('8店辅助表'!AP:AP,B:B,'8店辅助表'!AR:AR)-SUMIF('8店辅助表'!AP:AP,B:B,'8店辅助表'!AR:AR)*0.15-(L32+IFERROR(VLOOKUP(B:B,'8店辅助表'!AZ:BA,2,0),0))*O32-IF(AN:AN="US",6.85,4.9)*(Z32+4.03*O32))/SUMIF('8店辅助表'!AP:AP,B:B,'8店辅助表'!AR:AR),"-")</f>
        <v>-</v>
      </c>
      <c r="AJ32" s="100" t="str">
        <f t="shared" si="26"/>
        <v>-</v>
      </c>
      <c r="AK32" s="101">
        <f t="shared" si="27"/>
        <v>0</v>
      </c>
      <c r="AL32" s="101">
        <f t="shared" si="28"/>
        <v>0</v>
      </c>
      <c r="AM32" s="1" t="str">
        <f>VLOOKUP(B:B,'8店辅助表'!AZ:AZ,1,FALSE)</f>
        <v>Y8043-GR*1</v>
      </c>
      <c r="AN32" t="str">
        <f>VLOOKUP(B:B,'8店辅助表'!AZ:BB,3,FALSE)</f>
        <v>US</v>
      </c>
      <c r="AO32" s="31"/>
    </row>
    <row r="33" customHeight="1" spans="1:41">
      <c r="A33" s="58" t="str">
        <f>INDEX('[1]8店'!$A:$A,MATCH(B:B,'[1]8店'!$B:$B,0))</f>
        <v>晓美</v>
      </c>
      <c r="B33" s="108" t="s">
        <v>2841</v>
      </c>
      <c r="C33" s="123" t="s">
        <v>1781</v>
      </c>
      <c r="D33" s="59">
        <f>VLOOKUP(B:B,'[1]8店'!$B:$L,3,0)</f>
        <v>44973</v>
      </c>
      <c r="E33" s="108" t="s">
        <v>2842</v>
      </c>
      <c r="F33" s="108">
        <v>229</v>
      </c>
      <c r="G33" s="108">
        <v>3</v>
      </c>
      <c r="H33" s="108">
        <v>3</v>
      </c>
      <c r="I33" s="108">
        <v>10</v>
      </c>
      <c r="J33" s="108">
        <v>0</v>
      </c>
      <c r="K33" s="63">
        <f t="shared" si="20"/>
        <v>245</v>
      </c>
      <c r="L33" s="124">
        <f>VLOOKUP($B:$B,'[1]8店'!$B:$L,11,0)</f>
        <v>20.15</v>
      </c>
      <c r="M33" s="44">
        <f t="shared" si="10"/>
        <v>4936.75</v>
      </c>
      <c r="N33" s="65">
        <f>IFERROR(VLOOKUP(B:B,'8店辅助表'!B:C,2,FALSE),0)</f>
        <v>72</v>
      </c>
      <c r="O33" s="65">
        <f>IFERROR(VLOOKUP(B:B,'8店辅助表'!E:F,2,FALSE),0)</f>
        <v>152</v>
      </c>
      <c r="P33" s="65">
        <f>IFERROR(VLOOKUP(B:B,'8店辅助表'!H:I,2,FALSE),0)</f>
        <v>286</v>
      </c>
      <c r="Q33" s="65">
        <f>IFERROR(VLOOKUP(B:B,'[1]8店'!$B:$N,13,FALSE),0)</f>
        <v>75</v>
      </c>
      <c r="R33" s="79">
        <f t="shared" si="21"/>
        <v>-3</v>
      </c>
      <c r="S33" s="80">
        <f t="shared" si="22"/>
        <v>24.5389507154213</v>
      </c>
      <c r="T33" s="44">
        <f t="shared" si="23"/>
        <v>0.817965023847377</v>
      </c>
      <c r="U33" s="44">
        <f>IFERROR(VLOOKUP(B:B,'[1]8店'!$B:$T,19,0),"-")</f>
        <v>0.776079287754074</v>
      </c>
      <c r="V33" s="81">
        <f t="shared" si="24"/>
        <v>0.041885736093303</v>
      </c>
      <c r="W33" s="82" t="str">
        <f>_xlfn.IFS(AND(D33&lt;&gt;0,D33-$AM$2&gt;=0,B33&gt;0,D33&lt;&gt;0),"本月刚到货",AND(IFERROR((K33/(N33/7))/30,"-")="-",K33&gt;0),"有库存无销量",AND(IFERROR((K33/(N33/7))/30,"-")="-",K33=0),"无库存无销量",AND(IFERROR((K33/(N33/7))/30,"-")&lt;=0.5,K33=0),"无库存有销量",IFERROR((K33/(N33/7))/30,"-")&lt;=0.5,"库存过低",IFERROR((K33/(N33/7))/30,"-")&lt;=1.5,"正常",IFERROR((K33/(N33/7))/30,"-")&gt;1.5,"库存过高")</f>
        <v>正常</v>
      </c>
      <c r="X33" s="83" t="str">
        <f>_xlfn.IFS(AND(D33&lt;&gt;0,D33-$AM$2&gt;=0,K33&gt;0,D33&lt;&gt;0),"本月刚到货",AND(T33="-",K33&gt;0),"有库存无销量",AND(T33="-",K33=0),"无库存无销量",AND(T33&lt;=0.5,K33=0),"无库存有销量",T33&lt;=0.5,"库存过低",T33&lt;=1.5,"正常",T33&gt;1.5,"库存过高")</f>
        <v>正常</v>
      </c>
      <c r="Y33" s="44">
        <f>IFERROR(SUMIF('8店辅助表'!K:K,B:B,'8店辅助表'!N:N),0)</f>
        <v>184.24</v>
      </c>
      <c r="Z33" s="44">
        <f>IFERROR(SUMIF('8店辅助表'!T:T,B:B,'8店辅助表'!W:W),0)</f>
        <v>285.21</v>
      </c>
      <c r="AA33" s="44">
        <f>IFERROR(SUMIF('8店辅助表'!AC:AC,B:B,'8店辅助表'!AF:AF),0)</f>
        <v>419.62</v>
      </c>
      <c r="AB33" s="91">
        <f>IFERROR(SUMIF('8店辅助表'!K:K,B:B,'8店辅助表'!N:N)/SUMIF('8店辅助表'!K:K,B:B,'8店辅助表'!O:O),"-")</f>
        <v>0.182057134951926</v>
      </c>
      <c r="AC33" s="91">
        <f>IFERROR(VLOOKUP(B:B,'[1]8店'!$B:$AB,27,FALSE),"-")</f>
        <v>0.122645808019441</v>
      </c>
      <c r="AD33" s="92">
        <f t="shared" si="25"/>
        <v>0.059411326932485</v>
      </c>
      <c r="AE33" s="91">
        <f>IFERROR(SUMIF('8店辅助表'!T:T,B:B,'8店辅助表'!W:W)/SUMIF('8店辅助表'!T:T,B:B,'8店辅助表'!X:X),"-")</f>
        <v>0.151543811735201</v>
      </c>
      <c r="AF33" s="91">
        <f>IFERROR(SUMIF('8店辅助表'!AC:AC,B:B,'8店辅助表'!AF:AF)/SUMIF('8店辅助表'!AC:AC,B:B,'8店辅助表'!AG:AG),"-")</f>
        <v>0.154721433575458</v>
      </c>
      <c r="AG33" s="99">
        <f>IFERROR(AK33/((SUMIF('8店辅助表'!AT:AT,B:B,'8店辅助表'!AU:AU)+M33)/2),"-")</f>
        <v>0.309677419354839</v>
      </c>
      <c r="AH33" s="99">
        <f>IFERROR(AL33/((SUMIF('8店辅助表'!AW:AW,B:B,'8店辅助表'!AX:AX)+M33)/2),"-")</f>
        <v>0.597249508840864</v>
      </c>
      <c r="AI33" s="100">
        <f>IFERROR((SUMIF('8店辅助表'!AP:AP,B:B,'8店辅助表'!AR:AR)-SUMIF('8店辅助表'!AP:AP,B:B,'8店辅助表'!AR:AR)*0.15-(L33+IFERROR(VLOOKUP(B:B,'8店辅助表'!AZ:BA,2,0),0))*O33-IF(AN:AN="US",6.85,4.9)*(Z33+4.03*O33))/SUMIF('8店辅助表'!AP:AP,B:B,'8店辅助表'!AR:AR),"-")</f>
        <v>0.281774386609035</v>
      </c>
      <c r="AJ33" s="100">
        <f t="shared" si="26"/>
        <v>0.168289614006182</v>
      </c>
      <c r="AK33" s="101">
        <f t="shared" si="27"/>
        <v>1450.8</v>
      </c>
      <c r="AL33" s="101">
        <f t="shared" si="28"/>
        <v>3062.8</v>
      </c>
      <c r="AM33" s="1" t="str">
        <f>VLOOKUP(B:B,'8店辅助表'!AZ:AZ,1,FALSE)</f>
        <v>Y8056-BL</v>
      </c>
      <c r="AN33" t="str">
        <f>VLOOKUP(B:B,'8店辅助表'!AZ:BB,3,FALSE)</f>
        <v>US</v>
      </c>
      <c r="AO33" s="31"/>
    </row>
    <row r="34" customHeight="1" spans="1:41">
      <c r="A34" s="58" t="str">
        <f>INDEX('[1]8店'!$A:$A,MATCH(B:B,'[1]8店'!$B:$B,0))</f>
        <v>晓美</v>
      </c>
      <c r="B34" s="108" t="s">
        <v>2843</v>
      </c>
      <c r="C34" s="123" t="s">
        <v>2844</v>
      </c>
      <c r="D34" s="59">
        <f>VLOOKUP(B:B,'[1]8店'!$B:$L,3,0)</f>
        <v>44965</v>
      </c>
      <c r="E34" s="108" t="s">
        <v>2845</v>
      </c>
      <c r="F34" s="108">
        <v>107</v>
      </c>
      <c r="G34" s="108">
        <v>0</v>
      </c>
      <c r="H34" s="108">
        <v>16</v>
      </c>
      <c r="I34" s="108">
        <v>9</v>
      </c>
      <c r="J34" s="108">
        <v>0</v>
      </c>
      <c r="K34" s="63">
        <f t="shared" si="20"/>
        <v>132</v>
      </c>
      <c r="L34" s="124">
        <f>VLOOKUP($B:$B,'[1]8店'!$B:$L,11,0)</f>
        <v>42.001</v>
      </c>
      <c r="M34" s="44">
        <f t="shared" si="10"/>
        <v>5544.132</v>
      </c>
      <c r="N34" s="65">
        <f>IFERROR(VLOOKUP(B:B,'8店辅助表'!B:C,2,FALSE),0)</f>
        <v>76</v>
      </c>
      <c r="O34" s="65">
        <f>IFERROR(VLOOKUP(B:B,'8店辅助表'!E:F,2,FALSE),0)</f>
        <v>123</v>
      </c>
      <c r="P34" s="65">
        <f>IFERROR(VLOOKUP(B:B,'8店辅助表'!H:I,2,FALSE),0)</f>
        <v>221</v>
      </c>
      <c r="Q34" s="65">
        <f>IFERROR(VLOOKUP(B:B,'[1]8店'!$B:$N,13,FALSE),0)</f>
        <v>32</v>
      </c>
      <c r="R34" s="79">
        <f t="shared" si="21"/>
        <v>44</v>
      </c>
      <c r="S34" s="80">
        <f t="shared" si="22"/>
        <v>14.9864840511804</v>
      </c>
      <c r="T34" s="44">
        <f t="shared" si="23"/>
        <v>0.49954946837268</v>
      </c>
      <c r="U34" s="44">
        <f>IFERROR(VLOOKUP(B:B,'[1]8店'!$B:$T,19,0),"-")</f>
        <v>0.66994633273703</v>
      </c>
      <c r="V34" s="81">
        <f t="shared" si="24"/>
        <v>-0.17039686436435</v>
      </c>
      <c r="W34" s="82" t="str">
        <f>_xlfn.IFS(AND(D34&lt;&gt;0,D34-$AM$2&gt;=0,B34&gt;0,D34&lt;&gt;0),"本月刚到货",AND(IFERROR((K34/(N34/7))/30,"-")="-",K34&gt;0),"有库存无销量",AND(IFERROR((K34/(N34/7))/30,"-")="-",K34=0),"无库存无销量",AND(IFERROR((K34/(N34/7))/30,"-")&lt;=0.5,K34=0),"无库存有销量",IFERROR((K34/(N34/7))/30,"-")&lt;=0.5,"库存过低",IFERROR((K34/(N34/7))/30,"-")&lt;=1.5,"正常",IFERROR((K34/(N34/7))/30,"-")&gt;1.5,"库存过高")</f>
        <v>库存过低</v>
      </c>
      <c r="X34" s="83" t="str">
        <f>_xlfn.IFS(AND(D34&lt;&gt;0,D34-$AM$2&gt;=0,K34&gt;0,D34&lt;&gt;0),"本月刚到货",AND(T34="-",K34&gt;0),"有库存无销量",AND(T34="-",K34=0),"无库存无销量",AND(T34&lt;=0.5,K34=0),"无库存有销量",T34&lt;=0.5,"库存过低",T34&lt;=1.5,"正常",T34&gt;1.5,"库存过高")</f>
        <v>库存过低</v>
      </c>
      <c r="Y34" s="44">
        <f>IFERROR(SUMIF('8店辅助表'!K:K,B:B,'8店辅助表'!N:N),0)</f>
        <v>54.04</v>
      </c>
      <c r="Z34" s="44">
        <f>IFERROR(SUMIF('8店辅助表'!T:T,B:B,'8店辅助表'!W:W),0)</f>
        <v>90.41</v>
      </c>
      <c r="AA34" s="44">
        <f>IFERROR(SUMIF('8店辅助表'!AC:AC,B:B,'8店辅助表'!AF:AF),0)</f>
        <v>170.23</v>
      </c>
      <c r="AB34" s="91">
        <f>IFERROR(SUMIF('8店辅助表'!K:K,B:B,'8店辅助表'!N:N)/SUMIF('8店辅助表'!K:K,B:B,'8店辅助表'!O:O),"-")</f>
        <v>0.103765433284049</v>
      </c>
      <c r="AC34" s="91">
        <f>IFERROR(VLOOKUP(B:B,'[1]8店'!$B:$AB,27,FALSE),"-")</f>
        <v>0.222793024199</v>
      </c>
      <c r="AD34" s="92">
        <f t="shared" si="25"/>
        <v>-0.119027590914951</v>
      </c>
      <c r="AE34" s="91">
        <f>IFERROR(SUMIF('8店辅助表'!T:T,B:B,'8店辅助表'!W:W)/SUMIF('8店辅助表'!T:T,B:B,'8店辅助表'!X:X),"-")</f>
        <v>0.125445741005397</v>
      </c>
      <c r="AF34" s="91">
        <f>IFERROR(SUMIF('8店辅助表'!AC:AC,B:B,'8店辅助表'!AF:AF)/SUMIF('8店辅助表'!AC:AC,B:B,'8店辅助表'!AG:AG),"-")</f>
        <v>0.128044469182977</v>
      </c>
      <c r="AG34" s="99">
        <f>IFERROR(AK34/((SUMIF('8店辅助表'!AT:AT,B:B,'8店辅助表'!AU:AU)+M34)/2),"-")</f>
        <v>0.635983263598326</v>
      </c>
      <c r="AH34" s="99">
        <f>IFERROR(AL34/((SUMIF('8店辅助表'!AW:AW,B:B,'8店辅助表'!AX:AX)+M34)/2),"-")</f>
        <v>0.721407624633431</v>
      </c>
      <c r="AI34" s="100">
        <f>IFERROR((SUMIF('8店辅助表'!AP:AP,B:B,'8店辅助表'!AR:AR)-SUMIF('8店辅助表'!AP:AP,B:B,'8店辅助表'!AR:AR)*0.15-(L34+IFERROR(VLOOKUP(B:B,'8店辅助表'!AZ:BA,2,0),0))*O34-IF(AN:AN="US",6.85,4.9)*(Z34+4.03*O34))/SUMIF('8店辅助表'!AP:AP,B:B,'8店辅助表'!AR:AR),"-")</f>
        <v>0.338586537535346</v>
      </c>
      <c r="AJ34" s="100">
        <f t="shared" si="26"/>
        <v>0.244258909776232</v>
      </c>
      <c r="AK34" s="101">
        <f t="shared" si="27"/>
        <v>3192.076</v>
      </c>
      <c r="AL34" s="101">
        <f t="shared" si="28"/>
        <v>5166.123</v>
      </c>
      <c r="AM34" s="1" t="str">
        <f>VLOOKUP(B:B,'8店辅助表'!AZ:AZ,1,FALSE)</f>
        <v>Y8057-BL</v>
      </c>
      <c r="AN34" t="str">
        <f>VLOOKUP(B:B,'8店辅助表'!AZ:BB,3,FALSE)</f>
        <v>US</v>
      </c>
      <c r="AO34" s="31"/>
    </row>
    <row r="35" customHeight="1" spans="1:41">
      <c r="A35" s="58" t="str">
        <f>INDEX('[1]8店'!$A:$A,MATCH(B:B,'[1]8店'!$B:$B,0))</f>
        <v>晓美</v>
      </c>
      <c r="B35" s="108" t="s">
        <v>2846</v>
      </c>
      <c r="C35" s="123" t="s">
        <v>2844</v>
      </c>
      <c r="D35" s="59">
        <f>VLOOKUP(B:B,'[1]8店'!$B:$L,3,0)</f>
        <v>44973</v>
      </c>
      <c r="E35" s="108" t="s">
        <v>2847</v>
      </c>
      <c r="F35" s="108">
        <v>4</v>
      </c>
      <c r="G35" s="108">
        <v>2</v>
      </c>
      <c r="H35" s="108">
        <v>0</v>
      </c>
      <c r="I35" s="108">
        <v>1</v>
      </c>
      <c r="J35" s="108">
        <v>0</v>
      </c>
      <c r="K35" s="63">
        <f t="shared" si="20"/>
        <v>7</v>
      </c>
      <c r="L35" s="124">
        <f>VLOOKUP($B:$B,'[1]8店'!$B:$L,11,0)</f>
        <v>40.6</v>
      </c>
      <c r="M35" s="44">
        <f t="shared" si="10"/>
        <v>284.2</v>
      </c>
      <c r="N35" s="65">
        <f>IFERROR(VLOOKUP(B:B,'8店辅助表'!B:C,2,FALSE),0)</f>
        <v>13</v>
      </c>
      <c r="O35" s="65">
        <f>IFERROR(VLOOKUP(B:B,'8店辅助表'!E:F,2,FALSE),0)</f>
        <v>20</v>
      </c>
      <c r="P35" s="65">
        <f>IFERROR(VLOOKUP(B:B,'8店辅助表'!H:I,2,FALSE),0)</f>
        <v>27</v>
      </c>
      <c r="Q35" s="65">
        <f>IFERROR(VLOOKUP(B:B,'[1]8店'!$B:$N,13,FALSE),0)</f>
        <v>7</v>
      </c>
      <c r="R35" s="79">
        <f t="shared" si="21"/>
        <v>6</v>
      </c>
      <c r="S35" s="80">
        <f t="shared" si="22"/>
        <v>5.13387660069849</v>
      </c>
      <c r="T35" s="44">
        <f t="shared" si="23"/>
        <v>0.171129220023283</v>
      </c>
      <c r="U35" s="44">
        <f>IFERROR(VLOOKUP(B:B,'[1]8店'!$B:$T,19,0),"-")</f>
        <v>0.882352941176471</v>
      </c>
      <c r="V35" s="81">
        <f t="shared" si="24"/>
        <v>-0.711223721153188</v>
      </c>
      <c r="W35" s="82" t="str">
        <f>_xlfn.IFS(AND(D35&lt;&gt;0,D35-$AM$2&gt;=0,B35&gt;0,D35&lt;&gt;0),"本月刚到货",AND(IFERROR((K35/(N35/7))/30,"-")="-",K35&gt;0),"有库存无销量",AND(IFERROR((K35/(N35/7))/30,"-")="-",K35=0),"无库存无销量",AND(IFERROR((K35/(N35/7))/30,"-")&lt;=0.5,K35=0),"无库存有销量",IFERROR((K35/(N35/7))/30,"-")&lt;=0.5,"库存过低",IFERROR((K35/(N35/7))/30,"-")&lt;=1.5,"正常",IFERROR((K35/(N35/7))/30,"-")&gt;1.5,"库存过高")</f>
        <v>库存过低</v>
      </c>
      <c r="X35" s="83" t="str">
        <f>_xlfn.IFS(AND(D35&lt;&gt;0,D35-$AM$2&gt;=0,K35&gt;0,D35&lt;&gt;0),"本月刚到货",AND(T35="-",K35&gt;0),"有库存无销量",AND(T35="-",K35=0),"无库存无销量",AND(T35&lt;=0.5,K35=0),"无库存有销量",T35&lt;=0.5,"库存过低",T35&lt;=1.5,"正常",T35&gt;1.5,"库存过高")</f>
        <v>库存过低</v>
      </c>
      <c r="Y35" s="44">
        <f>IFERROR(SUMIF('8店辅助表'!K:K,B:B,'8店辅助表'!N:N),0)</f>
        <v>0</v>
      </c>
      <c r="Z35" s="44">
        <f>IFERROR(SUMIF('8店辅助表'!T:T,B:B,'8店辅助表'!W:W),0)</f>
        <v>0</v>
      </c>
      <c r="AA35" s="44">
        <f>IFERROR(SUMIF('8店辅助表'!AC:AC,B:B,'8店辅助表'!AF:AF),0)</f>
        <v>0</v>
      </c>
      <c r="AB35" s="91" t="str">
        <f>IFERROR(SUMIF('8店辅助表'!K:K,B:B,'8店辅助表'!N:N)/SUMIF('8店辅助表'!K:K,B:B,'8店辅助表'!O:O),"-")</f>
        <v>-</v>
      </c>
      <c r="AC35" s="91" t="str">
        <f>IFERROR(VLOOKUP(B:B,'[1]8店'!$B:$AB,27,FALSE),"-")</f>
        <v>-</v>
      </c>
      <c r="AD35" s="92" t="str">
        <f t="shared" si="25"/>
        <v>-</v>
      </c>
      <c r="AE35" s="91" t="str">
        <f>IFERROR(SUMIF('8店辅助表'!T:T,B:B,'8店辅助表'!W:W)/SUMIF('8店辅助表'!T:T,B:B,'8店辅助表'!X:X),"-")</f>
        <v>-</v>
      </c>
      <c r="AF35" s="91" t="str">
        <f>IFERROR(SUMIF('8店辅助表'!AC:AC,B:B,'8店辅助表'!AF:AF)/SUMIF('8店辅助表'!AC:AC,B:B,'8店辅助表'!AG:AG),"-")</f>
        <v>-</v>
      </c>
      <c r="AG35" s="99">
        <f>IFERROR(AK35/((SUMIF('8店辅助表'!AT:AT,B:B,'8店辅助表'!AU:AU)+M35)/2),"-")</f>
        <v>0.962962962962963</v>
      </c>
      <c r="AH35" s="99">
        <f>IFERROR(AL35/((SUMIF('8店辅助表'!AW:AW,B:B,'8店辅助表'!AX:AX)+M35)/2),"-")</f>
        <v>1.11111111111111</v>
      </c>
      <c r="AI35" s="100">
        <f>IFERROR((SUMIF('8店辅助表'!AP:AP,B:B,'8店辅助表'!AR:AR)-SUMIF('8店辅助表'!AP:AP,B:B,'8店辅助表'!AR:AR)*0.15-(L35+IFERROR(VLOOKUP(B:B,'8店辅助表'!AZ:BA,2,0),0))*O35-IF(AN:AN="US",6.85,4.9)*(Z35+4.03*O35))/SUMIF('8店辅助表'!AP:AP,B:B,'8店辅助表'!AR:AR),"-")</f>
        <v>0.363606309043478</v>
      </c>
      <c r="AJ35" s="100">
        <f t="shared" si="26"/>
        <v>0.404007010048309</v>
      </c>
      <c r="AK35" s="101">
        <f t="shared" si="27"/>
        <v>527.8</v>
      </c>
      <c r="AL35" s="101">
        <f t="shared" si="28"/>
        <v>812</v>
      </c>
      <c r="AM35" s="1" t="str">
        <f>VLOOKUP(B:B,'8店辅助表'!AZ:AZ,1,FALSE)</f>
        <v>Y8057-GR</v>
      </c>
      <c r="AN35" t="str">
        <f>VLOOKUP(B:B,'8店辅助表'!AZ:BB,3,FALSE)</f>
        <v>US</v>
      </c>
      <c r="AO35" s="31"/>
    </row>
    <row r="36" customHeight="1" spans="1:41">
      <c r="A36" s="58" t="str">
        <f>INDEX('[1]8店'!$A:$A,MATCH(B:B,'[1]8店'!$B:$B,0))</f>
        <v>晓美</v>
      </c>
      <c r="B36" s="108" t="s">
        <v>2848</v>
      </c>
      <c r="C36" s="123" t="s">
        <v>2849</v>
      </c>
      <c r="D36" s="59">
        <f>VLOOKUP(B:B,'[1]8店'!$B:$L,3,0)</f>
        <v>44977</v>
      </c>
      <c r="E36" s="108" t="s">
        <v>2850</v>
      </c>
      <c r="F36" s="108">
        <v>11</v>
      </c>
      <c r="G36" s="108">
        <v>0</v>
      </c>
      <c r="H36" s="108">
        <v>0</v>
      </c>
      <c r="I36" s="108">
        <v>0</v>
      </c>
      <c r="J36" s="108">
        <v>0</v>
      </c>
      <c r="K36" s="63">
        <f t="shared" si="20"/>
        <v>11</v>
      </c>
      <c r="L36" s="124">
        <f>VLOOKUP($B:$B,'[1]8店'!$B:$L,11,0)</f>
        <v>31.785</v>
      </c>
      <c r="M36" s="44">
        <f t="shared" si="10"/>
        <v>349.635</v>
      </c>
      <c r="N36" s="65">
        <f>IFERROR(VLOOKUP(B:B,'8店辅助表'!B:C,2,FALSE),0)</f>
        <v>0</v>
      </c>
      <c r="O36" s="65">
        <f>IFERROR(VLOOKUP(B:B,'8店辅助表'!E:F,2,FALSE),0)</f>
        <v>0</v>
      </c>
      <c r="P36" s="65">
        <f>IFERROR(VLOOKUP(B:B,'8店辅助表'!H:I,2,FALSE),0)</f>
        <v>0</v>
      </c>
      <c r="Q36" s="65">
        <f>IFERROR(VLOOKUP(B:B,'[1]8店'!$B:$N,13,FALSE),0)</f>
        <v>0</v>
      </c>
      <c r="R36" s="79">
        <f t="shared" si="21"/>
        <v>0</v>
      </c>
      <c r="S36" s="80" t="str">
        <f t="shared" si="22"/>
        <v>-</v>
      </c>
      <c r="T36" s="44" t="str">
        <f t="shared" si="23"/>
        <v>-</v>
      </c>
      <c r="U36" s="44" t="str">
        <f>IFERROR(VLOOKUP(B:B,'[1]8店'!$B:$T,19,0),"-")</f>
        <v>-</v>
      </c>
      <c r="V36" s="81" t="str">
        <f t="shared" si="24"/>
        <v>-</v>
      </c>
      <c r="W36" s="82" t="str">
        <f>_xlfn.IFS(AND(D36&lt;&gt;0,D36-$AM$2&gt;=0,B36&gt;0,D36&lt;&gt;0),"本月刚到货",AND(IFERROR((K36/(N36/7))/30,"-")="-",K36&gt;0),"有库存无销量",AND(IFERROR((K36/(N36/7))/30,"-")="-",K36=0),"无库存无销量",AND(IFERROR((K36/(N36/7))/30,"-")&lt;=0.5,K36=0),"无库存有销量",IFERROR((K36/(N36/7))/30,"-")&lt;=0.5,"库存过低",IFERROR((K36/(N36/7))/30,"-")&lt;=1.5,"正常",IFERROR((K36/(N36/7))/30,"-")&gt;1.5,"库存过高")</f>
        <v>有库存无销量</v>
      </c>
      <c r="X36" s="83" t="str">
        <f>_xlfn.IFS(AND(D36&lt;&gt;0,D36-$AM$2&gt;=0,K36&gt;0,D36&lt;&gt;0),"本月刚到货",AND(T36="-",K36&gt;0),"有库存无销量",AND(T36="-",K36=0),"无库存无销量",AND(T36&lt;=0.5,K36=0),"无库存有销量",T36&lt;=0.5,"库存过低",T36&lt;=1.5,"正常",T36&gt;1.5,"库存过高")</f>
        <v>有库存无销量</v>
      </c>
      <c r="Y36" s="44">
        <f>IFERROR(SUMIF('8店辅助表'!K:K,B:B,'8店辅助表'!N:N),0)</f>
        <v>0</v>
      </c>
      <c r="Z36" s="44">
        <f>IFERROR(SUMIF('8店辅助表'!T:T,B:B,'8店辅助表'!W:W),0)</f>
        <v>0</v>
      </c>
      <c r="AA36" s="44">
        <f>IFERROR(SUMIF('8店辅助表'!AC:AC,B:B,'8店辅助表'!AF:AF),0)</f>
        <v>0</v>
      </c>
      <c r="AB36" s="91" t="str">
        <f>IFERROR(SUMIF('8店辅助表'!K:K,B:B,'8店辅助表'!N:N)/SUMIF('8店辅助表'!K:K,B:B,'8店辅助表'!O:O),"-")</f>
        <v>-</v>
      </c>
      <c r="AC36" s="91" t="str">
        <f>IFERROR(VLOOKUP(B:B,'[1]8店'!$B:$AB,27,FALSE),"-")</f>
        <v>-</v>
      </c>
      <c r="AD36" s="92" t="str">
        <f t="shared" si="25"/>
        <v>-</v>
      </c>
      <c r="AE36" s="91" t="str">
        <f>IFERROR(SUMIF('8店辅助表'!T:T,B:B,'8店辅助表'!W:W)/SUMIF('8店辅助表'!T:T,B:B,'8店辅助表'!X:X),"-")</f>
        <v>-</v>
      </c>
      <c r="AF36" s="91" t="str">
        <f>IFERROR(SUMIF('8店辅助表'!AC:AC,B:B,'8店辅助表'!AF:AF)/SUMIF('8店辅助表'!AC:AC,B:B,'8店辅助表'!AG:AG),"-")</f>
        <v>-</v>
      </c>
      <c r="AG36" s="99">
        <f>IFERROR(AK36/((SUMIF('8店辅助表'!AT:AT,B:B,'8店辅助表'!AU:AU)+M36)/2),"-")</f>
        <v>0</v>
      </c>
      <c r="AH36" s="99">
        <f>IFERROR(AL36/((SUMIF('8店辅助表'!AW:AW,B:B,'8店辅助表'!AX:AX)+M36)/2),"-")</f>
        <v>0</v>
      </c>
      <c r="AI36" s="100" t="str">
        <f>IFERROR((SUMIF('8店辅助表'!AP:AP,B:B,'8店辅助表'!AR:AR)-SUMIF('8店辅助表'!AP:AP,B:B,'8店辅助表'!AR:AR)*0.15-(L36+IFERROR(VLOOKUP(B:B,'8店辅助表'!AZ:BA,2,0),0))*O36-IF(AN:AN="US",6.85,4.9)*(Z36+4.03*O36))/SUMIF('8店辅助表'!AP:AP,B:B,'8店辅助表'!AR:AR),"-")</f>
        <v>-</v>
      </c>
      <c r="AJ36" s="100" t="str">
        <f t="shared" si="26"/>
        <v>-</v>
      </c>
      <c r="AK36" s="101">
        <f t="shared" si="27"/>
        <v>0</v>
      </c>
      <c r="AL36" s="101">
        <f t="shared" si="28"/>
        <v>0</v>
      </c>
      <c r="AM36" s="1" t="str">
        <f>VLOOKUP(B:B,'8店辅助表'!AZ:AZ,1,FALSE)</f>
        <v>Y8061-RE</v>
      </c>
      <c r="AN36" t="str">
        <f>VLOOKUP(B:B,'8店辅助表'!AZ:BB,3,FALSE)</f>
        <v>US</v>
      </c>
      <c r="AO36" s="31"/>
    </row>
    <row r="37" customHeight="1" spans="1:41">
      <c r="A37" s="58" t="s">
        <v>2851</v>
      </c>
      <c r="B37" s="108" t="s">
        <v>2852</v>
      </c>
      <c r="C37" s="123" t="s">
        <v>1986</v>
      </c>
      <c r="D37" s="59">
        <f>VLOOKUP(B:B,'[1]8店'!$B:$L,3,0)</f>
        <v>44980</v>
      </c>
      <c r="E37" s="108" t="s">
        <v>2853</v>
      </c>
      <c r="F37" s="108">
        <v>13</v>
      </c>
      <c r="G37" s="108">
        <v>0</v>
      </c>
      <c r="H37" s="108">
        <v>0</v>
      </c>
      <c r="I37" s="108">
        <v>0</v>
      </c>
      <c r="J37" s="108">
        <v>0</v>
      </c>
      <c r="K37" s="63">
        <f t="shared" si="20"/>
        <v>13</v>
      </c>
      <c r="L37" s="124">
        <v>12.063</v>
      </c>
      <c r="M37" s="44">
        <f t="shared" ref="M37:M68" si="29">K37*L37</f>
        <v>156.819</v>
      </c>
      <c r="N37" s="65">
        <f>IFERROR(VLOOKUP(B:B,'8店辅助表'!B:C,2,FALSE),0)</f>
        <v>0</v>
      </c>
      <c r="O37" s="65">
        <f>IFERROR(VLOOKUP(B:B,'8店辅助表'!E:F,2,FALSE),0)</f>
        <v>0</v>
      </c>
      <c r="P37" s="65">
        <f>IFERROR(VLOOKUP(B:B,'8店辅助表'!H:I,2,FALSE),0)</f>
        <v>1</v>
      </c>
      <c r="Q37" s="65">
        <f>IFERROR(VLOOKUP(B:B,'[1]8店'!$B:$N,13,FALSE),0)</f>
        <v>0</v>
      </c>
      <c r="R37" s="79">
        <f t="shared" si="21"/>
        <v>0</v>
      </c>
      <c r="S37" s="80">
        <f t="shared" si="22"/>
        <v>1170</v>
      </c>
      <c r="T37" s="44">
        <f t="shared" si="23"/>
        <v>39</v>
      </c>
      <c r="U37" s="44">
        <f>IFERROR(VLOOKUP(B:B,'[1]8店'!$B:$T,19,0),"-")</f>
        <v>19.5</v>
      </c>
      <c r="V37" s="81">
        <f t="shared" si="24"/>
        <v>19.5</v>
      </c>
      <c r="W37" s="82" t="str">
        <f>_xlfn.IFS(AND(D37&lt;&gt;0,D37-$AM$2&gt;=0,B37&gt;0,D37&lt;&gt;0),"本月刚到货",AND(IFERROR((K37/(N37/7))/30,"-")="-",K37&gt;0),"有库存无销量",AND(IFERROR((K37/(N37/7))/30,"-")="-",K37=0),"无库存无销量",AND(IFERROR((K37/(N37/7))/30,"-")&lt;=0.5,K37=0),"无库存有销量",IFERROR((K37/(N37/7))/30,"-")&lt;=0.5,"库存过低",IFERROR((K37/(N37/7))/30,"-")&lt;=1.5,"正常",IFERROR((K37/(N37/7))/30,"-")&gt;1.5,"库存过高")</f>
        <v>有库存无销量</v>
      </c>
      <c r="X37" s="83" t="str">
        <f>_xlfn.IFS(AND(D37&lt;&gt;0,D37-$AM$2&gt;=0,K37&gt;0,D37&lt;&gt;0),"本月刚到货",AND(T37="-",K37&gt;0),"有库存无销量",AND(T37="-",K37=0),"无库存无销量",AND(T37&lt;=0.5,K37=0),"无库存有销量",T37&lt;=0.5,"库存过低",T37&lt;=1.5,"正常",T37&gt;1.5,"库存过高")</f>
        <v>库存过高</v>
      </c>
      <c r="Y37" s="44">
        <f>IFERROR(SUMIF('8店辅助表'!K:K,B:B,'8店辅助表'!N:N),0)</f>
        <v>0</v>
      </c>
      <c r="Z37" s="44">
        <f>IFERROR(SUMIF('8店辅助表'!T:T,B:B,'8店辅助表'!W:W),0)</f>
        <v>0</v>
      </c>
      <c r="AA37" s="44">
        <f>IFERROR(SUMIF('8店辅助表'!AC:AC,B:B,'8店辅助表'!AF:AF),0)</f>
        <v>0</v>
      </c>
      <c r="AB37" s="91" t="str">
        <f>IFERROR(SUMIF('8店辅助表'!K:K,B:B,'8店辅助表'!N:N)/SUMIF('8店辅助表'!K:K,B:B,'8店辅助表'!O:O),"-")</f>
        <v>-</v>
      </c>
      <c r="AC37" s="91" t="str">
        <f>IFERROR(VLOOKUP(B:B,'[1]8店'!$B:$AB,27,FALSE),"-")</f>
        <v>-</v>
      </c>
      <c r="AD37" s="92" t="str">
        <f t="shared" si="25"/>
        <v>-</v>
      </c>
      <c r="AE37" s="91" t="str">
        <f>IFERROR(SUMIF('8店辅助表'!T:T,B:B,'8店辅助表'!W:W)/SUMIF('8店辅助表'!T:T,B:B,'8店辅助表'!X:X),"-")</f>
        <v>-</v>
      </c>
      <c r="AF37" s="91" t="str">
        <f>IFERROR(SUMIF('8店辅助表'!AC:AC,B:B,'8店辅助表'!AF:AF)/SUMIF('8店辅助表'!AC:AC,B:B,'8店辅助表'!AG:AG),"-")</f>
        <v>-</v>
      </c>
      <c r="AG37" s="99">
        <f>IFERROR(AK37/((SUMIF('8店辅助表'!AT:AT,B:B,'8店辅助表'!AU:AU)+M37)/2),"-")</f>
        <v>0</v>
      </c>
      <c r="AH37" s="99">
        <f>IFERROR(AL37/((SUMIF('8店辅助表'!AW:AW,B:B,'8店辅助表'!AX:AX)+M37)/2),"-")</f>
        <v>0</v>
      </c>
      <c r="AI37" s="100" t="str">
        <f>IFERROR((SUMIF('8店辅助表'!AP:AP,B:B,'8店辅助表'!AR:AR)-SUMIF('8店辅助表'!AP:AP,B:B,'8店辅助表'!AR:AR)*0.15-(L37+IFERROR(VLOOKUP(B:B,'8店辅助表'!AZ:BA,2,0),0))*O37-IF(AN:AN="US",6.85,4.9)*(Z37+4.03*O37))/SUMIF('8店辅助表'!AP:AP,B:B,'8店辅助表'!AR:AR),"-")</f>
        <v>-</v>
      </c>
      <c r="AJ37" s="100" t="str">
        <f t="shared" si="26"/>
        <v>-</v>
      </c>
      <c r="AK37" s="101">
        <f t="shared" si="27"/>
        <v>0</v>
      </c>
      <c r="AL37" s="101">
        <f t="shared" si="28"/>
        <v>0</v>
      </c>
      <c r="AM37" s="1" t="str">
        <f>VLOOKUP(B:B,'8店辅助表'!AZ:AZ,1,FALSE)</f>
        <v>Y8062</v>
      </c>
      <c r="AN37" t="str">
        <f>VLOOKUP(B:B,'8店辅助表'!AZ:BB,3,FALSE)</f>
        <v>US</v>
      </c>
      <c r="AO37" s="31"/>
    </row>
    <row r="38" customHeight="1" spans="1:41">
      <c r="A38" s="58" t="str">
        <f>INDEX('[1]8店'!$A:$A,MATCH(B:B,'[1]8店'!$B:$B,0))</f>
        <v>晓美</v>
      </c>
      <c r="B38" s="108" t="s">
        <v>2854</v>
      </c>
      <c r="C38" s="123" t="s">
        <v>2855</v>
      </c>
      <c r="D38" s="59">
        <f>VLOOKUP(B:B,'[1]8店'!$B:$L,3,0)</f>
        <v>44979</v>
      </c>
      <c r="E38" s="108" t="s">
        <v>2856</v>
      </c>
      <c r="F38" s="108">
        <v>9</v>
      </c>
      <c r="G38" s="108">
        <v>0</v>
      </c>
      <c r="H38" s="108">
        <v>0</v>
      </c>
      <c r="I38" s="108">
        <v>0</v>
      </c>
      <c r="J38" s="108">
        <v>0</v>
      </c>
      <c r="K38" s="63">
        <f t="shared" si="20"/>
        <v>9</v>
      </c>
      <c r="L38" s="124">
        <f>VLOOKUP($B:$B,'[1]8店'!$B:$L,11,0)</f>
        <v>17</v>
      </c>
      <c r="M38" s="44">
        <f t="shared" si="29"/>
        <v>153</v>
      </c>
      <c r="N38" s="65">
        <f>IFERROR(VLOOKUP(B:B,'8店辅助表'!B:C,2,FALSE),0)</f>
        <v>0</v>
      </c>
      <c r="O38" s="65">
        <f>IFERROR(VLOOKUP(B:B,'8店辅助表'!E:F,2,FALSE),0)</f>
        <v>0</v>
      </c>
      <c r="P38" s="65">
        <f>IFERROR(VLOOKUP(B:B,'8店辅助表'!H:I,2,FALSE),0)</f>
        <v>0</v>
      </c>
      <c r="Q38" s="65">
        <f>IFERROR(VLOOKUP(B:B,'[1]8店'!$B:$N,13,FALSE),0)</f>
        <v>0</v>
      </c>
      <c r="R38" s="79">
        <f t="shared" si="21"/>
        <v>0</v>
      </c>
      <c r="S38" s="80" t="str">
        <f t="shared" si="22"/>
        <v>-</v>
      </c>
      <c r="T38" s="44" t="str">
        <f t="shared" si="23"/>
        <v>-</v>
      </c>
      <c r="U38" s="44" t="str">
        <f>IFERROR(VLOOKUP(B:B,'[1]8店'!$B:$T,19,0),"-")</f>
        <v>-</v>
      </c>
      <c r="V38" s="81" t="str">
        <f t="shared" si="24"/>
        <v>-</v>
      </c>
      <c r="W38" s="82" t="str">
        <f>_xlfn.IFS(AND(D38&lt;&gt;0,D38-$AM$2&gt;=0,B38&gt;0,D38&lt;&gt;0),"本月刚到货",AND(IFERROR((K38/(N38/7))/30,"-")="-",K38&gt;0),"有库存无销量",AND(IFERROR((K38/(N38/7))/30,"-")="-",K38=0),"无库存无销量",AND(IFERROR((K38/(N38/7))/30,"-")&lt;=0.5,K38=0),"无库存有销量",IFERROR((K38/(N38/7))/30,"-")&lt;=0.5,"库存过低",IFERROR((K38/(N38/7))/30,"-")&lt;=1.5,"正常",IFERROR((K38/(N38/7))/30,"-")&gt;1.5,"库存过高")</f>
        <v>有库存无销量</v>
      </c>
      <c r="X38" s="83" t="str">
        <f>_xlfn.IFS(AND(D38&lt;&gt;0,D38-$AM$2&gt;=0,K38&gt;0,D38&lt;&gt;0),"本月刚到货",AND(T38="-",K38&gt;0),"有库存无销量",AND(T38="-",K38=0),"无库存无销量",AND(T38&lt;=0.5,K38=0),"无库存有销量",T38&lt;=0.5,"库存过低",T38&lt;=1.5,"正常",T38&gt;1.5,"库存过高")</f>
        <v>有库存无销量</v>
      </c>
      <c r="Y38" s="44">
        <f>IFERROR(SUMIF('8店辅助表'!K:K,B:B,'8店辅助表'!N:N),0)</f>
        <v>2.36</v>
      </c>
      <c r="Z38" s="44">
        <f>IFERROR(SUMIF('8店辅助表'!T:T,B:B,'8店辅助表'!W:W),0)</f>
        <v>3.41</v>
      </c>
      <c r="AA38" s="44">
        <f>IFERROR(SUMIF('8店辅助表'!AC:AC,B:B,'8店辅助表'!AF:AF),0)</f>
        <v>3.41</v>
      </c>
      <c r="AB38" s="91" t="str">
        <f>IFERROR(SUMIF('8店辅助表'!K:K,B:B,'8店辅助表'!N:N)/SUMIF('8店辅助表'!K:K,B:B,'8店辅助表'!O:O),"-")</f>
        <v>-</v>
      </c>
      <c r="AC38" s="91" t="str">
        <f>IFERROR(VLOOKUP(B:B,'[1]8店'!$B:$AB,27,FALSE),"-")</f>
        <v>-</v>
      </c>
      <c r="AD38" s="92" t="str">
        <f t="shared" si="25"/>
        <v>-</v>
      </c>
      <c r="AE38" s="91" t="str">
        <f>IFERROR(SUMIF('8店辅助表'!T:T,B:B,'8店辅助表'!W:W)/SUMIF('8店辅助表'!T:T,B:B,'8店辅助表'!X:X),"-")</f>
        <v>-</v>
      </c>
      <c r="AF38" s="91" t="str">
        <f>IFERROR(SUMIF('8店辅助表'!AC:AC,B:B,'8店辅助表'!AF:AF)/SUMIF('8店辅助表'!AC:AC,B:B,'8店辅助表'!AG:AG),"-")</f>
        <v>-</v>
      </c>
      <c r="AG38" s="99">
        <f>IFERROR(AK38/((SUMIF('8店辅助表'!AT:AT,B:B,'8店辅助表'!AU:AU)+M38)/2),"-")</f>
        <v>0</v>
      </c>
      <c r="AH38" s="99">
        <f>IFERROR(AL38/((SUMIF('8店辅助表'!AW:AW,B:B,'8店辅助表'!AX:AX)+M38)/2),"-")</f>
        <v>0</v>
      </c>
      <c r="AI38" s="100" t="str">
        <f>IFERROR((SUMIF('8店辅助表'!AP:AP,B:B,'8店辅助表'!AR:AR)-SUMIF('8店辅助表'!AP:AP,B:B,'8店辅助表'!AR:AR)*0.15-(L38+IFERROR(VLOOKUP(B:B,'8店辅助表'!AZ:BA,2,0),0))*O38-IF(AN:AN="US",6.85,4.9)*(Z38+4.03*O38))/SUMIF('8店辅助表'!AP:AP,B:B,'8店辅助表'!AR:AR),"-")</f>
        <v>-</v>
      </c>
      <c r="AJ38" s="100" t="str">
        <f t="shared" si="26"/>
        <v>-</v>
      </c>
      <c r="AK38" s="101">
        <f t="shared" si="27"/>
        <v>0</v>
      </c>
      <c r="AL38" s="101">
        <f t="shared" si="28"/>
        <v>0</v>
      </c>
      <c r="AM38" s="1" t="str">
        <f>VLOOKUP(B:B,'8店辅助表'!AZ:AZ,1,FALSE)</f>
        <v>Y8053*5</v>
      </c>
      <c r="AN38" t="str">
        <f>VLOOKUP(B:B,'8店辅助表'!AZ:BB,3,FALSE)</f>
        <v>US</v>
      </c>
      <c r="AO38" s="31"/>
    </row>
    <row r="39" customHeight="1" spans="1:41">
      <c r="A39" s="58" t="str">
        <f>INDEX('[1]8店'!$A:$A,MATCH(B:B,'[1]8店'!$B:$B,0))</f>
        <v>晓美</v>
      </c>
      <c r="B39" s="108" t="s">
        <v>2857</v>
      </c>
      <c r="C39" s="123" t="s">
        <v>1942</v>
      </c>
      <c r="D39" s="59">
        <f>VLOOKUP(B:B,'[1]8店'!$B:$L,3,0)</f>
        <v>44991</v>
      </c>
      <c r="E39" s="108" t="s">
        <v>2858</v>
      </c>
      <c r="F39" s="108">
        <v>3</v>
      </c>
      <c r="G39" s="108">
        <v>0</v>
      </c>
      <c r="H39" s="108">
        <v>0</v>
      </c>
      <c r="I39" s="108">
        <v>0</v>
      </c>
      <c r="J39" s="108">
        <v>0</v>
      </c>
      <c r="K39" s="63">
        <f t="shared" si="20"/>
        <v>3</v>
      </c>
      <c r="L39" s="124">
        <f>VLOOKUP($B:$B,'[1]8店'!$B:$L,11,0)</f>
        <v>32</v>
      </c>
      <c r="M39" s="44">
        <f t="shared" si="29"/>
        <v>96</v>
      </c>
      <c r="N39" s="65">
        <f>IFERROR(VLOOKUP(B:B,'8店辅助表'!B:C,2,FALSE),0)</f>
        <v>1</v>
      </c>
      <c r="O39" s="65">
        <f>IFERROR(VLOOKUP(B:B,'8店辅助表'!E:F,2,FALSE),0)</f>
        <v>3</v>
      </c>
      <c r="P39" s="65">
        <f>IFERROR(VLOOKUP(B:B,'8店辅助表'!H:I,2,FALSE),0)</f>
        <v>3</v>
      </c>
      <c r="Q39" s="65">
        <f>IFERROR(VLOOKUP(B:B,'[1]8店'!$B:$N,13,FALSE),0)</f>
        <v>2</v>
      </c>
      <c r="R39" s="79">
        <f t="shared" si="21"/>
        <v>-1</v>
      </c>
      <c r="S39" s="80">
        <f t="shared" si="22"/>
        <v>20.3225806451613</v>
      </c>
      <c r="T39" s="44">
        <f t="shared" si="23"/>
        <v>0.67741935483871</v>
      </c>
      <c r="U39" s="44">
        <f>IFERROR(VLOOKUP(B:B,'[1]8店'!$B:$T,19,0),"-")</f>
        <v>0.617647058823529</v>
      </c>
      <c r="V39" s="81">
        <f t="shared" si="24"/>
        <v>0.059772296015181</v>
      </c>
      <c r="W39" s="82" t="str">
        <f>_xlfn.IFS(AND(D39&lt;&gt;0,D39-$AM$2&gt;=0,B39&gt;0,D39&lt;&gt;0),"本月刚到货",AND(IFERROR((K39/(N39/7))/30,"-")="-",K39&gt;0),"有库存无销量",AND(IFERROR((K39/(N39/7))/30,"-")="-",K39=0),"无库存无销量",AND(IFERROR((K39/(N39/7))/30,"-")&lt;=0.5,K39=0),"无库存有销量",IFERROR((K39/(N39/7))/30,"-")&lt;=0.5,"库存过低",IFERROR((K39/(N39/7))/30,"-")&lt;=1.5,"正常",IFERROR((K39/(N39/7))/30,"-")&gt;1.5,"库存过高")</f>
        <v>正常</v>
      </c>
      <c r="X39" s="83" t="str">
        <f>_xlfn.IFS(AND(D39&lt;&gt;0,D39-$AM$2&gt;=0,K39&gt;0,D39&lt;&gt;0),"本月刚到货",AND(T39="-",K39&gt;0),"有库存无销量",AND(T39="-",K39=0),"无库存无销量",AND(T39&lt;=0.5,K39=0),"无库存有销量",T39&lt;=0.5,"库存过低",T39&lt;=1.5,"正常",T39&gt;1.5,"库存过高")</f>
        <v>正常</v>
      </c>
      <c r="Y39" s="44">
        <f>IFERROR(SUMIF('8店辅助表'!K:K,B:B,'8店辅助表'!N:N),0)</f>
        <v>6.7</v>
      </c>
      <c r="Z39" s="44">
        <f>IFERROR(SUMIF('8店辅助表'!T:T,B:B,'8店辅助表'!W:W),0)</f>
        <v>14.93</v>
      </c>
      <c r="AA39" s="44">
        <f>IFERROR(SUMIF('8店辅助表'!AC:AC,B:B,'8店辅助表'!AF:AF),0)</f>
        <v>25.08</v>
      </c>
      <c r="AB39" s="91" t="str">
        <f>IFERROR(SUMIF('8店辅助表'!K:K,B:B,'8店辅助表'!N:N)/SUMIF('8店辅助表'!K:K,B:B,'8店辅助表'!O:O),"-")</f>
        <v>-</v>
      </c>
      <c r="AC39" s="91" t="str">
        <f>IFERROR(VLOOKUP(B:B,'[1]8店'!$B:$AB,27,FALSE),"-")</f>
        <v>-</v>
      </c>
      <c r="AD39" s="92" t="str">
        <f t="shared" si="25"/>
        <v>-</v>
      </c>
      <c r="AE39" s="91" t="str">
        <f>IFERROR(SUMIF('8店辅助表'!T:T,B:B,'8店辅助表'!W:W)/SUMIF('8店辅助表'!T:T,B:B,'8店辅助表'!X:X),"-")</f>
        <v>-</v>
      </c>
      <c r="AF39" s="91" t="str">
        <f>IFERROR(SUMIF('8店辅助表'!AC:AC,B:B,'8店辅助表'!AF:AF)/SUMIF('8店辅助表'!AC:AC,B:B,'8店辅助表'!AG:AG),"-")</f>
        <v>-</v>
      </c>
      <c r="AG39" s="99">
        <f>IFERROR(AK39/((SUMIF('8店辅助表'!AT:AT,B:B,'8店辅助表'!AU:AU)+M39)/2),"-")</f>
        <v>0.333333333333333</v>
      </c>
      <c r="AH39" s="99">
        <f>IFERROR(AL39/((SUMIF('8店辅助表'!AW:AW,B:B,'8店辅助表'!AX:AX)+M39)/2),"-")</f>
        <v>0.214285714285714</v>
      </c>
      <c r="AI39" s="100">
        <f>IFERROR((SUMIF('8店辅助表'!AP:AP,B:B,'8店辅助表'!AR:AR)-SUMIF('8店辅助表'!AP:AP,B:B,'8店辅助表'!AR:AR)*0.15-(L39+IFERROR(VLOOKUP(B:B,'8店辅助表'!AZ:BA,2,0),0))*O39-IF(AN:AN="US",6.85,4.9)*(Z39+4.03*O39))/SUMIF('8店辅助表'!AP:AP,B:B,'8店辅助表'!AR:AR),"-")</f>
        <v>0.2041590144405</v>
      </c>
      <c r="AJ39" s="100">
        <f t="shared" si="26"/>
        <v>0.04374836023725</v>
      </c>
      <c r="AK39" s="101">
        <f t="shared" si="27"/>
        <v>32</v>
      </c>
      <c r="AL39" s="101">
        <f t="shared" si="28"/>
        <v>96</v>
      </c>
      <c r="AM39" s="1" t="str">
        <f>VLOOKUP(B:B,'8店辅助表'!AZ:AZ,1,FALSE)</f>
        <v>Y8055-SC</v>
      </c>
      <c r="AN39" t="str">
        <f>VLOOKUP(B:B,'8店辅助表'!AZ:BB,3,FALSE)</f>
        <v>US</v>
      </c>
      <c r="AO39" s="31"/>
    </row>
    <row r="40" customHeight="1" spans="1:41">
      <c r="A40" s="58" t="str">
        <f>INDEX('[1]8店'!$A:$A,MATCH(B:B,'[1]8店'!$B:$B,0))</f>
        <v>晓美</v>
      </c>
      <c r="B40" s="108" t="s">
        <v>2859</v>
      </c>
      <c r="C40" s="123" t="s">
        <v>1995</v>
      </c>
      <c r="D40" s="59">
        <f>VLOOKUP(B:B,'[1]8店'!$B:$L,3,0)</f>
        <v>44992</v>
      </c>
      <c r="E40" s="108" t="s">
        <v>2860</v>
      </c>
      <c r="F40" s="108">
        <v>62</v>
      </c>
      <c r="G40" s="108">
        <v>0</v>
      </c>
      <c r="H40" s="108">
        <v>34</v>
      </c>
      <c r="I40" s="108">
        <v>7</v>
      </c>
      <c r="J40" s="108">
        <v>0</v>
      </c>
      <c r="K40" s="63">
        <f t="shared" si="20"/>
        <v>103</v>
      </c>
      <c r="L40" s="124">
        <f>VLOOKUP($B:$B,'[1]8店'!$B:$L,11,0)</f>
        <v>4.216</v>
      </c>
      <c r="M40" s="44">
        <f t="shared" si="29"/>
        <v>434.248</v>
      </c>
      <c r="N40" s="65">
        <f>IFERROR(VLOOKUP(B:B,'8店辅助表'!B:C,2,FALSE),0)</f>
        <v>17</v>
      </c>
      <c r="O40" s="65">
        <f>IFERROR(VLOOKUP(B:B,'8店辅助表'!E:F,2,FALSE),0)</f>
        <v>62</v>
      </c>
      <c r="P40" s="65">
        <f>IFERROR(VLOOKUP(B:B,'8店辅助表'!H:I,2,FALSE),0)</f>
        <v>115</v>
      </c>
      <c r="Q40" s="65">
        <f>IFERROR(VLOOKUP(B:B,'[1]8店'!$B:$N,13,FALSE),0)</f>
        <v>44</v>
      </c>
      <c r="R40" s="79">
        <f t="shared" si="21"/>
        <v>-27</v>
      </c>
      <c r="S40" s="80">
        <f t="shared" si="22"/>
        <v>29.7251488776913</v>
      </c>
      <c r="T40" s="44">
        <f t="shared" si="23"/>
        <v>0.990838295923042</v>
      </c>
      <c r="U40" s="44">
        <f>IFERROR(VLOOKUP(B:B,'[1]8店'!$B:$T,19,0),"-")</f>
        <v>0.297637795275591</v>
      </c>
      <c r="V40" s="81">
        <f t="shared" si="24"/>
        <v>0.693200500647451</v>
      </c>
      <c r="W40" s="82" t="str">
        <f>_xlfn.IFS(AND(D40&lt;&gt;0,D40-$AM$2&gt;=0,B40&gt;0,D40&lt;&gt;0),"本月刚到货",AND(IFERROR((K40/(N40/7))/30,"-")="-",K40&gt;0),"有库存无销量",AND(IFERROR((K40/(N40/7))/30,"-")="-",K40=0),"无库存无销量",AND(IFERROR((K40/(N40/7))/30,"-")&lt;=0.5,K40=0),"无库存有销量",IFERROR((K40/(N40/7))/30,"-")&lt;=0.5,"库存过低",IFERROR((K40/(N40/7))/30,"-")&lt;=1.5,"正常",IFERROR((K40/(N40/7))/30,"-")&gt;1.5,"库存过高")</f>
        <v>正常</v>
      </c>
      <c r="X40" s="83" t="str">
        <f>_xlfn.IFS(AND(D40&lt;&gt;0,D40-$AM$2&gt;=0,K40&gt;0,D40&lt;&gt;0),"本月刚到货",AND(T40="-",K40&gt;0),"有库存无销量",AND(T40="-",K40=0),"无库存无销量",AND(T40&lt;=0.5,K40=0),"无库存有销量",T40&lt;=0.5,"库存过低",T40&lt;=1.5,"正常",T40&gt;1.5,"库存过高")</f>
        <v>正常</v>
      </c>
      <c r="Y40" s="44">
        <f>IFERROR(SUMIF('8店辅助表'!K:K,B:B,'8店辅助表'!N:N),0)</f>
        <v>12.55</v>
      </c>
      <c r="Z40" s="44">
        <f>IFERROR(SUMIF('8店辅助表'!T:T,B:B,'8店辅助表'!W:W),0)</f>
        <v>33.92</v>
      </c>
      <c r="AA40" s="44">
        <f>IFERROR(SUMIF('8店辅助表'!AC:AC,B:B,'8店辅助表'!AF:AF),0)</f>
        <v>67.54</v>
      </c>
      <c r="AB40" s="91">
        <f>IFERROR(SUMIF('8店辅助表'!K:K,B:B,'8店辅助表'!N:N)/SUMIF('8店辅助表'!K:K,B:B,'8店辅助表'!O:O),"-")</f>
        <v>0.299808886765409</v>
      </c>
      <c r="AC40" s="91">
        <f>IFERROR(VLOOKUP(B:B,'[1]8店'!$B:$AB,27,FALSE),"-")</f>
        <v>0.217745638200184</v>
      </c>
      <c r="AD40" s="92">
        <f t="shared" si="25"/>
        <v>0.082063248565225</v>
      </c>
      <c r="AE40" s="91">
        <f>IFERROR(SUMIF('8店辅助表'!T:T,B:B,'8店辅助表'!W:W)/SUMIF('8店辅助表'!T:T,B:B,'8店辅助表'!X:X),"-")</f>
        <v>0.209706336939722</v>
      </c>
      <c r="AF40" s="91">
        <f>IFERROR(SUMIF('8店辅助表'!AC:AC,B:B,'8店辅助表'!AF:AF)/SUMIF('8店辅助表'!AC:AC,B:B,'8店辅助表'!AG:AG),"-")</f>
        <v>0.249547385922779</v>
      </c>
      <c r="AG40" s="99">
        <f>IFERROR(AK40/((SUMIF('8店辅助表'!AT:AT,B:B,'8店辅助表'!AU:AU)+M40)/2),"-")</f>
        <v>0.22972972972973</v>
      </c>
      <c r="AH40" s="99">
        <f>IFERROR(AL40/((SUMIF('8店辅助表'!AW:AW,B:B,'8店辅助表'!AX:AX)+M40)/2),"-")</f>
        <v>0.539130434782609</v>
      </c>
      <c r="AI40" s="100">
        <f>IFERROR((SUMIF('8店辅助表'!AP:AP,B:B,'8店辅助表'!AR:AR)-SUMIF('8店辅助表'!AP:AP,B:B,'8店辅助表'!AR:AR)*0.15-(L40+IFERROR(VLOOKUP(B:B,'8店辅助表'!AZ:BA,2,0),0))*O40-IF(AN:AN="US",6.85,4.9)*(Z40+4.03*O40))/SUMIF('8店辅助表'!AP:AP,B:B,'8店辅助表'!AR:AR),"-")</f>
        <v>0.346517278221296</v>
      </c>
      <c r="AJ40" s="100">
        <f t="shared" si="26"/>
        <v>0.186818010867134</v>
      </c>
      <c r="AK40" s="101">
        <f t="shared" si="27"/>
        <v>71.672</v>
      </c>
      <c r="AL40" s="101">
        <f t="shared" si="28"/>
        <v>261.392</v>
      </c>
      <c r="AM40" s="1" t="str">
        <f>VLOOKUP(B:B,'8店辅助表'!AZ:AZ,1,FALSE)</f>
        <v>Y8068-1</v>
      </c>
      <c r="AN40" t="str">
        <f>VLOOKUP(B:B,'8店辅助表'!AZ:BB,3,FALSE)</f>
        <v>US</v>
      </c>
      <c r="AO40" s="31"/>
    </row>
    <row r="41" customHeight="1" spans="1:40">
      <c r="A41" s="58" t="str">
        <f>INDEX('[1]8店'!$A:$A,MATCH(B:B,'[1]8店'!$B:$B,0))</f>
        <v>晓美</v>
      </c>
      <c r="B41" s="108" t="s">
        <v>2861</v>
      </c>
      <c r="C41" s="123" t="s">
        <v>1752</v>
      </c>
      <c r="D41" s="59">
        <f>VLOOKUP(B:B,'[1]8店'!$B:$L,3,0)</f>
        <v>44992</v>
      </c>
      <c r="E41" s="108" t="s">
        <v>2862</v>
      </c>
      <c r="F41" s="108">
        <v>12</v>
      </c>
      <c r="G41" s="108">
        <v>0</v>
      </c>
      <c r="H41" s="108">
        <v>2</v>
      </c>
      <c r="I41" s="108">
        <v>0</v>
      </c>
      <c r="J41" s="108">
        <v>0</v>
      </c>
      <c r="K41" s="63">
        <f t="shared" si="20"/>
        <v>14</v>
      </c>
      <c r="L41" s="124">
        <f>VLOOKUP($B:$B,'[1]8店'!$B:$L,11,0)</f>
        <v>17.571</v>
      </c>
      <c r="M41" s="44">
        <f t="shared" si="29"/>
        <v>245.994</v>
      </c>
      <c r="N41" s="65">
        <f>IFERROR(VLOOKUP(B:B,'8店辅助表'!B:C,2,FALSE),0)</f>
        <v>5</v>
      </c>
      <c r="O41" s="65">
        <f>IFERROR(VLOOKUP(B:B,'8店辅助表'!E:F,2,FALSE),0)</f>
        <v>10</v>
      </c>
      <c r="P41" s="65">
        <f>IFERROR(VLOOKUP(B:B,'8店辅助表'!H:I,2,FALSE),0)</f>
        <v>15</v>
      </c>
      <c r="Q41" s="65">
        <f>IFERROR(VLOOKUP(B:B,'[1]8店'!$B:$N,13,FALSE),0)</f>
        <v>3</v>
      </c>
      <c r="R41" s="79">
        <f t="shared" si="21"/>
        <v>2</v>
      </c>
      <c r="S41" s="80">
        <f t="shared" si="22"/>
        <v>22.3291139240506</v>
      </c>
      <c r="T41" s="44">
        <f t="shared" si="23"/>
        <v>0.744303797468355</v>
      </c>
      <c r="U41" s="44">
        <f>IFERROR(VLOOKUP(B:B,'[1]8店'!$B:$T,19,0),"-")</f>
        <v>1.38970588235294</v>
      </c>
      <c r="V41" s="81">
        <f t="shared" si="24"/>
        <v>-0.645402084884585</v>
      </c>
      <c r="W41" s="82" t="str">
        <f>_xlfn.IFS(AND(D41&lt;&gt;0,D41-$AM$2&gt;=0,B41&gt;0,D41&lt;&gt;0),"本月刚到货",AND(IFERROR((K41/(N41/7))/30,"-")="-",K41&gt;0),"有库存无销量",AND(IFERROR((K41/(N41/7))/30,"-")="-",K41=0),"无库存无销量",AND(IFERROR((K41/(N41/7))/30,"-")&lt;=0.5,K41=0),"无库存有销量",IFERROR((K41/(N41/7))/30,"-")&lt;=0.5,"库存过低",IFERROR((K41/(N41/7))/30,"-")&lt;=1.5,"正常",IFERROR((K41/(N41/7))/30,"-")&gt;1.5,"库存过高")</f>
        <v>正常</v>
      </c>
      <c r="X41" s="83" t="str">
        <f>_xlfn.IFS(AND(D41&lt;&gt;0,D41-$AM$2&gt;=0,K41&gt;0,D41&lt;&gt;0),"本月刚到货",AND(T41="-",K41&gt;0),"有库存无销量",AND(T41="-",K41=0),"无库存无销量",AND(T41&lt;=0.5,K41=0),"无库存有销量",T41&lt;=0.5,"库存过低",T41&lt;=1.5,"正常",T41&gt;1.5,"库存过高")</f>
        <v>正常</v>
      </c>
      <c r="Y41" s="44">
        <f>IFERROR(SUMIF('8店辅助表'!K:K,B:B,'8店辅助表'!N:N),0)</f>
        <v>0</v>
      </c>
      <c r="Z41" s="44">
        <f>IFERROR(SUMIF('8店辅助表'!T:T,B:B,'8店辅助表'!W:W),0)</f>
        <v>0</v>
      </c>
      <c r="AA41" s="44">
        <f>IFERROR(SUMIF('8店辅助表'!AC:AC,B:B,'8店辅助表'!AF:AF),0)</f>
        <v>0</v>
      </c>
      <c r="AB41" s="91" t="str">
        <f>IFERROR(SUMIF('8店辅助表'!K:K,B:B,'8店辅助表'!N:N)/SUMIF('8店辅助表'!K:K,B:B,'8店辅助表'!O:O),"-")</f>
        <v>-</v>
      </c>
      <c r="AC41" s="91" t="str">
        <f>IFERROR(VLOOKUP(B:B,'[1]8店'!$B:$AB,27,FALSE),"-")</f>
        <v>-</v>
      </c>
      <c r="AD41" s="92" t="str">
        <f t="shared" si="25"/>
        <v>-</v>
      </c>
      <c r="AE41" s="91" t="str">
        <f>IFERROR(SUMIF('8店辅助表'!T:T,B:B,'8店辅助表'!W:W)/SUMIF('8店辅助表'!T:T,B:B,'8店辅助表'!X:X),"-")</f>
        <v>-</v>
      </c>
      <c r="AF41" s="91" t="str">
        <f>IFERROR(SUMIF('8店辅助表'!AC:AC,B:B,'8店辅助表'!AF:AF)/SUMIF('8店辅助表'!AC:AC,B:B,'8店辅助表'!AG:AG),"-")</f>
        <v>-</v>
      </c>
      <c r="AG41" s="99">
        <f>IFERROR(AK41/((SUMIF('8店辅助表'!AT:AT,B:B,'8店辅助表'!AU:AU)+M41)/2),"-")</f>
        <v>0.3125</v>
      </c>
      <c r="AH41" s="99">
        <f>IFERROR(AL41/((SUMIF('8店辅助表'!AW:AW,B:B,'8店辅助表'!AX:AX)+M41)/2),"-")</f>
        <v>0.476190476190476</v>
      </c>
      <c r="AI41" s="100">
        <f>IFERROR((SUMIF('8店辅助表'!AP:AP,B:B,'8店辅助表'!AR:AR)-SUMIF('8店辅助表'!AP:AP,B:B,'8店辅助表'!AR:AR)*0.15-(L41+IFERROR(VLOOKUP(B:B,'8店辅助表'!AZ:BA,2,0),0))*O41-IF(AN:AN="US",6.85,4.9)*(Z41+4.03*O41))/SUMIF('8店辅助表'!AP:AP,B:B,'8店辅助表'!AR:AR),"-")</f>
        <v>0.29399530021977</v>
      </c>
      <c r="AJ41" s="100">
        <f t="shared" si="26"/>
        <v>0.139997762009414</v>
      </c>
      <c r="AK41" s="101">
        <f t="shared" si="27"/>
        <v>87.855</v>
      </c>
      <c r="AL41" s="101">
        <f t="shared" si="28"/>
        <v>175.71</v>
      </c>
      <c r="AM41" s="1" t="str">
        <f>VLOOKUP(B:B,'8店辅助表'!AZ:AZ,1,FALSE)</f>
        <v>Y8069-1</v>
      </c>
      <c r="AN41" t="str">
        <f>VLOOKUP(B:B,'8店辅助表'!AZ:BB,3,FALSE)</f>
        <v>US</v>
      </c>
    </row>
    <row r="42" customHeight="1" spans="1:40">
      <c r="A42" s="58" t="str">
        <f>INDEX('[1]8店'!$A:$A,MATCH(B:B,'[1]8店'!$B:$B,0))</f>
        <v>晓美</v>
      </c>
      <c r="B42" s="108" t="s">
        <v>2863</v>
      </c>
      <c r="C42" s="108" t="s">
        <v>2864</v>
      </c>
      <c r="D42" s="59">
        <f>VLOOKUP(B:B,'[1]8店'!$B:$L,3,0)</f>
        <v>44999</v>
      </c>
      <c r="E42" s="108" t="s">
        <v>2865</v>
      </c>
      <c r="F42" s="108">
        <v>2</v>
      </c>
      <c r="G42" s="108">
        <v>1</v>
      </c>
      <c r="H42" s="108">
        <v>20</v>
      </c>
      <c r="I42" s="108">
        <v>0</v>
      </c>
      <c r="J42" s="108">
        <v>0</v>
      </c>
      <c r="K42" s="63">
        <f t="shared" si="20"/>
        <v>23</v>
      </c>
      <c r="L42" s="124">
        <f>VLOOKUP($B:$B,'[1]8店'!$B:$L,11,0)</f>
        <v>37.6</v>
      </c>
      <c r="M42" s="44">
        <f t="shared" si="29"/>
        <v>864.8</v>
      </c>
      <c r="N42" s="65">
        <f>IFERROR(VLOOKUP(B:B,'8店辅助表'!B:C,2,FALSE),0)</f>
        <v>2</v>
      </c>
      <c r="O42" s="65">
        <f>IFERROR(VLOOKUP(B:B,'8店辅助表'!E:F,2,FALSE),0)</f>
        <v>5</v>
      </c>
      <c r="P42" s="65">
        <f>IFERROR(VLOOKUP(B:B,'8店辅助表'!H:I,2,FALSE),0)</f>
        <v>12</v>
      </c>
      <c r="Q42" s="65">
        <f>IFERROR(VLOOKUP(B:B,'[1]8店'!$B:$N,13,FALSE),0)</f>
        <v>2</v>
      </c>
      <c r="R42" s="79">
        <f t="shared" si="21"/>
        <v>0</v>
      </c>
      <c r="S42" s="80">
        <f t="shared" si="22"/>
        <v>67.7102803738318</v>
      </c>
      <c r="T42" s="44">
        <f t="shared" si="23"/>
        <v>2.25700934579439</v>
      </c>
      <c r="U42" s="44">
        <f>IFERROR(VLOOKUP(B:B,'[1]8店'!$B:$T,19,0),"-")</f>
        <v>0.475113122171946</v>
      </c>
      <c r="V42" s="81">
        <f t="shared" si="24"/>
        <v>1.78189622362244</v>
      </c>
      <c r="W42" s="82" t="str">
        <f>_xlfn.IFS(AND(D42&lt;&gt;0,D42-$AM$2&gt;=0,B42&gt;0,D42&lt;&gt;0),"本月刚到货",AND(IFERROR((K42/(N42/7))/30,"-")="-",K42&gt;0),"有库存无销量",AND(IFERROR((K42/(N42/7))/30,"-")="-",K42=0),"无库存无销量",AND(IFERROR((K42/(N42/7))/30,"-")&lt;=0.5,K42=0),"无库存有销量",IFERROR((K42/(N42/7))/30,"-")&lt;=0.5,"库存过低",IFERROR((K42/(N42/7))/30,"-")&lt;=1.5,"正常",IFERROR((K42/(N42/7))/30,"-")&gt;1.5,"库存过高")</f>
        <v>库存过高</v>
      </c>
      <c r="X42" s="83" t="str">
        <f>_xlfn.IFS(AND(D42&lt;&gt;0,D42-$AM$2&gt;=0,K42&gt;0,D42&lt;&gt;0),"本月刚到货",AND(T42="-",K42&gt;0),"有库存无销量",AND(T42="-",K42=0),"无库存无销量",AND(T42&lt;=0.5,K42=0),"无库存有销量",T42&lt;=0.5,"库存过低",T42&lt;=1.5,"正常",T42&gt;1.5,"库存过高")</f>
        <v>库存过高</v>
      </c>
      <c r="Y42" s="44">
        <f>IFERROR(SUMIF('8店辅助表'!K:K,B:B,'8店辅助表'!N:N),0)</f>
        <v>0</v>
      </c>
      <c r="Z42" s="44">
        <f>IFERROR(SUMIF('8店辅助表'!T:T,B:B,'8店辅助表'!W:W),0)</f>
        <v>0</v>
      </c>
      <c r="AA42" s="44">
        <f>IFERROR(SUMIF('8店辅助表'!AC:AC,B:B,'8店辅助表'!AF:AF),0)</f>
        <v>0</v>
      </c>
      <c r="AB42" s="91" t="str">
        <f>IFERROR(SUMIF('8店辅助表'!K:K,B:B,'8店辅助表'!N:N)/SUMIF('8店辅助表'!K:K,B:B,'8店辅助表'!O:O),"-")</f>
        <v>-</v>
      </c>
      <c r="AC42" s="91" t="str">
        <f>IFERROR(VLOOKUP(B:B,'[1]8店'!$B:$AB,27,FALSE),"-")</f>
        <v>-</v>
      </c>
      <c r="AD42" s="92" t="str">
        <f t="shared" si="25"/>
        <v>-</v>
      </c>
      <c r="AE42" s="91" t="str">
        <f>IFERROR(SUMIF('8店辅助表'!T:T,B:B,'8店辅助表'!W:W)/SUMIF('8店辅助表'!T:T,B:B,'8店辅助表'!X:X),"-")</f>
        <v>-</v>
      </c>
      <c r="AF42" s="91" t="str">
        <f>IFERROR(SUMIF('8店辅助表'!AC:AC,B:B,'8店辅助表'!AF:AF)/SUMIF('8店辅助表'!AC:AC,B:B,'8店辅助表'!AG:AG),"-")</f>
        <v>-</v>
      </c>
      <c r="AG42" s="99">
        <f>IFERROR(AK42/((SUMIF('8店辅助表'!AT:AT,B:B,'8店辅助表'!AU:AU)+M42)/2),"-")</f>
        <v>0.142857142857143</v>
      </c>
      <c r="AH42" s="99">
        <f>IFERROR(AL42/((SUMIF('8店辅助表'!AW:AW,B:B,'8店辅助表'!AX:AX)+M42)/2),"-")</f>
        <v>0.27027027027027</v>
      </c>
      <c r="AI42" s="100">
        <f>IFERROR((SUMIF('8店辅助表'!AP:AP,B:B,'8店辅助表'!AR:AR)-SUMIF('8店辅助表'!AP:AP,B:B,'8店辅助表'!AR:AR)*0.15-(L42+IFERROR(VLOOKUP(B:B,'8店辅助表'!AZ:BA,2,0),0))*O42-IF(AN:AN="US",6.85,4.9)*(Z42+4.03*O42))/SUMIF('8店辅助表'!AP:AP,B:B,'8店辅助表'!AR:AR),"-")</f>
        <v>0.30751342824697</v>
      </c>
      <c r="AJ42" s="100">
        <f t="shared" si="26"/>
        <v>0.083111737364046</v>
      </c>
      <c r="AK42" s="101">
        <f t="shared" si="27"/>
        <v>75.2</v>
      </c>
      <c r="AL42" s="101">
        <f t="shared" si="28"/>
        <v>188</v>
      </c>
      <c r="AM42" s="1" t="str">
        <f>VLOOKUP(B:B,'8店辅助表'!AZ:AZ,1,FALSE)</f>
        <v>Y8067</v>
      </c>
      <c r="AN42" t="str">
        <f>VLOOKUP(B:B,'8店辅助表'!AZ:BB,3,FALSE)</f>
        <v>US</v>
      </c>
    </row>
    <row r="43" customHeight="1" spans="1:40">
      <c r="A43" s="58" t="str">
        <f>INDEX('[1]8店'!$A:$A,MATCH(B:B,'[1]8店'!$B:$B,0))</f>
        <v>晓美</v>
      </c>
      <c r="B43" s="108" t="s">
        <v>2866</v>
      </c>
      <c r="C43" s="108" t="s">
        <v>2867</v>
      </c>
      <c r="D43" s="59">
        <f>VLOOKUP(B:B,'[1]8店'!$B:$L,3,0)</f>
        <v>45007</v>
      </c>
      <c r="E43" s="108" t="s">
        <v>2868</v>
      </c>
      <c r="F43" s="108">
        <v>13</v>
      </c>
      <c r="G43" s="108">
        <v>0</v>
      </c>
      <c r="H43" s="108">
        <v>0</v>
      </c>
      <c r="I43" s="108">
        <v>0</v>
      </c>
      <c r="J43" s="108">
        <v>0</v>
      </c>
      <c r="K43" s="63">
        <f t="shared" si="20"/>
        <v>13</v>
      </c>
      <c r="L43" s="124">
        <f>VLOOKUP($B:$B,'[1]8店'!$B:$L,11,0)</f>
        <v>10</v>
      </c>
      <c r="M43" s="44">
        <f t="shared" si="29"/>
        <v>130</v>
      </c>
      <c r="N43" s="65">
        <f>IFERROR(VLOOKUP(B:B,'8店辅助表'!B:C,2,FALSE),0)</f>
        <v>0</v>
      </c>
      <c r="O43" s="65">
        <f>IFERROR(VLOOKUP(B:B,'8店辅助表'!E:F,2,FALSE),0)</f>
        <v>0</v>
      </c>
      <c r="P43" s="65">
        <f>IFERROR(VLOOKUP(B:B,'8店辅助表'!H:I,2,FALSE),0)</f>
        <v>0</v>
      </c>
      <c r="Q43" s="65">
        <f>IFERROR(VLOOKUP(B:B,'[1]8店'!$B:$N,13,FALSE),0)</f>
        <v>0</v>
      </c>
      <c r="R43" s="79">
        <f t="shared" si="21"/>
        <v>0</v>
      </c>
      <c r="S43" s="80" t="str">
        <f t="shared" si="22"/>
        <v>-</v>
      </c>
      <c r="T43" s="44" t="str">
        <f t="shared" si="23"/>
        <v>-</v>
      </c>
      <c r="U43" s="44" t="str">
        <f>IFERROR(VLOOKUP(B:B,'[1]8店'!$B:$T,19,0),"-")</f>
        <v>-</v>
      </c>
      <c r="V43" s="81" t="str">
        <f t="shared" si="24"/>
        <v>-</v>
      </c>
      <c r="W43" s="82" t="str">
        <f>_xlfn.IFS(AND(D43&lt;&gt;0,D43-$AM$2&gt;=0,B43&gt;0,D43&lt;&gt;0),"本月刚到货",AND(IFERROR((K43/(N43/7))/30,"-")="-",K43&gt;0),"有库存无销量",AND(IFERROR((K43/(N43/7))/30,"-")="-",K43=0),"无库存无销量",AND(IFERROR((K43/(N43/7))/30,"-")&lt;=0.5,K43=0),"无库存有销量",IFERROR((K43/(N43/7))/30,"-")&lt;=0.5,"库存过低",IFERROR((K43/(N43/7))/30,"-")&lt;=1.5,"正常",IFERROR((K43/(N43/7))/30,"-")&gt;1.5,"库存过高")</f>
        <v>有库存无销量</v>
      </c>
      <c r="X43" s="83" t="str">
        <f>_xlfn.IFS(AND(D43&lt;&gt;0,D43-$AM$2&gt;=0,K43&gt;0,D43&lt;&gt;0),"本月刚到货",AND(T43="-",K43&gt;0),"有库存无销量",AND(T43="-",K43=0),"无库存无销量",AND(T43&lt;=0.5,K43=0),"无库存有销量",T43&lt;=0.5,"库存过低",T43&lt;=1.5,"正常",T43&gt;1.5,"库存过高")</f>
        <v>有库存无销量</v>
      </c>
      <c r="Y43" s="44">
        <f>IFERROR(SUMIF('8店辅助表'!K:K,B:B,'8店辅助表'!N:N),0)</f>
        <v>0</v>
      </c>
      <c r="Z43" s="44">
        <f>IFERROR(SUMIF('8店辅助表'!T:T,B:B,'8店辅助表'!W:W),0)</f>
        <v>0</v>
      </c>
      <c r="AA43" s="44">
        <f>IFERROR(SUMIF('8店辅助表'!AC:AC,B:B,'8店辅助表'!AF:AF),0)</f>
        <v>0</v>
      </c>
      <c r="AB43" s="91" t="str">
        <f>IFERROR(SUMIF('8店辅助表'!K:K,B:B,'8店辅助表'!N:N)/SUMIF('8店辅助表'!K:K,B:B,'8店辅助表'!O:O),"-")</f>
        <v>-</v>
      </c>
      <c r="AC43" s="91" t="str">
        <f>IFERROR(VLOOKUP(B:B,'[1]8店'!$B:$AB,27,FALSE),"-")</f>
        <v>-</v>
      </c>
      <c r="AD43" s="92" t="str">
        <f t="shared" si="25"/>
        <v>-</v>
      </c>
      <c r="AE43" s="91" t="str">
        <f>IFERROR(SUMIF('8店辅助表'!T:T,B:B,'8店辅助表'!W:W)/SUMIF('8店辅助表'!T:T,B:B,'8店辅助表'!X:X),"-")</f>
        <v>-</v>
      </c>
      <c r="AF43" s="91" t="str">
        <f>IFERROR(SUMIF('8店辅助表'!AC:AC,B:B,'8店辅助表'!AF:AF)/SUMIF('8店辅助表'!AC:AC,B:B,'8店辅助表'!AG:AG),"-")</f>
        <v>-</v>
      </c>
      <c r="AG43" s="99">
        <f>IFERROR(AK43/((SUMIF('8店辅助表'!AT:AT,B:B,'8店辅助表'!AU:AU)+M43)/2),"-")</f>
        <v>0</v>
      </c>
      <c r="AH43" s="99">
        <f>IFERROR(AL43/((SUMIF('8店辅助表'!AW:AW,B:B,'8店辅助表'!AX:AX)+M43)/2),"-")</f>
        <v>0</v>
      </c>
      <c r="AI43" s="100" t="str">
        <f>IFERROR((SUMIF('8店辅助表'!AP:AP,B:B,'8店辅助表'!AR:AR)-SUMIF('8店辅助表'!AP:AP,B:B,'8店辅助表'!AR:AR)*0.15-(L43+IFERROR(VLOOKUP(B:B,'8店辅助表'!AZ:BA,2,0),0))*O43-IF(AN:AN="US",6.85,4.9)*(Z43+4.03*O43))/SUMIF('8店辅助表'!AP:AP,B:B,'8店辅助表'!AR:AR),"-")</f>
        <v>-</v>
      </c>
      <c r="AJ43" s="100" t="str">
        <f t="shared" si="26"/>
        <v>-</v>
      </c>
      <c r="AK43" s="101">
        <f t="shared" si="27"/>
        <v>0</v>
      </c>
      <c r="AL43" s="101">
        <f t="shared" si="28"/>
        <v>0</v>
      </c>
      <c r="AM43" s="1" t="str">
        <f>VLOOKUP(B:B,'8店辅助表'!AZ:AZ,1,FALSE)</f>
        <v>Y8072</v>
      </c>
      <c r="AN43" t="str">
        <f>VLOOKUP(B:B,'8店辅助表'!AZ:BB,3,FALSE)</f>
        <v>US</v>
      </c>
    </row>
    <row r="44" customHeight="1" spans="1:40">
      <c r="A44" s="58" t="str">
        <f>INDEX('[1]8店'!$A:$A,MATCH(B:B,'[1]8店'!$B:$B,0))</f>
        <v>晓美</v>
      </c>
      <c r="B44" s="108" t="s">
        <v>2869</v>
      </c>
      <c r="C44" s="108" t="s">
        <v>2870</v>
      </c>
      <c r="D44" s="59">
        <f>VLOOKUP(B:B,'[1]8店'!$B:$L,3,0)</f>
        <v>45020</v>
      </c>
      <c r="E44" s="108" t="s">
        <v>2871</v>
      </c>
      <c r="F44" s="108">
        <v>0</v>
      </c>
      <c r="G44" s="108">
        <v>0</v>
      </c>
      <c r="H44" s="108">
        <v>19</v>
      </c>
      <c r="I44" s="108">
        <v>0</v>
      </c>
      <c r="J44" s="108">
        <v>0</v>
      </c>
      <c r="K44" s="63">
        <f t="shared" si="20"/>
        <v>19</v>
      </c>
      <c r="L44" s="124">
        <f>VLOOKUP($B:$B,'[1]8店'!$B:$L,11,0)</f>
        <v>16.6</v>
      </c>
      <c r="M44" s="44">
        <f t="shared" si="29"/>
        <v>315.4</v>
      </c>
      <c r="N44" s="65">
        <f>IFERROR(VLOOKUP(B:B,'8店辅助表'!B:C,2,FALSE),0)</f>
        <v>12</v>
      </c>
      <c r="O44" s="65">
        <f>IFERROR(VLOOKUP(B:B,'8店辅助表'!E:F,2,FALSE),0)</f>
        <v>17</v>
      </c>
      <c r="P44" s="65">
        <f>IFERROR(VLOOKUP(B:B,'8店辅助表'!H:I,2,FALSE),0)</f>
        <v>32</v>
      </c>
      <c r="Q44" s="65">
        <f>IFERROR(VLOOKUP(B:B,'[1]8店'!$B:$N,13,FALSE),0)</f>
        <v>5</v>
      </c>
      <c r="R44" s="79">
        <f t="shared" si="21"/>
        <v>7</v>
      </c>
      <c r="S44" s="80">
        <f t="shared" si="22"/>
        <v>14.5620437956204</v>
      </c>
      <c r="T44" s="44">
        <f t="shared" si="23"/>
        <v>0.485401459854015</v>
      </c>
      <c r="U44" s="44">
        <f>IFERROR(VLOOKUP(B:B,'[1]8店'!$B:$T,19,0),"-")</f>
        <v>0.518518518518518</v>
      </c>
      <c r="V44" s="81">
        <f t="shared" si="24"/>
        <v>-0.033117058664503</v>
      </c>
      <c r="W44" s="82" t="str">
        <f>_xlfn.IFS(AND(D44&lt;&gt;0,D44-$AM$2&gt;=0,B44&gt;0,D44&lt;&gt;0),"本月刚到货",AND(IFERROR((K44/(N44/7))/30,"-")="-",K44&gt;0),"有库存无销量",AND(IFERROR((K44/(N44/7))/30,"-")="-",K44=0),"无库存无销量",AND(IFERROR((K44/(N44/7))/30,"-")&lt;=0.5,K44=0),"无库存有销量",IFERROR((K44/(N44/7))/30,"-")&lt;=0.5,"库存过低",IFERROR((K44/(N44/7))/30,"-")&lt;=1.5,"正常",IFERROR((K44/(N44/7))/30,"-")&gt;1.5,"库存过高")</f>
        <v>库存过低</v>
      </c>
      <c r="X44" s="83" t="str">
        <f>_xlfn.IFS(AND(D44&lt;&gt;0,D44-$AM$2&gt;=0,K44&gt;0,D44&lt;&gt;0),"本月刚到货",AND(T44="-",K44&gt;0),"有库存无销量",AND(T44="-",K44=0),"无库存无销量",AND(T44&lt;=0.5,K44=0),"无库存有销量",T44&lt;=0.5,"库存过低",T44&lt;=1.5,"正常",T44&gt;1.5,"库存过高")</f>
        <v>库存过低</v>
      </c>
      <c r="Y44" s="44">
        <f>IFERROR(SUMIF('8店辅助表'!K:K,B:B,'8店辅助表'!N:N),0)</f>
        <v>6.99</v>
      </c>
      <c r="Z44" s="44">
        <f>IFERROR(SUMIF('8店辅助表'!T:T,B:B,'8店辅助表'!W:W),0)</f>
        <v>8.87</v>
      </c>
      <c r="AA44" s="44">
        <f>IFERROR(SUMIF('8店辅助表'!AC:AC,B:B,'8店辅助表'!AF:AF),0)</f>
        <v>13.04</v>
      </c>
      <c r="AB44" s="91" t="str">
        <f>IFERROR(SUMIF('8店辅助表'!K:K,B:B,'8店辅助表'!N:N)/SUMIF('8店辅助表'!K:K,B:B,'8店辅助表'!O:O),"-")</f>
        <v>-</v>
      </c>
      <c r="AC44" s="91">
        <f>IFERROR(VLOOKUP(B:B,'[1]8店'!$B:$AB,27,FALSE),"-")</f>
        <v>0.134381701215154</v>
      </c>
      <c r="AD44" s="92" t="str">
        <f t="shared" si="25"/>
        <v>-</v>
      </c>
      <c r="AE44" s="91">
        <f>IFERROR(SUMIF('8店辅助表'!T:T,B:B,'8店辅助表'!W:W)/SUMIF('8店辅助表'!T:T,B:B,'8店辅助表'!X:X),"-")</f>
        <v>0.634024303073624</v>
      </c>
      <c r="AF44" s="91">
        <f>IFERROR(SUMIF('8店辅助表'!AC:AC,B:B,'8店辅助表'!AF:AF)/SUMIF('8店辅助表'!AC:AC,B:B,'8店辅助表'!AG:AG),"-")</f>
        <v>0.176335361730899</v>
      </c>
      <c r="AG44" s="99">
        <f>IFERROR(AK44/((SUMIF('8店辅助表'!AT:AT,B:B,'8店辅助表'!AU:AU)+M44)/2),"-")</f>
        <v>0.774193548387097</v>
      </c>
      <c r="AH44" s="99">
        <f>IFERROR(AL44/((SUMIF('8店辅助表'!AW:AW,B:B,'8店辅助表'!AX:AX)+M44)/2),"-")</f>
        <v>0.708333333333333</v>
      </c>
      <c r="AI44" s="100">
        <f>IFERROR((SUMIF('8店辅助表'!AP:AP,B:B,'8店辅助表'!AR:AR)-SUMIF('8店辅助表'!AP:AP,B:B,'8店辅助表'!AR:AR)*0.15-(L44+IFERROR(VLOOKUP(B:B,'8店辅助表'!AZ:BA,2,0),0))*O44-IF(AN:AN="US",6.85,4.9)*(Z44+4.03*O44))/SUMIF('8店辅助表'!AP:AP,B:B,'8店辅助表'!AR:AR),"-")</f>
        <v>0.271655841395636</v>
      </c>
      <c r="AJ44" s="100">
        <f t="shared" si="26"/>
        <v>0.192422887655242</v>
      </c>
      <c r="AK44" s="101">
        <f t="shared" si="27"/>
        <v>199.2</v>
      </c>
      <c r="AL44" s="101">
        <f t="shared" si="28"/>
        <v>282.2</v>
      </c>
      <c r="AM44" s="1" t="str">
        <f>VLOOKUP(B:B,'8店辅助表'!AZ:AZ,1,FALSE)</f>
        <v>Y8074*2</v>
      </c>
      <c r="AN44" t="str">
        <f>VLOOKUP(B:B,'8店辅助表'!AZ:BB,3,FALSE)</f>
        <v>US</v>
      </c>
    </row>
    <row r="45" customHeight="1" spans="1:40">
      <c r="A45" s="58" t="str">
        <f>INDEX('[1]8店'!$A:$A,MATCH(B:B,'[1]8店'!$B:$B,0))</f>
        <v>晓美</v>
      </c>
      <c r="B45" s="109" t="s">
        <v>2872</v>
      </c>
      <c r="C45" s="108" t="s">
        <v>2873</v>
      </c>
      <c r="D45" s="59">
        <f>VLOOKUP(B:B,'[1]8店'!$B:$L,3,0)</f>
        <v>45021</v>
      </c>
      <c r="E45" s="108" t="s">
        <v>2874</v>
      </c>
      <c r="F45" s="108">
        <v>0</v>
      </c>
      <c r="G45" s="108">
        <v>1</v>
      </c>
      <c r="H45" s="108">
        <v>0</v>
      </c>
      <c r="I45" s="108">
        <v>0</v>
      </c>
      <c r="J45" s="108">
        <v>0</v>
      </c>
      <c r="K45" s="63">
        <f t="shared" si="20"/>
        <v>1</v>
      </c>
      <c r="L45" s="124">
        <f>VLOOKUP($B:$B,'[1]8店'!$B:$L,11,0)</f>
        <v>12.063</v>
      </c>
      <c r="M45" s="44">
        <f t="shared" si="29"/>
        <v>12.063</v>
      </c>
      <c r="N45" s="65">
        <f>IFERROR(VLOOKUP(B:B,'8店辅助表'!B:C,2,FALSE),0)</f>
        <v>0</v>
      </c>
      <c r="O45" s="65">
        <f>IFERROR(VLOOKUP(B:B,'8店辅助表'!E:F,2,FALSE),0)</f>
        <v>0</v>
      </c>
      <c r="P45" s="65">
        <f>IFERROR(VLOOKUP(B:B,'8店辅助表'!H:I,2,FALSE),0)</f>
        <v>0</v>
      </c>
      <c r="Q45" s="65">
        <f>IFERROR(VLOOKUP(B:B,'[1]8店'!$B:$N,13,FALSE),0)</f>
        <v>0</v>
      </c>
      <c r="R45" s="79">
        <f t="shared" si="21"/>
        <v>0</v>
      </c>
      <c r="S45" s="80" t="str">
        <f t="shared" si="22"/>
        <v>-</v>
      </c>
      <c r="T45" s="44" t="str">
        <f t="shared" si="23"/>
        <v>-</v>
      </c>
      <c r="U45" s="44" t="str">
        <f>IFERROR(VLOOKUP(B:B,'[1]8店'!$B:$T,19,0),"-")</f>
        <v>-</v>
      </c>
      <c r="V45" s="81" t="str">
        <f t="shared" si="24"/>
        <v>-</v>
      </c>
      <c r="W45" s="82" t="str">
        <f>_xlfn.IFS(AND(D45&lt;&gt;0,D45-$AM$2&gt;=0,B45&gt;0,D45&lt;&gt;0),"本月刚到货",AND(IFERROR((K45/(N45/7))/30,"-")="-",K45&gt;0),"有库存无销量",AND(IFERROR((K45/(N45/7))/30,"-")="-",K45=0),"无库存无销量",AND(IFERROR((K45/(N45/7))/30,"-")&lt;=0.5,K45=0),"无库存有销量",IFERROR((K45/(N45/7))/30,"-")&lt;=0.5,"库存过低",IFERROR((K45/(N45/7))/30,"-")&lt;=1.5,"正常",IFERROR((K45/(N45/7))/30,"-")&gt;1.5,"库存过高")</f>
        <v>有库存无销量</v>
      </c>
      <c r="X45" s="83" t="str">
        <f>_xlfn.IFS(AND(D45&lt;&gt;0,D45-$AM$2&gt;=0,K45&gt;0,D45&lt;&gt;0),"本月刚到货",AND(T45="-",K45&gt;0),"有库存无销量",AND(T45="-",K45=0),"无库存无销量",AND(T45&lt;=0.5,K45=0),"无库存有销量",T45&lt;=0.5,"库存过低",T45&lt;=1.5,"正常",T45&gt;1.5,"库存过高")</f>
        <v>有库存无销量</v>
      </c>
      <c r="Y45" s="44">
        <f>IFERROR(SUMIF('8店辅助表'!K:K,B:B,'8店辅助表'!N:N),0)</f>
        <v>0</v>
      </c>
      <c r="Z45" s="44">
        <f>IFERROR(SUMIF('8店辅助表'!T:T,B:B,'8店辅助表'!W:W),0)</f>
        <v>0</v>
      </c>
      <c r="AA45" s="44">
        <f>IFERROR(SUMIF('8店辅助表'!AC:AC,B:B,'8店辅助表'!AF:AF),0)</f>
        <v>0</v>
      </c>
      <c r="AB45" s="91" t="str">
        <f>IFERROR(SUMIF('8店辅助表'!K:K,B:B,'8店辅助表'!N:N)/SUMIF('8店辅助表'!K:K,B:B,'8店辅助表'!O:O),"-")</f>
        <v>-</v>
      </c>
      <c r="AC45" s="91" t="str">
        <f>IFERROR(VLOOKUP(B:B,'[1]8店'!$B:$AB,27,FALSE),"-")</f>
        <v>-</v>
      </c>
      <c r="AD45" s="92" t="str">
        <f t="shared" si="25"/>
        <v>-</v>
      </c>
      <c r="AE45" s="91" t="str">
        <f>IFERROR(SUMIF('8店辅助表'!T:T,B:B,'8店辅助表'!W:W)/SUMIF('8店辅助表'!T:T,B:B,'8店辅助表'!X:X),"-")</f>
        <v>-</v>
      </c>
      <c r="AF45" s="91" t="str">
        <f>IFERROR(SUMIF('8店辅助表'!AC:AC,B:B,'8店辅助表'!AF:AF)/SUMIF('8店辅助表'!AC:AC,B:B,'8店辅助表'!AG:AG),"-")</f>
        <v>-</v>
      </c>
      <c r="AG45" s="99">
        <f>IFERROR(AK45/((SUMIF('8店辅助表'!AT:AT,B:B,'8店辅助表'!AU:AU)+M45)/2),"-")</f>
        <v>0</v>
      </c>
      <c r="AH45" s="99">
        <f>IFERROR(AL45/((SUMIF('8店辅助表'!AW:AW,B:B,'8店辅助表'!AX:AX)+M45)/2),"-")</f>
        <v>0</v>
      </c>
      <c r="AI45" s="100" t="str">
        <f>IFERROR((SUMIF('8店辅助表'!AP:AP,B:B,'8店辅助表'!AR:AR)-SUMIF('8店辅助表'!AP:AP,B:B,'8店辅助表'!AR:AR)*0.15-(L45+IFERROR(VLOOKUP(B:B,'8店辅助表'!AZ:BA,2,0),0))*O45-IF(AN:AN="US",6.85,4.9)*(Z45+4.03*O45))/SUMIF('8店辅助表'!AP:AP,B:B,'8店辅助表'!AR:AR),"-")</f>
        <v>-</v>
      </c>
      <c r="AJ45" s="100" t="str">
        <f t="shared" si="26"/>
        <v>-</v>
      </c>
      <c r="AK45" s="101">
        <f t="shared" si="27"/>
        <v>0</v>
      </c>
      <c r="AL45" s="101">
        <f t="shared" si="28"/>
        <v>0</v>
      </c>
      <c r="AM45" s="1" t="str">
        <f>VLOOKUP(B:B,'8店辅助表'!AZ:AZ,1,FALSE)</f>
        <v>Y8078-BL</v>
      </c>
      <c r="AN45" t="str">
        <f>VLOOKUP(B:B,'8店辅助表'!AZ:BB,3,FALSE)</f>
        <v>US</v>
      </c>
    </row>
    <row r="46" customHeight="1" spans="1:40">
      <c r="A46" s="58" t="str">
        <f>INDEX('[1]8店'!$A:$A,MATCH(B:B,'[1]8店'!$B:$B,0))</f>
        <v>晓美</v>
      </c>
      <c r="B46" s="109" t="s">
        <v>2875</v>
      </c>
      <c r="C46" s="123" t="s">
        <v>2876</v>
      </c>
      <c r="D46" s="59">
        <f>VLOOKUP(B:B,'[1]8店'!$B:$L,3,0)</f>
        <v>45023</v>
      </c>
      <c r="E46" s="108" t="s">
        <v>2877</v>
      </c>
      <c r="F46" s="108">
        <v>1</v>
      </c>
      <c r="G46" s="108">
        <v>0</v>
      </c>
      <c r="H46" s="108">
        <v>0</v>
      </c>
      <c r="I46" s="108">
        <v>3</v>
      </c>
      <c r="J46" s="108">
        <v>0</v>
      </c>
      <c r="K46" s="63">
        <f t="shared" si="20"/>
        <v>4</v>
      </c>
      <c r="L46" s="124">
        <f>VLOOKUP($B:$B,'[1]8店'!$B:$L,11,0)</f>
        <v>12.061</v>
      </c>
      <c r="M46" s="44">
        <f t="shared" si="29"/>
        <v>48.244</v>
      </c>
      <c r="N46" s="65">
        <f>IFERROR(VLOOKUP(B:B,'8店辅助表'!B:C,2,FALSE),0)</f>
        <v>0</v>
      </c>
      <c r="O46" s="65">
        <f>IFERROR(VLOOKUP(B:B,'8店辅助表'!E:F,2,FALSE),0)</f>
        <v>0</v>
      </c>
      <c r="P46" s="65">
        <f>IFERROR(VLOOKUP(B:B,'8店辅助表'!H:I,2,FALSE),0)</f>
        <v>0</v>
      </c>
      <c r="Q46" s="65">
        <f>IFERROR(VLOOKUP(B:B,'[1]8店'!$B:$N,13,FALSE),0)</f>
        <v>0</v>
      </c>
      <c r="R46" s="79">
        <f t="shared" si="21"/>
        <v>0</v>
      </c>
      <c r="S46" s="80" t="str">
        <f t="shared" si="22"/>
        <v>-</v>
      </c>
      <c r="T46" s="44" t="str">
        <f t="shared" si="23"/>
        <v>-</v>
      </c>
      <c r="U46" s="44" t="str">
        <f>IFERROR(VLOOKUP(B:B,'[1]8店'!$B:$T,19,0),"-")</f>
        <v>-</v>
      </c>
      <c r="V46" s="81" t="str">
        <f t="shared" si="24"/>
        <v>-</v>
      </c>
      <c r="W46" s="82" t="str">
        <f>_xlfn.IFS(AND(D46&lt;&gt;0,D46-$AM$2&gt;=0,B46&gt;0,D46&lt;&gt;0),"本月刚到货",AND(IFERROR((K46/(N46/7))/30,"-")="-",K46&gt;0),"有库存无销量",AND(IFERROR((K46/(N46/7))/30,"-")="-",K46=0),"无库存无销量",AND(IFERROR((K46/(N46/7))/30,"-")&lt;=0.5,K46=0),"无库存有销量",IFERROR((K46/(N46/7))/30,"-")&lt;=0.5,"库存过低",IFERROR((K46/(N46/7))/30,"-")&lt;=1.5,"正常",IFERROR((K46/(N46/7))/30,"-")&gt;1.5,"库存过高")</f>
        <v>有库存无销量</v>
      </c>
      <c r="X46" s="83" t="str">
        <f>_xlfn.IFS(AND(D46&lt;&gt;0,D46-$AM$2&gt;=0,K46&gt;0,D46&lt;&gt;0),"本月刚到货",AND(T46="-",K46&gt;0),"有库存无销量",AND(T46="-",K46=0),"无库存无销量",AND(T46&lt;=0.5,K46=0),"无库存有销量",T46&lt;=0.5,"库存过低",T46&lt;=1.5,"正常",T46&gt;1.5,"库存过高")</f>
        <v>有库存无销量</v>
      </c>
      <c r="Y46" s="44">
        <f>IFERROR(SUMIF('8店辅助表'!K:K,B:B,'8店辅助表'!N:N),0)</f>
        <v>0</v>
      </c>
      <c r="Z46" s="44">
        <f>IFERROR(SUMIF('8店辅助表'!T:T,B:B,'8店辅助表'!W:W),0)</f>
        <v>0</v>
      </c>
      <c r="AA46" s="44">
        <f>IFERROR(SUMIF('8店辅助表'!AC:AC,B:B,'8店辅助表'!AF:AF),0)</f>
        <v>0</v>
      </c>
      <c r="AB46" s="91" t="str">
        <f>IFERROR(SUMIF('8店辅助表'!K:K,B:B,'8店辅助表'!N:N)/SUMIF('8店辅助表'!K:K,B:B,'8店辅助表'!O:O),"-")</f>
        <v>-</v>
      </c>
      <c r="AC46" s="91" t="str">
        <f>IFERROR(VLOOKUP(B:B,'[1]8店'!$B:$AB,27,FALSE),"-")</f>
        <v>-</v>
      </c>
      <c r="AD46" s="92" t="str">
        <f t="shared" si="25"/>
        <v>-</v>
      </c>
      <c r="AE46" s="91" t="str">
        <f>IFERROR(SUMIF('8店辅助表'!T:T,B:B,'8店辅助表'!W:W)/SUMIF('8店辅助表'!T:T,B:B,'8店辅助表'!X:X),"-")</f>
        <v>-</v>
      </c>
      <c r="AF46" s="91" t="str">
        <f>IFERROR(SUMIF('8店辅助表'!AC:AC,B:B,'8店辅助表'!AF:AF)/SUMIF('8店辅助表'!AC:AC,B:B,'8店辅助表'!AG:AG),"-")</f>
        <v>-</v>
      </c>
      <c r="AG46" s="99">
        <f>IFERROR(AK46/((SUMIF('8店辅助表'!AT:AT,B:B,'8店辅助表'!AU:AU)+M46)/2),"-")</f>
        <v>0</v>
      </c>
      <c r="AH46" s="99">
        <f>IFERROR(AL46/((SUMIF('8店辅助表'!AW:AW,B:B,'8店辅助表'!AX:AX)+M46)/2),"-")</f>
        <v>0</v>
      </c>
      <c r="AI46" s="100" t="str">
        <f>IFERROR((SUMIF('8店辅助表'!AP:AP,B:B,'8店辅助表'!AR:AR)-SUMIF('8店辅助表'!AP:AP,B:B,'8店辅助表'!AR:AR)*0.15-(L46+IFERROR(VLOOKUP(B:B,'8店辅助表'!AZ:BA,2,0),0))*O46-IF(AN:AN="US",6.85,4.9)*(Z46+4.03*O46))/SUMIF('8店辅助表'!AP:AP,B:B,'8店辅助表'!AR:AR),"-")</f>
        <v>-</v>
      </c>
      <c r="AJ46" s="100" t="str">
        <f t="shared" si="26"/>
        <v>-</v>
      </c>
      <c r="AK46" s="101">
        <f t="shared" si="27"/>
        <v>0</v>
      </c>
      <c r="AL46" s="101">
        <f t="shared" si="28"/>
        <v>0</v>
      </c>
      <c r="AM46" s="1" t="str">
        <f>VLOOKUP(B:B,'8店辅助表'!AZ:AZ,1,FALSE)</f>
        <v>Y8079-BL</v>
      </c>
      <c r="AN46" t="str">
        <f>VLOOKUP(B:B,'8店辅助表'!AZ:BB,3,FALSE)</f>
        <v>US</v>
      </c>
    </row>
    <row r="47" customHeight="1" spans="1:40">
      <c r="A47" s="58" t="str">
        <f>INDEX('[1]8店'!$A:$A,MATCH(B:B,'[1]8店'!$B:$B,0))</f>
        <v>晓美</v>
      </c>
      <c r="B47" s="109" t="s">
        <v>2878</v>
      </c>
      <c r="C47" s="108" t="s">
        <v>2876</v>
      </c>
      <c r="D47" s="59">
        <f>VLOOKUP(B:B,'[1]8店'!$B:$L,3,0)</f>
        <v>45023</v>
      </c>
      <c r="E47" s="108" t="s">
        <v>2879</v>
      </c>
      <c r="F47" s="108">
        <v>1</v>
      </c>
      <c r="G47" s="108">
        <v>0</v>
      </c>
      <c r="H47" s="108">
        <v>0</v>
      </c>
      <c r="I47" s="108">
        <v>2</v>
      </c>
      <c r="J47" s="108">
        <v>0</v>
      </c>
      <c r="K47" s="63">
        <f t="shared" si="20"/>
        <v>3</v>
      </c>
      <c r="L47" s="124">
        <f>VLOOKUP($B:$B,'[1]8店'!$B:$L,11,0)</f>
        <v>12.053</v>
      </c>
      <c r="M47" s="44">
        <f t="shared" si="29"/>
        <v>36.159</v>
      </c>
      <c r="N47" s="65">
        <f>IFERROR(VLOOKUP(B:B,'8店辅助表'!B:C,2,FALSE),0)</f>
        <v>0</v>
      </c>
      <c r="O47" s="65">
        <f>IFERROR(VLOOKUP(B:B,'8店辅助表'!E:F,2,FALSE),0)</f>
        <v>0</v>
      </c>
      <c r="P47" s="65">
        <f>IFERROR(VLOOKUP(B:B,'8店辅助表'!H:I,2,FALSE),0)</f>
        <v>0</v>
      </c>
      <c r="Q47" s="65">
        <f>IFERROR(VLOOKUP(B:B,'[1]8店'!$B:$N,13,FALSE),0)</f>
        <v>0</v>
      </c>
      <c r="R47" s="79">
        <f t="shared" si="21"/>
        <v>0</v>
      </c>
      <c r="S47" s="80" t="str">
        <f t="shared" si="22"/>
        <v>-</v>
      </c>
      <c r="T47" s="44" t="str">
        <f t="shared" si="23"/>
        <v>-</v>
      </c>
      <c r="U47" s="44" t="str">
        <f>IFERROR(VLOOKUP(B:B,'[1]8店'!$B:$T,19,0),"-")</f>
        <v>-</v>
      </c>
      <c r="V47" s="81" t="str">
        <f t="shared" si="24"/>
        <v>-</v>
      </c>
      <c r="W47" s="82" t="str">
        <f>_xlfn.IFS(AND(D47&lt;&gt;0,D47-$AM$2&gt;=0,B47&gt;0,D47&lt;&gt;0),"本月刚到货",AND(IFERROR((K47/(N47/7))/30,"-")="-",K47&gt;0),"有库存无销量",AND(IFERROR((K47/(N47/7))/30,"-")="-",K47=0),"无库存无销量",AND(IFERROR((K47/(N47/7))/30,"-")&lt;=0.5,K47=0),"无库存有销量",IFERROR((K47/(N47/7))/30,"-")&lt;=0.5,"库存过低",IFERROR((K47/(N47/7))/30,"-")&lt;=1.5,"正常",IFERROR((K47/(N47/7))/30,"-")&gt;1.5,"库存过高")</f>
        <v>有库存无销量</v>
      </c>
      <c r="X47" s="83" t="str">
        <f>_xlfn.IFS(AND(D47&lt;&gt;0,D47-$AM$2&gt;=0,K47&gt;0,D47&lt;&gt;0),"本月刚到货",AND(T47="-",K47&gt;0),"有库存无销量",AND(T47="-",K47=0),"无库存无销量",AND(T47&lt;=0.5,K47=0),"无库存有销量",T47&lt;=0.5,"库存过低",T47&lt;=1.5,"正常",T47&gt;1.5,"库存过高")</f>
        <v>有库存无销量</v>
      </c>
      <c r="Y47" s="44">
        <f>IFERROR(SUMIF('8店辅助表'!K:K,B:B,'8店辅助表'!N:N),0)</f>
        <v>0</v>
      </c>
      <c r="Z47" s="44">
        <f>IFERROR(SUMIF('8店辅助表'!T:T,B:B,'8店辅助表'!W:W),0)</f>
        <v>0</v>
      </c>
      <c r="AA47" s="44">
        <f>IFERROR(SUMIF('8店辅助表'!AC:AC,B:B,'8店辅助表'!AF:AF),0)</f>
        <v>0</v>
      </c>
      <c r="AB47" s="91" t="str">
        <f>IFERROR(SUMIF('8店辅助表'!K:K,B:B,'8店辅助表'!N:N)/SUMIF('8店辅助表'!K:K,B:B,'8店辅助表'!O:O),"-")</f>
        <v>-</v>
      </c>
      <c r="AC47" s="91" t="str">
        <f>IFERROR(VLOOKUP(B:B,'[1]8店'!$B:$AB,27,FALSE),"-")</f>
        <v>-</v>
      </c>
      <c r="AD47" s="92" t="str">
        <f t="shared" si="25"/>
        <v>-</v>
      </c>
      <c r="AE47" s="91" t="str">
        <f>IFERROR(SUMIF('8店辅助表'!T:T,B:B,'8店辅助表'!W:W)/SUMIF('8店辅助表'!T:T,B:B,'8店辅助表'!X:X),"-")</f>
        <v>-</v>
      </c>
      <c r="AF47" s="91" t="str">
        <f>IFERROR(SUMIF('8店辅助表'!AC:AC,B:B,'8店辅助表'!AF:AF)/SUMIF('8店辅助表'!AC:AC,B:B,'8店辅助表'!AG:AG),"-")</f>
        <v>-</v>
      </c>
      <c r="AG47" s="99">
        <f>IFERROR(AK47/((SUMIF('8店辅助表'!AT:AT,B:B,'8店辅助表'!AU:AU)+M47)/2),"-")</f>
        <v>0</v>
      </c>
      <c r="AH47" s="99">
        <f>IFERROR(AL47/((SUMIF('8店辅助表'!AW:AW,B:B,'8店辅助表'!AX:AX)+M47)/2),"-")</f>
        <v>0</v>
      </c>
      <c r="AI47" s="100" t="str">
        <f>IFERROR((SUMIF('8店辅助表'!AP:AP,B:B,'8店辅助表'!AR:AR)-SUMIF('8店辅助表'!AP:AP,B:B,'8店辅助表'!AR:AR)*0.15-(L47+IFERROR(VLOOKUP(B:B,'8店辅助表'!AZ:BA,2,0),0))*O47-IF(AN:AN="US",6.85,4.9)*(Z47+4.03*O47))/SUMIF('8店辅助表'!AP:AP,B:B,'8店辅助表'!AR:AR),"-")</f>
        <v>-</v>
      </c>
      <c r="AJ47" s="100" t="str">
        <f t="shared" si="26"/>
        <v>-</v>
      </c>
      <c r="AK47" s="101">
        <f t="shared" si="27"/>
        <v>0</v>
      </c>
      <c r="AL47" s="101">
        <f t="shared" si="28"/>
        <v>0</v>
      </c>
      <c r="AM47" s="1" t="str">
        <f>VLOOKUP(B:B,'8店辅助表'!AZ:AZ,1,FALSE)</f>
        <v>Y8079-SC</v>
      </c>
      <c r="AN47" t="str">
        <f>VLOOKUP(B:B,'8店辅助表'!AZ:BB,3,FALSE)</f>
        <v>US</v>
      </c>
    </row>
    <row r="48" customHeight="1" spans="1:40">
      <c r="A48" s="58" t="str">
        <f>INDEX('[1]8店'!$A:$A,MATCH(B:B,'[1]8店'!$B:$B,0))</f>
        <v>晓美</v>
      </c>
      <c r="B48" s="108" t="s">
        <v>2880</v>
      </c>
      <c r="C48" s="108" t="s">
        <v>2881</v>
      </c>
      <c r="D48" s="59">
        <f>VLOOKUP(B:B,'[1]8店'!$B:$L,3,0)</f>
        <v>45023</v>
      </c>
      <c r="E48" s="108" t="s">
        <v>2882</v>
      </c>
      <c r="F48" s="108">
        <v>17</v>
      </c>
      <c r="G48" s="108">
        <v>0</v>
      </c>
      <c r="H48" s="108">
        <v>2</v>
      </c>
      <c r="I48" s="108">
        <v>1</v>
      </c>
      <c r="J48" s="108">
        <v>0</v>
      </c>
      <c r="K48" s="63">
        <f t="shared" si="20"/>
        <v>20</v>
      </c>
      <c r="L48" s="124">
        <f>VLOOKUP($B:$B,'[1]8店'!$B:$L,11,0)</f>
        <v>9.3</v>
      </c>
      <c r="M48" s="44">
        <f t="shared" si="29"/>
        <v>186</v>
      </c>
      <c r="N48" s="65">
        <f>IFERROR(VLOOKUP(B:B,'8店辅助表'!B:C,2,FALSE),0)</f>
        <v>7</v>
      </c>
      <c r="O48" s="65">
        <f>IFERROR(VLOOKUP(B:B,'8店辅助表'!E:F,2,FALSE),0)</f>
        <v>8</v>
      </c>
      <c r="P48" s="65">
        <f>IFERROR(VLOOKUP(B:B,'8店辅助表'!H:I,2,FALSE),0)</f>
        <v>12</v>
      </c>
      <c r="Q48" s="65">
        <f>IFERROR(VLOOKUP(B:B,'[1]8店'!$B:$N,13,FALSE),0)</f>
        <v>1</v>
      </c>
      <c r="R48" s="79">
        <f t="shared" si="21"/>
        <v>6</v>
      </c>
      <c r="S48" s="80">
        <f t="shared" si="22"/>
        <v>31.0344827586207</v>
      </c>
      <c r="T48" s="44">
        <f t="shared" si="23"/>
        <v>1.03448275862069</v>
      </c>
      <c r="U48" s="44">
        <f>IFERROR(VLOOKUP(B:B,'[1]8店'!$B:$T,19,0),"-")</f>
        <v>2.85326086956522</v>
      </c>
      <c r="V48" s="81">
        <f t="shared" si="24"/>
        <v>-1.81877811094453</v>
      </c>
      <c r="W48" s="82" t="str">
        <f>_xlfn.IFS(AND(D48&lt;&gt;0,D48-$AM$2&gt;=0,B48&gt;0,D48&lt;&gt;0),"本月刚到货",AND(IFERROR((K48/(N48/7))/30,"-")="-",K48&gt;0),"有库存无销量",AND(IFERROR((K48/(N48/7))/30,"-")="-",K48=0),"无库存无销量",AND(IFERROR((K48/(N48/7))/30,"-")&lt;=0.5,K48=0),"无库存有销量",IFERROR((K48/(N48/7))/30,"-")&lt;=0.5,"库存过低",IFERROR((K48/(N48/7))/30,"-")&lt;=1.5,"正常",IFERROR((K48/(N48/7))/30,"-")&gt;1.5,"库存过高")</f>
        <v>正常</v>
      </c>
      <c r="X48" s="83" t="str">
        <f>_xlfn.IFS(AND(D48&lt;&gt;0,D48-$AM$2&gt;=0,K48&gt;0,D48&lt;&gt;0),"本月刚到货",AND(T48="-",K48&gt;0),"有库存无销量",AND(T48="-",K48=0),"无库存无销量",AND(T48&lt;=0.5,K48=0),"无库存有销量",T48&lt;=0.5,"库存过低",T48&lt;=1.5,"正常",T48&gt;1.5,"库存过高")</f>
        <v>正常</v>
      </c>
      <c r="Y48" s="44">
        <f>IFERROR(SUMIF('8店辅助表'!K:K,B:B,'8店辅助表'!N:N),0)</f>
        <v>1.05</v>
      </c>
      <c r="Z48" s="44">
        <f>IFERROR(SUMIF('8店辅助表'!T:T,B:B,'8店辅助表'!W:W),0)</f>
        <v>1.97</v>
      </c>
      <c r="AA48" s="44">
        <f>IFERROR(SUMIF('8店辅助表'!AC:AC,B:B,'8店辅助表'!AF:AF),0)</f>
        <v>3.75</v>
      </c>
      <c r="AB48" s="91" t="str">
        <f>IFERROR(SUMIF('8店辅助表'!K:K,B:B,'8店辅助表'!N:N)/SUMIF('8店辅助表'!K:K,B:B,'8店辅助表'!O:O),"-")</f>
        <v>-</v>
      </c>
      <c r="AC48" s="91" t="str">
        <f>IFERROR(VLOOKUP(B:B,'[1]8店'!$B:$AB,27,FALSE),"-")</f>
        <v>-</v>
      </c>
      <c r="AD48" s="92" t="str">
        <f t="shared" si="25"/>
        <v>-</v>
      </c>
      <c r="AE48" s="91" t="str">
        <f>IFERROR(SUMIF('8店辅助表'!T:T,B:B,'8店辅助表'!W:W)/SUMIF('8店辅助表'!T:T,B:B,'8店辅助表'!X:X),"-")</f>
        <v>-</v>
      </c>
      <c r="AF48" s="91" t="str">
        <f>IFERROR(SUMIF('8店辅助表'!AC:AC,B:B,'8店辅助表'!AF:AF)/SUMIF('8店辅助表'!AC:AC,B:B,'8店辅助表'!AG:AG),"-")</f>
        <v>-</v>
      </c>
      <c r="AG48" s="99">
        <f>IFERROR(AK48/((SUMIF('8店辅助表'!AT:AT,B:B,'8店辅助表'!AU:AU)+M48)/2),"-")</f>
        <v>0.311111111111111</v>
      </c>
      <c r="AH48" s="99">
        <f>IFERROR(AL48/((SUMIF('8店辅助表'!AW:AW,B:B,'8店辅助表'!AX:AX)+M48)/2),"-")</f>
        <v>0.5</v>
      </c>
      <c r="AI48" s="100">
        <f>IFERROR((SUMIF('8店辅助表'!AP:AP,B:B,'8店辅助表'!AR:AR)-SUMIF('8店辅助表'!AP:AP,B:B,'8店辅助表'!AR:AR)*0.15-(L48+IFERROR(VLOOKUP(B:B,'8店辅助表'!AZ:BA,2,0),0))*O48-IF(AN:AN="US",6.85,4.9)*(Z48+4.03*O48))/SUMIF('8店辅助表'!AP:AP,B:B,'8店辅助表'!AR:AR),"-")</f>
        <v>0.306436010175143</v>
      </c>
      <c r="AJ48" s="100">
        <f t="shared" si="26"/>
        <v>0.153218005087571</v>
      </c>
      <c r="AK48" s="101">
        <f t="shared" si="27"/>
        <v>65.1</v>
      </c>
      <c r="AL48" s="101">
        <f t="shared" si="28"/>
        <v>74.4</v>
      </c>
      <c r="AM48" s="1" t="str">
        <f>VLOOKUP(B:B,'8店辅助表'!AZ:AZ,1,FALSE)</f>
        <v>Y8080</v>
      </c>
      <c r="AN48" t="str">
        <f>VLOOKUP(B:B,'8店辅助表'!AZ:BB,3,FALSE)</f>
        <v>US</v>
      </c>
    </row>
    <row r="49" customHeight="1" spans="1:40">
      <c r="A49" s="58" t="str">
        <f>INDEX('[1]8店'!$A:$A,MATCH(B:B,'[1]8店'!$B:$B,0))</f>
        <v>晓美</v>
      </c>
      <c r="B49" s="108" t="s">
        <v>2883</v>
      </c>
      <c r="C49" s="108" t="s">
        <v>1951</v>
      </c>
      <c r="D49" s="59">
        <f>VLOOKUP(B:B,'[1]8店'!$B:$L,3,0)</f>
        <v>45034</v>
      </c>
      <c r="E49" s="108" t="s">
        <v>2884</v>
      </c>
      <c r="F49" s="108">
        <v>0</v>
      </c>
      <c r="G49" s="108">
        <v>14</v>
      </c>
      <c r="H49" s="108">
        <v>0</v>
      </c>
      <c r="I49" s="108">
        <v>0</v>
      </c>
      <c r="J49" s="108">
        <v>0</v>
      </c>
      <c r="K49" s="63">
        <f t="shared" si="20"/>
        <v>14</v>
      </c>
      <c r="L49" s="124">
        <f>VLOOKUP($B:$B,'[1]8店'!$B:$L,11,0)</f>
        <v>9.084</v>
      </c>
      <c r="M49" s="44">
        <f t="shared" si="29"/>
        <v>127.176</v>
      </c>
      <c r="N49" s="65">
        <f>IFERROR(VLOOKUP(B:B,'8店辅助表'!B:C,2,FALSE),0)</f>
        <v>0</v>
      </c>
      <c r="O49" s="65">
        <f>IFERROR(VLOOKUP(B:B,'8店辅助表'!E:F,2,FALSE),0)</f>
        <v>0</v>
      </c>
      <c r="P49" s="65">
        <f>IFERROR(VLOOKUP(B:B,'8店辅助表'!H:I,2,FALSE),0)</f>
        <v>0</v>
      </c>
      <c r="Q49" s="65">
        <f>IFERROR(VLOOKUP(B:B,'[1]8店'!$B:$N,13,FALSE),0)</f>
        <v>0</v>
      </c>
      <c r="R49" s="79">
        <f t="shared" si="21"/>
        <v>0</v>
      </c>
      <c r="S49" s="80" t="str">
        <f t="shared" si="22"/>
        <v>-</v>
      </c>
      <c r="T49" s="44" t="str">
        <f t="shared" si="23"/>
        <v>-</v>
      </c>
      <c r="U49" s="44" t="str">
        <f>IFERROR(VLOOKUP(B:B,'[1]8店'!$B:$T,19,0),"-")</f>
        <v>-</v>
      </c>
      <c r="V49" s="81" t="str">
        <f t="shared" si="24"/>
        <v>-</v>
      </c>
      <c r="W49" s="82" t="str">
        <f>_xlfn.IFS(AND(D49&lt;&gt;0,D49-$AM$2&gt;=0,B49&gt;0,D49&lt;&gt;0),"本月刚到货",AND(IFERROR((K49/(N49/7))/30,"-")="-",K49&gt;0),"有库存无销量",AND(IFERROR((K49/(N49/7))/30,"-")="-",K49=0),"无库存无销量",AND(IFERROR((K49/(N49/7))/30,"-")&lt;=0.5,K49=0),"无库存有销量",IFERROR((K49/(N49/7))/30,"-")&lt;=0.5,"库存过低",IFERROR((K49/(N49/7))/30,"-")&lt;=1.5,"正常",IFERROR((K49/(N49/7))/30,"-")&gt;1.5,"库存过高")</f>
        <v>有库存无销量</v>
      </c>
      <c r="X49" s="83" t="str">
        <f>_xlfn.IFS(AND(D49&lt;&gt;0,D49-$AM$2&gt;=0,K49&gt;0,D49&lt;&gt;0),"本月刚到货",AND(T49="-",K49&gt;0),"有库存无销量",AND(T49="-",K49=0),"无库存无销量",AND(T49&lt;=0.5,K49=0),"无库存有销量",T49&lt;=0.5,"库存过低",T49&lt;=1.5,"正常",T49&gt;1.5,"库存过高")</f>
        <v>有库存无销量</v>
      </c>
      <c r="Y49" s="44">
        <f>IFERROR(SUMIF('8店辅助表'!K:K,B:B,'8店辅助表'!N:N),0)</f>
        <v>0</v>
      </c>
      <c r="Z49" s="44">
        <f>IFERROR(SUMIF('8店辅助表'!T:T,B:B,'8店辅助表'!W:W),0)</f>
        <v>0</v>
      </c>
      <c r="AA49" s="44">
        <f>IFERROR(SUMIF('8店辅助表'!AC:AC,B:B,'8店辅助表'!AF:AF),0)</f>
        <v>0</v>
      </c>
      <c r="AB49" s="91" t="str">
        <f>IFERROR(SUMIF('8店辅助表'!K:K,B:B,'8店辅助表'!N:N)/SUMIF('8店辅助表'!K:K,B:B,'8店辅助表'!O:O),"-")</f>
        <v>-</v>
      </c>
      <c r="AC49" s="91" t="str">
        <f>IFERROR(VLOOKUP(B:B,'[1]8店'!$B:$AB,27,FALSE),"-")</f>
        <v>-</v>
      </c>
      <c r="AD49" s="92" t="str">
        <f t="shared" si="25"/>
        <v>-</v>
      </c>
      <c r="AE49" s="91" t="str">
        <f>IFERROR(SUMIF('8店辅助表'!T:T,B:B,'8店辅助表'!W:W)/SUMIF('8店辅助表'!T:T,B:B,'8店辅助表'!X:X),"-")</f>
        <v>-</v>
      </c>
      <c r="AF49" s="91" t="str">
        <f>IFERROR(SUMIF('8店辅助表'!AC:AC,B:B,'8店辅助表'!AF:AF)/SUMIF('8店辅助表'!AC:AC,B:B,'8店辅助表'!AG:AG),"-")</f>
        <v>-</v>
      </c>
      <c r="AG49" s="99">
        <f>IFERROR(AK49/((SUMIF('8店辅助表'!AT:AT,B:B,'8店辅助表'!AU:AU)+M49)/2),"-")</f>
        <v>0</v>
      </c>
      <c r="AH49" s="99">
        <f>IFERROR(AL49/((SUMIF('8店辅助表'!AW:AW,B:B,'8店辅助表'!AX:AX)+M49)/2),"-")</f>
        <v>0</v>
      </c>
      <c r="AI49" s="100" t="str">
        <f>IFERROR((SUMIF('8店辅助表'!AP:AP,B:B,'8店辅助表'!AR:AR)-SUMIF('8店辅助表'!AP:AP,B:B,'8店辅助表'!AR:AR)*0.15-(L49+IFERROR(VLOOKUP(B:B,'8店辅助表'!AZ:BA,2,0),0))*O49-IF(AN:AN="US",6.85,4.9)*(Z49+4.03*O49))/SUMIF('8店辅助表'!AP:AP,B:B,'8店辅助表'!AR:AR),"-")</f>
        <v>-</v>
      </c>
      <c r="AJ49" s="100" t="str">
        <f t="shared" si="26"/>
        <v>-</v>
      </c>
      <c r="AK49" s="101">
        <f t="shared" si="27"/>
        <v>0</v>
      </c>
      <c r="AL49" s="101">
        <f t="shared" si="28"/>
        <v>0</v>
      </c>
      <c r="AM49" s="1" t="str">
        <f>VLOOKUP(B:B,'8店辅助表'!AZ:AZ,1,FALSE)</f>
        <v>Y8084-BL</v>
      </c>
      <c r="AN49" t="str">
        <f>VLOOKUP(B:B,'8店辅助表'!AZ:BB,3,FALSE)</f>
        <v>US</v>
      </c>
    </row>
    <row r="50" customHeight="1" spans="1:40">
      <c r="A50" s="58" t="str">
        <f>INDEX('[1]8店'!$A:$A,MATCH(B:B,'[1]8店'!$B:$B,0))</f>
        <v>晓美</v>
      </c>
      <c r="B50" s="109" t="s">
        <v>2885</v>
      </c>
      <c r="C50" s="108" t="s">
        <v>2886</v>
      </c>
      <c r="D50" s="59">
        <f>VLOOKUP(B:B,'[1]8店'!$B:$L,3,0)</f>
        <v>45034</v>
      </c>
      <c r="E50" s="108" t="s">
        <v>2887</v>
      </c>
      <c r="F50" s="108">
        <v>0</v>
      </c>
      <c r="G50" s="108">
        <v>1</v>
      </c>
      <c r="H50" s="108">
        <v>0</v>
      </c>
      <c r="I50" s="108">
        <v>0</v>
      </c>
      <c r="J50" s="108">
        <v>0</v>
      </c>
      <c r="K50" s="63">
        <f t="shared" si="20"/>
        <v>1</v>
      </c>
      <c r="L50" s="124">
        <f>VLOOKUP($B:$B,'[1]8店'!$B:$L,11,0)</f>
        <v>9.106</v>
      </c>
      <c r="M50" s="44">
        <f t="shared" si="29"/>
        <v>9.106</v>
      </c>
      <c r="N50" s="65">
        <f>IFERROR(VLOOKUP(B:B,'8店辅助表'!B:C,2,FALSE),0)</f>
        <v>0</v>
      </c>
      <c r="O50" s="65">
        <f>IFERROR(VLOOKUP(B:B,'8店辅助表'!E:F,2,FALSE),0)</f>
        <v>0</v>
      </c>
      <c r="P50" s="65">
        <f>IFERROR(VLOOKUP(B:B,'8店辅助表'!H:I,2,FALSE),0)</f>
        <v>0</v>
      </c>
      <c r="Q50" s="65">
        <f>IFERROR(VLOOKUP(B:B,'[1]8店'!$B:$N,13,FALSE),0)</f>
        <v>0</v>
      </c>
      <c r="R50" s="79">
        <f t="shared" si="21"/>
        <v>0</v>
      </c>
      <c r="S50" s="80" t="str">
        <f t="shared" si="22"/>
        <v>-</v>
      </c>
      <c r="T50" s="44" t="str">
        <f t="shared" si="23"/>
        <v>-</v>
      </c>
      <c r="U50" s="44" t="str">
        <f>IFERROR(VLOOKUP(B:B,'[1]8店'!$B:$T,19,0),"-")</f>
        <v>-</v>
      </c>
      <c r="V50" s="81" t="str">
        <f t="shared" si="24"/>
        <v>-</v>
      </c>
      <c r="W50" s="82" t="str">
        <f>_xlfn.IFS(AND(D50&lt;&gt;0,D50-$AM$2&gt;=0,B50&gt;0,D50&lt;&gt;0),"本月刚到货",AND(IFERROR((K50/(N50/7))/30,"-")="-",K50&gt;0),"有库存无销量",AND(IFERROR((K50/(N50/7))/30,"-")="-",K50=0),"无库存无销量",AND(IFERROR((K50/(N50/7))/30,"-")&lt;=0.5,K50=0),"无库存有销量",IFERROR((K50/(N50/7))/30,"-")&lt;=0.5,"库存过低",IFERROR((K50/(N50/7))/30,"-")&lt;=1.5,"正常",IFERROR((K50/(N50/7))/30,"-")&gt;1.5,"库存过高")</f>
        <v>有库存无销量</v>
      </c>
      <c r="X50" s="83" t="str">
        <f>_xlfn.IFS(AND(D50&lt;&gt;0,D50-$AM$2&gt;=0,K50&gt;0,D50&lt;&gt;0),"本月刚到货",AND(T50="-",K50&gt;0),"有库存无销量",AND(T50="-",K50=0),"无库存无销量",AND(T50&lt;=0.5,K50=0),"无库存有销量",T50&lt;=0.5,"库存过低",T50&lt;=1.5,"正常",T50&gt;1.5,"库存过高")</f>
        <v>有库存无销量</v>
      </c>
      <c r="Y50" s="44">
        <f>IFERROR(SUMIF('8店辅助表'!K:K,B:B,'8店辅助表'!N:N),0)</f>
        <v>0</v>
      </c>
      <c r="Z50" s="44">
        <f>IFERROR(SUMIF('8店辅助表'!T:T,B:B,'8店辅助表'!W:W),0)</f>
        <v>0</v>
      </c>
      <c r="AA50" s="44">
        <f>IFERROR(SUMIF('8店辅助表'!AC:AC,B:B,'8店辅助表'!AF:AF),0)</f>
        <v>0</v>
      </c>
      <c r="AB50" s="91" t="str">
        <f>IFERROR(SUMIF('8店辅助表'!K:K,B:B,'8店辅助表'!N:N)/SUMIF('8店辅助表'!K:K,B:B,'8店辅助表'!O:O),"-")</f>
        <v>-</v>
      </c>
      <c r="AC50" s="91" t="str">
        <f>IFERROR(VLOOKUP(B:B,'[1]8店'!$B:$AB,27,FALSE),"-")</f>
        <v>-</v>
      </c>
      <c r="AD50" s="92" t="str">
        <f t="shared" si="25"/>
        <v>-</v>
      </c>
      <c r="AE50" s="91" t="str">
        <f>IFERROR(SUMIF('8店辅助表'!T:T,B:B,'8店辅助表'!W:W)/SUMIF('8店辅助表'!T:T,B:B,'8店辅助表'!X:X),"-")</f>
        <v>-</v>
      </c>
      <c r="AF50" s="91" t="str">
        <f>IFERROR(SUMIF('8店辅助表'!AC:AC,B:B,'8店辅助表'!AF:AF)/SUMIF('8店辅助表'!AC:AC,B:B,'8店辅助表'!AG:AG),"-")</f>
        <v>-</v>
      </c>
      <c r="AG50" s="99">
        <f>IFERROR(AK50/((SUMIF('8店辅助表'!AT:AT,B:B,'8店辅助表'!AU:AU)+M50)/2),"-")</f>
        <v>0</v>
      </c>
      <c r="AH50" s="99">
        <f>IFERROR(AL50/((SUMIF('8店辅助表'!AW:AW,B:B,'8店辅助表'!AX:AX)+M50)/2),"-")</f>
        <v>0</v>
      </c>
      <c r="AI50" s="100" t="str">
        <f>IFERROR((SUMIF('8店辅助表'!AP:AP,B:B,'8店辅助表'!AR:AR)-SUMIF('8店辅助表'!AP:AP,B:B,'8店辅助表'!AR:AR)*0.15-(L50+IFERROR(VLOOKUP(B:B,'8店辅助表'!AZ:BA,2,0),0))*O50-IF(AN:AN="US",6.85,4.9)*(Z50+4.03*O50))/SUMIF('8店辅助表'!AP:AP,B:B,'8店辅助表'!AR:AR),"-")</f>
        <v>-</v>
      </c>
      <c r="AJ50" s="100" t="str">
        <f t="shared" si="26"/>
        <v>-</v>
      </c>
      <c r="AK50" s="101">
        <f t="shared" si="27"/>
        <v>0</v>
      </c>
      <c r="AL50" s="101">
        <f t="shared" si="28"/>
        <v>0</v>
      </c>
      <c r="AM50" s="1" t="str">
        <f>VLOOKUP(B:B,'8店辅助表'!AZ:AZ,1,FALSE)</f>
        <v>Y8084-GR</v>
      </c>
      <c r="AN50" t="str">
        <f>VLOOKUP(B:B,'8店辅助表'!AZ:BB,3,FALSE)</f>
        <v>US</v>
      </c>
    </row>
    <row r="51" customHeight="1" spans="1:40">
      <c r="A51" s="58" t="str">
        <f>INDEX('[1]8店'!$A:$A,MATCH(B:B,'[1]8店'!$B:$B,0))</f>
        <v>晓美</v>
      </c>
      <c r="B51" s="108" t="s">
        <v>2888</v>
      </c>
      <c r="C51" s="108" t="s">
        <v>1766</v>
      </c>
      <c r="D51" s="59">
        <f>VLOOKUP(B:B,'[1]8店'!$B:$L,3,0)</f>
        <v>45041</v>
      </c>
      <c r="E51" s="108" t="s">
        <v>2889</v>
      </c>
      <c r="F51" s="108">
        <v>2</v>
      </c>
      <c r="G51" s="108">
        <v>0</v>
      </c>
      <c r="H51" s="108">
        <v>0</v>
      </c>
      <c r="I51" s="108">
        <v>0</v>
      </c>
      <c r="J51" s="108">
        <v>0</v>
      </c>
      <c r="K51" s="63">
        <f t="shared" si="20"/>
        <v>2</v>
      </c>
      <c r="L51" s="124">
        <f>VLOOKUP($B:$B,'[1]8店'!$B:$L,11,0)</f>
        <v>16.278</v>
      </c>
      <c r="M51" s="44">
        <f t="shared" si="29"/>
        <v>32.556</v>
      </c>
      <c r="N51" s="65">
        <f>IFERROR(VLOOKUP(B:B,'8店辅助表'!B:C,2,FALSE),0)</f>
        <v>0</v>
      </c>
      <c r="O51" s="65">
        <f>IFERROR(VLOOKUP(B:B,'8店辅助表'!E:F,2,FALSE),0)</f>
        <v>1</v>
      </c>
      <c r="P51" s="65">
        <f>IFERROR(VLOOKUP(B:B,'8店辅助表'!H:I,2,FALSE),0)</f>
        <v>2</v>
      </c>
      <c r="Q51" s="65">
        <f>IFERROR(VLOOKUP(B:B,'[1]8店'!$B:$N,13,FALSE),0)</f>
        <v>1</v>
      </c>
      <c r="R51" s="79">
        <f t="shared" si="21"/>
        <v>-1</v>
      </c>
      <c r="S51" s="80">
        <f t="shared" si="22"/>
        <v>45</v>
      </c>
      <c r="T51" s="44">
        <f t="shared" si="23"/>
        <v>1.5</v>
      </c>
      <c r="U51" s="44">
        <f>IFERROR(VLOOKUP(B:B,'[1]8店'!$B:$T,19,0),"-")</f>
        <v>0.531645569620253</v>
      </c>
      <c r="V51" s="81">
        <f t="shared" si="24"/>
        <v>0.968354430379747</v>
      </c>
      <c r="W51" s="82" t="str">
        <f>_xlfn.IFS(AND(D51&lt;&gt;0,D51-$AM$2&gt;=0,B51&gt;0,D51&lt;&gt;0),"本月刚到货",AND(IFERROR((K51/(N51/7))/30,"-")="-",K51&gt;0),"有库存无销量",AND(IFERROR((K51/(N51/7))/30,"-")="-",K51=0),"无库存无销量",AND(IFERROR((K51/(N51/7))/30,"-")&lt;=0.5,K51=0),"无库存有销量",IFERROR((K51/(N51/7))/30,"-")&lt;=0.5,"库存过低",IFERROR((K51/(N51/7))/30,"-")&lt;=1.5,"正常",IFERROR((K51/(N51/7))/30,"-")&gt;1.5,"库存过高")</f>
        <v>有库存无销量</v>
      </c>
      <c r="X51" s="83" t="str">
        <f>_xlfn.IFS(AND(D51&lt;&gt;0,D51-$AM$2&gt;=0,K51&gt;0,D51&lt;&gt;0),"本月刚到货",AND(T51="-",K51&gt;0),"有库存无销量",AND(T51="-",K51=0),"无库存无销量",AND(T51&lt;=0.5,K51=0),"无库存有销量",T51&lt;=0.5,"库存过低",T51&lt;=1.5,"正常",T51&gt;1.5,"库存过高")</f>
        <v>正常</v>
      </c>
      <c r="Y51" s="44">
        <f>IFERROR(SUMIF('8店辅助表'!K:K,B:B,'8店辅助表'!N:N),0)</f>
        <v>0</v>
      </c>
      <c r="Z51" s="44">
        <f>IFERROR(SUMIF('8店辅助表'!T:T,B:B,'8店辅助表'!W:W),0)</f>
        <v>0</v>
      </c>
      <c r="AA51" s="44">
        <f>IFERROR(SUMIF('8店辅助表'!AC:AC,B:B,'8店辅助表'!AF:AF),0)</f>
        <v>0</v>
      </c>
      <c r="AB51" s="91" t="str">
        <f>IFERROR(SUMIF('8店辅助表'!K:K,B:B,'8店辅助表'!N:N)/SUMIF('8店辅助表'!K:K,B:B,'8店辅助表'!O:O),"-")</f>
        <v>-</v>
      </c>
      <c r="AC51" s="91" t="str">
        <f>IFERROR(VLOOKUP(B:B,'[1]8店'!$B:$AB,27,FALSE),"-")</f>
        <v>-</v>
      </c>
      <c r="AD51" s="92" t="str">
        <f t="shared" si="25"/>
        <v>-</v>
      </c>
      <c r="AE51" s="91" t="str">
        <f>IFERROR(SUMIF('8店辅助表'!T:T,B:B,'8店辅助表'!W:W)/SUMIF('8店辅助表'!T:T,B:B,'8店辅助表'!X:X),"-")</f>
        <v>-</v>
      </c>
      <c r="AF51" s="91" t="str">
        <f>IFERROR(SUMIF('8店辅助表'!AC:AC,B:B,'8店辅助表'!AF:AF)/SUMIF('8店辅助表'!AC:AC,B:B,'8店辅助表'!AG:AG),"-")</f>
        <v>-</v>
      </c>
      <c r="AG51" s="99">
        <f>IFERROR(AK51/((SUMIF('8店辅助表'!AT:AT,B:B,'8店辅助表'!AU:AU)+M51)/2),"-")</f>
        <v>0</v>
      </c>
      <c r="AH51" s="99">
        <f>IFERROR(AL51/((SUMIF('8店辅助表'!AW:AW,B:B,'8店辅助表'!AX:AX)+M51)/2),"-")</f>
        <v>0.333333333333333</v>
      </c>
      <c r="AI51" s="100">
        <f>IFERROR((SUMIF('8店辅助表'!AP:AP,B:B,'8店辅助表'!AR:AR)-SUMIF('8店辅助表'!AP:AP,B:B,'8店辅助表'!AR:AR)*0.15-(L51+IFERROR(VLOOKUP(B:B,'8店辅助表'!AZ:BA,2,0),0))*O51-IF(AN:AN="US",6.85,4.9)*(Z51+4.03*O51))/SUMIF('8店辅助表'!AP:AP,B:B,'8店辅助表'!AR:AR),"-")</f>
        <v>0.309860102396766</v>
      </c>
      <c r="AJ51" s="100">
        <f t="shared" si="26"/>
        <v>0.103286700798922</v>
      </c>
      <c r="AK51" s="101">
        <f t="shared" si="27"/>
        <v>0</v>
      </c>
      <c r="AL51" s="101">
        <f t="shared" si="28"/>
        <v>16.278</v>
      </c>
      <c r="AM51" s="1" t="str">
        <f>VLOOKUP(B:B,'8店辅助表'!AZ:AZ,1,FALSE)</f>
        <v>Y8069-BL</v>
      </c>
      <c r="AN51" t="str">
        <f>VLOOKUP(B:B,'8店辅助表'!AZ:BB,3,FALSE)</f>
        <v>US</v>
      </c>
    </row>
    <row r="52" customHeight="1" spans="1:40">
      <c r="A52" s="58" t="str">
        <f>INDEX('[1]8店'!$A:$A,MATCH(B:B,'[1]8店'!$B:$B,0))</f>
        <v>晓美</v>
      </c>
      <c r="B52" s="108" t="s">
        <v>2890</v>
      </c>
      <c r="C52" s="108" t="s">
        <v>1755</v>
      </c>
      <c r="D52" s="59">
        <f>VLOOKUP(B:B,'[1]8店'!$B:$L,3,0)</f>
        <v>45043</v>
      </c>
      <c r="E52" s="108" t="s">
        <v>2891</v>
      </c>
      <c r="F52" s="108">
        <v>6</v>
      </c>
      <c r="G52" s="108">
        <v>0</v>
      </c>
      <c r="H52" s="108">
        <v>0</v>
      </c>
      <c r="I52" s="108">
        <v>0</v>
      </c>
      <c r="J52" s="108">
        <v>0</v>
      </c>
      <c r="K52" s="63">
        <f t="shared" si="20"/>
        <v>6</v>
      </c>
      <c r="L52" s="124">
        <f>VLOOKUP($B:$B,'[1]8店'!$B:$L,11,0)</f>
        <v>16.263</v>
      </c>
      <c r="M52" s="44">
        <f t="shared" si="29"/>
        <v>97.578</v>
      </c>
      <c r="N52" s="65">
        <f>IFERROR(VLOOKUP(B:B,'8店辅助表'!B:C,2,FALSE),0)</f>
        <v>1</v>
      </c>
      <c r="O52" s="65">
        <f>IFERROR(VLOOKUP(B:B,'8店辅助表'!E:F,2,FALSE),0)</f>
        <v>2</v>
      </c>
      <c r="P52" s="65">
        <f>IFERROR(VLOOKUP(B:B,'8店辅助表'!H:I,2,FALSE),0)</f>
        <v>3</v>
      </c>
      <c r="Q52" s="65">
        <f>IFERROR(VLOOKUP(B:B,'[1]8店'!$B:$N,13,FALSE),0)</f>
        <v>1</v>
      </c>
      <c r="R52" s="79">
        <f t="shared" si="21"/>
        <v>0</v>
      </c>
      <c r="S52" s="80">
        <f t="shared" si="22"/>
        <v>47.8481012658228</v>
      </c>
      <c r="T52" s="44">
        <f t="shared" si="23"/>
        <v>1.59493670886076</v>
      </c>
      <c r="U52" s="44">
        <f>IFERROR(VLOOKUP(B:B,'[1]8店'!$B:$T,19,0),"-")</f>
        <v>1.59493670886076</v>
      </c>
      <c r="V52" s="81">
        <f t="shared" si="24"/>
        <v>0</v>
      </c>
      <c r="W52" s="82" t="str">
        <f>_xlfn.IFS(AND(D52&lt;&gt;0,D52-$AM$2&gt;=0,B52&gt;0,D52&lt;&gt;0),"本月刚到货",AND(IFERROR((K52/(N52/7))/30,"-")="-",K52&gt;0),"有库存无销量",AND(IFERROR((K52/(N52/7))/30,"-")="-",K52=0),"无库存无销量",AND(IFERROR((K52/(N52/7))/30,"-")&lt;=0.5,K52=0),"无库存有销量",IFERROR((K52/(N52/7))/30,"-")&lt;=0.5,"库存过低",IFERROR((K52/(N52/7))/30,"-")&lt;=1.5,"正常",IFERROR((K52/(N52/7))/30,"-")&gt;1.5,"库存过高")</f>
        <v>正常</v>
      </c>
      <c r="X52" s="83" t="str">
        <f>_xlfn.IFS(AND(D52&lt;&gt;0,D52-$AM$2&gt;=0,K52&gt;0,D52&lt;&gt;0),"本月刚到货",AND(T52="-",K52&gt;0),"有库存无销量",AND(T52="-",K52=0),"无库存无销量",AND(T52&lt;=0.5,K52=0),"无库存有销量",T52&lt;=0.5,"库存过低",T52&lt;=1.5,"正常",T52&gt;1.5,"库存过高")</f>
        <v>库存过高</v>
      </c>
      <c r="Y52" s="44">
        <f>IFERROR(SUMIF('8店辅助表'!K:K,B:B,'8店辅助表'!N:N),0)</f>
        <v>0.4</v>
      </c>
      <c r="Z52" s="44">
        <f>IFERROR(SUMIF('8店辅助表'!T:T,B:B,'8店辅助表'!W:W),0)</f>
        <v>0.64</v>
      </c>
      <c r="AA52" s="44">
        <f>IFERROR(SUMIF('8店辅助表'!AC:AC,B:B,'8店辅助表'!AF:AF),0)</f>
        <v>1.3</v>
      </c>
      <c r="AB52" s="91">
        <f>IFERROR(SUMIF('8店辅助表'!K:K,B:B,'8店辅助表'!N:N)/SUMIF('8店辅助表'!K:K,B:B,'8店辅助表'!O:O),"-")</f>
        <v>0.0166805671392827</v>
      </c>
      <c r="AC52" s="91" t="str">
        <f>IFERROR(VLOOKUP(B:B,'[1]8店'!$B:$AB,27,FALSE),"-")</f>
        <v>-</v>
      </c>
      <c r="AD52" s="92" t="str">
        <f t="shared" si="25"/>
        <v>-</v>
      </c>
      <c r="AE52" s="91">
        <f>IFERROR(SUMIF('8店辅助表'!T:T,B:B,'8店辅助表'!W:W)/SUMIF('8店辅助表'!T:T,B:B,'8店辅助表'!X:X),"-")</f>
        <v>0.0266889074228524</v>
      </c>
      <c r="AF52" s="91">
        <f>IFERROR(SUMIF('8店辅助表'!AC:AC,B:B,'8店辅助表'!AF:AF)/SUMIF('8店辅助表'!AC:AC,B:B,'8店辅助表'!AG:AG),"-")</f>
        <v>0.0542118432026689</v>
      </c>
      <c r="AG52" s="99">
        <f>IFERROR(AK52/((SUMIF('8店辅助表'!AT:AT,B:B,'8店辅助表'!AU:AU)+M52)/2),"-")</f>
        <v>0.166666666666667</v>
      </c>
      <c r="AH52" s="99">
        <f>IFERROR(AL52/((SUMIF('8店辅助表'!AW:AW,B:B,'8店辅助表'!AX:AX)+M52)/2),"-")</f>
        <v>0.285714285714286</v>
      </c>
      <c r="AI52" s="100">
        <f>IFERROR((SUMIF('8店辅助表'!AP:AP,B:B,'8店辅助表'!AR:AR)-SUMIF('8店辅助表'!AP:AP,B:B,'8店辅助表'!AR:AR)*0.15-(L52+IFERROR(VLOOKUP(B:B,'8店辅助表'!AZ:BA,2,0),0))*O52-IF(AN:AN="US",6.85,4.9)*(Z52+4.03*O52))/SUMIF('8店辅助表'!AP:AP,B:B,'8店辅助表'!AR:AR),"-")</f>
        <v>0.283219897359722</v>
      </c>
      <c r="AJ52" s="100">
        <f t="shared" si="26"/>
        <v>0.0809199706742062</v>
      </c>
      <c r="AK52" s="101">
        <f t="shared" si="27"/>
        <v>16.263</v>
      </c>
      <c r="AL52" s="101">
        <f t="shared" si="28"/>
        <v>32.526</v>
      </c>
      <c r="AM52" s="1" t="str">
        <f>VLOOKUP(B:B,'8店辅助表'!AZ:AZ,1,FALSE)</f>
        <v>Y8069-PU</v>
      </c>
      <c r="AN52" t="str">
        <f>VLOOKUP(B:B,'8店辅助表'!AZ:BB,3,FALSE)</f>
        <v>US</v>
      </c>
    </row>
    <row r="53" customHeight="1" spans="1:40">
      <c r="A53" s="58" t="str">
        <f>INDEX('[1]8店'!$A:$A,MATCH(B:B,'[1]8店'!$B:$B,0))</f>
        <v>晓美</v>
      </c>
      <c r="B53" s="108" t="s">
        <v>2892</v>
      </c>
      <c r="C53" s="108" t="s">
        <v>1966</v>
      </c>
      <c r="D53" s="59">
        <f>VLOOKUP(B:B,'[1]8店'!$B:$L,3,0)</f>
        <v>45054</v>
      </c>
      <c r="E53" s="108" t="s">
        <v>2893</v>
      </c>
      <c r="F53" s="108">
        <v>20</v>
      </c>
      <c r="G53" s="108">
        <v>0</v>
      </c>
      <c r="H53" s="108">
        <v>0</v>
      </c>
      <c r="I53" s="108">
        <v>0</v>
      </c>
      <c r="J53" s="108">
        <v>0</v>
      </c>
      <c r="K53" s="63">
        <f t="shared" si="20"/>
        <v>20</v>
      </c>
      <c r="L53" s="124">
        <f>VLOOKUP($B:$B,'[1]8店'!$B:$L,11,0)</f>
        <v>16.15</v>
      </c>
      <c r="M53" s="44">
        <f t="shared" si="29"/>
        <v>323</v>
      </c>
      <c r="N53" s="65">
        <f>IFERROR(VLOOKUP(B:B,'8店辅助表'!B:C,2,FALSE),0)</f>
        <v>1</v>
      </c>
      <c r="O53" s="65">
        <f>IFERROR(VLOOKUP(B:B,'8店辅助表'!E:F,2,FALSE),0)</f>
        <v>2</v>
      </c>
      <c r="P53" s="65">
        <f>IFERROR(VLOOKUP(B:B,'8店辅助表'!H:I,2,FALSE),0)</f>
        <v>7</v>
      </c>
      <c r="Q53" s="65">
        <f>IFERROR(VLOOKUP(B:B,'[1]8店'!$B:$N,13,FALSE),0)</f>
        <v>0</v>
      </c>
      <c r="R53" s="79">
        <f t="shared" si="21"/>
        <v>1</v>
      </c>
      <c r="S53" s="80">
        <f t="shared" si="22"/>
        <v>117.757009345794</v>
      </c>
      <c r="T53" s="44">
        <f t="shared" si="23"/>
        <v>3.92523364485981</v>
      </c>
      <c r="U53" s="44">
        <f>IFERROR(VLOOKUP(B:B,'[1]8店'!$B:$T,19,0),"-")</f>
        <v>7.875</v>
      </c>
      <c r="V53" s="81">
        <f t="shared" si="24"/>
        <v>-3.94976635514019</v>
      </c>
      <c r="W53" s="82" t="str">
        <f>_xlfn.IFS(AND(D53&lt;&gt;0,D53-$AM$2&gt;=0,B53&gt;0,D53&lt;&gt;0),"本月刚到货",AND(IFERROR((K53/(N53/7))/30,"-")="-",K53&gt;0),"有库存无销量",AND(IFERROR((K53/(N53/7))/30,"-")="-",K53=0),"无库存无销量",AND(IFERROR((K53/(N53/7))/30,"-")&lt;=0.5,K53=0),"无库存有销量",IFERROR((K53/(N53/7))/30,"-")&lt;=0.5,"库存过低",IFERROR((K53/(N53/7))/30,"-")&lt;=1.5,"正常",IFERROR((K53/(N53/7))/30,"-")&gt;1.5,"库存过高")</f>
        <v>库存过高</v>
      </c>
      <c r="X53" s="83" t="str">
        <f>_xlfn.IFS(AND(D53&lt;&gt;0,D53-$AM$2&gt;=0,K53&gt;0,D53&lt;&gt;0),"本月刚到货",AND(T53="-",K53&gt;0),"有库存无销量",AND(T53="-",K53=0),"无库存无销量",AND(T53&lt;=0.5,K53=0),"无库存有销量",T53&lt;=0.5,"库存过低",T53&lt;=1.5,"正常",T53&gt;1.5,"库存过高")</f>
        <v>库存过高</v>
      </c>
      <c r="Y53" s="44">
        <f>IFERROR(SUMIF('8店辅助表'!K:K,B:B,'8店辅助表'!N:N),0)</f>
        <v>1.02</v>
      </c>
      <c r="Z53" s="44">
        <f>IFERROR(SUMIF('8店辅助表'!T:T,B:B,'8店辅助表'!W:W),0)</f>
        <v>1.37</v>
      </c>
      <c r="AA53" s="44">
        <f>IFERROR(SUMIF('8店辅助表'!AC:AC,B:B,'8店辅助表'!AF:AF),0)</f>
        <v>2.41</v>
      </c>
      <c r="AB53" s="91" t="str">
        <f>IFERROR(SUMIF('8店辅助表'!K:K,B:B,'8店辅助表'!N:N)/SUMIF('8店辅助表'!K:K,B:B,'8店辅助表'!O:O),"-")</f>
        <v>-</v>
      </c>
      <c r="AC53" s="91" t="str">
        <f>IFERROR(VLOOKUP(B:B,'[1]8店'!$B:$AB,27,FALSE),"-")</f>
        <v>-</v>
      </c>
      <c r="AD53" s="92" t="str">
        <f t="shared" si="25"/>
        <v>-</v>
      </c>
      <c r="AE53" s="91" t="str">
        <f>IFERROR(SUMIF('8店辅助表'!T:T,B:B,'8店辅助表'!W:W)/SUMIF('8店辅助表'!T:T,B:B,'8店辅助表'!X:X),"-")</f>
        <v>-</v>
      </c>
      <c r="AF53" s="91" t="str">
        <f>IFERROR(SUMIF('8店辅助表'!AC:AC,B:B,'8店辅助表'!AF:AF)/SUMIF('8店辅助表'!AC:AC,B:B,'8店辅助表'!AG:AG),"-")</f>
        <v>-</v>
      </c>
      <c r="AG53" s="99">
        <f>IFERROR(AK53/((SUMIF('8店辅助表'!AT:AT,B:B,'8店辅助表'!AU:AU)+M53)/2),"-")</f>
        <v>0.048780487804878</v>
      </c>
      <c r="AH53" s="99">
        <f>IFERROR(AL53/((SUMIF('8店辅助表'!AW:AW,B:B,'8店辅助表'!AX:AX)+M53)/2),"-")</f>
        <v>0.0833333333333333</v>
      </c>
      <c r="AI53" s="100">
        <f>IFERROR((SUMIF('8店辅助表'!AP:AP,B:B,'8店辅助表'!AR:AR)-SUMIF('8店辅助表'!AP:AP,B:B,'8店辅助表'!AR:AR)*0.15-(L53+IFERROR(VLOOKUP(B:B,'8店辅助表'!AZ:BA,2,0),0))*O53-IF(AN:AN="US",6.85,4.9)*(Z53+4.03*O53))/SUMIF('8店辅助表'!AP:AP,B:B,'8店辅助表'!AR:AR),"-")</f>
        <v>0.225839033229544</v>
      </c>
      <c r="AJ53" s="100">
        <f t="shared" si="26"/>
        <v>0.0188199194357954</v>
      </c>
      <c r="AK53" s="101">
        <f t="shared" si="27"/>
        <v>16.15</v>
      </c>
      <c r="AL53" s="101">
        <f t="shared" si="28"/>
        <v>32.3</v>
      </c>
      <c r="AM53" s="1" t="str">
        <f>VLOOKUP(B:B,'8店辅助表'!AZ:AZ,1,FALSE)</f>
        <v>Y8082-NF</v>
      </c>
      <c r="AN53" t="str">
        <f>VLOOKUP(B:B,'8店辅助表'!AZ:BB,3,FALSE)</f>
        <v>US</v>
      </c>
    </row>
    <row r="54" customHeight="1" spans="1:40">
      <c r="A54" s="58" t="str">
        <f>INDEX('[1]8店'!$A:$A,MATCH(B:B,'[1]8店'!$B:$B,0))</f>
        <v>晓美</v>
      </c>
      <c r="B54" s="108" t="s">
        <v>2894</v>
      </c>
      <c r="C54" s="108" t="s">
        <v>1963</v>
      </c>
      <c r="D54" s="59">
        <f>VLOOKUP(B:B,'[1]8店'!$B:$L,3,0)</f>
        <v>45054</v>
      </c>
      <c r="E54" s="108" t="s">
        <v>2895</v>
      </c>
      <c r="F54" s="108">
        <v>42</v>
      </c>
      <c r="G54" s="108">
        <v>0</v>
      </c>
      <c r="H54" s="108">
        <v>0</v>
      </c>
      <c r="I54" s="108">
        <v>2</v>
      </c>
      <c r="J54" s="108">
        <v>0</v>
      </c>
      <c r="K54" s="63">
        <f t="shared" si="20"/>
        <v>44</v>
      </c>
      <c r="L54" s="124">
        <f>VLOOKUP($B:$B,'[1]8店'!$B:$L,11,0)</f>
        <v>16.278</v>
      </c>
      <c r="M54" s="44">
        <f t="shared" si="29"/>
        <v>716.232</v>
      </c>
      <c r="N54" s="65">
        <f>IFERROR(VLOOKUP(B:B,'8店辅助表'!B:C,2,FALSE),0)</f>
        <v>5</v>
      </c>
      <c r="O54" s="65">
        <f>IFERROR(VLOOKUP(B:B,'8店辅助表'!E:F,2,FALSE),0)</f>
        <v>11</v>
      </c>
      <c r="P54" s="65">
        <f>IFERROR(VLOOKUP(B:B,'8店辅助表'!H:I,2,FALSE),0)</f>
        <v>18</v>
      </c>
      <c r="Q54" s="65">
        <f>IFERROR(VLOOKUP(B:B,'[1]8店'!$B:$N,13,FALSE),0)</f>
        <v>4</v>
      </c>
      <c r="R54" s="79">
        <f t="shared" si="21"/>
        <v>1</v>
      </c>
      <c r="S54" s="80">
        <f t="shared" si="22"/>
        <v>64.4651162790698</v>
      </c>
      <c r="T54" s="44">
        <f t="shared" si="23"/>
        <v>2.14883720930233</v>
      </c>
      <c r="U54" s="44">
        <f>IFERROR(VLOOKUP(B:B,'[1]8店'!$B:$T,19,0),"-")</f>
        <v>2.69230769230769</v>
      </c>
      <c r="V54" s="81">
        <f t="shared" si="24"/>
        <v>-0.54347048300536</v>
      </c>
      <c r="W54" s="82" t="str">
        <f>_xlfn.IFS(AND(D54&lt;&gt;0,D54-$AM$2&gt;=0,B54&gt;0,D54&lt;&gt;0),"本月刚到货",AND(IFERROR((K54/(N54/7))/30,"-")="-",K54&gt;0),"有库存无销量",AND(IFERROR((K54/(N54/7))/30,"-")="-",K54=0),"无库存无销量",AND(IFERROR((K54/(N54/7))/30,"-")&lt;=0.5,K54=0),"无库存有销量",IFERROR((K54/(N54/7))/30,"-")&lt;=0.5,"库存过低",IFERROR((K54/(N54/7))/30,"-")&lt;=1.5,"正常",IFERROR((K54/(N54/7))/30,"-")&gt;1.5,"库存过高")</f>
        <v>库存过高</v>
      </c>
      <c r="X54" s="83" t="str">
        <f>_xlfn.IFS(AND(D54&lt;&gt;0,D54-$AM$2&gt;=0,K54&gt;0,D54&lt;&gt;0),"本月刚到货",AND(T54="-",K54&gt;0),"有库存无销量",AND(T54="-",K54=0),"无库存无销量",AND(T54&lt;=0.5,K54=0),"无库存有销量",T54&lt;=0.5,"库存过低",T54&lt;=1.5,"正常",T54&gt;1.5,"库存过高")</f>
        <v>库存过高</v>
      </c>
      <c r="Y54" s="44">
        <f>IFERROR(SUMIF('8店辅助表'!K:K,B:B,'8店辅助表'!N:N),0)</f>
        <v>6</v>
      </c>
      <c r="Z54" s="44">
        <f>IFERROR(SUMIF('8店辅助表'!T:T,B:B,'8店辅助表'!W:W),0)</f>
        <v>9.14</v>
      </c>
      <c r="AA54" s="44">
        <f>IFERROR(SUMIF('8店辅助表'!AC:AC,B:B,'8店辅助表'!AF:AF),0)</f>
        <v>11.8</v>
      </c>
      <c r="AB54" s="91">
        <f>IFERROR(SUMIF('8店辅助表'!K:K,B:B,'8店辅助表'!N:N)/SUMIF('8店辅助表'!K:K,B:B,'8店辅助表'!O:O),"-")</f>
        <v>0.500417014178482</v>
      </c>
      <c r="AC54" s="91">
        <f>IFERROR(VLOOKUP(B:B,'[1]8店'!$B:$AB,27,FALSE),"-")</f>
        <v>0.221017514595496</v>
      </c>
      <c r="AD54" s="92">
        <f t="shared" si="25"/>
        <v>0.279399499582986</v>
      </c>
      <c r="AE54" s="91">
        <f>IFERROR(SUMIF('8店辅助表'!T:T,B:B,'8店辅助表'!W:W)/SUMIF('8店辅助表'!T:T,B:B,'8店辅助表'!X:X),"-")</f>
        <v>0.381150959132611</v>
      </c>
      <c r="AF54" s="91">
        <f>IFERROR(SUMIF('8店辅助表'!AC:AC,B:B,'8店辅助表'!AF:AF)/SUMIF('8店辅助表'!AC:AC,B:B,'8店辅助表'!AG:AG),"-")</f>
        <v>0.492076730608841</v>
      </c>
      <c r="AG54" s="99">
        <f>IFERROR(AK54/((SUMIF('8店辅助表'!AT:AT,B:B,'8店辅助表'!AU:AU)+M54)/2),"-")</f>
        <v>0.112359550561798</v>
      </c>
      <c r="AH54" s="99">
        <f>IFERROR(AL54/((SUMIF('8店辅助表'!AW:AW,B:B,'8店辅助表'!AX:AX)+M54)/2),"-")</f>
        <v>0.222222222222222</v>
      </c>
      <c r="AI54" s="100">
        <f>IFERROR((SUMIF('8店辅助表'!AP:AP,B:B,'8店辅助表'!AR:AR)-SUMIF('8店辅助表'!AP:AP,B:B,'8店辅助表'!AR:AR)*0.15-(L54+IFERROR(VLOOKUP(B:B,'8店辅助表'!AZ:BA,2,0),0))*O54-IF(AN:AN="US",6.85,4.9)*(Z54+4.03*O54))/SUMIF('8店辅助表'!AP:AP,B:B,'8店辅助表'!AR:AR),"-")</f>
        <v>0.179267698751393</v>
      </c>
      <c r="AJ54" s="100">
        <f t="shared" si="26"/>
        <v>0.0398372663891984</v>
      </c>
      <c r="AK54" s="101">
        <f t="shared" si="27"/>
        <v>81.39</v>
      </c>
      <c r="AL54" s="101">
        <f t="shared" si="28"/>
        <v>179.058</v>
      </c>
      <c r="AM54" s="1" t="str">
        <f>VLOOKUP(B:B,'8店辅助表'!AZ:AZ,1,FALSE)</f>
        <v>Y8082-BL</v>
      </c>
      <c r="AN54" t="str">
        <f>VLOOKUP(B:B,'8店辅助表'!AZ:BB,3,FALSE)</f>
        <v>US</v>
      </c>
    </row>
    <row r="55" customHeight="1" spans="1:40">
      <c r="A55" s="58" t="str">
        <f>INDEX('[1]8店'!$A:$A,MATCH(B:B,'[1]8店'!$B:$B,0))</f>
        <v>晓美</v>
      </c>
      <c r="B55" s="108" t="s">
        <v>2896</v>
      </c>
      <c r="C55" s="108" t="s">
        <v>1980</v>
      </c>
      <c r="D55" s="59">
        <f>VLOOKUP(B:B,'[1]8店'!$B:$L,3,0)</f>
        <v>45041</v>
      </c>
      <c r="E55" s="108" t="s">
        <v>2897</v>
      </c>
      <c r="F55" s="108">
        <v>5</v>
      </c>
      <c r="G55" s="108">
        <v>0</v>
      </c>
      <c r="H55" s="108">
        <v>0</v>
      </c>
      <c r="I55" s="108">
        <v>0</v>
      </c>
      <c r="J55" s="108">
        <v>0</v>
      </c>
      <c r="K55" s="63">
        <f t="shared" si="20"/>
        <v>5</v>
      </c>
      <c r="L55" s="124">
        <f>VLOOKUP($B:$B,'[1]8店'!$B:$L,11,0)</f>
        <v>20.15</v>
      </c>
      <c r="M55" s="44">
        <f t="shared" si="29"/>
        <v>100.75</v>
      </c>
      <c r="N55" s="65">
        <f>IFERROR(VLOOKUP(B:B,'8店辅助表'!B:C,2,FALSE),0)</f>
        <v>0</v>
      </c>
      <c r="O55" s="65">
        <f>IFERROR(VLOOKUP(B:B,'8店辅助表'!E:F,2,FALSE),0)</f>
        <v>0</v>
      </c>
      <c r="P55" s="65">
        <f>IFERROR(VLOOKUP(B:B,'8店辅助表'!H:I,2,FALSE),0)</f>
        <v>0</v>
      </c>
      <c r="Q55" s="65">
        <f>IFERROR(VLOOKUP(B:B,'[1]8店'!$B:$N,13,FALSE),0)</f>
        <v>0</v>
      </c>
      <c r="R55" s="79">
        <f t="shared" si="21"/>
        <v>0</v>
      </c>
      <c r="S55" s="80" t="str">
        <f t="shared" si="22"/>
        <v>-</v>
      </c>
      <c r="T55" s="44" t="str">
        <f t="shared" si="23"/>
        <v>-</v>
      </c>
      <c r="U55" s="44">
        <f>IFERROR(VLOOKUP(B:B,'[1]8店'!$B:$T,19,0),"-")</f>
        <v>15</v>
      </c>
      <c r="V55" s="81" t="str">
        <f t="shared" si="24"/>
        <v>-</v>
      </c>
      <c r="W55" s="82" t="str">
        <f>_xlfn.IFS(AND(D55&lt;&gt;0,D55-$AM$2&gt;=0,B55&gt;0,D55&lt;&gt;0),"本月刚到货",AND(IFERROR((K55/(N55/7))/30,"-")="-",K55&gt;0),"有库存无销量",AND(IFERROR((K55/(N55/7))/30,"-")="-",K55=0),"无库存无销量",AND(IFERROR((K55/(N55/7))/30,"-")&lt;=0.5,K55=0),"无库存有销量",IFERROR((K55/(N55/7))/30,"-")&lt;=0.5,"库存过低",IFERROR((K55/(N55/7))/30,"-")&lt;=1.5,"正常",IFERROR((K55/(N55/7))/30,"-")&gt;1.5,"库存过高")</f>
        <v>有库存无销量</v>
      </c>
      <c r="X55" s="83" t="str">
        <f>_xlfn.IFS(AND(D55&lt;&gt;0,D55-$AM$2&gt;=0,K55&gt;0,D55&lt;&gt;0),"本月刚到货",AND(T55="-",K55&gt;0),"有库存无销量",AND(T55="-",K55=0),"无库存无销量",AND(T55&lt;=0.5,K55=0),"无库存有销量",T55&lt;=0.5,"库存过低",T55&lt;=1.5,"正常",T55&gt;1.5,"库存过高")</f>
        <v>有库存无销量</v>
      </c>
      <c r="Y55" s="44">
        <f>IFERROR(SUMIF('8店辅助表'!K:K,B:B,'8店辅助表'!N:N),0)</f>
        <v>0.13</v>
      </c>
      <c r="Z55" s="44">
        <f>IFERROR(SUMIF('8店辅助表'!T:T,B:B,'8店辅助表'!W:W),0)</f>
        <v>0.28</v>
      </c>
      <c r="AA55" s="44">
        <f>IFERROR(SUMIF('8店辅助表'!AC:AC,B:B,'8店辅助表'!AF:AF),0)</f>
        <v>0.67</v>
      </c>
      <c r="AB55" s="91" t="str">
        <f>IFERROR(SUMIF('8店辅助表'!K:K,B:B,'8店辅助表'!N:N)/SUMIF('8店辅助表'!K:K,B:B,'8店辅助表'!O:O),"-")</f>
        <v>-</v>
      </c>
      <c r="AC55" s="91" t="str">
        <f>IFERROR(VLOOKUP(B:B,'[1]8店'!$B:$AB,27,FALSE),"-")</f>
        <v>-</v>
      </c>
      <c r="AD55" s="92" t="str">
        <f t="shared" si="25"/>
        <v>-</v>
      </c>
      <c r="AE55" s="91" t="str">
        <f>IFERROR(SUMIF('8店辅助表'!T:T,B:B,'8店辅助表'!W:W)/SUMIF('8店辅助表'!T:T,B:B,'8店辅助表'!X:X),"-")</f>
        <v>-</v>
      </c>
      <c r="AF55" s="91" t="str">
        <f>IFERROR(SUMIF('8店辅助表'!AC:AC,B:B,'8店辅助表'!AF:AF)/SUMIF('8店辅助表'!AC:AC,B:B,'8店辅助表'!AG:AG),"-")</f>
        <v>-</v>
      </c>
      <c r="AG55" s="99">
        <f>IFERROR(AK55/((SUMIF('8店辅助表'!AT:AT,B:B,'8店辅助表'!AU:AU)+M55)/2),"-")</f>
        <v>0</v>
      </c>
      <c r="AH55" s="99">
        <f>IFERROR(AL55/((SUMIF('8店辅助表'!AW:AW,B:B,'8店辅助表'!AX:AX)+M55)/2),"-")</f>
        <v>0</v>
      </c>
      <c r="AI55" s="100" t="str">
        <f>IFERROR((SUMIF('8店辅助表'!AP:AP,B:B,'8店辅助表'!AR:AR)-SUMIF('8店辅助表'!AP:AP,B:B,'8店辅助表'!AR:AR)*0.15-(L55+IFERROR(VLOOKUP(B:B,'8店辅助表'!AZ:BA,2,0),0))*O55-IF(AN:AN="US",6.85,4.9)*(Z55+4.03*O55))/SUMIF('8店辅助表'!AP:AP,B:B,'8店辅助表'!AR:AR),"-")</f>
        <v>-</v>
      </c>
      <c r="AJ55" s="100" t="str">
        <f t="shared" si="26"/>
        <v>-</v>
      </c>
      <c r="AK55" s="101">
        <f t="shared" si="27"/>
        <v>0</v>
      </c>
      <c r="AL55" s="101">
        <f t="shared" si="28"/>
        <v>0</v>
      </c>
      <c r="AM55" s="1" t="str">
        <f>VLOOKUP(B:B,'8店辅助表'!AZ:AZ,1,FALSE)</f>
        <v>Y8083-BL</v>
      </c>
      <c r="AN55" t="str">
        <f>VLOOKUP(B:B,'8店辅助表'!AZ:BB,3,FALSE)</f>
        <v>US</v>
      </c>
    </row>
    <row r="56" customHeight="1" spans="1:40">
      <c r="A56" s="58" t="str">
        <f>INDEX('[1]8店'!$A:$A,MATCH(B:B,'[1]8店'!$B:$B,0))</f>
        <v>晓美</v>
      </c>
      <c r="B56" s="108" t="s">
        <v>2898</v>
      </c>
      <c r="C56" s="123" t="s">
        <v>1983</v>
      </c>
      <c r="D56" s="59">
        <f>VLOOKUP(B:B,'[1]8店'!$B:$L,3,0)</f>
        <v>45041</v>
      </c>
      <c r="E56" s="108" t="s">
        <v>2899</v>
      </c>
      <c r="F56" s="108">
        <v>10</v>
      </c>
      <c r="G56" s="108">
        <v>0</v>
      </c>
      <c r="H56" s="108">
        <v>0</v>
      </c>
      <c r="I56" s="108">
        <v>0</v>
      </c>
      <c r="J56" s="108">
        <v>0</v>
      </c>
      <c r="K56" s="63">
        <f t="shared" si="20"/>
        <v>10</v>
      </c>
      <c r="L56" s="124">
        <f>VLOOKUP($B:$B,'[1]8店'!$B:$L,11,0)</f>
        <v>20.15</v>
      </c>
      <c r="M56" s="44">
        <f t="shared" si="29"/>
        <v>201.5</v>
      </c>
      <c r="N56" s="65">
        <f>IFERROR(VLOOKUP(B:B,'8店辅助表'!B:C,2,FALSE),0)</f>
        <v>0</v>
      </c>
      <c r="O56" s="65">
        <f>IFERROR(VLOOKUP(B:B,'8店辅助表'!E:F,2,FALSE),0)</f>
        <v>0</v>
      </c>
      <c r="P56" s="65">
        <f>IFERROR(VLOOKUP(B:B,'8店辅助表'!H:I,2,FALSE),0)</f>
        <v>1</v>
      </c>
      <c r="Q56" s="65">
        <f>IFERROR(VLOOKUP(B:B,'[1]8店'!$B:$N,13,FALSE),0)</f>
        <v>0</v>
      </c>
      <c r="R56" s="79">
        <f t="shared" si="21"/>
        <v>0</v>
      </c>
      <c r="S56" s="80">
        <f t="shared" si="22"/>
        <v>900</v>
      </c>
      <c r="T56" s="44">
        <f t="shared" si="23"/>
        <v>30</v>
      </c>
      <c r="U56" s="44">
        <f>IFERROR(VLOOKUP(B:B,'[1]8店'!$B:$T,19,0),"-")</f>
        <v>30</v>
      </c>
      <c r="V56" s="81">
        <f t="shared" si="24"/>
        <v>0</v>
      </c>
      <c r="W56" s="82" t="str">
        <f>_xlfn.IFS(AND(D56&lt;&gt;0,D56-$AM$2&gt;=0,B56&gt;0,D56&lt;&gt;0),"本月刚到货",AND(IFERROR((K56/(N56/7))/30,"-")="-",K56&gt;0),"有库存无销量",AND(IFERROR((K56/(N56/7))/30,"-")="-",K56=0),"无库存无销量",AND(IFERROR((K56/(N56/7))/30,"-")&lt;=0.5,K56=0),"无库存有销量",IFERROR((K56/(N56/7))/30,"-")&lt;=0.5,"库存过低",IFERROR((K56/(N56/7))/30,"-")&lt;=1.5,"正常",IFERROR((K56/(N56/7))/30,"-")&gt;1.5,"库存过高")</f>
        <v>有库存无销量</v>
      </c>
      <c r="X56" s="83" t="str">
        <f>_xlfn.IFS(AND(D56&lt;&gt;0,D56-$AM$2&gt;=0,K56&gt;0,D56&lt;&gt;0),"本月刚到货",AND(T56="-",K56&gt;0),"有库存无销量",AND(T56="-",K56=0),"无库存无销量",AND(T56&lt;=0.5,K56=0),"无库存有销量",T56&lt;=0.5,"库存过低",T56&lt;=1.5,"正常",T56&gt;1.5,"库存过高")</f>
        <v>库存过高</v>
      </c>
      <c r="Y56" s="44">
        <f>IFERROR(SUMIF('8店辅助表'!K:K,B:B,'8店辅助表'!N:N),0)</f>
        <v>0</v>
      </c>
      <c r="Z56" s="44">
        <f>IFERROR(SUMIF('8店辅助表'!T:T,B:B,'8店辅助表'!W:W),0)</f>
        <v>0</v>
      </c>
      <c r="AA56" s="44">
        <f>IFERROR(SUMIF('8店辅助表'!AC:AC,B:B,'8店辅助表'!AF:AF),0)</f>
        <v>0.15</v>
      </c>
      <c r="AB56" s="91" t="str">
        <f>IFERROR(SUMIF('8店辅助表'!K:K,B:B,'8店辅助表'!N:N)/SUMIF('8店辅助表'!K:K,B:B,'8店辅助表'!O:O),"-")</f>
        <v>-</v>
      </c>
      <c r="AC56" s="91" t="str">
        <f>IFERROR(VLOOKUP(B:B,'[1]8店'!$B:$AB,27,FALSE),"-")</f>
        <v>-</v>
      </c>
      <c r="AD56" s="92" t="str">
        <f t="shared" si="25"/>
        <v>-</v>
      </c>
      <c r="AE56" s="91" t="str">
        <f>IFERROR(SUMIF('8店辅助表'!T:T,B:B,'8店辅助表'!W:W)/SUMIF('8店辅助表'!T:T,B:B,'8店辅助表'!X:X),"-")</f>
        <v>-</v>
      </c>
      <c r="AF56" s="91" t="str">
        <f>IFERROR(SUMIF('8店辅助表'!AC:AC,B:B,'8店辅助表'!AF:AF)/SUMIF('8店辅助表'!AC:AC,B:B,'8店辅助表'!AG:AG),"-")</f>
        <v>-</v>
      </c>
      <c r="AG56" s="99">
        <f>IFERROR(AK56/((SUMIF('8店辅助表'!AT:AT,B:B,'8店辅助表'!AU:AU)+M56)/2),"-")</f>
        <v>0</v>
      </c>
      <c r="AH56" s="99">
        <f>IFERROR(AL56/((SUMIF('8店辅助表'!AW:AW,B:B,'8店辅助表'!AX:AX)+M56)/2),"-")</f>
        <v>0</v>
      </c>
      <c r="AI56" s="100" t="str">
        <f>IFERROR((SUMIF('8店辅助表'!AP:AP,B:B,'8店辅助表'!AR:AR)-SUMIF('8店辅助表'!AP:AP,B:B,'8店辅助表'!AR:AR)*0.15-(L56+IFERROR(VLOOKUP(B:B,'8店辅助表'!AZ:BA,2,0),0))*O56-IF(AN:AN="US",6.85,4.9)*(Z56+4.03*O56))/SUMIF('8店辅助表'!AP:AP,B:B,'8店辅助表'!AR:AR),"-")</f>
        <v>-</v>
      </c>
      <c r="AJ56" s="100" t="str">
        <f t="shared" si="26"/>
        <v>-</v>
      </c>
      <c r="AK56" s="101">
        <f t="shared" si="27"/>
        <v>0</v>
      </c>
      <c r="AL56" s="101">
        <f t="shared" si="28"/>
        <v>0</v>
      </c>
      <c r="AM56" s="1" t="str">
        <f>VLOOKUP(B:B,'8店辅助表'!AZ:AZ,1,FALSE)</f>
        <v>Y8083-PU</v>
      </c>
      <c r="AN56" t="str">
        <f>VLOOKUP(B:B,'8店辅助表'!AZ:BB,3,FALSE)</f>
        <v>US</v>
      </c>
    </row>
    <row r="57" customHeight="1" spans="1:40">
      <c r="A57" s="58" t="str">
        <f>INDEX('[1]8店'!$A:$A,MATCH(B:B,'[1]8店'!$B:$B,0))</f>
        <v>晓美</v>
      </c>
      <c r="B57" s="108" t="s">
        <v>2900</v>
      </c>
      <c r="C57" s="108" t="s">
        <v>1992</v>
      </c>
      <c r="D57" s="59">
        <f>VLOOKUP(B:B,'[1]8店'!$B:$L,3,0)</f>
        <v>45051</v>
      </c>
      <c r="E57" s="108" t="s">
        <v>2901</v>
      </c>
      <c r="F57" s="108">
        <v>9</v>
      </c>
      <c r="G57" s="108">
        <v>1</v>
      </c>
      <c r="H57" s="108">
        <v>32</v>
      </c>
      <c r="I57" s="108">
        <v>0</v>
      </c>
      <c r="J57" s="108">
        <v>0</v>
      </c>
      <c r="K57" s="63">
        <f t="shared" si="20"/>
        <v>42</v>
      </c>
      <c r="L57" s="124">
        <f>VLOOKUP($B:$B,'[1]8店'!$B:$L,11,0)</f>
        <v>105.662</v>
      </c>
      <c r="M57" s="44">
        <f t="shared" si="29"/>
        <v>4437.804</v>
      </c>
      <c r="N57" s="65">
        <f>IFERROR(VLOOKUP(B:B,'8店辅助表'!B:C,2,FALSE),0)</f>
        <v>7</v>
      </c>
      <c r="O57" s="65">
        <f>IFERROR(VLOOKUP(B:B,'8店辅助表'!E:F,2,FALSE),0)</f>
        <v>13</v>
      </c>
      <c r="P57" s="65">
        <f>IFERROR(VLOOKUP(B:B,'8店辅助表'!H:I,2,FALSE),0)</f>
        <v>39</v>
      </c>
      <c r="Q57" s="65">
        <f>IFERROR(VLOOKUP(B:B,'[1]8店'!$B:$N,13,FALSE),0)</f>
        <v>6</v>
      </c>
      <c r="R57" s="79">
        <f t="shared" si="21"/>
        <v>1</v>
      </c>
      <c r="S57" s="80">
        <f t="shared" si="22"/>
        <v>39.7894736842105</v>
      </c>
      <c r="T57" s="44">
        <f t="shared" si="23"/>
        <v>1.32631578947368</v>
      </c>
      <c r="U57" s="44">
        <f>IFERROR(VLOOKUP(B:B,'[1]8店'!$B:$T,19,0),"-")</f>
        <v>0.187979539641944</v>
      </c>
      <c r="V57" s="81">
        <f t="shared" si="24"/>
        <v>1.13833624983174</v>
      </c>
      <c r="W57" s="82" t="str">
        <f>_xlfn.IFS(AND(D57&lt;&gt;0,D57-$AM$2&gt;=0,B57&gt;0,D57&lt;&gt;0),"本月刚到货",AND(IFERROR((K57/(N57/7))/30,"-")="-",K57&gt;0),"有库存无销量",AND(IFERROR((K57/(N57/7))/30,"-")="-",K57=0),"无库存无销量",AND(IFERROR((K57/(N57/7))/30,"-")&lt;=0.5,K57=0),"无库存有销量",IFERROR((K57/(N57/7))/30,"-")&lt;=0.5,"库存过低",IFERROR((K57/(N57/7))/30,"-")&lt;=1.5,"正常",IFERROR((K57/(N57/7))/30,"-")&gt;1.5,"库存过高")</f>
        <v>正常</v>
      </c>
      <c r="X57" s="83" t="str">
        <f>_xlfn.IFS(AND(D57&lt;&gt;0,D57-$AM$2&gt;=0,K57&gt;0,D57&lt;&gt;0),"本月刚到货",AND(T57="-",K57&gt;0),"有库存无销量",AND(T57="-",K57=0),"无库存无销量",AND(T57&lt;=0.5,K57=0),"无库存有销量",T57&lt;=0.5,"库存过低",T57&lt;=1.5,"正常",T57&gt;1.5,"库存过高")</f>
        <v>正常</v>
      </c>
      <c r="Y57" s="44">
        <f>IFERROR(SUMIF('8店辅助表'!K:K,B:B,'8店辅助表'!N:N),0)</f>
        <v>16.42</v>
      </c>
      <c r="Z57" s="44">
        <f>IFERROR(SUMIF('8店辅助表'!T:T,B:B,'8店辅助表'!W:W),0)</f>
        <v>40</v>
      </c>
      <c r="AA57" s="44">
        <f>IFERROR(SUMIF('8店辅助表'!AC:AC,B:B,'8店辅助表'!AF:AF),0)</f>
        <v>67.18</v>
      </c>
      <c r="AB57" s="91">
        <f>IFERROR(SUMIF('8店辅助表'!K:K,B:B,'8店辅助表'!N:N)/SUMIF('8店辅助表'!K:K,B:B,'8店辅助表'!O:O),"-")</f>
        <v>0.288171288171288</v>
      </c>
      <c r="AC57" s="91">
        <f>IFERROR(VLOOKUP(B:B,'[1]8店'!$B:$AB,27,FALSE),"-")</f>
        <v>0.123834962491475</v>
      </c>
      <c r="AD57" s="92">
        <f t="shared" si="25"/>
        <v>0.164336325679813</v>
      </c>
      <c r="AE57" s="91">
        <f>IFERROR(SUMIF('8店辅助表'!T:T,B:B,'8店辅助表'!W:W)/SUMIF('8店辅助表'!T:T,B:B,'8店辅助表'!X:X),"-")</f>
        <v>0.135171668018383</v>
      </c>
      <c r="AF57" s="91">
        <f>IFERROR(SUMIF('8店辅助表'!AC:AC,B:B,'8店辅助表'!AF:AF)/SUMIF('8店辅助表'!AC:AC,B:B,'8店辅助表'!AG:AG),"-")</f>
        <v>0.0763599990906818</v>
      </c>
      <c r="AG57" s="99">
        <f>IFERROR(AK57/((SUMIF('8店辅助表'!AT:AT,B:B,'8店辅助表'!AU:AU)+M57)/2),"-")</f>
        <v>0.285714285714286</v>
      </c>
      <c r="AH57" s="99">
        <f>IFERROR(AL57/((SUMIF('8店辅助表'!AW:AW,B:B,'8店辅助表'!AX:AX)+M57)/2),"-")</f>
        <v>0.342105263157895</v>
      </c>
      <c r="AI57" s="100">
        <f>IFERROR((SUMIF('8店辅助表'!AP:AP,B:B,'8店辅助表'!AR:AR)-SUMIF('8店辅助表'!AP:AP,B:B,'8店辅助表'!AR:AR)*0.15-(L57+IFERROR(VLOOKUP(B:B,'8店辅助表'!AZ:BA,2,0),0))*O57-IF(AN:AN="US",6.85,4.9)*(Z57+4.03*O57))/SUMIF('8店辅助表'!AP:AP,B:B,'8店辅助表'!AR:AR),"-")</f>
        <v>0.253188432009265</v>
      </c>
      <c r="AJ57" s="100">
        <f t="shared" si="26"/>
        <v>0.0866170951610645</v>
      </c>
      <c r="AK57" s="101">
        <f t="shared" si="27"/>
        <v>739.634</v>
      </c>
      <c r="AL57" s="101">
        <f t="shared" si="28"/>
        <v>1373.606</v>
      </c>
      <c r="AM57" s="1" t="str">
        <f>VLOOKUP(B:B,'8店辅助表'!AZ:AZ,1,FALSE)</f>
        <v>Y8086</v>
      </c>
      <c r="AN57" t="str">
        <f>VLOOKUP(B:B,'8店辅助表'!AZ:BB,3,FALSE)</f>
        <v>US</v>
      </c>
    </row>
    <row r="58" customHeight="1" spans="1:40">
      <c r="A58" s="58" t="str">
        <f>INDEX('[1]8店'!$A:$A,MATCH(B:B,'[1]8店'!$B:$B,0))</f>
        <v>秀青</v>
      </c>
      <c r="B58" s="108" t="s">
        <v>2902</v>
      </c>
      <c r="C58" s="108" t="s">
        <v>2075</v>
      </c>
      <c r="D58" s="59">
        <f>VLOOKUP(B:B,'[1]8店'!$B:$L,3,0)</f>
        <v>45080</v>
      </c>
      <c r="E58" s="108" t="s">
        <v>2903</v>
      </c>
      <c r="F58" s="108">
        <v>6</v>
      </c>
      <c r="G58" s="108">
        <v>0</v>
      </c>
      <c r="H58" s="108">
        <v>0</v>
      </c>
      <c r="I58" s="108">
        <v>0</v>
      </c>
      <c r="J58" s="108">
        <v>0</v>
      </c>
      <c r="K58" s="63">
        <f t="shared" si="20"/>
        <v>6</v>
      </c>
      <c r="L58" s="124">
        <f>VLOOKUP($B:$B,'[1]8店'!$B:$L,11,0)</f>
        <v>29.593</v>
      </c>
      <c r="M58" s="44">
        <f t="shared" si="29"/>
        <v>177.558</v>
      </c>
      <c r="N58" s="65">
        <f>IFERROR(VLOOKUP(B:B,'8店辅助表'!B:C,2,FALSE),0)</f>
        <v>0</v>
      </c>
      <c r="O58" s="65">
        <f>IFERROR(VLOOKUP(B:B,'8店辅助表'!E:F,2,FALSE),0)</f>
        <v>2</v>
      </c>
      <c r="P58" s="65">
        <f>IFERROR(VLOOKUP(B:B,'8店辅助表'!H:I,2,FALSE),0)</f>
        <v>5</v>
      </c>
      <c r="Q58" s="65">
        <f>IFERROR(VLOOKUP(B:B,'[1]8店'!$B:$N,13,FALSE),0)</f>
        <v>2</v>
      </c>
      <c r="R58" s="79">
        <f t="shared" si="21"/>
        <v>-2</v>
      </c>
      <c r="S58" s="80">
        <f t="shared" si="22"/>
        <v>60</v>
      </c>
      <c r="T58" s="44">
        <f t="shared" si="23"/>
        <v>2</v>
      </c>
      <c r="U58" s="44">
        <f>IFERROR(VLOOKUP(B:B,'[1]8店'!$B:$T,19,0),"-")</f>
        <v>1.01818181818182</v>
      </c>
      <c r="V58" s="81">
        <f t="shared" si="24"/>
        <v>0.98181818181818</v>
      </c>
      <c r="W58" s="82" t="str">
        <f>_xlfn.IFS(AND(D58&lt;&gt;0,D58-$AM$2&gt;=0,B58&gt;0,D58&lt;&gt;0),"本月刚到货",AND(IFERROR((K58/(N58/7))/30,"-")="-",K58&gt;0),"有库存无销量",AND(IFERROR((K58/(N58/7))/30,"-")="-",K58=0),"无库存无销量",AND(IFERROR((K58/(N58/7))/30,"-")&lt;=0.5,K58=0),"无库存有销量",IFERROR((K58/(N58/7))/30,"-")&lt;=0.5,"库存过低",IFERROR((K58/(N58/7))/30,"-")&lt;=1.5,"正常",IFERROR((K58/(N58/7))/30,"-")&gt;1.5,"库存过高")</f>
        <v>有库存无销量</v>
      </c>
      <c r="X58" s="83" t="str">
        <f>_xlfn.IFS(AND(D58&lt;&gt;0,D58-$AM$2&gt;=0,K58&gt;0,D58&lt;&gt;0),"本月刚到货",AND(T58="-",K58&gt;0),"有库存无销量",AND(T58="-",K58=0),"无库存无销量",AND(T58&lt;=0.5,K58=0),"无库存有销量",T58&lt;=0.5,"库存过低",T58&lt;=1.5,"正常",T58&gt;1.5,"库存过高")</f>
        <v>库存过高</v>
      </c>
      <c r="Y58" s="44">
        <f>IFERROR(SUMIF('8店辅助表'!K:K,B:B,'8店辅助表'!N:N),0)</f>
        <v>11.01</v>
      </c>
      <c r="Z58" s="44">
        <f>IFERROR(SUMIF('8店辅助表'!T:T,B:B,'8店辅助表'!W:W),0)</f>
        <v>22.29</v>
      </c>
      <c r="AA58" s="44">
        <f>IFERROR(SUMIF('8店辅助表'!AC:AC,B:B,'8店辅助表'!AF:AF),0)</f>
        <v>31.63</v>
      </c>
      <c r="AB58" s="91">
        <f>IFERROR(SUMIF('8店辅助表'!K:K,B:B,'8店辅助表'!N:N)/SUMIF('8店辅助表'!K:K,B:B,'8店辅助表'!O:O),"-")</f>
        <v>0.458941225510629</v>
      </c>
      <c r="AC58" s="91">
        <f>IFERROR(VLOOKUP(B:B,'[1]8店'!$B:$AB,27,FALSE),"-")</f>
        <v>0.56872037914692</v>
      </c>
      <c r="AD58" s="92">
        <f t="shared" si="25"/>
        <v>-0.109779153636291</v>
      </c>
      <c r="AE58" s="91">
        <f>IFERROR(SUMIF('8店辅助表'!T:T,B:B,'8店辅助表'!W:W)/SUMIF('8店辅助表'!T:T,B:B,'8店辅助表'!X:X),"-")</f>
        <v>0.518613308515589</v>
      </c>
      <c r="AF58" s="91">
        <f>IFERROR(SUMIF('8店辅助表'!AC:AC,B:B,'8店辅助表'!AF:AF)/SUMIF('8店辅助表'!AC:AC,B:B,'8店辅助表'!AG:AG),"-")</f>
        <v>0.285083370887787</v>
      </c>
      <c r="AG58" s="99">
        <f>IFERROR(AK58/((SUMIF('8店辅助表'!AT:AT,B:B,'8店辅助表'!AU:AU)+M58)/2),"-")</f>
        <v>0</v>
      </c>
      <c r="AH58" s="99">
        <f>IFERROR(AL58/((SUMIF('8店辅助表'!AW:AW,B:B,'8店辅助表'!AX:AX)+M58)/2),"-")</f>
        <v>0.25</v>
      </c>
      <c r="AI58" s="100">
        <f>IFERROR((SUMIF('8店辅助表'!AP:AP,B:B,'8店辅助表'!AR:AR)-SUMIF('8店辅助表'!AP:AP,B:B,'8店辅助表'!AR:AR)*0.15-(L58+IFERROR(VLOOKUP(B:B,'8店辅助表'!AZ:BA,2,0),0))*O58-IF(AN:AN="US",6.85,4.9)*(Z58+4.03*O58))/SUMIF('8店辅助表'!AP:AP,B:B,'8店辅助表'!AR:AR),"-")</f>
        <v>-0.257096320383759</v>
      </c>
      <c r="AJ58" s="100">
        <f t="shared" si="26"/>
        <v>-0.0642740800959398</v>
      </c>
      <c r="AK58" s="101">
        <f t="shared" si="27"/>
        <v>0</v>
      </c>
      <c r="AL58" s="101">
        <f t="shared" si="28"/>
        <v>59.186</v>
      </c>
      <c r="AM58" s="1" t="str">
        <f>VLOOKUP(B:B,'8店辅助表'!AZ:AZ,1,FALSE)</f>
        <v>Y8093-1</v>
      </c>
      <c r="AN58" t="str">
        <f>VLOOKUP(B:B,'8店辅助表'!AZ:BB,3,FALSE)</f>
        <v>US</v>
      </c>
    </row>
    <row r="59" customHeight="1" spans="1:40">
      <c r="A59" s="58" t="str">
        <f>INDEX('[1]8店'!$A:$A,MATCH(B:B,'[1]8店'!$B:$B,0))</f>
        <v>秀青</v>
      </c>
      <c r="B59" s="108" t="s">
        <v>2904</v>
      </c>
      <c r="C59" s="108" t="s">
        <v>1998</v>
      </c>
      <c r="D59" s="59">
        <f>VLOOKUP(B:B,'[1]8店'!$B:$L,3,0)</f>
        <v>45083</v>
      </c>
      <c r="E59" s="108" t="s">
        <v>2905</v>
      </c>
      <c r="F59" s="108">
        <v>18</v>
      </c>
      <c r="G59" s="108">
        <v>0</v>
      </c>
      <c r="H59" s="108">
        <v>0</v>
      </c>
      <c r="I59" s="108">
        <v>0</v>
      </c>
      <c r="J59" s="108">
        <v>0</v>
      </c>
      <c r="K59" s="63">
        <f t="shared" si="20"/>
        <v>18</v>
      </c>
      <c r="L59" s="124">
        <f>VLOOKUP($B:$B,'[1]8店'!$B:$L,11,0)</f>
        <v>6.04</v>
      </c>
      <c r="M59" s="44">
        <f t="shared" si="29"/>
        <v>108.72</v>
      </c>
      <c r="N59" s="65">
        <f>IFERROR(VLOOKUP(B:B,'8店辅助表'!B:C,2,FALSE),0)</f>
        <v>5</v>
      </c>
      <c r="O59" s="65">
        <f>IFERROR(VLOOKUP(B:B,'8店辅助表'!E:F,2,FALSE),0)</f>
        <v>10</v>
      </c>
      <c r="P59" s="65">
        <f>IFERROR(VLOOKUP(B:B,'8店辅助表'!H:I,2,FALSE),0)</f>
        <v>19</v>
      </c>
      <c r="Q59" s="65">
        <f>IFERROR(VLOOKUP(B:B,'[1]8店'!$B:$N,13,FALSE),0)</f>
        <v>4</v>
      </c>
      <c r="R59" s="79">
        <f t="shared" si="21"/>
        <v>1</v>
      </c>
      <c r="S59" s="80">
        <f t="shared" si="22"/>
        <v>26.8085106382979</v>
      </c>
      <c r="T59" s="44">
        <f t="shared" si="23"/>
        <v>0.893617021276596</v>
      </c>
      <c r="U59" s="44">
        <f>IFERROR(VLOOKUP(B:B,'[1]8店'!$B:$T,19,0),"-")</f>
        <v>1.37606837606838</v>
      </c>
      <c r="V59" s="81">
        <f t="shared" si="24"/>
        <v>-0.482451354791784</v>
      </c>
      <c r="W59" s="82" t="str">
        <f>_xlfn.IFS(AND(D59&lt;&gt;0,D59-$AM$2&gt;=0,B59&gt;0,D59&lt;&gt;0),"本月刚到货",AND(IFERROR((K59/(N59/7))/30,"-")="-",K59&gt;0),"有库存无销量",AND(IFERROR((K59/(N59/7))/30,"-")="-",K59=0),"无库存无销量",AND(IFERROR((K59/(N59/7))/30,"-")&lt;=0.5,K59=0),"无库存有销量",IFERROR((K59/(N59/7))/30,"-")&lt;=0.5,"库存过低",IFERROR((K59/(N59/7))/30,"-")&lt;=1.5,"正常",IFERROR((K59/(N59/7))/30,"-")&gt;1.5,"库存过高")</f>
        <v>正常</v>
      </c>
      <c r="X59" s="83" t="str">
        <f>_xlfn.IFS(AND(D59&lt;&gt;0,D59-$AM$2&gt;=0,K59&gt;0,D59&lt;&gt;0),"本月刚到货",AND(T59="-",K59&gt;0),"有库存无销量",AND(T59="-",K59=0),"无库存无销量",AND(T59&lt;=0.5,K59=0),"无库存有销量",T59&lt;=0.5,"库存过低",T59&lt;=1.5,"正常",T59&gt;1.5,"库存过高")</f>
        <v>正常</v>
      </c>
      <c r="Y59" s="44">
        <f>IFERROR(SUMIF('8店辅助表'!K:K,B:B,'8店辅助表'!N:N),0)</f>
        <v>7.75</v>
      </c>
      <c r="Z59" s="44">
        <f>IFERROR(SUMIF('8店辅助表'!T:T,B:B,'8店辅助表'!W:W),0)</f>
        <v>14.49</v>
      </c>
      <c r="AA59" s="44">
        <f>IFERROR(SUMIF('8店辅助表'!AC:AC,B:B,'8店辅助表'!AF:AF),0)</f>
        <v>29.5</v>
      </c>
      <c r="AB59" s="91" t="str">
        <f>IFERROR(SUMIF('8店辅助表'!K:K,B:B,'8店辅助表'!N:N)/SUMIF('8店辅助表'!K:K,B:B,'8店辅助表'!O:O),"-")</f>
        <v>-</v>
      </c>
      <c r="AC59" s="91">
        <f>IFERROR(VLOOKUP(B:B,'[1]8店'!$B:$AB,27,FALSE),"-")</f>
        <v>0.335439705107952</v>
      </c>
      <c r="AD59" s="92" t="str">
        <f t="shared" si="25"/>
        <v>-</v>
      </c>
      <c r="AE59" s="91">
        <f>IFERROR(SUMIF('8店辅助表'!T:T,B:B,'8店辅助表'!W:W)/SUMIF('8店辅助表'!T:T,B:B,'8店辅助表'!X:X),"-")</f>
        <v>0.537064492216457</v>
      </c>
      <c r="AF59" s="91">
        <f>IFERROR(SUMIF('8店辅助表'!AC:AC,B:B,'8店辅助表'!AF:AF)/SUMIF('8店辅助表'!AC:AC,B:B,'8店辅助表'!AG:AG),"-")</f>
        <v>0.421850421850422</v>
      </c>
      <c r="AG59" s="99">
        <f>IFERROR(AK59/((SUMIF('8店辅助表'!AT:AT,B:B,'8店辅助表'!AU:AU)+M59)/2),"-")</f>
        <v>0.24390243902439</v>
      </c>
      <c r="AH59" s="99">
        <f>IFERROR(AL59/((SUMIF('8店辅助表'!AW:AW,B:B,'8店辅助表'!AX:AX)+M59)/2),"-")</f>
        <v>0.37037037037037</v>
      </c>
      <c r="AI59" s="100">
        <f>IFERROR((SUMIF('8店辅助表'!AP:AP,B:B,'8店辅助表'!AR:AR)-SUMIF('8店辅助表'!AP:AP,B:B,'8店辅助表'!AR:AR)*0.15-(L59+IFERROR(VLOOKUP(B:B,'8店辅助表'!AZ:BA,2,0),0))*O59-IF(AN:AN="US",6.85,4.9)*(Z59+4.03*O59))/SUMIF('8店辅助表'!AP:AP,B:B,'8店辅助表'!AR:AR),"-")</f>
        <v>0.0353475603628623</v>
      </c>
      <c r="AJ59" s="100">
        <f t="shared" si="26"/>
        <v>0.0130916890232823</v>
      </c>
      <c r="AK59" s="101">
        <f t="shared" si="27"/>
        <v>30.2</v>
      </c>
      <c r="AL59" s="101">
        <f t="shared" si="28"/>
        <v>60.4</v>
      </c>
      <c r="AM59" s="1" t="str">
        <f>VLOOKUP(B:B,'8店辅助表'!AZ:AZ,1,FALSE)</f>
        <v>Y8090-2</v>
      </c>
      <c r="AN59" t="str">
        <f>VLOOKUP(B:B,'8店辅助表'!AZ:BB,3,FALSE)</f>
        <v>US</v>
      </c>
    </row>
    <row r="60" customHeight="1" spans="1:40">
      <c r="A60" s="58" t="str">
        <f>INDEX('[1]8店'!$A:$A,MATCH(B:B,'[1]8店'!$B:$B,0))</f>
        <v>秀青</v>
      </c>
      <c r="B60" s="108" t="s">
        <v>2906</v>
      </c>
      <c r="C60" s="108" t="s">
        <v>2001</v>
      </c>
      <c r="D60" s="59">
        <f>VLOOKUP(B:B,'[1]8店'!$B:$L,3,0)</f>
        <v>45083</v>
      </c>
      <c r="E60" s="108" t="s">
        <v>2907</v>
      </c>
      <c r="F60" s="108">
        <v>14</v>
      </c>
      <c r="G60" s="108">
        <v>0</v>
      </c>
      <c r="H60" s="108">
        <v>0</v>
      </c>
      <c r="I60" s="108">
        <v>0</v>
      </c>
      <c r="J60" s="108">
        <v>0</v>
      </c>
      <c r="K60" s="63">
        <f t="shared" si="20"/>
        <v>14</v>
      </c>
      <c r="L60" s="124">
        <f>VLOOKUP($B:$B,'[1]8店'!$B:$L,11,0)</f>
        <v>9.06</v>
      </c>
      <c r="M60" s="44">
        <f t="shared" si="29"/>
        <v>126.84</v>
      </c>
      <c r="N60" s="65">
        <f>IFERROR(VLOOKUP(B:B,'8店辅助表'!B:C,2,FALSE),0)</f>
        <v>0</v>
      </c>
      <c r="O60" s="65">
        <f>IFERROR(VLOOKUP(B:B,'8店辅助表'!E:F,2,FALSE),0)</f>
        <v>2</v>
      </c>
      <c r="P60" s="65">
        <f>IFERROR(VLOOKUP(B:B,'8店辅助表'!H:I,2,FALSE),0)</f>
        <v>5</v>
      </c>
      <c r="Q60" s="65">
        <f>IFERROR(VLOOKUP(B:B,'[1]8店'!$B:$N,13,FALSE),0)</f>
        <v>2</v>
      </c>
      <c r="R60" s="79">
        <f t="shared" si="21"/>
        <v>-2</v>
      </c>
      <c r="S60" s="80">
        <f t="shared" si="22"/>
        <v>140</v>
      </c>
      <c r="T60" s="44">
        <f t="shared" si="23"/>
        <v>4.66666666666667</v>
      </c>
      <c r="U60" s="44">
        <f>IFERROR(VLOOKUP(B:B,'[1]8店'!$B:$T,19,0),"-")</f>
        <v>2.45255474452555</v>
      </c>
      <c r="V60" s="81">
        <f t="shared" si="24"/>
        <v>2.21411192214112</v>
      </c>
      <c r="W60" s="82" t="str">
        <f>_xlfn.IFS(AND(D60&lt;&gt;0,D60-$AM$2&gt;=0,B60&gt;0,D60&lt;&gt;0),"本月刚到货",AND(IFERROR((K60/(N60/7))/30,"-")="-",K60&gt;0),"有库存无销量",AND(IFERROR((K60/(N60/7))/30,"-")="-",K60=0),"无库存无销量",AND(IFERROR((K60/(N60/7))/30,"-")&lt;=0.5,K60=0),"无库存有销量",IFERROR((K60/(N60/7))/30,"-")&lt;=0.5,"库存过低",IFERROR((K60/(N60/7))/30,"-")&lt;=1.5,"正常",IFERROR((K60/(N60/7))/30,"-")&gt;1.5,"库存过高")</f>
        <v>有库存无销量</v>
      </c>
      <c r="X60" s="83" t="str">
        <f>_xlfn.IFS(AND(D60&lt;&gt;0,D60-$AM$2&gt;=0,K60&gt;0,D60&lt;&gt;0),"本月刚到货",AND(T60="-",K60&gt;0),"有库存无销量",AND(T60="-",K60=0),"无库存无销量",AND(T60&lt;=0.5,K60=0),"无库存有销量",T60&lt;=0.5,"库存过低",T60&lt;=1.5,"正常",T60&gt;1.5,"库存过高")</f>
        <v>库存过高</v>
      </c>
      <c r="Y60" s="44">
        <f>IFERROR(SUMIF('8店辅助表'!K:K,B:B,'8店辅助表'!N:N),0)</f>
        <v>0.36</v>
      </c>
      <c r="Z60" s="44">
        <f>IFERROR(SUMIF('8店辅助表'!T:T,B:B,'8店辅助表'!W:W),0)</f>
        <v>1.14</v>
      </c>
      <c r="AA60" s="44">
        <f>IFERROR(SUMIF('8店辅助表'!AC:AC,B:B,'8店辅助表'!AF:AF),0)</f>
        <v>2.7</v>
      </c>
      <c r="AB60" s="91" t="str">
        <f>IFERROR(SUMIF('8店辅助表'!K:K,B:B,'8店辅助表'!N:N)/SUMIF('8店辅助表'!K:K,B:B,'8店辅助表'!O:O),"-")</f>
        <v>-</v>
      </c>
      <c r="AC60" s="91" t="str">
        <f>IFERROR(VLOOKUP(B:B,'[1]8店'!$B:$AB,27,FALSE),"-")</f>
        <v>-</v>
      </c>
      <c r="AD60" s="92" t="str">
        <f t="shared" si="25"/>
        <v>-</v>
      </c>
      <c r="AE60" s="91" t="str">
        <f>IFERROR(SUMIF('8店辅助表'!T:T,B:B,'8店辅助表'!W:W)/SUMIF('8店辅助表'!T:T,B:B,'8店辅助表'!X:X),"-")</f>
        <v>-</v>
      </c>
      <c r="AF60" s="91" t="str">
        <f>IFERROR(SUMIF('8店辅助表'!AC:AC,B:B,'8店辅助表'!AF:AF)/SUMIF('8店辅助表'!AC:AC,B:B,'8店辅助表'!AG:AG),"-")</f>
        <v>-</v>
      </c>
      <c r="AG60" s="99">
        <f>IFERROR(AK60/((SUMIF('8店辅助表'!AT:AT,B:B,'8店辅助表'!AU:AU)+M60)/2),"-")</f>
        <v>0</v>
      </c>
      <c r="AH60" s="99">
        <f>IFERROR(AL60/((SUMIF('8店辅助表'!AW:AW,B:B,'8店辅助表'!AX:AX)+M60)/2),"-")</f>
        <v>0.133333333333333</v>
      </c>
      <c r="AI60" s="100">
        <f>IFERROR((SUMIF('8店辅助表'!AP:AP,B:B,'8店辅助表'!AR:AR)-SUMIF('8店辅助表'!AP:AP,B:B,'8店辅助表'!AR:AR)*0.15-(L60+IFERROR(VLOOKUP(B:B,'8店辅助表'!AZ:BA,2,0),0))*O60-IF(AN:AN="US",6.85,4.9)*(Z60+4.03*O60))/SUMIF('8店辅助表'!AP:AP,B:B,'8店辅助表'!AR:AR),"-")</f>
        <v>0.291389982930733</v>
      </c>
      <c r="AJ60" s="100">
        <f t="shared" si="26"/>
        <v>0.0388519977240978</v>
      </c>
      <c r="AK60" s="101">
        <f t="shared" si="27"/>
        <v>0</v>
      </c>
      <c r="AL60" s="101">
        <f t="shared" si="28"/>
        <v>18.12</v>
      </c>
      <c r="AM60" s="1" t="str">
        <f>VLOOKUP(B:B,'8店辅助表'!AZ:AZ,1,FALSE)</f>
        <v>Y8090-3</v>
      </c>
      <c r="AN60" t="str">
        <f>VLOOKUP(B:B,'8店辅助表'!AZ:BB,3,FALSE)</f>
        <v>US</v>
      </c>
    </row>
    <row r="61" customHeight="1" spans="1:40">
      <c r="A61" s="58" t="str">
        <f>INDEX('[1]8店'!$A:$A,MATCH(B:B,'[1]8店'!$B:$B,0))</f>
        <v>秀青</v>
      </c>
      <c r="B61" s="108" t="s">
        <v>2908</v>
      </c>
      <c r="C61" s="108" t="s">
        <v>2007</v>
      </c>
      <c r="D61" s="59">
        <f>VLOOKUP(B:B,'[1]8店'!$B:$L,3,0)</f>
        <v>45082</v>
      </c>
      <c r="E61" s="108" t="s">
        <v>2909</v>
      </c>
      <c r="F61" s="108">
        <v>20</v>
      </c>
      <c r="G61" s="108">
        <v>0</v>
      </c>
      <c r="H61" s="108">
        <v>0</v>
      </c>
      <c r="I61" s="108">
        <v>0</v>
      </c>
      <c r="J61" s="108">
        <v>0</v>
      </c>
      <c r="K61" s="63">
        <f t="shared" ref="K61:K88" si="30">F61+G61+H61+I61+J61</f>
        <v>20</v>
      </c>
      <c r="L61" s="124">
        <f>VLOOKUP($B:$B,'[1]8店'!$B:$L,11,0)</f>
        <v>8.54</v>
      </c>
      <c r="M61" s="44">
        <f t="shared" si="29"/>
        <v>170.8</v>
      </c>
      <c r="N61" s="65">
        <f>IFERROR(VLOOKUP(B:B,'8店辅助表'!B:C,2,FALSE),0)</f>
        <v>2</v>
      </c>
      <c r="O61" s="65">
        <f>IFERROR(VLOOKUP(B:B,'8店辅助表'!E:F,2,FALSE),0)</f>
        <v>2</v>
      </c>
      <c r="P61" s="65">
        <f>IFERROR(VLOOKUP(B:B,'8店辅助表'!H:I,2,FALSE),0)</f>
        <v>6</v>
      </c>
      <c r="Q61" s="65">
        <f>IFERROR(VLOOKUP(B:B,'[1]8店'!$B:$N,13,FALSE),0)</f>
        <v>0</v>
      </c>
      <c r="R61" s="79">
        <f t="shared" ref="R61:R88" si="31">N61-Q61</f>
        <v>2</v>
      </c>
      <c r="S61" s="80">
        <f t="shared" ref="S61:S88" si="32">IFERROR(K61/((N61/7+O61/15+P61/30)/3),"-")</f>
        <v>96.9230769230769</v>
      </c>
      <c r="T61" s="44">
        <f t="shared" ref="T61:T88" si="33">IFERROR(S61/30,"-")</f>
        <v>3.23076923076923</v>
      </c>
      <c r="U61" s="44">
        <f>IFERROR(VLOOKUP(B:B,'[1]8店'!$B:$T,19,0),"-")</f>
        <v>5.72727272727273</v>
      </c>
      <c r="V61" s="81">
        <f t="shared" ref="V61:V88" si="34">IFERROR(T61-U61,"-")</f>
        <v>-2.4965034965035</v>
      </c>
      <c r="W61" s="82" t="str">
        <f t="shared" ref="W61:W88" si="35">_xlfn.IFS(AND(D61&lt;&gt;0,D61-$AM$2&gt;=0,B61&gt;0,D61&lt;&gt;0),"本月刚到货",AND(IFERROR((K61/(N61/7))/30,"-")="-",K61&gt;0),"有库存无销量",AND(IFERROR((K61/(N61/7))/30,"-")="-",K61=0),"无库存无销量",AND(IFERROR((K61/(N61/7))/30,"-")&lt;=0.5,K61=0),"无库存有销量",IFERROR((K61/(N61/7))/30,"-")&lt;=0.5,"库存过低",IFERROR((K61/(N61/7))/30,"-")&lt;=1.5,"正常",IFERROR((K61/(N61/7))/30,"-")&gt;1.5,"库存过高")</f>
        <v>库存过高</v>
      </c>
      <c r="X61" s="83" t="str">
        <f t="shared" ref="X61:X88" si="36">_xlfn.IFS(AND(D61&lt;&gt;0,D61-$AM$2&gt;=0,K61&gt;0,D61&lt;&gt;0),"本月刚到货",AND(T61="-",K61&gt;0),"有库存无销量",AND(T61="-",K61=0),"无库存无销量",AND(T61&lt;=0.5,K61=0),"无库存有销量",T61&lt;=0.5,"库存过低",T61&lt;=1.5,"正常",T61&gt;1.5,"库存过高")</f>
        <v>库存过高</v>
      </c>
      <c r="Y61" s="44">
        <f>IFERROR(SUMIF('8店辅助表'!K:K,B:B,'8店辅助表'!N:N),0)</f>
        <v>1.21</v>
      </c>
      <c r="Z61" s="44">
        <f>IFERROR(SUMIF('8店辅助表'!T:T,B:B,'8店辅助表'!W:W),0)</f>
        <v>3.58</v>
      </c>
      <c r="AA61" s="44">
        <f>IFERROR(SUMIF('8店辅助表'!AC:AC,B:B,'8店辅助表'!AF:AF),0)</f>
        <v>10.18</v>
      </c>
      <c r="AB61" s="91">
        <f>IFERROR(SUMIF('8店辅助表'!K:K,B:B,'8店辅助表'!N:N)/SUMIF('8店辅助表'!K:K,B:B,'8店辅助表'!O:O),"-")</f>
        <v>0.134593993325918</v>
      </c>
      <c r="AC61" s="91" t="str">
        <f>IFERROR(VLOOKUP(B:B,'[1]8店'!$B:$AB,27,FALSE),"-")</f>
        <v>-</v>
      </c>
      <c r="AD61" s="92" t="str">
        <f t="shared" ref="AD61:AD88" si="37">IFERROR(AB61-AC61,"-")</f>
        <v>-</v>
      </c>
      <c r="AE61" s="91">
        <f>IFERROR(SUMIF('8店辅助表'!T:T,B:B,'8店辅助表'!W:W)/SUMIF('8店辅助表'!T:T,B:B,'8店辅助表'!X:X),"-")</f>
        <v>0.398220244716351</v>
      </c>
      <c r="AF61" s="91">
        <f>IFERROR(SUMIF('8店辅助表'!AC:AC,B:B,'8店辅助表'!AF:AF)/SUMIF('8店辅助表'!AC:AC,B:B,'8店辅助表'!AG:AG),"-")</f>
        <v>0.566184649610678</v>
      </c>
      <c r="AG61" s="99">
        <f>IFERROR(AK61/((SUMIF('8店辅助表'!AT:AT,B:B,'8店辅助表'!AU:AU)+M61)/2),"-")</f>
        <v>0.0975609756097561</v>
      </c>
      <c r="AH61" s="99">
        <f>IFERROR(AL61/((SUMIF('8店辅助表'!AW:AW,B:B,'8店辅助表'!AX:AX)+M61)/2),"-")</f>
        <v>0.0888888888888889</v>
      </c>
      <c r="AI61" s="100">
        <f>IFERROR((SUMIF('8店辅助表'!AP:AP,B:B,'8店辅助表'!AR:AR)-SUMIF('8店辅助表'!AP:AP,B:B,'8店辅助表'!AR:AR)*0.15-(L61+IFERROR(VLOOKUP(B:B,'8店辅助表'!AZ:BA,2,0),0))*O61-IF(AN:AN="US",6.85,4.9)*(Z61+4.03*O61))/SUMIF('8店辅助表'!AP:AP,B:B,'8店辅助表'!AR:AR),"-")</f>
        <v>0.0491588382874726</v>
      </c>
      <c r="AJ61" s="100">
        <f t="shared" ref="AJ61:AJ88" si="38">IFERROR(AH61*AI61,"-")</f>
        <v>0.00436967451444201</v>
      </c>
      <c r="AK61" s="101">
        <f t="shared" ref="AK61:AK88" si="39">N61*$L61</f>
        <v>17.08</v>
      </c>
      <c r="AL61" s="101">
        <f t="shared" ref="AL61:AL88" si="40">O61*$L61</f>
        <v>17.08</v>
      </c>
      <c r="AM61" s="1" t="str">
        <f>VLOOKUP(B:B,'8店辅助表'!AZ:AZ,1,FALSE)</f>
        <v>Y8092-BL-1</v>
      </c>
      <c r="AN61" t="str">
        <f>VLOOKUP(B:B,'8店辅助表'!AZ:BB,3,FALSE)</f>
        <v>US</v>
      </c>
    </row>
    <row r="62" customHeight="1" spans="1:40">
      <c r="A62" s="58" t="str">
        <f>INDEX('[1]8店'!$A:$A,MATCH(B:B,'[1]8店'!$B:$B,0))</f>
        <v>秀青</v>
      </c>
      <c r="B62" s="108" t="s">
        <v>2910</v>
      </c>
      <c r="C62" s="108" t="s">
        <v>2010</v>
      </c>
      <c r="D62" s="59">
        <f>VLOOKUP(B:B,'[1]8店'!$B:$L,3,0)</f>
        <v>45082</v>
      </c>
      <c r="E62" s="108" t="s">
        <v>2911</v>
      </c>
      <c r="F62" s="108">
        <v>12</v>
      </c>
      <c r="G62" s="108">
        <v>0</v>
      </c>
      <c r="H62" s="108">
        <v>0</v>
      </c>
      <c r="I62" s="108">
        <v>0</v>
      </c>
      <c r="J62" s="108">
        <v>0</v>
      </c>
      <c r="K62" s="63">
        <f t="shared" si="30"/>
        <v>12</v>
      </c>
      <c r="L62" s="124">
        <f>VLOOKUP($B:$B,'[1]8店'!$B:$L,11,0)</f>
        <v>17.08</v>
      </c>
      <c r="M62" s="44">
        <f t="shared" si="29"/>
        <v>204.96</v>
      </c>
      <c r="N62" s="65">
        <f>IFERROR(VLOOKUP(B:B,'8店辅助表'!B:C,2,FALSE),0)</f>
        <v>0</v>
      </c>
      <c r="O62" s="65">
        <f>IFERROR(VLOOKUP(B:B,'8店辅助表'!E:F,2,FALSE),0)</f>
        <v>0</v>
      </c>
      <c r="P62" s="65">
        <f>IFERROR(VLOOKUP(B:B,'8店辅助表'!H:I,2,FALSE),0)</f>
        <v>1</v>
      </c>
      <c r="Q62" s="65">
        <f>IFERROR(VLOOKUP(B:B,'[1]8店'!$B:$N,13,FALSE),0)</f>
        <v>0</v>
      </c>
      <c r="R62" s="79">
        <f t="shared" si="31"/>
        <v>0</v>
      </c>
      <c r="S62" s="80">
        <f t="shared" si="32"/>
        <v>1080</v>
      </c>
      <c r="T62" s="44">
        <f t="shared" si="33"/>
        <v>36</v>
      </c>
      <c r="U62" s="44">
        <f>IFERROR(VLOOKUP(B:B,'[1]8店'!$B:$T,19,0),"-")</f>
        <v>36</v>
      </c>
      <c r="V62" s="81">
        <f t="shared" si="34"/>
        <v>0</v>
      </c>
      <c r="W62" s="82" t="str">
        <f t="shared" si="35"/>
        <v>有库存无销量</v>
      </c>
      <c r="X62" s="83" t="str">
        <f t="shared" si="36"/>
        <v>库存过高</v>
      </c>
      <c r="Y62" s="44">
        <f>IFERROR(SUMIF('8店辅助表'!K:K,B:B,'8店辅助表'!N:N),0)</f>
        <v>0</v>
      </c>
      <c r="Z62" s="44">
        <f>IFERROR(SUMIF('8店辅助表'!T:T,B:B,'8店辅助表'!W:W),0)</f>
        <v>0</v>
      </c>
      <c r="AA62" s="44">
        <f>IFERROR(SUMIF('8店辅助表'!AC:AC,B:B,'8店辅助表'!AF:AF),0)</f>
        <v>0</v>
      </c>
      <c r="AB62" s="91" t="str">
        <f>IFERROR(SUMIF('8店辅助表'!K:K,B:B,'8店辅助表'!N:N)/SUMIF('8店辅助表'!K:K,B:B,'8店辅助表'!O:O),"-")</f>
        <v>-</v>
      </c>
      <c r="AC62" s="91" t="str">
        <f>IFERROR(VLOOKUP(B:B,'[1]8店'!$B:$AB,27,FALSE),"-")</f>
        <v>-</v>
      </c>
      <c r="AD62" s="92" t="str">
        <f t="shared" si="37"/>
        <v>-</v>
      </c>
      <c r="AE62" s="91" t="str">
        <f>IFERROR(SUMIF('8店辅助表'!T:T,B:B,'8店辅助表'!W:W)/SUMIF('8店辅助表'!T:T,B:B,'8店辅助表'!X:X),"-")</f>
        <v>-</v>
      </c>
      <c r="AF62" s="91" t="str">
        <f>IFERROR(SUMIF('8店辅助表'!AC:AC,B:B,'8店辅助表'!AF:AF)/SUMIF('8店辅助表'!AC:AC,B:B,'8店辅助表'!AG:AG),"-")</f>
        <v>-</v>
      </c>
      <c r="AG62" s="99">
        <f>IFERROR(AK62/((SUMIF('8店辅助表'!AT:AT,B:B,'8店辅助表'!AU:AU)+M62)/2),"-")</f>
        <v>0</v>
      </c>
      <c r="AH62" s="99">
        <f>IFERROR(AL62/((SUMIF('8店辅助表'!AW:AW,B:B,'8店辅助表'!AX:AX)+M62)/2),"-")</f>
        <v>0</v>
      </c>
      <c r="AI62" s="100" t="str">
        <f>IFERROR((SUMIF('8店辅助表'!AP:AP,B:B,'8店辅助表'!AR:AR)-SUMIF('8店辅助表'!AP:AP,B:B,'8店辅助表'!AR:AR)*0.15-(L62+IFERROR(VLOOKUP(B:B,'8店辅助表'!AZ:BA,2,0),0))*O62-IF(AN:AN="US",6.85,4.9)*(Z62+4.03*O62))/SUMIF('8店辅助表'!AP:AP,B:B,'8店辅助表'!AR:AR),"-")</f>
        <v>-</v>
      </c>
      <c r="AJ62" s="100" t="str">
        <f t="shared" si="38"/>
        <v>-</v>
      </c>
      <c r="AK62" s="101">
        <f t="shared" si="39"/>
        <v>0</v>
      </c>
      <c r="AL62" s="101">
        <f t="shared" si="40"/>
        <v>0</v>
      </c>
      <c r="AM62" s="1" t="str">
        <f>VLOOKUP(B:B,'8店辅助表'!AZ:AZ,1,FALSE)</f>
        <v>Y8092-BL-2</v>
      </c>
      <c r="AN62" t="str">
        <f>VLOOKUP(B:B,'8店辅助表'!AZ:BB,3,FALSE)</f>
        <v>US</v>
      </c>
    </row>
    <row r="63" customHeight="1" spans="1:40">
      <c r="A63" s="58" t="str">
        <f>INDEX('[1]8店'!$A:$A,MATCH(B:B,'[1]8店'!$B:$B,0))</f>
        <v>秀青</v>
      </c>
      <c r="B63" s="108" t="s">
        <v>2912</v>
      </c>
      <c r="C63" s="108" t="s">
        <v>2007</v>
      </c>
      <c r="D63" s="59">
        <f>VLOOKUP(B:B,'[1]8店'!$B:$L,3,0)</f>
        <v>45082</v>
      </c>
      <c r="E63" s="108" t="s">
        <v>2913</v>
      </c>
      <c r="F63" s="108">
        <v>12</v>
      </c>
      <c r="G63" s="108">
        <v>0</v>
      </c>
      <c r="H63" s="108">
        <v>0</v>
      </c>
      <c r="I63" s="108">
        <v>0</v>
      </c>
      <c r="J63" s="108">
        <v>0</v>
      </c>
      <c r="K63" s="63">
        <f t="shared" si="30"/>
        <v>12</v>
      </c>
      <c r="L63" s="124">
        <f>VLOOKUP($B:$B,'[1]8店'!$B:$L,11,0)</f>
        <v>8.54</v>
      </c>
      <c r="M63" s="44">
        <f t="shared" si="29"/>
        <v>102.48</v>
      </c>
      <c r="N63" s="65">
        <f>IFERROR(VLOOKUP(B:B,'8店辅助表'!B:C,2,FALSE),0)</f>
        <v>0</v>
      </c>
      <c r="O63" s="65">
        <f>IFERROR(VLOOKUP(B:B,'8店辅助表'!E:F,2,FALSE),0)</f>
        <v>0</v>
      </c>
      <c r="P63" s="65">
        <f>IFERROR(VLOOKUP(B:B,'8店辅助表'!H:I,2,FALSE),0)</f>
        <v>0</v>
      </c>
      <c r="Q63" s="65">
        <f>IFERROR(VLOOKUP(B:B,'[1]8店'!$B:$N,13,FALSE),0)</f>
        <v>0</v>
      </c>
      <c r="R63" s="79">
        <f t="shared" si="31"/>
        <v>0</v>
      </c>
      <c r="S63" s="80" t="str">
        <f t="shared" si="32"/>
        <v>-</v>
      </c>
      <c r="T63" s="44" t="str">
        <f t="shared" si="33"/>
        <v>-</v>
      </c>
      <c r="U63" s="44" t="str">
        <f>IFERROR(VLOOKUP(B:B,'[1]8店'!$B:$T,19,0),"-")</f>
        <v>-</v>
      </c>
      <c r="V63" s="81" t="str">
        <f t="shared" si="34"/>
        <v>-</v>
      </c>
      <c r="W63" s="82" t="str">
        <f t="shared" si="35"/>
        <v>有库存无销量</v>
      </c>
      <c r="X63" s="83" t="str">
        <f t="shared" si="36"/>
        <v>有库存无销量</v>
      </c>
      <c r="Y63" s="44">
        <f>IFERROR(SUMIF('8店辅助表'!K:K,B:B,'8店辅助表'!N:N),0)</f>
        <v>0</v>
      </c>
      <c r="Z63" s="44">
        <f>IFERROR(SUMIF('8店辅助表'!T:T,B:B,'8店辅助表'!W:W),0)</f>
        <v>0</v>
      </c>
      <c r="AA63" s="44">
        <f>IFERROR(SUMIF('8店辅助表'!AC:AC,B:B,'8店辅助表'!AF:AF),0)</f>
        <v>0</v>
      </c>
      <c r="AB63" s="91" t="str">
        <f>IFERROR(SUMIF('8店辅助表'!K:K,B:B,'8店辅助表'!N:N)/SUMIF('8店辅助表'!K:K,B:B,'8店辅助表'!O:O),"-")</f>
        <v>-</v>
      </c>
      <c r="AC63" s="91" t="str">
        <f>IFERROR(VLOOKUP(B:B,'[1]8店'!$B:$AB,27,FALSE),"-")</f>
        <v>-</v>
      </c>
      <c r="AD63" s="92" t="str">
        <f t="shared" si="37"/>
        <v>-</v>
      </c>
      <c r="AE63" s="91" t="str">
        <f>IFERROR(SUMIF('8店辅助表'!T:T,B:B,'8店辅助表'!W:W)/SUMIF('8店辅助表'!T:T,B:B,'8店辅助表'!X:X),"-")</f>
        <v>-</v>
      </c>
      <c r="AF63" s="91" t="str">
        <f>IFERROR(SUMIF('8店辅助表'!AC:AC,B:B,'8店辅助表'!AF:AF)/SUMIF('8店辅助表'!AC:AC,B:B,'8店辅助表'!AG:AG),"-")</f>
        <v>-</v>
      </c>
      <c r="AG63" s="99">
        <f>IFERROR(AK63/((SUMIF('8店辅助表'!AT:AT,B:B,'8店辅助表'!AU:AU)+M63)/2),"-")</f>
        <v>0</v>
      </c>
      <c r="AH63" s="99">
        <f>IFERROR(AL63/((SUMIF('8店辅助表'!AW:AW,B:B,'8店辅助表'!AX:AX)+M63)/2),"-")</f>
        <v>0</v>
      </c>
      <c r="AI63" s="100" t="str">
        <f>IFERROR((SUMIF('8店辅助表'!AP:AP,B:B,'8店辅助表'!AR:AR)-SUMIF('8店辅助表'!AP:AP,B:B,'8店辅助表'!AR:AR)*0.15-(L63+IFERROR(VLOOKUP(B:B,'8店辅助表'!AZ:BA,2,0),0))*O63-IF(AN:AN="US",6.85,4.9)*(Z63+4.03*O63))/SUMIF('8店辅助表'!AP:AP,B:B,'8店辅助表'!AR:AR),"-")</f>
        <v>-</v>
      </c>
      <c r="AJ63" s="100" t="str">
        <f t="shared" si="38"/>
        <v>-</v>
      </c>
      <c r="AK63" s="101">
        <f t="shared" si="39"/>
        <v>0</v>
      </c>
      <c r="AL63" s="101">
        <f t="shared" si="40"/>
        <v>0</v>
      </c>
      <c r="AM63" s="1" t="str">
        <f>VLOOKUP(B:B,'8店辅助表'!AZ:AZ,1,FALSE)</f>
        <v>Y8092-GA-1</v>
      </c>
      <c r="AN63" t="str">
        <f>VLOOKUP(B:B,'8店辅助表'!AZ:BB,3,FALSE)</f>
        <v>US</v>
      </c>
    </row>
    <row r="64" customHeight="1" spans="1:40">
      <c r="A64" s="58" t="str">
        <f>INDEX('[1]8店'!$A:$A,MATCH(B:B,'[1]8店'!$B:$B,0))</f>
        <v>秀青</v>
      </c>
      <c r="B64" s="108" t="s">
        <v>2914</v>
      </c>
      <c r="C64" s="108" t="s">
        <v>2010</v>
      </c>
      <c r="D64" s="59">
        <f>VLOOKUP(B:B,'[1]8店'!$B:$L,3,0)</f>
        <v>45082</v>
      </c>
      <c r="E64" s="108" t="s">
        <v>2915</v>
      </c>
      <c r="F64" s="108">
        <v>4</v>
      </c>
      <c r="G64" s="108">
        <v>0</v>
      </c>
      <c r="H64" s="108">
        <v>0</v>
      </c>
      <c r="I64" s="108">
        <v>0</v>
      </c>
      <c r="J64" s="108">
        <v>0</v>
      </c>
      <c r="K64" s="63">
        <f t="shared" si="30"/>
        <v>4</v>
      </c>
      <c r="L64" s="124">
        <f>VLOOKUP($B:$B,'[1]8店'!$B:$L,11,0)</f>
        <v>17.08</v>
      </c>
      <c r="M64" s="44">
        <f t="shared" si="29"/>
        <v>68.32</v>
      </c>
      <c r="N64" s="65">
        <f>IFERROR(VLOOKUP(B:B,'8店辅助表'!B:C,2,FALSE),0)</f>
        <v>0</v>
      </c>
      <c r="O64" s="65">
        <f>IFERROR(VLOOKUP(B:B,'8店辅助表'!E:F,2,FALSE),0)</f>
        <v>0</v>
      </c>
      <c r="P64" s="65">
        <f>IFERROR(VLOOKUP(B:B,'8店辅助表'!H:I,2,FALSE),0)</f>
        <v>0</v>
      </c>
      <c r="Q64" s="65">
        <f>IFERROR(VLOOKUP(B:B,'[1]8店'!$B:$N,13,FALSE),0)</f>
        <v>0</v>
      </c>
      <c r="R64" s="79">
        <f t="shared" si="31"/>
        <v>0</v>
      </c>
      <c r="S64" s="80" t="str">
        <f t="shared" si="32"/>
        <v>-</v>
      </c>
      <c r="T64" s="44" t="str">
        <f t="shared" si="33"/>
        <v>-</v>
      </c>
      <c r="U64" s="44" t="str">
        <f>IFERROR(VLOOKUP(B:B,'[1]8店'!$B:$T,19,0),"-")</f>
        <v>-</v>
      </c>
      <c r="V64" s="81" t="str">
        <f t="shared" si="34"/>
        <v>-</v>
      </c>
      <c r="W64" s="82" t="str">
        <f t="shared" si="35"/>
        <v>有库存无销量</v>
      </c>
      <c r="X64" s="83" t="str">
        <f t="shared" si="36"/>
        <v>有库存无销量</v>
      </c>
      <c r="Y64" s="44">
        <f>IFERROR(SUMIF('8店辅助表'!K:K,B:B,'8店辅助表'!N:N),0)</f>
        <v>0</v>
      </c>
      <c r="Z64" s="44">
        <f>IFERROR(SUMIF('8店辅助表'!T:T,B:B,'8店辅助表'!W:W),0)</f>
        <v>0</v>
      </c>
      <c r="AA64" s="44">
        <f>IFERROR(SUMIF('8店辅助表'!AC:AC,B:B,'8店辅助表'!AF:AF),0)</f>
        <v>0</v>
      </c>
      <c r="AB64" s="91" t="str">
        <f>IFERROR(SUMIF('8店辅助表'!K:K,B:B,'8店辅助表'!N:N)/SUMIF('8店辅助表'!K:K,B:B,'8店辅助表'!O:O),"-")</f>
        <v>-</v>
      </c>
      <c r="AC64" s="91" t="str">
        <f>IFERROR(VLOOKUP(B:B,'[1]8店'!$B:$AB,27,FALSE),"-")</f>
        <v>-</v>
      </c>
      <c r="AD64" s="92" t="str">
        <f t="shared" si="37"/>
        <v>-</v>
      </c>
      <c r="AE64" s="91" t="str">
        <f>IFERROR(SUMIF('8店辅助表'!T:T,B:B,'8店辅助表'!W:W)/SUMIF('8店辅助表'!T:T,B:B,'8店辅助表'!X:X),"-")</f>
        <v>-</v>
      </c>
      <c r="AF64" s="91" t="str">
        <f>IFERROR(SUMIF('8店辅助表'!AC:AC,B:B,'8店辅助表'!AF:AF)/SUMIF('8店辅助表'!AC:AC,B:B,'8店辅助表'!AG:AG),"-")</f>
        <v>-</v>
      </c>
      <c r="AG64" s="99">
        <f>IFERROR(AK64/((SUMIF('8店辅助表'!AT:AT,B:B,'8店辅助表'!AU:AU)+M64)/2),"-")</f>
        <v>0</v>
      </c>
      <c r="AH64" s="99">
        <f>IFERROR(AL64/((SUMIF('8店辅助表'!AW:AW,B:B,'8店辅助表'!AX:AX)+M64)/2),"-")</f>
        <v>0</v>
      </c>
      <c r="AI64" s="100" t="str">
        <f>IFERROR((SUMIF('8店辅助表'!AP:AP,B:B,'8店辅助表'!AR:AR)-SUMIF('8店辅助表'!AP:AP,B:B,'8店辅助表'!AR:AR)*0.15-(L64+IFERROR(VLOOKUP(B:B,'8店辅助表'!AZ:BA,2,0),0))*O64-IF(AN:AN="US",6.85,4.9)*(Z64+4.03*O64))/SUMIF('8店辅助表'!AP:AP,B:B,'8店辅助表'!AR:AR),"-")</f>
        <v>-</v>
      </c>
      <c r="AJ64" s="100" t="str">
        <f t="shared" si="38"/>
        <v>-</v>
      </c>
      <c r="AK64" s="101">
        <f t="shared" si="39"/>
        <v>0</v>
      </c>
      <c r="AL64" s="101">
        <f t="shared" si="40"/>
        <v>0</v>
      </c>
      <c r="AM64" s="1" t="str">
        <f>VLOOKUP(B:B,'8店辅助表'!AZ:AZ,1,FALSE)</f>
        <v>Y8092-GA-2</v>
      </c>
      <c r="AN64" t="str">
        <f>VLOOKUP(B:B,'8店辅助表'!AZ:BB,3,FALSE)</f>
        <v>US</v>
      </c>
    </row>
    <row r="65" customHeight="1" spans="1:40">
      <c r="A65" s="58" t="str">
        <f>INDEX('[1]8店'!$A:$A,MATCH(B:B,'[1]8店'!$B:$B,0))</f>
        <v>秀青</v>
      </c>
      <c r="B65" s="108" t="s">
        <v>2916</v>
      </c>
      <c r="C65" s="108" t="s">
        <v>1927</v>
      </c>
      <c r="D65" s="59">
        <f>VLOOKUP(B:B,'[1]8店'!$B:$L,3,0)</f>
        <v>45084</v>
      </c>
      <c r="E65" s="108" t="s">
        <v>2917</v>
      </c>
      <c r="F65" s="108">
        <v>51</v>
      </c>
      <c r="G65" s="108">
        <v>1</v>
      </c>
      <c r="H65" s="108">
        <v>33</v>
      </c>
      <c r="I65" s="108">
        <v>1</v>
      </c>
      <c r="J65" s="108">
        <v>0</v>
      </c>
      <c r="K65" s="63">
        <f t="shared" si="30"/>
        <v>86</v>
      </c>
      <c r="L65" s="124">
        <f>VLOOKUP($B:$B,'[1]8店'!$B:$L,11,0)</f>
        <v>30.6</v>
      </c>
      <c r="M65" s="44">
        <f t="shared" si="29"/>
        <v>2631.6</v>
      </c>
      <c r="N65" s="65">
        <f>IFERROR(VLOOKUP(B:B,'8店辅助表'!B:C,2,FALSE),0)</f>
        <v>20</v>
      </c>
      <c r="O65" s="65">
        <f>IFERROR(VLOOKUP(B:B,'8店辅助表'!E:F,2,FALSE),0)</f>
        <v>40</v>
      </c>
      <c r="P65" s="65">
        <f>IFERROR(VLOOKUP(B:B,'8店辅助表'!H:I,2,FALSE),0)</f>
        <v>85</v>
      </c>
      <c r="Q65" s="65">
        <f>IFERROR(VLOOKUP(B:B,'[1]8店'!$B:$N,13,FALSE),0)</f>
        <v>18</v>
      </c>
      <c r="R65" s="79">
        <f t="shared" si="31"/>
        <v>2</v>
      </c>
      <c r="S65" s="80">
        <f t="shared" si="32"/>
        <v>30.8717948717949</v>
      </c>
      <c r="T65" s="44">
        <f t="shared" si="33"/>
        <v>1.02905982905983</v>
      </c>
      <c r="U65" s="44">
        <f>IFERROR(VLOOKUP(B:B,'[1]8店'!$B:$T,19,0),"-")</f>
        <v>0.86697247706422</v>
      </c>
      <c r="V65" s="81">
        <f t="shared" si="34"/>
        <v>0.16208735199561</v>
      </c>
      <c r="W65" s="82" t="str">
        <f t="shared" si="35"/>
        <v>正常</v>
      </c>
      <c r="X65" s="83" t="str">
        <f t="shared" si="36"/>
        <v>正常</v>
      </c>
      <c r="Y65" s="44">
        <f>IFERROR(SUMIF('8店辅助表'!K:K,B:B,'8店辅助表'!N:N),0)</f>
        <v>13.91</v>
      </c>
      <c r="Z65" s="44">
        <f>IFERROR(SUMIF('8店辅助表'!T:T,B:B,'8店辅助表'!W:W),0)</f>
        <v>29.84</v>
      </c>
      <c r="AA65" s="44">
        <f>IFERROR(SUMIF('8店辅助表'!AC:AC,B:B,'8店辅助表'!AF:AF),0)</f>
        <v>55.31</v>
      </c>
      <c r="AB65" s="91">
        <f>IFERROR(SUMIF('8店辅助表'!K:K,B:B,'8店辅助表'!N:N)/SUMIF('8店辅助表'!K:K,B:B,'8店辅助表'!O:O),"-")</f>
        <v>0.272905630763194</v>
      </c>
      <c r="AC65" s="91">
        <f>IFERROR(VLOOKUP(B:B,'[1]8店'!$B:$AB,27,FALSE),"-")</f>
        <v>0.419952913478517</v>
      </c>
      <c r="AD65" s="92">
        <f t="shared" si="37"/>
        <v>-0.147047282715323</v>
      </c>
      <c r="AE65" s="91">
        <f>IFERROR(SUMIF('8店辅助表'!T:T,B:B,'8店辅助表'!W:W)/SUMIF('8店辅助表'!T:T,B:B,'8店辅助表'!X:X),"-")</f>
        <v>0.351265450264862</v>
      </c>
      <c r="AF65" s="91">
        <f>IFERROR(SUMIF('8店辅助表'!AC:AC,B:B,'8店辅助表'!AF:AF)/SUMIF('8店辅助表'!AC:AC,B:B,'8店辅助表'!AG:AG),"-")</f>
        <v>0.191496728179206</v>
      </c>
      <c r="AG65" s="99">
        <f>IFERROR(AK65/((SUMIF('8店辅助表'!AT:AT,B:B,'8店辅助表'!AU:AU)+M65)/2),"-")</f>
        <v>0.253164556962025</v>
      </c>
      <c r="AH65" s="99">
        <f>IFERROR(AL65/((SUMIF('8店辅助表'!AW:AW,B:B,'8店辅助表'!AX:AX)+M65)/2),"-")</f>
        <v>0.425531914893617</v>
      </c>
      <c r="AI65" s="100">
        <f>IFERROR((SUMIF('8店辅助表'!AP:AP,B:B,'8店辅助表'!AR:AR)-SUMIF('8店辅助表'!AP:AP,B:B,'8店辅助表'!AR:AR)*0.15-(L65+IFERROR(VLOOKUP(B:B,'8店辅助表'!AZ:BA,2,0),0))*O65-IF(AN:AN="US",6.85,4.9)*(Z65+4.03*O65))/SUMIF('8店辅助表'!AP:AP,B:B,'8店辅助表'!AR:AR),"-")</f>
        <v>0.282524135642759</v>
      </c>
      <c r="AJ65" s="100">
        <f t="shared" si="38"/>
        <v>0.120223036443727</v>
      </c>
      <c r="AK65" s="101">
        <f t="shared" si="39"/>
        <v>612</v>
      </c>
      <c r="AL65" s="101">
        <f t="shared" si="40"/>
        <v>1224</v>
      </c>
      <c r="AM65" s="1" t="str">
        <f>VLOOKUP(B:B,'8店辅助表'!AZ:AZ,1,FALSE)</f>
        <v>Y8095-GR</v>
      </c>
      <c r="AN65" t="str">
        <f>VLOOKUP(B:B,'8店辅助表'!AZ:BB,3,FALSE)</f>
        <v>US</v>
      </c>
    </row>
    <row r="66" customHeight="1" spans="1:40">
      <c r="A66" s="58" t="str">
        <f>INDEX('[1]8店'!$A:$A,MATCH(B:B,'[1]8店'!$B:$B,0))</f>
        <v>秀青</v>
      </c>
      <c r="B66" s="108" t="s">
        <v>2918</v>
      </c>
      <c r="C66" s="108" t="s">
        <v>1927</v>
      </c>
      <c r="D66" s="59">
        <f>VLOOKUP(B:B,'[1]8店'!$B:$L,3,0)</f>
        <v>45084</v>
      </c>
      <c r="E66" s="108" t="s">
        <v>2919</v>
      </c>
      <c r="F66" s="108">
        <v>33</v>
      </c>
      <c r="G66" s="108">
        <v>1</v>
      </c>
      <c r="H66" s="108">
        <v>1</v>
      </c>
      <c r="I66" s="108">
        <v>0</v>
      </c>
      <c r="J66" s="108">
        <v>1</v>
      </c>
      <c r="K66" s="63">
        <f t="shared" si="30"/>
        <v>36</v>
      </c>
      <c r="L66" s="124">
        <f>VLOOKUP($B:$B,'[1]8店'!$B:$L,11,0)</f>
        <v>30.6</v>
      </c>
      <c r="M66" s="44">
        <f t="shared" si="29"/>
        <v>1101.6</v>
      </c>
      <c r="N66" s="65">
        <f>IFERROR(VLOOKUP(B:B,'8店辅助表'!B:C,2,FALSE),0)</f>
        <v>9</v>
      </c>
      <c r="O66" s="65">
        <f>IFERROR(VLOOKUP(B:B,'8店辅助表'!E:F,2,FALSE),0)</f>
        <v>17</v>
      </c>
      <c r="P66" s="65">
        <f>IFERROR(VLOOKUP(B:B,'8店辅助表'!H:I,2,FALSE),0)</f>
        <v>21</v>
      </c>
      <c r="Q66" s="65">
        <f>IFERROR(VLOOKUP(B:B,'[1]8店'!$B:$N,13,FALSE),0)</f>
        <v>8</v>
      </c>
      <c r="R66" s="79">
        <f t="shared" si="31"/>
        <v>1</v>
      </c>
      <c r="S66" s="80">
        <f t="shared" si="32"/>
        <v>34.6259541984733</v>
      </c>
      <c r="T66" s="44">
        <f t="shared" si="33"/>
        <v>1.15419847328244</v>
      </c>
      <c r="U66" s="44">
        <f>IFERROR(VLOOKUP(B:B,'[1]8店'!$B:$T,19,0),"-")</f>
        <v>1.81730769230769</v>
      </c>
      <c r="V66" s="81">
        <f t="shared" si="34"/>
        <v>-0.66310921902525</v>
      </c>
      <c r="W66" s="82" t="str">
        <f t="shared" si="35"/>
        <v>正常</v>
      </c>
      <c r="X66" s="83" t="str">
        <f t="shared" si="36"/>
        <v>正常</v>
      </c>
      <c r="Y66" s="44">
        <f>IFERROR(SUMIF('8店辅助表'!K:K,B:B,'8店辅助表'!N:N),0)</f>
        <v>8.93</v>
      </c>
      <c r="Z66" s="44">
        <f>IFERROR(SUMIF('8店辅助表'!T:T,B:B,'8店辅助表'!W:W),0)</f>
        <v>15.41</v>
      </c>
      <c r="AA66" s="44">
        <f>IFERROR(SUMIF('8店辅助表'!AC:AC,B:B,'8店辅助表'!AF:AF),0)</f>
        <v>19.48</v>
      </c>
      <c r="AB66" s="91">
        <f>IFERROR(SUMIF('8店辅助表'!K:K,B:B,'8店辅助表'!N:N)/SUMIF('8店辅助表'!K:K,B:B,'8店辅助表'!O:O),"-")</f>
        <v>0.102702702702703</v>
      </c>
      <c r="AC66" s="91">
        <f>IFERROR(VLOOKUP(B:B,'[1]8店'!$B:$AB,27,FALSE),"-")</f>
        <v>0.0961995249406176</v>
      </c>
      <c r="AD66" s="92">
        <f t="shared" si="37"/>
        <v>0.00650317776208539</v>
      </c>
      <c r="AE66" s="91">
        <f>IFERROR(SUMIF('8店辅助表'!T:T,B:B,'8店辅助表'!W:W)/SUMIF('8店辅助表'!T:T,B:B,'8店辅助表'!X:X),"-")</f>
        <v>0.0998639103104141</v>
      </c>
      <c r="AF66" s="91">
        <f>IFERROR(SUMIF('8店辅助表'!AC:AC,B:B,'8店辅助表'!AF:AF)/SUMIF('8店辅助表'!AC:AC,B:B,'8店辅助表'!AG:AG),"-")</f>
        <v>0.126239388244443</v>
      </c>
      <c r="AG66" s="99">
        <f>IFERROR(AK66/((SUMIF('8店辅助表'!AT:AT,B:B,'8店辅助表'!AU:AU)+M66)/2),"-")</f>
        <v>0.222222222222222</v>
      </c>
      <c r="AH66" s="99">
        <f>IFERROR(AL66/((SUMIF('8店辅助表'!AW:AW,B:B,'8店辅助表'!AX:AX)+M66)/2),"-")</f>
        <v>0.80952380952381</v>
      </c>
      <c r="AI66" s="100">
        <f>IFERROR((SUMIF('8店辅助表'!AP:AP,B:B,'8店辅助表'!AR:AR)-SUMIF('8店辅助表'!AP:AP,B:B,'8店辅助表'!AR:AR)*0.15-(L66+IFERROR(VLOOKUP(B:B,'8店辅助表'!AZ:BA,2,0),0))*O66-IF(AN:AN="US",6.85,4.9)*(Z66+4.03*O66))/SUMIF('8店辅助表'!AP:AP,B:B,'8店辅助表'!AR:AR),"-")</f>
        <v>0.287601134807407</v>
      </c>
      <c r="AJ66" s="100">
        <f t="shared" si="38"/>
        <v>0.232819966272663</v>
      </c>
      <c r="AK66" s="101">
        <f t="shared" si="39"/>
        <v>275.4</v>
      </c>
      <c r="AL66" s="101">
        <f t="shared" si="40"/>
        <v>520.2</v>
      </c>
      <c r="AM66" s="1" t="str">
        <f>VLOOKUP(B:B,'8店辅助表'!AZ:AZ,1,FALSE)</f>
        <v>Y8095-RE</v>
      </c>
      <c r="AN66" t="str">
        <f>VLOOKUP(B:B,'8店辅助表'!AZ:BB,3,FALSE)</f>
        <v>US</v>
      </c>
    </row>
    <row r="67" customHeight="1" spans="1:40">
      <c r="A67" s="58" t="str">
        <f>INDEX('[1]8店'!$A:$A,MATCH(B:B,'[1]8店'!$B:$B,0))</f>
        <v>秀青</v>
      </c>
      <c r="B67" s="108" t="s">
        <v>2920</v>
      </c>
      <c r="C67" s="108" t="s">
        <v>2043</v>
      </c>
      <c r="D67" s="59">
        <f>VLOOKUP(B:B,'[1]8店'!$B:$L,3,0)</f>
        <v>45097</v>
      </c>
      <c r="E67" s="108" t="s">
        <v>2921</v>
      </c>
      <c r="F67" s="108">
        <v>30</v>
      </c>
      <c r="G67" s="108">
        <v>0</v>
      </c>
      <c r="H67" s="108">
        <v>0</v>
      </c>
      <c r="I67" s="108">
        <v>0</v>
      </c>
      <c r="J67" s="108">
        <v>0</v>
      </c>
      <c r="K67" s="63">
        <f t="shared" si="30"/>
        <v>30</v>
      </c>
      <c r="L67" s="124">
        <f>VLOOKUP($B:$B,'[1]8店'!$B:$L,11,0)</f>
        <v>31.081</v>
      </c>
      <c r="M67" s="44">
        <f t="shared" si="29"/>
        <v>932.43</v>
      </c>
      <c r="N67" s="65">
        <f>IFERROR(VLOOKUP(B:B,'8店辅助表'!B:C,2,FALSE),0)</f>
        <v>0</v>
      </c>
      <c r="O67" s="65">
        <f>IFERROR(VLOOKUP(B:B,'8店辅助表'!E:F,2,FALSE),0)</f>
        <v>0</v>
      </c>
      <c r="P67" s="65">
        <f>IFERROR(VLOOKUP(B:B,'8店辅助表'!H:I,2,FALSE),0)</f>
        <v>0</v>
      </c>
      <c r="Q67" s="65">
        <f>IFERROR(VLOOKUP(B:B,'[1]8店'!$B:$N,13,FALSE),0)</f>
        <v>0</v>
      </c>
      <c r="R67" s="79">
        <f t="shared" si="31"/>
        <v>0</v>
      </c>
      <c r="S67" s="80" t="str">
        <f t="shared" si="32"/>
        <v>-</v>
      </c>
      <c r="T67" s="44" t="str">
        <f t="shared" si="33"/>
        <v>-</v>
      </c>
      <c r="U67" s="44" t="str">
        <f>IFERROR(VLOOKUP(B:B,'[1]8店'!$B:$T,19,0),"-")</f>
        <v>-</v>
      </c>
      <c r="V67" s="81" t="str">
        <f t="shared" si="34"/>
        <v>-</v>
      </c>
      <c r="W67" s="82" t="str">
        <f t="shared" si="35"/>
        <v>有库存无销量</v>
      </c>
      <c r="X67" s="83" t="str">
        <f t="shared" si="36"/>
        <v>有库存无销量</v>
      </c>
      <c r="Y67" s="44">
        <f>IFERROR(SUMIF('8店辅助表'!K:K,B:B,'8店辅助表'!N:N),0)</f>
        <v>0</v>
      </c>
      <c r="Z67" s="44">
        <f>IFERROR(SUMIF('8店辅助表'!T:T,B:B,'8店辅助表'!W:W),0)</f>
        <v>0</v>
      </c>
      <c r="AA67" s="44">
        <f>IFERROR(SUMIF('8店辅助表'!AC:AC,B:B,'8店辅助表'!AF:AF),0)</f>
        <v>0</v>
      </c>
      <c r="AB67" s="91" t="str">
        <f>IFERROR(SUMIF('8店辅助表'!K:K,B:B,'8店辅助表'!N:N)/SUMIF('8店辅助表'!K:K,B:B,'8店辅助表'!O:O),"-")</f>
        <v>-</v>
      </c>
      <c r="AC67" s="91" t="str">
        <f>IFERROR(VLOOKUP(B:B,'[1]8店'!$B:$AB,27,FALSE),"-")</f>
        <v>-</v>
      </c>
      <c r="AD67" s="92" t="str">
        <f t="shared" si="37"/>
        <v>-</v>
      </c>
      <c r="AE67" s="91" t="str">
        <f>IFERROR(SUMIF('8店辅助表'!T:T,B:B,'8店辅助表'!W:W)/SUMIF('8店辅助表'!T:T,B:B,'8店辅助表'!X:X),"-")</f>
        <v>-</v>
      </c>
      <c r="AF67" s="91" t="str">
        <f>IFERROR(SUMIF('8店辅助表'!AC:AC,B:B,'8店辅助表'!AF:AF)/SUMIF('8店辅助表'!AC:AC,B:B,'8店辅助表'!AG:AG),"-")</f>
        <v>-</v>
      </c>
      <c r="AG67" s="99">
        <f>IFERROR(AK67/((SUMIF('8店辅助表'!AT:AT,B:B,'8店辅助表'!AU:AU)+M67)/2),"-")</f>
        <v>0</v>
      </c>
      <c r="AH67" s="99">
        <f>IFERROR(AL67/((SUMIF('8店辅助表'!AW:AW,B:B,'8店辅助表'!AX:AX)+M67)/2),"-")</f>
        <v>0</v>
      </c>
      <c r="AI67" s="100" t="str">
        <f>IFERROR((SUMIF('8店辅助表'!AP:AP,B:B,'8店辅助表'!AR:AR)-SUMIF('8店辅助表'!AP:AP,B:B,'8店辅助表'!AR:AR)*0.15-(L67+IFERROR(VLOOKUP(B:B,'8店辅助表'!AZ:BA,2,0),0))*O67-IF(AN:AN="US",6.85,4.9)*(Z67+4.03*O67))/SUMIF('8店辅助表'!AP:AP,B:B,'8店辅助表'!AR:AR),"-")</f>
        <v>-</v>
      </c>
      <c r="AJ67" s="100" t="str">
        <f t="shared" si="38"/>
        <v>-</v>
      </c>
      <c r="AK67" s="101">
        <f t="shared" si="39"/>
        <v>0</v>
      </c>
      <c r="AL67" s="101">
        <f t="shared" si="40"/>
        <v>0</v>
      </c>
      <c r="AM67" s="1" t="str">
        <f>VLOOKUP(B:B,'8店辅助表'!AZ:AZ,1,FALSE)</f>
        <v>Y8802-BL</v>
      </c>
      <c r="AN67" t="str">
        <f>VLOOKUP(B:B,'8店辅助表'!AZ:BB,3,FALSE)</f>
        <v>CA</v>
      </c>
    </row>
    <row r="68" customHeight="1" spans="1:40">
      <c r="A68" s="58" t="str">
        <f>INDEX('[1]8店'!$A:$A,MATCH(B:B,'[1]8店'!$B:$B,0))</f>
        <v>秀青</v>
      </c>
      <c r="B68" s="108" t="s">
        <v>2922</v>
      </c>
      <c r="C68" s="108" t="s">
        <v>2043</v>
      </c>
      <c r="D68" s="59">
        <f>VLOOKUP(B:B,'[1]8店'!$B:$L,3,0)</f>
        <v>45097</v>
      </c>
      <c r="E68" s="108" t="s">
        <v>2923</v>
      </c>
      <c r="F68" s="108">
        <v>10</v>
      </c>
      <c r="G68" s="108">
        <v>0</v>
      </c>
      <c r="H68" s="108">
        <v>0</v>
      </c>
      <c r="I68" s="108">
        <v>0</v>
      </c>
      <c r="J68" s="108">
        <v>0</v>
      </c>
      <c r="K68" s="63">
        <f t="shared" si="30"/>
        <v>10</v>
      </c>
      <c r="L68" s="124">
        <f>VLOOKUP($B:$B,'[1]8店'!$B:$L,11,0)</f>
        <v>31.084</v>
      </c>
      <c r="M68" s="44">
        <f t="shared" si="29"/>
        <v>310.84</v>
      </c>
      <c r="N68" s="65">
        <f>IFERROR(VLOOKUP(B:B,'8店辅助表'!B:C,2,FALSE),0)</f>
        <v>0</v>
      </c>
      <c r="O68" s="65">
        <f>IFERROR(VLOOKUP(B:B,'8店辅助表'!E:F,2,FALSE),0)</f>
        <v>0</v>
      </c>
      <c r="P68" s="65">
        <f>IFERROR(VLOOKUP(B:B,'8店辅助表'!H:I,2,FALSE),0)</f>
        <v>0</v>
      </c>
      <c r="Q68" s="65">
        <f>IFERROR(VLOOKUP(B:B,'[1]8店'!$B:$N,13,FALSE),0)</f>
        <v>0</v>
      </c>
      <c r="R68" s="79">
        <f t="shared" si="31"/>
        <v>0</v>
      </c>
      <c r="S68" s="80" t="str">
        <f t="shared" si="32"/>
        <v>-</v>
      </c>
      <c r="T68" s="44" t="str">
        <f t="shared" si="33"/>
        <v>-</v>
      </c>
      <c r="U68" s="44" t="str">
        <f>IFERROR(VLOOKUP(B:B,'[1]8店'!$B:$T,19,0),"-")</f>
        <v>-</v>
      </c>
      <c r="V68" s="81" t="str">
        <f t="shared" si="34"/>
        <v>-</v>
      </c>
      <c r="W68" s="82" t="str">
        <f t="shared" si="35"/>
        <v>有库存无销量</v>
      </c>
      <c r="X68" s="83" t="str">
        <f t="shared" si="36"/>
        <v>有库存无销量</v>
      </c>
      <c r="Y68" s="44">
        <f>IFERROR(SUMIF('8店辅助表'!K:K,B:B,'8店辅助表'!N:N),0)</f>
        <v>0</v>
      </c>
      <c r="Z68" s="44">
        <f>IFERROR(SUMIF('8店辅助表'!T:T,B:B,'8店辅助表'!W:W),0)</f>
        <v>0</v>
      </c>
      <c r="AA68" s="44">
        <f>IFERROR(SUMIF('8店辅助表'!AC:AC,B:B,'8店辅助表'!AF:AF),0)</f>
        <v>0</v>
      </c>
      <c r="AB68" s="91" t="str">
        <f>IFERROR(SUMIF('8店辅助表'!K:K,B:B,'8店辅助表'!N:N)/SUMIF('8店辅助表'!K:K,B:B,'8店辅助表'!O:O),"-")</f>
        <v>-</v>
      </c>
      <c r="AC68" s="91" t="str">
        <f>IFERROR(VLOOKUP(B:B,'[1]8店'!$B:$AB,27,FALSE),"-")</f>
        <v>-</v>
      </c>
      <c r="AD68" s="92" t="str">
        <f t="shared" si="37"/>
        <v>-</v>
      </c>
      <c r="AE68" s="91" t="str">
        <f>IFERROR(SUMIF('8店辅助表'!T:T,B:B,'8店辅助表'!W:W)/SUMIF('8店辅助表'!T:T,B:B,'8店辅助表'!X:X),"-")</f>
        <v>-</v>
      </c>
      <c r="AF68" s="91" t="str">
        <f>IFERROR(SUMIF('8店辅助表'!AC:AC,B:B,'8店辅助表'!AF:AF)/SUMIF('8店辅助表'!AC:AC,B:B,'8店辅助表'!AG:AG),"-")</f>
        <v>-</v>
      </c>
      <c r="AG68" s="99">
        <f>IFERROR(AK68/((SUMIF('8店辅助表'!AT:AT,B:B,'8店辅助表'!AU:AU)+M68)/2),"-")</f>
        <v>0</v>
      </c>
      <c r="AH68" s="99">
        <f>IFERROR(AL68/((SUMIF('8店辅助表'!AW:AW,B:B,'8店辅助表'!AX:AX)+M68)/2),"-")</f>
        <v>0</v>
      </c>
      <c r="AI68" s="100" t="str">
        <f>IFERROR((SUMIF('8店辅助表'!AP:AP,B:B,'8店辅助表'!AR:AR)-SUMIF('8店辅助表'!AP:AP,B:B,'8店辅助表'!AR:AR)*0.15-(L68+IFERROR(VLOOKUP(B:B,'8店辅助表'!AZ:BA,2,0),0))*O68-IF(AN:AN="US",6.85,4.9)*(Z68+4.03*O68))/SUMIF('8店辅助表'!AP:AP,B:B,'8店辅助表'!AR:AR),"-")</f>
        <v>-</v>
      </c>
      <c r="AJ68" s="100" t="str">
        <f t="shared" si="38"/>
        <v>-</v>
      </c>
      <c r="AK68" s="101">
        <f t="shared" si="39"/>
        <v>0</v>
      </c>
      <c r="AL68" s="101">
        <f t="shared" si="40"/>
        <v>0</v>
      </c>
      <c r="AM68" s="1" t="str">
        <f>VLOOKUP(B:B,'8店辅助表'!AZ:AZ,1,FALSE)</f>
        <v>Y8802-RE</v>
      </c>
      <c r="AN68" t="str">
        <f>VLOOKUP(B:B,'8店辅助表'!AZ:BB,3,FALSE)</f>
        <v>CA</v>
      </c>
    </row>
    <row r="69" customHeight="1" spans="1:40">
      <c r="A69" s="58" t="str">
        <f>INDEX('[1]8店'!$A:$A,MATCH(B:B,'[1]8店'!$B:$B,0))</f>
        <v>秀青</v>
      </c>
      <c r="B69" s="108" t="s">
        <v>2924</v>
      </c>
      <c r="C69" s="108" t="s">
        <v>2049</v>
      </c>
      <c r="D69" s="59">
        <f>VLOOKUP(B:B,'[1]8店'!$B:$L,3,0)</f>
        <v>45097</v>
      </c>
      <c r="E69" s="108" t="s">
        <v>2925</v>
      </c>
      <c r="F69" s="108">
        <v>29</v>
      </c>
      <c r="G69" s="108">
        <v>0</v>
      </c>
      <c r="H69" s="108">
        <v>0</v>
      </c>
      <c r="I69" s="108">
        <v>0</v>
      </c>
      <c r="J69" s="108">
        <v>0</v>
      </c>
      <c r="K69" s="63">
        <f t="shared" si="30"/>
        <v>29</v>
      </c>
      <c r="L69" s="124">
        <f>VLOOKUP($B:$B,'[1]8店'!$B:$L,11,0)</f>
        <v>32.081</v>
      </c>
      <c r="M69" s="44">
        <f t="shared" ref="M69:M99" si="41">K69*L69</f>
        <v>930.349</v>
      </c>
      <c r="N69" s="65">
        <f>IFERROR(VLOOKUP(B:B,'8店辅助表'!B:C,2,FALSE),0)</f>
        <v>0</v>
      </c>
      <c r="O69" s="65">
        <f>IFERROR(VLOOKUP(B:B,'8店辅助表'!E:F,2,FALSE),0)</f>
        <v>0</v>
      </c>
      <c r="P69" s="65">
        <f>IFERROR(VLOOKUP(B:B,'8店辅助表'!H:I,2,FALSE),0)</f>
        <v>0</v>
      </c>
      <c r="Q69" s="65">
        <f>IFERROR(VLOOKUP(B:B,'[1]8店'!$B:$N,13,FALSE),0)</f>
        <v>0</v>
      </c>
      <c r="R69" s="79">
        <f t="shared" si="31"/>
        <v>0</v>
      </c>
      <c r="S69" s="80" t="str">
        <f t="shared" si="32"/>
        <v>-</v>
      </c>
      <c r="T69" s="44" t="str">
        <f t="shared" si="33"/>
        <v>-</v>
      </c>
      <c r="U69" s="44" t="str">
        <f>IFERROR(VLOOKUP(B:B,'[1]8店'!$B:$T,19,0),"-")</f>
        <v>-</v>
      </c>
      <c r="V69" s="81" t="str">
        <f t="shared" si="34"/>
        <v>-</v>
      </c>
      <c r="W69" s="82" t="str">
        <f t="shared" si="35"/>
        <v>有库存无销量</v>
      </c>
      <c r="X69" s="83" t="str">
        <f t="shared" si="36"/>
        <v>有库存无销量</v>
      </c>
      <c r="Y69" s="44">
        <f>IFERROR(SUMIF('8店辅助表'!K:K,B:B,'8店辅助表'!N:N),0)</f>
        <v>0</v>
      </c>
      <c r="Z69" s="44">
        <f>IFERROR(SUMIF('8店辅助表'!T:T,B:B,'8店辅助表'!W:W),0)</f>
        <v>0</v>
      </c>
      <c r="AA69" s="44">
        <f>IFERROR(SUMIF('8店辅助表'!AC:AC,B:B,'8店辅助表'!AF:AF),0)</f>
        <v>0</v>
      </c>
      <c r="AB69" s="91" t="str">
        <f>IFERROR(SUMIF('8店辅助表'!K:K,B:B,'8店辅助表'!N:N)/SUMIF('8店辅助表'!K:K,B:B,'8店辅助表'!O:O),"-")</f>
        <v>-</v>
      </c>
      <c r="AC69" s="91" t="str">
        <f>IFERROR(VLOOKUP(B:B,'[1]8店'!$B:$AB,27,FALSE),"-")</f>
        <v>-</v>
      </c>
      <c r="AD69" s="92" t="str">
        <f t="shared" si="37"/>
        <v>-</v>
      </c>
      <c r="AE69" s="91" t="str">
        <f>IFERROR(SUMIF('8店辅助表'!T:T,B:B,'8店辅助表'!W:W)/SUMIF('8店辅助表'!T:T,B:B,'8店辅助表'!X:X),"-")</f>
        <v>-</v>
      </c>
      <c r="AF69" s="91" t="str">
        <f>IFERROR(SUMIF('8店辅助表'!AC:AC,B:B,'8店辅助表'!AF:AF)/SUMIF('8店辅助表'!AC:AC,B:B,'8店辅助表'!AG:AG),"-")</f>
        <v>-</v>
      </c>
      <c r="AG69" s="99">
        <f>IFERROR(AK69/((SUMIF('8店辅助表'!AT:AT,B:B,'8店辅助表'!AU:AU)+M69)/2),"-")</f>
        <v>0</v>
      </c>
      <c r="AH69" s="99">
        <f>IFERROR(AL69/((SUMIF('8店辅助表'!AW:AW,B:B,'8店辅助表'!AX:AX)+M69)/2),"-")</f>
        <v>0</v>
      </c>
      <c r="AI69" s="100" t="str">
        <f>IFERROR((SUMIF('8店辅助表'!AP:AP,B:B,'8店辅助表'!AR:AR)-SUMIF('8店辅助表'!AP:AP,B:B,'8店辅助表'!AR:AR)*0.15-(L69+IFERROR(VLOOKUP(B:B,'8店辅助表'!AZ:BA,2,0),0))*O69-IF(AN:AN="US",6.85,4.9)*(Z69+4.03*O69))/SUMIF('8店辅助表'!AP:AP,B:B,'8店辅助表'!AR:AR),"-")</f>
        <v>-</v>
      </c>
      <c r="AJ69" s="100" t="str">
        <f t="shared" si="38"/>
        <v>-</v>
      </c>
      <c r="AK69" s="101">
        <f t="shared" si="39"/>
        <v>0</v>
      </c>
      <c r="AL69" s="101">
        <f t="shared" si="40"/>
        <v>0</v>
      </c>
      <c r="AM69" s="1" t="str">
        <f>VLOOKUP(B:B,'8店辅助表'!AZ:AZ,1,FALSE)</f>
        <v>Y8807-BL</v>
      </c>
      <c r="AN69" t="str">
        <f>VLOOKUP(B:B,'8店辅助表'!AZ:BB,3,FALSE)</f>
        <v>CA</v>
      </c>
    </row>
    <row r="70" customHeight="1" spans="1:40">
      <c r="A70" s="58" t="str">
        <f>INDEX('[1]8店'!$A:$A,MATCH(B:B,'[1]8店'!$B:$B,0))</f>
        <v>秀青</v>
      </c>
      <c r="B70" s="108" t="s">
        <v>2926</v>
      </c>
      <c r="C70" s="108" t="s">
        <v>2049</v>
      </c>
      <c r="D70" s="59">
        <f>VLOOKUP(B:B,'[1]8店'!$B:$L,3,0)</f>
        <v>45097</v>
      </c>
      <c r="E70" s="108" t="s">
        <v>2927</v>
      </c>
      <c r="F70" s="108">
        <v>10</v>
      </c>
      <c r="G70" s="108">
        <v>0</v>
      </c>
      <c r="H70" s="108">
        <v>0</v>
      </c>
      <c r="I70" s="108">
        <v>0</v>
      </c>
      <c r="J70" s="108">
        <v>0</v>
      </c>
      <c r="K70" s="63">
        <f t="shared" si="30"/>
        <v>10</v>
      </c>
      <c r="L70" s="124">
        <f>VLOOKUP($B:$B,'[1]8店'!$B:$L,11,0)</f>
        <v>32.084</v>
      </c>
      <c r="M70" s="44">
        <f t="shared" si="41"/>
        <v>320.84</v>
      </c>
      <c r="N70" s="65">
        <f>IFERROR(VLOOKUP(B:B,'8店辅助表'!B:C,2,FALSE),0)</f>
        <v>0</v>
      </c>
      <c r="O70" s="65">
        <f>IFERROR(VLOOKUP(B:B,'8店辅助表'!E:F,2,FALSE),0)</f>
        <v>0</v>
      </c>
      <c r="P70" s="65">
        <f>IFERROR(VLOOKUP(B:B,'8店辅助表'!H:I,2,FALSE),0)</f>
        <v>0</v>
      </c>
      <c r="Q70" s="65">
        <f>IFERROR(VLOOKUP(B:B,'[1]8店'!$B:$N,13,FALSE),0)</f>
        <v>0</v>
      </c>
      <c r="R70" s="79">
        <f t="shared" si="31"/>
        <v>0</v>
      </c>
      <c r="S70" s="80" t="str">
        <f t="shared" si="32"/>
        <v>-</v>
      </c>
      <c r="T70" s="44" t="str">
        <f t="shared" si="33"/>
        <v>-</v>
      </c>
      <c r="U70" s="44" t="str">
        <f>IFERROR(VLOOKUP(B:B,'[1]8店'!$B:$T,19,0),"-")</f>
        <v>-</v>
      </c>
      <c r="V70" s="81" t="str">
        <f t="shared" si="34"/>
        <v>-</v>
      </c>
      <c r="W70" s="82" t="str">
        <f t="shared" si="35"/>
        <v>有库存无销量</v>
      </c>
      <c r="X70" s="83" t="str">
        <f t="shared" si="36"/>
        <v>有库存无销量</v>
      </c>
      <c r="Y70" s="44">
        <f>IFERROR(SUMIF('8店辅助表'!K:K,B:B,'8店辅助表'!N:N),0)</f>
        <v>0</v>
      </c>
      <c r="Z70" s="44">
        <f>IFERROR(SUMIF('8店辅助表'!T:T,B:B,'8店辅助表'!W:W),0)</f>
        <v>0</v>
      </c>
      <c r="AA70" s="44">
        <f>IFERROR(SUMIF('8店辅助表'!AC:AC,B:B,'8店辅助表'!AF:AF),0)</f>
        <v>0</v>
      </c>
      <c r="AB70" s="91" t="str">
        <f>IFERROR(SUMIF('8店辅助表'!K:K,B:B,'8店辅助表'!N:N)/SUMIF('8店辅助表'!K:K,B:B,'8店辅助表'!O:O),"-")</f>
        <v>-</v>
      </c>
      <c r="AC70" s="91" t="str">
        <f>IFERROR(VLOOKUP(B:B,'[1]8店'!$B:$AB,27,FALSE),"-")</f>
        <v>-</v>
      </c>
      <c r="AD70" s="92" t="str">
        <f t="shared" si="37"/>
        <v>-</v>
      </c>
      <c r="AE70" s="91" t="str">
        <f>IFERROR(SUMIF('8店辅助表'!T:T,B:B,'8店辅助表'!W:W)/SUMIF('8店辅助表'!T:T,B:B,'8店辅助表'!X:X),"-")</f>
        <v>-</v>
      </c>
      <c r="AF70" s="91" t="str">
        <f>IFERROR(SUMIF('8店辅助表'!AC:AC,B:B,'8店辅助表'!AF:AF)/SUMIF('8店辅助表'!AC:AC,B:B,'8店辅助表'!AG:AG),"-")</f>
        <v>-</v>
      </c>
      <c r="AG70" s="99">
        <f>IFERROR(AK70/((SUMIF('8店辅助表'!AT:AT,B:B,'8店辅助表'!AU:AU)+M70)/2),"-")</f>
        <v>0</v>
      </c>
      <c r="AH70" s="99">
        <f>IFERROR(AL70/((SUMIF('8店辅助表'!AW:AW,B:B,'8店辅助表'!AX:AX)+M70)/2),"-")</f>
        <v>0</v>
      </c>
      <c r="AI70" s="100" t="str">
        <f>IFERROR((SUMIF('8店辅助表'!AP:AP,B:B,'8店辅助表'!AR:AR)-SUMIF('8店辅助表'!AP:AP,B:B,'8店辅助表'!AR:AR)*0.15-(L70+IFERROR(VLOOKUP(B:B,'8店辅助表'!AZ:BA,2,0),0))*O70-IF(AN:AN="US",6.85,4.9)*(Z70+4.03*O70))/SUMIF('8店辅助表'!AP:AP,B:B,'8店辅助表'!AR:AR),"-")</f>
        <v>-</v>
      </c>
      <c r="AJ70" s="100" t="str">
        <f t="shared" si="38"/>
        <v>-</v>
      </c>
      <c r="AK70" s="101">
        <f t="shared" si="39"/>
        <v>0</v>
      </c>
      <c r="AL70" s="101">
        <f t="shared" si="40"/>
        <v>0</v>
      </c>
      <c r="AM70" s="1" t="str">
        <f>VLOOKUP(B:B,'8店辅助表'!AZ:AZ,1,FALSE)</f>
        <v>Y8807-RE</v>
      </c>
      <c r="AN70" t="str">
        <f>VLOOKUP(B:B,'8店辅助表'!AZ:BB,3,FALSE)</f>
        <v>CA</v>
      </c>
    </row>
    <row r="71" customHeight="1" spans="1:40">
      <c r="A71" s="58" t="str">
        <f>INDEX('[1]8店'!$A:$A,MATCH(B:B,'[1]8店'!$B:$B,0))</f>
        <v>秀青</v>
      </c>
      <c r="B71" s="116" t="s">
        <v>2928</v>
      </c>
      <c r="C71" s="116" t="s">
        <v>2929</v>
      </c>
      <c r="D71" s="59">
        <f>VLOOKUP(B:B,'[1]8店'!$B:$L,3,0)</f>
        <v>45097</v>
      </c>
      <c r="E71" s="116" t="s">
        <v>2930</v>
      </c>
      <c r="F71" s="116">
        <v>30</v>
      </c>
      <c r="G71" s="116">
        <v>0</v>
      </c>
      <c r="H71" s="116">
        <v>0</v>
      </c>
      <c r="I71" s="116">
        <v>0</v>
      </c>
      <c r="J71" s="116">
        <v>0</v>
      </c>
      <c r="K71" s="63">
        <f t="shared" si="30"/>
        <v>30</v>
      </c>
      <c r="L71" s="124">
        <f>VLOOKUP($B:$B,'[1]8店'!$B:$L,11,0)</f>
        <v>34.081</v>
      </c>
      <c r="M71" s="44">
        <f t="shared" si="41"/>
        <v>1022.43</v>
      </c>
      <c r="N71" s="65">
        <f>IFERROR(VLOOKUP(B:B,'8店辅助表'!B:C,2,FALSE),0)</f>
        <v>0</v>
      </c>
      <c r="O71" s="65">
        <f>IFERROR(VLOOKUP(B:B,'8店辅助表'!E:F,2,FALSE),0)</f>
        <v>0</v>
      </c>
      <c r="P71" s="65">
        <f>IFERROR(VLOOKUP(B:B,'8店辅助表'!H:I,2,FALSE),0)</f>
        <v>0</v>
      </c>
      <c r="Q71" s="65">
        <f>IFERROR(VLOOKUP(B:B,'[1]8店'!$B:$N,13,FALSE),0)</f>
        <v>0</v>
      </c>
      <c r="R71" s="79">
        <f t="shared" si="31"/>
        <v>0</v>
      </c>
      <c r="S71" s="80" t="str">
        <f t="shared" si="32"/>
        <v>-</v>
      </c>
      <c r="T71" s="44" t="str">
        <f t="shared" si="33"/>
        <v>-</v>
      </c>
      <c r="U71" s="44" t="str">
        <f>IFERROR(VLOOKUP(B:B,'[1]8店'!$B:$T,19,0),"-")</f>
        <v>-</v>
      </c>
      <c r="V71" s="81" t="str">
        <f t="shared" si="34"/>
        <v>-</v>
      </c>
      <c r="W71" s="82" t="str">
        <f t="shared" si="35"/>
        <v>有库存无销量</v>
      </c>
      <c r="X71" s="83" t="str">
        <f t="shared" si="36"/>
        <v>有库存无销量</v>
      </c>
      <c r="Y71" s="44">
        <f>IFERROR(SUMIF('8店辅助表'!K:K,B:B,'8店辅助表'!N:N),0)</f>
        <v>0</v>
      </c>
      <c r="Z71" s="44">
        <f>IFERROR(SUMIF('8店辅助表'!T:T,B:B,'8店辅助表'!W:W),0)</f>
        <v>0</v>
      </c>
      <c r="AA71" s="44">
        <f>IFERROR(SUMIF('8店辅助表'!AC:AC,B:B,'8店辅助表'!AF:AF),0)</f>
        <v>0</v>
      </c>
      <c r="AB71" s="91" t="str">
        <f>IFERROR(SUMIF('8店辅助表'!K:K,B:B,'8店辅助表'!N:N)/SUMIF('8店辅助表'!K:K,B:B,'8店辅助表'!O:O),"-")</f>
        <v>-</v>
      </c>
      <c r="AC71" s="91" t="str">
        <f>IFERROR(VLOOKUP(B:B,'[1]8店'!$B:$AB,27,FALSE),"-")</f>
        <v>-</v>
      </c>
      <c r="AD71" s="92" t="str">
        <f t="shared" si="37"/>
        <v>-</v>
      </c>
      <c r="AE71" s="91" t="str">
        <f>IFERROR(SUMIF('8店辅助表'!T:T,B:B,'8店辅助表'!W:W)/SUMIF('8店辅助表'!T:T,B:B,'8店辅助表'!X:X),"-")</f>
        <v>-</v>
      </c>
      <c r="AF71" s="91" t="str">
        <f>IFERROR(SUMIF('8店辅助表'!AC:AC,B:B,'8店辅助表'!AF:AF)/SUMIF('8店辅助表'!AC:AC,B:B,'8店辅助表'!AG:AG),"-")</f>
        <v>-</v>
      </c>
      <c r="AG71" s="99">
        <f>IFERROR(AK71/((SUMIF('8店辅助表'!AT:AT,B:B,'8店辅助表'!AU:AU)+M71)/2),"-")</f>
        <v>0</v>
      </c>
      <c r="AH71" s="99">
        <f>IFERROR(AL71/((SUMIF('8店辅助表'!AW:AW,B:B,'8店辅助表'!AX:AX)+M71)/2),"-")</f>
        <v>0</v>
      </c>
      <c r="AI71" s="100" t="str">
        <f>IFERROR((SUMIF('8店辅助表'!AP:AP,B:B,'8店辅助表'!AR:AR)-SUMIF('8店辅助表'!AP:AP,B:B,'8店辅助表'!AR:AR)*0.15-(L71+IFERROR(VLOOKUP(B:B,'8店辅助表'!AZ:BA,2,0),0))*O71-IF(AN:AN="US",6.85,4.9)*(Z71+4.03*O71))/SUMIF('8店辅助表'!AP:AP,B:B,'8店辅助表'!AR:AR),"-")</f>
        <v>-</v>
      </c>
      <c r="AJ71" s="100" t="str">
        <f t="shared" si="38"/>
        <v>-</v>
      </c>
      <c r="AK71" s="101">
        <f t="shared" si="39"/>
        <v>0</v>
      </c>
      <c r="AL71" s="101">
        <f t="shared" si="40"/>
        <v>0</v>
      </c>
      <c r="AM71" s="1" t="str">
        <f>VLOOKUP(B:B,'8店辅助表'!AZ:AZ,1,FALSE)</f>
        <v>Y8808-BL</v>
      </c>
      <c r="AN71" t="str">
        <f>VLOOKUP(B:B,'8店辅助表'!AZ:BB,3,FALSE)</f>
        <v>CA</v>
      </c>
    </row>
    <row r="72" customHeight="1" spans="1:40">
      <c r="A72" s="58" t="str">
        <f>INDEX('[1]8店'!$A:$A,MATCH(B:B,'[1]8店'!$B:$B,0))</f>
        <v>秀青</v>
      </c>
      <c r="B72" s="116" t="s">
        <v>2931</v>
      </c>
      <c r="C72" s="116" t="s">
        <v>2932</v>
      </c>
      <c r="D72" s="59">
        <f>VLOOKUP(B:B,'[1]8店'!$B:$L,3,0)</f>
        <v>45097</v>
      </c>
      <c r="E72" s="116" t="s">
        <v>2933</v>
      </c>
      <c r="F72" s="116">
        <v>29</v>
      </c>
      <c r="G72" s="116">
        <v>0</v>
      </c>
      <c r="H72" s="116">
        <v>0</v>
      </c>
      <c r="I72" s="116">
        <v>0</v>
      </c>
      <c r="J72" s="116">
        <v>0</v>
      </c>
      <c r="K72" s="63">
        <f t="shared" si="30"/>
        <v>29</v>
      </c>
      <c r="L72" s="124">
        <f>VLOOKUP($B:$B,'[1]8店'!$B:$L,11,0)</f>
        <v>34.081</v>
      </c>
      <c r="M72" s="44">
        <f t="shared" si="41"/>
        <v>988.349</v>
      </c>
      <c r="N72" s="65">
        <f>IFERROR(VLOOKUP(B:B,'8店辅助表'!B:C,2,FALSE),0)</f>
        <v>0</v>
      </c>
      <c r="O72" s="65">
        <f>IFERROR(VLOOKUP(B:B,'8店辅助表'!E:F,2,FALSE),0)</f>
        <v>0</v>
      </c>
      <c r="P72" s="65">
        <f>IFERROR(VLOOKUP(B:B,'8店辅助表'!H:I,2,FALSE),0)</f>
        <v>0</v>
      </c>
      <c r="Q72" s="65">
        <f>IFERROR(VLOOKUP(B:B,'[1]8店'!$B:$N,13,FALSE),0)</f>
        <v>0</v>
      </c>
      <c r="R72" s="79">
        <f t="shared" si="31"/>
        <v>0</v>
      </c>
      <c r="S72" s="80" t="str">
        <f t="shared" si="32"/>
        <v>-</v>
      </c>
      <c r="T72" s="44" t="str">
        <f t="shared" si="33"/>
        <v>-</v>
      </c>
      <c r="U72" s="44" t="str">
        <f>IFERROR(VLOOKUP(B:B,'[1]8店'!$B:$T,19,0),"-")</f>
        <v>-</v>
      </c>
      <c r="V72" s="81" t="str">
        <f t="shared" si="34"/>
        <v>-</v>
      </c>
      <c r="W72" s="82" t="str">
        <f t="shared" si="35"/>
        <v>有库存无销量</v>
      </c>
      <c r="X72" s="83" t="str">
        <f t="shared" si="36"/>
        <v>有库存无销量</v>
      </c>
      <c r="Y72" s="44">
        <f>IFERROR(SUMIF('8店辅助表'!K:K,B:B,'8店辅助表'!N:N),0)</f>
        <v>0</v>
      </c>
      <c r="Z72" s="44">
        <f>IFERROR(SUMIF('8店辅助表'!T:T,B:B,'8店辅助表'!W:W),0)</f>
        <v>0</v>
      </c>
      <c r="AA72" s="44">
        <f>IFERROR(SUMIF('8店辅助表'!AC:AC,B:B,'8店辅助表'!AF:AF),0)</f>
        <v>0</v>
      </c>
      <c r="AB72" s="91" t="str">
        <f>IFERROR(SUMIF('8店辅助表'!K:K,B:B,'8店辅助表'!N:N)/SUMIF('8店辅助表'!K:K,B:B,'8店辅助表'!O:O),"-")</f>
        <v>-</v>
      </c>
      <c r="AC72" s="91" t="str">
        <f>IFERROR(VLOOKUP(B:B,'[1]8店'!$B:$AB,27,FALSE),"-")</f>
        <v>-</v>
      </c>
      <c r="AD72" s="92" t="str">
        <f t="shared" si="37"/>
        <v>-</v>
      </c>
      <c r="AE72" s="91" t="str">
        <f>IFERROR(SUMIF('8店辅助表'!T:T,B:B,'8店辅助表'!W:W)/SUMIF('8店辅助表'!T:T,B:B,'8店辅助表'!X:X),"-")</f>
        <v>-</v>
      </c>
      <c r="AF72" s="91" t="str">
        <f>IFERROR(SUMIF('8店辅助表'!AC:AC,B:B,'8店辅助表'!AF:AF)/SUMIF('8店辅助表'!AC:AC,B:B,'8店辅助表'!AG:AG),"-")</f>
        <v>-</v>
      </c>
      <c r="AG72" s="99">
        <f>IFERROR(AK72/((SUMIF('8店辅助表'!AT:AT,B:B,'8店辅助表'!AU:AU)+M72)/2),"-")</f>
        <v>0</v>
      </c>
      <c r="AH72" s="99">
        <f>IFERROR(AL72/((SUMIF('8店辅助表'!AW:AW,B:B,'8店辅助表'!AX:AX)+M72)/2),"-")</f>
        <v>0</v>
      </c>
      <c r="AI72" s="100" t="str">
        <f>IFERROR((SUMIF('8店辅助表'!AP:AP,B:B,'8店辅助表'!AR:AR)-SUMIF('8店辅助表'!AP:AP,B:B,'8店辅助表'!AR:AR)*0.15-(L72+IFERROR(VLOOKUP(B:B,'8店辅助表'!AZ:BA,2,0),0))*O72-IF(AN:AN="US",6.85,4.9)*(Z72+4.03*O72))/SUMIF('8店辅助表'!AP:AP,B:B,'8店辅助表'!AR:AR),"-")</f>
        <v>-</v>
      </c>
      <c r="AJ72" s="100" t="str">
        <f t="shared" si="38"/>
        <v>-</v>
      </c>
      <c r="AK72" s="101">
        <f t="shared" si="39"/>
        <v>0</v>
      </c>
      <c r="AL72" s="101">
        <f t="shared" si="40"/>
        <v>0</v>
      </c>
      <c r="AM72" s="1" t="str">
        <f>VLOOKUP(B:B,'8店辅助表'!AZ:AZ,1,FALSE)</f>
        <v>Y8809-BL</v>
      </c>
      <c r="AN72" t="str">
        <f>VLOOKUP(B:B,'8店辅助表'!AZ:BB,3,FALSE)</f>
        <v>CA</v>
      </c>
    </row>
    <row r="73" customHeight="1" spans="1:40">
      <c r="A73" s="58" t="str">
        <f>INDEX('[1]8店'!$A:$A,MATCH(B:B,'[1]8店'!$B:$B,0))</f>
        <v>秀青</v>
      </c>
      <c r="B73" s="116" t="s">
        <v>2934</v>
      </c>
      <c r="C73" s="116" t="s">
        <v>2932</v>
      </c>
      <c r="D73" s="59">
        <f>VLOOKUP(B:B,'[1]8店'!$B:$L,3,0)</f>
        <v>45097</v>
      </c>
      <c r="E73" s="116" t="s">
        <v>2935</v>
      </c>
      <c r="F73" s="116">
        <v>10</v>
      </c>
      <c r="G73" s="116">
        <v>0</v>
      </c>
      <c r="H73" s="116">
        <v>0</v>
      </c>
      <c r="I73" s="116">
        <v>0</v>
      </c>
      <c r="J73" s="116">
        <v>0</v>
      </c>
      <c r="K73" s="63">
        <f t="shared" si="30"/>
        <v>10</v>
      </c>
      <c r="L73" s="124">
        <f>VLOOKUP($B:$B,'[1]8店'!$B:$L,11,0)</f>
        <v>34.084</v>
      </c>
      <c r="M73" s="44">
        <f t="shared" si="41"/>
        <v>340.84</v>
      </c>
      <c r="N73" s="65">
        <f>IFERROR(VLOOKUP(B:B,'8店辅助表'!B:C,2,FALSE),0)</f>
        <v>0</v>
      </c>
      <c r="O73" s="65">
        <f>IFERROR(VLOOKUP(B:B,'8店辅助表'!E:F,2,FALSE),0)</f>
        <v>0</v>
      </c>
      <c r="P73" s="65">
        <f>IFERROR(VLOOKUP(B:B,'8店辅助表'!H:I,2,FALSE),0)</f>
        <v>0</v>
      </c>
      <c r="Q73" s="65">
        <f>IFERROR(VLOOKUP(B:B,'[1]8店'!$B:$N,13,FALSE),0)</f>
        <v>0</v>
      </c>
      <c r="R73" s="79">
        <f t="shared" si="31"/>
        <v>0</v>
      </c>
      <c r="S73" s="80" t="str">
        <f t="shared" si="32"/>
        <v>-</v>
      </c>
      <c r="T73" s="44" t="str">
        <f t="shared" si="33"/>
        <v>-</v>
      </c>
      <c r="U73" s="44" t="str">
        <f>IFERROR(VLOOKUP(B:B,'[1]8店'!$B:$T,19,0),"-")</f>
        <v>-</v>
      </c>
      <c r="V73" s="81" t="str">
        <f t="shared" si="34"/>
        <v>-</v>
      </c>
      <c r="W73" s="82" t="str">
        <f t="shared" si="35"/>
        <v>有库存无销量</v>
      </c>
      <c r="X73" s="83" t="str">
        <f t="shared" si="36"/>
        <v>有库存无销量</v>
      </c>
      <c r="Y73" s="44">
        <f>IFERROR(SUMIF('8店辅助表'!K:K,B:B,'8店辅助表'!N:N),0)</f>
        <v>0</v>
      </c>
      <c r="Z73" s="44">
        <f>IFERROR(SUMIF('8店辅助表'!T:T,B:B,'8店辅助表'!W:W),0)</f>
        <v>0</v>
      </c>
      <c r="AA73" s="44">
        <f>IFERROR(SUMIF('8店辅助表'!AC:AC,B:B,'8店辅助表'!AF:AF),0)</f>
        <v>0</v>
      </c>
      <c r="AB73" s="91" t="str">
        <f>IFERROR(SUMIF('8店辅助表'!K:K,B:B,'8店辅助表'!N:N)/SUMIF('8店辅助表'!K:K,B:B,'8店辅助表'!O:O),"-")</f>
        <v>-</v>
      </c>
      <c r="AC73" s="91" t="str">
        <f>IFERROR(VLOOKUP(B:B,'[1]8店'!$B:$AB,27,FALSE),"-")</f>
        <v>-</v>
      </c>
      <c r="AD73" s="92" t="str">
        <f t="shared" si="37"/>
        <v>-</v>
      </c>
      <c r="AE73" s="91" t="str">
        <f>IFERROR(SUMIF('8店辅助表'!T:T,B:B,'8店辅助表'!W:W)/SUMIF('8店辅助表'!T:T,B:B,'8店辅助表'!X:X),"-")</f>
        <v>-</v>
      </c>
      <c r="AF73" s="91" t="str">
        <f>IFERROR(SUMIF('8店辅助表'!AC:AC,B:B,'8店辅助表'!AF:AF)/SUMIF('8店辅助表'!AC:AC,B:B,'8店辅助表'!AG:AG),"-")</f>
        <v>-</v>
      </c>
      <c r="AG73" s="99">
        <f>IFERROR(AK73/((SUMIF('8店辅助表'!AT:AT,B:B,'8店辅助表'!AU:AU)+M73)/2),"-")</f>
        <v>0</v>
      </c>
      <c r="AH73" s="99">
        <f>IFERROR(AL73/((SUMIF('8店辅助表'!AW:AW,B:B,'8店辅助表'!AX:AX)+M73)/2),"-")</f>
        <v>0</v>
      </c>
      <c r="AI73" s="100" t="str">
        <f>IFERROR((SUMIF('8店辅助表'!AP:AP,B:B,'8店辅助表'!AR:AR)-SUMIF('8店辅助表'!AP:AP,B:B,'8店辅助表'!AR:AR)*0.15-(L73+IFERROR(VLOOKUP(B:B,'8店辅助表'!AZ:BA,2,0),0))*O73-IF(AN:AN="US",6.85,4.9)*(Z73+4.03*O73))/SUMIF('8店辅助表'!AP:AP,B:B,'8店辅助表'!AR:AR),"-")</f>
        <v>-</v>
      </c>
      <c r="AJ73" s="100" t="str">
        <f t="shared" si="38"/>
        <v>-</v>
      </c>
      <c r="AK73" s="101">
        <f t="shared" si="39"/>
        <v>0</v>
      </c>
      <c r="AL73" s="101">
        <f t="shared" si="40"/>
        <v>0</v>
      </c>
      <c r="AM73" s="1" t="str">
        <f>VLOOKUP(B:B,'8店辅助表'!AZ:AZ,1,FALSE)</f>
        <v>Y8809-RE</v>
      </c>
      <c r="AN73" t="str">
        <f>VLOOKUP(B:B,'8店辅助表'!AZ:BB,3,FALSE)</f>
        <v>CA</v>
      </c>
    </row>
    <row r="74" customHeight="1" spans="1:40">
      <c r="A74" s="58" t="str">
        <f>INDEX('[1]8店'!$A:$A,MATCH(B:B,'[1]8店'!$B:$B,0))</f>
        <v>秀青</v>
      </c>
      <c r="B74" s="116" t="s">
        <v>2936</v>
      </c>
      <c r="C74" s="116" t="s">
        <v>2054</v>
      </c>
      <c r="D74" s="59">
        <f>VLOOKUP(B:B,'[1]8店'!$B:$L,3,0)</f>
        <v>45097</v>
      </c>
      <c r="E74" s="116" t="s">
        <v>2937</v>
      </c>
      <c r="F74" s="116">
        <v>9</v>
      </c>
      <c r="G74" s="116">
        <v>0</v>
      </c>
      <c r="H74" s="116">
        <v>0</v>
      </c>
      <c r="I74" s="116">
        <v>0</v>
      </c>
      <c r="J74" s="116">
        <v>0</v>
      </c>
      <c r="K74" s="63">
        <f t="shared" si="30"/>
        <v>9</v>
      </c>
      <c r="L74" s="124">
        <f>VLOOKUP($B:$B,'[1]8店'!$B:$L,11,0)</f>
        <v>10.133</v>
      </c>
      <c r="M74" s="44">
        <f t="shared" si="41"/>
        <v>91.197</v>
      </c>
      <c r="N74" s="65">
        <f>IFERROR(VLOOKUP(B:B,'8店辅助表'!B:C,2,FALSE),0)</f>
        <v>0</v>
      </c>
      <c r="O74" s="65">
        <f>IFERROR(VLOOKUP(B:B,'8店辅助表'!E:F,2,FALSE),0)</f>
        <v>0</v>
      </c>
      <c r="P74" s="65">
        <f>IFERROR(VLOOKUP(B:B,'8店辅助表'!H:I,2,FALSE),0)</f>
        <v>0</v>
      </c>
      <c r="Q74" s="65">
        <f>IFERROR(VLOOKUP(B:B,'[1]8店'!$B:$N,13,FALSE),0)</f>
        <v>0</v>
      </c>
      <c r="R74" s="79">
        <f t="shared" si="31"/>
        <v>0</v>
      </c>
      <c r="S74" s="80" t="str">
        <f t="shared" si="32"/>
        <v>-</v>
      </c>
      <c r="T74" s="44" t="str">
        <f t="shared" si="33"/>
        <v>-</v>
      </c>
      <c r="U74" s="44" t="str">
        <f>IFERROR(VLOOKUP(B:B,'[1]8店'!$B:$T,19,0),"-")</f>
        <v>-</v>
      </c>
      <c r="V74" s="81" t="str">
        <f t="shared" si="34"/>
        <v>-</v>
      </c>
      <c r="W74" s="82" t="str">
        <f t="shared" si="35"/>
        <v>有库存无销量</v>
      </c>
      <c r="X74" s="83" t="str">
        <f t="shared" si="36"/>
        <v>有库存无销量</v>
      </c>
      <c r="Y74" s="44">
        <f>IFERROR(SUMIF('8店辅助表'!K:K,B:B,'8店辅助表'!N:N),0)</f>
        <v>0</v>
      </c>
      <c r="Z74" s="44">
        <f>IFERROR(SUMIF('8店辅助表'!T:T,B:B,'8店辅助表'!W:W),0)</f>
        <v>0</v>
      </c>
      <c r="AA74" s="44">
        <f>IFERROR(SUMIF('8店辅助表'!AC:AC,B:B,'8店辅助表'!AF:AF),0)</f>
        <v>0</v>
      </c>
      <c r="AB74" s="91" t="str">
        <f>IFERROR(SUMIF('8店辅助表'!K:K,B:B,'8店辅助表'!N:N)/SUMIF('8店辅助表'!K:K,B:B,'8店辅助表'!O:O),"-")</f>
        <v>-</v>
      </c>
      <c r="AC74" s="91" t="str">
        <f>IFERROR(VLOOKUP(B:B,'[1]8店'!$B:$AB,27,FALSE),"-")</f>
        <v>-</v>
      </c>
      <c r="AD74" s="92" t="str">
        <f t="shared" si="37"/>
        <v>-</v>
      </c>
      <c r="AE74" s="91" t="str">
        <f>IFERROR(SUMIF('8店辅助表'!T:T,B:B,'8店辅助表'!W:W)/SUMIF('8店辅助表'!T:T,B:B,'8店辅助表'!X:X),"-")</f>
        <v>-</v>
      </c>
      <c r="AF74" s="91" t="str">
        <f>IFERROR(SUMIF('8店辅助表'!AC:AC,B:B,'8店辅助表'!AF:AF)/SUMIF('8店辅助表'!AC:AC,B:B,'8店辅助表'!AG:AG),"-")</f>
        <v>-</v>
      </c>
      <c r="AG74" s="99">
        <f>IFERROR(AK74/((SUMIF('8店辅助表'!AT:AT,B:B,'8店辅助表'!AU:AU)+M74)/2),"-")</f>
        <v>0</v>
      </c>
      <c r="AH74" s="99">
        <f>IFERROR(AL74/((SUMIF('8店辅助表'!AW:AW,B:B,'8店辅助表'!AX:AX)+M74)/2),"-")</f>
        <v>0</v>
      </c>
      <c r="AI74" s="100" t="str">
        <f>IFERROR((SUMIF('8店辅助表'!AP:AP,B:B,'8店辅助表'!AR:AR)-SUMIF('8店辅助表'!AP:AP,B:B,'8店辅助表'!AR:AR)*0.15-(L74+IFERROR(VLOOKUP(B:B,'8店辅助表'!AZ:BA,2,0),0))*O74-IF(AN:AN="US",6.85,4.9)*(Z74+4.03*O74))/SUMIF('8店辅助表'!AP:AP,B:B,'8店辅助表'!AR:AR),"-")</f>
        <v>-</v>
      </c>
      <c r="AJ74" s="100" t="str">
        <f t="shared" si="38"/>
        <v>-</v>
      </c>
      <c r="AK74" s="101">
        <f t="shared" si="39"/>
        <v>0</v>
      </c>
      <c r="AL74" s="101">
        <f t="shared" si="40"/>
        <v>0</v>
      </c>
      <c r="AM74" s="1" t="str">
        <f>VLOOKUP(B:B,'8店辅助表'!AZ:AZ,1,FALSE)</f>
        <v>Y8810-SC</v>
      </c>
      <c r="AN74" t="str">
        <f>VLOOKUP(B:B,'8店辅助表'!AZ:BB,3,FALSE)</f>
        <v>CA</v>
      </c>
    </row>
    <row r="75" customHeight="1" spans="1:40">
      <c r="A75" s="58" t="str">
        <f>INDEX('[1]8店'!$A:$A,MATCH(B:B,'[1]8店'!$B:$B,0))</f>
        <v>秀青</v>
      </c>
      <c r="B75" s="116" t="s">
        <v>2938</v>
      </c>
      <c r="C75" s="116" t="s">
        <v>2929</v>
      </c>
      <c r="D75" s="59">
        <f>VLOOKUP(B:B,'[1]8店'!$B:$L,3,0)</f>
        <v>45097</v>
      </c>
      <c r="E75" s="116" t="s">
        <v>2939</v>
      </c>
      <c r="F75" s="116">
        <v>25</v>
      </c>
      <c r="G75" s="116">
        <v>0</v>
      </c>
      <c r="H75" s="116">
        <v>0</v>
      </c>
      <c r="I75" s="116">
        <v>0</v>
      </c>
      <c r="J75" s="116">
        <v>0</v>
      </c>
      <c r="K75" s="63">
        <f t="shared" si="30"/>
        <v>25</v>
      </c>
      <c r="L75" s="124">
        <f>VLOOKUP($B:$B,'[1]8店'!$B:$L,11,0)</f>
        <v>34.084</v>
      </c>
      <c r="M75" s="44">
        <f t="shared" si="41"/>
        <v>852.1</v>
      </c>
      <c r="N75" s="65">
        <f>IFERROR(VLOOKUP(B:B,'8店辅助表'!B:C,2,FALSE),0)</f>
        <v>0</v>
      </c>
      <c r="O75" s="65">
        <f>IFERROR(VLOOKUP(B:B,'8店辅助表'!E:F,2,FALSE),0)</f>
        <v>0</v>
      </c>
      <c r="P75" s="65">
        <f>IFERROR(VLOOKUP(B:B,'8店辅助表'!H:I,2,FALSE),0)</f>
        <v>0</v>
      </c>
      <c r="Q75" s="65">
        <f>IFERROR(VLOOKUP(B:B,'[1]8店'!$B:$N,13,FALSE),0)</f>
        <v>0</v>
      </c>
      <c r="R75" s="79">
        <f t="shared" si="31"/>
        <v>0</v>
      </c>
      <c r="S75" s="80" t="str">
        <f t="shared" si="32"/>
        <v>-</v>
      </c>
      <c r="T75" s="44" t="str">
        <f t="shared" si="33"/>
        <v>-</v>
      </c>
      <c r="U75" s="44" t="str">
        <f>IFERROR(VLOOKUP(B:B,'[1]8店'!$B:$T,19,0),"-")</f>
        <v>-</v>
      </c>
      <c r="V75" s="81" t="str">
        <f t="shared" si="34"/>
        <v>-</v>
      </c>
      <c r="W75" s="82" t="str">
        <f t="shared" si="35"/>
        <v>有库存无销量</v>
      </c>
      <c r="X75" s="83" t="str">
        <f t="shared" si="36"/>
        <v>有库存无销量</v>
      </c>
      <c r="Y75" s="44">
        <f>IFERROR(SUMIF('8店辅助表'!K:K,B:B,'8店辅助表'!N:N),0)</f>
        <v>0</v>
      </c>
      <c r="Z75" s="44">
        <f>IFERROR(SUMIF('8店辅助表'!T:T,B:B,'8店辅助表'!W:W),0)</f>
        <v>0</v>
      </c>
      <c r="AA75" s="44">
        <f>IFERROR(SUMIF('8店辅助表'!AC:AC,B:B,'8店辅助表'!AF:AF),0)</f>
        <v>0</v>
      </c>
      <c r="AB75" s="91" t="str">
        <f>IFERROR(SUMIF('8店辅助表'!K:K,B:B,'8店辅助表'!N:N)/SUMIF('8店辅助表'!K:K,B:B,'8店辅助表'!O:O),"-")</f>
        <v>-</v>
      </c>
      <c r="AC75" s="91" t="str">
        <f>IFERROR(VLOOKUP(B:B,'[1]8店'!$B:$AB,27,FALSE),"-")</f>
        <v>-</v>
      </c>
      <c r="AD75" s="92" t="str">
        <f t="shared" si="37"/>
        <v>-</v>
      </c>
      <c r="AE75" s="91" t="str">
        <f>IFERROR(SUMIF('8店辅助表'!T:T,B:B,'8店辅助表'!W:W)/SUMIF('8店辅助表'!T:T,B:B,'8店辅助表'!X:X),"-")</f>
        <v>-</v>
      </c>
      <c r="AF75" s="91" t="str">
        <f>IFERROR(SUMIF('8店辅助表'!AC:AC,B:B,'8店辅助表'!AF:AF)/SUMIF('8店辅助表'!AC:AC,B:B,'8店辅助表'!AG:AG),"-")</f>
        <v>-</v>
      </c>
      <c r="AG75" s="99">
        <f>IFERROR(AK75/((SUMIF('8店辅助表'!AT:AT,B:B,'8店辅助表'!AU:AU)+M75)/2),"-")</f>
        <v>0</v>
      </c>
      <c r="AH75" s="99">
        <f>IFERROR(AL75/((SUMIF('8店辅助表'!AW:AW,B:B,'8店辅助表'!AX:AX)+M75)/2),"-")</f>
        <v>0</v>
      </c>
      <c r="AI75" s="100" t="str">
        <f>IFERROR((SUMIF('8店辅助表'!AP:AP,B:B,'8店辅助表'!AR:AR)-SUMIF('8店辅助表'!AP:AP,B:B,'8店辅助表'!AR:AR)*0.15-(L75+IFERROR(VLOOKUP(B:B,'8店辅助表'!AZ:BA,2,0),0))*O75-IF(AN:AN="US",6.85,4.9)*(Z75+4.03*O75))/SUMIF('8店辅助表'!AP:AP,B:B,'8店辅助表'!AR:AR),"-")</f>
        <v>-</v>
      </c>
      <c r="AJ75" s="100" t="str">
        <f t="shared" si="38"/>
        <v>-</v>
      </c>
      <c r="AK75" s="101">
        <f t="shared" si="39"/>
        <v>0</v>
      </c>
      <c r="AL75" s="101">
        <f t="shared" si="40"/>
        <v>0</v>
      </c>
      <c r="AM75" s="1" t="str">
        <f>VLOOKUP(B:B,'8店辅助表'!AZ:AZ,1,FALSE)</f>
        <v>Y8808-RE</v>
      </c>
      <c r="AN75" t="str">
        <f>VLOOKUP(B:B,'8店辅助表'!AZ:BB,3,FALSE)</f>
        <v>CA</v>
      </c>
    </row>
    <row r="76" customHeight="1" spans="1:40">
      <c r="A76" s="58" t="str">
        <f>INDEX('[1]8店'!$A:$A,MATCH(B:B,'[1]8店'!$B:$B,0))</f>
        <v>秀青</v>
      </c>
      <c r="B76" s="116" t="s">
        <v>2940</v>
      </c>
      <c r="C76" s="116" t="s">
        <v>2054</v>
      </c>
      <c r="D76" s="59">
        <f>VLOOKUP(B:B,'[1]8店'!$B:$L,3,0)</f>
        <v>45097</v>
      </c>
      <c r="E76" s="116" t="s">
        <v>2941</v>
      </c>
      <c r="F76" s="116">
        <v>39</v>
      </c>
      <c r="G76" s="116">
        <v>0</v>
      </c>
      <c r="H76" s="116">
        <v>0</v>
      </c>
      <c r="I76" s="116">
        <v>0</v>
      </c>
      <c r="J76" s="116">
        <v>0</v>
      </c>
      <c r="K76" s="63">
        <f t="shared" si="30"/>
        <v>39</v>
      </c>
      <c r="L76" s="124">
        <f>VLOOKUP($B:$B,'[1]8店'!$B:$L,11,0)</f>
        <v>10.133</v>
      </c>
      <c r="M76" s="44">
        <f t="shared" si="41"/>
        <v>395.187</v>
      </c>
      <c r="N76" s="65">
        <f>IFERROR(VLOOKUP(B:B,'8店辅助表'!B:C,2,FALSE),0)</f>
        <v>0</v>
      </c>
      <c r="O76" s="65">
        <f>IFERROR(VLOOKUP(B:B,'8店辅助表'!E:F,2,FALSE),0)</f>
        <v>0</v>
      </c>
      <c r="P76" s="65">
        <f>IFERROR(VLOOKUP(B:B,'8店辅助表'!H:I,2,FALSE),0)</f>
        <v>0</v>
      </c>
      <c r="Q76" s="65">
        <f>IFERROR(VLOOKUP(B:B,'[1]8店'!$B:$N,13,FALSE),0)</f>
        <v>0</v>
      </c>
      <c r="R76" s="79">
        <f t="shared" si="31"/>
        <v>0</v>
      </c>
      <c r="S76" s="80" t="str">
        <f t="shared" si="32"/>
        <v>-</v>
      </c>
      <c r="T76" s="44" t="str">
        <f t="shared" si="33"/>
        <v>-</v>
      </c>
      <c r="U76" s="44" t="str">
        <f>IFERROR(VLOOKUP(B:B,'[1]8店'!$B:$T,19,0),"-")</f>
        <v>-</v>
      </c>
      <c r="V76" s="81" t="str">
        <f t="shared" si="34"/>
        <v>-</v>
      </c>
      <c r="W76" s="82" t="str">
        <f t="shared" si="35"/>
        <v>有库存无销量</v>
      </c>
      <c r="X76" s="83" t="str">
        <f t="shared" si="36"/>
        <v>有库存无销量</v>
      </c>
      <c r="Y76" s="44">
        <f>IFERROR(SUMIF('8店辅助表'!K:K,B:B,'8店辅助表'!N:N),0)</f>
        <v>0</v>
      </c>
      <c r="Z76" s="44">
        <f>IFERROR(SUMIF('8店辅助表'!T:T,B:B,'8店辅助表'!W:W),0)</f>
        <v>0</v>
      </c>
      <c r="AA76" s="44">
        <f>IFERROR(SUMIF('8店辅助表'!AC:AC,B:B,'8店辅助表'!AF:AF),0)</f>
        <v>0</v>
      </c>
      <c r="AB76" s="91" t="str">
        <f>IFERROR(SUMIF('8店辅助表'!K:K,B:B,'8店辅助表'!N:N)/SUMIF('8店辅助表'!K:K,B:B,'8店辅助表'!O:O),"-")</f>
        <v>-</v>
      </c>
      <c r="AC76" s="91" t="str">
        <f>IFERROR(VLOOKUP(B:B,'[1]8店'!$B:$AB,27,FALSE),"-")</f>
        <v>-</v>
      </c>
      <c r="AD76" s="92" t="str">
        <f t="shared" si="37"/>
        <v>-</v>
      </c>
      <c r="AE76" s="91" t="str">
        <f>IFERROR(SUMIF('8店辅助表'!T:T,B:B,'8店辅助表'!W:W)/SUMIF('8店辅助表'!T:T,B:B,'8店辅助表'!X:X),"-")</f>
        <v>-</v>
      </c>
      <c r="AF76" s="91" t="str">
        <f>IFERROR(SUMIF('8店辅助表'!AC:AC,B:B,'8店辅助表'!AF:AF)/SUMIF('8店辅助表'!AC:AC,B:B,'8店辅助表'!AG:AG),"-")</f>
        <v>-</v>
      </c>
      <c r="AG76" s="99">
        <f>IFERROR(AK76/((SUMIF('8店辅助表'!AT:AT,B:B,'8店辅助表'!AU:AU)+M76)/2),"-")</f>
        <v>0</v>
      </c>
      <c r="AH76" s="99">
        <f>IFERROR(AL76/((SUMIF('8店辅助表'!AW:AW,B:B,'8店辅助表'!AX:AX)+M76)/2),"-")</f>
        <v>0</v>
      </c>
      <c r="AI76" s="100" t="str">
        <f>IFERROR((SUMIF('8店辅助表'!AP:AP,B:B,'8店辅助表'!AR:AR)-SUMIF('8店辅助表'!AP:AP,B:B,'8店辅助表'!AR:AR)*0.15-(L76+IFERROR(VLOOKUP(B:B,'8店辅助表'!AZ:BA,2,0),0))*O76-IF(AN:AN="US",6.85,4.9)*(Z76+4.03*O76))/SUMIF('8店辅助表'!AP:AP,B:B,'8店辅助表'!AR:AR),"-")</f>
        <v>-</v>
      </c>
      <c r="AJ76" s="100" t="str">
        <f t="shared" si="38"/>
        <v>-</v>
      </c>
      <c r="AK76" s="101">
        <f t="shared" si="39"/>
        <v>0</v>
      </c>
      <c r="AL76" s="101">
        <f t="shared" si="40"/>
        <v>0</v>
      </c>
      <c r="AM76" s="1" t="str">
        <f>VLOOKUP(B:B,'8店辅助表'!AZ:AZ,1,FALSE)</f>
        <v>Y8810-BL</v>
      </c>
      <c r="AN76" t="str">
        <f>VLOOKUP(B:B,'8店辅助表'!AZ:BB,3,FALSE)</f>
        <v>CA</v>
      </c>
    </row>
    <row r="77" customHeight="1" spans="1:40">
      <c r="A77" s="58" t="str">
        <f>INDEX('[1]8店'!$A:$A,MATCH(B:B,'[1]8店'!$B:$B,0))</f>
        <v>秀青</v>
      </c>
      <c r="B77" s="116" t="s">
        <v>2942</v>
      </c>
      <c r="C77" s="116" t="s">
        <v>2943</v>
      </c>
      <c r="D77" s="59">
        <f>VLOOKUP(B:B,'[1]8店'!$B:$L,3,0)</f>
        <v>45097</v>
      </c>
      <c r="E77" s="116" t="s">
        <v>2944</v>
      </c>
      <c r="F77" s="116">
        <v>30</v>
      </c>
      <c r="G77" s="116">
        <v>0</v>
      </c>
      <c r="H77" s="116">
        <v>0</v>
      </c>
      <c r="I77" s="116">
        <v>0</v>
      </c>
      <c r="J77" s="116">
        <v>0</v>
      </c>
      <c r="K77" s="63">
        <f t="shared" si="30"/>
        <v>30</v>
      </c>
      <c r="L77" s="124">
        <f>VLOOKUP($B:$B,'[1]8店'!$B:$L,11,0)</f>
        <v>11.089</v>
      </c>
      <c r="M77" s="44">
        <f t="shared" si="41"/>
        <v>332.67</v>
      </c>
      <c r="N77" s="65">
        <f>IFERROR(VLOOKUP(B:B,'8店辅助表'!B:C,2,FALSE),0)</f>
        <v>0</v>
      </c>
      <c r="O77" s="65">
        <f>IFERROR(VLOOKUP(B:B,'8店辅助表'!E:F,2,FALSE),0)</f>
        <v>0</v>
      </c>
      <c r="P77" s="65">
        <f>IFERROR(VLOOKUP(B:B,'8店辅助表'!H:I,2,FALSE),0)</f>
        <v>0</v>
      </c>
      <c r="Q77" s="65">
        <f>IFERROR(VLOOKUP(B:B,'[1]8店'!$B:$N,13,FALSE),0)</f>
        <v>0</v>
      </c>
      <c r="R77" s="79">
        <f t="shared" si="31"/>
        <v>0</v>
      </c>
      <c r="S77" s="80" t="str">
        <f t="shared" si="32"/>
        <v>-</v>
      </c>
      <c r="T77" s="44" t="str">
        <f t="shared" si="33"/>
        <v>-</v>
      </c>
      <c r="U77" s="44" t="str">
        <f>IFERROR(VLOOKUP(B:B,'[1]8店'!$B:$T,19,0),"-")</f>
        <v>-</v>
      </c>
      <c r="V77" s="81" t="str">
        <f t="shared" si="34"/>
        <v>-</v>
      </c>
      <c r="W77" s="82" t="str">
        <f t="shared" si="35"/>
        <v>有库存无销量</v>
      </c>
      <c r="X77" s="83" t="str">
        <f t="shared" si="36"/>
        <v>有库存无销量</v>
      </c>
      <c r="Y77" s="44">
        <f>IFERROR(SUMIF('8店辅助表'!K:K,B:B,'8店辅助表'!N:N),0)</f>
        <v>0</v>
      </c>
      <c r="Z77" s="44">
        <f>IFERROR(SUMIF('8店辅助表'!T:T,B:B,'8店辅助表'!W:W),0)</f>
        <v>0</v>
      </c>
      <c r="AA77" s="44">
        <f>IFERROR(SUMIF('8店辅助表'!AC:AC,B:B,'8店辅助表'!AF:AF),0)</f>
        <v>0</v>
      </c>
      <c r="AB77" s="91" t="str">
        <f>IFERROR(SUMIF('8店辅助表'!K:K,B:B,'8店辅助表'!N:N)/SUMIF('8店辅助表'!K:K,B:B,'8店辅助表'!O:O),"-")</f>
        <v>-</v>
      </c>
      <c r="AC77" s="91" t="str">
        <f>IFERROR(VLOOKUP(B:B,'[1]8店'!$B:$AB,27,FALSE),"-")</f>
        <v>-</v>
      </c>
      <c r="AD77" s="92" t="str">
        <f t="shared" si="37"/>
        <v>-</v>
      </c>
      <c r="AE77" s="91" t="str">
        <f>IFERROR(SUMIF('8店辅助表'!T:T,B:B,'8店辅助表'!W:W)/SUMIF('8店辅助表'!T:T,B:B,'8店辅助表'!X:X),"-")</f>
        <v>-</v>
      </c>
      <c r="AF77" s="91" t="str">
        <f>IFERROR(SUMIF('8店辅助表'!AC:AC,B:B,'8店辅助表'!AF:AF)/SUMIF('8店辅助表'!AC:AC,B:B,'8店辅助表'!AG:AG),"-")</f>
        <v>-</v>
      </c>
      <c r="AG77" s="99">
        <f>IFERROR(AK77/((SUMIF('8店辅助表'!AT:AT,B:B,'8店辅助表'!AU:AU)+M77)/2),"-")</f>
        <v>0</v>
      </c>
      <c r="AH77" s="99">
        <f>IFERROR(AL77/((SUMIF('8店辅助表'!AW:AW,B:B,'8店辅助表'!AX:AX)+M77)/2),"-")</f>
        <v>0</v>
      </c>
      <c r="AI77" s="100" t="str">
        <f>IFERROR((SUMIF('8店辅助表'!AP:AP,B:B,'8店辅助表'!AR:AR)-SUMIF('8店辅助表'!AP:AP,B:B,'8店辅助表'!AR:AR)*0.15-(L77+IFERROR(VLOOKUP(B:B,'8店辅助表'!AZ:BA,2,0),0))*O77-IF(AN:AN="US",6.85,4.9)*(Z77+4.03*O77))/SUMIF('8店辅助表'!AP:AP,B:B,'8店辅助表'!AR:AR),"-")</f>
        <v>-</v>
      </c>
      <c r="AJ77" s="100" t="str">
        <f t="shared" si="38"/>
        <v>-</v>
      </c>
      <c r="AK77" s="101">
        <f t="shared" si="39"/>
        <v>0</v>
      </c>
      <c r="AL77" s="101">
        <f t="shared" si="40"/>
        <v>0</v>
      </c>
      <c r="AM77" s="1" t="str">
        <f>VLOOKUP(B:B,'8店辅助表'!AZ:AZ,1,FALSE)</f>
        <v>Y8814-BL</v>
      </c>
      <c r="AN77" t="str">
        <f>VLOOKUP(B:B,'8店辅助表'!AZ:BB,3,FALSE)</f>
        <v>CA</v>
      </c>
    </row>
    <row r="78" customHeight="1" spans="1:40">
      <c r="A78" s="58" t="str">
        <f>INDEX('[1]8店'!$A:$A,MATCH(B:B,'[1]8店'!$B:$B,0))</f>
        <v>秀青</v>
      </c>
      <c r="B78" s="116" t="s">
        <v>2945</v>
      </c>
      <c r="C78" s="116" t="s">
        <v>2943</v>
      </c>
      <c r="D78" s="59">
        <f>VLOOKUP(B:B,'[1]8店'!$B:$L,3,0)</f>
        <v>45097</v>
      </c>
      <c r="E78" s="116" t="s">
        <v>2946</v>
      </c>
      <c r="F78" s="116">
        <v>11</v>
      </c>
      <c r="G78" s="116">
        <v>0</v>
      </c>
      <c r="H78" s="116">
        <v>0</v>
      </c>
      <c r="I78" s="116">
        <v>0</v>
      </c>
      <c r="J78" s="116">
        <v>0</v>
      </c>
      <c r="K78" s="63">
        <f t="shared" si="30"/>
        <v>11</v>
      </c>
      <c r="L78" s="124">
        <f>VLOOKUP($B:$B,'[1]8店'!$B:$L,11,0)</f>
        <v>11.089</v>
      </c>
      <c r="M78" s="44">
        <f t="shared" si="41"/>
        <v>121.979</v>
      </c>
      <c r="N78" s="65">
        <f>IFERROR(VLOOKUP(B:B,'8店辅助表'!B:C,2,FALSE),0)</f>
        <v>0</v>
      </c>
      <c r="O78" s="65">
        <f>IFERROR(VLOOKUP(B:B,'8店辅助表'!E:F,2,FALSE),0)</f>
        <v>0</v>
      </c>
      <c r="P78" s="65">
        <f>IFERROR(VLOOKUP(B:B,'8店辅助表'!H:I,2,FALSE),0)</f>
        <v>0</v>
      </c>
      <c r="Q78" s="65">
        <f>IFERROR(VLOOKUP(B:B,'[1]8店'!$B:$N,13,FALSE),0)</f>
        <v>0</v>
      </c>
      <c r="R78" s="79">
        <f t="shared" si="31"/>
        <v>0</v>
      </c>
      <c r="S78" s="80" t="str">
        <f t="shared" si="32"/>
        <v>-</v>
      </c>
      <c r="T78" s="44" t="str">
        <f t="shared" si="33"/>
        <v>-</v>
      </c>
      <c r="U78" s="44" t="str">
        <f>IFERROR(VLOOKUP(B:B,'[1]8店'!$B:$T,19,0),"-")</f>
        <v>-</v>
      </c>
      <c r="V78" s="81" t="str">
        <f t="shared" si="34"/>
        <v>-</v>
      </c>
      <c r="W78" s="82" t="str">
        <f t="shared" si="35"/>
        <v>有库存无销量</v>
      </c>
      <c r="X78" s="83" t="str">
        <f t="shared" si="36"/>
        <v>有库存无销量</v>
      </c>
      <c r="Y78" s="44">
        <f>IFERROR(SUMIF('8店辅助表'!K:K,B:B,'8店辅助表'!N:N),0)</f>
        <v>0</v>
      </c>
      <c r="Z78" s="44">
        <f>IFERROR(SUMIF('8店辅助表'!T:T,B:B,'8店辅助表'!W:W),0)</f>
        <v>0</v>
      </c>
      <c r="AA78" s="44">
        <f>IFERROR(SUMIF('8店辅助表'!AC:AC,B:B,'8店辅助表'!AF:AF),0)</f>
        <v>0</v>
      </c>
      <c r="AB78" s="91" t="str">
        <f>IFERROR(SUMIF('8店辅助表'!K:K,B:B,'8店辅助表'!N:N)/SUMIF('8店辅助表'!K:K,B:B,'8店辅助表'!O:O),"-")</f>
        <v>-</v>
      </c>
      <c r="AC78" s="91" t="str">
        <f>IFERROR(VLOOKUP(B:B,'[1]8店'!$B:$AB,27,FALSE),"-")</f>
        <v>-</v>
      </c>
      <c r="AD78" s="92" t="str">
        <f t="shared" si="37"/>
        <v>-</v>
      </c>
      <c r="AE78" s="91" t="str">
        <f>IFERROR(SUMIF('8店辅助表'!T:T,B:B,'8店辅助表'!W:W)/SUMIF('8店辅助表'!T:T,B:B,'8店辅助表'!X:X),"-")</f>
        <v>-</v>
      </c>
      <c r="AF78" s="91" t="str">
        <f>IFERROR(SUMIF('8店辅助表'!AC:AC,B:B,'8店辅助表'!AF:AF)/SUMIF('8店辅助表'!AC:AC,B:B,'8店辅助表'!AG:AG),"-")</f>
        <v>-</v>
      </c>
      <c r="AG78" s="99">
        <f>IFERROR(AK78/((SUMIF('8店辅助表'!AT:AT,B:B,'8店辅助表'!AU:AU)+M78)/2),"-")</f>
        <v>0</v>
      </c>
      <c r="AH78" s="99">
        <f>IFERROR(AL78/((SUMIF('8店辅助表'!AW:AW,B:B,'8店辅助表'!AX:AX)+M78)/2),"-")</f>
        <v>0</v>
      </c>
      <c r="AI78" s="100" t="str">
        <f>IFERROR((SUMIF('8店辅助表'!AP:AP,B:B,'8店辅助表'!AR:AR)-SUMIF('8店辅助表'!AP:AP,B:B,'8店辅助表'!AR:AR)*0.15-(L78+IFERROR(VLOOKUP(B:B,'8店辅助表'!AZ:BA,2,0),0))*O78-IF(AN:AN="US",6.85,4.9)*(Z78+4.03*O78))/SUMIF('8店辅助表'!AP:AP,B:B,'8店辅助表'!AR:AR),"-")</f>
        <v>-</v>
      </c>
      <c r="AJ78" s="100" t="str">
        <f t="shared" si="38"/>
        <v>-</v>
      </c>
      <c r="AK78" s="101">
        <f t="shared" si="39"/>
        <v>0</v>
      </c>
      <c r="AL78" s="101">
        <f t="shared" si="40"/>
        <v>0</v>
      </c>
      <c r="AM78" s="1" t="str">
        <f>VLOOKUP(B:B,'8店辅助表'!AZ:AZ,1,FALSE)</f>
        <v>Y8814-SC</v>
      </c>
      <c r="AN78" t="str">
        <f>VLOOKUP(B:B,'8店辅助表'!AZ:BB,3,FALSE)</f>
        <v>CA</v>
      </c>
    </row>
    <row r="79" customHeight="1" spans="1:40">
      <c r="A79" s="58" t="str">
        <f>INDEX('[1]8店'!$A:$A,MATCH(B:B,'[1]8店'!$B:$B,0))</f>
        <v>秀青</v>
      </c>
      <c r="B79" s="116" t="s">
        <v>2947</v>
      </c>
      <c r="C79" s="116" t="s">
        <v>2948</v>
      </c>
      <c r="D79" s="59">
        <f>VLOOKUP(B:B,'[1]8店'!$B:$L,3,0)</f>
        <v>45097</v>
      </c>
      <c r="E79" s="116" t="s">
        <v>2949</v>
      </c>
      <c r="F79" s="116">
        <v>20</v>
      </c>
      <c r="G79" s="116">
        <v>0</v>
      </c>
      <c r="H79" s="116">
        <v>0</v>
      </c>
      <c r="I79" s="116">
        <v>0</v>
      </c>
      <c r="J79" s="116">
        <v>0</v>
      </c>
      <c r="K79" s="63">
        <f t="shared" si="30"/>
        <v>20</v>
      </c>
      <c r="L79" s="124">
        <f>VLOOKUP($B:$B,'[1]8店'!$B:$L,11,0)</f>
        <v>12.034</v>
      </c>
      <c r="M79" s="44">
        <f t="shared" si="41"/>
        <v>240.68</v>
      </c>
      <c r="N79" s="65">
        <f>IFERROR(VLOOKUP(B:B,'8店辅助表'!B:C,2,FALSE),0)</f>
        <v>0</v>
      </c>
      <c r="O79" s="65">
        <f>IFERROR(VLOOKUP(B:B,'8店辅助表'!E:F,2,FALSE),0)</f>
        <v>0</v>
      </c>
      <c r="P79" s="65">
        <f>IFERROR(VLOOKUP(B:B,'8店辅助表'!H:I,2,FALSE),0)</f>
        <v>3</v>
      </c>
      <c r="Q79" s="65">
        <f>IFERROR(VLOOKUP(B:B,'[1]8店'!$B:$N,13,FALSE),0)</f>
        <v>0</v>
      </c>
      <c r="R79" s="79">
        <f t="shared" si="31"/>
        <v>0</v>
      </c>
      <c r="S79" s="80">
        <f t="shared" si="32"/>
        <v>600</v>
      </c>
      <c r="T79" s="44">
        <f t="shared" si="33"/>
        <v>20</v>
      </c>
      <c r="U79" s="44">
        <f>IFERROR(VLOOKUP(B:B,'[1]8店'!$B:$T,19,0),"-")</f>
        <v>8.57142857142857</v>
      </c>
      <c r="V79" s="81">
        <f t="shared" si="34"/>
        <v>11.4285714285714</v>
      </c>
      <c r="W79" s="82" t="str">
        <f t="shared" si="35"/>
        <v>有库存无销量</v>
      </c>
      <c r="X79" s="83" t="str">
        <f t="shared" si="36"/>
        <v>库存过高</v>
      </c>
      <c r="Y79" s="44">
        <f>IFERROR(SUMIF('8店辅助表'!K:K,B:B,'8店辅助表'!N:N),0)</f>
        <v>0</v>
      </c>
      <c r="Z79" s="44">
        <f>IFERROR(SUMIF('8店辅助表'!T:T,B:B,'8店辅助表'!W:W),0)</f>
        <v>0</v>
      </c>
      <c r="AA79" s="44">
        <f>IFERROR(SUMIF('8店辅助表'!AC:AC,B:B,'8店辅助表'!AF:AF),0)</f>
        <v>0</v>
      </c>
      <c r="AB79" s="91" t="str">
        <f>IFERROR(SUMIF('8店辅助表'!K:K,B:B,'8店辅助表'!N:N)/SUMIF('8店辅助表'!K:K,B:B,'8店辅助表'!O:O),"-")</f>
        <v>-</v>
      </c>
      <c r="AC79" s="91" t="str">
        <f>IFERROR(VLOOKUP(B:B,'[1]8店'!$B:$AB,27,FALSE),"-")</f>
        <v>-</v>
      </c>
      <c r="AD79" s="92" t="str">
        <f t="shared" si="37"/>
        <v>-</v>
      </c>
      <c r="AE79" s="91" t="str">
        <f>IFERROR(SUMIF('8店辅助表'!T:T,B:B,'8店辅助表'!W:W)/SUMIF('8店辅助表'!T:T,B:B,'8店辅助表'!X:X),"-")</f>
        <v>-</v>
      </c>
      <c r="AF79" s="91" t="str">
        <f>IFERROR(SUMIF('8店辅助表'!AC:AC,B:B,'8店辅助表'!AF:AF)/SUMIF('8店辅助表'!AC:AC,B:B,'8店辅助表'!AG:AG),"-")</f>
        <v>-</v>
      </c>
      <c r="AG79" s="99">
        <f>IFERROR(AK79/((SUMIF('8店辅助表'!AT:AT,B:B,'8店辅助表'!AU:AU)+M79)/2),"-")</f>
        <v>0</v>
      </c>
      <c r="AH79" s="99">
        <f>IFERROR(AL79/((SUMIF('8店辅助表'!AW:AW,B:B,'8店辅助表'!AX:AX)+M79)/2),"-")</f>
        <v>0</v>
      </c>
      <c r="AI79" s="100" t="str">
        <f>IFERROR((SUMIF('8店辅助表'!AP:AP,B:B,'8店辅助表'!AR:AR)-SUMIF('8店辅助表'!AP:AP,B:B,'8店辅助表'!AR:AR)*0.15-(L79+IFERROR(VLOOKUP(B:B,'8店辅助表'!AZ:BA,2,0),0))*O79-IF(AN:AN="US",6.85,4.9)*(Z79+4.03*O79))/SUMIF('8店辅助表'!AP:AP,B:B,'8店辅助表'!AR:AR),"-")</f>
        <v>-</v>
      </c>
      <c r="AJ79" s="100" t="str">
        <f t="shared" si="38"/>
        <v>-</v>
      </c>
      <c r="AK79" s="101">
        <f t="shared" si="39"/>
        <v>0</v>
      </c>
      <c r="AL79" s="101">
        <f t="shared" si="40"/>
        <v>0</v>
      </c>
      <c r="AM79" s="1" t="str">
        <f>VLOOKUP(B:B,'8店辅助表'!AZ:AZ,1,FALSE)</f>
        <v>Y8815-BL</v>
      </c>
      <c r="AN79" t="str">
        <f>VLOOKUP(B:B,'8店辅助表'!AZ:BB,3,FALSE)</f>
        <v>CA</v>
      </c>
    </row>
    <row r="80" customHeight="1" spans="1:40">
      <c r="A80" s="58" t="str">
        <f>INDEX('[1]8店'!$A:$A,MATCH(B:B,'[1]8店'!$B:$B,0))</f>
        <v>秀青</v>
      </c>
      <c r="B80" s="116" t="s">
        <v>2950</v>
      </c>
      <c r="C80" s="45" t="s">
        <v>2948</v>
      </c>
      <c r="D80" s="59">
        <f>VLOOKUP(B:B,'[1]8店'!$B:$L,3,0)</f>
        <v>45097</v>
      </c>
      <c r="E80" s="45" t="s">
        <v>2951</v>
      </c>
      <c r="F80" s="45">
        <v>9</v>
      </c>
      <c r="G80" s="45">
        <v>0</v>
      </c>
      <c r="H80" s="45">
        <v>0</v>
      </c>
      <c r="I80" s="45">
        <v>0</v>
      </c>
      <c r="J80" s="45">
        <v>0</v>
      </c>
      <c r="K80" s="63">
        <f t="shared" si="30"/>
        <v>9</v>
      </c>
      <c r="L80" s="124">
        <f>VLOOKUP($B:$B,'[1]8店'!$B:$L,11,0)</f>
        <v>12.034</v>
      </c>
      <c r="M80" s="44">
        <f t="shared" si="41"/>
        <v>108.306</v>
      </c>
      <c r="N80" s="65">
        <f>IFERROR(VLOOKUP(B:B,'8店辅助表'!B:C,2,FALSE),0)</f>
        <v>0</v>
      </c>
      <c r="O80" s="65">
        <f>IFERROR(VLOOKUP(B:B,'8店辅助表'!E:F,2,FALSE),0)</f>
        <v>0</v>
      </c>
      <c r="P80" s="65">
        <f>IFERROR(VLOOKUP(B:B,'8店辅助表'!H:I,2,FALSE),0)</f>
        <v>0</v>
      </c>
      <c r="Q80" s="65">
        <f>IFERROR(VLOOKUP(B:B,'[1]8店'!$B:$N,13,FALSE),0)</f>
        <v>0</v>
      </c>
      <c r="R80" s="79">
        <f t="shared" si="31"/>
        <v>0</v>
      </c>
      <c r="S80" s="80" t="str">
        <f t="shared" si="32"/>
        <v>-</v>
      </c>
      <c r="T80" s="44" t="str">
        <f t="shared" si="33"/>
        <v>-</v>
      </c>
      <c r="U80" s="44" t="str">
        <f>IFERROR(VLOOKUP(B:B,'[1]8店'!$B:$T,19,0),"-")</f>
        <v>-</v>
      </c>
      <c r="V80" s="81" t="str">
        <f t="shared" si="34"/>
        <v>-</v>
      </c>
      <c r="W80" s="82" t="str">
        <f t="shared" si="35"/>
        <v>有库存无销量</v>
      </c>
      <c r="X80" s="83" t="str">
        <f t="shared" si="36"/>
        <v>有库存无销量</v>
      </c>
      <c r="Y80" s="44">
        <f>IFERROR(SUMIF('8店辅助表'!K:K,B:B,'8店辅助表'!N:N),0)</f>
        <v>0</v>
      </c>
      <c r="Z80" s="44">
        <f>IFERROR(SUMIF('8店辅助表'!T:T,B:B,'8店辅助表'!W:W),0)</f>
        <v>0</v>
      </c>
      <c r="AA80" s="44">
        <f>IFERROR(SUMIF('8店辅助表'!AC:AC,B:B,'8店辅助表'!AF:AF),0)</f>
        <v>0</v>
      </c>
      <c r="AB80" s="91" t="str">
        <f>IFERROR(SUMIF('8店辅助表'!K:K,B:B,'8店辅助表'!N:N)/SUMIF('8店辅助表'!K:K,B:B,'8店辅助表'!O:O),"-")</f>
        <v>-</v>
      </c>
      <c r="AC80" s="91" t="str">
        <f>IFERROR(VLOOKUP(B:B,'[1]8店'!$B:$AB,27,FALSE),"-")</f>
        <v>-</v>
      </c>
      <c r="AD80" s="92" t="str">
        <f t="shared" si="37"/>
        <v>-</v>
      </c>
      <c r="AE80" s="91" t="str">
        <f>IFERROR(SUMIF('8店辅助表'!T:T,B:B,'8店辅助表'!W:W)/SUMIF('8店辅助表'!T:T,B:B,'8店辅助表'!X:X),"-")</f>
        <v>-</v>
      </c>
      <c r="AF80" s="91" t="str">
        <f>IFERROR(SUMIF('8店辅助表'!AC:AC,B:B,'8店辅助表'!AF:AF)/SUMIF('8店辅助表'!AC:AC,B:B,'8店辅助表'!AG:AG),"-")</f>
        <v>-</v>
      </c>
      <c r="AG80" s="99">
        <f>IFERROR(AK80/((SUMIF('8店辅助表'!AT:AT,B:B,'8店辅助表'!AU:AU)+M80)/2),"-")</f>
        <v>0</v>
      </c>
      <c r="AH80" s="99">
        <f>IFERROR(AL80/((SUMIF('8店辅助表'!AW:AW,B:B,'8店辅助表'!AX:AX)+M80)/2),"-")</f>
        <v>0</v>
      </c>
      <c r="AI80" s="100" t="str">
        <f>IFERROR((SUMIF('8店辅助表'!AP:AP,B:B,'8店辅助表'!AR:AR)-SUMIF('8店辅助表'!AP:AP,B:B,'8店辅助表'!AR:AR)*0.15-(L80+IFERROR(VLOOKUP(B:B,'8店辅助表'!AZ:BA,2,0),0))*O80-IF(AN:AN="US",6.85,4.9)*(Z80+4.03*O80))/SUMIF('8店辅助表'!AP:AP,B:B,'8店辅助表'!AR:AR),"-")</f>
        <v>-</v>
      </c>
      <c r="AJ80" s="100" t="str">
        <f t="shared" si="38"/>
        <v>-</v>
      </c>
      <c r="AK80" s="101">
        <f t="shared" si="39"/>
        <v>0</v>
      </c>
      <c r="AL80" s="101">
        <f t="shared" si="40"/>
        <v>0</v>
      </c>
      <c r="AM80" s="1" t="str">
        <f>VLOOKUP(B:B,'8店辅助表'!AZ:AZ,1,FALSE)</f>
        <v>Y8815-SC</v>
      </c>
      <c r="AN80" t="str">
        <f>VLOOKUP(B:B,'8店辅助表'!AZ:BB,3,FALSE)</f>
        <v>CA</v>
      </c>
    </row>
    <row r="81" customHeight="1" spans="1:40">
      <c r="A81" s="58" t="str">
        <f>INDEX('[1]8店'!$A:$A,MATCH(B:B,'[1]8店'!$B:$B,0))</f>
        <v>秀青</v>
      </c>
      <c r="B81" s="116" t="s">
        <v>2952</v>
      </c>
      <c r="C81" s="45" t="s">
        <v>2953</v>
      </c>
      <c r="D81" s="59">
        <f>VLOOKUP(B:B,'[1]8店'!$B:$L,3,0)</f>
        <v>45097</v>
      </c>
      <c r="E81" s="45" t="s">
        <v>2954</v>
      </c>
      <c r="F81" s="45">
        <v>4</v>
      </c>
      <c r="G81" s="45">
        <v>0</v>
      </c>
      <c r="H81" s="45">
        <v>0</v>
      </c>
      <c r="I81" s="45">
        <v>0</v>
      </c>
      <c r="J81" s="45">
        <v>0</v>
      </c>
      <c r="K81" s="63">
        <f t="shared" si="30"/>
        <v>4</v>
      </c>
      <c r="L81" s="124">
        <f>VLOOKUP($B:$B,'[1]8店'!$B:$L,11,0)</f>
        <v>12.034</v>
      </c>
      <c r="M81" s="44">
        <f t="shared" si="41"/>
        <v>48.136</v>
      </c>
      <c r="N81" s="65">
        <f>IFERROR(VLOOKUP(B:B,'8店辅助表'!B:C,2,FALSE),0)</f>
        <v>0</v>
      </c>
      <c r="O81" s="65">
        <f>IFERROR(VLOOKUP(B:B,'8店辅助表'!E:F,2,FALSE),0)</f>
        <v>1</v>
      </c>
      <c r="P81" s="65">
        <f>IFERROR(VLOOKUP(B:B,'8店辅助表'!H:I,2,FALSE),0)</f>
        <v>1</v>
      </c>
      <c r="Q81" s="65">
        <f>IFERROR(VLOOKUP(B:B,'[1]8店'!$B:$N,13,FALSE),0)</f>
        <v>1</v>
      </c>
      <c r="R81" s="79">
        <f t="shared" si="31"/>
        <v>-1</v>
      </c>
      <c r="S81" s="80">
        <f t="shared" si="32"/>
        <v>120</v>
      </c>
      <c r="T81" s="44">
        <f t="shared" si="33"/>
        <v>4</v>
      </c>
      <c r="U81" s="44">
        <f>IFERROR(VLOOKUP(B:B,'[1]8店'!$B:$T,19,0),"-")</f>
        <v>1.44827586206897</v>
      </c>
      <c r="V81" s="81">
        <f t="shared" si="34"/>
        <v>2.55172413793103</v>
      </c>
      <c r="W81" s="82" t="str">
        <f t="shared" si="35"/>
        <v>有库存无销量</v>
      </c>
      <c r="X81" s="83" t="str">
        <f t="shared" si="36"/>
        <v>库存过高</v>
      </c>
      <c r="Y81" s="44">
        <f>IFERROR(SUMIF('8店辅助表'!K:K,B:B,'8店辅助表'!N:N),0)</f>
        <v>0</v>
      </c>
      <c r="Z81" s="44">
        <f>IFERROR(SUMIF('8店辅助表'!T:T,B:B,'8店辅助表'!W:W),0)</f>
        <v>0</v>
      </c>
      <c r="AA81" s="44">
        <f>IFERROR(SUMIF('8店辅助表'!AC:AC,B:B,'8店辅助表'!AF:AF),0)</f>
        <v>0</v>
      </c>
      <c r="AB81" s="91" t="str">
        <f>IFERROR(SUMIF('8店辅助表'!K:K,B:B,'8店辅助表'!N:N)/SUMIF('8店辅助表'!K:K,B:B,'8店辅助表'!O:O),"-")</f>
        <v>-</v>
      </c>
      <c r="AC81" s="91" t="str">
        <f>IFERROR(VLOOKUP(B:B,'[1]8店'!$B:$AB,27,FALSE),"-")</f>
        <v>-</v>
      </c>
      <c r="AD81" s="92" t="str">
        <f t="shared" si="37"/>
        <v>-</v>
      </c>
      <c r="AE81" s="91" t="str">
        <f>IFERROR(SUMIF('8店辅助表'!T:T,B:B,'8店辅助表'!W:W)/SUMIF('8店辅助表'!T:T,B:B,'8店辅助表'!X:X),"-")</f>
        <v>-</v>
      </c>
      <c r="AF81" s="91" t="str">
        <f>IFERROR(SUMIF('8店辅助表'!AC:AC,B:B,'8店辅助表'!AF:AF)/SUMIF('8店辅助表'!AC:AC,B:B,'8店辅助表'!AG:AG),"-")</f>
        <v>-</v>
      </c>
      <c r="AG81" s="99">
        <f>IFERROR(AK81/((SUMIF('8店辅助表'!AT:AT,B:B,'8店辅助表'!AU:AU)+M81)/2),"-")</f>
        <v>0</v>
      </c>
      <c r="AH81" s="99">
        <f>IFERROR(AL81/((SUMIF('8店辅助表'!AW:AW,B:B,'8店辅助表'!AX:AX)+M81)/2),"-")</f>
        <v>0.222222222222222</v>
      </c>
      <c r="AI81" s="100">
        <f>IFERROR((SUMIF('8店辅助表'!AP:AP,B:B,'8店辅助表'!AR:AR)-SUMIF('8店辅助表'!AP:AP,B:B,'8店辅助表'!AR:AR)*0.15-(L81+IFERROR(VLOOKUP(B:B,'8店辅助表'!AZ:BA,2,0),0))*O81-IF(AN:AN="US",6.85,4.9)*(Z81+4.03*O81))/SUMIF('8店辅助表'!AP:AP,B:B,'8店辅助表'!AR:AR),"-")</f>
        <v>0.401279084015194</v>
      </c>
      <c r="AJ81" s="100">
        <f t="shared" si="38"/>
        <v>0.0891731297811542</v>
      </c>
      <c r="AK81" s="101">
        <f t="shared" si="39"/>
        <v>0</v>
      </c>
      <c r="AL81" s="101">
        <f t="shared" si="40"/>
        <v>12.034</v>
      </c>
      <c r="AM81" s="1" t="str">
        <f>VLOOKUP(B:B,'8店辅助表'!AZ:AZ,1,FALSE)</f>
        <v>Y8816-SC</v>
      </c>
      <c r="AN81" t="str">
        <f>VLOOKUP(B:B,'8店辅助表'!AZ:BB,3,FALSE)</f>
        <v>CA</v>
      </c>
    </row>
    <row r="82" customHeight="1" spans="1:40">
      <c r="A82" s="58" t="str">
        <f>INDEX('[1]8店'!$A:$A,MATCH(B:B,'[1]8店'!$B:$B,0))</f>
        <v>秀青</v>
      </c>
      <c r="B82" s="116" t="s">
        <v>2955</v>
      </c>
      <c r="C82" s="45" t="s">
        <v>2956</v>
      </c>
      <c r="D82" s="59">
        <f>VLOOKUP(B:B,'[1]8店'!$B:$L,3,0)</f>
        <v>45097</v>
      </c>
      <c r="E82" s="45" t="s">
        <v>2957</v>
      </c>
      <c r="F82" s="45">
        <v>19</v>
      </c>
      <c r="G82" s="45">
        <v>0</v>
      </c>
      <c r="H82" s="45">
        <v>0</v>
      </c>
      <c r="I82" s="45">
        <v>0</v>
      </c>
      <c r="J82" s="45">
        <v>0</v>
      </c>
      <c r="K82" s="63">
        <f t="shared" si="30"/>
        <v>19</v>
      </c>
      <c r="L82" s="124">
        <f>VLOOKUP($B:$B,'[1]8店'!$B:$L,11,0)</f>
        <v>9.034</v>
      </c>
      <c r="M82" s="44">
        <f t="shared" si="41"/>
        <v>171.646</v>
      </c>
      <c r="N82" s="65">
        <f>IFERROR(VLOOKUP(B:B,'8店辅助表'!B:C,2,FALSE),0)</f>
        <v>0</v>
      </c>
      <c r="O82" s="65">
        <f>IFERROR(VLOOKUP(B:B,'8店辅助表'!E:F,2,FALSE),0)</f>
        <v>0</v>
      </c>
      <c r="P82" s="65">
        <f>IFERROR(VLOOKUP(B:B,'8店辅助表'!H:I,2,FALSE),0)</f>
        <v>0</v>
      </c>
      <c r="Q82" s="65">
        <f>IFERROR(VLOOKUP(B:B,'[1]8店'!$B:$N,13,FALSE),0)</f>
        <v>0</v>
      </c>
      <c r="R82" s="79">
        <f t="shared" si="31"/>
        <v>0</v>
      </c>
      <c r="S82" s="80" t="str">
        <f t="shared" si="32"/>
        <v>-</v>
      </c>
      <c r="T82" s="44" t="str">
        <f t="shared" si="33"/>
        <v>-</v>
      </c>
      <c r="U82" s="44" t="str">
        <f>IFERROR(VLOOKUP(B:B,'[1]8店'!$B:$T,19,0),"-")</f>
        <v>-</v>
      </c>
      <c r="V82" s="81" t="str">
        <f t="shared" si="34"/>
        <v>-</v>
      </c>
      <c r="W82" s="82" t="str">
        <f t="shared" si="35"/>
        <v>有库存无销量</v>
      </c>
      <c r="X82" s="83" t="str">
        <f t="shared" si="36"/>
        <v>有库存无销量</v>
      </c>
      <c r="Y82" s="44">
        <f>IFERROR(SUMIF('8店辅助表'!K:K,B:B,'8店辅助表'!N:N),0)</f>
        <v>0</v>
      </c>
      <c r="Z82" s="44">
        <f>IFERROR(SUMIF('8店辅助表'!T:T,B:B,'8店辅助表'!W:W),0)</f>
        <v>0</v>
      </c>
      <c r="AA82" s="44">
        <f>IFERROR(SUMIF('8店辅助表'!AC:AC,B:B,'8店辅助表'!AF:AF),0)</f>
        <v>0</v>
      </c>
      <c r="AB82" s="91" t="str">
        <f>IFERROR(SUMIF('8店辅助表'!K:K,B:B,'8店辅助表'!N:N)/SUMIF('8店辅助表'!K:K,B:B,'8店辅助表'!O:O),"-")</f>
        <v>-</v>
      </c>
      <c r="AC82" s="91" t="str">
        <f>IFERROR(VLOOKUP(B:B,'[1]8店'!$B:$AB,27,FALSE),"-")</f>
        <v>-</v>
      </c>
      <c r="AD82" s="92" t="str">
        <f t="shared" si="37"/>
        <v>-</v>
      </c>
      <c r="AE82" s="91" t="str">
        <f>IFERROR(SUMIF('8店辅助表'!T:T,B:B,'8店辅助表'!W:W)/SUMIF('8店辅助表'!T:T,B:B,'8店辅助表'!X:X),"-")</f>
        <v>-</v>
      </c>
      <c r="AF82" s="91" t="str">
        <f>IFERROR(SUMIF('8店辅助表'!AC:AC,B:B,'8店辅助表'!AF:AF)/SUMIF('8店辅助表'!AC:AC,B:B,'8店辅助表'!AG:AG),"-")</f>
        <v>-</v>
      </c>
      <c r="AG82" s="99">
        <f>IFERROR(AK82/((SUMIF('8店辅助表'!AT:AT,B:B,'8店辅助表'!AU:AU)+M82)/2),"-")</f>
        <v>0</v>
      </c>
      <c r="AH82" s="99">
        <f>IFERROR(AL82/((SUMIF('8店辅助表'!AW:AW,B:B,'8店辅助表'!AX:AX)+M82)/2),"-")</f>
        <v>0</v>
      </c>
      <c r="AI82" s="100" t="str">
        <f>IFERROR((SUMIF('8店辅助表'!AP:AP,B:B,'8店辅助表'!AR:AR)-SUMIF('8店辅助表'!AP:AP,B:B,'8店辅助表'!AR:AR)*0.15-(L82+IFERROR(VLOOKUP(B:B,'8店辅助表'!AZ:BA,2,0),0))*O82-IF(AN:AN="US",6.85,4.9)*(Z82+4.03*O82))/SUMIF('8店辅助表'!AP:AP,B:B,'8店辅助表'!AR:AR),"-")</f>
        <v>-</v>
      </c>
      <c r="AJ82" s="100" t="str">
        <f t="shared" si="38"/>
        <v>-</v>
      </c>
      <c r="AK82" s="101">
        <f t="shared" si="39"/>
        <v>0</v>
      </c>
      <c r="AL82" s="101">
        <f t="shared" si="40"/>
        <v>0</v>
      </c>
      <c r="AM82" s="1" t="str">
        <f>VLOOKUP(B:B,'8店辅助表'!AZ:AZ,1,FALSE)</f>
        <v>Y8817-BL</v>
      </c>
      <c r="AN82" t="str">
        <f>VLOOKUP(B:B,'8店辅助表'!AZ:BB,3,FALSE)</f>
        <v>CA</v>
      </c>
    </row>
    <row r="83" customHeight="1" spans="1:40">
      <c r="A83" s="58" t="str">
        <f>INDEX('[1]8店'!$A:$A,MATCH(B:B,'[1]8店'!$B:$B,0))</f>
        <v>秀青</v>
      </c>
      <c r="B83" s="116" t="s">
        <v>2958</v>
      </c>
      <c r="C83" s="45" t="s">
        <v>2959</v>
      </c>
      <c r="D83" s="59">
        <f>VLOOKUP(B:B,'[1]8店'!$B:$L,3,0)</f>
        <v>45097</v>
      </c>
      <c r="E83" s="45" t="s">
        <v>2960</v>
      </c>
      <c r="F83" s="45">
        <v>10</v>
      </c>
      <c r="G83" s="45">
        <v>0</v>
      </c>
      <c r="H83" s="45">
        <v>0</v>
      </c>
      <c r="I83" s="45">
        <v>0</v>
      </c>
      <c r="J83" s="45">
        <v>0</v>
      </c>
      <c r="K83" s="63">
        <f t="shared" si="30"/>
        <v>10</v>
      </c>
      <c r="L83" s="124">
        <f>VLOOKUP($B:$B,'[1]8店'!$B:$L,11,0)</f>
        <v>9.034</v>
      </c>
      <c r="M83" s="44">
        <f t="shared" si="41"/>
        <v>90.34</v>
      </c>
      <c r="N83" s="65">
        <f>IFERROR(VLOOKUP(B:B,'8店辅助表'!B:C,2,FALSE),0)</f>
        <v>0</v>
      </c>
      <c r="O83" s="65">
        <f>IFERROR(VLOOKUP(B:B,'8店辅助表'!E:F,2,FALSE),0)</f>
        <v>0</v>
      </c>
      <c r="P83" s="65">
        <f>IFERROR(VLOOKUP(B:B,'8店辅助表'!H:I,2,FALSE),0)</f>
        <v>0</v>
      </c>
      <c r="Q83" s="65">
        <f>IFERROR(VLOOKUP(B:B,'[1]8店'!$B:$N,13,FALSE),0)</f>
        <v>0</v>
      </c>
      <c r="R83" s="79">
        <f t="shared" si="31"/>
        <v>0</v>
      </c>
      <c r="S83" s="80" t="str">
        <f t="shared" si="32"/>
        <v>-</v>
      </c>
      <c r="T83" s="44" t="str">
        <f t="shared" si="33"/>
        <v>-</v>
      </c>
      <c r="U83" s="44" t="str">
        <f>IFERROR(VLOOKUP(B:B,'[1]8店'!$B:$T,19,0),"-")</f>
        <v>-</v>
      </c>
      <c r="V83" s="81" t="str">
        <f t="shared" si="34"/>
        <v>-</v>
      </c>
      <c r="W83" s="82" t="str">
        <f t="shared" si="35"/>
        <v>有库存无销量</v>
      </c>
      <c r="X83" s="83" t="str">
        <f t="shared" si="36"/>
        <v>有库存无销量</v>
      </c>
      <c r="Y83" s="44">
        <f>IFERROR(SUMIF('8店辅助表'!K:K,B:B,'8店辅助表'!N:N),0)</f>
        <v>0</v>
      </c>
      <c r="Z83" s="44">
        <f>IFERROR(SUMIF('8店辅助表'!T:T,B:B,'8店辅助表'!W:W),0)</f>
        <v>0</v>
      </c>
      <c r="AA83" s="44">
        <f>IFERROR(SUMIF('8店辅助表'!AC:AC,B:B,'8店辅助表'!AF:AF),0)</f>
        <v>0</v>
      </c>
      <c r="AB83" s="91" t="str">
        <f>IFERROR(SUMIF('8店辅助表'!K:K,B:B,'8店辅助表'!N:N)/SUMIF('8店辅助表'!K:K,B:B,'8店辅助表'!O:O),"-")</f>
        <v>-</v>
      </c>
      <c r="AC83" s="91" t="str">
        <f>IFERROR(VLOOKUP(B:B,'[1]8店'!$B:$AB,27,FALSE),"-")</f>
        <v>-</v>
      </c>
      <c r="AD83" s="92" t="str">
        <f t="shared" si="37"/>
        <v>-</v>
      </c>
      <c r="AE83" s="91" t="str">
        <f>IFERROR(SUMIF('8店辅助表'!T:T,B:B,'8店辅助表'!W:W)/SUMIF('8店辅助表'!T:T,B:B,'8店辅助表'!X:X),"-")</f>
        <v>-</v>
      </c>
      <c r="AF83" s="91" t="str">
        <f>IFERROR(SUMIF('8店辅助表'!AC:AC,B:B,'8店辅助表'!AF:AF)/SUMIF('8店辅助表'!AC:AC,B:B,'8店辅助表'!AG:AG),"-")</f>
        <v>-</v>
      </c>
      <c r="AG83" s="99">
        <f>IFERROR(AK83/((SUMIF('8店辅助表'!AT:AT,B:B,'8店辅助表'!AU:AU)+M83)/2),"-")</f>
        <v>0</v>
      </c>
      <c r="AH83" s="99">
        <f>IFERROR(AL83/((SUMIF('8店辅助表'!AW:AW,B:B,'8店辅助表'!AX:AX)+M83)/2),"-")</f>
        <v>0</v>
      </c>
      <c r="AI83" s="100" t="str">
        <f>IFERROR((SUMIF('8店辅助表'!AP:AP,B:B,'8店辅助表'!AR:AR)-SUMIF('8店辅助表'!AP:AP,B:B,'8店辅助表'!AR:AR)*0.15-(L83+IFERROR(VLOOKUP(B:B,'8店辅助表'!AZ:BA,2,0),0))*O83-IF(AN:AN="US",6.85,4.9)*(Z83+4.03*O83))/SUMIF('8店辅助表'!AP:AP,B:B,'8店辅助表'!AR:AR),"-")</f>
        <v>-</v>
      </c>
      <c r="AJ83" s="100" t="str">
        <f t="shared" si="38"/>
        <v>-</v>
      </c>
      <c r="AK83" s="101">
        <f t="shared" si="39"/>
        <v>0</v>
      </c>
      <c r="AL83" s="101">
        <f t="shared" si="40"/>
        <v>0</v>
      </c>
      <c r="AM83" s="1" t="str">
        <f>VLOOKUP(B:B,'8店辅助表'!AZ:AZ,1,FALSE)</f>
        <v>Y8817-GR</v>
      </c>
      <c r="AN83" t="str">
        <f>VLOOKUP(B:B,'8店辅助表'!AZ:BB,3,FALSE)</f>
        <v>CA</v>
      </c>
    </row>
    <row r="84" customHeight="1" spans="1:40">
      <c r="A84" s="58" t="str">
        <f>INDEX('[1]8店'!$A:$A,MATCH(B:B,'[1]8店'!$B:$B,0))</f>
        <v>秀青</v>
      </c>
      <c r="B84" s="116" t="s">
        <v>2961</v>
      </c>
      <c r="C84" s="45" t="s">
        <v>2962</v>
      </c>
      <c r="D84" s="59">
        <f>VLOOKUP(B:B,'[1]8店'!$B:$L,3,0)</f>
        <v>45097</v>
      </c>
      <c r="E84" s="45" t="s">
        <v>2963</v>
      </c>
      <c r="F84" s="45">
        <v>25</v>
      </c>
      <c r="G84" s="45">
        <v>0</v>
      </c>
      <c r="H84" s="45">
        <v>0</v>
      </c>
      <c r="I84" s="45">
        <v>0</v>
      </c>
      <c r="J84" s="45">
        <v>0</v>
      </c>
      <c r="K84" s="63">
        <f t="shared" si="30"/>
        <v>25</v>
      </c>
      <c r="L84" s="124">
        <f>VLOOKUP($B:$B,'[1]8店'!$B:$L,11,0)</f>
        <v>15</v>
      </c>
      <c r="M84" s="44">
        <f t="shared" si="41"/>
        <v>375</v>
      </c>
      <c r="N84" s="65">
        <f>IFERROR(VLOOKUP(B:B,'8店辅助表'!B:C,2,FALSE),0)</f>
        <v>2</v>
      </c>
      <c r="O84" s="65">
        <f>IFERROR(VLOOKUP(B:B,'8店辅助表'!E:F,2,FALSE),0)</f>
        <v>3</v>
      </c>
      <c r="P84" s="65">
        <f>IFERROR(VLOOKUP(B:B,'8店辅助表'!H:I,2,FALSE),0)</f>
        <v>4</v>
      </c>
      <c r="Q84" s="65">
        <f>IFERROR(VLOOKUP(B:B,'[1]8店'!$B:$N,13,FALSE),0)</f>
        <v>1</v>
      </c>
      <c r="R84" s="79">
        <f t="shared" si="31"/>
        <v>1</v>
      </c>
      <c r="S84" s="80">
        <f t="shared" si="32"/>
        <v>121.153846153846</v>
      </c>
      <c r="T84" s="44">
        <f t="shared" si="33"/>
        <v>4.03846153846154</v>
      </c>
      <c r="U84" s="44">
        <f>IFERROR(VLOOKUP(B:B,'[1]8店'!$B:$T,19,0),"-")</f>
        <v>9.77586206896552</v>
      </c>
      <c r="V84" s="81">
        <f t="shared" si="34"/>
        <v>-5.73740053050398</v>
      </c>
      <c r="W84" s="82" t="str">
        <f t="shared" si="35"/>
        <v>库存过高</v>
      </c>
      <c r="X84" s="83" t="str">
        <f t="shared" si="36"/>
        <v>库存过高</v>
      </c>
      <c r="Y84" s="44">
        <f>IFERROR(SUMIF('8店辅助表'!K:K,B:B,'8店辅助表'!N:N),0)</f>
        <v>0</v>
      </c>
      <c r="Z84" s="44">
        <f>IFERROR(SUMIF('8店辅助表'!T:T,B:B,'8店辅助表'!W:W),0)</f>
        <v>0</v>
      </c>
      <c r="AA84" s="44">
        <f>IFERROR(SUMIF('8店辅助表'!AC:AC,B:B,'8店辅助表'!AF:AF),0)</f>
        <v>0</v>
      </c>
      <c r="AB84" s="91" t="str">
        <f>IFERROR(SUMIF('8店辅助表'!K:K,B:B,'8店辅助表'!N:N)/SUMIF('8店辅助表'!K:K,B:B,'8店辅助表'!O:O),"-")</f>
        <v>-</v>
      </c>
      <c r="AC84" s="91" t="str">
        <f>IFERROR(VLOOKUP(B:B,'[1]8店'!$B:$AB,27,FALSE),"-")</f>
        <v>-</v>
      </c>
      <c r="AD84" s="92" t="str">
        <f t="shared" si="37"/>
        <v>-</v>
      </c>
      <c r="AE84" s="91" t="str">
        <f>IFERROR(SUMIF('8店辅助表'!T:T,B:B,'8店辅助表'!W:W)/SUMIF('8店辅助表'!T:T,B:B,'8店辅助表'!X:X),"-")</f>
        <v>-</v>
      </c>
      <c r="AF84" s="91" t="str">
        <f>IFERROR(SUMIF('8店辅助表'!AC:AC,B:B,'8店辅助表'!AF:AF)/SUMIF('8店辅助表'!AC:AC,B:B,'8店辅助表'!AG:AG),"-")</f>
        <v>-</v>
      </c>
      <c r="AG84" s="99">
        <f>IFERROR(AK84/((SUMIF('8店辅助表'!AT:AT,B:B,'8店辅助表'!AU:AU)+M84)/2),"-")</f>
        <v>0.0769230769230769</v>
      </c>
      <c r="AH84" s="99">
        <f>IFERROR(AL84/((SUMIF('8店辅助表'!AW:AW,B:B,'8店辅助表'!AX:AX)+M84)/2),"-")</f>
        <v>0.111111111111111</v>
      </c>
      <c r="AI84" s="100">
        <f>IFERROR((SUMIF('8店辅助表'!AP:AP,B:B,'8店辅助表'!AR:AR)-SUMIF('8店辅助表'!AP:AP,B:B,'8店辅助表'!AR:AR)*0.15-(L84+IFERROR(VLOOKUP(B:B,'8店辅助表'!AZ:BA,2,0),0))*O84-IF(AN:AN="US",6.85,4.9)*(Z84+4.03*O84))/SUMIF('8店辅助表'!AP:AP,B:B,'8店辅助表'!AR:AR),"-")</f>
        <v>0.463921397943063</v>
      </c>
      <c r="AJ84" s="100">
        <f t="shared" si="38"/>
        <v>0.0515468219936737</v>
      </c>
      <c r="AK84" s="101">
        <f t="shared" si="39"/>
        <v>30</v>
      </c>
      <c r="AL84" s="101">
        <f t="shared" si="40"/>
        <v>45</v>
      </c>
      <c r="AM84" s="1" t="str">
        <f>VLOOKUP(B:B,'8店辅助表'!AZ:AZ,1,FALSE)</f>
        <v>Y8804</v>
      </c>
      <c r="AN84" t="str">
        <f>VLOOKUP(B:B,'8店辅助表'!AZ:BB,3,FALSE)</f>
        <v>CA</v>
      </c>
    </row>
    <row r="85" customHeight="1" spans="1:40">
      <c r="A85" s="58" t="str">
        <f>INDEX('[1]8店'!$A:$A,MATCH(B:B,'[1]8店'!$B:$B,0))</f>
        <v>秀青</v>
      </c>
      <c r="B85" s="116" t="s">
        <v>2964</v>
      </c>
      <c r="C85" s="45" t="s">
        <v>2965</v>
      </c>
      <c r="D85" s="59">
        <f>VLOOKUP(B:B,'[1]8店'!$B:$L,3,0)</f>
        <v>45097</v>
      </c>
      <c r="E85" s="45" t="s">
        <v>2966</v>
      </c>
      <c r="F85" s="45">
        <v>2</v>
      </c>
      <c r="G85" s="45">
        <v>0</v>
      </c>
      <c r="H85" s="45">
        <v>0</v>
      </c>
      <c r="I85" s="45">
        <v>0</v>
      </c>
      <c r="J85" s="45">
        <v>0</v>
      </c>
      <c r="K85" s="63">
        <f t="shared" si="30"/>
        <v>2</v>
      </c>
      <c r="L85" s="124">
        <f>VLOOKUP($B:$B,'[1]8店'!$B:$L,11,0)</f>
        <v>28.034</v>
      </c>
      <c r="M85" s="44">
        <f t="shared" si="41"/>
        <v>56.068</v>
      </c>
      <c r="N85" s="65">
        <f>IFERROR(VLOOKUP(B:B,'8店辅助表'!B:C,2,FALSE),0)</f>
        <v>3</v>
      </c>
      <c r="O85" s="65">
        <f>IFERROR(VLOOKUP(B:B,'8店辅助表'!E:F,2,FALSE),0)</f>
        <v>7</v>
      </c>
      <c r="P85" s="65">
        <f>IFERROR(VLOOKUP(B:B,'8店辅助表'!H:I,2,FALSE),0)</f>
        <v>10</v>
      </c>
      <c r="Q85" s="65">
        <f>IFERROR(VLOOKUP(B:B,'[1]8店'!$B:$N,13,FALSE),0)</f>
        <v>4</v>
      </c>
      <c r="R85" s="79">
        <f t="shared" si="31"/>
        <v>-1</v>
      </c>
      <c r="S85" s="80">
        <f t="shared" si="32"/>
        <v>4.88372093023256</v>
      </c>
      <c r="T85" s="44">
        <f t="shared" si="33"/>
        <v>0.162790697674419</v>
      </c>
      <c r="U85" s="44">
        <f>IFERROR(VLOOKUP(B:B,'[1]8店'!$B:$T,19,0),"-")</f>
        <v>0.341463414634146</v>
      </c>
      <c r="V85" s="81">
        <f t="shared" si="34"/>
        <v>-0.178672716959727</v>
      </c>
      <c r="W85" s="82" t="str">
        <f t="shared" si="35"/>
        <v>库存过低</v>
      </c>
      <c r="X85" s="83" t="str">
        <f t="shared" si="36"/>
        <v>库存过低</v>
      </c>
      <c r="Y85" s="44">
        <f>IFERROR(SUMIF('8店辅助表'!K:K,B:B,'8店辅助表'!N:N),0)</f>
        <v>0</v>
      </c>
      <c r="Z85" s="44">
        <f>IFERROR(SUMIF('8店辅助表'!T:T,B:B,'8店辅助表'!W:W),0)</f>
        <v>0</v>
      </c>
      <c r="AA85" s="44">
        <f>IFERROR(SUMIF('8店辅助表'!AC:AC,B:B,'8店辅助表'!AF:AF),0)</f>
        <v>0</v>
      </c>
      <c r="AB85" s="91" t="str">
        <f>IFERROR(SUMIF('8店辅助表'!K:K,B:B,'8店辅助表'!N:N)/SUMIF('8店辅助表'!K:K,B:B,'8店辅助表'!O:O),"-")</f>
        <v>-</v>
      </c>
      <c r="AC85" s="91" t="str">
        <f>IFERROR(VLOOKUP(B:B,'[1]8店'!$B:$AB,27,FALSE),"-")</f>
        <v>-</v>
      </c>
      <c r="AD85" s="92" t="str">
        <f t="shared" si="37"/>
        <v>-</v>
      </c>
      <c r="AE85" s="91" t="str">
        <f>IFERROR(SUMIF('8店辅助表'!T:T,B:B,'8店辅助表'!W:W)/SUMIF('8店辅助表'!T:T,B:B,'8店辅助表'!X:X),"-")</f>
        <v>-</v>
      </c>
      <c r="AF85" s="91" t="str">
        <f>IFERROR(SUMIF('8店辅助表'!AC:AC,B:B,'8店辅助表'!AF:AF)/SUMIF('8店辅助表'!AC:AC,B:B,'8店辅助表'!AG:AG),"-")</f>
        <v>-</v>
      </c>
      <c r="AG85" s="99">
        <f>IFERROR(AK85/((SUMIF('8店辅助表'!AT:AT,B:B,'8店辅助表'!AU:AU)+M85)/2),"-")</f>
        <v>1</v>
      </c>
      <c r="AH85" s="99">
        <f>IFERROR(AL85/((SUMIF('8店辅助表'!AW:AW,B:B,'8店辅助表'!AX:AX)+M85)/2),"-")</f>
        <v>1.16666666666667</v>
      </c>
      <c r="AI85" s="100">
        <f>IFERROR((SUMIF('8店辅助表'!AP:AP,B:B,'8店辅助表'!AR:AR)-SUMIF('8店辅助表'!AP:AP,B:B,'8店辅助表'!AR:AR)*0.15-(L85+IFERROR(VLOOKUP(B:B,'8店辅助表'!AZ:BA,2,0),0))*O85-IF(AN:AN="US",6.85,4.9)*(Z85+4.03*O85))/SUMIF('8店辅助表'!AP:AP,B:B,'8店辅助表'!AR:AR),"-")</f>
        <v>0.450174763783064</v>
      </c>
      <c r="AJ85" s="100">
        <f t="shared" si="38"/>
        <v>0.525203891080242</v>
      </c>
      <c r="AK85" s="101">
        <f t="shared" si="39"/>
        <v>84.102</v>
      </c>
      <c r="AL85" s="101">
        <f t="shared" si="40"/>
        <v>196.238</v>
      </c>
      <c r="AM85" s="1" t="str">
        <f>VLOOKUP(B:B,'8店辅助表'!AZ:AZ,1,FALSE)</f>
        <v>Y8805-RE</v>
      </c>
      <c r="AN85" t="str">
        <f>VLOOKUP(B:B,'8店辅助表'!AZ:BB,3,FALSE)</f>
        <v>CA</v>
      </c>
    </row>
    <row r="86" customHeight="1" spans="1:40">
      <c r="A86" s="58" t="str">
        <f>INDEX('[1]8店'!$A:$A,MATCH(B:B,'[1]8店'!$B:$B,0))</f>
        <v>秀青</v>
      </c>
      <c r="B86" s="116" t="s">
        <v>2967</v>
      </c>
      <c r="C86" s="45" t="s">
        <v>2968</v>
      </c>
      <c r="D86" s="59">
        <f>VLOOKUP(B:B,'[1]8店'!$B:$L,3,0)</f>
        <v>45097</v>
      </c>
      <c r="E86" s="45" t="s">
        <v>2969</v>
      </c>
      <c r="F86" s="45">
        <v>17</v>
      </c>
      <c r="G86" s="45">
        <v>0</v>
      </c>
      <c r="H86" s="45">
        <v>0</v>
      </c>
      <c r="I86" s="45">
        <v>0</v>
      </c>
      <c r="J86" s="45">
        <v>0</v>
      </c>
      <c r="K86" s="63">
        <f t="shared" si="30"/>
        <v>17</v>
      </c>
      <c r="L86" s="124">
        <f>VLOOKUP($B:$B,'[1]8店'!$B:$L,11,0)</f>
        <v>42.5</v>
      </c>
      <c r="M86" s="44">
        <f t="shared" si="41"/>
        <v>722.5</v>
      </c>
      <c r="N86" s="65">
        <f>IFERROR(VLOOKUP(B:B,'8店辅助表'!B:C,2,FALSE),0)</f>
        <v>0</v>
      </c>
      <c r="O86" s="65">
        <f>IFERROR(VLOOKUP(B:B,'8店辅助表'!E:F,2,FALSE),0)</f>
        <v>0</v>
      </c>
      <c r="P86" s="65">
        <f>IFERROR(VLOOKUP(B:B,'8店辅助表'!H:I,2,FALSE),0)</f>
        <v>0</v>
      </c>
      <c r="Q86" s="65">
        <f>IFERROR(VLOOKUP(B:B,'[1]8店'!$B:$N,13,FALSE),0)</f>
        <v>0</v>
      </c>
      <c r="R86" s="79">
        <f t="shared" si="31"/>
        <v>0</v>
      </c>
      <c r="S86" s="80" t="str">
        <f t="shared" si="32"/>
        <v>-</v>
      </c>
      <c r="T86" s="44" t="str">
        <f t="shared" si="33"/>
        <v>-</v>
      </c>
      <c r="U86" s="44">
        <f>IFERROR(VLOOKUP(B:B,'[1]8店'!$B:$T,19,0),"-")</f>
        <v>51</v>
      </c>
      <c r="V86" s="81" t="str">
        <f t="shared" si="34"/>
        <v>-</v>
      </c>
      <c r="W86" s="82" t="str">
        <f t="shared" si="35"/>
        <v>有库存无销量</v>
      </c>
      <c r="X86" s="83" t="str">
        <f t="shared" si="36"/>
        <v>有库存无销量</v>
      </c>
      <c r="Y86" s="44">
        <f>IFERROR(SUMIF('8店辅助表'!K:K,B:B,'8店辅助表'!N:N),0)</f>
        <v>0</v>
      </c>
      <c r="Z86" s="44">
        <f>IFERROR(SUMIF('8店辅助表'!T:T,B:B,'8店辅助表'!W:W),0)</f>
        <v>0</v>
      </c>
      <c r="AA86" s="44">
        <f>IFERROR(SUMIF('8店辅助表'!AC:AC,B:B,'8店辅助表'!AF:AF),0)</f>
        <v>0</v>
      </c>
      <c r="AB86" s="91" t="str">
        <f>IFERROR(SUMIF('8店辅助表'!K:K,B:B,'8店辅助表'!N:N)/SUMIF('8店辅助表'!K:K,B:B,'8店辅助表'!O:O),"-")</f>
        <v>-</v>
      </c>
      <c r="AC86" s="91" t="str">
        <f>IFERROR(VLOOKUP(B:B,'[1]8店'!$B:$AB,27,FALSE),"-")</f>
        <v>-</v>
      </c>
      <c r="AD86" s="92" t="str">
        <f t="shared" si="37"/>
        <v>-</v>
      </c>
      <c r="AE86" s="91" t="str">
        <f>IFERROR(SUMIF('8店辅助表'!T:T,B:B,'8店辅助表'!W:W)/SUMIF('8店辅助表'!T:T,B:B,'8店辅助表'!X:X),"-")</f>
        <v>-</v>
      </c>
      <c r="AF86" s="91" t="str">
        <f>IFERROR(SUMIF('8店辅助表'!AC:AC,B:B,'8店辅助表'!AF:AF)/SUMIF('8店辅助表'!AC:AC,B:B,'8店辅助表'!AG:AG),"-")</f>
        <v>-</v>
      </c>
      <c r="AG86" s="99">
        <f>IFERROR(AK86/((SUMIF('8店辅助表'!AT:AT,B:B,'8店辅助表'!AU:AU)+M86)/2),"-")</f>
        <v>0</v>
      </c>
      <c r="AH86" s="99">
        <f>IFERROR(AL86/((SUMIF('8店辅助表'!AW:AW,B:B,'8店辅助表'!AX:AX)+M86)/2),"-")</f>
        <v>0</v>
      </c>
      <c r="AI86" s="100" t="str">
        <f>IFERROR((SUMIF('8店辅助表'!AP:AP,B:B,'8店辅助表'!AR:AR)-SUMIF('8店辅助表'!AP:AP,B:B,'8店辅助表'!AR:AR)*0.15-(L86+IFERROR(VLOOKUP(B:B,'8店辅助表'!AZ:BA,2,0),0))*O86-IF(AN:AN="US",6.85,4.9)*(Z86+4.03*O86))/SUMIF('8店辅助表'!AP:AP,B:B,'8店辅助表'!AR:AR),"-")</f>
        <v>-</v>
      </c>
      <c r="AJ86" s="100" t="str">
        <f t="shared" si="38"/>
        <v>-</v>
      </c>
      <c r="AK86" s="101">
        <f t="shared" si="39"/>
        <v>0</v>
      </c>
      <c r="AL86" s="101">
        <f t="shared" si="40"/>
        <v>0</v>
      </c>
      <c r="AM86" s="1" t="str">
        <f>VLOOKUP(B:B,'8店辅助表'!AZ:AZ,1,FALSE)</f>
        <v>Y8813</v>
      </c>
      <c r="AN86" t="str">
        <f>VLOOKUP(B:B,'8店辅助表'!AZ:BB,3,FALSE)</f>
        <v>CA</v>
      </c>
    </row>
    <row r="87" customHeight="1" spans="1:40">
      <c r="A87" s="58" t="str">
        <f>INDEX('[1]8店'!$A:$A,MATCH(B:B,'[1]8店'!$B:$B,0))</f>
        <v>秀青</v>
      </c>
      <c r="B87" s="116" t="s">
        <v>2970</v>
      </c>
      <c r="C87" s="45" t="s">
        <v>2971</v>
      </c>
      <c r="D87" s="59">
        <f>VLOOKUP(B:B,'[1]8店'!$B:$L,3,0)</f>
        <v>45097</v>
      </c>
      <c r="E87" s="45" t="s">
        <v>2972</v>
      </c>
      <c r="F87" s="45">
        <v>0</v>
      </c>
      <c r="G87" s="45">
        <v>2</v>
      </c>
      <c r="H87" s="45">
        <v>0</v>
      </c>
      <c r="I87" s="45">
        <v>0</v>
      </c>
      <c r="J87" s="45">
        <v>0</v>
      </c>
      <c r="K87" s="63">
        <f t="shared" si="30"/>
        <v>2</v>
      </c>
      <c r="L87" s="124">
        <f>VLOOKUP($B:$B,'[1]8店'!$B:$L,11,0)</f>
        <v>42.642</v>
      </c>
      <c r="M87" s="44">
        <f t="shared" si="41"/>
        <v>85.284</v>
      </c>
      <c r="N87" s="65">
        <f>IFERROR(VLOOKUP(B:B,'8店辅助表'!B:C,2,FALSE),0)</f>
        <v>0</v>
      </c>
      <c r="O87" s="65">
        <f>IFERROR(VLOOKUP(B:B,'8店辅助表'!E:F,2,FALSE),0)</f>
        <v>0</v>
      </c>
      <c r="P87" s="65">
        <f>IFERROR(VLOOKUP(B:B,'8店辅助表'!H:I,2,FALSE),0)</f>
        <v>0</v>
      </c>
      <c r="Q87" s="65">
        <f>IFERROR(VLOOKUP(B:B,'[1]8店'!$B:$N,13,FALSE),0)</f>
        <v>0</v>
      </c>
      <c r="R87" s="79">
        <f t="shared" si="31"/>
        <v>0</v>
      </c>
      <c r="S87" s="80" t="str">
        <f t="shared" si="32"/>
        <v>-</v>
      </c>
      <c r="T87" s="44" t="str">
        <f t="shared" si="33"/>
        <v>-</v>
      </c>
      <c r="U87" s="44" t="str">
        <f>IFERROR(VLOOKUP(B:B,'[1]8店'!$B:$T,19,0),"-")</f>
        <v>-</v>
      </c>
      <c r="V87" s="81" t="str">
        <f t="shared" si="34"/>
        <v>-</v>
      </c>
      <c r="W87" s="82" t="str">
        <f t="shared" si="35"/>
        <v>有库存无销量</v>
      </c>
      <c r="X87" s="83" t="str">
        <f t="shared" si="36"/>
        <v>有库存无销量</v>
      </c>
      <c r="Y87" s="44">
        <f>IFERROR(SUMIF('8店辅助表'!K:K,B:B,'8店辅助表'!N:N),0)</f>
        <v>0</v>
      </c>
      <c r="Z87" s="44">
        <f>IFERROR(SUMIF('8店辅助表'!T:T,B:B,'8店辅助表'!W:W),0)</f>
        <v>0</v>
      </c>
      <c r="AA87" s="44">
        <f>IFERROR(SUMIF('8店辅助表'!AC:AC,B:B,'8店辅助表'!AF:AF),0)</f>
        <v>0</v>
      </c>
      <c r="AB87" s="91" t="str">
        <f>IFERROR(SUMIF('8店辅助表'!K:K,B:B,'8店辅助表'!N:N)/SUMIF('8店辅助表'!K:K,B:B,'8店辅助表'!O:O),"-")</f>
        <v>-</v>
      </c>
      <c r="AC87" s="91" t="str">
        <f>IFERROR(VLOOKUP(B:B,'[1]8店'!$B:$AB,27,FALSE),"-")</f>
        <v>-</v>
      </c>
      <c r="AD87" s="92" t="str">
        <f t="shared" si="37"/>
        <v>-</v>
      </c>
      <c r="AE87" s="91" t="str">
        <f>IFERROR(SUMIF('8店辅助表'!T:T,B:B,'8店辅助表'!W:W)/SUMIF('8店辅助表'!T:T,B:B,'8店辅助表'!X:X),"-")</f>
        <v>-</v>
      </c>
      <c r="AF87" s="91" t="str">
        <f>IFERROR(SUMIF('8店辅助表'!AC:AC,B:B,'8店辅助表'!AF:AF)/SUMIF('8店辅助表'!AC:AC,B:B,'8店辅助表'!AG:AG),"-")</f>
        <v>-</v>
      </c>
      <c r="AG87" s="99">
        <f>IFERROR(AK87/((SUMIF('8店辅助表'!AT:AT,B:B,'8店辅助表'!AU:AU)+M87)/2),"-")</f>
        <v>0</v>
      </c>
      <c r="AH87" s="99">
        <f>IFERROR(AL87/((SUMIF('8店辅助表'!AW:AW,B:B,'8店辅助表'!AX:AX)+M87)/2),"-")</f>
        <v>0</v>
      </c>
      <c r="AI87" s="100" t="str">
        <f>IFERROR((SUMIF('8店辅助表'!AP:AP,B:B,'8店辅助表'!AR:AR)-SUMIF('8店辅助表'!AP:AP,B:B,'8店辅助表'!AR:AR)*0.15-(L87+IFERROR(VLOOKUP(B:B,'8店辅助表'!AZ:BA,2,0),0))*O87-IF(AN:AN="US",6.85,4.9)*(Z87+4.03*O87))/SUMIF('8店辅助表'!AP:AP,B:B,'8店辅助表'!AR:AR),"-")</f>
        <v>-</v>
      </c>
      <c r="AJ87" s="100" t="str">
        <f t="shared" si="38"/>
        <v>-</v>
      </c>
      <c r="AK87" s="101">
        <f t="shared" si="39"/>
        <v>0</v>
      </c>
      <c r="AL87" s="101">
        <f t="shared" si="40"/>
        <v>0</v>
      </c>
      <c r="AM87" s="1" t="str">
        <f>VLOOKUP(B:B,'8店辅助表'!AZ:AZ,1,FALSE)</f>
        <v>Y8803</v>
      </c>
      <c r="AN87" t="str">
        <f>VLOOKUP(B:B,'8店辅助表'!AZ:BB,3,FALSE)</f>
        <v>CA</v>
      </c>
    </row>
    <row r="88" customHeight="1" spans="1:40">
      <c r="A88" s="58" t="str">
        <f>INDEX('[1]8店'!$A:$A,MATCH(B:B,'[1]8店'!$B:$B,0))</f>
        <v>秀青</v>
      </c>
      <c r="B88" s="117" t="s">
        <v>2973</v>
      </c>
      <c r="C88" s="45" t="s">
        <v>1945</v>
      </c>
      <c r="D88" s="59">
        <f>VLOOKUP(B:B,'[1]8店'!$B:$L,3,0)</f>
        <v>44998</v>
      </c>
      <c r="E88" s="45" t="s">
        <v>2974</v>
      </c>
      <c r="F88" s="45">
        <v>0</v>
      </c>
      <c r="G88" s="45">
        <v>1</v>
      </c>
      <c r="H88" s="45">
        <v>0</v>
      </c>
      <c r="I88" s="45">
        <v>0</v>
      </c>
      <c r="J88" s="45">
        <v>0</v>
      </c>
      <c r="K88" s="63">
        <f t="shared" si="30"/>
        <v>1</v>
      </c>
      <c r="L88" s="124">
        <f>VLOOKUP($B:$B,'[1]8店'!$B:$L,11,0)</f>
        <v>10.126</v>
      </c>
      <c r="M88" s="44">
        <f t="shared" si="41"/>
        <v>10.126</v>
      </c>
      <c r="N88" s="65">
        <f>IFERROR(VLOOKUP(B:B,'8店辅助表'!B:C,2,FALSE),0)</f>
        <v>0</v>
      </c>
      <c r="O88" s="65">
        <f>IFERROR(VLOOKUP(B:B,'8店辅助表'!E:F,2,FALSE),0)</f>
        <v>0</v>
      </c>
      <c r="P88" s="65">
        <f>IFERROR(VLOOKUP(B:B,'8店辅助表'!H:I,2,FALSE),0)</f>
        <v>0</v>
      </c>
      <c r="Q88" s="65">
        <f>IFERROR(VLOOKUP(B:B,'[1]8店'!$B:$N,13,FALSE),0)</f>
        <v>0</v>
      </c>
      <c r="R88" s="79">
        <f t="shared" si="31"/>
        <v>0</v>
      </c>
      <c r="S88" s="80" t="str">
        <f t="shared" si="32"/>
        <v>-</v>
      </c>
      <c r="T88" s="44" t="str">
        <f t="shared" si="33"/>
        <v>-</v>
      </c>
      <c r="U88" s="44" t="str">
        <f>IFERROR(VLOOKUP(B:B,'[1]8店'!$B:$T,19,0),"-")</f>
        <v>-</v>
      </c>
      <c r="V88" s="81" t="str">
        <f t="shared" si="34"/>
        <v>-</v>
      </c>
      <c r="W88" s="82" t="str">
        <f t="shared" si="35"/>
        <v>有库存无销量</v>
      </c>
      <c r="X88" s="83" t="str">
        <f t="shared" si="36"/>
        <v>有库存无销量</v>
      </c>
      <c r="Y88" s="44">
        <f>IFERROR(SUMIF('8店辅助表'!K:K,B:B,'8店辅助表'!N:N),0)</f>
        <v>0</v>
      </c>
      <c r="Z88" s="44">
        <f>IFERROR(SUMIF('8店辅助表'!T:T,B:B,'8店辅助表'!W:W),0)</f>
        <v>0</v>
      </c>
      <c r="AA88" s="44">
        <f>IFERROR(SUMIF('8店辅助表'!AC:AC,B:B,'8店辅助表'!AF:AF),0)</f>
        <v>0</v>
      </c>
      <c r="AB88" s="91" t="str">
        <f>IFERROR(SUMIF('8店辅助表'!K:K,B:B,'8店辅助表'!N:N)/SUMIF('8店辅助表'!K:K,B:B,'8店辅助表'!O:O),"-")</f>
        <v>-</v>
      </c>
      <c r="AC88" s="91" t="str">
        <f>IFERROR(VLOOKUP(B:B,'[1]8店'!$B:$AB,27,FALSE),"-")</f>
        <v>-</v>
      </c>
      <c r="AD88" s="92" t="str">
        <f t="shared" si="37"/>
        <v>-</v>
      </c>
      <c r="AE88" s="91" t="str">
        <f>IFERROR(SUMIF('8店辅助表'!T:T,B:B,'8店辅助表'!W:W)/SUMIF('8店辅助表'!T:T,B:B,'8店辅助表'!X:X),"-")</f>
        <v>-</v>
      </c>
      <c r="AF88" s="91" t="str">
        <f>IFERROR(SUMIF('8店辅助表'!AC:AC,B:B,'8店辅助表'!AF:AF)/SUMIF('8店辅助表'!AC:AC,B:B,'8店辅助表'!AG:AG),"-")</f>
        <v>-</v>
      </c>
      <c r="AG88" s="99">
        <f>IFERROR(AK88/((SUMIF('8店辅助表'!AT:AT,B:B,'8店辅助表'!AU:AU)+M88)/2),"-")</f>
        <v>0</v>
      </c>
      <c r="AH88" s="99">
        <f>IFERROR(AL88/((SUMIF('8店辅助表'!AW:AW,B:B,'8店辅助表'!AX:AX)+M88)/2),"-")</f>
        <v>0</v>
      </c>
      <c r="AI88" s="100" t="str">
        <f>IFERROR((SUMIF('8店辅助表'!AP:AP,B:B,'8店辅助表'!AR:AR)-SUMIF('8店辅助表'!AP:AP,B:B,'8店辅助表'!AR:AR)*0.15-(L88+IFERROR(VLOOKUP(B:B,'8店辅助表'!AZ:BA,2,0),0))*O88-IF(AN:AN="US",6.85,4.9)*(Z88+4.03*O88))/SUMIF('8店辅助表'!AP:AP,B:B,'8店辅助表'!AR:AR),"-")</f>
        <v>-</v>
      </c>
      <c r="AJ88" s="100" t="str">
        <f t="shared" si="38"/>
        <v>-</v>
      </c>
      <c r="AK88" s="101">
        <f t="shared" si="39"/>
        <v>0</v>
      </c>
      <c r="AL88" s="101">
        <f t="shared" si="40"/>
        <v>0</v>
      </c>
      <c r="AM88" s="1" t="str">
        <f>VLOOKUP(B:B,'8店辅助表'!AZ:AZ,1,FALSE)</f>
        <v>Y8049-SC</v>
      </c>
      <c r="AN88" t="str">
        <f>VLOOKUP(B:B,'8店辅助表'!AZ:BB,3,FALSE)</f>
        <v>US</v>
      </c>
    </row>
    <row r="89" customHeight="1" spans="1:40">
      <c r="A89" s="58" t="str">
        <f>INDEX('[1]8店'!$A:$A,MATCH(B:B,'[1]8店'!$B:$B,0))</f>
        <v>秀青</v>
      </c>
      <c r="B89" s="116" t="s">
        <v>2975</v>
      </c>
      <c r="C89" s="45" t="s">
        <v>2976</v>
      </c>
      <c r="D89" s="59">
        <f>VLOOKUP(B:B,'[1]8店'!$B:$L,3,0)</f>
        <v>45140</v>
      </c>
      <c r="E89" s="45" t="s">
        <v>2977</v>
      </c>
      <c r="F89" s="45">
        <v>0</v>
      </c>
      <c r="G89" s="45">
        <v>0</v>
      </c>
      <c r="H89" s="45">
        <v>0</v>
      </c>
      <c r="I89" s="45">
        <v>1</v>
      </c>
      <c r="J89" s="45">
        <v>0</v>
      </c>
      <c r="K89" s="63">
        <f t="shared" ref="K89:K99" si="42">F89+G89+H89+I89+J89</f>
        <v>1</v>
      </c>
      <c r="L89" s="124">
        <f>VLOOKUP($B:$B,'[1]8店'!$B:$L,11,0)</f>
        <v>42.5</v>
      </c>
      <c r="M89" s="44">
        <f t="shared" si="41"/>
        <v>42.5</v>
      </c>
      <c r="N89" s="65">
        <f>IFERROR(VLOOKUP(B:B,'8店辅助表'!B:C,2,FALSE),0)</f>
        <v>1</v>
      </c>
      <c r="O89" s="65">
        <f>IFERROR(VLOOKUP(B:B,'8店辅助表'!E:F,2,FALSE),0)</f>
        <v>2</v>
      </c>
      <c r="P89" s="65">
        <f>IFERROR(VLOOKUP(B:B,'8店辅助表'!H:I,2,FALSE),0)</f>
        <v>11</v>
      </c>
      <c r="Q89" s="65">
        <f>IFERROR(VLOOKUP(B:B,'[1]8店'!$B:$N,13,FALSE),0)</f>
        <v>1</v>
      </c>
      <c r="R89" s="79">
        <f t="shared" ref="R89:R99" si="43">N89-Q89</f>
        <v>0</v>
      </c>
      <c r="S89" s="80">
        <f t="shared" ref="S89:S99" si="44">IFERROR(K89/((N89/7+O89/15+P89/30)/3),"-")</f>
        <v>4.66666666666667</v>
      </c>
      <c r="T89" s="44">
        <f t="shared" ref="T89:T99" si="45">IFERROR(S89/30,"-")</f>
        <v>0.155555555555556</v>
      </c>
      <c r="U89" s="44">
        <f>IFERROR(VLOOKUP(B:B,'[1]8店'!$B:$T,19,0),"-")</f>
        <v>0.370588235294118</v>
      </c>
      <c r="V89" s="81">
        <f t="shared" ref="V89:V99" si="46">IFERROR(T89-U89,"-")</f>
        <v>-0.215032679738562</v>
      </c>
      <c r="W89" s="82" t="str">
        <f t="shared" ref="W89:W99" si="47">_xlfn.IFS(AND(D89&lt;&gt;0,D89-$AM$2&gt;=0,B89&gt;0,D89&lt;&gt;0),"本月刚到货",AND(IFERROR((K89/(N89/7))/30,"-")="-",K89&gt;0),"有库存无销量",AND(IFERROR((K89/(N89/7))/30,"-")="-",K89=0),"无库存无销量",AND(IFERROR((K89/(N89/7))/30,"-")&lt;=0.5,K89=0),"无库存有销量",IFERROR((K89/(N89/7))/30,"-")&lt;=0.5,"库存过低",IFERROR((K89/(N89/7))/30,"-")&lt;=1.5,"正常",IFERROR((K89/(N89/7))/30,"-")&gt;1.5,"库存过高")</f>
        <v>库存过低</v>
      </c>
      <c r="X89" s="83" t="str">
        <f t="shared" ref="X89:X99" si="48">_xlfn.IFS(AND(D89&lt;&gt;0,D89-$AM$2&gt;=0,K89&gt;0,D89&lt;&gt;0),"本月刚到货",AND(T89="-",K89&gt;0),"有库存无销量",AND(T89="-",K89=0),"无库存无销量",AND(T89&lt;=0.5,K89=0),"无库存有销量",T89&lt;=0.5,"库存过低",T89&lt;=1.5,"正常",T89&gt;1.5,"库存过高")</f>
        <v>库存过低</v>
      </c>
      <c r="Y89" s="44">
        <f>IFERROR(SUMIF('8店辅助表'!K:K,B:B,'8店辅助表'!N:N),0)</f>
        <v>0.62</v>
      </c>
      <c r="Z89" s="44">
        <f>IFERROR(SUMIF('8店辅助表'!T:T,B:B,'8店辅助表'!W:W),0)</f>
        <v>11.23</v>
      </c>
      <c r="AA89" s="44">
        <f>IFERROR(SUMIF('8店辅助表'!AC:AC,B:B,'8店辅助表'!AF:AF),0)</f>
        <v>25.1</v>
      </c>
      <c r="AB89" s="91" t="str">
        <f>IFERROR(SUMIF('8店辅助表'!K:K,B:B,'8店辅助表'!N:N)/SUMIF('8店辅助表'!K:K,B:B,'8店辅助表'!O:O),"-")</f>
        <v>-</v>
      </c>
      <c r="AC89" s="91">
        <f>IFERROR(VLOOKUP(B:B,'[1]8店'!$B:$AB,27,FALSE),"-")</f>
        <v>0.304291707002259</v>
      </c>
      <c r="AD89" s="92" t="str">
        <f t="shared" ref="AD89:AD99" si="49">IFERROR(AB89-AC89,"-")</f>
        <v>-</v>
      </c>
      <c r="AE89" s="91">
        <f>IFERROR(SUMIF('8店辅助表'!T:T,B:B,'8店辅助表'!W:W)/SUMIF('8店辅助表'!T:T,B:B,'8店辅助表'!X:X),"-")</f>
        <v>0.362374959664408</v>
      </c>
      <c r="AF89" s="91">
        <f>IFERROR(SUMIF('8店辅助表'!AC:AC,B:B,'8店辅助表'!AF:AF)/SUMIF('8店辅助表'!AC:AC,B:B,'8店辅助表'!AG:AG),"-")</f>
        <v>0.183412495432956</v>
      </c>
      <c r="AG89" s="99">
        <f>IFERROR(AK89/((SUMIF('8店辅助表'!AT:AT,B:B,'8店辅助表'!AU:AU)+M89)/2),"-")</f>
        <v>0.5</v>
      </c>
      <c r="AH89" s="99">
        <f>IFERROR(AL89/((SUMIF('8店辅助表'!AW:AW,B:B,'8店辅助表'!AX:AX)+M89)/2),"-")</f>
        <v>0.307692307692308</v>
      </c>
      <c r="AI89" s="100">
        <f>IFERROR((SUMIF('8店辅助表'!AP:AP,B:B,'8店辅助表'!AR:AR)-SUMIF('8店辅助表'!AP:AP,B:B,'8店辅助表'!AR:AR)*0.15-(L89+IFERROR(VLOOKUP(B:B,'8店辅助表'!AZ:BA,2,0),0))*O89-IF(AN:AN="US",6.85,4.9)*(Z89+4.03*O89))/SUMIF('8店辅助表'!AP:AP,B:B,'8店辅助表'!AR:AR),"-")</f>
        <v>0.324822270075311</v>
      </c>
      <c r="AJ89" s="100">
        <f t="shared" ref="AJ89:AJ99" si="50">IFERROR(AH89*AI89,"-")</f>
        <v>0.0999453138693264</v>
      </c>
      <c r="AK89" s="101">
        <f t="shared" ref="AK89:AK99" si="51">N89*$L89</f>
        <v>42.5</v>
      </c>
      <c r="AL89" s="101">
        <f t="shared" ref="AL89:AL99" si="52">O89*$L89</f>
        <v>85</v>
      </c>
      <c r="AM89" s="1" t="str">
        <f>VLOOKUP(B:B,'8店辅助表'!AZ:AZ,1,FALSE)</f>
        <v>Y8052-SI</v>
      </c>
      <c r="AN89" t="str">
        <f>VLOOKUP(B:B,'8店辅助表'!AZ:BB,3,FALSE)</f>
        <v>US</v>
      </c>
    </row>
    <row r="90" customHeight="1" spans="1:40">
      <c r="A90" s="58" t="str">
        <f>INDEX('[1]8店'!$A:$A,MATCH(B:B,'[1]8店'!$B:$B,0))</f>
        <v>秀青</v>
      </c>
      <c r="B90" s="116" t="s">
        <v>2978</v>
      </c>
      <c r="C90" s="45" t="s">
        <v>1769</v>
      </c>
      <c r="D90" s="59">
        <f>VLOOKUP(B:B,'[1]8店'!$B:$L,3,0)</f>
        <v>45152</v>
      </c>
      <c r="E90" s="45" t="s">
        <v>2979</v>
      </c>
      <c r="F90" s="45">
        <v>0</v>
      </c>
      <c r="G90" s="45">
        <v>1</v>
      </c>
      <c r="H90" s="45">
        <v>0</v>
      </c>
      <c r="I90" s="45">
        <v>1</v>
      </c>
      <c r="J90" s="45">
        <v>0</v>
      </c>
      <c r="K90" s="63">
        <f t="shared" si="42"/>
        <v>2</v>
      </c>
      <c r="L90" s="124">
        <f>VLOOKUP($B:$B,'[1]8店'!$B:$L,11,0)</f>
        <v>30</v>
      </c>
      <c r="M90" s="44">
        <f t="shared" si="41"/>
        <v>60</v>
      </c>
      <c r="N90" s="65">
        <f>IFERROR(VLOOKUP(B:B,'8店辅助表'!B:C,2,FALSE),0)</f>
        <v>9</v>
      </c>
      <c r="O90" s="65">
        <f>IFERROR(VLOOKUP(B:B,'8店辅助表'!E:F,2,FALSE),0)</f>
        <v>11</v>
      </c>
      <c r="P90" s="65">
        <f>IFERROR(VLOOKUP(B:B,'8店辅助表'!H:I,2,FALSE),0)</f>
        <v>22</v>
      </c>
      <c r="Q90" s="65">
        <f>IFERROR(VLOOKUP(B:B,'[1]8店'!$B:$N,13,FALSE),0)</f>
        <v>2</v>
      </c>
      <c r="R90" s="79">
        <f t="shared" si="43"/>
        <v>7</v>
      </c>
      <c r="S90" s="80">
        <f t="shared" si="44"/>
        <v>2.17993079584775</v>
      </c>
      <c r="T90" s="44">
        <f t="shared" si="45"/>
        <v>0.0726643598615917</v>
      </c>
      <c r="U90" s="44">
        <f>IFERROR(VLOOKUP(B:B,'[1]8店'!$B:$T,19,0),"-")</f>
        <v>0</v>
      </c>
      <c r="V90" s="81">
        <f t="shared" si="46"/>
        <v>0.0726643598615917</v>
      </c>
      <c r="W90" s="82" t="str">
        <f t="shared" si="47"/>
        <v>库存过低</v>
      </c>
      <c r="X90" s="83" t="str">
        <f t="shared" si="48"/>
        <v>库存过低</v>
      </c>
      <c r="Y90" s="44">
        <f>IFERROR(SUMIF('8店辅助表'!K:K,B:B,'8店辅助表'!N:N),0)</f>
        <v>6.38</v>
      </c>
      <c r="Z90" s="44">
        <f>IFERROR(SUMIF('8店辅助表'!T:T,B:B,'8店辅助表'!W:W),0)</f>
        <v>7.84</v>
      </c>
      <c r="AA90" s="44">
        <f>IFERROR(SUMIF('8店辅助表'!AC:AC,B:B,'8店辅助表'!AF:AF),0)</f>
        <v>19.62</v>
      </c>
      <c r="AB90" s="91">
        <f>IFERROR(SUMIF('8店辅助表'!K:K,B:B,'8店辅助表'!N:N)/SUMIF('8店辅助表'!K:K,B:B,'8店辅助表'!O:O),"-")</f>
        <v>0.0747510251903925</v>
      </c>
      <c r="AC90" s="91">
        <f>IFERROR(VLOOKUP(B:B,'[1]8店'!$B:$AB,27,FALSE),"-")</f>
        <v>0.0539245056920312</v>
      </c>
      <c r="AD90" s="92">
        <f t="shared" si="49"/>
        <v>0.0208265194983613</v>
      </c>
      <c r="AE90" s="91">
        <f>IFERROR(SUMIF('8店辅助表'!T:T,B:B,'8店辅助表'!W:W)/SUMIF('8店辅助表'!T:T,B:B,'8店辅助表'!X:X),"-")</f>
        <v>0.0768326146609173</v>
      </c>
      <c r="AF90" s="91">
        <f>IFERROR(SUMIF('8店辅助表'!AC:AC,B:B,'8店辅助表'!AF:AF)/SUMIF('8店辅助表'!AC:AC,B:B,'8店辅助表'!AG:AG),"-")</f>
        <v>0.105603100274503</v>
      </c>
      <c r="AG90" s="99">
        <f>IFERROR(AK90/((SUMIF('8店辅助表'!AT:AT,B:B,'8店辅助表'!AU:AU)+M90)/2),"-")</f>
        <v>9</v>
      </c>
      <c r="AH90" s="99">
        <f>IFERROR(AL90/((SUMIF('8店辅助表'!AW:AW,B:B,'8店辅助表'!AX:AX)+M90)/2),"-")</f>
        <v>1.57142857142857</v>
      </c>
      <c r="AI90" s="100">
        <f>IFERROR((SUMIF('8店辅助表'!AP:AP,B:B,'8店辅助表'!AR:AR)-SUMIF('8店辅助表'!AP:AP,B:B,'8店辅助表'!AR:AR)*0.15-(L90+IFERROR(VLOOKUP(B:B,'8店辅助表'!AZ:BA,2,0),0))*O90-IF(AN:AN="US",6.85,4.9)*(Z90+4.03*O90))/SUMIF('8店辅助表'!AP:AP,B:B,'8店辅助表'!AR:AR),"-")</f>
        <v>0.306232215596511</v>
      </c>
      <c r="AJ90" s="100">
        <f t="shared" si="50"/>
        <v>0.481222053080231</v>
      </c>
      <c r="AK90" s="101">
        <f t="shared" si="51"/>
        <v>270</v>
      </c>
      <c r="AL90" s="101">
        <f t="shared" si="52"/>
        <v>330</v>
      </c>
      <c r="AM90" s="1" t="str">
        <f>VLOOKUP(B:B,'8店辅助表'!AZ:AZ,1,FALSE)</f>
        <v>Y8097-GN</v>
      </c>
      <c r="AN90" t="str">
        <f>VLOOKUP(B:B,'8店辅助表'!AZ:BB,3,FALSE)</f>
        <v>US</v>
      </c>
    </row>
    <row r="91" customHeight="1" spans="1:40">
      <c r="A91" s="58" t="str">
        <f>INDEX('[1]8店'!$A:$A,MATCH(B:B,'[1]8店'!$B:$B,0))</f>
        <v>秀青</v>
      </c>
      <c r="B91" s="116" t="s">
        <v>2980</v>
      </c>
      <c r="C91" s="45" t="s">
        <v>1772</v>
      </c>
      <c r="D91" s="59">
        <f>VLOOKUP(B:B,'[1]8店'!$B:$L,3,0)</f>
        <v>45152</v>
      </c>
      <c r="E91" s="45" t="s">
        <v>2981</v>
      </c>
      <c r="F91" s="45">
        <v>20</v>
      </c>
      <c r="G91" s="45">
        <v>1</v>
      </c>
      <c r="H91" s="45">
        <v>0</v>
      </c>
      <c r="I91" s="45">
        <v>0</v>
      </c>
      <c r="J91" s="45">
        <v>0</v>
      </c>
      <c r="K91" s="63">
        <f t="shared" si="42"/>
        <v>21</v>
      </c>
      <c r="L91" s="124">
        <f>VLOOKUP($B:$B,'[1]8店'!$B:$L,11,0)</f>
        <v>30</v>
      </c>
      <c r="M91" s="44">
        <f t="shared" si="41"/>
        <v>630</v>
      </c>
      <c r="N91" s="65">
        <f>IFERROR(VLOOKUP(B:B,'8店辅助表'!B:C,2,FALSE),0)</f>
        <v>7</v>
      </c>
      <c r="O91" s="65">
        <f>IFERROR(VLOOKUP(B:B,'8店辅助表'!E:F,2,FALSE),0)</f>
        <v>13</v>
      </c>
      <c r="P91" s="65">
        <f>IFERROR(VLOOKUP(B:B,'8店辅助表'!H:I,2,FALSE),0)</f>
        <v>15</v>
      </c>
      <c r="Q91" s="65">
        <f>IFERROR(VLOOKUP(B:B,'[1]8店'!$B:$N,13,FALSE),0)</f>
        <v>6</v>
      </c>
      <c r="R91" s="79">
        <f t="shared" si="43"/>
        <v>1</v>
      </c>
      <c r="S91" s="80">
        <f t="shared" si="44"/>
        <v>26.6197183098592</v>
      </c>
      <c r="T91" s="44">
        <f t="shared" si="45"/>
        <v>0.887323943661972</v>
      </c>
      <c r="U91" s="44">
        <f>IFERROR(VLOOKUP(B:B,'[1]8店'!$B:$T,19,0),"-")</f>
        <v>1.68232044198895</v>
      </c>
      <c r="V91" s="81">
        <f t="shared" si="46"/>
        <v>-0.794996498326978</v>
      </c>
      <c r="W91" s="82" t="str">
        <f t="shared" si="47"/>
        <v>正常</v>
      </c>
      <c r="X91" s="83" t="str">
        <f t="shared" si="48"/>
        <v>正常</v>
      </c>
      <c r="Y91" s="44">
        <f>IFERROR(SUMIF('8店辅助表'!K:K,B:B,'8店辅助表'!N:N),0)</f>
        <v>0</v>
      </c>
      <c r="Z91" s="44">
        <f>IFERROR(SUMIF('8店辅助表'!T:T,B:B,'8店辅助表'!W:W),0)</f>
        <v>0</v>
      </c>
      <c r="AA91" s="44">
        <f>IFERROR(SUMIF('8店辅助表'!AC:AC,B:B,'8店辅助表'!AF:AF),0)</f>
        <v>0</v>
      </c>
      <c r="AB91" s="91" t="str">
        <f>IFERROR(SUMIF('8店辅助表'!K:K,B:B,'8店辅助表'!N:N)/SUMIF('8店辅助表'!K:K,B:B,'8店辅助表'!O:O),"-")</f>
        <v>-</v>
      </c>
      <c r="AC91" s="91" t="str">
        <f>IFERROR(VLOOKUP(B:B,'[1]8店'!$B:$AB,27,FALSE),"-")</f>
        <v>-</v>
      </c>
      <c r="AD91" s="92" t="str">
        <f t="shared" si="49"/>
        <v>-</v>
      </c>
      <c r="AE91" s="91" t="str">
        <f>IFERROR(SUMIF('8店辅助表'!T:T,B:B,'8店辅助表'!W:W)/SUMIF('8店辅助表'!T:T,B:B,'8店辅助表'!X:X),"-")</f>
        <v>-</v>
      </c>
      <c r="AF91" s="91" t="str">
        <f>IFERROR(SUMIF('8店辅助表'!AC:AC,B:B,'8店辅助表'!AF:AF)/SUMIF('8店辅助表'!AC:AC,B:B,'8店辅助表'!AG:AG),"-")</f>
        <v>-</v>
      </c>
      <c r="AG91" s="99">
        <f>IFERROR(AK91/((SUMIF('8店辅助表'!AT:AT,B:B,'8店辅助表'!AU:AU)+M91)/2),"-")</f>
        <v>0.28</v>
      </c>
      <c r="AH91" s="99">
        <f>IFERROR(AL91/((SUMIF('8店辅助表'!AW:AW,B:B,'8店辅助表'!AX:AX)+M91)/2),"-")</f>
        <v>0.472727272727273</v>
      </c>
      <c r="AI91" s="100">
        <f>IFERROR((SUMIF('8店辅助表'!AP:AP,B:B,'8店辅助表'!AR:AR)-SUMIF('8店辅助表'!AP:AP,B:B,'8店辅助表'!AR:AR)*0.15-(L91+IFERROR(VLOOKUP(B:B,'8店辅助表'!AZ:BA,2,0),0))*O91-IF(AN:AN="US",6.85,4.9)*(Z91+4.03*O91))/SUMIF('8店辅助表'!AP:AP,B:B,'8店辅助表'!AR:AR),"-")</f>
        <v>0.34622147849959</v>
      </c>
      <c r="AJ91" s="100">
        <f t="shared" si="50"/>
        <v>0.163668335290715</v>
      </c>
      <c r="AK91" s="101">
        <f t="shared" si="51"/>
        <v>210</v>
      </c>
      <c r="AL91" s="101">
        <f t="shared" si="52"/>
        <v>390</v>
      </c>
      <c r="AM91" s="1" t="str">
        <f>VLOOKUP(B:B,'8店辅助表'!AZ:AZ,1,FALSE)</f>
        <v>Y8097-RE</v>
      </c>
      <c r="AN91" t="str">
        <f>VLOOKUP(B:B,'8店辅助表'!AZ:BB,3,FALSE)</f>
        <v>US</v>
      </c>
    </row>
    <row r="92" customHeight="1" spans="1:40">
      <c r="A92" s="58" t="s">
        <v>1786</v>
      </c>
      <c r="B92" s="117" t="s">
        <v>2982</v>
      </c>
      <c r="C92" s="45" t="s">
        <v>2983</v>
      </c>
      <c r="D92" s="59">
        <v>45008</v>
      </c>
      <c r="E92" s="45" t="s">
        <v>2984</v>
      </c>
      <c r="F92" s="45">
        <v>0</v>
      </c>
      <c r="G92" s="45">
        <v>0</v>
      </c>
      <c r="H92" s="45">
        <v>0</v>
      </c>
      <c r="I92" s="45">
        <v>1</v>
      </c>
      <c r="J92" s="45">
        <v>0</v>
      </c>
      <c r="K92" s="63">
        <f t="shared" si="42"/>
        <v>1</v>
      </c>
      <c r="L92" s="124">
        <v>10.082</v>
      </c>
      <c r="M92" s="44">
        <f t="shared" si="41"/>
        <v>10.082</v>
      </c>
      <c r="N92" s="65">
        <f>IFERROR(VLOOKUP(B:B,'8店辅助表'!B:C,2,FALSE),0)</f>
        <v>0</v>
      </c>
      <c r="O92" s="65">
        <f>IFERROR(VLOOKUP(B:B,'8店辅助表'!E:F,2,FALSE),0)</f>
        <v>0</v>
      </c>
      <c r="P92" s="65">
        <f>IFERROR(VLOOKUP(B:B,'8店辅助表'!H:I,2,FALSE),0)</f>
        <v>0</v>
      </c>
      <c r="Q92" s="65">
        <f>IFERROR(VLOOKUP(B:B,'[1]8店'!$B:$N,13,FALSE),0)</f>
        <v>0</v>
      </c>
      <c r="R92" s="79">
        <f t="shared" si="43"/>
        <v>0</v>
      </c>
      <c r="S92" s="80" t="str">
        <f t="shared" si="44"/>
        <v>-</v>
      </c>
      <c r="T92" s="44" t="str">
        <f t="shared" si="45"/>
        <v>-</v>
      </c>
      <c r="U92" s="44" t="str">
        <f>IFERROR(VLOOKUP(B:B,'[1]8店'!$B:$T,19,0),"-")</f>
        <v>-</v>
      </c>
      <c r="V92" s="81" t="str">
        <f t="shared" si="46"/>
        <v>-</v>
      </c>
      <c r="W92" s="82" t="str">
        <f t="shared" si="47"/>
        <v>有库存无销量</v>
      </c>
      <c r="X92" s="83" t="str">
        <f t="shared" si="48"/>
        <v>有库存无销量</v>
      </c>
      <c r="Y92" s="44">
        <f>IFERROR(SUMIF('8店辅助表'!K:K,B:B,'8店辅助表'!N:N),0)</f>
        <v>0</v>
      </c>
      <c r="Z92" s="44">
        <f>IFERROR(SUMIF('8店辅助表'!T:T,B:B,'8店辅助表'!W:W),0)</f>
        <v>0</v>
      </c>
      <c r="AA92" s="44">
        <f>IFERROR(SUMIF('8店辅助表'!AC:AC,B:B,'8店辅助表'!AF:AF),0)</f>
        <v>0</v>
      </c>
      <c r="AB92" s="91" t="str">
        <f>IFERROR(SUMIF('8店辅助表'!K:K,B:B,'8店辅助表'!N:N)/SUMIF('8店辅助表'!K:K,B:B,'8店辅助表'!O:O),"-")</f>
        <v>-</v>
      </c>
      <c r="AC92" s="91" t="str">
        <f>IFERROR(VLOOKUP(B:B,'[1]8店'!$B:$AB,27,FALSE),"-")</f>
        <v>-</v>
      </c>
      <c r="AD92" s="92" t="str">
        <f t="shared" si="49"/>
        <v>-</v>
      </c>
      <c r="AE92" s="91" t="str">
        <f>IFERROR(SUMIF('8店辅助表'!T:T,B:B,'8店辅助表'!W:W)/SUMIF('8店辅助表'!T:T,B:B,'8店辅助表'!X:X),"-")</f>
        <v>-</v>
      </c>
      <c r="AF92" s="91" t="str">
        <f>IFERROR(SUMIF('8店辅助表'!AC:AC,B:B,'8店辅助表'!AF:AF)/SUMIF('8店辅助表'!AC:AC,B:B,'8店辅助表'!AG:AG),"-")</f>
        <v>-</v>
      </c>
      <c r="AG92" s="99">
        <f>IFERROR(AK92/((SUMIF('8店辅助表'!AT:AT,B:B,'8店辅助表'!AU:AU)+M92)/2),"-")</f>
        <v>0</v>
      </c>
      <c r="AH92" s="99">
        <f>IFERROR(AL92/((SUMIF('8店辅助表'!AW:AW,B:B,'8店辅助表'!AX:AX)+M92)/2),"-")</f>
        <v>0</v>
      </c>
      <c r="AI92" s="100" t="str">
        <f>IFERROR((SUMIF('8店辅助表'!AP:AP,B:B,'8店辅助表'!AR:AR)-SUMIF('8店辅助表'!AP:AP,B:B,'8店辅助表'!AR:AR)*0.15-(L92+IFERROR(VLOOKUP(B:B,'8店辅助表'!AZ:BA,2,0),0))*O92-IF(AN:AN="US",6.85,4.9)*(Z92+4.03*O92))/SUMIF('8店辅助表'!AP:AP,B:B,'8店辅助表'!AR:AR),"-")</f>
        <v>-</v>
      </c>
      <c r="AJ92" s="100" t="str">
        <f t="shared" si="50"/>
        <v>-</v>
      </c>
      <c r="AK92" s="101">
        <f t="shared" si="51"/>
        <v>0</v>
      </c>
      <c r="AL92" s="101">
        <f t="shared" si="52"/>
        <v>0</v>
      </c>
      <c r="AM92" s="1" t="str">
        <f>VLOOKUP(B:B,'8店辅助表'!AZ:AZ,1,FALSE)</f>
        <v>Y8076-BL</v>
      </c>
      <c r="AN92" t="str">
        <f>VLOOKUP(B:B,'8店辅助表'!AZ:BB,3,FALSE)</f>
        <v>US</v>
      </c>
    </row>
    <row r="93" customHeight="1" spans="1:40">
      <c r="A93" s="58" t="str">
        <f>INDEX('[1]8店'!$A:$A,MATCH(B:B,'[1]8店'!$B:$B,0))</f>
        <v>秀青</v>
      </c>
      <c r="B93" s="116" t="s">
        <v>2985</v>
      </c>
      <c r="C93" s="45" t="s">
        <v>1927</v>
      </c>
      <c r="D93" s="59">
        <f>VLOOKUP(B:B,'[1]8店'!$B:$L,3,0)</f>
        <v>45160</v>
      </c>
      <c r="E93" s="45" t="s">
        <v>2986</v>
      </c>
      <c r="F93" s="45">
        <v>31</v>
      </c>
      <c r="G93" s="45">
        <v>1</v>
      </c>
      <c r="H93" s="45">
        <v>1</v>
      </c>
      <c r="I93" s="45">
        <v>0</v>
      </c>
      <c r="J93" s="45">
        <v>1</v>
      </c>
      <c r="K93" s="63">
        <f t="shared" si="42"/>
        <v>34</v>
      </c>
      <c r="L93" s="124">
        <f>VLOOKUP($B:$B,'[1]8店'!$B:$L,11,0)</f>
        <v>30.586</v>
      </c>
      <c r="M93" s="44">
        <f t="shared" si="41"/>
        <v>1039.924</v>
      </c>
      <c r="N93" s="65">
        <f>IFERROR(VLOOKUP(B:B,'8店辅助表'!B:C,2,FALSE),0)</f>
        <v>9</v>
      </c>
      <c r="O93" s="65">
        <f>IFERROR(VLOOKUP(B:B,'8店辅助表'!E:F,2,FALSE),0)</f>
        <v>16</v>
      </c>
      <c r="P93" s="65">
        <f>IFERROR(VLOOKUP(B:B,'8店辅助表'!H:I,2,FALSE),0)</f>
        <v>26</v>
      </c>
      <c r="Q93" s="65">
        <f>IFERROR(VLOOKUP(B:B,'[1]8店'!$B:$N,13,FALSE),0)</f>
        <v>6</v>
      </c>
      <c r="R93" s="79">
        <f t="shared" si="43"/>
        <v>3</v>
      </c>
      <c r="S93" s="80">
        <f t="shared" si="44"/>
        <v>31.6863905325444</v>
      </c>
      <c r="T93" s="44">
        <f t="shared" si="45"/>
        <v>1.05621301775148</v>
      </c>
      <c r="U93" s="44">
        <f>IFERROR(VLOOKUP(B:B,'[1]8店'!$B:$T,19,0),"-")</f>
        <v>1.76673040152964</v>
      </c>
      <c r="V93" s="81">
        <f t="shared" si="46"/>
        <v>-0.71051738377816</v>
      </c>
      <c r="W93" s="82" t="str">
        <f t="shared" si="47"/>
        <v>正常</v>
      </c>
      <c r="X93" s="83" t="str">
        <f t="shared" si="48"/>
        <v>正常</v>
      </c>
      <c r="Y93" s="44">
        <f>IFERROR(SUMIF('8店辅助表'!K:K,B:B,'8店辅助表'!N:N),0)</f>
        <v>8.03</v>
      </c>
      <c r="Z93" s="44">
        <f>IFERROR(SUMIF('8店辅助表'!T:T,B:B,'8店辅助表'!W:W),0)</f>
        <v>12.69</v>
      </c>
      <c r="AA93" s="44">
        <f>IFERROR(SUMIF('8店辅助表'!AC:AC,B:B,'8店辅助表'!AF:AF),0)</f>
        <v>17.63</v>
      </c>
      <c r="AB93" s="91">
        <f>IFERROR(SUMIF('8店辅助表'!K:K,B:B,'8店辅助表'!N:N)/SUMIF('8店辅助表'!K:K,B:B,'8店辅助表'!O:O),"-")</f>
        <v>0.155409328430424</v>
      </c>
      <c r="AC93" s="91">
        <f>IFERROR(VLOOKUP(B:B,'[1]8店'!$B:$AB,27,FALSE),"-")</f>
        <v>0.274278987639788</v>
      </c>
      <c r="AD93" s="92">
        <f t="shared" si="49"/>
        <v>-0.118869659209364</v>
      </c>
      <c r="AE93" s="91">
        <f>IFERROR(SUMIF('8店辅助表'!T:T,B:B,'8店辅助表'!W:W)/SUMIF('8店辅助表'!T:T,B:B,'8店辅助表'!X:X),"-")</f>
        <v>0.18482376929799</v>
      </c>
      <c r="AF93" s="91">
        <f>IFERROR(SUMIF('8店辅助表'!AC:AC,B:B,'8店辅助表'!AF:AF)/SUMIF('8店辅助表'!AC:AC,B:B,'8店辅助表'!AG:AG),"-")</f>
        <v>0.256772502184678</v>
      </c>
      <c r="AG93" s="99">
        <f>IFERROR(AK93/((SUMIF('8店辅助表'!AT:AT,B:B,'8店辅助表'!AU:AU)+M93)/2),"-")</f>
        <v>0.230769230769231</v>
      </c>
      <c r="AH93" s="99">
        <f>IFERROR(AL93/((SUMIF('8店辅助表'!AW:AW,B:B,'8店辅助表'!AX:AX)+M93)/2),"-")</f>
        <v>0.421052631578947</v>
      </c>
      <c r="AI93" s="100">
        <f>IFERROR((SUMIF('8店辅助表'!AP:AP,B:B,'8店辅助表'!AR:AR)-SUMIF('8店辅助表'!AP:AP,B:B,'8店辅助表'!AR:AR)*0.15-(L93+IFERROR(VLOOKUP(B:B,'8店辅助表'!AZ:BA,2,0),0))*O93-IF(AN:AN="US",6.85,4.9)*(Z93+4.03*O93))/SUMIF('8店辅助表'!AP:AP,B:B,'8店辅助表'!AR:AR),"-")</f>
        <v>0.294057635878555</v>
      </c>
      <c r="AJ93" s="100">
        <f t="shared" si="50"/>
        <v>0.123813741422549</v>
      </c>
      <c r="AK93" s="101">
        <f t="shared" si="51"/>
        <v>275.274</v>
      </c>
      <c r="AL93" s="101">
        <f t="shared" si="52"/>
        <v>489.376</v>
      </c>
      <c r="AM93" s="1" t="str">
        <f>VLOOKUP(B:B,'8店辅助表'!AZ:AZ,1,FALSE)</f>
        <v>Y8095-GR-1</v>
      </c>
      <c r="AN93" t="str">
        <f>VLOOKUP(B:B,'8店辅助表'!AZ:BB,3,FALSE)</f>
        <v>US</v>
      </c>
    </row>
    <row r="94" customHeight="1" spans="1:40">
      <c r="A94" s="58" t="s">
        <v>1786</v>
      </c>
      <c r="B94" s="116" t="s">
        <v>2987</v>
      </c>
      <c r="C94" s="45" t="s">
        <v>2988</v>
      </c>
      <c r="D94" s="59">
        <v>45216</v>
      </c>
      <c r="E94" s="45" t="s">
        <v>2989</v>
      </c>
      <c r="F94" s="45">
        <v>3</v>
      </c>
      <c r="G94" s="45">
        <v>0</v>
      </c>
      <c r="H94" s="45">
        <v>5</v>
      </c>
      <c r="I94" s="45">
        <v>0</v>
      </c>
      <c r="J94" s="45">
        <v>0</v>
      </c>
      <c r="K94" s="63">
        <f t="shared" si="42"/>
        <v>8</v>
      </c>
      <c r="L94" s="124">
        <v>56.6</v>
      </c>
      <c r="M94" s="44">
        <f t="shared" si="41"/>
        <v>452.8</v>
      </c>
      <c r="N94" s="65">
        <f>IFERROR(VLOOKUP(B:B,'8店辅助表'!B:C,2,FALSE),0)</f>
        <v>1</v>
      </c>
      <c r="O94" s="65">
        <f>IFERROR(VLOOKUP(B:B,'8店辅助表'!E:F,2,FALSE),0)</f>
        <v>1</v>
      </c>
      <c r="P94" s="65">
        <f>IFERROR(VLOOKUP(B:B,'8店辅助表'!H:I,2,FALSE),0)</f>
        <v>1</v>
      </c>
      <c r="Q94" s="65">
        <f>IFERROR(VLOOKUP(B:B,'[1]8店'!$B:$N,13,FALSE),0)</f>
        <v>0</v>
      </c>
      <c r="R94" s="79">
        <f t="shared" si="43"/>
        <v>1</v>
      </c>
      <c r="S94" s="80">
        <f t="shared" si="44"/>
        <v>98.8235294117647</v>
      </c>
      <c r="T94" s="44">
        <f t="shared" si="45"/>
        <v>3.29411764705882</v>
      </c>
      <c r="U94" s="44" t="str">
        <f>IFERROR(VLOOKUP(B:B,'[1]8店'!$B:$T,19,0),"-")</f>
        <v>-</v>
      </c>
      <c r="V94" s="81" t="str">
        <f t="shared" si="46"/>
        <v>-</v>
      </c>
      <c r="W94" s="82" t="str">
        <f t="shared" si="47"/>
        <v>本月刚到货</v>
      </c>
      <c r="X94" s="83" t="str">
        <f t="shared" si="48"/>
        <v>本月刚到货</v>
      </c>
      <c r="Y94" s="44">
        <f>IFERROR(SUMIF('8店辅助表'!K:K,B:B,'8店辅助表'!N:N),0)</f>
        <v>0</v>
      </c>
      <c r="Z94" s="44">
        <f>IFERROR(SUMIF('8店辅助表'!T:T,B:B,'8店辅助表'!W:W),0)</f>
        <v>0</v>
      </c>
      <c r="AA94" s="44">
        <f>IFERROR(SUMIF('8店辅助表'!AC:AC,B:B,'8店辅助表'!AF:AF),0)</f>
        <v>0</v>
      </c>
      <c r="AB94" s="91" t="str">
        <f>IFERROR(SUMIF('8店辅助表'!K:K,B:B,'8店辅助表'!N:N)/SUMIF('8店辅助表'!K:K,B:B,'8店辅助表'!O:O),"-")</f>
        <v>-</v>
      </c>
      <c r="AC94" s="91" t="str">
        <f>IFERROR(VLOOKUP(B:B,'[1]8店'!$B:$AB,27,FALSE),"-")</f>
        <v>-</v>
      </c>
      <c r="AD94" s="92" t="str">
        <f t="shared" si="49"/>
        <v>-</v>
      </c>
      <c r="AE94" s="91" t="str">
        <f>IFERROR(SUMIF('8店辅助表'!T:T,B:B,'8店辅助表'!W:W)/SUMIF('8店辅助表'!T:T,B:B,'8店辅助表'!X:X),"-")</f>
        <v>-</v>
      </c>
      <c r="AF94" s="91" t="str">
        <f>IFERROR(SUMIF('8店辅助表'!AC:AC,B:B,'8店辅助表'!AF:AF)/SUMIF('8店辅助表'!AC:AC,B:B,'8店辅助表'!AG:AG),"-")</f>
        <v>-</v>
      </c>
      <c r="AG94" s="99">
        <f>IFERROR(AK94/((SUMIF('8店辅助表'!AT:AT,B:B,'8店辅助表'!AU:AU)+M94)/2),"-")</f>
        <v>0.25</v>
      </c>
      <c r="AH94" s="99">
        <f>IFERROR(AL94/((SUMIF('8店辅助表'!AW:AW,B:B,'8店辅助表'!AX:AX)+M94)/2),"-")</f>
        <v>0.25</v>
      </c>
      <c r="AI94" s="100">
        <f>IFERROR((SUMIF('8店辅助表'!AP:AP,B:B,'8店辅助表'!AR:AR)-SUMIF('8店辅助表'!AP:AP,B:B,'8店辅助表'!AR:AR)*0.15-(L94+IFERROR(VLOOKUP(B:B,'8店辅助表'!AZ:BA,2,0),0))*O94-IF(AN:AN="US",6.85,4.9)*(Z94+4.03*O94))/SUMIF('8店辅助表'!AP:AP,B:B,'8店辅助表'!AR:AR),"-")</f>
        <v>0.202990015616057</v>
      </c>
      <c r="AJ94" s="100">
        <f t="shared" si="50"/>
        <v>0.0507475039040142</v>
      </c>
      <c r="AK94" s="101">
        <f t="shared" si="51"/>
        <v>56.6</v>
      </c>
      <c r="AL94" s="101">
        <f t="shared" si="52"/>
        <v>56.6</v>
      </c>
      <c r="AM94" s="1" t="str">
        <f>VLOOKUP(B:B,'8店辅助表'!AZ:AZ,1,FALSE)</f>
        <v>Y8098</v>
      </c>
      <c r="AN94" t="str">
        <f>VLOOKUP(B:B,'8店辅助表'!AZ:BB,3,FALSE)</f>
        <v>US</v>
      </c>
    </row>
    <row r="95" customHeight="1" spans="1:40">
      <c r="A95" s="58" t="s">
        <v>1786</v>
      </c>
      <c r="B95" s="116" t="s">
        <v>2990</v>
      </c>
      <c r="C95" s="45" t="s">
        <v>1806</v>
      </c>
      <c r="D95" s="59">
        <v>45219</v>
      </c>
      <c r="E95" s="45" t="s">
        <v>2991</v>
      </c>
      <c r="F95" s="45">
        <v>0</v>
      </c>
      <c r="G95" s="45">
        <v>0</v>
      </c>
      <c r="H95" s="45">
        <v>9</v>
      </c>
      <c r="I95" s="45">
        <v>0</v>
      </c>
      <c r="J95" s="45">
        <v>0</v>
      </c>
      <c r="K95" s="63">
        <f t="shared" si="42"/>
        <v>9</v>
      </c>
      <c r="L95" s="124">
        <v>32.375</v>
      </c>
      <c r="M95" s="44">
        <f t="shared" si="41"/>
        <v>291.375</v>
      </c>
      <c r="N95" s="65">
        <f>IFERROR(VLOOKUP(B:B,'8店辅助表'!B:C,2,FALSE),0)</f>
        <v>0</v>
      </c>
      <c r="O95" s="65">
        <f>IFERROR(VLOOKUP(B:B,'8店辅助表'!E:F,2,FALSE),0)</f>
        <v>0</v>
      </c>
      <c r="P95" s="65">
        <f>IFERROR(VLOOKUP(B:B,'8店辅助表'!H:I,2,FALSE),0)</f>
        <v>0</v>
      </c>
      <c r="Q95" s="65">
        <f>IFERROR(VLOOKUP(B:B,'[1]8店'!$B:$N,13,FALSE),0)</f>
        <v>0</v>
      </c>
      <c r="R95" s="79">
        <f t="shared" si="43"/>
        <v>0</v>
      </c>
      <c r="S95" s="80" t="str">
        <f t="shared" si="44"/>
        <v>-</v>
      </c>
      <c r="T95" s="44" t="str">
        <f t="shared" si="45"/>
        <v>-</v>
      </c>
      <c r="U95" s="44" t="str">
        <f>IFERROR(VLOOKUP(B:B,'[1]8店'!$B:$T,19,0),"-")</f>
        <v>-</v>
      </c>
      <c r="V95" s="81" t="str">
        <f t="shared" si="46"/>
        <v>-</v>
      </c>
      <c r="W95" s="82" t="str">
        <f t="shared" si="47"/>
        <v>本月刚到货</v>
      </c>
      <c r="X95" s="83" t="str">
        <f t="shared" si="48"/>
        <v>本月刚到货</v>
      </c>
      <c r="Y95" s="44">
        <f>IFERROR(SUMIF('8店辅助表'!K:K,B:B,'8店辅助表'!N:N),0)</f>
        <v>0</v>
      </c>
      <c r="Z95" s="44">
        <f>IFERROR(SUMIF('8店辅助表'!T:T,B:B,'8店辅助表'!W:W),0)</f>
        <v>0</v>
      </c>
      <c r="AA95" s="44">
        <f>IFERROR(SUMIF('8店辅助表'!AC:AC,B:B,'8店辅助表'!AF:AF),0)</f>
        <v>0</v>
      </c>
      <c r="AB95" s="91" t="str">
        <f>IFERROR(SUMIF('8店辅助表'!K:K,B:B,'8店辅助表'!N:N)/SUMIF('8店辅助表'!K:K,B:B,'8店辅助表'!O:O),"-")</f>
        <v>-</v>
      </c>
      <c r="AC95" s="91" t="str">
        <f>IFERROR(VLOOKUP(B:B,'[1]8店'!$B:$AB,27,FALSE),"-")</f>
        <v>-</v>
      </c>
      <c r="AD95" s="92" t="str">
        <f t="shared" si="49"/>
        <v>-</v>
      </c>
      <c r="AE95" s="91" t="str">
        <f>IFERROR(SUMIF('8店辅助表'!T:T,B:B,'8店辅助表'!W:W)/SUMIF('8店辅助表'!T:T,B:B,'8店辅助表'!X:X),"-")</f>
        <v>-</v>
      </c>
      <c r="AF95" s="91" t="str">
        <f>IFERROR(SUMIF('8店辅助表'!AC:AC,B:B,'8店辅助表'!AF:AF)/SUMIF('8店辅助表'!AC:AC,B:B,'8店辅助表'!AG:AG),"-")</f>
        <v>-</v>
      </c>
      <c r="AG95" s="99">
        <f>IFERROR(AK95/((SUMIF('8店辅助表'!AT:AT,B:B,'8店辅助表'!AU:AU)+M95)/2),"-")</f>
        <v>0</v>
      </c>
      <c r="AH95" s="99">
        <f>IFERROR(AL95/((SUMIF('8店辅助表'!AW:AW,B:B,'8店辅助表'!AX:AX)+M95)/2),"-")</f>
        <v>0</v>
      </c>
      <c r="AI95" s="100" t="str">
        <f>IFERROR((SUMIF('8店辅助表'!AP:AP,B:B,'8店辅助表'!AR:AR)-SUMIF('8店辅助表'!AP:AP,B:B,'8店辅助表'!AR:AR)*0.15-(L95+IFERROR(VLOOKUP(B:B,'8店辅助表'!AZ:BA,2,0),0))*O95-IF(AN:AN="US",6.85,4.9)*(Z95+4.03*O95))/SUMIF('8店辅助表'!AP:AP,B:B,'8店辅助表'!AR:AR),"-")</f>
        <v>-</v>
      </c>
      <c r="AJ95" s="100" t="str">
        <f t="shared" si="50"/>
        <v>-</v>
      </c>
      <c r="AK95" s="101">
        <f t="shared" si="51"/>
        <v>0</v>
      </c>
      <c r="AL95" s="101">
        <f t="shared" si="52"/>
        <v>0</v>
      </c>
      <c r="AM95" s="1" t="str">
        <f>VLOOKUP(B:B,'8店辅助表'!AZ:AZ,1,FALSE)</f>
        <v>Y8100</v>
      </c>
      <c r="AN95" t="str">
        <f>VLOOKUP(B:B,'8店辅助表'!AZ:BB,3,FALSE)</f>
        <v>US</v>
      </c>
    </row>
    <row r="96" customHeight="1" spans="1:40">
      <c r="A96" s="58" t="s">
        <v>1786</v>
      </c>
      <c r="B96" s="116" t="s">
        <v>2992</v>
      </c>
      <c r="C96" s="45" t="s">
        <v>2993</v>
      </c>
      <c r="D96" s="59">
        <v>45218</v>
      </c>
      <c r="E96" s="45" t="s">
        <v>2994</v>
      </c>
      <c r="F96" s="45">
        <v>0</v>
      </c>
      <c r="G96" s="45">
        <v>0</v>
      </c>
      <c r="H96" s="45">
        <v>10</v>
      </c>
      <c r="I96" s="45">
        <v>0</v>
      </c>
      <c r="J96" s="45">
        <v>0</v>
      </c>
      <c r="K96" s="63">
        <f t="shared" si="42"/>
        <v>10</v>
      </c>
      <c r="L96" s="124">
        <v>26.8</v>
      </c>
      <c r="M96" s="44">
        <f t="shared" si="41"/>
        <v>268</v>
      </c>
      <c r="N96" s="65">
        <f>IFERROR(VLOOKUP(B:B,'8店辅助表'!B:C,2,FALSE),0)</f>
        <v>0</v>
      </c>
      <c r="O96" s="65">
        <f>IFERROR(VLOOKUP(B:B,'8店辅助表'!E:F,2,FALSE),0)</f>
        <v>0</v>
      </c>
      <c r="P96" s="65">
        <f>IFERROR(VLOOKUP(B:B,'8店辅助表'!H:I,2,FALSE),0)</f>
        <v>0</v>
      </c>
      <c r="Q96" s="65">
        <f>IFERROR(VLOOKUP(B:B,'[1]8店'!$B:$N,13,FALSE),0)</f>
        <v>0</v>
      </c>
      <c r="R96" s="79">
        <f t="shared" si="43"/>
        <v>0</v>
      </c>
      <c r="S96" s="80" t="str">
        <f t="shared" si="44"/>
        <v>-</v>
      </c>
      <c r="T96" s="44" t="str">
        <f t="shared" si="45"/>
        <v>-</v>
      </c>
      <c r="U96" s="44" t="str">
        <f>IFERROR(VLOOKUP(B:B,'[1]8店'!$B:$T,19,0),"-")</f>
        <v>-</v>
      </c>
      <c r="V96" s="81" t="str">
        <f t="shared" si="46"/>
        <v>-</v>
      </c>
      <c r="W96" s="82" t="str">
        <f t="shared" si="47"/>
        <v>本月刚到货</v>
      </c>
      <c r="X96" s="83" t="str">
        <f t="shared" si="48"/>
        <v>本月刚到货</v>
      </c>
      <c r="Y96" s="44">
        <f>IFERROR(SUMIF('8店辅助表'!K:K,B:B,'8店辅助表'!N:N),0)</f>
        <v>0</v>
      </c>
      <c r="Z96" s="44">
        <f>IFERROR(SUMIF('8店辅助表'!T:T,B:B,'8店辅助表'!W:W),0)</f>
        <v>0</v>
      </c>
      <c r="AA96" s="44">
        <f>IFERROR(SUMIF('8店辅助表'!AC:AC,B:B,'8店辅助表'!AF:AF),0)</f>
        <v>0</v>
      </c>
      <c r="AB96" s="91" t="str">
        <f>IFERROR(SUMIF('8店辅助表'!K:K,B:B,'8店辅助表'!N:N)/SUMIF('8店辅助表'!K:K,B:B,'8店辅助表'!O:O),"-")</f>
        <v>-</v>
      </c>
      <c r="AC96" s="91" t="str">
        <f>IFERROR(VLOOKUP(B:B,'[1]8店'!$B:$AB,27,FALSE),"-")</f>
        <v>-</v>
      </c>
      <c r="AD96" s="92" t="str">
        <f t="shared" si="49"/>
        <v>-</v>
      </c>
      <c r="AE96" s="91" t="str">
        <f>IFERROR(SUMIF('8店辅助表'!T:T,B:B,'8店辅助表'!W:W)/SUMIF('8店辅助表'!T:T,B:B,'8店辅助表'!X:X),"-")</f>
        <v>-</v>
      </c>
      <c r="AF96" s="91" t="str">
        <f>IFERROR(SUMIF('8店辅助表'!AC:AC,B:B,'8店辅助表'!AF:AF)/SUMIF('8店辅助表'!AC:AC,B:B,'8店辅助表'!AG:AG),"-")</f>
        <v>-</v>
      </c>
      <c r="AG96" s="99">
        <f>IFERROR(AK96/((SUMIF('8店辅助表'!AT:AT,B:B,'8店辅助表'!AU:AU)+M96)/2),"-")</f>
        <v>0</v>
      </c>
      <c r="AH96" s="99">
        <f>IFERROR(AL96/((SUMIF('8店辅助表'!AW:AW,B:B,'8店辅助表'!AX:AX)+M96)/2),"-")</f>
        <v>0</v>
      </c>
      <c r="AI96" s="100" t="str">
        <f>IFERROR((SUMIF('8店辅助表'!AP:AP,B:B,'8店辅助表'!AR:AR)-SUMIF('8店辅助表'!AP:AP,B:B,'8店辅助表'!AR:AR)*0.15-(L96+IFERROR(VLOOKUP(B:B,'8店辅助表'!AZ:BA,2,0),0))*O96-IF(AN:AN="US",6.85,4.9)*(Z96+4.03*O96))/SUMIF('8店辅助表'!AP:AP,B:B,'8店辅助表'!AR:AR),"-")</f>
        <v>-</v>
      </c>
      <c r="AJ96" s="100" t="str">
        <f t="shared" si="50"/>
        <v>-</v>
      </c>
      <c r="AK96" s="101">
        <f t="shared" si="51"/>
        <v>0</v>
      </c>
      <c r="AL96" s="101">
        <f t="shared" si="52"/>
        <v>0</v>
      </c>
      <c r="AM96" s="1" t="str">
        <f>VLOOKUP(B:B,'8店辅助表'!AZ:AZ,1,FALSE)</f>
        <v>Y8099</v>
      </c>
      <c r="AN96" t="str">
        <f>VLOOKUP(B:B,'8店辅助表'!AZ:BB,3,FALSE)</f>
        <v>US</v>
      </c>
    </row>
    <row r="97" customHeight="1" spans="1:40">
      <c r="A97" s="58" t="s">
        <v>1786</v>
      </c>
      <c r="B97" s="116" t="s">
        <v>2995</v>
      </c>
      <c r="C97" s="45" t="s">
        <v>2996</v>
      </c>
      <c r="D97" s="59">
        <v>45217</v>
      </c>
      <c r="E97" s="45" t="s">
        <v>2997</v>
      </c>
      <c r="F97" s="45">
        <v>9</v>
      </c>
      <c r="G97" s="45">
        <v>0</v>
      </c>
      <c r="H97" s="45">
        <v>0</v>
      </c>
      <c r="I97" s="45">
        <v>0</v>
      </c>
      <c r="J97" s="45">
        <v>0</v>
      </c>
      <c r="K97" s="63">
        <f t="shared" si="42"/>
        <v>9</v>
      </c>
      <c r="L97" s="124">
        <v>4</v>
      </c>
      <c r="M97" s="44">
        <f t="shared" si="41"/>
        <v>36</v>
      </c>
      <c r="N97" s="65">
        <f>IFERROR(VLOOKUP(B:B,'8店辅助表'!B:C,2,FALSE),0)</f>
        <v>0</v>
      </c>
      <c r="O97" s="65">
        <f>IFERROR(VLOOKUP(B:B,'8店辅助表'!E:F,2,FALSE),0)</f>
        <v>0</v>
      </c>
      <c r="P97" s="65">
        <f>IFERROR(VLOOKUP(B:B,'8店辅助表'!H:I,2,FALSE),0)</f>
        <v>0</v>
      </c>
      <c r="Q97" s="65">
        <f>IFERROR(VLOOKUP(B:B,'[1]8店'!$B:$N,13,FALSE),0)</f>
        <v>0</v>
      </c>
      <c r="R97" s="79">
        <f t="shared" si="43"/>
        <v>0</v>
      </c>
      <c r="S97" s="80" t="str">
        <f t="shared" si="44"/>
        <v>-</v>
      </c>
      <c r="T97" s="44" t="str">
        <f t="shared" si="45"/>
        <v>-</v>
      </c>
      <c r="U97" s="44" t="str">
        <f>IFERROR(VLOOKUP(B:B,'[1]8店'!$B:$T,19,0),"-")</f>
        <v>-</v>
      </c>
      <c r="V97" s="81" t="str">
        <f t="shared" si="46"/>
        <v>-</v>
      </c>
      <c r="W97" s="82" t="str">
        <f t="shared" si="47"/>
        <v>本月刚到货</v>
      </c>
      <c r="X97" s="83" t="str">
        <f t="shared" si="48"/>
        <v>本月刚到货</v>
      </c>
      <c r="Y97" s="44">
        <f>IFERROR(SUMIF('8店辅助表'!K:K,B:B,'8店辅助表'!N:N),0)</f>
        <v>0.46</v>
      </c>
      <c r="Z97" s="44">
        <f>IFERROR(SUMIF('8店辅助表'!T:T,B:B,'8店辅助表'!W:W),0)</f>
        <v>0.46</v>
      </c>
      <c r="AA97" s="44">
        <f>IFERROR(SUMIF('8店辅助表'!AC:AC,B:B,'8店辅助表'!AF:AF),0)</f>
        <v>0.46</v>
      </c>
      <c r="AB97" s="91" t="str">
        <f>IFERROR(SUMIF('8店辅助表'!K:K,B:B,'8店辅助表'!N:N)/SUMIF('8店辅助表'!K:K,B:B,'8店辅助表'!O:O),"-")</f>
        <v>-</v>
      </c>
      <c r="AC97" s="91" t="str">
        <f>IFERROR(VLOOKUP(B:B,'[1]8店'!$B:$AB,27,FALSE),"-")</f>
        <v>-</v>
      </c>
      <c r="AD97" s="92" t="str">
        <f t="shared" si="49"/>
        <v>-</v>
      </c>
      <c r="AE97" s="91" t="str">
        <f>IFERROR(SUMIF('8店辅助表'!T:T,B:B,'8店辅助表'!W:W)/SUMIF('8店辅助表'!T:T,B:B,'8店辅助表'!X:X),"-")</f>
        <v>-</v>
      </c>
      <c r="AF97" s="91" t="str">
        <f>IFERROR(SUMIF('8店辅助表'!AC:AC,B:B,'8店辅助表'!AF:AF)/SUMIF('8店辅助表'!AC:AC,B:B,'8店辅助表'!AG:AG),"-")</f>
        <v>-</v>
      </c>
      <c r="AG97" s="99">
        <f>IFERROR(AK97/((SUMIF('8店辅助表'!AT:AT,B:B,'8店辅助表'!AU:AU)+M97)/2),"-")</f>
        <v>0</v>
      </c>
      <c r="AH97" s="99">
        <f>IFERROR(AL97/((SUMIF('8店辅助表'!AW:AW,B:B,'8店辅助表'!AX:AX)+M97)/2),"-")</f>
        <v>0</v>
      </c>
      <c r="AI97" s="100" t="str">
        <f>IFERROR((SUMIF('8店辅助表'!AP:AP,B:B,'8店辅助表'!AR:AR)-SUMIF('8店辅助表'!AP:AP,B:B,'8店辅助表'!AR:AR)*0.15-(L97+IFERROR(VLOOKUP(B:B,'8店辅助表'!AZ:BA,2,0),0))*O97-IF(AN:AN="US",6.85,4.9)*(Z97+4.03*O97))/SUMIF('8店辅助表'!AP:AP,B:B,'8店辅助表'!AR:AR),"-")</f>
        <v>-</v>
      </c>
      <c r="AJ97" s="100" t="str">
        <f t="shared" si="50"/>
        <v>-</v>
      </c>
      <c r="AK97" s="101">
        <f t="shared" si="51"/>
        <v>0</v>
      </c>
      <c r="AL97" s="101">
        <f t="shared" si="52"/>
        <v>0</v>
      </c>
      <c r="AM97" s="1" t="str">
        <f>VLOOKUP(B:B,'8店辅助表'!AZ:AZ,1,FALSE)</f>
        <v>Y8101-1</v>
      </c>
      <c r="AN97" t="str">
        <f>VLOOKUP(B:B,'8店辅助表'!AZ:BB,3,FALSE)</f>
        <v>US</v>
      </c>
    </row>
    <row r="98" customHeight="1" spans="1:40">
      <c r="A98" s="58" t="s">
        <v>1786</v>
      </c>
      <c r="B98" s="116" t="s">
        <v>2998</v>
      </c>
      <c r="C98" s="45" t="s">
        <v>2999</v>
      </c>
      <c r="D98" s="59">
        <v>45217</v>
      </c>
      <c r="E98" s="45" t="s">
        <v>3000</v>
      </c>
      <c r="F98" s="45">
        <v>9</v>
      </c>
      <c r="G98" s="45">
        <v>0</v>
      </c>
      <c r="H98" s="45">
        <v>0</v>
      </c>
      <c r="I98" s="45">
        <v>0</v>
      </c>
      <c r="J98" s="45">
        <v>0</v>
      </c>
      <c r="K98" s="63">
        <f t="shared" si="42"/>
        <v>9</v>
      </c>
      <c r="L98" s="124">
        <v>16</v>
      </c>
      <c r="M98" s="44">
        <f t="shared" si="41"/>
        <v>144</v>
      </c>
      <c r="N98" s="65">
        <f>IFERROR(VLOOKUP(B:B,'8店辅助表'!B:C,2,FALSE),0)</f>
        <v>0</v>
      </c>
      <c r="O98" s="65">
        <f>IFERROR(VLOOKUP(B:B,'8店辅助表'!E:F,2,FALSE),0)</f>
        <v>0</v>
      </c>
      <c r="P98" s="65">
        <f>IFERROR(VLOOKUP(B:B,'8店辅助表'!H:I,2,FALSE),0)</f>
        <v>0</v>
      </c>
      <c r="Q98" s="65">
        <f>IFERROR(VLOOKUP(B:B,'[1]8店'!$B:$N,13,FALSE),0)</f>
        <v>0</v>
      </c>
      <c r="R98" s="79">
        <f t="shared" si="43"/>
        <v>0</v>
      </c>
      <c r="S98" s="80" t="str">
        <f t="shared" si="44"/>
        <v>-</v>
      </c>
      <c r="T98" s="44" t="str">
        <f t="shared" si="45"/>
        <v>-</v>
      </c>
      <c r="U98" s="44" t="str">
        <f>IFERROR(VLOOKUP(B:B,'[1]8店'!$B:$T,19,0),"-")</f>
        <v>-</v>
      </c>
      <c r="V98" s="81" t="str">
        <f t="shared" si="46"/>
        <v>-</v>
      </c>
      <c r="W98" s="82" t="str">
        <f t="shared" si="47"/>
        <v>本月刚到货</v>
      </c>
      <c r="X98" s="83" t="str">
        <f t="shared" si="48"/>
        <v>本月刚到货</v>
      </c>
      <c r="Y98" s="44">
        <f>IFERROR(SUMIF('8店辅助表'!K:K,B:B,'8店辅助表'!N:N),0)</f>
        <v>0</v>
      </c>
      <c r="Z98" s="44">
        <f>IFERROR(SUMIF('8店辅助表'!T:T,B:B,'8店辅助表'!W:W),0)</f>
        <v>0</v>
      </c>
      <c r="AA98" s="44">
        <f>IFERROR(SUMIF('8店辅助表'!AC:AC,B:B,'8店辅助表'!AF:AF),0)</f>
        <v>0</v>
      </c>
      <c r="AB98" s="91" t="str">
        <f>IFERROR(SUMIF('8店辅助表'!K:K,B:B,'8店辅助表'!N:N)/SUMIF('8店辅助表'!K:K,B:B,'8店辅助表'!O:O),"-")</f>
        <v>-</v>
      </c>
      <c r="AC98" s="91" t="str">
        <f>IFERROR(VLOOKUP(B:B,'[1]8店'!$B:$AB,27,FALSE),"-")</f>
        <v>-</v>
      </c>
      <c r="AD98" s="92" t="str">
        <f t="shared" si="49"/>
        <v>-</v>
      </c>
      <c r="AE98" s="91" t="str">
        <f>IFERROR(SUMIF('8店辅助表'!T:T,B:B,'8店辅助表'!W:W)/SUMIF('8店辅助表'!T:T,B:B,'8店辅助表'!X:X),"-")</f>
        <v>-</v>
      </c>
      <c r="AF98" s="91" t="str">
        <f>IFERROR(SUMIF('8店辅助表'!AC:AC,B:B,'8店辅助表'!AF:AF)/SUMIF('8店辅助表'!AC:AC,B:B,'8店辅助表'!AG:AG),"-")</f>
        <v>-</v>
      </c>
      <c r="AG98" s="99">
        <f>IFERROR(AK98/((SUMIF('8店辅助表'!AT:AT,B:B,'8店辅助表'!AU:AU)+M98)/2),"-")</f>
        <v>0</v>
      </c>
      <c r="AH98" s="99">
        <f>IFERROR(AL98/((SUMIF('8店辅助表'!AW:AW,B:B,'8店辅助表'!AX:AX)+M98)/2),"-")</f>
        <v>0</v>
      </c>
      <c r="AI98" s="100" t="str">
        <f>IFERROR((SUMIF('8店辅助表'!AP:AP,B:B,'8店辅助表'!AR:AR)-SUMIF('8店辅助表'!AP:AP,B:B,'8店辅助表'!AR:AR)*0.15-(L98+IFERROR(VLOOKUP(B:B,'8店辅助表'!AZ:BA,2,0),0))*O98-IF(AN:AN="US",6.85,4.9)*(Z98+4.03*O98))/SUMIF('8店辅助表'!AP:AP,B:B,'8店辅助表'!AR:AR),"-")</f>
        <v>-</v>
      </c>
      <c r="AJ98" s="100" t="str">
        <f t="shared" si="50"/>
        <v>-</v>
      </c>
      <c r="AK98" s="101">
        <f t="shared" si="51"/>
        <v>0</v>
      </c>
      <c r="AL98" s="101">
        <f t="shared" si="52"/>
        <v>0</v>
      </c>
      <c r="AM98" s="1" t="str">
        <f>VLOOKUP(B:B,'8店辅助表'!AZ:AZ,1,FALSE)</f>
        <v>Y8101-4</v>
      </c>
      <c r="AN98" t="str">
        <f>VLOOKUP(B:B,'8店辅助表'!AZ:BB,3,FALSE)</f>
        <v>US</v>
      </c>
    </row>
    <row r="99" customHeight="1" spans="1:40">
      <c r="A99" s="58" t="s">
        <v>1786</v>
      </c>
      <c r="B99" s="116" t="s">
        <v>3001</v>
      </c>
      <c r="C99" s="45" t="s">
        <v>3002</v>
      </c>
      <c r="D99" s="59">
        <v>45217</v>
      </c>
      <c r="E99" s="45" t="s">
        <v>3003</v>
      </c>
      <c r="F99" s="45">
        <v>0</v>
      </c>
      <c r="G99" s="45">
        <v>0</v>
      </c>
      <c r="H99" s="45">
        <v>9</v>
      </c>
      <c r="I99" s="45">
        <v>0</v>
      </c>
      <c r="J99" s="45">
        <v>0</v>
      </c>
      <c r="K99" s="63">
        <f t="shared" si="42"/>
        <v>9</v>
      </c>
      <c r="L99" s="124">
        <v>40</v>
      </c>
      <c r="M99" s="44">
        <f t="shared" si="41"/>
        <v>360</v>
      </c>
      <c r="N99" s="65">
        <f>IFERROR(VLOOKUP(B:B,'8店辅助表'!B:C,2,FALSE),0)</f>
        <v>0</v>
      </c>
      <c r="O99" s="65">
        <f>IFERROR(VLOOKUP(B:B,'8店辅助表'!E:F,2,FALSE),0)</f>
        <v>0</v>
      </c>
      <c r="P99" s="65">
        <f>IFERROR(VLOOKUP(B:B,'8店辅助表'!H:I,2,FALSE),0)</f>
        <v>0</v>
      </c>
      <c r="Q99" s="65">
        <f>IFERROR(VLOOKUP(B:B,'[1]8店'!$B:$N,13,FALSE),0)</f>
        <v>0</v>
      </c>
      <c r="R99" s="79">
        <f t="shared" si="43"/>
        <v>0</v>
      </c>
      <c r="S99" s="80" t="str">
        <f t="shared" si="44"/>
        <v>-</v>
      </c>
      <c r="T99" s="44" t="str">
        <f t="shared" si="45"/>
        <v>-</v>
      </c>
      <c r="U99" s="44" t="str">
        <f>IFERROR(VLOOKUP(B:B,'[1]8店'!$B:$T,19,0),"-")</f>
        <v>-</v>
      </c>
      <c r="V99" s="81" t="str">
        <f t="shared" si="46"/>
        <v>-</v>
      </c>
      <c r="W99" s="82" t="str">
        <f t="shared" si="47"/>
        <v>本月刚到货</v>
      </c>
      <c r="X99" s="83" t="str">
        <f t="shared" si="48"/>
        <v>本月刚到货</v>
      </c>
      <c r="Y99" s="44">
        <f>IFERROR(SUMIF('8店辅助表'!K:K,B:B,'8店辅助表'!N:N),0)</f>
        <v>0.32</v>
      </c>
      <c r="Z99" s="44">
        <f>IFERROR(SUMIF('8店辅助表'!T:T,B:B,'8店辅助表'!W:W),0)</f>
        <v>0.32</v>
      </c>
      <c r="AA99" s="44">
        <f>IFERROR(SUMIF('8店辅助表'!AC:AC,B:B,'8店辅助表'!AF:AF),0)</f>
        <v>0.32</v>
      </c>
      <c r="AB99" s="91" t="str">
        <f>IFERROR(SUMIF('8店辅助表'!K:K,B:B,'8店辅助表'!N:N)/SUMIF('8店辅助表'!K:K,B:B,'8店辅助表'!O:O),"-")</f>
        <v>-</v>
      </c>
      <c r="AC99" s="91" t="str">
        <f>IFERROR(VLOOKUP(B:B,'[1]8店'!$B:$AB,27,FALSE),"-")</f>
        <v>-</v>
      </c>
      <c r="AD99" s="92" t="str">
        <f t="shared" si="49"/>
        <v>-</v>
      </c>
      <c r="AE99" s="91" t="str">
        <f>IFERROR(SUMIF('8店辅助表'!T:T,B:B,'8店辅助表'!W:W)/SUMIF('8店辅助表'!T:T,B:B,'8店辅助表'!X:X),"-")</f>
        <v>-</v>
      </c>
      <c r="AF99" s="91" t="str">
        <f>IFERROR(SUMIF('8店辅助表'!AC:AC,B:B,'8店辅助表'!AF:AF)/SUMIF('8店辅助表'!AC:AC,B:B,'8店辅助表'!AG:AG),"-")</f>
        <v>-</v>
      </c>
      <c r="AG99" s="99">
        <f>IFERROR(AK99/((SUMIF('8店辅助表'!AT:AT,B:B,'8店辅助表'!AU:AU)+M99)/2),"-")</f>
        <v>0</v>
      </c>
      <c r="AH99" s="99">
        <f>IFERROR(AL99/((SUMIF('8店辅助表'!AW:AW,B:B,'8店辅助表'!AX:AX)+M99)/2),"-")</f>
        <v>0</v>
      </c>
      <c r="AI99" s="100" t="str">
        <f>IFERROR((SUMIF('8店辅助表'!AP:AP,B:B,'8店辅助表'!AR:AR)-SUMIF('8店辅助表'!AP:AP,B:B,'8店辅助表'!AR:AR)*0.15-(L99+IFERROR(VLOOKUP(B:B,'8店辅助表'!AZ:BA,2,0),0))*O99-IF(AN:AN="US",6.85,4.9)*(Z99+4.03*O99))/SUMIF('8店辅助表'!AP:AP,B:B,'8店辅助表'!AR:AR),"-")</f>
        <v>-</v>
      </c>
      <c r="AJ99" s="100" t="str">
        <f t="shared" si="50"/>
        <v>-</v>
      </c>
      <c r="AK99" s="101">
        <f t="shared" si="51"/>
        <v>0</v>
      </c>
      <c r="AL99" s="101">
        <f t="shared" si="52"/>
        <v>0</v>
      </c>
      <c r="AM99" s="1" t="str">
        <f>VLOOKUP(B:B,'8店辅助表'!AZ:AZ,1,FALSE)</f>
        <v>Y8102-MU</v>
      </c>
      <c r="AN99" t="str">
        <f>VLOOKUP(B:B,'8店辅助表'!AZ:BB,3,FALSE)</f>
        <v>US</v>
      </c>
    </row>
  </sheetData>
  <autoFilter ref="A2:AP99">
    <extLst/>
  </autoFilter>
  <mergeCells count="3">
    <mergeCell ref="Y1:AF1"/>
    <mergeCell ref="AG1:AH1"/>
    <mergeCell ref="B3:E3"/>
  </mergeCells>
  <conditionalFormatting sqref="D2">
    <cfRule type="expression" dxfId="987" priority="79">
      <formula>(TODAY()-$D2)&lt;30</formula>
    </cfRule>
  </conditionalFormatting>
  <conditionalFormatting sqref="E2">
    <cfRule type="duplicateValues" dxfId="984" priority="80"/>
  </conditionalFormatting>
  <conditionalFormatting sqref="B3">
    <cfRule type="duplicateValues" dxfId="984" priority="84"/>
  </conditionalFormatting>
  <conditionalFormatting sqref="E3">
    <cfRule type="duplicateValues" dxfId="984" priority="83"/>
  </conditionalFormatting>
  <conditionalFormatting sqref="V3">
    <cfRule type="iconSet" priority="86">
      <iconSet iconSet="3Arrows">
        <cfvo type="percent" val="0"/>
        <cfvo type="num" val="0"/>
        <cfvo type="num" val="0" gte="0"/>
      </iconSet>
    </cfRule>
  </conditionalFormatting>
  <conditionalFormatting sqref="AD3">
    <cfRule type="iconSet" priority="85">
      <iconSet iconSet="3Arrows">
        <cfvo type="percent" val="0"/>
        <cfvo type="num" val="0"/>
        <cfvo type="num" val="0" gte="0"/>
      </iconSet>
    </cfRule>
  </conditionalFormatting>
  <conditionalFormatting sqref="AI3:AJ3">
    <cfRule type="cellIs" dxfId="986" priority="82" operator="lessThan">
      <formula>0</formula>
    </cfRule>
  </conditionalFormatting>
  <conditionalFormatting sqref="R4:R99">
    <cfRule type="iconSet" priority="90">
      <iconSet iconSet="3Arrows">
        <cfvo type="percent" val="0"/>
        <cfvo type="num" val="0"/>
        <cfvo type="num" val="0" gte="0"/>
      </iconSet>
    </cfRule>
  </conditionalFormatting>
  <conditionalFormatting sqref="V4:V99">
    <cfRule type="iconSet" priority="89">
      <iconSet iconSet="3Arrows">
        <cfvo type="percent" val="0"/>
        <cfvo type="num" val="0"/>
        <cfvo type="num" val="0" gte="0"/>
      </iconSet>
    </cfRule>
  </conditionalFormatting>
  <conditionalFormatting sqref="X4:X1048576">
    <cfRule type="expression" dxfId="985" priority="1">
      <formula>AND($X4="库存过高",$K4&gt;2,OR($V4&gt;=0,$V4="-"))</formula>
    </cfRule>
    <cfRule type="expression" dxfId="985" priority="2">
      <formula>AND($X4="有库存无销量",$K4&gt;2,OR($V4&gt;=0,$V4="-"))</formula>
    </cfRule>
  </conditionalFormatting>
  <conditionalFormatting sqref="Y4:Y99">
    <cfRule type="expression" dxfId="985" priority="3">
      <formula>AND($Y4&gt;3,$AB4=0)</formula>
    </cfRule>
  </conditionalFormatting>
  <conditionalFormatting sqref="AB4:AB99">
    <cfRule type="expression" dxfId="985" priority="4">
      <formula>AND($AB4&gt;30%,$AD4&gt;0,$AB4&lt;&gt;"-")</formula>
    </cfRule>
  </conditionalFormatting>
  <conditionalFormatting sqref="AD4:AD99">
    <cfRule type="iconSet" priority="88">
      <iconSet iconSet="3Arrows">
        <cfvo type="percent" val="0"/>
        <cfvo type="num" val="0"/>
        <cfvo type="num" val="0" gte="0"/>
      </iconSet>
    </cfRule>
  </conditionalFormatting>
  <conditionalFormatting sqref="AI4:AI99">
    <cfRule type="cellIs" dxfId="986" priority="5" operator="lessThan">
      <formula>25%</formula>
    </cfRule>
  </conditionalFormatting>
  <pageMargins left="0.75" right="0.75" top="1" bottom="1" header="0.5" footer="0.5"/>
  <headerFooter/>
  <extLst>
    <ext xmlns:x14="http://schemas.microsoft.com/office/spreadsheetml/2009/9/main" uri="{78C0D931-6437-407d-A8EE-F0AAD7539E65}">
      <x14:conditionalFormattings>
        <x14:conditionalFormatting xmlns:xm="http://schemas.microsoft.com/office/excel/2006/main">
          <x14:cfRule type="iconSet" priority="6" id="{56ab5f55-f85a-46f3-8173-9c30d934bfbc}">
            <x14:iconSet iconSet="3Arrows" custom="1">
              <x14:cfvo type="percent">
                <xm:f>0</xm:f>
              </x14:cfvo>
              <x14:cfvo type="num">
                <xm:f>0</xm:f>
              </x14:cfvo>
              <x14:cfvo type="num" gte="0">
                <xm:f>0</xm:f>
              </x14:cfvo>
              <x14:cfIcon iconSet="3Arrows" iconId="0"/>
              <x14:cfIcon iconSet="3Arrows" iconId="1"/>
              <x14:cfIcon iconSet="3Arrows" iconId="2"/>
            </x14:iconSet>
          </x14:cfRule>
          <xm:sqref>W4:W99</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B1:BB223"/>
  <sheetViews>
    <sheetView topLeftCell="AC1" workbookViewId="0">
      <pane ySplit="1" topLeftCell="A34" activePane="bottomLeft" state="frozen"/>
      <selection/>
      <selection pane="bottomLeft" activeCell="M8" sqref="M8"/>
    </sheetView>
  </sheetViews>
  <sheetFormatPr defaultColWidth="9" defaultRowHeight="12.9"/>
  <cols>
    <col min="1" max="1" width="9" style="1"/>
    <col min="2" max="2" width="11.6146788990826" style="1"/>
    <col min="3" max="3" width="25.4220183486239" style="1"/>
    <col min="4" max="4" width="9" style="1"/>
    <col min="5" max="5" width="11.6146788990826" style="1"/>
    <col min="6" max="6" width="25.4220183486239" style="1"/>
    <col min="7" max="7" width="9" style="1"/>
    <col min="8" max="8" width="11.6146788990826" style="1"/>
    <col min="9" max="9" width="25.4220183486239" style="1"/>
    <col min="10" max="10" width="9" style="1"/>
    <col min="11" max="11" width="11.6146788990826" style="1"/>
    <col min="12" max="14" width="14.3302752293578" style="1" customWidth="1"/>
    <col min="15" max="15" width="19.9449541284404" style="1" customWidth="1"/>
    <col min="16" max="16" width="23.9174311926606" style="1"/>
    <col min="17" max="18" width="15.9449541284404" style="2" customWidth="1"/>
    <col min="19" max="19" width="9" style="1"/>
    <col min="20" max="20" width="11.6146788990826" style="1"/>
    <col min="21" max="23" width="14.0733944954128" style="1" customWidth="1"/>
    <col min="24" max="24" width="17.4495412844037" style="1" customWidth="1"/>
    <col min="25" max="25" width="23.9174311926606" style="1"/>
    <col min="26" max="27" width="15.5688073394495" style="2" customWidth="1"/>
    <col min="28" max="28" width="10.0917431192661" style="1" customWidth="1"/>
    <col min="29" max="29" width="11.6146788990826" style="1"/>
    <col min="30" max="32" width="14.2018348623853" style="1" customWidth="1"/>
    <col min="33" max="33" width="19.4403669724771" style="1" customWidth="1"/>
    <col min="34" max="34" width="23.9174311926606" style="1"/>
    <col min="35" max="36" width="17.9357798165138" style="2" customWidth="1"/>
    <col min="37" max="37" width="10.0917431192661" style="2" customWidth="1"/>
    <col min="39" max="39" width="10.4954128440367"/>
    <col min="40" max="40" width="10.0917431192661" style="2" customWidth="1"/>
    <col min="41" max="41" width="9.22018348623853" style="1" customWidth="1"/>
    <col min="43" max="43" width="10.4954128440367"/>
    <col min="44" max="44" width="11.6146788990826" style="1"/>
    <col min="45" max="45" width="9" style="1"/>
    <col min="46" max="46" width="12.2110091743119" customWidth="1"/>
    <col min="47" max="47" width="12.0917431192661" customWidth="1"/>
    <col min="49" max="49" width="12.2110091743119" customWidth="1"/>
    <col min="50" max="50" width="12.0917431192661" customWidth="1"/>
    <col min="51" max="51" width="9" style="1"/>
    <col min="52" max="52" width="13.0917431192661" style="106" customWidth="1"/>
    <col min="53" max="53" width="14.8073394495413" style="106" customWidth="1"/>
    <col min="54" max="16384" width="9" style="1"/>
  </cols>
  <sheetData>
    <row r="1" spans="2:50">
      <c r="B1" t="s">
        <v>408</v>
      </c>
      <c r="C1" t="s">
        <v>409</v>
      </c>
      <c r="E1" t="s">
        <v>408</v>
      </c>
      <c r="F1" t="s">
        <v>409</v>
      </c>
      <c r="H1" t="s">
        <v>408</v>
      </c>
      <c r="I1" t="s">
        <v>409</v>
      </c>
      <c r="K1" t="s">
        <v>410</v>
      </c>
      <c r="L1" t="s">
        <v>411</v>
      </c>
      <c r="M1" t="s">
        <v>412</v>
      </c>
      <c r="N1" t="s">
        <v>413</v>
      </c>
      <c r="O1" t="s">
        <v>414</v>
      </c>
      <c r="P1" t="s">
        <v>415</v>
      </c>
      <c r="Q1" s="31" t="s">
        <v>416</v>
      </c>
      <c r="R1" s="31" t="s">
        <v>417</v>
      </c>
      <c r="T1" t="s">
        <v>410</v>
      </c>
      <c r="U1" t="s">
        <v>411</v>
      </c>
      <c r="V1" t="s">
        <v>412</v>
      </c>
      <c r="W1" t="s">
        <v>413</v>
      </c>
      <c r="X1" t="s">
        <v>414</v>
      </c>
      <c r="Y1" t="s">
        <v>415</v>
      </c>
      <c r="Z1" s="31" t="s">
        <v>418</v>
      </c>
      <c r="AA1" s="31" t="s">
        <v>419</v>
      </c>
      <c r="AC1" t="s">
        <v>410</v>
      </c>
      <c r="AD1" t="s">
        <v>411</v>
      </c>
      <c r="AE1" t="s">
        <v>412</v>
      </c>
      <c r="AF1" t="s">
        <v>413</v>
      </c>
      <c r="AG1" t="s">
        <v>414</v>
      </c>
      <c r="AH1" t="s">
        <v>415</v>
      </c>
      <c r="AI1" s="31" t="s">
        <v>420</v>
      </c>
      <c r="AJ1" s="31" t="s">
        <v>421</v>
      </c>
      <c r="AK1" s="32" t="s">
        <v>422</v>
      </c>
      <c r="AL1" s="29" t="s">
        <v>408</v>
      </c>
      <c r="AM1" s="29" t="s">
        <v>423</v>
      </c>
      <c r="AN1" s="1"/>
      <c r="AO1" s="32" t="s">
        <v>424</v>
      </c>
      <c r="AP1" s="29" t="s">
        <v>408</v>
      </c>
      <c r="AQ1" s="29" t="s">
        <v>423</v>
      </c>
      <c r="AS1" s="1">
        <v>6.85</v>
      </c>
      <c r="AT1" s="35">
        <v>94</v>
      </c>
      <c r="AU1" s="36"/>
      <c r="AV1" s="35"/>
      <c r="AW1" s="35">
        <v>101</v>
      </c>
      <c r="AX1" s="36"/>
    </row>
    <row r="2" spans="2:50">
      <c r="B2" t="s">
        <v>426</v>
      </c>
      <c r="C2"/>
      <c r="E2" t="s">
        <v>426</v>
      </c>
      <c r="F2"/>
      <c r="G2" s="1" t="e">
        <f>VLOOKUP(E:E,'8店'!$B:$B,1,0)</f>
        <v>#N/A</v>
      </c>
      <c r="H2" t="s">
        <v>426</v>
      </c>
      <c r="I2"/>
      <c r="J2" s="1" t="e">
        <f>VLOOKUP(H:H,'8店'!$B:$B,1,0)</f>
        <v>#N/A</v>
      </c>
      <c r="K2" t="s">
        <v>426</v>
      </c>
      <c r="L2"/>
      <c r="M2"/>
      <c r="N2"/>
      <c r="O2"/>
      <c r="P2"/>
      <c r="Q2" s="31">
        <v>0</v>
      </c>
      <c r="R2" s="31">
        <v>0</v>
      </c>
      <c r="S2" s="1" t="e">
        <f>VLOOKUP(K:K,'8店'!$B:$B,1,0)</f>
        <v>#N/A</v>
      </c>
      <c r="T2" t="s">
        <v>426</v>
      </c>
      <c r="U2"/>
      <c r="V2"/>
      <c r="W2"/>
      <c r="X2"/>
      <c r="Y2"/>
      <c r="Z2" s="31">
        <v>0</v>
      </c>
      <c r="AA2" s="31">
        <v>0</v>
      </c>
      <c r="AB2" s="1" t="e">
        <f>VLOOKUP(T:T,'8店'!$B:$B,1,0)</f>
        <v>#N/A</v>
      </c>
      <c r="AC2" t="s">
        <v>426</v>
      </c>
      <c r="AD2"/>
      <c r="AE2"/>
      <c r="AF2"/>
      <c r="AG2"/>
      <c r="AH2"/>
      <c r="AI2" s="31">
        <v>0</v>
      </c>
      <c r="AJ2" s="31">
        <v>0</v>
      </c>
      <c r="AK2" s="1" t="e">
        <f>VLOOKUP(AC:AC,'8店'!$B:$B,1,0)</f>
        <v>#N/A</v>
      </c>
      <c r="AL2" s="29" t="s">
        <v>2781</v>
      </c>
      <c r="AM2" s="33">
        <v>2399</v>
      </c>
      <c r="AN2" s="1">
        <f>AM2*$AS$1</f>
        <v>16433.15</v>
      </c>
      <c r="AP2" s="29" t="s">
        <v>2781</v>
      </c>
      <c r="AQ2" s="33">
        <v>4390.17</v>
      </c>
      <c r="AR2" s="1">
        <f>AQ2*$AS$1</f>
        <v>30072.6645</v>
      </c>
      <c r="AT2" s="37" t="s">
        <v>10</v>
      </c>
      <c r="AU2" s="38" t="s">
        <v>21</v>
      </c>
      <c r="AV2" s="39"/>
      <c r="AW2" s="37" t="s">
        <v>10</v>
      </c>
      <c r="AX2" s="38" t="s">
        <v>21</v>
      </c>
    </row>
    <row r="3" spans="2:53">
      <c r="B3" t="s">
        <v>2799</v>
      </c>
      <c r="C3">
        <v>89</v>
      </c>
      <c r="D3" s="1" t="str">
        <f>VLOOKUP(B:B,'8店'!$B:$B,1,0)</f>
        <v>Y8009-BA-1</v>
      </c>
      <c r="E3" t="s">
        <v>2799</v>
      </c>
      <c r="F3">
        <v>187</v>
      </c>
      <c r="G3" s="1" t="str">
        <f>VLOOKUP(E:E,'8店'!$B:$B,1,0)</f>
        <v>Y8009-BA-1</v>
      </c>
      <c r="H3" t="s">
        <v>2799</v>
      </c>
      <c r="I3">
        <v>389</v>
      </c>
      <c r="J3" s="1" t="str">
        <f>VLOOKUP(H:H,'8店'!$B:$B,1,0)</f>
        <v>Y8009-BA-1</v>
      </c>
      <c r="K3" t="s">
        <v>2773</v>
      </c>
      <c r="L3">
        <v>3215</v>
      </c>
      <c r="M3">
        <v>19</v>
      </c>
      <c r="N3">
        <v>4.37</v>
      </c>
      <c r="O3">
        <v>16.99</v>
      </c>
      <c r="P3">
        <v>1</v>
      </c>
      <c r="Q3" s="31">
        <v>0.257210123602119</v>
      </c>
      <c r="R3" s="31">
        <v>0.0526315789473684</v>
      </c>
      <c r="S3" s="1" t="str">
        <f>VLOOKUP(K:K,'8店'!$B:$B,1,0)</f>
        <v>Y8002-GR</v>
      </c>
      <c r="T3" t="s">
        <v>2773</v>
      </c>
      <c r="U3">
        <v>6502</v>
      </c>
      <c r="V3">
        <v>41</v>
      </c>
      <c r="W3">
        <v>10.12</v>
      </c>
      <c r="X3">
        <v>16.99</v>
      </c>
      <c r="Y3">
        <v>1</v>
      </c>
      <c r="Z3" s="31">
        <v>0.595644496762802</v>
      </c>
      <c r="AA3" s="31">
        <v>0.024390243902439</v>
      </c>
      <c r="AB3" s="1" t="str">
        <f>VLOOKUP(T:T,'8店'!$B:$B,1,0)</f>
        <v>Y8002-GR</v>
      </c>
      <c r="AC3" t="s">
        <v>2773</v>
      </c>
      <c r="AD3">
        <v>12806</v>
      </c>
      <c r="AE3">
        <v>108</v>
      </c>
      <c r="AF3">
        <v>25.41</v>
      </c>
      <c r="AG3">
        <v>117.63</v>
      </c>
      <c r="AH3">
        <v>7</v>
      </c>
      <c r="AI3" s="31">
        <v>0.216016322366743</v>
      </c>
      <c r="AJ3" s="31">
        <v>0.0648148148148148</v>
      </c>
      <c r="AK3" s="1" t="str">
        <f>VLOOKUP(AC:AC,'8店'!$B:$B,1,0)</f>
        <v>Y8002-GR</v>
      </c>
      <c r="AL3" s="29" t="s">
        <v>2825</v>
      </c>
      <c r="AM3" s="33">
        <v>1747.08</v>
      </c>
      <c r="AN3" s="1">
        <f>AM3*$AS$1</f>
        <v>11967.498</v>
      </c>
      <c r="AP3" s="29" t="s">
        <v>2799</v>
      </c>
      <c r="AQ3" s="33">
        <v>3532.14</v>
      </c>
      <c r="AR3" s="1">
        <f t="shared" ref="AR3:AR34" si="0">AQ3*$AS$1</f>
        <v>24195.159</v>
      </c>
      <c r="AT3" s="40" t="s">
        <v>48</v>
      </c>
      <c r="AU3" s="41">
        <v>74038.571</v>
      </c>
      <c r="AV3" s="42"/>
      <c r="AW3" s="40" t="s">
        <v>48</v>
      </c>
      <c r="AX3" s="41">
        <v>118662.706</v>
      </c>
      <c r="AZ3" s="110" t="s">
        <v>427</v>
      </c>
      <c r="BA3" s="111" t="s">
        <v>1823</v>
      </c>
    </row>
    <row r="4" ht="16.3" spans="2:54">
      <c r="B4" t="s">
        <v>2783</v>
      </c>
      <c r="C4">
        <v>26</v>
      </c>
      <c r="D4" s="1" t="str">
        <f>VLOOKUP(B:B,'8店'!$B:$B,1,0)</f>
        <v>Y8012</v>
      </c>
      <c r="E4" t="s">
        <v>2783</v>
      </c>
      <c r="F4">
        <v>61</v>
      </c>
      <c r="G4" s="1" t="str">
        <f>VLOOKUP(E:E,'8店'!$B:$B,1,0)</f>
        <v>Y8012</v>
      </c>
      <c r="H4" t="s">
        <v>2783</v>
      </c>
      <c r="I4">
        <v>120</v>
      </c>
      <c r="J4" s="1" t="str">
        <f>VLOOKUP(H:H,'8店'!$B:$B,1,0)</f>
        <v>Y8012</v>
      </c>
      <c r="K4" t="s">
        <v>2775</v>
      </c>
      <c r="L4">
        <v>19105</v>
      </c>
      <c r="M4">
        <v>41</v>
      </c>
      <c r="N4">
        <v>25.77</v>
      </c>
      <c r="O4">
        <v>0</v>
      </c>
      <c r="P4">
        <v>0</v>
      </c>
      <c r="Q4" s="31">
        <v>0</v>
      </c>
      <c r="R4" s="31">
        <v>0</v>
      </c>
      <c r="S4" s="1" t="str">
        <f>VLOOKUP(K:K,'8店'!$B:$B,1,0)</f>
        <v>Y8005</v>
      </c>
      <c r="T4" t="s">
        <v>2775</v>
      </c>
      <c r="U4">
        <v>25780</v>
      </c>
      <c r="V4">
        <v>50</v>
      </c>
      <c r="W4">
        <v>32.05</v>
      </c>
      <c r="X4">
        <v>24.99</v>
      </c>
      <c r="Y4">
        <v>1</v>
      </c>
      <c r="Z4" s="31">
        <v>1.28251300520208</v>
      </c>
      <c r="AA4" s="31">
        <v>0.02</v>
      </c>
      <c r="AB4" s="1" t="str">
        <f>VLOOKUP(T:T,'8店'!$B:$B,1,0)</f>
        <v>Y8005</v>
      </c>
      <c r="AC4" t="s">
        <v>2775</v>
      </c>
      <c r="AD4">
        <v>29222</v>
      </c>
      <c r="AE4">
        <v>63</v>
      </c>
      <c r="AF4">
        <v>37.49</v>
      </c>
      <c r="AG4">
        <v>24.99</v>
      </c>
      <c r="AH4">
        <v>1</v>
      </c>
      <c r="AI4" s="31">
        <v>1.50020008003201</v>
      </c>
      <c r="AJ4" s="31">
        <v>0.0158730158730159</v>
      </c>
      <c r="AK4" s="1" t="str">
        <f>VLOOKUP(AC:AC,'8店'!$B:$B,1,0)</f>
        <v>Y8005</v>
      </c>
      <c r="AL4" s="29" t="s">
        <v>2799</v>
      </c>
      <c r="AM4" s="33">
        <v>1690.11</v>
      </c>
      <c r="AN4" s="1">
        <f>AM4*$AS$1</f>
        <v>11577.2535</v>
      </c>
      <c r="AP4" s="29" t="s">
        <v>2825</v>
      </c>
      <c r="AQ4" s="33">
        <v>3492.26</v>
      </c>
      <c r="AR4" s="1">
        <f t="shared" si="0"/>
        <v>23921.981</v>
      </c>
      <c r="AT4" s="108" t="s">
        <v>2773</v>
      </c>
      <c r="AU4" s="44">
        <v>317.04</v>
      </c>
      <c r="AV4" s="35"/>
      <c r="AW4" s="108" t="s">
        <v>2773</v>
      </c>
      <c r="AX4" s="44">
        <v>369.88</v>
      </c>
      <c r="AZ4" s="112" t="s">
        <v>3004</v>
      </c>
      <c r="BA4" s="113">
        <v>1.071</v>
      </c>
      <c r="BB4" s="1" t="s">
        <v>430</v>
      </c>
    </row>
    <row r="5" ht="16.3" spans="2:54">
      <c r="B5" t="s">
        <v>2793</v>
      </c>
      <c r="C5">
        <v>20</v>
      </c>
      <c r="D5" s="1" t="str">
        <f>VLOOKUP(B:B,'8店'!$B:$B,1,0)</f>
        <v>Y8009-RD</v>
      </c>
      <c r="E5" t="s">
        <v>2789</v>
      </c>
      <c r="F5">
        <v>15</v>
      </c>
      <c r="G5" s="1" t="str">
        <f>VLOOKUP(E:E,'8店'!$B:$B,1,0)</f>
        <v>Y8016-GR</v>
      </c>
      <c r="H5" t="s">
        <v>2789</v>
      </c>
      <c r="I5">
        <v>22</v>
      </c>
      <c r="J5" s="1" t="str">
        <f>VLOOKUP(H:H,'8店'!$B:$B,1,0)</f>
        <v>Y8016-GR</v>
      </c>
      <c r="K5" t="s">
        <v>2781</v>
      </c>
      <c r="L5">
        <v>35156</v>
      </c>
      <c r="M5">
        <v>337</v>
      </c>
      <c r="N5">
        <v>81.14</v>
      </c>
      <c r="O5">
        <v>959.6</v>
      </c>
      <c r="P5">
        <v>40</v>
      </c>
      <c r="Q5" s="31">
        <v>0.0845560650270946</v>
      </c>
      <c r="R5" s="31">
        <v>0.118694362017804</v>
      </c>
      <c r="S5" s="1" t="str">
        <f>VLOOKUP(K:K,'8店'!$B:$B,1,0)</f>
        <v>Y8010</v>
      </c>
      <c r="T5" t="s">
        <v>2781</v>
      </c>
      <c r="U5">
        <v>68751</v>
      </c>
      <c r="V5">
        <v>666</v>
      </c>
      <c r="W5">
        <v>166.03</v>
      </c>
      <c r="X5">
        <v>2034.15</v>
      </c>
      <c r="Y5">
        <v>83</v>
      </c>
      <c r="Z5" s="31">
        <v>0.0816213160288081</v>
      </c>
      <c r="AA5" s="31">
        <v>0.124624624624625</v>
      </c>
      <c r="AB5" s="1" t="str">
        <f>VLOOKUP(T:T,'8店'!$B:$B,1,0)</f>
        <v>Y8010</v>
      </c>
      <c r="AC5" t="s">
        <v>3005</v>
      </c>
      <c r="AD5">
        <v>2607</v>
      </c>
      <c r="AE5">
        <v>10</v>
      </c>
      <c r="AF5">
        <v>5.07</v>
      </c>
      <c r="AG5">
        <v>19.98</v>
      </c>
      <c r="AH5">
        <v>2</v>
      </c>
      <c r="AI5" s="31">
        <v>0.253753753753754</v>
      </c>
      <c r="AJ5" s="31">
        <v>0.2</v>
      </c>
      <c r="AK5" s="1" t="e">
        <f>VLOOKUP(AC:AC,'8店'!$B:$B,1,0)</f>
        <v>#N/A</v>
      </c>
      <c r="AL5" s="29" t="s">
        <v>2841</v>
      </c>
      <c r="AM5" s="33">
        <v>1295.28</v>
      </c>
      <c r="AN5" s="1">
        <f>AM5*$AS$1</f>
        <v>8872.668</v>
      </c>
      <c r="AP5" s="29" t="s">
        <v>2841</v>
      </c>
      <c r="AQ5" s="33">
        <v>2710.48</v>
      </c>
      <c r="AR5" s="1">
        <f t="shared" si="0"/>
        <v>18566.788</v>
      </c>
      <c r="AT5" s="108" t="s">
        <v>2775</v>
      </c>
      <c r="AU5" s="44">
        <v>2642.208</v>
      </c>
      <c r="AV5" s="35"/>
      <c r="AW5" s="108" t="s">
        <v>2775</v>
      </c>
      <c r="AX5" s="44">
        <v>2694.016</v>
      </c>
      <c r="AZ5" s="112" t="s">
        <v>2773</v>
      </c>
      <c r="BA5" s="113">
        <v>0.997</v>
      </c>
      <c r="BB5" s="1" t="s">
        <v>430</v>
      </c>
    </row>
    <row r="6" ht="16.3" spans="2:54">
      <c r="B6" t="s">
        <v>2787</v>
      </c>
      <c r="C6">
        <v>12</v>
      </c>
      <c r="D6" s="1" t="str">
        <f>VLOOKUP(B:B,'8店'!$B:$B,1,0)</f>
        <v>Y8015-RE</v>
      </c>
      <c r="E6" t="s">
        <v>2793</v>
      </c>
      <c r="F6">
        <v>45</v>
      </c>
      <c r="G6" s="1" t="str">
        <f>VLOOKUP(E:E,'8店'!$B:$B,1,0)</f>
        <v>Y8009-RD</v>
      </c>
      <c r="H6" t="s">
        <v>2787</v>
      </c>
      <c r="I6">
        <v>87</v>
      </c>
      <c r="J6" s="1" t="str">
        <f>VLOOKUP(H:H,'8店'!$B:$B,1,0)</f>
        <v>Y8015-RE</v>
      </c>
      <c r="K6" t="s">
        <v>2787</v>
      </c>
      <c r="L6">
        <v>10073</v>
      </c>
      <c r="M6">
        <v>50</v>
      </c>
      <c r="N6">
        <v>13.49</v>
      </c>
      <c r="O6">
        <v>33.98</v>
      </c>
      <c r="P6">
        <v>1</v>
      </c>
      <c r="Q6" s="31">
        <v>0.396998234255444</v>
      </c>
      <c r="R6" s="31">
        <v>0.02</v>
      </c>
      <c r="S6" s="1" t="str">
        <f>VLOOKUP(K:K,'8店'!$B:$B,1,0)</f>
        <v>Y8015-RE</v>
      </c>
      <c r="T6" t="s">
        <v>2787</v>
      </c>
      <c r="U6">
        <v>18933</v>
      </c>
      <c r="V6">
        <v>105</v>
      </c>
      <c r="W6">
        <v>27.89</v>
      </c>
      <c r="X6">
        <v>152.91</v>
      </c>
      <c r="Y6">
        <v>7</v>
      </c>
      <c r="Z6" s="31">
        <v>0.182394872800994</v>
      </c>
      <c r="AA6" s="31">
        <v>0.0666666666666667</v>
      </c>
      <c r="AB6" s="1" t="str">
        <f>VLOOKUP(T:T,'8店'!$B:$B,1,0)</f>
        <v>Y8015-RE</v>
      </c>
      <c r="AC6" t="s">
        <v>2781</v>
      </c>
      <c r="AD6">
        <v>121373</v>
      </c>
      <c r="AE6">
        <v>1213</v>
      </c>
      <c r="AF6">
        <v>301.32</v>
      </c>
      <c r="AG6">
        <v>3713.45</v>
      </c>
      <c r="AH6">
        <v>152</v>
      </c>
      <c r="AI6" s="31">
        <v>0.0811428725309348</v>
      </c>
      <c r="AJ6" s="31">
        <v>0.125309150865622</v>
      </c>
      <c r="AK6" s="1" t="str">
        <f>VLOOKUP(AC:AC,'8店'!$B:$B,1,0)</f>
        <v>Y8010</v>
      </c>
      <c r="AL6" s="29" t="s">
        <v>2843</v>
      </c>
      <c r="AM6" s="33">
        <v>1975.24</v>
      </c>
      <c r="AN6" s="1">
        <f>AM6*$AS$1</f>
        <v>13530.394</v>
      </c>
      <c r="AP6" s="29" t="s">
        <v>2795</v>
      </c>
      <c r="AQ6" s="33">
        <v>2848.5</v>
      </c>
      <c r="AR6" s="1">
        <f t="shared" si="0"/>
        <v>19512.225</v>
      </c>
      <c r="AT6" s="108" t="s">
        <v>2777</v>
      </c>
      <c r="AU6" s="44">
        <v>791.616</v>
      </c>
      <c r="AV6" s="35"/>
      <c r="AW6" s="108" t="s">
        <v>2777</v>
      </c>
      <c r="AX6" s="44">
        <v>1137.948</v>
      </c>
      <c r="AZ6" s="112" t="s">
        <v>3005</v>
      </c>
      <c r="BA6" s="113">
        <v>5.702</v>
      </c>
      <c r="BB6" s="1" t="s">
        <v>430</v>
      </c>
    </row>
    <row r="7" ht="16.3" spans="2:54">
      <c r="B7" t="s">
        <v>2789</v>
      </c>
      <c r="C7">
        <v>10</v>
      </c>
      <c r="D7" s="1" t="str">
        <f>VLOOKUP(B:B,'8店'!$B:$B,1,0)</f>
        <v>Y8016-GR</v>
      </c>
      <c r="E7" t="s">
        <v>2787</v>
      </c>
      <c r="F7">
        <v>43</v>
      </c>
      <c r="G7" s="1" t="str">
        <f>VLOOKUP(E:E,'8店'!$B:$B,1,0)</f>
        <v>Y8015-RE</v>
      </c>
      <c r="H7" t="s">
        <v>2793</v>
      </c>
      <c r="I7">
        <v>92</v>
      </c>
      <c r="J7" s="1" t="str">
        <f>VLOOKUP(H:H,'8店'!$B:$B,1,0)</f>
        <v>Y8009-RD</v>
      </c>
      <c r="K7" t="s">
        <v>2789</v>
      </c>
      <c r="L7">
        <v>11036</v>
      </c>
      <c r="M7">
        <v>50</v>
      </c>
      <c r="N7">
        <v>40.96</v>
      </c>
      <c r="O7">
        <v>131.95</v>
      </c>
      <c r="P7">
        <v>5</v>
      </c>
      <c r="Q7" s="31">
        <v>0.31042061386889</v>
      </c>
      <c r="R7" s="31">
        <v>0.1</v>
      </c>
      <c r="S7" s="1" t="str">
        <f>VLOOKUP(K:K,'8店'!$B:$B,1,0)</f>
        <v>Y8016-GR</v>
      </c>
      <c r="T7" t="s">
        <v>2789</v>
      </c>
      <c r="U7">
        <v>18947</v>
      </c>
      <c r="V7">
        <v>87</v>
      </c>
      <c r="W7">
        <v>72.02</v>
      </c>
      <c r="X7">
        <v>263.9</v>
      </c>
      <c r="Y7">
        <v>10</v>
      </c>
      <c r="Z7" s="31">
        <v>0.272906403940887</v>
      </c>
      <c r="AA7" s="31">
        <v>0.114942528735632</v>
      </c>
      <c r="AB7" s="1" t="str">
        <f>VLOOKUP(T:T,'8店'!$B:$B,1,0)</f>
        <v>Y8016-GR</v>
      </c>
      <c r="AC7" t="s">
        <v>2787</v>
      </c>
      <c r="AD7">
        <v>30924</v>
      </c>
      <c r="AE7">
        <v>185</v>
      </c>
      <c r="AF7">
        <v>50.09</v>
      </c>
      <c r="AG7">
        <v>288.83</v>
      </c>
      <c r="AH7">
        <v>15</v>
      </c>
      <c r="AI7" s="31">
        <v>0.173423813315791</v>
      </c>
      <c r="AJ7" s="31">
        <v>0.0810810810810811</v>
      </c>
      <c r="AK7" s="1" t="str">
        <f>VLOOKUP(AC:AC,'8店'!$B:$B,1,0)</f>
        <v>Y8015-RE</v>
      </c>
      <c r="AL7" s="29" t="s">
        <v>2795</v>
      </c>
      <c r="AM7" s="33">
        <v>1234.35</v>
      </c>
      <c r="AN7" s="1">
        <f t="shared" ref="AN7:AN40" si="1">AM7*$AS$1</f>
        <v>8455.2975</v>
      </c>
      <c r="AP7" s="29" t="s">
        <v>2815</v>
      </c>
      <c r="AQ7" s="33">
        <v>2214.23</v>
      </c>
      <c r="AR7" s="1">
        <f t="shared" si="0"/>
        <v>15167.4755</v>
      </c>
      <c r="AT7" s="108" t="s">
        <v>3005</v>
      </c>
      <c r="AU7" s="44">
        <v>0</v>
      </c>
      <c r="AV7" s="35"/>
      <c r="AW7" s="108" t="s">
        <v>3005</v>
      </c>
      <c r="AX7" s="44">
        <v>125.257</v>
      </c>
      <c r="AZ7" s="112" t="s">
        <v>2775</v>
      </c>
      <c r="BA7" s="113">
        <v>7.931</v>
      </c>
      <c r="BB7" s="1" t="s">
        <v>430</v>
      </c>
    </row>
    <row r="8" ht="16.3" spans="2:54">
      <c r="B8" t="s">
        <v>2785</v>
      </c>
      <c r="C8">
        <v>4</v>
      </c>
      <c r="D8" s="1" t="str">
        <f>VLOOKUP(B:B,'8店'!$B:$B,1,0)</f>
        <v>Y8015-GR</v>
      </c>
      <c r="E8" t="s">
        <v>2785</v>
      </c>
      <c r="F8">
        <v>10</v>
      </c>
      <c r="G8" s="1" t="str">
        <f>VLOOKUP(E:E,'8店'!$B:$B,1,0)</f>
        <v>Y8015-GR</v>
      </c>
      <c r="H8" t="s">
        <v>2785</v>
      </c>
      <c r="I8">
        <v>38</v>
      </c>
      <c r="J8" s="1" t="str">
        <f>VLOOKUP(H:H,'8店'!$B:$B,1,0)</f>
        <v>Y8015-GR</v>
      </c>
      <c r="K8" t="s">
        <v>2815</v>
      </c>
      <c r="L8">
        <v>11639</v>
      </c>
      <c r="M8">
        <v>131</v>
      </c>
      <c r="N8">
        <v>3.88</v>
      </c>
      <c r="O8">
        <v>208.89</v>
      </c>
      <c r="P8">
        <v>11</v>
      </c>
      <c r="Q8" s="31">
        <v>0.0185743692852698</v>
      </c>
      <c r="R8" s="31">
        <v>0.083969465648855</v>
      </c>
      <c r="S8" s="1" t="str">
        <f>VLOOKUP(K:K,'8店'!$B:$B,1,0)</f>
        <v>Y8033-BL</v>
      </c>
      <c r="T8" t="s">
        <v>2815</v>
      </c>
      <c r="U8">
        <v>17745</v>
      </c>
      <c r="V8">
        <v>227</v>
      </c>
      <c r="W8">
        <v>6.75</v>
      </c>
      <c r="X8">
        <v>455.76</v>
      </c>
      <c r="Y8">
        <v>22</v>
      </c>
      <c r="Z8" s="31">
        <v>0.0148104265402844</v>
      </c>
      <c r="AA8" s="31">
        <v>0.0969162995594714</v>
      </c>
      <c r="AB8" s="1" t="str">
        <f>VLOOKUP(T:T,'8店'!$B:$B,1,0)</f>
        <v>Y8033-BL</v>
      </c>
      <c r="AC8" t="s">
        <v>2789</v>
      </c>
      <c r="AD8">
        <v>28154</v>
      </c>
      <c r="AE8">
        <v>113</v>
      </c>
      <c r="AF8">
        <v>91.76</v>
      </c>
      <c r="AG8">
        <v>455.83</v>
      </c>
      <c r="AH8">
        <v>17</v>
      </c>
      <c r="AI8" s="31">
        <v>0.201303117390255</v>
      </c>
      <c r="AJ8" s="31">
        <v>0.150442477876106</v>
      </c>
      <c r="AK8" s="1" t="str">
        <f>VLOOKUP(AC:AC,'8店'!$B:$B,1,0)</f>
        <v>Y8016-GR</v>
      </c>
      <c r="AL8" s="29" t="s">
        <v>2815</v>
      </c>
      <c r="AM8" s="33">
        <v>1188.77</v>
      </c>
      <c r="AN8" s="1">
        <f t="shared" si="1"/>
        <v>8143.0745</v>
      </c>
      <c r="AP8" s="29" t="s">
        <v>2843</v>
      </c>
      <c r="AQ8" s="33">
        <v>3195.57</v>
      </c>
      <c r="AR8" s="1">
        <f t="shared" si="0"/>
        <v>21889.6545</v>
      </c>
      <c r="AT8" s="108" t="s">
        <v>2779</v>
      </c>
      <c r="AU8" s="44">
        <v>0</v>
      </c>
      <c r="AV8" s="35"/>
      <c r="AW8" s="108" t="s">
        <v>2779</v>
      </c>
      <c r="AX8" s="44">
        <v>141.6</v>
      </c>
      <c r="AZ8" s="112" t="s">
        <v>2777</v>
      </c>
      <c r="BA8" s="113">
        <v>3.573</v>
      </c>
      <c r="BB8" s="1" t="s">
        <v>430</v>
      </c>
    </row>
    <row r="9" ht="16.3" spans="2:54">
      <c r="B9" t="s">
        <v>2815</v>
      </c>
      <c r="C9">
        <v>64</v>
      </c>
      <c r="D9" s="1" t="str">
        <f>VLOOKUP(B:B,'8店'!$B:$B,1,0)</f>
        <v>Y8033-BL</v>
      </c>
      <c r="E9" t="s">
        <v>2791</v>
      </c>
      <c r="F9">
        <v>16</v>
      </c>
      <c r="G9" s="1" t="str">
        <f>VLOOKUP(E:E,'8店'!$B:$B,1,0)</f>
        <v>Y8016-RE</v>
      </c>
      <c r="H9" t="s">
        <v>2791</v>
      </c>
      <c r="I9">
        <v>24</v>
      </c>
      <c r="J9" s="1" t="str">
        <f>VLOOKUP(H:H,'8店'!$B:$B,1,0)</f>
        <v>Y8016-RE</v>
      </c>
      <c r="K9" t="s">
        <v>2795</v>
      </c>
      <c r="L9">
        <v>36427</v>
      </c>
      <c r="M9">
        <v>207</v>
      </c>
      <c r="N9">
        <v>15.22</v>
      </c>
      <c r="O9">
        <v>132.93</v>
      </c>
      <c r="P9">
        <v>6</v>
      </c>
      <c r="Q9" s="31">
        <v>0.114496351463176</v>
      </c>
      <c r="R9" s="31">
        <v>0.0289855072463768</v>
      </c>
      <c r="S9" s="1" t="str">
        <f>VLOOKUP(K:K,'8店'!$B:$B,1,0)</f>
        <v>Y8020-BL-1</v>
      </c>
      <c r="T9" t="s">
        <v>2795</v>
      </c>
      <c r="U9">
        <v>69784</v>
      </c>
      <c r="V9">
        <v>399</v>
      </c>
      <c r="W9">
        <v>34.37</v>
      </c>
      <c r="X9">
        <v>664.65</v>
      </c>
      <c r="Y9">
        <v>34</v>
      </c>
      <c r="Z9" s="31">
        <v>0.0517114270668773</v>
      </c>
      <c r="AA9" s="31">
        <v>0.0852130325814536</v>
      </c>
      <c r="AB9" s="1" t="str">
        <f>VLOOKUP(T:T,'8店'!$B:$B,1,0)</f>
        <v>Y8020-BL-1</v>
      </c>
      <c r="AC9" t="s">
        <v>2815</v>
      </c>
      <c r="AD9">
        <v>26567</v>
      </c>
      <c r="AE9">
        <v>331</v>
      </c>
      <c r="AF9">
        <v>9.87</v>
      </c>
      <c r="AG9">
        <v>683.64</v>
      </c>
      <c r="AH9">
        <v>33</v>
      </c>
      <c r="AI9" s="31">
        <v>0.0144374232051957</v>
      </c>
      <c r="AJ9" s="31">
        <v>0.0996978851963746</v>
      </c>
      <c r="AK9" s="1" t="str">
        <f>VLOOKUP(AC:AC,'8店'!$B:$B,1,0)</f>
        <v>Y8033-BL</v>
      </c>
      <c r="AL9" s="29" t="s">
        <v>2783</v>
      </c>
      <c r="AM9" s="33">
        <v>337.74</v>
      </c>
      <c r="AN9" s="1">
        <f t="shared" si="1"/>
        <v>2313.519</v>
      </c>
      <c r="AP9" s="29" t="s">
        <v>2859</v>
      </c>
      <c r="AQ9" s="33">
        <v>676.08</v>
      </c>
      <c r="AR9" s="1">
        <f t="shared" si="0"/>
        <v>4631.148</v>
      </c>
      <c r="AT9" s="108" t="s">
        <v>2781</v>
      </c>
      <c r="AU9" s="44">
        <v>4507.862</v>
      </c>
      <c r="AV9" s="35"/>
      <c r="AW9" s="108" t="s">
        <v>2781</v>
      </c>
      <c r="AX9" s="44">
        <v>9270.886</v>
      </c>
      <c r="AZ9" s="112" t="s">
        <v>2779</v>
      </c>
      <c r="BA9" s="113">
        <v>1.045</v>
      </c>
      <c r="BB9" s="1" t="s">
        <v>430</v>
      </c>
    </row>
    <row r="10" ht="16.3" spans="2:54">
      <c r="B10" t="s">
        <v>2795</v>
      </c>
      <c r="C10">
        <v>65</v>
      </c>
      <c r="D10" s="1" t="str">
        <f>VLOOKUP(B:B,'8店'!$B:$B,1,0)</f>
        <v>Y8020-BL-1</v>
      </c>
      <c r="E10" t="s">
        <v>3005</v>
      </c>
      <c r="F10">
        <v>3</v>
      </c>
      <c r="G10" s="1" t="e">
        <f>VLOOKUP(E:E,'8店'!$B:$B,1,0)</f>
        <v>#N/A</v>
      </c>
      <c r="H10" t="s">
        <v>3005</v>
      </c>
      <c r="I10">
        <v>12</v>
      </c>
      <c r="J10" s="1" t="e">
        <f>VLOOKUP(H:H,'8店'!$B:$B,1,0)</f>
        <v>#N/A</v>
      </c>
      <c r="K10" t="s">
        <v>2825</v>
      </c>
      <c r="L10">
        <v>14083</v>
      </c>
      <c r="M10">
        <v>162</v>
      </c>
      <c r="N10">
        <v>12.28</v>
      </c>
      <c r="O10">
        <v>512.73</v>
      </c>
      <c r="P10">
        <v>27</v>
      </c>
      <c r="Q10" s="31">
        <v>0.0239502272151035</v>
      </c>
      <c r="R10" s="31">
        <v>0.166666666666667</v>
      </c>
      <c r="S10" s="1" t="str">
        <f>VLOOKUP(K:K,'8店'!$B:$B,1,0)</f>
        <v>Y8041-BL</v>
      </c>
      <c r="T10" t="s">
        <v>2825</v>
      </c>
      <c r="U10">
        <v>28020</v>
      </c>
      <c r="V10">
        <v>327</v>
      </c>
      <c r="W10">
        <v>27.23</v>
      </c>
      <c r="X10">
        <v>824.56</v>
      </c>
      <c r="Y10">
        <v>44</v>
      </c>
      <c r="Z10" s="31">
        <v>0.0330236732317842</v>
      </c>
      <c r="AA10" s="31">
        <v>0.134556574923547</v>
      </c>
      <c r="AB10" s="1" t="str">
        <f>VLOOKUP(T:T,'8店'!$B:$B,1,0)</f>
        <v>Y8041-BL</v>
      </c>
      <c r="AC10" t="s">
        <v>2797</v>
      </c>
      <c r="AD10">
        <v>0</v>
      </c>
      <c r="AE10">
        <v>0</v>
      </c>
      <c r="AF10">
        <v>0</v>
      </c>
      <c r="AG10">
        <v>0</v>
      </c>
      <c r="AH10">
        <v>0</v>
      </c>
      <c r="AI10" s="31">
        <v>0</v>
      </c>
      <c r="AJ10" s="31">
        <v>0</v>
      </c>
      <c r="AK10" s="1" t="str">
        <f>VLOOKUP(AC:AC,'8店'!$B:$B,1,0)</f>
        <v>Y8020-RE-1</v>
      </c>
      <c r="AL10" s="29" t="s">
        <v>2793</v>
      </c>
      <c r="AM10" s="33">
        <v>379.8</v>
      </c>
      <c r="AN10" s="1">
        <f t="shared" si="1"/>
        <v>2601.63</v>
      </c>
      <c r="AP10" s="29" t="s">
        <v>2783</v>
      </c>
      <c r="AQ10" s="33">
        <v>774.89</v>
      </c>
      <c r="AR10" s="1">
        <f t="shared" si="0"/>
        <v>5307.9965</v>
      </c>
      <c r="AT10" s="108" t="s">
        <v>2783</v>
      </c>
      <c r="AU10" s="44">
        <v>1585.08</v>
      </c>
      <c r="AV10" s="35"/>
      <c r="AW10" s="108" t="s">
        <v>2783</v>
      </c>
      <c r="AX10" s="44">
        <v>2268.84</v>
      </c>
      <c r="AZ10" s="112" t="s">
        <v>3006</v>
      </c>
      <c r="BA10" s="113">
        <v>2.008</v>
      </c>
      <c r="BB10" s="1" t="s">
        <v>430</v>
      </c>
    </row>
    <row r="11" ht="16.3" spans="2:54">
      <c r="B11" t="s">
        <v>2825</v>
      </c>
      <c r="C11">
        <v>92</v>
      </c>
      <c r="D11" s="1" t="str">
        <f>VLOOKUP(B:B,'8店'!$B:$B,1,0)</f>
        <v>Y8041-BL</v>
      </c>
      <c r="E11" t="s">
        <v>2815</v>
      </c>
      <c r="F11">
        <v>118</v>
      </c>
      <c r="G11" s="1" t="str">
        <f>VLOOKUP(E:E,'8店'!$B:$B,1,0)</f>
        <v>Y8033-BL</v>
      </c>
      <c r="H11" t="s">
        <v>2773</v>
      </c>
      <c r="I11">
        <v>7</v>
      </c>
      <c r="J11" s="1" t="str">
        <f>VLOOKUP(H:H,'8店'!$B:$B,1,0)</f>
        <v>Y8002-GR</v>
      </c>
      <c r="K11" t="s">
        <v>2829</v>
      </c>
      <c r="L11">
        <v>586</v>
      </c>
      <c r="M11">
        <v>4</v>
      </c>
      <c r="N11">
        <v>1.97</v>
      </c>
      <c r="O11">
        <v>0</v>
      </c>
      <c r="P11">
        <v>0</v>
      </c>
      <c r="Q11" s="31">
        <v>0</v>
      </c>
      <c r="R11" s="31">
        <v>0</v>
      </c>
      <c r="S11" s="1" t="str">
        <f>VLOOKUP(K:K,'8店'!$B:$B,1,0)</f>
        <v>Y8042-GR</v>
      </c>
      <c r="T11" t="s">
        <v>2829</v>
      </c>
      <c r="U11">
        <v>914</v>
      </c>
      <c r="V11">
        <v>4</v>
      </c>
      <c r="W11">
        <v>1.97</v>
      </c>
      <c r="X11">
        <v>0</v>
      </c>
      <c r="Y11">
        <v>0</v>
      </c>
      <c r="Z11" s="31">
        <v>0</v>
      </c>
      <c r="AA11" s="31">
        <v>0</v>
      </c>
      <c r="AB11" s="1" t="str">
        <f>VLOOKUP(T:T,'8店'!$B:$B,1,0)</f>
        <v>Y8042-GR</v>
      </c>
      <c r="AC11" t="s">
        <v>2795</v>
      </c>
      <c r="AD11">
        <v>118581</v>
      </c>
      <c r="AE11">
        <v>690</v>
      </c>
      <c r="AF11">
        <v>67.13</v>
      </c>
      <c r="AG11">
        <v>1253.34</v>
      </c>
      <c r="AH11">
        <v>64</v>
      </c>
      <c r="AI11" s="31">
        <v>0.0535608853144398</v>
      </c>
      <c r="AJ11" s="31">
        <v>0.0927536231884058</v>
      </c>
      <c r="AK11" s="1" t="str">
        <f>VLOOKUP(AC:AC,'8店'!$B:$B,1,0)</f>
        <v>Y8020-BL-1</v>
      </c>
      <c r="AL11" s="29" t="s">
        <v>2916</v>
      </c>
      <c r="AM11" s="33">
        <v>339.8</v>
      </c>
      <c r="AN11" s="1">
        <f t="shared" si="1"/>
        <v>2327.63</v>
      </c>
      <c r="AP11" s="29" t="s">
        <v>2793</v>
      </c>
      <c r="AQ11" s="33">
        <v>854.55</v>
      </c>
      <c r="AR11" s="1">
        <f t="shared" si="0"/>
        <v>5853.6675</v>
      </c>
      <c r="AT11" s="108" t="s">
        <v>2785</v>
      </c>
      <c r="AU11" s="44">
        <v>901.92</v>
      </c>
      <c r="AV11" s="35"/>
      <c r="AW11" s="108" t="s">
        <v>3007</v>
      </c>
      <c r="AX11" s="44">
        <v>10.573</v>
      </c>
      <c r="AZ11" s="112" t="s">
        <v>2793</v>
      </c>
      <c r="BA11" s="113">
        <v>1.847</v>
      </c>
      <c r="BB11" s="1" t="s">
        <v>430</v>
      </c>
    </row>
    <row r="12" ht="16.3" spans="2:54">
      <c r="B12" t="s">
        <v>2861</v>
      </c>
      <c r="C12">
        <v>5</v>
      </c>
      <c r="D12" s="1" t="str">
        <f>VLOOKUP(B:B,'8店'!$B:$B,1,0)</f>
        <v>Y8069-1</v>
      </c>
      <c r="E12" t="s">
        <v>2795</v>
      </c>
      <c r="F12">
        <v>151</v>
      </c>
      <c r="G12" s="1" t="str">
        <f>VLOOKUP(E:E,'8店'!$B:$B,1,0)</f>
        <v>Y8020-BL-1</v>
      </c>
      <c r="H12" t="s">
        <v>2781</v>
      </c>
      <c r="I12">
        <v>351</v>
      </c>
      <c r="J12" s="1" t="str">
        <f>VLOOKUP(H:H,'8店'!$B:$B,1,0)</f>
        <v>Y8010</v>
      </c>
      <c r="K12" t="s">
        <v>2835</v>
      </c>
      <c r="L12">
        <v>2778</v>
      </c>
      <c r="M12">
        <v>7</v>
      </c>
      <c r="N12">
        <v>2.24</v>
      </c>
      <c r="O12">
        <v>0</v>
      </c>
      <c r="P12">
        <v>0</v>
      </c>
      <c r="Q12" s="31">
        <v>0</v>
      </c>
      <c r="R12" s="31">
        <v>0</v>
      </c>
      <c r="S12" s="1" t="str">
        <f>VLOOKUP(K:K,'8店'!$B:$B,1,0)</f>
        <v>Y8055</v>
      </c>
      <c r="T12" t="s">
        <v>2835</v>
      </c>
      <c r="U12">
        <v>4310</v>
      </c>
      <c r="V12">
        <v>11</v>
      </c>
      <c r="W12">
        <v>3.69</v>
      </c>
      <c r="X12">
        <v>0</v>
      </c>
      <c r="Y12">
        <v>0</v>
      </c>
      <c r="Z12" s="31">
        <v>0</v>
      </c>
      <c r="AA12" s="31">
        <v>0</v>
      </c>
      <c r="AB12" s="1" t="str">
        <f>VLOOKUP(T:T,'8店'!$B:$B,1,0)</f>
        <v>Y8055</v>
      </c>
      <c r="AC12" t="s">
        <v>2825</v>
      </c>
      <c r="AD12">
        <v>46048</v>
      </c>
      <c r="AE12">
        <v>560</v>
      </c>
      <c r="AF12">
        <v>44.71</v>
      </c>
      <c r="AG12">
        <v>1603.15</v>
      </c>
      <c r="AH12">
        <v>84</v>
      </c>
      <c r="AI12" s="31">
        <v>0.0278888438386926</v>
      </c>
      <c r="AJ12" s="31">
        <v>0.15</v>
      </c>
      <c r="AK12" s="1" t="str">
        <f>VLOOKUP(AC:AC,'8店'!$B:$B,1,0)</f>
        <v>Y8041-BL</v>
      </c>
      <c r="AL12" s="29" t="s">
        <v>2859</v>
      </c>
      <c r="AM12" s="33">
        <v>186.03</v>
      </c>
      <c r="AN12" s="1">
        <f t="shared" si="1"/>
        <v>1274.3055</v>
      </c>
      <c r="AP12" s="29" t="s">
        <v>2787</v>
      </c>
      <c r="AQ12" s="33">
        <v>730.57</v>
      </c>
      <c r="AR12" s="1">
        <f t="shared" si="0"/>
        <v>5004.4045</v>
      </c>
      <c r="AT12" s="108" t="s">
        <v>2787</v>
      </c>
      <c r="AU12" s="44">
        <v>1994.816</v>
      </c>
      <c r="AV12" s="35"/>
      <c r="AW12" s="108" t="s">
        <v>2785</v>
      </c>
      <c r="AX12" s="44">
        <v>1296.51</v>
      </c>
      <c r="AZ12" s="112" t="s">
        <v>3008</v>
      </c>
      <c r="BA12" s="113">
        <v>2.012</v>
      </c>
      <c r="BB12" s="1" t="s">
        <v>430</v>
      </c>
    </row>
    <row r="13" ht="16.3" spans="2:54">
      <c r="B13" t="s">
        <v>2781</v>
      </c>
      <c r="C13">
        <v>101</v>
      </c>
      <c r="D13" s="1" t="str">
        <f>VLOOKUP(B:B,'8店'!$B:$B,1,0)</f>
        <v>Y8010</v>
      </c>
      <c r="E13" t="s">
        <v>2825</v>
      </c>
      <c r="F13">
        <v>184</v>
      </c>
      <c r="G13" s="1" t="str">
        <f>VLOOKUP(E:E,'8店'!$B:$B,1,0)</f>
        <v>Y8041-BL</v>
      </c>
      <c r="H13" t="s">
        <v>2815</v>
      </c>
      <c r="I13">
        <v>219</v>
      </c>
      <c r="J13" s="1" t="str">
        <f>VLOOKUP(H:H,'8店'!$B:$B,1,0)</f>
        <v>Y8033-BL</v>
      </c>
      <c r="K13" t="s">
        <v>2841</v>
      </c>
      <c r="L13">
        <v>50469</v>
      </c>
      <c r="M13">
        <v>509</v>
      </c>
      <c r="N13">
        <v>184.24</v>
      </c>
      <c r="O13">
        <v>1011.99</v>
      </c>
      <c r="P13">
        <v>50</v>
      </c>
      <c r="Q13" s="31">
        <v>0.182057134951926</v>
      </c>
      <c r="R13" s="31">
        <v>0.0982318271119843</v>
      </c>
      <c r="S13" s="1" t="str">
        <f>VLOOKUP(K:K,'8店'!$B:$B,1,0)</f>
        <v>Y8056-BL</v>
      </c>
      <c r="T13" t="s">
        <v>2841</v>
      </c>
      <c r="U13">
        <v>78927</v>
      </c>
      <c r="V13">
        <v>787</v>
      </c>
      <c r="W13">
        <v>285.21</v>
      </c>
      <c r="X13">
        <v>1882.03</v>
      </c>
      <c r="Y13">
        <v>94</v>
      </c>
      <c r="Z13" s="31">
        <v>0.151543811735201</v>
      </c>
      <c r="AA13" s="31">
        <v>0.119440914866582</v>
      </c>
      <c r="AB13" s="1" t="str">
        <f>VLOOKUP(T:T,'8店'!$B:$B,1,0)</f>
        <v>Y8056-BL</v>
      </c>
      <c r="AC13" t="s">
        <v>2829</v>
      </c>
      <c r="AD13">
        <v>1548</v>
      </c>
      <c r="AE13">
        <v>6</v>
      </c>
      <c r="AF13">
        <v>2.73</v>
      </c>
      <c r="AG13">
        <v>0</v>
      </c>
      <c r="AH13">
        <v>0</v>
      </c>
      <c r="AI13" s="31">
        <v>0</v>
      </c>
      <c r="AJ13" s="31">
        <v>0</v>
      </c>
      <c r="AK13" s="1" t="str">
        <f>VLOOKUP(AC:AC,'8店'!$B:$B,1,0)</f>
        <v>Y8042-GR</v>
      </c>
      <c r="AL13" s="29" t="s">
        <v>2846</v>
      </c>
      <c r="AM13" s="33">
        <v>331.37</v>
      </c>
      <c r="AN13" s="1">
        <f t="shared" si="1"/>
        <v>2269.8845</v>
      </c>
      <c r="AP13" s="29" t="s">
        <v>2846</v>
      </c>
      <c r="AQ13" s="33">
        <v>509.8</v>
      </c>
      <c r="AR13" s="1">
        <f t="shared" si="0"/>
        <v>3492.13</v>
      </c>
      <c r="AT13" s="108" t="s">
        <v>2789</v>
      </c>
      <c r="AU13" s="44">
        <v>2128.638</v>
      </c>
      <c r="AV13" s="35"/>
      <c r="AW13" s="108" t="s">
        <v>2787</v>
      </c>
      <c r="AX13" s="44">
        <v>3905.344</v>
      </c>
      <c r="AZ13" s="112" t="s">
        <v>3009</v>
      </c>
      <c r="BA13" s="113">
        <v>2.043</v>
      </c>
      <c r="BB13" s="1" t="s">
        <v>430</v>
      </c>
    </row>
    <row r="14" ht="16.3" spans="2:54">
      <c r="B14" t="s">
        <v>2843</v>
      </c>
      <c r="C14">
        <v>76</v>
      </c>
      <c r="D14" s="1" t="str">
        <f>VLOOKUP(B:B,'8店'!$B:$B,1,0)</f>
        <v>Y8057-BL</v>
      </c>
      <c r="E14" t="s">
        <v>2781</v>
      </c>
      <c r="F14">
        <v>185</v>
      </c>
      <c r="G14" s="1" t="str">
        <f>VLOOKUP(E:E,'8店'!$B:$B,1,0)</f>
        <v>Y8010</v>
      </c>
      <c r="H14" t="s">
        <v>2777</v>
      </c>
      <c r="I14">
        <v>11</v>
      </c>
      <c r="J14" s="1" t="str">
        <f>VLOOKUP(H:H,'8店'!$B:$B,1,0)</f>
        <v>Y8006</v>
      </c>
      <c r="K14" t="s">
        <v>2854</v>
      </c>
      <c r="L14">
        <v>475</v>
      </c>
      <c r="M14">
        <v>2</v>
      </c>
      <c r="N14">
        <v>2.36</v>
      </c>
      <c r="O14">
        <v>0</v>
      </c>
      <c r="P14">
        <v>0</v>
      </c>
      <c r="Q14" s="31">
        <v>0</v>
      </c>
      <c r="R14" s="31">
        <v>0</v>
      </c>
      <c r="S14" s="1" t="str">
        <f>VLOOKUP(K:K,'8店'!$B:$B,1,0)</f>
        <v>Y8053*5</v>
      </c>
      <c r="T14" t="s">
        <v>2854</v>
      </c>
      <c r="U14">
        <v>981</v>
      </c>
      <c r="V14">
        <v>3</v>
      </c>
      <c r="W14">
        <v>3.41</v>
      </c>
      <c r="X14">
        <v>0</v>
      </c>
      <c r="Y14">
        <v>0</v>
      </c>
      <c r="Z14" s="31">
        <v>0</v>
      </c>
      <c r="AA14" s="31">
        <v>0</v>
      </c>
      <c r="AB14" s="1" t="str">
        <f>VLOOKUP(T:T,'8店'!$B:$B,1,0)</f>
        <v>Y8053*5</v>
      </c>
      <c r="AC14" t="s">
        <v>2835</v>
      </c>
      <c r="AD14">
        <v>12289</v>
      </c>
      <c r="AE14">
        <v>23</v>
      </c>
      <c r="AF14">
        <v>9.65</v>
      </c>
      <c r="AG14">
        <v>0</v>
      </c>
      <c r="AH14">
        <v>0</v>
      </c>
      <c r="AI14" s="31">
        <v>0</v>
      </c>
      <c r="AJ14" s="31">
        <v>0</v>
      </c>
      <c r="AK14" s="1" t="str">
        <f>VLOOKUP(AC:AC,'8店'!$B:$B,1,0)</f>
        <v>Y8055</v>
      </c>
      <c r="AL14" s="29" t="s">
        <v>2787</v>
      </c>
      <c r="AM14" s="33">
        <v>203.88</v>
      </c>
      <c r="AN14" s="1">
        <f t="shared" si="1"/>
        <v>1396.578</v>
      </c>
      <c r="AP14" s="29" t="s">
        <v>2916</v>
      </c>
      <c r="AQ14" s="33">
        <v>305.82</v>
      </c>
      <c r="AR14" s="1">
        <f t="shared" si="0"/>
        <v>2094.867</v>
      </c>
      <c r="AT14" s="108" t="s">
        <v>2791</v>
      </c>
      <c r="AU14" s="44">
        <v>810.369</v>
      </c>
      <c r="AV14" s="35"/>
      <c r="AW14" s="108" t="s">
        <v>2789</v>
      </c>
      <c r="AX14" s="44">
        <v>2942.529</v>
      </c>
      <c r="AZ14" s="112" t="s">
        <v>2781</v>
      </c>
      <c r="BA14" s="113">
        <v>10.995</v>
      </c>
      <c r="BB14" s="1" t="s">
        <v>430</v>
      </c>
    </row>
    <row r="15" ht="16.3" spans="2:54">
      <c r="B15" t="s">
        <v>2841</v>
      </c>
      <c r="C15">
        <v>72</v>
      </c>
      <c r="D15" s="1" t="str">
        <f>VLOOKUP(B:B,'8店'!$B:$B,1,0)</f>
        <v>Y8056-BL</v>
      </c>
      <c r="E15" t="s">
        <v>2859</v>
      </c>
      <c r="F15">
        <v>62</v>
      </c>
      <c r="G15" s="1" t="str">
        <f>VLOOKUP(E:E,'8店'!$B:$B,1,0)</f>
        <v>Y8068-1</v>
      </c>
      <c r="H15" t="s">
        <v>2795</v>
      </c>
      <c r="I15">
        <v>302</v>
      </c>
      <c r="J15" s="1" t="str">
        <f>VLOOKUP(H:H,'8店'!$B:$B,1,0)</f>
        <v>Y8020-BL-1</v>
      </c>
      <c r="K15" t="s">
        <v>2859</v>
      </c>
      <c r="L15">
        <v>11372</v>
      </c>
      <c r="M15">
        <v>49</v>
      </c>
      <c r="N15">
        <v>12.55</v>
      </c>
      <c r="O15">
        <v>41.86</v>
      </c>
      <c r="P15">
        <v>4</v>
      </c>
      <c r="Q15" s="31">
        <v>0.299808886765409</v>
      </c>
      <c r="R15" s="31">
        <v>0.0816326530612245</v>
      </c>
      <c r="S15" s="1" t="str">
        <f>VLOOKUP(K:K,'8店'!$B:$B,1,0)</f>
        <v>Y8068-1</v>
      </c>
      <c r="T15" t="s">
        <v>2859</v>
      </c>
      <c r="U15">
        <v>26004</v>
      </c>
      <c r="V15">
        <v>134</v>
      </c>
      <c r="W15">
        <v>33.92</v>
      </c>
      <c r="X15">
        <v>161.75</v>
      </c>
      <c r="Y15">
        <v>15</v>
      </c>
      <c r="Z15" s="31">
        <v>0.209706336939722</v>
      </c>
      <c r="AA15" s="31">
        <v>0.111940298507463</v>
      </c>
      <c r="AB15" s="1" t="str">
        <f>VLOOKUP(T:T,'8店'!$B:$B,1,0)</f>
        <v>Y8068-1</v>
      </c>
      <c r="AC15" t="s">
        <v>2841</v>
      </c>
      <c r="AD15">
        <v>115488</v>
      </c>
      <c r="AE15">
        <v>1164</v>
      </c>
      <c r="AF15">
        <v>419.62</v>
      </c>
      <c r="AG15">
        <v>2712.1</v>
      </c>
      <c r="AH15">
        <v>137</v>
      </c>
      <c r="AI15" s="31">
        <v>0.154721433575458</v>
      </c>
      <c r="AJ15" s="31">
        <v>0.117697594501718</v>
      </c>
      <c r="AK15" s="1" t="str">
        <f>VLOOKUP(AC:AC,'8店'!$B:$B,1,0)</f>
        <v>Y8056-BL</v>
      </c>
      <c r="AL15" s="29" t="s">
        <v>2789</v>
      </c>
      <c r="AM15" s="33">
        <v>269.9</v>
      </c>
      <c r="AN15" s="1">
        <f t="shared" si="1"/>
        <v>1848.815</v>
      </c>
      <c r="AP15" s="29" t="s">
        <v>2916</v>
      </c>
      <c r="AQ15" s="33">
        <v>356.79</v>
      </c>
      <c r="AR15" s="1">
        <f t="shared" si="0"/>
        <v>2444.0115</v>
      </c>
      <c r="AT15" s="108" t="s">
        <v>2793</v>
      </c>
      <c r="AU15" s="44">
        <v>1859.149</v>
      </c>
      <c r="AV15" s="35"/>
      <c r="AW15" s="108" t="s">
        <v>2791</v>
      </c>
      <c r="AX15" s="44">
        <v>810.369</v>
      </c>
      <c r="AZ15" s="112" t="s">
        <v>2783</v>
      </c>
      <c r="BA15" s="113">
        <v>1.039</v>
      </c>
      <c r="BB15" s="1" t="s">
        <v>430</v>
      </c>
    </row>
    <row r="16" ht="16.3" spans="2:54">
      <c r="B16" t="s">
        <v>2880</v>
      </c>
      <c r="C16">
        <v>7</v>
      </c>
      <c r="D16" s="1" t="str">
        <f>VLOOKUP(B:B,'8店'!$B:$B,1,0)</f>
        <v>Y8080</v>
      </c>
      <c r="E16" t="s">
        <v>2861</v>
      </c>
      <c r="F16">
        <v>10</v>
      </c>
      <c r="G16" s="1" t="str">
        <f>VLOOKUP(E:E,'8店'!$B:$B,1,0)</f>
        <v>Y8069-1</v>
      </c>
      <c r="H16" t="s">
        <v>2825</v>
      </c>
      <c r="I16">
        <v>346</v>
      </c>
      <c r="J16" s="1" t="str">
        <f>VLOOKUP(H:H,'8店'!$B:$B,1,0)</f>
        <v>Y8041-BL</v>
      </c>
      <c r="K16" t="s">
        <v>2843</v>
      </c>
      <c r="L16">
        <v>13100</v>
      </c>
      <c r="M16">
        <v>157</v>
      </c>
      <c r="N16">
        <v>54.04</v>
      </c>
      <c r="O16">
        <v>520.79</v>
      </c>
      <c r="P16">
        <v>21</v>
      </c>
      <c r="Q16" s="31">
        <v>0.103765433284049</v>
      </c>
      <c r="R16" s="31">
        <v>0.133757961783439</v>
      </c>
      <c r="S16" s="1" t="str">
        <f>VLOOKUP(K:K,'8店'!$B:$B,1,0)</f>
        <v>Y8057-BL</v>
      </c>
      <c r="T16" t="s">
        <v>2843</v>
      </c>
      <c r="U16">
        <v>23900</v>
      </c>
      <c r="V16">
        <v>263</v>
      </c>
      <c r="W16">
        <v>90.41</v>
      </c>
      <c r="X16">
        <v>720.71</v>
      </c>
      <c r="Y16">
        <v>29</v>
      </c>
      <c r="Z16" s="31">
        <v>0.125445741005397</v>
      </c>
      <c r="AA16" s="31">
        <v>0.110266159695817</v>
      </c>
      <c r="AB16" s="1" t="str">
        <f>VLOOKUP(T:T,'8店'!$B:$B,1,0)</f>
        <v>Y8057-BL</v>
      </c>
      <c r="AC16" t="s">
        <v>2843</v>
      </c>
      <c r="AD16">
        <v>43751</v>
      </c>
      <c r="AE16">
        <v>499</v>
      </c>
      <c r="AF16">
        <v>170.23</v>
      </c>
      <c r="AG16">
        <v>1329.46</v>
      </c>
      <c r="AH16">
        <v>53</v>
      </c>
      <c r="AI16" s="31">
        <v>0.128044469182977</v>
      </c>
      <c r="AJ16" s="31">
        <v>0.106212424849699</v>
      </c>
      <c r="AK16" s="1" t="str">
        <f>VLOOKUP(AC:AC,'8店'!$B:$B,1,0)</f>
        <v>Y8057-BL</v>
      </c>
      <c r="AL16" s="29" t="s">
        <v>2791</v>
      </c>
      <c r="AM16" s="33">
        <v>215.91</v>
      </c>
      <c r="AN16" s="1">
        <f t="shared" si="1"/>
        <v>1478.9835</v>
      </c>
      <c r="AP16" s="29" t="s">
        <v>2918</v>
      </c>
      <c r="AQ16" s="33">
        <v>288.83</v>
      </c>
      <c r="AR16" s="1">
        <f t="shared" si="0"/>
        <v>1978.4855</v>
      </c>
      <c r="AT16" s="108" t="s">
        <v>2795</v>
      </c>
      <c r="AU16" s="44">
        <v>5789.7</v>
      </c>
      <c r="AV16" s="35"/>
      <c r="AW16" s="108" t="s">
        <v>2793</v>
      </c>
      <c r="AX16" s="44">
        <v>2867.501</v>
      </c>
      <c r="AZ16" s="112" t="s">
        <v>2785</v>
      </c>
      <c r="BA16" s="113">
        <v>1.046</v>
      </c>
      <c r="BB16" s="1" t="s">
        <v>430</v>
      </c>
    </row>
    <row r="17" ht="16.3" spans="2:54">
      <c r="B17" t="s">
        <v>2859</v>
      </c>
      <c r="C17">
        <v>17</v>
      </c>
      <c r="D17" s="1" t="str">
        <f>VLOOKUP(B:B,'8店'!$B:$B,1,0)</f>
        <v>Y8068-1</v>
      </c>
      <c r="E17" t="s">
        <v>2843</v>
      </c>
      <c r="F17">
        <v>123</v>
      </c>
      <c r="G17" s="1" t="str">
        <f>VLOOKUP(E:E,'8店'!$B:$B,1,0)</f>
        <v>Y8057-BL</v>
      </c>
      <c r="H17" t="s">
        <v>2835</v>
      </c>
      <c r="I17">
        <v>3</v>
      </c>
      <c r="J17" s="1" t="str">
        <f>VLOOKUP(H:H,'8店'!$B:$B,1,0)</f>
        <v>Y8055</v>
      </c>
      <c r="K17" t="s">
        <v>2869</v>
      </c>
      <c r="L17">
        <v>5165</v>
      </c>
      <c r="M17">
        <v>12</v>
      </c>
      <c r="N17">
        <v>6.99</v>
      </c>
      <c r="O17">
        <v>0</v>
      </c>
      <c r="P17">
        <v>0</v>
      </c>
      <c r="Q17" s="31">
        <v>0</v>
      </c>
      <c r="R17" s="31">
        <v>0</v>
      </c>
      <c r="S17" s="1" t="str">
        <f>VLOOKUP(K:K,'8店'!$B:$B,1,0)</f>
        <v>Y8074*2</v>
      </c>
      <c r="T17" t="s">
        <v>2869</v>
      </c>
      <c r="U17">
        <v>7458</v>
      </c>
      <c r="V17">
        <v>15</v>
      </c>
      <c r="W17">
        <v>8.87</v>
      </c>
      <c r="X17">
        <v>13.99</v>
      </c>
      <c r="Y17">
        <v>1</v>
      </c>
      <c r="Z17" s="31">
        <v>0.634024303073624</v>
      </c>
      <c r="AA17" s="31">
        <v>0.0666666666666667</v>
      </c>
      <c r="AB17" s="1" t="str">
        <f>VLOOKUP(T:T,'8店'!$B:$B,1,0)</f>
        <v>Y8074*2</v>
      </c>
      <c r="AC17" t="s">
        <v>2854</v>
      </c>
      <c r="AD17">
        <v>1694</v>
      </c>
      <c r="AE17">
        <v>3</v>
      </c>
      <c r="AF17">
        <v>3.41</v>
      </c>
      <c r="AG17">
        <v>0</v>
      </c>
      <c r="AH17">
        <v>0</v>
      </c>
      <c r="AI17" s="31">
        <v>0</v>
      </c>
      <c r="AJ17" s="31">
        <v>0</v>
      </c>
      <c r="AK17" s="1" t="str">
        <f>VLOOKUP(AC:AC,'8店'!$B:$B,1,0)</f>
        <v>Y8053*5</v>
      </c>
      <c r="AL17" s="29" t="s">
        <v>2918</v>
      </c>
      <c r="AM17" s="33">
        <v>152.91</v>
      </c>
      <c r="AN17" s="1">
        <f t="shared" si="1"/>
        <v>1047.4335</v>
      </c>
      <c r="AP17" s="29" t="s">
        <v>2791</v>
      </c>
      <c r="AQ17" s="33">
        <v>383.84</v>
      </c>
      <c r="AR17" s="1">
        <f t="shared" si="0"/>
        <v>2629.304</v>
      </c>
      <c r="AT17" s="108" t="s">
        <v>2797</v>
      </c>
      <c r="AU17" s="44">
        <v>2374.033</v>
      </c>
      <c r="AV17" s="35"/>
      <c r="AW17" s="108" t="s">
        <v>2795</v>
      </c>
      <c r="AX17" s="44">
        <v>12222.7</v>
      </c>
      <c r="AZ17" s="112" t="s">
        <v>2787</v>
      </c>
      <c r="BA17" s="113">
        <v>1.011</v>
      </c>
      <c r="BB17" s="1" t="s">
        <v>430</v>
      </c>
    </row>
    <row r="18" ht="16.3" spans="2:54">
      <c r="B18" t="s">
        <v>2904</v>
      </c>
      <c r="C18">
        <v>5</v>
      </c>
      <c r="D18" s="1" t="str">
        <f>VLOOKUP(B:B,'8店'!$B:$B,1,0)</f>
        <v>Y8090-2</v>
      </c>
      <c r="E18" t="s">
        <v>2841</v>
      </c>
      <c r="F18">
        <v>152</v>
      </c>
      <c r="G18" s="1" t="str">
        <f>VLOOKUP(E:E,'8店'!$B:$B,1,0)</f>
        <v>Y8056-BL</v>
      </c>
      <c r="H18" t="s">
        <v>2852</v>
      </c>
      <c r="I18">
        <v>1</v>
      </c>
      <c r="J18" s="1" t="str">
        <f>VLOOKUP(H:H,'8店'!$B:$B,1,0)</f>
        <v>Y8062</v>
      </c>
      <c r="K18" t="s">
        <v>2880</v>
      </c>
      <c r="L18">
        <v>4365</v>
      </c>
      <c r="M18">
        <v>15</v>
      </c>
      <c r="N18">
        <v>1.05</v>
      </c>
      <c r="O18">
        <v>0</v>
      </c>
      <c r="P18">
        <v>0</v>
      </c>
      <c r="Q18" s="31">
        <v>0</v>
      </c>
      <c r="R18" s="31">
        <v>0</v>
      </c>
      <c r="S18" s="1" t="str">
        <f>VLOOKUP(K:K,'8店'!$B:$B,1,0)</f>
        <v>Y8080</v>
      </c>
      <c r="T18" t="s">
        <v>2880</v>
      </c>
      <c r="U18">
        <v>8013</v>
      </c>
      <c r="V18">
        <v>28</v>
      </c>
      <c r="W18">
        <v>1.97</v>
      </c>
      <c r="X18">
        <v>0</v>
      </c>
      <c r="Y18">
        <v>0</v>
      </c>
      <c r="Z18" s="31">
        <v>0</v>
      </c>
      <c r="AA18" s="31">
        <v>0</v>
      </c>
      <c r="AB18" s="1" t="str">
        <f>VLOOKUP(T:T,'8店'!$B:$B,1,0)</f>
        <v>Y8080</v>
      </c>
      <c r="AC18" t="s">
        <v>2859</v>
      </c>
      <c r="AD18">
        <v>52537</v>
      </c>
      <c r="AE18">
        <v>277</v>
      </c>
      <c r="AF18">
        <v>67.54</v>
      </c>
      <c r="AG18">
        <v>270.65</v>
      </c>
      <c r="AH18">
        <v>25</v>
      </c>
      <c r="AI18" s="31">
        <v>0.249547385922779</v>
      </c>
      <c r="AJ18" s="31">
        <v>0.0902527075812274</v>
      </c>
      <c r="AK18" s="1" t="str">
        <f>VLOOKUP(AC:AC,'8店'!$B:$B,1,0)</f>
        <v>Y8068-1</v>
      </c>
      <c r="AL18" s="29" t="s">
        <v>2978</v>
      </c>
      <c r="AM18" s="33">
        <v>154.11</v>
      </c>
      <c r="AN18" s="1">
        <f t="shared" si="1"/>
        <v>1055.6535</v>
      </c>
      <c r="AP18" s="29" t="s">
        <v>2985</v>
      </c>
      <c r="AQ18" s="33">
        <v>271.84</v>
      </c>
      <c r="AR18" s="1">
        <f t="shared" si="0"/>
        <v>1862.104</v>
      </c>
      <c r="AT18" s="108" t="s">
        <v>2799</v>
      </c>
      <c r="AU18" s="44">
        <v>3478.962</v>
      </c>
      <c r="AV18" s="35"/>
      <c r="AW18" s="109" t="s">
        <v>2797</v>
      </c>
      <c r="AX18" s="44">
        <v>2308.991</v>
      </c>
      <c r="AZ18" s="112" t="s">
        <v>2789</v>
      </c>
      <c r="BA18" s="113">
        <v>9.474</v>
      </c>
      <c r="BB18" s="1" t="s">
        <v>430</v>
      </c>
    </row>
    <row r="19" ht="16.3" spans="2:54">
      <c r="B19" t="s">
        <v>2916</v>
      </c>
      <c r="C19">
        <v>20</v>
      </c>
      <c r="D19" s="1" t="str">
        <f>VLOOKUP(B:B,'8店'!$B:$B,1,0)</f>
        <v>Y8095-GR</v>
      </c>
      <c r="E19" t="s">
        <v>2880</v>
      </c>
      <c r="F19">
        <v>8</v>
      </c>
      <c r="G19" s="1" t="str">
        <f>VLOOKUP(E:E,'8店'!$B:$B,1,0)</f>
        <v>Y8080</v>
      </c>
      <c r="H19" t="s">
        <v>2859</v>
      </c>
      <c r="I19">
        <v>115</v>
      </c>
      <c r="J19" s="1" t="str">
        <f>VLOOKUP(H:H,'8店'!$B:$B,1,0)</f>
        <v>Y8068-1</v>
      </c>
      <c r="K19" t="s">
        <v>2892</v>
      </c>
      <c r="L19">
        <v>734</v>
      </c>
      <c r="M19">
        <v>3</v>
      </c>
      <c r="N19">
        <v>1.02</v>
      </c>
      <c r="O19">
        <v>0</v>
      </c>
      <c r="P19">
        <v>0</v>
      </c>
      <c r="Q19" s="31">
        <v>0</v>
      </c>
      <c r="R19" s="31">
        <v>0</v>
      </c>
      <c r="S19" s="1" t="str">
        <f>VLOOKUP(K:K,'8店'!$B:$B,1,0)</f>
        <v>Y8082-NF</v>
      </c>
      <c r="T19" t="s">
        <v>2900</v>
      </c>
      <c r="U19">
        <v>19839</v>
      </c>
      <c r="V19">
        <v>250</v>
      </c>
      <c r="W19">
        <v>40</v>
      </c>
      <c r="X19">
        <v>295.92</v>
      </c>
      <c r="Y19">
        <v>9</v>
      </c>
      <c r="Z19" s="31">
        <v>0.135171668018383</v>
      </c>
      <c r="AA19" s="31">
        <v>0.036</v>
      </c>
      <c r="AB19" s="1" t="str">
        <f>VLOOKUP(T:T,'8店'!$B:$B,1,0)</f>
        <v>Y8086</v>
      </c>
      <c r="AC19" t="s">
        <v>2869</v>
      </c>
      <c r="AD19">
        <v>9512</v>
      </c>
      <c r="AE19">
        <v>23</v>
      </c>
      <c r="AF19">
        <v>13.04</v>
      </c>
      <c r="AG19">
        <v>73.95</v>
      </c>
      <c r="AH19">
        <v>5</v>
      </c>
      <c r="AI19" s="31">
        <v>0.176335361730899</v>
      </c>
      <c r="AJ19" s="31">
        <v>0.217391304347826</v>
      </c>
      <c r="AK19" s="1" t="str">
        <f>VLOOKUP(AC:AC,'8店'!$B:$B,1,0)</f>
        <v>Y8074*2</v>
      </c>
      <c r="AL19" s="29" t="s">
        <v>2985</v>
      </c>
      <c r="AM19" s="33">
        <v>152.91</v>
      </c>
      <c r="AN19" s="1">
        <f t="shared" si="1"/>
        <v>1047.4335</v>
      </c>
      <c r="AP19" s="29" t="s">
        <v>2789</v>
      </c>
      <c r="AQ19" s="33">
        <v>409.85</v>
      </c>
      <c r="AR19" s="1">
        <f t="shared" si="0"/>
        <v>2807.4725</v>
      </c>
      <c r="AT19" s="108" t="s">
        <v>3010</v>
      </c>
      <c r="AU19" s="44">
        <v>0</v>
      </c>
      <c r="AV19" s="35"/>
      <c r="AW19" s="108" t="s">
        <v>2799</v>
      </c>
      <c r="AX19" s="44">
        <v>8995.154</v>
      </c>
      <c r="AZ19" s="112" t="s">
        <v>2791</v>
      </c>
      <c r="BA19" s="113">
        <v>9.722</v>
      </c>
      <c r="BB19" s="1" t="s">
        <v>430</v>
      </c>
    </row>
    <row r="20" ht="16.3" spans="2:54">
      <c r="B20" t="s">
        <v>2918</v>
      </c>
      <c r="C20">
        <v>9</v>
      </c>
      <c r="D20" s="1" t="str">
        <f>VLOOKUP(B:B,'8店'!$B:$B,1,0)</f>
        <v>Y8095-RE</v>
      </c>
      <c r="E20" t="s">
        <v>2900</v>
      </c>
      <c r="F20">
        <v>13</v>
      </c>
      <c r="G20" s="1" t="str">
        <f>VLOOKUP(E:E,'8店'!$B:$B,1,0)</f>
        <v>Y8086</v>
      </c>
      <c r="H20" t="s">
        <v>2861</v>
      </c>
      <c r="I20">
        <v>15</v>
      </c>
      <c r="J20" s="1" t="str">
        <f>VLOOKUP(H:H,'8店'!$B:$B,1,0)</f>
        <v>Y8069-1</v>
      </c>
      <c r="K20" t="s">
        <v>2898</v>
      </c>
      <c r="L20">
        <v>25</v>
      </c>
      <c r="M20">
        <v>0</v>
      </c>
      <c r="N20">
        <v>0</v>
      </c>
      <c r="O20">
        <v>0</v>
      </c>
      <c r="P20">
        <v>0</v>
      </c>
      <c r="Q20" s="31">
        <v>0</v>
      </c>
      <c r="R20" s="31">
        <v>0</v>
      </c>
      <c r="S20" s="1" t="str">
        <f>VLOOKUP(K:K,'8店'!$B:$B,1,0)</f>
        <v>Y8083-PU</v>
      </c>
      <c r="T20" t="s">
        <v>2892</v>
      </c>
      <c r="U20">
        <v>1400</v>
      </c>
      <c r="V20">
        <v>4</v>
      </c>
      <c r="W20">
        <v>1.37</v>
      </c>
      <c r="X20">
        <v>0</v>
      </c>
      <c r="Y20">
        <v>0</v>
      </c>
      <c r="Z20" s="31">
        <v>0</v>
      </c>
      <c r="AA20" s="31">
        <v>0</v>
      </c>
      <c r="AB20" s="1" t="str">
        <f>VLOOKUP(T:T,'8店'!$B:$B,1,0)</f>
        <v>Y8082-NF</v>
      </c>
      <c r="AC20" t="s">
        <v>2878</v>
      </c>
      <c r="AD20">
        <v>0</v>
      </c>
      <c r="AE20">
        <v>0</v>
      </c>
      <c r="AF20">
        <v>0</v>
      </c>
      <c r="AG20">
        <v>0</v>
      </c>
      <c r="AH20">
        <v>0</v>
      </c>
      <c r="AI20" s="31">
        <v>0</v>
      </c>
      <c r="AJ20" s="31">
        <v>0</v>
      </c>
      <c r="AK20" s="1" t="str">
        <f>VLOOKUP(AC:AC,'8店'!$B:$B,1,0)</f>
        <v>Y8079-SC</v>
      </c>
      <c r="AL20" s="29" t="s">
        <v>2880</v>
      </c>
      <c r="AM20" s="33">
        <v>76.93</v>
      </c>
      <c r="AN20" s="1">
        <f t="shared" si="1"/>
        <v>526.9705</v>
      </c>
      <c r="AP20" s="29" t="s">
        <v>2900</v>
      </c>
      <c r="AQ20" s="33">
        <v>527.88</v>
      </c>
      <c r="AR20" s="1">
        <f t="shared" si="0"/>
        <v>3615.978</v>
      </c>
      <c r="AT20" s="108" t="s">
        <v>2801</v>
      </c>
      <c r="AU20" s="44">
        <v>57.6</v>
      </c>
      <c r="AV20" s="35"/>
      <c r="AW20" s="108" t="s">
        <v>3010</v>
      </c>
      <c r="AX20" s="44">
        <v>15.6</v>
      </c>
      <c r="AZ20" s="114" t="s">
        <v>3010</v>
      </c>
      <c r="BA20" s="113">
        <v>2.746</v>
      </c>
      <c r="BB20" s="1" t="s">
        <v>430</v>
      </c>
    </row>
    <row r="21" ht="16.3" spans="2:54">
      <c r="B21" t="s">
        <v>2869</v>
      </c>
      <c r="C21">
        <v>12</v>
      </c>
      <c r="D21" s="1" t="str">
        <f>VLOOKUP(B:B,'8店'!$B:$B,1,0)</f>
        <v>Y8074*2</v>
      </c>
      <c r="E21" t="s">
        <v>2894</v>
      </c>
      <c r="F21">
        <v>11</v>
      </c>
      <c r="G21" s="1" t="str">
        <f>VLOOKUP(E:E,'8店'!$B:$B,1,0)</f>
        <v>Y8082-BL</v>
      </c>
      <c r="H21" t="s">
        <v>2863</v>
      </c>
      <c r="I21">
        <v>12</v>
      </c>
      <c r="J21" s="1" t="str">
        <f>VLOOKUP(H:H,'8店'!$B:$B,1,0)</f>
        <v>Y8067</v>
      </c>
      <c r="K21" t="s">
        <v>2896</v>
      </c>
      <c r="L21">
        <v>853</v>
      </c>
      <c r="M21">
        <v>1</v>
      </c>
      <c r="N21">
        <v>0.13</v>
      </c>
      <c r="O21">
        <v>0</v>
      </c>
      <c r="P21">
        <v>0</v>
      </c>
      <c r="Q21" s="31">
        <v>0</v>
      </c>
      <c r="R21" s="31">
        <v>0</v>
      </c>
      <c r="S21" s="1" t="str">
        <f>VLOOKUP(K:K,'8店'!$B:$B,1,0)</f>
        <v>Y8083-BL</v>
      </c>
      <c r="T21" t="s">
        <v>2894</v>
      </c>
      <c r="U21">
        <v>2305</v>
      </c>
      <c r="V21">
        <v>21</v>
      </c>
      <c r="W21">
        <v>9.14</v>
      </c>
      <c r="X21">
        <v>23.98</v>
      </c>
      <c r="Y21">
        <v>2</v>
      </c>
      <c r="Z21" s="31">
        <v>0.381150959132611</v>
      </c>
      <c r="AA21" s="31">
        <v>0.0952380952380952</v>
      </c>
      <c r="AB21" s="1" t="str">
        <f>VLOOKUP(T:T,'8店'!$B:$B,1,0)</f>
        <v>Y8082-BL</v>
      </c>
      <c r="AC21" t="s">
        <v>2880</v>
      </c>
      <c r="AD21">
        <v>13642</v>
      </c>
      <c r="AE21">
        <v>50</v>
      </c>
      <c r="AF21">
        <v>3.75</v>
      </c>
      <c r="AG21">
        <v>0</v>
      </c>
      <c r="AH21">
        <v>0</v>
      </c>
      <c r="AI21" s="31">
        <v>0</v>
      </c>
      <c r="AJ21" s="31">
        <v>0</v>
      </c>
      <c r="AK21" s="1" t="str">
        <f>VLOOKUP(AC:AC,'8店'!$B:$B,1,0)</f>
        <v>Y8080</v>
      </c>
      <c r="AL21" s="29" t="s">
        <v>2900</v>
      </c>
      <c r="AM21" s="33">
        <v>263.94</v>
      </c>
      <c r="AN21" s="1">
        <f t="shared" si="1"/>
        <v>1807.989</v>
      </c>
      <c r="AP21" s="29" t="s">
        <v>2980</v>
      </c>
      <c r="AQ21" s="33">
        <v>220.87</v>
      </c>
      <c r="AR21" s="1">
        <f t="shared" si="0"/>
        <v>1512.9595</v>
      </c>
      <c r="AT21" s="108" t="s">
        <v>2804</v>
      </c>
      <c r="AU21" s="44">
        <v>171</v>
      </c>
      <c r="AV21" s="35"/>
      <c r="AW21" s="108" t="s">
        <v>2801</v>
      </c>
      <c r="AX21" s="44">
        <v>57.6</v>
      </c>
      <c r="AZ21" s="112" t="s">
        <v>2801</v>
      </c>
      <c r="BA21" s="113">
        <v>5.526</v>
      </c>
      <c r="BB21" s="1" t="s">
        <v>430</v>
      </c>
    </row>
    <row r="22" ht="16.3" spans="2:54">
      <c r="B22" t="s">
        <v>2894</v>
      </c>
      <c r="C22">
        <v>5</v>
      </c>
      <c r="D22" s="1" t="str">
        <f>VLOOKUP(B:B,'8店'!$B:$B,1,0)</f>
        <v>Y8082-BL</v>
      </c>
      <c r="E22" t="s">
        <v>2869</v>
      </c>
      <c r="F22">
        <v>17</v>
      </c>
      <c r="G22" s="1" t="str">
        <f>VLOOKUP(E:E,'8店'!$B:$B,1,0)</f>
        <v>Y8074*2</v>
      </c>
      <c r="H22" t="s">
        <v>2843</v>
      </c>
      <c r="I22">
        <v>221</v>
      </c>
      <c r="J22" s="1" t="str">
        <f>VLOOKUP(H:H,'8店'!$B:$B,1,0)</f>
        <v>Y8057-BL</v>
      </c>
      <c r="K22" t="s">
        <v>2894</v>
      </c>
      <c r="L22">
        <v>1446</v>
      </c>
      <c r="M22">
        <v>14</v>
      </c>
      <c r="N22">
        <v>6</v>
      </c>
      <c r="O22">
        <v>11.99</v>
      </c>
      <c r="P22">
        <v>1</v>
      </c>
      <c r="Q22" s="31">
        <v>0.500417014178482</v>
      </c>
      <c r="R22" s="31">
        <v>0.0714285714285714</v>
      </c>
      <c r="S22" s="1" t="str">
        <f>VLOOKUP(K:K,'8店'!$B:$B,1,0)</f>
        <v>Y8082-BL</v>
      </c>
      <c r="T22" t="s">
        <v>2898</v>
      </c>
      <c r="U22">
        <v>93</v>
      </c>
      <c r="V22">
        <v>0</v>
      </c>
      <c r="W22">
        <v>0</v>
      </c>
      <c r="X22">
        <v>0</v>
      </c>
      <c r="Y22">
        <v>0</v>
      </c>
      <c r="Z22" s="31">
        <v>0</v>
      </c>
      <c r="AA22" s="31">
        <v>0</v>
      </c>
      <c r="AB22" s="1" t="str">
        <f>VLOOKUP(T:T,'8店'!$B:$B,1,0)</f>
        <v>Y8083-PU</v>
      </c>
      <c r="AC22" t="s">
        <v>2900</v>
      </c>
      <c r="AD22">
        <v>29049</v>
      </c>
      <c r="AE22">
        <v>430</v>
      </c>
      <c r="AF22">
        <v>67.18</v>
      </c>
      <c r="AG22">
        <v>879.78</v>
      </c>
      <c r="AH22">
        <v>21</v>
      </c>
      <c r="AI22" s="31">
        <v>0.0763599990906818</v>
      </c>
      <c r="AJ22" s="31">
        <v>0.0488372093023256</v>
      </c>
      <c r="AK22" s="1" t="str">
        <f>VLOOKUP(AC:AC,'8店'!$B:$B,1,0)</f>
        <v>Y8086</v>
      </c>
      <c r="AL22" s="29" t="s">
        <v>2980</v>
      </c>
      <c r="AM22" s="33">
        <v>120.73</v>
      </c>
      <c r="AN22" s="1">
        <f t="shared" si="1"/>
        <v>827.0005</v>
      </c>
      <c r="AP22" s="29" t="s">
        <v>2894</v>
      </c>
      <c r="AQ22" s="33">
        <v>119.9</v>
      </c>
      <c r="AR22" s="1">
        <f t="shared" si="0"/>
        <v>821.315</v>
      </c>
      <c r="AT22" s="108" t="s">
        <v>2807</v>
      </c>
      <c r="AU22" s="44">
        <v>139.5</v>
      </c>
      <c r="AV22" s="35"/>
      <c r="AW22" s="108" t="s">
        <v>2804</v>
      </c>
      <c r="AX22" s="44">
        <v>171</v>
      </c>
      <c r="AZ22" s="112" t="s">
        <v>3011</v>
      </c>
      <c r="BA22" s="113">
        <v>3.679</v>
      </c>
      <c r="BB22" s="1" t="s">
        <v>430</v>
      </c>
    </row>
    <row r="23" ht="16.3" spans="2:54">
      <c r="B23" t="s">
        <v>2978</v>
      </c>
      <c r="C23">
        <v>9</v>
      </c>
      <c r="D23" s="1" t="str">
        <f>VLOOKUP(B:B,'8店'!$B:$B,1,0)</f>
        <v>Y8097-GN</v>
      </c>
      <c r="E23" t="s">
        <v>2904</v>
      </c>
      <c r="F23">
        <v>10</v>
      </c>
      <c r="G23" s="1" t="str">
        <f>VLOOKUP(E:E,'8店'!$B:$B,1,0)</f>
        <v>Y8090-2</v>
      </c>
      <c r="H23" t="s">
        <v>2841</v>
      </c>
      <c r="I23">
        <v>286</v>
      </c>
      <c r="J23" s="1" t="str">
        <f>VLOOKUP(H:H,'8店'!$B:$B,1,0)</f>
        <v>Y8056-BL</v>
      </c>
      <c r="K23" t="s">
        <v>2902</v>
      </c>
      <c r="L23">
        <v>11021</v>
      </c>
      <c r="M23">
        <v>34</v>
      </c>
      <c r="N23">
        <v>11.01</v>
      </c>
      <c r="O23">
        <v>23.99</v>
      </c>
      <c r="P23">
        <v>1</v>
      </c>
      <c r="Q23" s="31">
        <v>0.458941225510629</v>
      </c>
      <c r="R23" s="31">
        <v>0.0294117647058824</v>
      </c>
      <c r="S23" s="1" t="str">
        <f>VLOOKUP(K:K,'8店'!$B:$B,1,0)</f>
        <v>Y8093-1</v>
      </c>
      <c r="T23" t="s">
        <v>2896</v>
      </c>
      <c r="U23">
        <v>1821</v>
      </c>
      <c r="V23">
        <v>2</v>
      </c>
      <c r="W23">
        <v>0.28</v>
      </c>
      <c r="X23">
        <v>0</v>
      </c>
      <c r="Y23">
        <v>0</v>
      </c>
      <c r="Z23" s="31">
        <v>0</v>
      </c>
      <c r="AA23" s="31">
        <v>0</v>
      </c>
      <c r="AB23" s="1" t="str">
        <f>VLOOKUP(T:T,'8店'!$B:$B,1,0)</f>
        <v>Y8083-BL</v>
      </c>
      <c r="AC23" t="s">
        <v>2892</v>
      </c>
      <c r="AD23">
        <v>2771</v>
      </c>
      <c r="AE23">
        <v>7</v>
      </c>
      <c r="AF23">
        <v>2.41</v>
      </c>
      <c r="AG23">
        <v>0</v>
      </c>
      <c r="AH23">
        <v>0</v>
      </c>
      <c r="AI23" s="31">
        <v>0</v>
      </c>
      <c r="AJ23" s="31">
        <v>0</v>
      </c>
      <c r="AK23" s="1" t="str">
        <f>VLOOKUP(AC:AC,'8店'!$B:$B,1,0)</f>
        <v>Y8082-NF</v>
      </c>
      <c r="AL23" s="29" t="s">
        <v>2775</v>
      </c>
      <c r="AM23" s="33">
        <v>124.95</v>
      </c>
      <c r="AN23" s="1">
        <f t="shared" si="1"/>
        <v>855.9075</v>
      </c>
      <c r="AP23" s="29" t="s">
        <v>2978</v>
      </c>
      <c r="AQ23" s="33">
        <v>187.49</v>
      </c>
      <c r="AR23" s="1">
        <f t="shared" si="0"/>
        <v>1284.3065</v>
      </c>
      <c r="AT23" s="108" t="s">
        <v>2810</v>
      </c>
      <c r="AU23" s="44">
        <v>70</v>
      </c>
      <c r="AV23" s="35"/>
      <c r="AW23" s="108" t="s">
        <v>2807</v>
      </c>
      <c r="AX23" s="44">
        <v>155</v>
      </c>
      <c r="AZ23" s="114" t="s">
        <v>2804</v>
      </c>
      <c r="BA23" s="113">
        <v>7.358</v>
      </c>
      <c r="BB23" s="1" t="s">
        <v>430</v>
      </c>
    </row>
    <row r="24" ht="16.3" spans="2:54">
      <c r="B24" t="s">
        <v>2980</v>
      </c>
      <c r="C24">
        <v>7</v>
      </c>
      <c r="D24" s="1" t="str">
        <f>VLOOKUP(B:B,'8店'!$B:$B,1,0)</f>
        <v>Y8097-RE</v>
      </c>
      <c r="E24" t="s">
        <v>2916</v>
      </c>
      <c r="F24">
        <v>40</v>
      </c>
      <c r="G24" s="1" t="str">
        <f>VLOOKUP(E:E,'8店'!$B:$B,1,0)</f>
        <v>Y8095-GR</v>
      </c>
      <c r="H24" t="s">
        <v>2880</v>
      </c>
      <c r="I24">
        <v>12</v>
      </c>
      <c r="J24" s="1" t="str">
        <f>VLOOKUP(H:H,'8店'!$B:$B,1,0)</f>
        <v>Y8080</v>
      </c>
      <c r="K24" t="s">
        <v>2904</v>
      </c>
      <c r="L24">
        <v>12118</v>
      </c>
      <c r="M24">
        <v>45</v>
      </c>
      <c r="N24">
        <v>7.75</v>
      </c>
      <c r="O24">
        <v>0</v>
      </c>
      <c r="P24">
        <v>0</v>
      </c>
      <c r="Q24" s="31">
        <v>0</v>
      </c>
      <c r="R24" s="31">
        <v>0</v>
      </c>
      <c r="S24" s="1" t="str">
        <f>VLOOKUP(K:K,'8店'!$B:$B,1,0)</f>
        <v>Y8090-2</v>
      </c>
      <c r="T24" t="s">
        <v>2902</v>
      </c>
      <c r="U24">
        <v>18505</v>
      </c>
      <c r="V24">
        <v>77</v>
      </c>
      <c r="W24">
        <v>22.29</v>
      </c>
      <c r="X24">
        <v>42.98</v>
      </c>
      <c r="Y24">
        <v>2</v>
      </c>
      <c r="Z24" s="31">
        <v>0.518613308515589</v>
      </c>
      <c r="AA24" s="31">
        <v>0.025974025974026</v>
      </c>
      <c r="AB24" s="1" t="str">
        <f>VLOOKUP(T:T,'8店'!$B:$B,1,0)</f>
        <v>Y8093-1</v>
      </c>
      <c r="AC24" t="s">
        <v>2894</v>
      </c>
      <c r="AD24">
        <v>3632</v>
      </c>
      <c r="AE24">
        <v>27</v>
      </c>
      <c r="AF24">
        <v>11.8</v>
      </c>
      <c r="AG24">
        <v>23.98</v>
      </c>
      <c r="AH24">
        <v>2</v>
      </c>
      <c r="AI24" s="31">
        <v>0.492076730608841</v>
      </c>
      <c r="AJ24" s="31">
        <v>0.0740740740740741</v>
      </c>
      <c r="AK24" s="1" t="str">
        <f>VLOOKUP(AC:AC,'8店'!$B:$B,1,0)</f>
        <v>Y8082-BL</v>
      </c>
      <c r="AL24" s="29" t="s">
        <v>2861</v>
      </c>
      <c r="AM24" s="33">
        <v>59.95</v>
      </c>
      <c r="AN24" s="1">
        <f t="shared" si="1"/>
        <v>410.6575</v>
      </c>
      <c r="AP24" s="29" t="s">
        <v>2904</v>
      </c>
      <c r="AQ24" s="33">
        <v>79.9</v>
      </c>
      <c r="AR24" s="1">
        <f t="shared" si="0"/>
        <v>547.315</v>
      </c>
      <c r="AT24" s="108" t="s">
        <v>2813</v>
      </c>
      <c r="AU24" s="44">
        <v>2352.003</v>
      </c>
      <c r="AV24" s="35"/>
      <c r="AW24" s="108" t="s">
        <v>2810</v>
      </c>
      <c r="AX24" s="44">
        <v>70</v>
      </c>
      <c r="AZ24" s="112" t="s">
        <v>2807</v>
      </c>
      <c r="BA24" s="113">
        <v>4.804</v>
      </c>
      <c r="BB24" s="1" t="s">
        <v>430</v>
      </c>
    </row>
    <row r="25" ht="16.3" spans="2:54">
      <c r="B25" t="s">
        <v>2985</v>
      </c>
      <c r="C25">
        <v>9</v>
      </c>
      <c r="D25" s="1" t="str">
        <f>VLOOKUP(B:B,'8店'!$B:$B,1,0)</f>
        <v>Y8095-GR-1</v>
      </c>
      <c r="E25" t="s">
        <v>2918</v>
      </c>
      <c r="F25">
        <v>17</v>
      </c>
      <c r="G25" s="1" t="str">
        <f>VLOOKUP(E:E,'8店'!$B:$B,1,0)</f>
        <v>Y8095-RE</v>
      </c>
      <c r="H25" t="s">
        <v>2869</v>
      </c>
      <c r="I25">
        <v>32</v>
      </c>
      <c r="J25" s="1" t="str">
        <f>VLOOKUP(H:H,'8店'!$B:$B,1,0)</f>
        <v>Y8074*2</v>
      </c>
      <c r="K25" t="s">
        <v>2916</v>
      </c>
      <c r="L25">
        <v>8460</v>
      </c>
      <c r="M25">
        <v>49</v>
      </c>
      <c r="N25">
        <v>13.91</v>
      </c>
      <c r="O25">
        <v>50.97</v>
      </c>
      <c r="P25">
        <v>3</v>
      </c>
      <c r="Q25" s="31">
        <v>0.272905630763194</v>
      </c>
      <c r="R25" s="31">
        <v>0.0612244897959184</v>
      </c>
      <c r="S25" s="1" t="str">
        <f>VLOOKUP(K:K,'8店'!$B:$B,1,0)</f>
        <v>Y8095-GR</v>
      </c>
      <c r="T25" t="s">
        <v>2904</v>
      </c>
      <c r="U25">
        <v>24617</v>
      </c>
      <c r="V25">
        <v>83</v>
      </c>
      <c r="W25">
        <v>14.49</v>
      </c>
      <c r="X25">
        <v>26.98</v>
      </c>
      <c r="Y25">
        <v>2</v>
      </c>
      <c r="Z25" s="31">
        <v>0.537064492216457</v>
      </c>
      <c r="AA25" s="31">
        <v>0.0240963855421687</v>
      </c>
      <c r="AB25" s="1" t="str">
        <f>VLOOKUP(T:T,'8店'!$B:$B,1,0)</f>
        <v>Y8090-2</v>
      </c>
      <c r="AC25" t="s">
        <v>2898</v>
      </c>
      <c r="AD25">
        <v>128</v>
      </c>
      <c r="AE25">
        <v>1</v>
      </c>
      <c r="AF25">
        <v>0.15</v>
      </c>
      <c r="AG25">
        <v>0</v>
      </c>
      <c r="AH25">
        <v>0</v>
      </c>
      <c r="AI25" s="31">
        <v>0</v>
      </c>
      <c r="AJ25" s="31">
        <v>0</v>
      </c>
      <c r="AK25" s="1" t="str">
        <f>VLOOKUP(AC:AC,'8店'!$B:$B,1,0)</f>
        <v>Y8083-PU</v>
      </c>
      <c r="AL25" s="29" t="s">
        <v>2894</v>
      </c>
      <c r="AM25" s="33">
        <v>59.95</v>
      </c>
      <c r="AN25" s="1">
        <f>AM25*$AS$1</f>
        <v>410.6575</v>
      </c>
      <c r="AP25" s="29" t="s">
        <v>2861</v>
      </c>
      <c r="AQ25" s="33">
        <v>119.9</v>
      </c>
      <c r="AR25" s="1">
        <f>AQ25*$AS$1</f>
        <v>821.315</v>
      </c>
      <c r="AT25" s="108" t="s">
        <v>2815</v>
      </c>
      <c r="AU25" s="44">
        <v>3479.22</v>
      </c>
      <c r="AV25" s="35"/>
      <c r="AW25" s="109" t="s">
        <v>2813</v>
      </c>
      <c r="AX25" s="44">
        <v>2147.481</v>
      </c>
      <c r="AZ25" s="112" t="s">
        <v>3012</v>
      </c>
      <c r="BA25" s="113">
        <v>8.467</v>
      </c>
      <c r="BB25" s="1" t="s">
        <v>430</v>
      </c>
    </row>
    <row r="26" ht="16.3" spans="2:54">
      <c r="B26" t="s">
        <v>2777</v>
      </c>
      <c r="C26">
        <v>1</v>
      </c>
      <c r="D26" s="1" t="str">
        <f>VLOOKUP(B:B,'8店'!$B:$B,1,0)</f>
        <v>Y8006</v>
      </c>
      <c r="E26" t="s">
        <v>2964</v>
      </c>
      <c r="F26">
        <v>7</v>
      </c>
      <c r="G26" s="1" t="str">
        <f>VLOOKUP(E:E,'8店'!$B:$B,1,0)</f>
        <v>Y8805-RE</v>
      </c>
      <c r="H26" t="s">
        <v>2888</v>
      </c>
      <c r="I26">
        <v>2</v>
      </c>
      <c r="J26" s="1" t="str">
        <f>VLOOKUP(H:H,'8店'!$B:$B,1,0)</f>
        <v>Y8069-BL</v>
      </c>
      <c r="K26" t="s">
        <v>2791</v>
      </c>
      <c r="L26">
        <v>4870</v>
      </c>
      <c r="M26">
        <v>22</v>
      </c>
      <c r="N26">
        <v>18.14</v>
      </c>
      <c r="O26">
        <v>173.93</v>
      </c>
      <c r="P26">
        <v>7</v>
      </c>
      <c r="Q26" s="31">
        <v>0.104294831253953</v>
      </c>
      <c r="R26" s="31">
        <v>0.318181818181818</v>
      </c>
      <c r="S26" s="1" t="str">
        <f>VLOOKUP(K:K,'8店'!$B:$B,1,0)</f>
        <v>Y8016-RE</v>
      </c>
      <c r="T26" t="s">
        <v>2916</v>
      </c>
      <c r="U26">
        <v>16296</v>
      </c>
      <c r="V26">
        <v>106</v>
      </c>
      <c r="W26">
        <v>29.84</v>
      </c>
      <c r="X26">
        <v>84.95</v>
      </c>
      <c r="Y26">
        <v>5</v>
      </c>
      <c r="Z26" s="31">
        <v>0.351265450264862</v>
      </c>
      <c r="AA26" s="31">
        <v>0.0471698113207547</v>
      </c>
      <c r="AB26" s="1" t="str">
        <f>VLOOKUP(T:T,'8店'!$B:$B,1,0)</f>
        <v>Y8095-GR</v>
      </c>
      <c r="AC26" t="s">
        <v>2896</v>
      </c>
      <c r="AD26">
        <v>3136</v>
      </c>
      <c r="AE26">
        <v>5</v>
      </c>
      <c r="AF26">
        <v>0.67</v>
      </c>
      <c r="AG26">
        <v>0</v>
      </c>
      <c r="AH26">
        <v>0</v>
      </c>
      <c r="AI26" s="31">
        <v>0</v>
      </c>
      <c r="AJ26" s="31">
        <v>0</v>
      </c>
      <c r="AK26" s="1" t="str">
        <f>VLOOKUP(AC:AC,'8店'!$B:$B,1,0)</f>
        <v>Y8083-BL</v>
      </c>
      <c r="AL26" s="29" t="s">
        <v>2904</v>
      </c>
      <c r="AM26" s="33">
        <v>39.95</v>
      </c>
      <c r="AN26" s="1">
        <f t="shared" ref="AN26:AN42" si="2">AM26*$AS$1</f>
        <v>273.6575</v>
      </c>
      <c r="AP26" s="29" t="s">
        <v>2785</v>
      </c>
      <c r="AQ26" s="33">
        <v>152.91</v>
      </c>
      <c r="AR26" s="1">
        <f>AQ26*$AS$1</f>
        <v>1047.4335</v>
      </c>
      <c r="AT26" s="108" t="s">
        <v>2817</v>
      </c>
      <c r="AU26" s="44">
        <v>679.812</v>
      </c>
      <c r="AV26" s="35"/>
      <c r="AW26" s="108" t="s">
        <v>2815</v>
      </c>
      <c r="AX26" s="44">
        <v>8049.96</v>
      </c>
      <c r="AZ26" s="114" t="s">
        <v>2810</v>
      </c>
      <c r="BA26" s="113">
        <v>5.12</v>
      </c>
      <c r="BB26" s="1" t="s">
        <v>430</v>
      </c>
    </row>
    <row r="27" ht="16.3" spans="2:54">
      <c r="B27" t="s">
        <v>2791</v>
      </c>
      <c r="C27">
        <v>9</v>
      </c>
      <c r="D27" s="1" t="str">
        <f>VLOOKUP(B:B,'8店'!$B:$B,1,0)</f>
        <v>Y8016-RE</v>
      </c>
      <c r="E27" t="s">
        <v>2777</v>
      </c>
      <c r="F27">
        <v>4</v>
      </c>
      <c r="G27" s="1" t="str">
        <f>VLOOKUP(E:E,'8店'!$B:$B,1,0)</f>
        <v>Y8006</v>
      </c>
      <c r="H27" t="s">
        <v>2900</v>
      </c>
      <c r="I27">
        <v>39</v>
      </c>
      <c r="J27" s="1" t="str">
        <f>VLOOKUP(H:H,'8店'!$B:$B,1,0)</f>
        <v>Y8086</v>
      </c>
      <c r="K27" t="s">
        <v>2906</v>
      </c>
      <c r="L27">
        <v>626</v>
      </c>
      <c r="M27">
        <v>3</v>
      </c>
      <c r="N27">
        <v>0.36</v>
      </c>
      <c r="O27">
        <v>0</v>
      </c>
      <c r="P27">
        <v>0</v>
      </c>
      <c r="Q27" s="31">
        <v>0</v>
      </c>
      <c r="R27" s="31">
        <v>0</v>
      </c>
      <c r="S27" s="1" t="str">
        <f>VLOOKUP(K:K,'8店'!$B:$B,1,0)</f>
        <v>Y8090-3</v>
      </c>
      <c r="T27" t="s">
        <v>2791</v>
      </c>
      <c r="U27">
        <v>18099</v>
      </c>
      <c r="V27">
        <v>57</v>
      </c>
      <c r="W27">
        <v>49.31</v>
      </c>
      <c r="X27">
        <v>269.89</v>
      </c>
      <c r="Y27">
        <v>11</v>
      </c>
      <c r="Z27" s="31">
        <v>0.182704064618919</v>
      </c>
      <c r="AA27" s="31">
        <v>0.192982456140351</v>
      </c>
      <c r="AB27" s="1" t="str">
        <f>VLOOKUP(T:T,'8店'!$B:$B,1,0)</f>
        <v>Y8016-RE</v>
      </c>
      <c r="AC27" t="s">
        <v>2857</v>
      </c>
      <c r="AD27">
        <v>11575</v>
      </c>
      <c r="AE27">
        <v>42</v>
      </c>
      <c r="AF27">
        <v>25.08</v>
      </c>
      <c r="AG27">
        <v>0</v>
      </c>
      <c r="AH27">
        <v>0</v>
      </c>
      <c r="AI27" s="31">
        <v>0</v>
      </c>
      <c r="AJ27" s="31">
        <v>0</v>
      </c>
      <c r="AK27" s="1" t="str">
        <f>VLOOKUP(AC:AC,'8店'!$B:$B,1,0)</f>
        <v>Y8055-SC</v>
      </c>
      <c r="AL27" s="29" t="s">
        <v>2869</v>
      </c>
      <c r="AM27" s="33">
        <v>167.88</v>
      </c>
      <c r="AN27" s="1">
        <f t="shared" si="2"/>
        <v>1149.978</v>
      </c>
      <c r="AP27" s="29" t="s">
        <v>2869</v>
      </c>
      <c r="AQ27" s="33">
        <v>237.83</v>
      </c>
      <c r="AR27" s="1">
        <f>AQ27*$AS$1</f>
        <v>1629.1355</v>
      </c>
      <c r="AT27" s="108" t="s">
        <v>2820</v>
      </c>
      <c r="AU27" s="44">
        <v>644.727</v>
      </c>
      <c r="AV27" s="35"/>
      <c r="AW27" s="108" t="s">
        <v>2817</v>
      </c>
      <c r="AX27" s="44">
        <v>712.184</v>
      </c>
      <c r="AZ27" s="114" t="s">
        <v>2815</v>
      </c>
      <c r="BA27" s="113">
        <v>1.974</v>
      </c>
      <c r="BB27" s="1" t="s">
        <v>430</v>
      </c>
    </row>
    <row r="28" ht="16.3" spans="2:54">
      <c r="B28" t="s">
        <v>2863</v>
      </c>
      <c r="C28">
        <v>2</v>
      </c>
      <c r="D28" s="1" t="str">
        <f>VLOOKUP(B:B,'8店'!$B:$B,1,0)</f>
        <v>Y8067</v>
      </c>
      <c r="E28" t="s">
        <v>2975</v>
      </c>
      <c r="F28">
        <v>2</v>
      </c>
      <c r="G28" s="1" t="str">
        <f>VLOOKUP(E:E,'8店'!$B:$B,1,0)</f>
        <v>Y8052-SI</v>
      </c>
      <c r="H28" t="s">
        <v>2890</v>
      </c>
      <c r="I28">
        <v>3</v>
      </c>
      <c r="J28" s="1" t="str">
        <f>VLOOKUP(H:H,'8店'!$B:$B,1,0)</f>
        <v>Y8069-PU</v>
      </c>
      <c r="K28" t="s">
        <v>2857</v>
      </c>
      <c r="L28">
        <v>3594</v>
      </c>
      <c r="M28">
        <v>11</v>
      </c>
      <c r="N28">
        <v>6.7</v>
      </c>
      <c r="O28">
        <v>0</v>
      </c>
      <c r="P28">
        <v>0</v>
      </c>
      <c r="Q28" s="31">
        <v>0</v>
      </c>
      <c r="R28" s="31">
        <v>0</v>
      </c>
      <c r="S28" s="1" t="str">
        <f>VLOOKUP(K:K,'8店'!$B:$B,1,0)</f>
        <v>Y8055-SC</v>
      </c>
      <c r="T28" t="s">
        <v>2906</v>
      </c>
      <c r="U28">
        <v>1077</v>
      </c>
      <c r="V28">
        <v>8</v>
      </c>
      <c r="W28">
        <v>1.14</v>
      </c>
      <c r="X28">
        <v>0</v>
      </c>
      <c r="Y28">
        <v>0</v>
      </c>
      <c r="Z28" s="31">
        <v>0</v>
      </c>
      <c r="AA28" s="31">
        <v>0</v>
      </c>
      <c r="AB28" s="1" t="str">
        <f>VLOOKUP(T:T,'8店'!$B:$B,1,0)</f>
        <v>Y8090-3</v>
      </c>
      <c r="AC28" t="s">
        <v>2902</v>
      </c>
      <c r="AD28">
        <v>25236</v>
      </c>
      <c r="AE28">
        <v>117</v>
      </c>
      <c r="AF28">
        <v>31.63</v>
      </c>
      <c r="AG28">
        <v>110.95</v>
      </c>
      <c r="AH28">
        <v>4</v>
      </c>
      <c r="AI28" s="31">
        <v>0.285083370887787</v>
      </c>
      <c r="AJ28" s="31">
        <v>0.0341880341880342</v>
      </c>
      <c r="AK28" s="1" t="str">
        <f>VLOOKUP(AC:AC,'8店'!$B:$B,1,0)</f>
        <v>Y8093-1</v>
      </c>
      <c r="AL28" s="29" t="s">
        <v>2773</v>
      </c>
      <c r="AM28" s="33">
        <v>63.96</v>
      </c>
      <c r="AN28" s="1">
        <f t="shared" si="2"/>
        <v>438.126</v>
      </c>
      <c r="AP28" s="29" t="s">
        <v>2880</v>
      </c>
      <c r="AQ28" s="33">
        <v>87.92</v>
      </c>
      <c r="AR28" s="1">
        <f>AQ28*$AS$1</f>
        <v>602.252</v>
      </c>
      <c r="AT28" s="108" t="s">
        <v>2822</v>
      </c>
      <c r="AU28" s="44">
        <v>67.7</v>
      </c>
      <c r="AV28" s="35"/>
      <c r="AW28" s="108" t="s">
        <v>2820</v>
      </c>
      <c r="AX28" s="44">
        <v>610.794</v>
      </c>
      <c r="AZ28" s="112" t="s">
        <v>2813</v>
      </c>
      <c r="BA28" s="113">
        <v>2.022</v>
      </c>
      <c r="BB28" s="1" t="s">
        <v>430</v>
      </c>
    </row>
    <row r="29" ht="16.3" spans="2:54">
      <c r="B29" t="s">
        <v>2964</v>
      </c>
      <c r="C29">
        <v>3</v>
      </c>
      <c r="D29" s="1" t="str">
        <f>VLOOKUP(B:B,'8店'!$B:$B,1,0)</f>
        <v>Y8805-RE</v>
      </c>
      <c r="E29" t="s">
        <v>2978</v>
      </c>
      <c r="F29">
        <v>11</v>
      </c>
      <c r="G29" s="1" t="str">
        <f>VLOOKUP(E:E,'8店'!$B:$B,1,0)</f>
        <v>Y8097-GN</v>
      </c>
      <c r="H29" t="s">
        <v>2894</v>
      </c>
      <c r="I29">
        <v>18</v>
      </c>
      <c r="J29" s="1" t="str">
        <f>VLOOKUP(H:H,'8店'!$B:$B,1,0)</f>
        <v>Y8082-BL</v>
      </c>
      <c r="K29" t="s">
        <v>2799</v>
      </c>
      <c r="L29">
        <v>26778</v>
      </c>
      <c r="M29">
        <v>290</v>
      </c>
      <c r="N29">
        <v>16.12</v>
      </c>
      <c r="O29">
        <v>314.73</v>
      </c>
      <c r="P29">
        <v>16</v>
      </c>
      <c r="Q29" s="31">
        <v>0.0512185047501033</v>
      </c>
      <c r="R29" s="31">
        <v>0.0551724137931035</v>
      </c>
      <c r="S29" s="1" t="str">
        <f>VLOOKUP(K:K,'8店'!$B:$B,1,0)</f>
        <v>Y8009-BA-1</v>
      </c>
      <c r="T29" t="s">
        <v>2857</v>
      </c>
      <c r="U29">
        <v>6815</v>
      </c>
      <c r="V29">
        <v>25</v>
      </c>
      <c r="W29">
        <v>14.93</v>
      </c>
      <c r="X29">
        <v>0</v>
      </c>
      <c r="Y29">
        <v>0</v>
      </c>
      <c r="Z29" s="31">
        <v>0</v>
      </c>
      <c r="AA29" s="31">
        <v>0</v>
      </c>
      <c r="AB29" s="1" t="str">
        <f>VLOOKUP(T:T,'8店'!$B:$B,1,0)</f>
        <v>Y8055-SC</v>
      </c>
      <c r="AC29" t="s">
        <v>2904</v>
      </c>
      <c r="AD29">
        <v>37459</v>
      </c>
      <c r="AE29">
        <v>168</v>
      </c>
      <c r="AF29">
        <v>29.5</v>
      </c>
      <c r="AG29">
        <v>69.93</v>
      </c>
      <c r="AH29">
        <v>7</v>
      </c>
      <c r="AI29" s="31">
        <v>0.421850421850422</v>
      </c>
      <c r="AJ29" s="31">
        <v>0.0416666666666667</v>
      </c>
      <c r="AK29" s="1" t="str">
        <f>VLOOKUP(AC:AC,'8店'!$B:$B,1,0)</f>
        <v>Y8090-2</v>
      </c>
      <c r="AL29" s="29" t="s">
        <v>2785</v>
      </c>
      <c r="AM29" s="33">
        <v>67.96</v>
      </c>
      <c r="AN29" s="1">
        <f t="shared" si="2"/>
        <v>465.526</v>
      </c>
      <c r="AP29" s="29" t="s">
        <v>2775</v>
      </c>
      <c r="AQ29" s="33">
        <v>124.95</v>
      </c>
      <c r="AR29" s="1">
        <f>AQ29*$AS$1</f>
        <v>855.9075</v>
      </c>
      <c r="AT29" s="108" t="s">
        <v>2825</v>
      </c>
      <c r="AU29" s="44">
        <v>4464.742</v>
      </c>
      <c r="AV29" s="35"/>
      <c r="AW29" s="108" t="s">
        <v>2822</v>
      </c>
      <c r="AX29" s="44">
        <v>67.7</v>
      </c>
      <c r="AZ29" s="112" t="s">
        <v>2822</v>
      </c>
      <c r="BA29" s="113">
        <v>5.584</v>
      </c>
      <c r="BB29" s="1" t="s">
        <v>430</v>
      </c>
    </row>
    <row r="30" ht="16.3" spans="2:54">
      <c r="B30" t="s">
        <v>2900</v>
      </c>
      <c r="C30">
        <v>7</v>
      </c>
      <c r="D30" s="1" t="str">
        <f>VLOOKUP(B:B,'8店'!$B:$B,1,0)</f>
        <v>Y8086</v>
      </c>
      <c r="E30" t="s">
        <v>2863</v>
      </c>
      <c r="F30">
        <v>5</v>
      </c>
      <c r="G30" s="1" t="str">
        <f>VLOOKUP(E:E,'8店'!$B:$B,1,0)</f>
        <v>Y8067</v>
      </c>
      <c r="H30" t="s">
        <v>2857</v>
      </c>
      <c r="I30">
        <v>3</v>
      </c>
      <c r="J30" s="1" t="str">
        <f>VLOOKUP(H:H,'8店'!$B:$B,1,0)</f>
        <v>Y8055-SC</v>
      </c>
      <c r="K30" t="s">
        <v>2890</v>
      </c>
      <c r="L30">
        <v>342</v>
      </c>
      <c r="M30">
        <v>2</v>
      </c>
      <c r="N30">
        <v>0.4</v>
      </c>
      <c r="O30">
        <v>23.98</v>
      </c>
      <c r="P30">
        <v>2</v>
      </c>
      <c r="Q30" s="31">
        <v>0.0166805671392827</v>
      </c>
      <c r="R30" s="31">
        <v>1</v>
      </c>
      <c r="S30" s="1" t="str">
        <f>VLOOKUP(K:K,'8店'!$B:$B,1,0)</f>
        <v>Y8069-PU</v>
      </c>
      <c r="T30" t="s">
        <v>2799</v>
      </c>
      <c r="U30">
        <v>57901</v>
      </c>
      <c r="V30">
        <v>625</v>
      </c>
      <c r="W30">
        <v>35.68</v>
      </c>
      <c r="X30">
        <v>694.53</v>
      </c>
      <c r="Y30">
        <v>36</v>
      </c>
      <c r="Z30" s="31">
        <v>0.0513728708623098</v>
      </c>
      <c r="AA30" s="31">
        <v>0.0576</v>
      </c>
      <c r="AB30" s="1" t="str">
        <f>VLOOKUP(T:T,'8店'!$B:$B,1,0)</f>
        <v>Y8009-BA-1</v>
      </c>
      <c r="AC30" t="s">
        <v>2906</v>
      </c>
      <c r="AD30">
        <v>2168</v>
      </c>
      <c r="AE30">
        <v>19</v>
      </c>
      <c r="AF30">
        <v>2.7</v>
      </c>
      <c r="AG30">
        <v>0</v>
      </c>
      <c r="AH30">
        <v>0</v>
      </c>
      <c r="AI30" s="31">
        <v>0</v>
      </c>
      <c r="AJ30" s="31">
        <v>0</v>
      </c>
      <c r="AK30" s="1" t="str">
        <f>VLOOKUP(AC:AC,'8店'!$B:$B,1,0)</f>
        <v>Y8090-3</v>
      </c>
      <c r="AL30" s="29" t="s">
        <v>2863</v>
      </c>
      <c r="AM30" s="33">
        <v>39.98</v>
      </c>
      <c r="AN30" s="1">
        <f t="shared" si="2"/>
        <v>273.863</v>
      </c>
      <c r="AP30" s="29" t="s">
        <v>2863</v>
      </c>
      <c r="AQ30" s="33">
        <v>99.95</v>
      </c>
      <c r="AR30" s="1">
        <f>AQ30*$AS$1</f>
        <v>684.6575</v>
      </c>
      <c r="AT30" s="108" t="s">
        <v>2827</v>
      </c>
      <c r="AU30" s="44">
        <v>1703</v>
      </c>
      <c r="AV30" s="35"/>
      <c r="AW30" s="108" t="s">
        <v>2825</v>
      </c>
      <c r="AX30" s="44">
        <v>10224.6</v>
      </c>
      <c r="AZ30" s="113" t="s">
        <v>2825</v>
      </c>
      <c r="BA30" s="113">
        <v>1.935</v>
      </c>
      <c r="BB30" s="1" t="s">
        <v>430</v>
      </c>
    </row>
    <row r="31" ht="16.3" spans="2:54">
      <c r="B31" t="s">
        <v>2890</v>
      </c>
      <c r="C31">
        <v>1</v>
      </c>
      <c r="D31" s="1" t="str">
        <f>VLOOKUP(B:B,'8店'!$B:$B,1,0)</f>
        <v>Y8069-PU</v>
      </c>
      <c r="E31" t="s">
        <v>2892</v>
      </c>
      <c r="F31">
        <v>2</v>
      </c>
      <c r="G31" s="1" t="str">
        <f>VLOOKUP(E:E,'8店'!$B:$B,1,0)</f>
        <v>Y8082-NF</v>
      </c>
      <c r="H31" t="s">
        <v>2904</v>
      </c>
      <c r="I31">
        <v>19</v>
      </c>
      <c r="J31" s="1" t="str">
        <f>VLOOKUP(H:H,'8店'!$B:$B,1,0)</f>
        <v>Y8090-2</v>
      </c>
      <c r="K31" t="s">
        <v>2952</v>
      </c>
      <c r="L31">
        <v>7</v>
      </c>
      <c r="M31">
        <v>0</v>
      </c>
      <c r="N31">
        <v>0</v>
      </c>
      <c r="O31">
        <v>0</v>
      </c>
      <c r="P31">
        <v>0</v>
      </c>
      <c r="Q31" s="31">
        <v>0</v>
      </c>
      <c r="R31" s="31">
        <v>0</v>
      </c>
      <c r="S31" s="1" t="str">
        <f>VLOOKUP(K:K,'8店'!$B:$B,1,0)</f>
        <v>Y8816-SC</v>
      </c>
      <c r="T31" t="s">
        <v>2890</v>
      </c>
      <c r="U31">
        <v>538</v>
      </c>
      <c r="V31">
        <v>4</v>
      </c>
      <c r="W31">
        <v>0.64</v>
      </c>
      <c r="X31">
        <v>23.98</v>
      </c>
      <c r="Y31">
        <v>2</v>
      </c>
      <c r="Z31" s="31">
        <v>0.0266889074228524</v>
      </c>
      <c r="AA31" s="31">
        <v>0.5</v>
      </c>
      <c r="AB31" s="1" t="str">
        <f>VLOOKUP(T:T,'8店'!$B:$B,1,0)</f>
        <v>Y8069-PU</v>
      </c>
      <c r="AC31" t="s">
        <v>2908</v>
      </c>
      <c r="AD31">
        <v>12822</v>
      </c>
      <c r="AE31">
        <v>70</v>
      </c>
      <c r="AF31">
        <v>10.18</v>
      </c>
      <c r="AG31">
        <v>17.98</v>
      </c>
      <c r="AH31">
        <v>2</v>
      </c>
      <c r="AI31" s="31">
        <v>0.566184649610679</v>
      </c>
      <c r="AJ31" s="31">
        <v>0.0285714285714286</v>
      </c>
      <c r="AK31" s="1" t="str">
        <f>VLOOKUP(AC:AC,'8店'!$B:$B,1,0)</f>
        <v>Y8092-BL-1</v>
      </c>
      <c r="AL31" s="29" t="s">
        <v>2908</v>
      </c>
      <c r="AM31" s="33">
        <v>17.98</v>
      </c>
      <c r="AN31" s="1">
        <f t="shared" si="2"/>
        <v>123.163</v>
      </c>
      <c r="AP31" s="29" t="s">
        <v>2773</v>
      </c>
      <c r="AQ31" s="33">
        <v>78.95</v>
      </c>
      <c r="AR31" s="1">
        <f>AQ31*$AS$1</f>
        <v>540.8075</v>
      </c>
      <c r="AT31" s="108" t="s">
        <v>2829</v>
      </c>
      <c r="AU31" s="44">
        <v>205.8</v>
      </c>
      <c r="AV31" s="35"/>
      <c r="AW31" s="109" t="s">
        <v>2827</v>
      </c>
      <c r="AX31" s="44">
        <v>1668.94</v>
      </c>
      <c r="AZ31" s="112" t="s">
        <v>2827</v>
      </c>
      <c r="BA31" s="113">
        <v>2.033</v>
      </c>
      <c r="BB31" s="1" t="s">
        <v>430</v>
      </c>
    </row>
    <row r="32" ht="16.3" spans="2:54">
      <c r="B32" t="s">
        <v>2846</v>
      </c>
      <c r="C32">
        <v>13</v>
      </c>
      <c r="D32" s="1" t="str">
        <f>VLOOKUP(B:B,'8店'!$B:$B,1,0)</f>
        <v>Y8057-GR</v>
      </c>
      <c r="E32" t="s">
        <v>2980</v>
      </c>
      <c r="F32">
        <v>13</v>
      </c>
      <c r="G32" s="1" t="str">
        <f>VLOOKUP(E:E,'8店'!$B:$B,1,0)</f>
        <v>Y8097-RE</v>
      </c>
      <c r="H32" t="s">
        <v>2916</v>
      </c>
      <c r="I32">
        <v>85</v>
      </c>
      <c r="J32" s="1" t="str">
        <f>VLOOKUP(H:H,'8店'!$B:$B,1,0)</f>
        <v>Y8095-GR</v>
      </c>
      <c r="K32" t="s">
        <v>2958</v>
      </c>
      <c r="L32">
        <v>98</v>
      </c>
      <c r="M32">
        <v>0</v>
      </c>
      <c r="N32">
        <v>0</v>
      </c>
      <c r="O32">
        <v>0</v>
      </c>
      <c r="P32">
        <v>0</v>
      </c>
      <c r="Q32" s="31">
        <v>0</v>
      </c>
      <c r="R32" s="31">
        <v>0</v>
      </c>
      <c r="S32" s="1" t="str">
        <f>VLOOKUP(K:K,'8店'!$B:$B,1,0)</f>
        <v>Y8817-GR</v>
      </c>
      <c r="T32" t="s">
        <v>2952</v>
      </c>
      <c r="U32">
        <v>33</v>
      </c>
      <c r="V32">
        <v>0</v>
      </c>
      <c r="W32">
        <v>0</v>
      </c>
      <c r="X32">
        <v>0</v>
      </c>
      <c r="Y32">
        <v>0</v>
      </c>
      <c r="Z32" s="31">
        <v>0</v>
      </c>
      <c r="AA32" s="31">
        <v>0</v>
      </c>
      <c r="AB32" s="1" t="str">
        <f>VLOOKUP(T:T,'8店'!$B:$B,1,0)</f>
        <v>Y8816-SC</v>
      </c>
      <c r="AC32" t="s">
        <v>2916</v>
      </c>
      <c r="AD32">
        <v>31209</v>
      </c>
      <c r="AE32">
        <v>197</v>
      </c>
      <c r="AF32">
        <v>55.31</v>
      </c>
      <c r="AG32">
        <v>288.83</v>
      </c>
      <c r="AH32">
        <v>17</v>
      </c>
      <c r="AI32" s="31">
        <v>0.191496728179206</v>
      </c>
      <c r="AJ32" s="31">
        <v>0.0862944162436548</v>
      </c>
      <c r="AK32" s="1" t="str">
        <f>VLOOKUP(AC:AC,'8店'!$B:$B,1,0)</f>
        <v>Y8095-GR</v>
      </c>
      <c r="AL32" s="29" t="s">
        <v>2777</v>
      </c>
      <c r="AM32" s="33">
        <v>22.99</v>
      </c>
      <c r="AN32" s="1">
        <f t="shared" si="2"/>
        <v>157.4815</v>
      </c>
      <c r="AP32" s="29" t="s">
        <v>2777</v>
      </c>
      <c r="AQ32" s="33">
        <v>66.97</v>
      </c>
      <c r="AR32" s="1">
        <f t="shared" ref="AR32:AR49" si="3">AQ32*$AS$1</f>
        <v>458.7445</v>
      </c>
      <c r="AT32" s="109" t="s">
        <v>3013</v>
      </c>
      <c r="AU32" s="44">
        <v>10.49</v>
      </c>
      <c r="AV32" s="35"/>
      <c r="AW32" s="108" t="s">
        <v>2829</v>
      </c>
      <c r="AX32" s="44">
        <v>274.4</v>
      </c>
      <c r="AZ32" s="112" t="s">
        <v>2817</v>
      </c>
      <c r="BA32" s="113">
        <v>10.035</v>
      </c>
      <c r="BB32" s="1" t="s">
        <v>430</v>
      </c>
    </row>
    <row r="33" ht="16.3" spans="2:54">
      <c r="B33" t="s">
        <v>2817</v>
      </c>
      <c r="C33">
        <v>1</v>
      </c>
      <c r="D33" s="1" t="str">
        <f>VLOOKUP(B:B,'8店'!$B:$B,1,0)</f>
        <v>Y8034-BL</v>
      </c>
      <c r="E33" t="s">
        <v>2985</v>
      </c>
      <c r="F33">
        <v>16</v>
      </c>
      <c r="G33" s="1" t="str">
        <f>VLOOKUP(E:E,'8店'!$B:$B,1,0)</f>
        <v>Y8095-GR-1</v>
      </c>
      <c r="H33" t="s">
        <v>2846</v>
      </c>
      <c r="I33">
        <v>27</v>
      </c>
      <c r="J33" s="1" t="str">
        <f>VLOOKUP(H:H,'8店'!$B:$B,1,0)</f>
        <v>Y8057-GR</v>
      </c>
      <c r="K33" t="s">
        <v>2940</v>
      </c>
      <c r="L33">
        <v>68</v>
      </c>
      <c r="M33">
        <v>0</v>
      </c>
      <c r="N33">
        <v>0</v>
      </c>
      <c r="O33">
        <v>0</v>
      </c>
      <c r="P33">
        <v>0</v>
      </c>
      <c r="Q33" s="31">
        <v>0</v>
      </c>
      <c r="R33" s="31">
        <v>0</v>
      </c>
      <c r="S33" s="1" t="str">
        <f>VLOOKUP(K:K,'8店'!$B:$B,1,0)</f>
        <v>Y8810-BL</v>
      </c>
      <c r="T33" t="s">
        <v>2958</v>
      </c>
      <c r="U33">
        <v>164</v>
      </c>
      <c r="V33">
        <v>0</v>
      </c>
      <c r="W33">
        <v>0</v>
      </c>
      <c r="X33">
        <v>0</v>
      </c>
      <c r="Y33">
        <v>0</v>
      </c>
      <c r="Z33" s="31">
        <v>0</v>
      </c>
      <c r="AA33" s="31">
        <v>0</v>
      </c>
      <c r="AB33" s="1" t="str">
        <f>VLOOKUP(T:T,'8店'!$B:$B,1,0)</f>
        <v>Y8817-GR</v>
      </c>
      <c r="AC33" t="s">
        <v>2779</v>
      </c>
      <c r="AD33">
        <v>193</v>
      </c>
      <c r="AE33">
        <v>2</v>
      </c>
      <c r="AF33">
        <v>0.09</v>
      </c>
      <c r="AG33">
        <v>0</v>
      </c>
      <c r="AH33">
        <v>0</v>
      </c>
      <c r="AI33" s="31">
        <v>0</v>
      </c>
      <c r="AJ33" s="31">
        <v>0</v>
      </c>
      <c r="AK33" s="1" t="str">
        <f>VLOOKUP(AC:AC,'8店'!$B:$B,1,0)</f>
        <v>Y8007</v>
      </c>
      <c r="AL33" s="29" t="s">
        <v>2779</v>
      </c>
      <c r="AM33" s="33">
        <v>16.99</v>
      </c>
      <c r="AN33" s="1">
        <f t="shared" si="2"/>
        <v>116.3815</v>
      </c>
      <c r="AP33" s="29" t="s">
        <v>3005</v>
      </c>
      <c r="AQ33" s="33">
        <v>29.97</v>
      </c>
      <c r="AR33" s="1">
        <f t="shared" si="3"/>
        <v>205.2945</v>
      </c>
      <c r="AT33" s="108" t="s">
        <v>2832</v>
      </c>
      <c r="AU33" s="44">
        <v>107.75</v>
      </c>
      <c r="AV33" s="35"/>
      <c r="AW33" s="109" t="s">
        <v>3013</v>
      </c>
      <c r="AX33" s="44">
        <v>20.98</v>
      </c>
      <c r="AZ33" s="112" t="s">
        <v>2820</v>
      </c>
      <c r="BA33" s="113">
        <v>10.179</v>
      </c>
      <c r="BB33" s="1" t="s">
        <v>430</v>
      </c>
    </row>
    <row r="34" ht="16.3" spans="2:54">
      <c r="B34" t="s">
        <v>2857</v>
      </c>
      <c r="C34">
        <v>1</v>
      </c>
      <c r="D34" s="1" t="str">
        <f>VLOOKUP(B:B,'8店'!$B:$B,1,0)</f>
        <v>Y8055-SC</v>
      </c>
      <c r="E34" t="s">
        <v>2846</v>
      </c>
      <c r="F34">
        <v>20</v>
      </c>
      <c r="G34" s="1" t="str">
        <f>VLOOKUP(E:E,'8店'!$B:$B,1,0)</f>
        <v>Y8057-GR</v>
      </c>
      <c r="H34" t="s">
        <v>2898</v>
      </c>
      <c r="I34">
        <v>1</v>
      </c>
      <c r="J34" s="1" t="str">
        <f>VLOOKUP(H:H,'8店'!$B:$B,1,0)</f>
        <v>Y8083-PU</v>
      </c>
      <c r="K34" t="s">
        <v>2936</v>
      </c>
      <c r="L34">
        <v>37</v>
      </c>
      <c r="M34">
        <v>0</v>
      </c>
      <c r="N34">
        <v>0</v>
      </c>
      <c r="O34">
        <v>0</v>
      </c>
      <c r="P34">
        <v>0</v>
      </c>
      <c r="Q34" s="31">
        <v>0</v>
      </c>
      <c r="R34" s="31">
        <v>0</v>
      </c>
      <c r="S34" s="1" t="str">
        <f>VLOOKUP(K:K,'8店'!$B:$B,1,0)</f>
        <v>Y8810-SC</v>
      </c>
      <c r="T34" t="s">
        <v>2940</v>
      </c>
      <c r="U34">
        <v>84</v>
      </c>
      <c r="V34">
        <v>0</v>
      </c>
      <c r="W34">
        <v>0</v>
      </c>
      <c r="X34">
        <v>0</v>
      </c>
      <c r="Y34">
        <v>0</v>
      </c>
      <c r="Z34" s="31">
        <v>0</v>
      </c>
      <c r="AA34" s="31">
        <v>0</v>
      </c>
      <c r="AB34" s="1" t="str">
        <f>VLOOKUP(T:T,'8店'!$B:$B,1,0)</f>
        <v>Y8810-BL</v>
      </c>
      <c r="AC34" t="s">
        <v>2791</v>
      </c>
      <c r="AD34">
        <v>35929</v>
      </c>
      <c r="AE34">
        <v>119</v>
      </c>
      <c r="AF34">
        <v>105.69</v>
      </c>
      <c r="AG34">
        <v>413.83</v>
      </c>
      <c r="AH34">
        <v>17</v>
      </c>
      <c r="AI34" s="31">
        <v>0.255394727303482</v>
      </c>
      <c r="AJ34" s="31">
        <v>0.142857142857143</v>
      </c>
      <c r="AK34" s="1" t="str">
        <f>VLOOKUP(AC:AC,'8店'!$B:$B,1,0)</f>
        <v>Y8016-RE</v>
      </c>
      <c r="AL34" s="29" t="s">
        <v>2801</v>
      </c>
      <c r="AM34" s="33">
        <v>10.99</v>
      </c>
      <c r="AN34" s="1">
        <f t="shared" si="2"/>
        <v>75.2815</v>
      </c>
      <c r="AP34" s="29" t="s">
        <v>2817</v>
      </c>
      <c r="AQ34" s="33">
        <v>57.97</v>
      </c>
      <c r="AR34" s="1">
        <f t="shared" si="3"/>
        <v>397.0945</v>
      </c>
      <c r="AT34" s="108" t="s">
        <v>2835</v>
      </c>
      <c r="AU34" s="44">
        <v>449.568</v>
      </c>
      <c r="AV34" s="35"/>
      <c r="AW34" s="108" t="s">
        <v>3014</v>
      </c>
      <c r="AX34" s="44">
        <v>38.57</v>
      </c>
      <c r="AZ34" s="112" t="s">
        <v>3015</v>
      </c>
      <c r="BA34" s="113">
        <v>5.584</v>
      </c>
      <c r="BB34" s="1" t="s">
        <v>430</v>
      </c>
    </row>
    <row r="35" ht="16.3" spans="2:54">
      <c r="B35" t="s">
        <v>2773</v>
      </c>
      <c r="C35">
        <v>4</v>
      </c>
      <c r="D35" s="1" t="str">
        <f>VLOOKUP(B:B,'8店'!$B:$B,1,0)</f>
        <v>Y8002-GR</v>
      </c>
      <c r="E35" t="s">
        <v>2908</v>
      </c>
      <c r="F35">
        <v>2</v>
      </c>
      <c r="G35" s="1" t="str">
        <f>VLOOKUP(E:E,'8店'!$B:$B,1,0)</f>
        <v>Y8092-BL-1</v>
      </c>
      <c r="H35" t="s">
        <v>2918</v>
      </c>
      <c r="I35">
        <v>21</v>
      </c>
      <c r="J35" s="1" t="str">
        <f>VLOOKUP(H:H,'8店'!$B:$B,1,0)</f>
        <v>Y8095-RE</v>
      </c>
      <c r="K35" t="s">
        <v>2955</v>
      </c>
      <c r="L35">
        <v>32</v>
      </c>
      <c r="M35">
        <v>0</v>
      </c>
      <c r="N35">
        <v>0</v>
      </c>
      <c r="O35">
        <v>0</v>
      </c>
      <c r="P35">
        <v>0</v>
      </c>
      <c r="Q35" s="31">
        <v>0</v>
      </c>
      <c r="R35" s="31">
        <v>0</v>
      </c>
      <c r="S35" s="1" t="str">
        <f>VLOOKUP(K:K,'8店'!$B:$B,1,0)</f>
        <v>Y8817-BL</v>
      </c>
      <c r="T35" t="s">
        <v>2936</v>
      </c>
      <c r="U35">
        <v>72</v>
      </c>
      <c r="V35">
        <v>0</v>
      </c>
      <c r="W35">
        <v>0</v>
      </c>
      <c r="X35">
        <v>0</v>
      </c>
      <c r="Y35">
        <v>0</v>
      </c>
      <c r="Z35" s="31">
        <v>0</v>
      </c>
      <c r="AA35" s="31">
        <v>0</v>
      </c>
      <c r="AB35" s="1" t="str">
        <f>VLOOKUP(T:T,'8店'!$B:$B,1,0)</f>
        <v>Y8810-SC</v>
      </c>
      <c r="AC35" t="s">
        <v>2799</v>
      </c>
      <c r="AD35">
        <v>97451</v>
      </c>
      <c r="AE35">
        <v>1113</v>
      </c>
      <c r="AF35">
        <v>67.36</v>
      </c>
      <c r="AG35">
        <v>1642.03</v>
      </c>
      <c r="AH35">
        <v>87</v>
      </c>
      <c r="AI35" s="31">
        <v>0.0410223930135259</v>
      </c>
      <c r="AJ35" s="31">
        <v>0.078167115902965</v>
      </c>
      <c r="AK35" s="1" t="str">
        <f>VLOOKUP(AC:AC,'8店'!$B:$B,1,0)</f>
        <v>Y8009-BA-1</v>
      </c>
      <c r="AL35" s="29" t="s">
        <v>2817</v>
      </c>
      <c r="AM35" s="33">
        <v>19.99</v>
      </c>
      <c r="AN35" s="1">
        <f t="shared" si="2"/>
        <v>136.9315</v>
      </c>
      <c r="AP35" s="29" t="s">
        <v>2857</v>
      </c>
      <c r="AQ35" s="33">
        <v>66.97</v>
      </c>
      <c r="AR35" s="1">
        <f t="shared" si="3"/>
        <v>458.7445</v>
      </c>
      <c r="AT35" s="108" t="s">
        <v>2838</v>
      </c>
      <c r="AU35" s="44">
        <v>132.911</v>
      </c>
      <c r="AV35" s="35"/>
      <c r="AW35" s="108" t="s">
        <v>2832</v>
      </c>
      <c r="AX35" s="44">
        <v>107.75</v>
      </c>
      <c r="AZ35" s="112" t="s">
        <v>2829</v>
      </c>
      <c r="BA35" s="113">
        <v>8.61</v>
      </c>
      <c r="BB35" s="1" t="s">
        <v>430</v>
      </c>
    </row>
    <row r="36" ht="16.3" spans="2:54">
      <c r="B36" t="s">
        <v>2835</v>
      </c>
      <c r="C36">
        <v>2</v>
      </c>
      <c r="D36" s="1" t="str">
        <f>VLOOKUP(B:B,'8店'!$B:$B,1,0)</f>
        <v>Y8055</v>
      </c>
      <c r="E36" t="s">
        <v>2888</v>
      </c>
      <c r="F36">
        <v>1</v>
      </c>
      <c r="G36" s="1" t="str">
        <f>VLOOKUP(E:E,'8店'!$B:$B,1,0)</f>
        <v>Y8069-BL</v>
      </c>
      <c r="H36" t="s">
        <v>2906</v>
      </c>
      <c r="I36">
        <v>5</v>
      </c>
      <c r="J36" s="1" t="str">
        <f>VLOOKUP(H:H,'8店'!$B:$B,1,0)</f>
        <v>Y8090-3</v>
      </c>
      <c r="K36" t="s">
        <v>2950</v>
      </c>
      <c r="L36">
        <v>1</v>
      </c>
      <c r="M36">
        <v>0</v>
      </c>
      <c r="N36">
        <v>0</v>
      </c>
      <c r="O36">
        <v>0</v>
      </c>
      <c r="P36">
        <v>0</v>
      </c>
      <c r="Q36" s="31">
        <v>0</v>
      </c>
      <c r="R36" s="31">
        <v>0</v>
      </c>
      <c r="S36" s="1" t="str">
        <f>VLOOKUP(K:K,'8店'!$B:$B,1,0)</f>
        <v>Y8815-SC</v>
      </c>
      <c r="T36" t="s">
        <v>2955</v>
      </c>
      <c r="U36">
        <v>65</v>
      </c>
      <c r="V36">
        <v>0</v>
      </c>
      <c r="W36">
        <v>0</v>
      </c>
      <c r="X36">
        <v>0</v>
      </c>
      <c r="Y36">
        <v>0</v>
      </c>
      <c r="Z36" s="31">
        <v>0</v>
      </c>
      <c r="AA36" s="31">
        <v>0</v>
      </c>
      <c r="AB36" s="1" t="str">
        <f>VLOOKUP(T:T,'8店'!$B:$B,1,0)</f>
        <v>Y8817-BL</v>
      </c>
      <c r="AC36" t="s">
        <v>2890</v>
      </c>
      <c r="AD36">
        <v>965</v>
      </c>
      <c r="AE36">
        <v>9</v>
      </c>
      <c r="AF36">
        <v>1.3</v>
      </c>
      <c r="AG36">
        <v>23.98</v>
      </c>
      <c r="AH36">
        <v>2</v>
      </c>
      <c r="AI36" s="31">
        <v>0.0542118432026689</v>
      </c>
      <c r="AJ36" s="31">
        <v>0.222222222222222</v>
      </c>
      <c r="AK36" s="1" t="str">
        <f>VLOOKUP(AC:AC,'8店'!$B:$B,1,0)</f>
        <v>Y8069-PU</v>
      </c>
      <c r="AL36" s="29" t="s">
        <v>2832</v>
      </c>
      <c r="AM36" s="33">
        <v>36.99</v>
      </c>
      <c r="AN36" s="1">
        <f t="shared" si="2"/>
        <v>253.3815</v>
      </c>
      <c r="AP36" s="29" t="s">
        <v>2835</v>
      </c>
      <c r="AQ36" s="33">
        <v>67.97</v>
      </c>
      <c r="AR36" s="1">
        <f t="shared" si="3"/>
        <v>465.5945</v>
      </c>
      <c r="AT36" s="108" t="s">
        <v>2841</v>
      </c>
      <c r="AU36" s="44">
        <v>4433</v>
      </c>
      <c r="AV36" s="35"/>
      <c r="AW36" s="108" t="s">
        <v>2835</v>
      </c>
      <c r="AX36" s="44">
        <v>487.032</v>
      </c>
      <c r="AZ36" s="112" t="s">
        <v>3016</v>
      </c>
      <c r="BA36" s="113">
        <v>8.573</v>
      </c>
      <c r="BB36" s="1" t="s">
        <v>430</v>
      </c>
    </row>
    <row r="37" ht="16.3" spans="2:54">
      <c r="B37" t="s">
        <v>2975</v>
      </c>
      <c r="C37">
        <v>1</v>
      </c>
      <c r="D37" s="1" t="str">
        <f>VLOOKUP(B:B,'8店'!$B:$B,1,0)</f>
        <v>Y8052-SI</v>
      </c>
      <c r="E37" t="s">
        <v>2890</v>
      </c>
      <c r="F37">
        <v>2</v>
      </c>
      <c r="G37" s="1" t="str">
        <f>VLOOKUP(E:E,'8店'!$B:$B,1,0)</f>
        <v>Y8069-PU</v>
      </c>
      <c r="H37" t="s">
        <v>2779</v>
      </c>
      <c r="I37">
        <v>6</v>
      </c>
      <c r="J37" s="1" t="str">
        <f>VLOOKUP(H:H,'8店'!$B:$B,1,0)</f>
        <v>Y8007</v>
      </c>
      <c r="K37" t="s">
        <v>2945</v>
      </c>
      <c r="L37">
        <v>4</v>
      </c>
      <c r="M37">
        <v>0</v>
      </c>
      <c r="N37">
        <v>0</v>
      </c>
      <c r="O37">
        <v>0</v>
      </c>
      <c r="P37">
        <v>0</v>
      </c>
      <c r="Q37" s="31">
        <v>0</v>
      </c>
      <c r="R37" s="31">
        <v>0</v>
      </c>
      <c r="S37" s="1" t="str">
        <f>VLOOKUP(K:K,'8店'!$B:$B,1,0)</f>
        <v>Y8814-SC</v>
      </c>
      <c r="T37" t="s">
        <v>2950</v>
      </c>
      <c r="U37">
        <v>25</v>
      </c>
      <c r="V37">
        <v>0</v>
      </c>
      <c r="W37">
        <v>0</v>
      </c>
      <c r="X37">
        <v>0</v>
      </c>
      <c r="Y37">
        <v>0</v>
      </c>
      <c r="Z37" s="31">
        <v>0</v>
      </c>
      <c r="AA37" s="31">
        <v>0</v>
      </c>
      <c r="AB37" s="1" t="str">
        <f>VLOOKUP(T:T,'8店'!$B:$B,1,0)</f>
        <v>Y8815-SC</v>
      </c>
      <c r="AC37" t="s">
        <v>2952</v>
      </c>
      <c r="AD37">
        <v>54</v>
      </c>
      <c r="AE37">
        <v>0</v>
      </c>
      <c r="AF37">
        <v>0</v>
      </c>
      <c r="AG37">
        <v>0</v>
      </c>
      <c r="AH37">
        <v>0</v>
      </c>
      <c r="AI37" s="31">
        <v>0</v>
      </c>
      <c r="AJ37" s="31">
        <v>0</v>
      </c>
      <c r="AK37" s="1" t="str">
        <f>VLOOKUP(AC:AC,'8店'!$B:$B,1,0)</f>
        <v>Y8816-SC</v>
      </c>
      <c r="AL37" s="29" t="s">
        <v>2835</v>
      </c>
      <c r="AM37" s="33">
        <v>45.98</v>
      </c>
      <c r="AN37" s="1">
        <f t="shared" si="2"/>
        <v>314.963</v>
      </c>
      <c r="AP37" s="29" t="s">
        <v>2890</v>
      </c>
      <c r="AQ37" s="33">
        <v>23.98</v>
      </c>
      <c r="AR37" s="1">
        <f t="shared" si="3"/>
        <v>164.263</v>
      </c>
      <c r="AT37" s="108" t="s">
        <v>2843</v>
      </c>
      <c r="AU37" s="44">
        <v>4494.107</v>
      </c>
      <c r="AV37" s="35"/>
      <c r="AW37" s="108" t="s">
        <v>2838</v>
      </c>
      <c r="AX37" s="44">
        <v>132.911</v>
      </c>
      <c r="AZ37" s="112" t="s">
        <v>3017</v>
      </c>
      <c r="BA37" s="113">
        <v>16.498</v>
      </c>
      <c r="BB37" s="1" t="s">
        <v>430</v>
      </c>
    </row>
    <row r="38" ht="16.3" spans="2:54">
      <c r="B38" t="s">
        <v>2961</v>
      </c>
      <c r="C38">
        <v>2</v>
      </c>
      <c r="D38" s="1" t="str">
        <f>VLOOKUP(B:B,'8店'!$B:$B,1,0)</f>
        <v>Y8804</v>
      </c>
      <c r="E38" t="s">
        <v>2817</v>
      </c>
      <c r="F38">
        <v>3</v>
      </c>
      <c r="G38" s="1" t="str">
        <f>VLOOKUP(E:E,'8店'!$B:$B,1,0)</f>
        <v>Y8034-BL</v>
      </c>
      <c r="H38" t="s">
        <v>2902</v>
      </c>
      <c r="I38">
        <v>5</v>
      </c>
      <c r="J38" s="1" t="str">
        <f>VLOOKUP(H:H,'8店'!$B:$B,1,0)</f>
        <v>Y8093-1</v>
      </c>
      <c r="K38" t="s">
        <v>2975</v>
      </c>
      <c r="L38">
        <v>243</v>
      </c>
      <c r="M38">
        <v>7</v>
      </c>
      <c r="N38">
        <v>0.62</v>
      </c>
      <c r="O38">
        <v>0</v>
      </c>
      <c r="P38">
        <v>0</v>
      </c>
      <c r="Q38" s="31">
        <v>0</v>
      </c>
      <c r="R38" s="31">
        <v>0</v>
      </c>
      <c r="S38" s="1" t="str">
        <f>VLOOKUP(K:K,'8店'!$B:$B,1,0)</f>
        <v>Y8052-SI</v>
      </c>
      <c r="T38" t="s">
        <v>2945</v>
      </c>
      <c r="U38">
        <v>12</v>
      </c>
      <c r="V38">
        <v>0</v>
      </c>
      <c r="W38">
        <v>0</v>
      </c>
      <c r="X38">
        <v>0</v>
      </c>
      <c r="Y38">
        <v>0</v>
      </c>
      <c r="Z38" s="31">
        <v>0</v>
      </c>
      <c r="AA38" s="31">
        <v>0</v>
      </c>
      <c r="AB38" s="1" t="str">
        <f>VLOOKUP(T:T,'8店'!$B:$B,1,0)</f>
        <v>Y8814-SC</v>
      </c>
      <c r="AC38" t="s">
        <v>2958</v>
      </c>
      <c r="AD38">
        <v>314</v>
      </c>
      <c r="AE38">
        <v>0</v>
      </c>
      <c r="AF38">
        <v>0</v>
      </c>
      <c r="AG38">
        <v>0</v>
      </c>
      <c r="AH38">
        <v>0</v>
      </c>
      <c r="AI38" s="31">
        <v>0</v>
      </c>
      <c r="AJ38" s="31">
        <v>0</v>
      </c>
      <c r="AK38" s="1" t="str">
        <f>VLOOKUP(AC:AC,'8店'!$B:$B,1,0)</f>
        <v>Y8817-GR</v>
      </c>
      <c r="AL38" s="29" t="s">
        <v>2857</v>
      </c>
      <c r="AM38" s="33">
        <v>22.99</v>
      </c>
      <c r="AN38" s="1">
        <f t="shared" si="2"/>
        <v>157.4815</v>
      </c>
      <c r="AP38" s="29" t="s">
        <v>2892</v>
      </c>
      <c r="AQ38" s="33">
        <v>22.88</v>
      </c>
      <c r="AR38" s="1">
        <f t="shared" si="3"/>
        <v>156.728</v>
      </c>
      <c r="AT38" s="108" t="s">
        <v>2846</v>
      </c>
      <c r="AU38" s="44">
        <v>812</v>
      </c>
      <c r="AV38" s="35"/>
      <c r="AW38" s="108" t="s">
        <v>2841</v>
      </c>
      <c r="AX38" s="44">
        <v>5319.6</v>
      </c>
      <c r="AZ38" s="112" t="s">
        <v>3018</v>
      </c>
      <c r="BA38" s="113">
        <v>18.653</v>
      </c>
      <c r="BB38" s="1" t="s">
        <v>430</v>
      </c>
    </row>
    <row r="39" ht="16.3" spans="2:54">
      <c r="B39" t="s">
        <v>2775</v>
      </c>
      <c r="C39">
        <v>5</v>
      </c>
      <c r="D39" s="1" t="str">
        <f>VLOOKUP(B:B,'8店'!$B:$B,1,0)</f>
        <v>Y8005</v>
      </c>
      <c r="E39" t="s">
        <v>2952</v>
      </c>
      <c r="F39">
        <v>1</v>
      </c>
      <c r="G39" s="1" t="str">
        <f>VLOOKUP(E:E,'8店'!$B:$B,1,0)</f>
        <v>Y8816-SC</v>
      </c>
      <c r="H39" t="s">
        <v>2892</v>
      </c>
      <c r="I39">
        <v>7</v>
      </c>
      <c r="J39" s="1" t="str">
        <f>VLOOKUP(H:H,'8店'!$B:$B,1,0)</f>
        <v>Y8082-NF</v>
      </c>
      <c r="K39" t="s">
        <v>2918</v>
      </c>
      <c r="L39">
        <v>7564</v>
      </c>
      <c r="M39">
        <v>30</v>
      </c>
      <c r="N39">
        <v>8.93</v>
      </c>
      <c r="O39">
        <v>86.95</v>
      </c>
      <c r="P39">
        <v>5</v>
      </c>
      <c r="Q39" s="31">
        <v>0.102702702702703</v>
      </c>
      <c r="R39" s="31">
        <v>0.166666666666667</v>
      </c>
      <c r="S39" s="1" t="str">
        <f>VLOOKUP(K:K,'8店'!$B:$B,1,0)</f>
        <v>Y8095-RE</v>
      </c>
      <c r="T39" t="s">
        <v>2942</v>
      </c>
      <c r="U39">
        <v>9</v>
      </c>
      <c r="V39">
        <v>0</v>
      </c>
      <c r="W39">
        <v>0</v>
      </c>
      <c r="X39">
        <v>0</v>
      </c>
      <c r="Y39">
        <v>0</v>
      </c>
      <c r="Z39" s="31">
        <v>0</v>
      </c>
      <c r="AA39" s="31">
        <v>0</v>
      </c>
      <c r="AB39" s="1" t="str">
        <f>VLOOKUP(T:T,'8店'!$B:$B,1,0)</f>
        <v>Y8814-BL</v>
      </c>
      <c r="AC39" t="s">
        <v>2940</v>
      </c>
      <c r="AD39">
        <v>100</v>
      </c>
      <c r="AE39">
        <v>0</v>
      </c>
      <c r="AF39">
        <v>0</v>
      </c>
      <c r="AG39">
        <v>0</v>
      </c>
      <c r="AH39">
        <v>0</v>
      </c>
      <c r="AI39" s="31">
        <v>0</v>
      </c>
      <c r="AJ39" s="31">
        <v>0</v>
      </c>
      <c r="AK39" s="1" t="str">
        <f>VLOOKUP(AC:AC,'8店'!$B:$B,1,0)</f>
        <v>Y8810-BL</v>
      </c>
      <c r="AL39" s="29" t="s">
        <v>2890</v>
      </c>
      <c r="AM39" s="33">
        <v>11.99</v>
      </c>
      <c r="AN39" s="1">
        <f t="shared" si="2"/>
        <v>82.1315</v>
      </c>
      <c r="AP39" s="29" t="s">
        <v>2902</v>
      </c>
      <c r="AQ39" s="33">
        <v>37.98</v>
      </c>
      <c r="AR39" s="1">
        <f t="shared" si="3"/>
        <v>260.163</v>
      </c>
      <c r="AT39" s="108" t="s">
        <v>2848</v>
      </c>
      <c r="AU39" s="44">
        <v>349.635</v>
      </c>
      <c r="AV39" s="35"/>
      <c r="AW39" s="108" t="s">
        <v>2843</v>
      </c>
      <c r="AX39" s="44">
        <v>8778.209</v>
      </c>
      <c r="AZ39" s="112" t="s">
        <v>3019</v>
      </c>
      <c r="BA39" s="113">
        <v>15.088</v>
      </c>
      <c r="BB39" s="1" t="s">
        <v>430</v>
      </c>
    </row>
    <row r="40" ht="16.3" spans="2:54">
      <c r="B40" t="s">
        <v>2908</v>
      </c>
      <c r="C40">
        <v>2</v>
      </c>
      <c r="D40" s="1" t="str">
        <f>VLOOKUP(B:B,'8店'!$B:$B,1,0)</f>
        <v>Y8092-BL-1</v>
      </c>
      <c r="E40" t="s">
        <v>2961</v>
      </c>
      <c r="F40">
        <v>3</v>
      </c>
      <c r="G40" s="1" t="str">
        <f>VLOOKUP(E:E,'8店'!$B:$B,1,0)</f>
        <v>Y8804</v>
      </c>
      <c r="H40" t="s">
        <v>2964</v>
      </c>
      <c r="I40">
        <v>10</v>
      </c>
      <c r="J40" s="1" t="str">
        <f>VLOOKUP(H:H,'8店'!$B:$B,1,0)</f>
        <v>Y8805-RE</v>
      </c>
      <c r="K40" t="s">
        <v>2978</v>
      </c>
      <c r="L40">
        <v>2065</v>
      </c>
      <c r="M40">
        <v>22</v>
      </c>
      <c r="N40">
        <v>6.38</v>
      </c>
      <c r="O40">
        <v>85.35</v>
      </c>
      <c r="P40">
        <v>5</v>
      </c>
      <c r="Q40" s="31">
        <v>0.0747510251903925</v>
      </c>
      <c r="R40" s="31">
        <v>0.227272727272727</v>
      </c>
      <c r="S40" s="1" t="str">
        <f>VLOOKUP(K:K,'8店'!$B:$B,1,0)</f>
        <v>Y8097-GN</v>
      </c>
      <c r="T40" t="s">
        <v>2975</v>
      </c>
      <c r="U40">
        <v>4440</v>
      </c>
      <c r="V40">
        <v>97</v>
      </c>
      <c r="W40">
        <v>11.23</v>
      </c>
      <c r="X40">
        <v>30.99</v>
      </c>
      <c r="Y40">
        <v>1</v>
      </c>
      <c r="Z40" s="31">
        <v>0.362374959664408</v>
      </c>
      <c r="AA40" s="31">
        <v>0.0103092783505155</v>
      </c>
      <c r="AB40" s="1" t="str">
        <f>VLOOKUP(T:T,'8店'!$B:$B,1,0)</f>
        <v>Y8052-SI</v>
      </c>
      <c r="AC40" t="s">
        <v>2936</v>
      </c>
      <c r="AD40">
        <v>104</v>
      </c>
      <c r="AE40">
        <v>0</v>
      </c>
      <c r="AF40">
        <v>0</v>
      </c>
      <c r="AG40">
        <v>0</v>
      </c>
      <c r="AH40">
        <v>0</v>
      </c>
      <c r="AI40" s="31">
        <v>0</v>
      </c>
      <c r="AJ40" s="31">
        <v>0</v>
      </c>
      <c r="AK40" s="1" t="str">
        <f>VLOOKUP(AC:AC,'8店'!$B:$B,1,0)</f>
        <v>Y8810-SC</v>
      </c>
      <c r="AL40" s="29" t="s">
        <v>2892</v>
      </c>
      <c r="AM40" s="33">
        <v>10.99</v>
      </c>
      <c r="AN40" s="1">
        <f t="shared" si="2"/>
        <v>75.2815</v>
      </c>
      <c r="AP40" s="29" t="s">
        <v>2908</v>
      </c>
      <c r="AQ40" s="33">
        <v>17.98</v>
      </c>
      <c r="AR40" s="1">
        <f t="shared" si="3"/>
        <v>123.163</v>
      </c>
      <c r="AT40" s="108" t="s">
        <v>2852</v>
      </c>
      <c r="AU40" s="44">
        <v>391.638</v>
      </c>
      <c r="AV40" s="35"/>
      <c r="AW40" s="108" t="s">
        <v>2846</v>
      </c>
      <c r="AX40" s="44">
        <v>1177.4</v>
      </c>
      <c r="AZ40" s="112" t="s">
        <v>3020</v>
      </c>
      <c r="BA40" s="113">
        <v>5.171</v>
      </c>
      <c r="BB40" s="1" t="s">
        <v>430</v>
      </c>
    </row>
    <row r="41" ht="16.3" spans="2:54">
      <c r="B41" t="s">
        <v>2779</v>
      </c>
      <c r="C41">
        <v>1</v>
      </c>
      <c r="D41" s="1" t="str">
        <f>VLOOKUP(B:B,'8店'!$B:$B,1,0)</f>
        <v>Y8007</v>
      </c>
      <c r="E41" t="s">
        <v>2902</v>
      </c>
      <c r="F41">
        <v>2</v>
      </c>
      <c r="G41" s="1" t="str">
        <f>VLOOKUP(E:E,'8店'!$B:$B,1,0)</f>
        <v>Y8093-1</v>
      </c>
      <c r="H41" t="s">
        <v>2947</v>
      </c>
      <c r="I41">
        <v>3</v>
      </c>
      <c r="J41" s="1" t="str">
        <f>VLOOKUP(H:H,'8店'!$B:$B,1,0)</f>
        <v>Y8815-BL</v>
      </c>
      <c r="K41" t="s">
        <v>2985</v>
      </c>
      <c r="L41">
        <v>2059</v>
      </c>
      <c r="M41">
        <v>28</v>
      </c>
      <c r="N41">
        <v>8.03</v>
      </c>
      <c r="O41">
        <v>51.67</v>
      </c>
      <c r="P41">
        <v>3</v>
      </c>
      <c r="Q41" s="31">
        <v>0.155409328430424</v>
      </c>
      <c r="R41" s="31">
        <v>0.107142857142857</v>
      </c>
      <c r="S41" s="1" t="str">
        <f>VLOOKUP(K:K,'8店'!$B:$B,1,0)</f>
        <v>Y8095-GR-1</v>
      </c>
      <c r="T41" t="s">
        <v>2918</v>
      </c>
      <c r="U41">
        <v>12043</v>
      </c>
      <c r="V41">
        <v>51</v>
      </c>
      <c r="W41">
        <v>15.41</v>
      </c>
      <c r="X41">
        <v>154.31</v>
      </c>
      <c r="Y41">
        <v>9</v>
      </c>
      <c r="Z41" s="31">
        <v>0.0998639103104141</v>
      </c>
      <c r="AA41" s="31">
        <v>0.176470588235294</v>
      </c>
      <c r="AB41" s="1" t="str">
        <f>VLOOKUP(T:T,'8店'!$B:$B,1,0)</f>
        <v>Y8095-RE</v>
      </c>
      <c r="AC41" t="s">
        <v>2955</v>
      </c>
      <c r="AD41">
        <v>245</v>
      </c>
      <c r="AE41">
        <v>0</v>
      </c>
      <c r="AF41">
        <v>0</v>
      </c>
      <c r="AG41">
        <v>0</v>
      </c>
      <c r="AH41">
        <v>0</v>
      </c>
      <c r="AI41" s="31">
        <v>0</v>
      </c>
      <c r="AJ41" s="31">
        <v>0</v>
      </c>
      <c r="AK41" s="1" t="str">
        <f>VLOOKUP(AC:AC,'8店'!$B:$B,1,0)</f>
        <v>Y8817-BL</v>
      </c>
      <c r="AL41" s="29" t="s">
        <v>2975</v>
      </c>
      <c r="AM41" s="33">
        <v>31.99</v>
      </c>
      <c r="AN41" s="1">
        <f t="shared" si="2"/>
        <v>219.1315</v>
      </c>
      <c r="AP41" s="29" t="s">
        <v>2906</v>
      </c>
      <c r="AQ41" s="33">
        <v>21.98</v>
      </c>
      <c r="AR41" s="1">
        <f t="shared" si="3"/>
        <v>150.563</v>
      </c>
      <c r="AT41" s="108" t="s">
        <v>2854</v>
      </c>
      <c r="AU41" s="44">
        <v>153</v>
      </c>
      <c r="AV41" s="35"/>
      <c r="AW41" s="108" t="s">
        <v>2848</v>
      </c>
      <c r="AX41" s="44">
        <v>349.635</v>
      </c>
      <c r="AZ41" s="112" t="s">
        <v>3013</v>
      </c>
      <c r="BA41" s="113">
        <v>1.474</v>
      </c>
      <c r="BB41" s="1" t="s">
        <v>430</v>
      </c>
    </row>
    <row r="42" ht="16.3" spans="2:54">
      <c r="B42" t="s">
        <v>2801</v>
      </c>
      <c r="C42">
        <v>1</v>
      </c>
      <c r="D42" s="1" t="str">
        <f>VLOOKUP(B:B,'8店'!$B:$B,1,0)</f>
        <v>Y8025</v>
      </c>
      <c r="E42" t="s">
        <v>2906</v>
      </c>
      <c r="F42">
        <v>2</v>
      </c>
      <c r="G42" s="1" t="str">
        <f>VLOOKUP(E:E,'8店'!$B:$B,1,0)</f>
        <v>Y8090-3</v>
      </c>
      <c r="H42" t="s">
        <v>2975</v>
      </c>
      <c r="I42">
        <v>11</v>
      </c>
      <c r="J42" s="1" t="str">
        <f>VLOOKUP(H:H,'8店'!$B:$B,1,0)</f>
        <v>Y8052-SI</v>
      </c>
      <c r="K42" t="s">
        <v>2900</v>
      </c>
      <c r="L42">
        <v>9397</v>
      </c>
      <c r="M42">
        <v>110</v>
      </c>
      <c r="N42">
        <v>16.42</v>
      </c>
      <c r="O42">
        <v>56.98</v>
      </c>
      <c r="P42">
        <v>3</v>
      </c>
      <c r="Q42" s="31">
        <v>0.288171288171288</v>
      </c>
      <c r="R42" s="31">
        <v>0.0272727272727273</v>
      </c>
      <c r="S42" s="1" t="str">
        <f>VLOOKUP(K:K,'8店'!$B:$B,1,0)</f>
        <v>Y8086</v>
      </c>
      <c r="T42" t="s">
        <v>2978</v>
      </c>
      <c r="U42">
        <v>2576</v>
      </c>
      <c r="V42">
        <v>27</v>
      </c>
      <c r="W42">
        <v>7.84</v>
      </c>
      <c r="X42">
        <v>102.04</v>
      </c>
      <c r="Y42">
        <v>6</v>
      </c>
      <c r="Z42" s="31">
        <v>0.0768326146609173</v>
      </c>
      <c r="AA42" s="31">
        <v>0.222222222222222</v>
      </c>
      <c r="AB42" s="1" t="str">
        <f>VLOOKUP(T:T,'8店'!$B:$B,1,0)</f>
        <v>Y8097-GN</v>
      </c>
      <c r="AC42" t="s">
        <v>2950</v>
      </c>
      <c r="AD42">
        <v>43</v>
      </c>
      <c r="AE42">
        <v>0</v>
      </c>
      <c r="AF42">
        <v>0</v>
      </c>
      <c r="AG42">
        <v>0</v>
      </c>
      <c r="AH42">
        <v>0</v>
      </c>
      <c r="AI42" s="31">
        <v>0</v>
      </c>
      <c r="AJ42" s="31">
        <v>0</v>
      </c>
      <c r="AK42" s="1" t="str">
        <f>VLOOKUP(AC:AC,'8店'!$B:$B,1,0)</f>
        <v>Y8815-SC</v>
      </c>
      <c r="AL42" s="29" t="s">
        <v>2987</v>
      </c>
      <c r="AM42" s="33">
        <v>20.66</v>
      </c>
      <c r="AN42" s="1">
        <f t="shared" si="2"/>
        <v>141.521</v>
      </c>
      <c r="AP42" s="29" t="s">
        <v>2975</v>
      </c>
      <c r="AQ42" s="33">
        <v>62.98</v>
      </c>
      <c r="AR42" s="1">
        <f t="shared" si="3"/>
        <v>431.413</v>
      </c>
      <c r="AT42" s="108" t="s">
        <v>2857</v>
      </c>
      <c r="AU42" s="44">
        <v>96</v>
      </c>
      <c r="AV42" s="35"/>
      <c r="AW42" s="108" t="s">
        <v>2852</v>
      </c>
      <c r="AX42" s="44">
        <v>421.764</v>
      </c>
      <c r="AZ42" s="112" t="s">
        <v>2973</v>
      </c>
      <c r="BA42" s="113">
        <v>1.452</v>
      </c>
      <c r="BB42" s="1" t="s">
        <v>430</v>
      </c>
    </row>
    <row r="43" ht="16.3" spans="2:54">
      <c r="B43" t="s">
        <v>2832</v>
      </c>
      <c r="C43">
        <v>1</v>
      </c>
      <c r="D43" s="1" t="str">
        <f>VLOOKUP(B:B,'8店'!$B:$B,1,0)</f>
        <v>Y8043-RE*1</v>
      </c>
      <c r="E43" t="s">
        <v>2773</v>
      </c>
      <c r="F43">
        <v>5</v>
      </c>
      <c r="G43" s="1" t="str">
        <f>VLOOKUP(E:E,'8店'!$B:$B,1,0)</f>
        <v>Y8002-GR</v>
      </c>
      <c r="H43" t="s">
        <v>2978</v>
      </c>
      <c r="I43">
        <v>22</v>
      </c>
      <c r="J43" s="1" t="str">
        <f>VLOOKUP(H:H,'8店'!$B:$B,1,0)</f>
        <v>Y8097-GN</v>
      </c>
      <c r="K43" t="s">
        <v>2817</v>
      </c>
      <c r="L43">
        <v>145</v>
      </c>
      <c r="M43">
        <v>2</v>
      </c>
      <c r="N43">
        <v>0.32</v>
      </c>
      <c r="O43">
        <v>19.99</v>
      </c>
      <c r="P43">
        <v>1</v>
      </c>
      <c r="Q43" s="31">
        <v>0.016008004002001</v>
      </c>
      <c r="R43" s="31">
        <v>0.5</v>
      </c>
      <c r="S43" s="1" t="str">
        <f>VLOOKUP(K:K,'8店'!$B:$B,1,0)</f>
        <v>Y8034-BL</v>
      </c>
      <c r="T43" t="s">
        <v>2985</v>
      </c>
      <c r="U43">
        <v>3348</v>
      </c>
      <c r="V43">
        <v>43</v>
      </c>
      <c r="W43">
        <v>12.69</v>
      </c>
      <c r="X43">
        <v>68.66</v>
      </c>
      <c r="Y43">
        <v>4</v>
      </c>
      <c r="Z43" s="31">
        <v>0.18482376929799</v>
      </c>
      <c r="AA43" s="31">
        <v>0.0930232558139535</v>
      </c>
      <c r="AB43" s="1" t="str">
        <f>VLOOKUP(T:T,'8店'!$B:$B,1,0)</f>
        <v>Y8095-GR-1</v>
      </c>
      <c r="AC43" t="s">
        <v>2945</v>
      </c>
      <c r="AD43">
        <v>21</v>
      </c>
      <c r="AE43">
        <v>0</v>
      </c>
      <c r="AF43">
        <v>0</v>
      </c>
      <c r="AG43">
        <v>0</v>
      </c>
      <c r="AH43">
        <v>0</v>
      </c>
      <c r="AI43" s="31">
        <v>0</v>
      </c>
      <c r="AJ43" s="31">
        <v>0</v>
      </c>
      <c r="AK43" s="1" t="str">
        <f>VLOOKUP(AC:AC,'8店'!$B:$B,1,0)</f>
        <v>Y8814-SC</v>
      </c>
      <c r="AL43" s="29" t="s">
        <v>2964</v>
      </c>
      <c r="AM43" s="107">
        <v>74.97</v>
      </c>
      <c r="AN43" s="1">
        <f>AM43*4.9</f>
        <v>367.353</v>
      </c>
      <c r="AP43" s="29" t="s">
        <v>2777</v>
      </c>
      <c r="AQ43" s="33">
        <v>22.99</v>
      </c>
      <c r="AR43" s="1">
        <f t="shared" si="3"/>
        <v>157.4815</v>
      </c>
      <c r="AT43" s="108" t="s">
        <v>2859</v>
      </c>
      <c r="AU43" s="44">
        <v>189.72</v>
      </c>
      <c r="AV43" s="35"/>
      <c r="AW43" s="108" t="s">
        <v>2854</v>
      </c>
      <c r="AX43" s="44">
        <v>153</v>
      </c>
      <c r="AZ43" s="112" t="s">
        <v>3021</v>
      </c>
      <c r="BA43" s="113">
        <v>1.457</v>
      </c>
      <c r="BB43" s="1" t="s">
        <v>430</v>
      </c>
    </row>
    <row r="44" ht="16.3" spans="2:54">
      <c r="B44" t="s">
        <v>2892</v>
      </c>
      <c r="C44">
        <v>1</v>
      </c>
      <c r="D44" s="1" t="str">
        <f>VLOOKUP(B:B,'8店'!$B:$B,1,0)</f>
        <v>Y8082-NF</v>
      </c>
      <c r="E44" t="s">
        <v>2857</v>
      </c>
      <c r="F44">
        <v>3</v>
      </c>
      <c r="G44" s="1" t="str">
        <f>VLOOKUP(E:E,'8店'!$B:$B,1,0)</f>
        <v>Y8055-SC</v>
      </c>
      <c r="H44" t="s">
        <v>2980</v>
      </c>
      <c r="I44">
        <v>15</v>
      </c>
      <c r="J44" s="1" t="str">
        <f>VLOOKUP(H:H,'8店'!$B:$B,1,0)</f>
        <v>Y8097-RE</v>
      </c>
      <c r="K44" t="s">
        <v>2908</v>
      </c>
      <c r="L44">
        <v>844</v>
      </c>
      <c r="M44">
        <v>6</v>
      </c>
      <c r="N44">
        <v>1.21</v>
      </c>
      <c r="O44">
        <v>8.99</v>
      </c>
      <c r="P44">
        <v>1</v>
      </c>
      <c r="Q44" s="31">
        <v>0.134593993325918</v>
      </c>
      <c r="R44" s="31">
        <v>0.166666666666667</v>
      </c>
      <c r="S44" s="1" t="str">
        <f>VLOOKUP(K:K,'8店'!$B:$B,1,0)</f>
        <v>Y8092-BL-1</v>
      </c>
      <c r="T44" t="s">
        <v>3005</v>
      </c>
      <c r="U44">
        <v>312</v>
      </c>
      <c r="V44">
        <v>7</v>
      </c>
      <c r="W44">
        <v>3.6</v>
      </c>
      <c r="X44">
        <v>19.98</v>
      </c>
      <c r="Y44">
        <v>2</v>
      </c>
      <c r="Z44" s="31">
        <v>0.18018018018018</v>
      </c>
      <c r="AA44" s="31">
        <v>0.285714285714286</v>
      </c>
      <c r="AB44" s="1" t="e">
        <f>VLOOKUP(T:T,'8店'!$B:$B,1,0)</f>
        <v>#N/A</v>
      </c>
      <c r="AC44" t="s">
        <v>2942</v>
      </c>
      <c r="AD44">
        <v>34</v>
      </c>
      <c r="AE44">
        <v>0</v>
      </c>
      <c r="AF44">
        <v>0</v>
      </c>
      <c r="AG44">
        <v>0</v>
      </c>
      <c r="AH44">
        <v>0</v>
      </c>
      <c r="AI44" s="31">
        <v>0</v>
      </c>
      <c r="AJ44" s="31">
        <v>0</v>
      </c>
      <c r="AK44" s="1" t="str">
        <f>VLOOKUP(AC:AC,'8店'!$B:$B,1,0)</f>
        <v>Y8814-BL</v>
      </c>
      <c r="AL44" s="29" t="s">
        <v>2961</v>
      </c>
      <c r="AM44" s="107">
        <v>37.98</v>
      </c>
      <c r="AN44" s="1">
        <f>AM44*4.9</f>
        <v>186.102</v>
      </c>
      <c r="AP44" s="29" t="s">
        <v>2779</v>
      </c>
      <c r="AQ44" s="33">
        <v>16.99</v>
      </c>
      <c r="AR44" s="1">
        <f t="shared" si="3"/>
        <v>116.3815</v>
      </c>
      <c r="AT44" s="108" t="s">
        <v>2861</v>
      </c>
      <c r="AU44" s="44">
        <v>316.278</v>
      </c>
      <c r="AV44" s="35"/>
      <c r="AW44" s="108" t="s">
        <v>2857</v>
      </c>
      <c r="AX44" s="44">
        <v>800</v>
      </c>
      <c r="AZ44" s="104" t="s">
        <v>3022</v>
      </c>
      <c r="BA44" s="113">
        <v>1.923</v>
      </c>
      <c r="BB44" s="1" t="s">
        <v>430</v>
      </c>
    </row>
    <row r="45" ht="16.3" spans="2:54">
      <c r="B45" t="s">
        <v>2987</v>
      </c>
      <c r="C45">
        <v>1</v>
      </c>
      <c r="D45" s="1" t="str">
        <f>VLOOKUP(B:B,'8店'!$B:$B,1,0)</f>
        <v>Y8098</v>
      </c>
      <c r="E45" t="s">
        <v>2829</v>
      </c>
      <c r="F45">
        <v>1</v>
      </c>
      <c r="G45" s="1" t="str">
        <f>VLOOKUP(E:E,'8店'!$B:$B,1,0)</f>
        <v>Y8042-GR</v>
      </c>
      <c r="H45" t="s">
        <v>2985</v>
      </c>
      <c r="I45">
        <v>26</v>
      </c>
      <c r="J45" s="1" t="str">
        <f>VLOOKUP(H:H,'8店'!$B:$B,1,0)</f>
        <v>Y8095-GR-1</v>
      </c>
      <c r="K45" t="s">
        <v>2779</v>
      </c>
      <c r="L45">
        <v>63</v>
      </c>
      <c r="M45">
        <v>0</v>
      </c>
      <c r="N45">
        <v>0</v>
      </c>
      <c r="O45">
        <v>0</v>
      </c>
      <c r="P45">
        <v>0</v>
      </c>
      <c r="Q45" s="31">
        <v>0</v>
      </c>
      <c r="R45" s="31">
        <v>0</v>
      </c>
      <c r="S45" s="1" t="str">
        <f>VLOOKUP(K:K,'8店'!$B:$B,1,0)</f>
        <v>Y8007</v>
      </c>
      <c r="T45" t="s">
        <v>2817</v>
      </c>
      <c r="U45">
        <v>246</v>
      </c>
      <c r="V45">
        <v>4</v>
      </c>
      <c r="W45">
        <v>0.56</v>
      </c>
      <c r="X45">
        <v>38.98</v>
      </c>
      <c r="Y45">
        <v>2</v>
      </c>
      <c r="Z45" s="31">
        <v>0.0143663417136993</v>
      </c>
      <c r="AA45" s="31">
        <v>0.5</v>
      </c>
      <c r="AB45" s="1" t="str">
        <f>VLOOKUP(T:T,'8店'!$B:$B,1,0)</f>
        <v>Y8034-BL</v>
      </c>
      <c r="AC45" t="s">
        <v>2975</v>
      </c>
      <c r="AD45">
        <v>10453</v>
      </c>
      <c r="AE45">
        <v>207</v>
      </c>
      <c r="AF45">
        <v>25.1</v>
      </c>
      <c r="AG45">
        <v>136.85</v>
      </c>
      <c r="AH45">
        <v>5</v>
      </c>
      <c r="AI45" s="31">
        <v>0.183412495432956</v>
      </c>
      <c r="AJ45" s="31">
        <v>0.0241545893719807</v>
      </c>
      <c r="AK45" s="1" t="str">
        <f>VLOOKUP(AC:AC,'8店'!$B:$B,1,0)</f>
        <v>Y8052-SI</v>
      </c>
      <c r="AN45" s="1">
        <f>AM45*4.9</f>
        <v>0</v>
      </c>
      <c r="AP45" s="29" t="s">
        <v>2801</v>
      </c>
      <c r="AQ45" s="33">
        <v>10.99</v>
      </c>
      <c r="AR45" s="1">
        <f t="shared" si="3"/>
        <v>75.2815</v>
      </c>
      <c r="AT45" s="108" t="s">
        <v>2863</v>
      </c>
      <c r="AU45" s="44">
        <v>188</v>
      </c>
      <c r="AV45" s="35"/>
      <c r="AW45" s="108" t="s">
        <v>2859</v>
      </c>
      <c r="AX45" s="44">
        <v>535.432</v>
      </c>
      <c r="AZ45" s="104" t="s">
        <v>2848</v>
      </c>
      <c r="BA45" s="113">
        <v>4.491</v>
      </c>
      <c r="BB45" s="1" t="s">
        <v>430</v>
      </c>
    </row>
    <row r="46" ht="16.3" spans="2:54">
      <c r="B46" t="s">
        <v>439</v>
      </c>
      <c r="C46">
        <v>795</v>
      </c>
      <c r="E46" t="s">
        <v>2835</v>
      </c>
      <c r="F46">
        <v>3</v>
      </c>
      <c r="G46" s="1" t="str">
        <f>VLOOKUP(E:E,'8店'!$B:$B,1,0)</f>
        <v>Y8055</v>
      </c>
      <c r="H46" t="s">
        <v>2908</v>
      </c>
      <c r="I46">
        <v>6</v>
      </c>
      <c r="J46" s="1" t="str">
        <f>VLOOKUP(H:H,'8店'!$B:$B,1,0)</f>
        <v>Y8092-BL-1</v>
      </c>
      <c r="K46" t="s">
        <v>3001</v>
      </c>
      <c r="L46">
        <v>82</v>
      </c>
      <c r="M46">
        <v>1</v>
      </c>
      <c r="N46">
        <v>0.32</v>
      </c>
      <c r="O46">
        <v>0</v>
      </c>
      <c r="P46">
        <v>0</v>
      </c>
      <c r="Q46" s="31">
        <v>0</v>
      </c>
      <c r="R46" s="31">
        <v>0</v>
      </c>
      <c r="S46" s="1" t="str">
        <f>VLOOKUP(K:K,'8店'!$B:$B,1,0)</f>
        <v>Y8102-MU</v>
      </c>
      <c r="T46" t="s">
        <v>2908</v>
      </c>
      <c r="U46">
        <v>5520</v>
      </c>
      <c r="V46">
        <v>22</v>
      </c>
      <c r="W46">
        <v>3.58</v>
      </c>
      <c r="X46">
        <v>8.99</v>
      </c>
      <c r="Y46">
        <v>1</v>
      </c>
      <c r="Z46" s="31">
        <v>0.398220244716352</v>
      </c>
      <c r="AA46" s="31">
        <v>0.0454545454545455</v>
      </c>
      <c r="AB46" s="1" t="str">
        <f>VLOOKUP(T:T,'8店'!$B:$B,1,0)</f>
        <v>Y8092-BL-1</v>
      </c>
      <c r="AC46" t="s">
        <v>2918</v>
      </c>
      <c r="AD46">
        <v>16053</v>
      </c>
      <c r="AE46">
        <v>66</v>
      </c>
      <c r="AF46">
        <v>19.48</v>
      </c>
      <c r="AG46">
        <v>154.31</v>
      </c>
      <c r="AH46">
        <v>9</v>
      </c>
      <c r="AI46" s="31">
        <v>0.126239388244443</v>
      </c>
      <c r="AJ46" s="31">
        <v>0.136363636363636</v>
      </c>
      <c r="AK46" s="1" t="str">
        <f>VLOOKUP(AC:AC,'8店'!$B:$B,1,0)</f>
        <v>Y8095-RE</v>
      </c>
      <c r="AN46" s="1">
        <f>AM46*$AS$1</f>
        <v>0</v>
      </c>
      <c r="AP46" s="29" t="s">
        <v>2829</v>
      </c>
      <c r="AQ46" s="33">
        <v>26.99</v>
      </c>
      <c r="AR46" s="1">
        <f t="shared" si="3"/>
        <v>184.8815</v>
      </c>
      <c r="AT46" s="108" t="s">
        <v>2866</v>
      </c>
      <c r="AU46" s="44">
        <v>130</v>
      </c>
      <c r="AV46" s="35"/>
      <c r="AW46" s="108" t="s">
        <v>2861</v>
      </c>
      <c r="AX46" s="44">
        <v>491.988</v>
      </c>
      <c r="AZ46" s="104" t="s">
        <v>2835</v>
      </c>
      <c r="BA46" s="113">
        <v>4.926</v>
      </c>
      <c r="BB46" s="1" t="s">
        <v>430</v>
      </c>
    </row>
    <row r="47" ht="16.3" spans="2:54">
      <c r="B47"/>
      <c r="C47"/>
      <c r="E47" t="s">
        <v>3023</v>
      </c>
      <c r="F47">
        <v>1</v>
      </c>
      <c r="G47" s="1" t="e">
        <f>VLOOKUP(E:E,'8店'!$B:$B,1,0)</f>
        <v>#N/A</v>
      </c>
      <c r="H47" t="s">
        <v>2817</v>
      </c>
      <c r="I47">
        <v>3</v>
      </c>
      <c r="J47" s="1" t="str">
        <f>VLOOKUP(H:H,'8店'!$B:$B,1,0)</f>
        <v>Y8034-BL</v>
      </c>
      <c r="K47" t="s">
        <v>2995</v>
      </c>
      <c r="L47">
        <v>360</v>
      </c>
      <c r="M47">
        <v>1</v>
      </c>
      <c r="N47">
        <v>0.46</v>
      </c>
      <c r="O47">
        <v>0</v>
      </c>
      <c r="P47">
        <v>0</v>
      </c>
      <c r="Q47" s="31">
        <v>0</v>
      </c>
      <c r="R47" s="31">
        <v>0</v>
      </c>
      <c r="S47" s="1" t="str">
        <f>VLOOKUP(K:K,'8店'!$B:$B,1,0)</f>
        <v>Y8101-1</v>
      </c>
      <c r="T47" t="s">
        <v>2779</v>
      </c>
      <c r="U47">
        <v>63</v>
      </c>
      <c r="V47">
        <v>0</v>
      </c>
      <c r="W47">
        <v>0</v>
      </c>
      <c r="X47">
        <v>0</v>
      </c>
      <c r="Y47">
        <v>0</v>
      </c>
      <c r="Z47" s="31">
        <v>0</v>
      </c>
      <c r="AA47" s="31">
        <v>0</v>
      </c>
      <c r="AB47" s="1" t="str">
        <f>VLOOKUP(T:T,'8店'!$B:$B,1,0)</f>
        <v>Y8007</v>
      </c>
      <c r="AC47" t="s">
        <v>2978</v>
      </c>
      <c r="AD47">
        <v>7216</v>
      </c>
      <c r="AE47">
        <v>69</v>
      </c>
      <c r="AF47">
        <v>19.62</v>
      </c>
      <c r="AG47">
        <v>185.79</v>
      </c>
      <c r="AH47">
        <v>11</v>
      </c>
      <c r="AI47" s="31">
        <v>0.105603100274503</v>
      </c>
      <c r="AJ47" s="31">
        <v>0.159420289855072</v>
      </c>
      <c r="AK47" s="1" t="str">
        <f>VLOOKUP(AC:AC,'8店'!$B:$B,1,0)</f>
        <v>Y8097-GN</v>
      </c>
      <c r="AN47" s="1">
        <f>AM47*$AS$1</f>
        <v>0</v>
      </c>
      <c r="AP47" s="29" t="s">
        <v>2832</v>
      </c>
      <c r="AQ47" s="33">
        <v>36.99</v>
      </c>
      <c r="AR47" s="1">
        <f t="shared" si="3"/>
        <v>253.3815</v>
      </c>
      <c r="AT47" s="108" t="s">
        <v>2869</v>
      </c>
      <c r="AU47" s="44">
        <v>199.2</v>
      </c>
      <c r="AV47" s="35"/>
      <c r="AW47" s="108" t="s">
        <v>2863</v>
      </c>
      <c r="AX47" s="44">
        <v>526.4</v>
      </c>
      <c r="AZ47" s="104" t="s">
        <v>2857</v>
      </c>
      <c r="BA47" s="113">
        <v>5.063</v>
      </c>
      <c r="BB47" s="1" t="s">
        <v>430</v>
      </c>
    </row>
    <row r="48" ht="16.3" spans="2:54">
      <c r="B48"/>
      <c r="C48"/>
      <c r="E48" t="s">
        <v>2775</v>
      </c>
      <c r="F48">
        <v>5</v>
      </c>
      <c r="G48" s="1" t="str">
        <f>VLOOKUP(E:E,'8店'!$B:$B,1,0)</f>
        <v>Y8005</v>
      </c>
      <c r="H48" t="s">
        <v>3024</v>
      </c>
      <c r="I48">
        <v>1</v>
      </c>
      <c r="J48" s="1" t="e">
        <f>VLOOKUP(H:H,'8店'!$B:$B,1,0)</f>
        <v>#N/A</v>
      </c>
      <c r="K48" t="s">
        <v>2992</v>
      </c>
      <c r="L48">
        <v>86</v>
      </c>
      <c r="M48">
        <v>0</v>
      </c>
      <c r="N48">
        <v>0</v>
      </c>
      <c r="O48">
        <v>0</v>
      </c>
      <c r="P48">
        <v>0</v>
      </c>
      <c r="Q48" s="31">
        <v>0</v>
      </c>
      <c r="R48" s="31">
        <v>0</v>
      </c>
      <c r="S48" s="1" t="str">
        <f>VLOOKUP(K:K,'8店'!$B:$B,1,0)</f>
        <v>Y8099</v>
      </c>
      <c r="T48" t="s">
        <v>3001</v>
      </c>
      <c r="U48">
        <v>82</v>
      </c>
      <c r="V48">
        <v>1</v>
      </c>
      <c r="W48">
        <v>0.32</v>
      </c>
      <c r="X48">
        <v>0</v>
      </c>
      <c r="Y48">
        <v>0</v>
      </c>
      <c r="Z48" s="31">
        <v>0</v>
      </c>
      <c r="AA48" s="31">
        <v>0</v>
      </c>
      <c r="AB48" s="1" t="str">
        <f>VLOOKUP(T:T,'8店'!$B:$B,1,0)</f>
        <v>Y8102-MU</v>
      </c>
      <c r="AC48" t="s">
        <v>2985</v>
      </c>
      <c r="AD48">
        <v>5542</v>
      </c>
      <c r="AE48">
        <v>60</v>
      </c>
      <c r="AF48">
        <v>17.63</v>
      </c>
      <c r="AG48">
        <v>68.66</v>
      </c>
      <c r="AH48">
        <v>4</v>
      </c>
      <c r="AI48" s="31">
        <v>0.256772502184678</v>
      </c>
      <c r="AJ48" s="31">
        <v>0.0666666666666667</v>
      </c>
      <c r="AK48" s="1" t="str">
        <f>VLOOKUP(AC:AC,'8店'!$B:$B,1,0)</f>
        <v>Y8095-GR-1</v>
      </c>
      <c r="AN48" s="1">
        <f>AM48*$AS$1</f>
        <v>0</v>
      </c>
      <c r="AP48" s="29" t="s">
        <v>2888</v>
      </c>
      <c r="AQ48" s="33">
        <v>11.99</v>
      </c>
      <c r="AR48" s="1">
        <f t="shared" si="3"/>
        <v>82.1315</v>
      </c>
      <c r="AT48" s="109" t="s">
        <v>2872</v>
      </c>
      <c r="AU48" s="44">
        <v>12.063</v>
      </c>
      <c r="AV48" s="35"/>
      <c r="AW48" s="108" t="s">
        <v>2866</v>
      </c>
      <c r="AX48" s="44">
        <v>130</v>
      </c>
      <c r="AZ48" s="114" t="s">
        <v>2841</v>
      </c>
      <c r="BA48" s="113">
        <v>8.8</v>
      </c>
      <c r="BB48" s="1" t="s">
        <v>430</v>
      </c>
    </row>
    <row r="49" ht="16.3" spans="2:54">
      <c r="B49"/>
      <c r="C49"/>
      <c r="E49" t="s">
        <v>2779</v>
      </c>
      <c r="F49">
        <v>1</v>
      </c>
      <c r="G49" s="1" t="str">
        <f>VLOOKUP(E:E,'8店'!$B:$B,1,0)</f>
        <v>Y8007</v>
      </c>
      <c r="H49" t="s">
        <v>2952</v>
      </c>
      <c r="I49">
        <v>1</v>
      </c>
      <c r="J49" s="1" t="str">
        <f>VLOOKUP(H:H,'8店'!$B:$B,1,0)</f>
        <v>Y8816-SC</v>
      </c>
      <c r="K49" t="s">
        <v>439</v>
      </c>
      <c r="L49">
        <v>323066</v>
      </c>
      <c r="M49">
        <v>2433</v>
      </c>
      <c r="N49">
        <v>586.78</v>
      </c>
      <c r="O49">
        <v>4481.23</v>
      </c>
      <c r="P49">
        <v>214</v>
      </c>
      <c r="Q49" s="31">
        <v>0.130941728052343</v>
      </c>
      <c r="R49" s="31">
        <v>0.0879572544184135</v>
      </c>
      <c r="T49" t="s">
        <v>2995</v>
      </c>
      <c r="U49">
        <v>360</v>
      </c>
      <c r="V49">
        <v>1</v>
      </c>
      <c r="W49">
        <v>0.46</v>
      </c>
      <c r="X49">
        <v>0</v>
      </c>
      <c r="Y49">
        <v>0</v>
      </c>
      <c r="Z49" s="31">
        <v>0</v>
      </c>
      <c r="AA49" s="31">
        <v>0</v>
      </c>
      <c r="AB49" s="1" t="str">
        <f>VLOOKUP(T:T,'8店'!$B:$B,1,0)</f>
        <v>Y8101-1</v>
      </c>
      <c r="AC49" t="s">
        <v>2817</v>
      </c>
      <c r="AD49">
        <v>356</v>
      </c>
      <c r="AE49">
        <v>5</v>
      </c>
      <c r="AF49">
        <v>0.66</v>
      </c>
      <c r="AG49">
        <v>38.98</v>
      </c>
      <c r="AH49">
        <v>2</v>
      </c>
      <c r="AI49" s="31">
        <v>0.0169317598768599</v>
      </c>
      <c r="AJ49" s="31">
        <v>0.4</v>
      </c>
      <c r="AK49" s="1" t="str">
        <f>VLOOKUP(AC:AC,'8店'!$B:$B,1,0)</f>
        <v>Y8034-BL</v>
      </c>
      <c r="AN49" s="1">
        <f>AM49*$AS$1</f>
        <v>0</v>
      </c>
      <c r="AP49" s="29" t="s">
        <v>2987</v>
      </c>
      <c r="AQ49" s="33">
        <v>20.66</v>
      </c>
      <c r="AR49" s="1">
        <f t="shared" si="3"/>
        <v>141.521</v>
      </c>
      <c r="AT49" s="109" t="s">
        <v>2875</v>
      </c>
      <c r="AU49" s="44">
        <v>48.244</v>
      </c>
      <c r="AV49" s="35"/>
      <c r="AW49" s="108" t="s">
        <v>3025</v>
      </c>
      <c r="AX49" s="44">
        <v>30.285</v>
      </c>
      <c r="AZ49" s="114" t="s">
        <v>3026</v>
      </c>
      <c r="BA49" s="113">
        <v>7.735</v>
      </c>
      <c r="BB49" s="1" t="s">
        <v>430</v>
      </c>
    </row>
    <row r="50" ht="16.3" spans="2:54">
      <c r="B50"/>
      <c r="C50"/>
      <c r="E50" t="s">
        <v>2801</v>
      </c>
      <c r="F50">
        <v>1</v>
      </c>
      <c r="G50" s="1" t="str">
        <f>VLOOKUP(E:E,'8店'!$B:$B,1,0)</f>
        <v>Y8025</v>
      </c>
      <c r="H50" t="s">
        <v>2961</v>
      </c>
      <c r="I50">
        <v>4</v>
      </c>
      <c r="J50" s="1" t="str">
        <f>VLOOKUP(H:H,'8店'!$B:$B,1,0)</f>
        <v>Y8804</v>
      </c>
      <c r="K50"/>
      <c r="L50"/>
      <c r="M50"/>
      <c r="N50"/>
      <c r="O50"/>
      <c r="P50"/>
      <c r="Q50"/>
      <c r="R50"/>
      <c r="T50" t="s">
        <v>2992</v>
      </c>
      <c r="U50">
        <v>86</v>
      </c>
      <c r="V50">
        <v>0</v>
      </c>
      <c r="W50">
        <v>0</v>
      </c>
      <c r="X50">
        <v>0</v>
      </c>
      <c r="Y50">
        <v>0</v>
      </c>
      <c r="Z50" s="31">
        <v>0</v>
      </c>
      <c r="AA50" s="31">
        <v>0</v>
      </c>
      <c r="AB50" s="1" t="str">
        <f>VLOOKUP(T:T,'8店'!$B:$B,1,0)</f>
        <v>Y8099</v>
      </c>
      <c r="AC50" t="s">
        <v>3001</v>
      </c>
      <c r="AD50">
        <v>82</v>
      </c>
      <c r="AE50">
        <v>1</v>
      </c>
      <c r="AF50">
        <v>0.32</v>
      </c>
      <c r="AG50">
        <v>0</v>
      </c>
      <c r="AH50">
        <v>0</v>
      </c>
      <c r="AI50" s="31">
        <v>0</v>
      </c>
      <c r="AJ50" s="31">
        <v>0</v>
      </c>
      <c r="AK50" s="1" t="str">
        <f>VLOOKUP(AC:AC,'8店'!$B:$B,1,0)</f>
        <v>Y8102-MU</v>
      </c>
      <c r="AN50" s="1">
        <f>AM50*$AS$1</f>
        <v>0</v>
      </c>
      <c r="AP50" s="29" t="s">
        <v>2964</v>
      </c>
      <c r="AQ50" s="107">
        <v>174.93</v>
      </c>
      <c r="AR50" s="1">
        <f>AQ50*4.9</f>
        <v>857.157</v>
      </c>
      <c r="AT50" s="109" t="s">
        <v>2878</v>
      </c>
      <c r="AU50" s="44">
        <v>24.106</v>
      </c>
      <c r="AV50" s="35"/>
      <c r="AW50" s="108" t="s">
        <v>2869</v>
      </c>
      <c r="AX50" s="44">
        <v>481.4</v>
      </c>
      <c r="AZ50" s="112" t="s">
        <v>2843</v>
      </c>
      <c r="BA50" s="113">
        <v>16.372</v>
      </c>
      <c r="BB50" s="1" t="s">
        <v>430</v>
      </c>
    </row>
    <row r="51" ht="16.3" spans="2:54">
      <c r="B51"/>
      <c r="C51"/>
      <c r="E51" t="s">
        <v>2832</v>
      </c>
      <c r="F51">
        <v>1</v>
      </c>
      <c r="G51" s="1" t="str">
        <f>VLOOKUP(E:E,'8店'!$B:$B,1,0)</f>
        <v>Y8043-RE*1</v>
      </c>
      <c r="H51" t="s">
        <v>3027</v>
      </c>
      <c r="I51">
        <v>1</v>
      </c>
      <c r="J51" s="1" t="e">
        <f>VLOOKUP(H:H,'8店'!$B:$B,1,0)</f>
        <v>#N/A</v>
      </c>
      <c r="K51"/>
      <c r="L51"/>
      <c r="M51"/>
      <c r="N51"/>
      <c r="O51"/>
      <c r="P51"/>
      <c r="Q51"/>
      <c r="R51"/>
      <c r="T51" t="s">
        <v>439</v>
      </c>
      <c r="U51">
        <v>603815</v>
      </c>
      <c r="V51">
        <v>4662</v>
      </c>
      <c r="W51">
        <v>1080.71</v>
      </c>
      <c r="X51">
        <v>9103.55</v>
      </c>
      <c r="Y51">
        <v>435</v>
      </c>
      <c r="Z51" s="31">
        <v>0.118713029532435</v>
      </c>
      <c r="AA51" s="31">
        <v>0.0933075933075933</v>
      </c>
      <c r="AC51" t="s">
        <v>2995</v>
      </c>
      <c r="AD51">
        <v>360</v>
      </c>
      <c r="AE51">
        <v>1</v>
      </c>
      <c r="AF51">
        <v>0.46</v>
      </c>
      <c r="AG51">
        <v>0</v>
      </c>
      <c r="AH51">
        <v>0</v>
      </c>
      <c r="AI51" s="31">
        <v>0</v>
      </c>
      <c r="AJ51" s="31">
        <v>0</v>
      </c>
      <c r="AK51" s="1" t="str">
        <f>VLOOKUP(AC:AC,'8店'!$B:$B,1,0)</f>
        <v>Y8101-1</v>
      </c>
      <c r="AN51" s="1">
        <f>AM51*$AS$1</f>
        <v>0</v>
      </c>
      <c r="AP51" s="29" t="s">
        <v>2961</v>
      </c>
      <c r="AQ51" s="107">
        <v>56.97</v>
      </c>
      <c r="AR51" s="1">
        <f>AQ51*4.9</f>
        <v>279.153</v>
      </c>
      <c r="AT51" s="108" t="s">
        <v>2880</v>
      </c>
      <c r="AU51" s="44">
        <v>232.5</v>
      </c>
      <c r="AV51" s="35"/>
      <c r="AW51" s="109" t="s">
        <v>3028</v>
      </c>
      <c r="AX51" s="44">
        <v>23.886</v>
      </c>
      <c r="AZ51" s="112" t="s">
        <v>2846</v>
      </c>
      <c r="BA51" s="113">
        <v>16.722</v>
      </c>
      <c r="BB51" s="1" t="s">
        <v>430</v>
      </c>
    </row>
    <row r="52" ht="16.3" spans="2:54">
      <c r="B52"/>
      <c r="C52"/>
      <c r="E52" t="s">
        <v>2987</v>
      </c>
      <c r="F52">
        <v>1</v>
      </c>
      <c r="G52" s="1" t="str">
        <f>VLOOKUP(E:E,'8店'!$B:$B,1,0)</f>
        <v>Y8098</v>
      </c>
      <c r="H52" t="s">
        <v>3010</v>
      </c>
      <c r="I52">
        <v>3</v>
      </c>
      <c r="J52" s="1" t="e">
        <f>VLOOKUP(H:H,'8店'!$B:$B,1,0)</f>
        <v>#N/A</v>
      </c>
      <c r="K52"/>
      <c r="L52"/>
      <c r="M52"/>
      <c r="N52"/>
      <c r="O52"/>
      <c r="P52"/>
      <c r="Q52"/>
      <c r="R52"/>
      <c r="T52"/>
      <c r="U52"/>
      <c r="V52"/>
      <c r="W52"/>
      <c r="X52"/>
      <c r="Y52"/>
      <c r="Z52"/>
      <c r="AA52"/>
      <c r="AC52" t="s">
        <v>2992</v>
      </c>
      <c r="AD52">
        <v>86</v>
      </c>
      <c r="AE52">
        <v>0</v>
      </c>
      <c r="AF52">
        <v>0</v>
      </c>
      <c r="AG52">
        <v>0</v>
      </c>
      <c r="AH52">
        <v>0</v>
      </c>
      <c r="AI52" s="31">
        <v>0</v>
      </c>
      <c r="AJ52" s="31">
        <v>0</v>
      </c>
      <c r="AK52" s="1" t="str">
        <f>VLOOKUP(AC:AC,'8店'!$B:$B,1,0)</f>
        <v>Y8099</v>
      </c>
      <c r="AN52" s="1">
        <f>AM52*$AS$1</f>
        <v>0</v>
      </c>
      <c r="AP52" s="29" t="s">
        <v>2952</v>
      </c>
      <c r="AQ52" s="107">
        <v>14.99</v>
      </c>
      <c r="AR52" s="1">
        <f>AQ52*4.9</f>
        <v>73.451</v>
      </c>
      <c r="AT52" s="109" t="s">
        <v>2883</v>
      </c>
      <c r="AU52" s="44">
        <v>145.344</v>
      </c>
      <c r="AV52" s="35"/>
      <c r="AW52" s="108" t="s">
        <v>2875</v>
      </c>
      <c r="AX52" s="44">
        <v>144.732</v>
      </c>
      <c r="AZ52" s="112" t="s">
        <v>2852</v>
      </c>
      <c r="BA52" s="113">
        <v>0.945</v>
      </c>
      <c r="BB52" s="1" t="s">
        <v>430</v>
      </c>
    </row>
    <row r="53" ht="16.3" spans="2:54">
      <c r="B53"/>
      <c r="C53"/>
      <c r="E53" t="s">
        <v>439</v>
      </c>
      <c r="F53">
        <v>1599</v>
      </c>
      <c r="H53" t="s">
        <v>2807</v>
      </c>
      <c r="I53">
        <v>1</v>
      </c>
      <c r="J53" s="1" t="str">
        <f>VLOOKUP(H:H,'8店'!$B:$B,1,0)</f>
        <v>Y8029</v>
      </c>
      <c r="K53"/>
      <c r="L53"/>
      <c r="M53"/>
      <c r="N53"/>
      <c r="O53"/>
      <c r="P53"/>
      <c r="Q53"/>
      <c r="R53"/>
      <c r="T53"/>
      <c r="U53"/>
      <c r="V53"/>
      <c r="W53"/>
      <c r="X53"/>
      <c r="Y53"/>
      <c r="Z53"/>
      <c r="AA53"/>
      <c r="AC53" t="s">
        <v>439</v>
      </c>
      <c r="AD53">
        <v>1001529</v>
      </c>
      <c r="AE53">
        <v>8053</v>
      </c>
      <c r="AF53">
        <v>1817.14</v>
      </c>
      <c r="AG53">
        <v>16602.88</v>
      </c>
      <c r="AH53">
        <v>785</v>
      </c>
      <c r="AI53" s="31">
        <v>0.109447276617069</v>
      </c>
      <c r="AJ53" s="31">
        <v>0.0974792002980256</v>
      </c>
      <c r="AK53" s="1"/>
      <c r="AN53" s="1">
        <f>AM53*4.9</f>
        <v>0</v>
      </c>
      <c r="AP53" s="29" t="s">
        <v>3023</v>
      </c>
      <c r="AQ53" s="107">
        <v>32.99</v>
      </c>
      <c r="AR53" s="1">
        <f>AQ53*4.9</f>
        <v>161.651</v>
      </c>
      <c r="AT53" s="109" t="s">
        <v>2885</v>
      </c>
      <c r="AU53" s="44">
        <v>9.106</v>
      </c>
      <c r="AV53" s="35"/>
      <c r="AW53" s="109" t="s">
        <v>2878</v>
      </c>
      <c r="AX53" s="44">
        <v>72.318</v>
      </c>
      <c r="AZ53" s="112" t="s">
        <v>2863</v>
      </c>
      <c r="BA53" s="113">
        <v>9.078</v>
      </c>
      <c r="BB53" s="1" t="s">
        <v>430</v>
      </c>
    </row>
    <row r="54" ht="16.3" spans="2:54">
      <c r="B54"/>
      <c r="C54"/>
      <c r="E54"/>
      <c r="F54"/>
      <c r="H54" t="s">
        <v>2829</v>
      </c>
      <c r="I54">
        <v>1</v>
      </c>
      <c r="J54" s="1" t="str">
        <f>VLOOKUP(H:H,'8店'!$B:$B,1,0)</f>
        <v>Y8042-GR</v>
      </c>
      <c r="K54"/>
      <c r="L54"/>
      <c r="M54"/>
      <c r="N54"/>
      <c r="O54"/>
      <c r="P54"/>
      <c r="Q54"/>
      <c r="R54"/>
      <c r="T54"/>
      <c r="U54"/>
      <c r="V54"/>
      <c r="W54"/>
      <c r="X54"/>
      <c r="Y54"/>
      <c r="Z54"/>
      <c r="AA54"/>
      <c r="AC54"/>
      <c r="AD54"/>
      <c r="AE54"/>
      <c r="AF54"/>
      <c r="AG54"/>
      <c r="AH54"/>
      <c r="AI54"/>
      <c r="AJ54"/>
      <c r="AK54" s="1"/>
      <c r="AN54" s="1">
        <f>AM54*4.9</f>
        <v>0</v>
      </c>
      <c r="AR54" s="1">
        <f>AQ54*$AS$1</f>
        <v>0</v>
      </c>
      <c r="AT54" s="108" t="s">
        <v>2888</v>
      </c>
      <c r="AU54" s="44">
        <v>32.556</v>
      </c>
      <c r="AV54" s="35"/>
      <c r="AW54" s="108" t="s">
        <v>2880</v>
      </c>
      <c r="AX54" s="44">
        <v>111.6</v>
      </c>
      <c r="AZ54" s="112" t="s">
        <v>3029</v>
      </c>
      <c r="BA54" s="113">
        <v>2.039</v>
      </c>
      <c r="BB54" s="1" t="s">
        <v>430</v>
      </c>
    </row>
    <row r="55" ht="16.3" spans="2:54">
      <c r="B55"/>
      <c r="C55"/>
      <c r="E55"/>
      <c r="F55"/>
      <c r="H55" t="s">
        <v>2910</v>
      </c>
      <c r="I55">
        <v>1</v>
      </c>
      <c r="J55" s="1" t="str">
        <f>VLOOKUP(H:H,'8店'!$B:$B,1,0)</f>
        <v>Y8092-BL-2</v>
      </c>
      <c r="K55"/>
      <c r="L55"/>
      <c r="M55"/>
      <c r="N55"/>
      <c r="O55"/>
      <c r="P55"/>
      <c r="Q55"/>
      <c r="R55"/>
      <c r="T55"/>
      <c r="U55"/>
      <c r="V55"/>
      <c r="W55"/>
      <c r="X55"/>
      <c r="Y55"/>
      <c r="Z55"/>
      <c r="AA55"/>
      <c r="AC55"/>
      <c r="AD55"/>
      <c r="AE55"/>
      <c r="AF55"/>
      <c r="AG55"/>
      <c r="AH55"/>
      <c r="AI55"/>
      <c r="AJ55"/>
      <c r="AK55" s="1"/>
      <c r="AN55" s="1">
        <f>AM55*4.9</f>
        <v>0</v>
      </c>
      <c r="AR55" s="1">
        <f>AQ55*$AS$1</f>
        <v>0</v>
      </c>
      <c r="AT55" s="108" t="s">
        <v>2890</v>
      </c>
      <c r="AU55" s="44">
        <v>97.578</v>
      </c>
      <c r="AV55" s="35"/>
      <c r="AW55" s="109" t="s">
        <v>2883</v>
      </c>
      <c r="AX55" s="44">
        <v>254.352</v>
      </c>
      <c r="AZ55" s="115" t="s">
        <v>3030</v>
      </c>
      <c r="BA55" s="113">
        <v>0.489</v>
      </c>
      <c r="BB55" s="1" t="s">
        <v>430</v>
      </c>
    </row>
    <row r="56" ht="16.3" spans="2:54">
      <c r="B56"/>
      <c r="C56"/>
      <c r="E56"/>
      <c r="F56"/>
      <c r="H56" t="s">
        <v>3023</v>
      </c>
      <c r="I56">
        <v>2</v>
      </c>
      <c r="J56" s="1" t="e">
        <f>VLOOKUP(H:H,'8店'!$B:$B,1,0)</f>
        <v>#N/A</v>
      </c>
      <c r="K56"/>
      <c r="L56"/>
      <c r="M56"/>
      <c r="N56"/>
      <c r="O56"/>
      <c r="P56"/>
      <c r="Q56"/>
      <c r="R56"/>
      <c r="T56"/>
      <c r="U56"/>
      <c r="V56"/>
      <c r="W56"/>
      <c r="X56"/>
      <c r="Y56"/>
      <c r="Z56"/>
      <c r="AA56"/>
      <c r="AC56"/>
      <c r="AD56"/>
      <c r="AE56"/>
      <c r="AF56"/>
      <c r="AG56"/>
      <c r="AH56"/>
      <c r="AI56"/>
      <c r="AJ56"/>
      <c r="AK56" s="1"/>
      <c r="AN56" s="1">
        <f>AM56*4.9</f>
        <v>0</v>
      </c>
      <c r="AR56" s="1">
        <f>AQ56*$AS$1</f>
        <v>0</v>
      </c>
      <c r="AT56" s="108" t="s">
        <v>2892</v>
      </c>
      <c r="AU56" s="44">
        <v>339.15</v>
      </c>
      <c r="AV56" s="35"/>
      <c r="AW56" s="109" t="s">
        <v>2885</v>
      </c>
      <c r="AX56" s="44">
        <v>27.318</v>
      </c>
      <c r="AZ56" s="115" t="s">
        <v>2888</v>
      </c>
      <c r="BA56" s="113">
        <v>0.479</v>
      </c>
      <c r="BB56" s="1" t="s">
        <v>430</v>
      </c>
    </row>
    <row r="57" ht="16.3" spans="2:54">
      <c r="B57"/>
      <c r="C57"/>
      <c r="E57"/>
      <c r="F57"/>
      <c r="H57" t="s">
        <v>2775</v>
      </c>
      <c r="I57">
        <v>5</v>
      </c>
      <c r="J57" s="1" t="str">
        <f>VLOOKUP(H:H,'8店'!$B:$B,1,0)</f>
        <v>Y8005</v>
      </c>
      <c r="K57"/>
      <c r="L57"/>
      <c r="M57"/>
      <c r="N57"/>
      <c r="O57"/>
      <c r="P57"/>
      <c r="Q57"/>
      <c r="R57"/>
      <c r="T57"/>
      <c r="U57"/>
      <c r="V57"/>
      <c r="W57"/>
      <c r="X57"/>
      <c r="Y57"/>
      <c r="Z57"/>
      <c r="AA57"/>
      <c r="AC57"/>
      <c r="AD57"/>
      <c r="AE57"/>
      <c r="AF57"/>
      <c r="AG57"/>
      <c r="AH57"/>
      <c r="AI57"/>
      <c r="AJ57"/>
      <c r="AK57" s="1"/>
      <c r="AN57" s="1">
        <f>AM57*$AS$1</f>
        <v>0</v>
      </c>
      <c r="AR57" s="1">
        <f>AQ57*$AS$1</f>
        <v>0</v>
      </c>
      <c r="AT57" s="108" t="s">
        <v>2894</v>
      </c>
      <c r="AU57" s="44">
        <v>732.51</v>
      </c>
      <c r="AV57" s="35"/>
      <c r="AW57" s="108" t="s">
        <v>2888</v>
      </c>
      <c r="AX57" s="44">
        <v>65.112</v>
      </c>
      <c r="AZ57" s="112" t="s">
        <v>2890</v>
      </c>
      <c r="BA57" s="113">
        <v>0.49</v>
      </c>
      <c r="BB57" s="1" t="s">
        <v>430</v>
      </c>
    </row>
    <row r="58" ht="16.3" spans="2:54">
      <c r="B58"/>
      <c r="C58"/>
      <c r="E58"/>
      <c r="F58"/>
      <c r="H58" t="s">
        <v>2801</v>
      </c>
      <c r="I58">
        <v>1</v>
      </c>
      <c r="J58" s="1" t="str">
        <f>VLOOKUP(H:H,'8店'!$B:$B,1,0)</f>
        <v>Y8025</v>
      </c>
      <c r="K58"/>
      <c r="L58"/>
      <c r="M58"/>
      <c r="N58"/>
      <c r="O58"/>
      <c r="P58"/>
      <c r="Q58"/>
      <c r="R58"/>
      <c r="T58"/>
      <c r="U58"/>
      <c r="V58"/>
      <c r="W58"/>
      <c r="X58"/>
      <c r="Y58"/>
      <c r="Z58"/>
      <c r="AA58"/>
      <c r="AC58"/>
      <c r="AD58"/>
      <c r="AE58"/>
      <c r="AF58"/>
      <c r="AG58"/>
      <c r="AH58"/>
      <c r="AI58"/>
      <c r="AJ58"/>
      <c r="AK58" s="1"/>
      <c r="AN58" s="1">
        <f>AM58*$AS$1</f>
        <v>0</v>
      </c>
      <c r="AR58" s="1">
        <f>AQ58*$AS$1</f>
        <v>0</v>
      </c>
      <c r="AT58" s="109" t="s">
        <v>3021</v>
      </c>
      <c r="AU58" s="44">
        <v>10.4</v>
      </c>
      <c r="AV58" s="35"/>
      <c r="AW58" s="108" t="s">
        <v>2890</v>
      </c>
      <c r="AX58" s="44">
        <v>130.104</v>
      </c>
      <c r="AZ58" s="112" t="s">
        <v>2892</v>
      </c>
      <c r="BA58" s="113">
        <v>0.464</v>
      </c>
      <c r="BB58" s="1" t="s">
        <v>430</v>
      </c>
    </row>
    <row r="59" ht="16.3" spans="2:54">
      <c r="B59"/>
      <c r="C59"/>
      <c r="E59"/>
      <c r="F59"/>
      <c r="H59" t="s">
        <v>2832</v>
      </c>
      <c r="I59">
        <v>1</v>
      </c>
      <c r="J59" s="1" t="str">
        <f>VLOOKUP(H:H,'8店'!$B:$B,1,0)</f>
        <v>Y8043-RE*1</v>
      </c>
      <c r="K59"/>
      <c r="L59"/>
      <c r="M59"/>
      <c r="N59"/>
      <c r="O59"/>
      <c r="P59"/>
      <c r="Q59"/>
      <c r="R59"/>
      <c r="T59"/>
      <c r="U59"/>
      <c r="V59"/>
      <c r="W59"/>
      <c r="X59"/>
      <c r="Y59"/>
      <c r="Z59"/>
      <c r="AA59"/>
      <c r="AC59"/>
      <c r="AD59"/>
      <c r="AE59"/>
      <c r="AF59"/>
      <c r="AG59"/>
      <c r="AH59"/>
      <c r="AI59"/>
      <c r="AJ59"/>
      <c r="AK59" s="1"/>
      <c r="AN59" s="1">
        <f t="shared" ref="AN59:AN66" si="4">AM59*4.9</f>
        <v>0</v>
      </c>
      <c r="AR59" s="1">
        <f>AQ59*$AS$1</f>
        <v>0</v>
      </c>
      <c r="AT59" s="108" t="s">
        <v>2896</v>
      </c>
      <c r="AU59" s="44">
        <v>100.75</v>
      </c>
      <c r="AV59" s="35"/>
      <c r="AW59" s="108" t="s">
        <v>2892</v>
      </c>
      <c r="AX59" s="44">
        <v>452.2</v>
      </c>
      <c r="AZ59" s="112" t="s">
        <v>2894</v>
      </c>
      <c r="BA59" s="113">
        <v>0.505</v>
      </c>
      <c r="BB59" s="1" t="s">
        <v>430</v>
      </c>
    </row>
    <row r="60" ht="16.3" spans="2:54">
      <c r="B60"/>
      <c r="C60"/>
      <c r="E60"/>
      <c r="F60"/>
      <c r="H60" t="s">
        <v>2987</v>
      </c>
      <c r="I60">
        <v>1</v>
      </c>
      <c r="J60" s="1" t="str">
        <f>VLOOKUP(H:H,'8店'!$B:$B,1,0)</f>
        <v>Y8098</v>
      </c>
      <c r="K60"/>
      <c r="L60"/>
      <c r="M60"/>
      <c r="N60"/>
      <c r="O60"/>
      <c r="P60"/>
      <c r="Q60"/>
      <c r="R60"/>
      <c r="T60"/>
      <c r="U60"/>
      <c r="V60"/>
      <c r="W60"/>
      <c r="X60"/>
      <c r="Y60"/>
      <c r="Z60"/>
      <c r="AA60"/>
      <c r="AC60"/>
      <c r="AD60"/>
      <c r="AE60"/>
      <c r="AF60"/>
      <c r="AG60"/>
      <c r="AH60"/>
      <c r="AI60"/>
      <c r="AJ60"/>
      <c r="AK60" s="1"/>
      <c r="AN60" s="1">
        <f t="shared" si="4"/>
        <v>0</v>
      </c>
      <c r="AR60" s="1">
        <f>AQ60*$AS$1</f>
        <v>0</v>
      </c>
      <c r="AT60" s="108" t="s">
        <v>2898</v>
      </c>
      <c r="AU60" s="44">
        <v>201.5</v>
      </c>
      <c r="AV60" s="35"/>
      <c r="AW60" s="108" t="s">
        <v>2894</v>
      </c>
      <c r="AX60" s="44">
        <v>895.29</v>
      </c>
      <c r="AZ60" s="112" t="s">
        <v>3031</v>
      </c>
      <c r="BA60" s="113">
        <v>0.456</v>
      </c>
      <c r="BB60" s="1" t="s">
        <v>430</v>
      </c>
    </row>
    <row r="61" ht="16.3" spans="2:54">
      <c r="B61"/>
      <c r="C61"/>
      <c r="E61"/>
      <c r="F61"/>
      <c r="H61" t="s">
        <v>439</v>
      </c>
      <c r="I61">
        <v>3077</v>
      </c>
      <c r="K61"/>
      <c r="L61"/>
      <c r="M61"/>
      <c r="N61"/>
      <c r="O61"/>
      <c r="P61"/>
      <c r="Q61"/>
      <c r="R61"/>
      <c r="T61"/>
      <c r="U61"/>
      <c r="V61"/>
      <c r="W61"/>
      <c r="X61"/>
      <c r="Y61"/>
      <c r="Z61"/>
      <c r="AA61"/>
      <c r="AC61"/>
      <c r="AD61"/>
      <c r="AE61"/>
      <c r="AF61"/>
      <c r="AG61"/>
      <c r="AH61"/>
      <c r="AI61"/>
      <c r="AJ61"/>
      <c r="AK61" s="1"/>
      <c r="AN61" s="1">
        <f t="shared" si="4"/>
        <v>0</v>
      </c>
      <c r="AR61" s="1">
        <f>AQ61*$AS$1</f>
        <v>0</v>
      </c>
      <c r="AT61" s="108" t="s">
        <v>2900</v>
      </c>
      <c r="AU61" s="44">
        <v>739.634</v>
      </c>
      <c r="AV61" s="35"/>
      <c r="AW61" s="109" t="s">
        <v>3021</v>
      </c>
      <c r="AX61" s="44">
        <v>31.2</v>
      </c>
      <c r="AZ61" s="104" t="s">
        <v>3032</v>
      </c>
      <c r="BA61" s="113">
        <v>0.451</v>
      </c>
      <c r="BB61" s="1" t="s">
        <v>430</v>
      </c>
    </row>
    <row r="62" ht="16.3" spans="2:54">
      <c r="B62"/>
      <c r="C62"/>
      <c r="E62"/>
      <c r="F62"/>
      <c r="H62"/>
      <c r="I62"/>
      <c r="K62"/>
      <c r="L62"/>
      <c r="M62"/>
      <c r="N62"/>
      <c r="O62"/>
      <c r="P62"/>
      <c r="Q62"/>
      <c r="R62"/>
      <c r="T62"/>
      <c r="U62"/>
      <c r="V62"/>
      <c r="W62"/>
      <c r="X62"/>
      <c r="Y62"/>
      <c r="Z62"/>
      <c r="AA62"/>
      <c r="AC62"/>
      <c r="AD62"/>
      <c r="AE62"/>
      <c r="AF62"/>
      <c r="AG62"/>
      <c r="AH62"/>
      <c r="AI62"/>
      <c r="AJ62"/>
      <c r="AK62" s="1"/>
      <c r="AN62" s="1">
        <f t="shared" si="4"/>
        <v>0</v>
      </c>
      <c r="AR62" s="1">
        <f>AQ62*4.9</f>
        <v>0</v>
      </c>
      <c r="AT62" s="108" t="s">
        <v>2902</v>
      </c>
      <c r="AU62" s="44">
        <v>236.744</v>
      </c>
      <c r="AV62" s="35"/>
      <c r="AW62" s="108" t="s">
        <v>2896</v>
      </c>
      <c r="AX62" s="44">
        <v>100.75</v>
      </c>
      <c r="AZ62" s="104" t="s">
        <v>2866</v>
      </c>
      <c r="BA62" s="113">
        <v>3.615</v>
      </c>
      <c r="BB62" s="1" t="s">
        <v>430</v>
      </c>
    </row>
    <row r="63" ht="16.3" spans="2:54">
      <c r="B63"/>
      <c r="C63"/>
      <c r="E63"/>
      <c r="F63"/>
      <c r="H63"/>
      <c r="I63"/>
      <c r="K63"/>
      <c r="L63"/>
      <c r="M63"/>
      <c r="N63"/>
      <c r="O63"/>
      <c r="P63"/>
      <c r="Q63"/>
      <c r="R63"/>
      <c r="T63"/>
      <c r="U63"/>
      <c r="V63"/>
      <c r="W63"/>
      <c r="X63"/>
      <c r="Y63"/>
      <c r="Z63"/>
      <c r="AA63"/>
      <c r="AC63"/>
      <c r="AD63"/>
      <c r="AE63"/>
      <c r="AF63"/>
      <c r="AG63"/>
      <c r="AH63"/>
      <c r="AI63"/>
      <c r="AJ63"/>
      <c r="AK63" s="1"/>
      <c r="AN63" s="1">
        <f t="shared" si="4"/>
        <v>0</v>
      </c>
      <c r="AR63" s="1">
        <f>AQ63*4.9</f>
        <v>0</v>
      </c>
      <c r="AT63" s="108" t="s">
        <v>2904</v>
      </c>
      <c r="AU63" s="44">
        <v>138.92</v>
      </c>
      <c r="AV63" s="35"/>
      <c r="AW63" s="108" t="s">
        <v>2898</v>
      </c>
      <c r="AX63" s="44">
        <v>221.65</v>
      </c>
      <c r="AZ63" s="115" t="s">
        <v>3033</v>
      </c>
      <c r="BA63" s="113">
        <v>7.644</v>
      </c>
      <c r="BB63" s="1" t="s">
        <v>430</v>
      </c>
    </row>
    <row r="64" ht="16.3" spans="2:54">
      <c r="B64"/>
      <c r="C64"/>
      <c r="E64"/>
      <c r="F64"/>
      <c r="H64"/>
      <c r="I64"/>
      <c r="K64"/>
      <c r="L64"/>
      <c r="M64"/>
      <c r="N64"/>
      <c r="O64"/>
      <c r="P64"/>
      <c r="Q64"/>
      <c r="R64"/>
      <c r="T64"/>
      <c r="U64"/>
      <c r="V64"/>
      <c r="W64"/>
      <c r="X64"/>
      <c r="Y64"/>
      <c r="Z64"/>
      <c r="AA64"/>
      <c r="AC64"/>
      <c r="AD64"/>
      <c r="AE64"/>
      <c r="AF64"/>
      <c r="AG64"/>
      <c r="AH64"/>
      <c r="AI64"/>
      <c r="AJ64"/>
      <c r="AK64" s="1"/>
      <c r="AN64" s="1">
        <f t="shared" si="4"/>
        <v>0</v>
      </c>
      <c r="AR64" s="1">
        <f>AQ64*4.9</f>
        <v>0</v>
      </c>
      <c r="AT64" s="108" t="s">
        <v>2906</v>
      </c>
      <c r="AU64" s="44">
        <v>144.96</v>
      </c>
      <c r="AV64" s="35"/>
      <c r="AW64" s="108" t="s">
        <v>2900</v>
      </c>
      <c r="AX64" s="44">
        <v>3592.508</v>
      </c>
      <c r="AZ64" s="115" t="s">
        <v>3034</v>
      </c>
      <c r="BA64" s="113">
        <v>0.944</v>
      </c>
      <c r="BB64" s="1" t="s">
        <v>430</v>
      </c>
    </row>
    <row r="65" ht="16.3" spans="2:54">
      <c r="B65"/>
      <c r="C65"/>
      <c r="E65"/>
      <c r="F65"/>
      <c r="H65"/>
      <c r="I65"/>
      <c r="K65"/>
      <c r="L65"/>
      <c r="M65"/>
      <c r="N65"/>
      <c r="O65"/>
      <c r="P65"/>
      <c r="Q65"/>
      <c r="R65"/>
      <c r="T65"/>
      <c r="U65"/>
      <c r="V65"/>
      <c r="W65"/>
      <c r="X65"/>
      <c r="Y65"/>
      <c r="Z65"/>
      <c r="AA65"/>
      <c r="AC65"/>
      <c r="AD65"/>
      <c r="AE65"/>
      <c r="AF65"/>
      <c r="AG65"/>
      <c r="AH65"/>
      <c r="AI65"/>
      <c r="AJ65"/>
      <c r="AK65" s="1"/>
      <c r="AN65" s="1">
        <f t="shared" si="4"/>
        <v>0</v>
      </c>
      <c r="AR65" s="1">
        <f>AQ65*4.9</f>
        <v>0</v>
      </c>
      <c r="AT65" s="108" t="s">
        <v>2908</v>
      </c>
      <c r="AU65" s="44">
        <v>179.34</v>
      </c>
      <c r="AV65" s="35"/>
      <c r="AW65" s="108" t="s">
        <v>2902</v>
      </c>
      <c r="AX65" s="44">
        <v>295.93</v>
      </c>
      <c r="AZ65" s="115" t="s">
        <v>3035</v>
      </c>
      <c r="BA65" s="113">
        <v>0.963</v>
      </c>
      <c r="BB65" s="1" t="s">
        <v>430</v>
      </c>
    </row>
    <row r="66" ht="16.3" spans="2:54">
      <c r="B66"/>
      <c r="C66"/>
      <c r="E66"/>
      <c r="F66"/>
      <c r="H66"/>
      <c r="I66"/>
      <c r="K66"/>
      <c r="L66"/>
      <c r="M66"/>
      <c r="N66"/>
      <c r="O66"/>
      <c r="P66"/>
      <c r="Q66"/>
      <c r="R66"/>
      <c r="T66"/>
      <c r="U66"/>
      <c r="V66"/>
      <c r="W66"/>
      <c r="X66"/>
      <c r="Y66"/>
      <c r="Z66"/>
      <c r="AA66"/>
      <c r="AC66"/>
      <c r="AD66"/>
      <c r="AE66"/>
      <c r="AF66"/>
      <c r="AG66"/>
      <c r="AH66"/>
      <c r="AI66"/>
      <c r="AJ66"/>
      <c r="AK66" s="1"/>
      <c r="AN66" s="1">
        <f t="shared" si="4"/>
        <v>0</v>
      </c>
      <c r="AR66" s="1">
        <f>AQ66*4.9</f>
        <v>0</v>
      </c>
      <c r="AT66" s="108" t="s">
        <v>2910</v>
      </c>
      <c r="AU66" s="44">
        <v>204.96</v>
      </c>
      <c r="AV66" s="35"/>
      <c r="AW66" s="108" t="s">
        <v>2904</v>
      </c>
      <c r="AX66" s="44">
        <v>217.44</v>
      </c>
      <c r="AZ66" s="115" t="s">
        <v>2878</v>
      </c>
      <c r="BA66" s="113">
        <v>1.008</v>
      </c>
      <c r="BB66" s="1" t="s">
        <v>430</v>
      </c>
    </row>
    <row r="67" ht="16.3" spans="2:54">
      <c r="B67"/>
      <c r="C67"/>
      <c r="E67"/>
      <c r="F67"/>
      <c r="H67"/>
      <c r="I67"/>
      <c r="K67"/>
      <c r="L67"/>
      <c r="M67"/>
      <c r="N67"/>
      <c r="O67"/>
      <c r="P67"/>
      <c r="Q67"/>
      <c r="R67"/>
      <c r="T67"/>
      <c r="U67"/>
      <c r="V67"/>
      <c r="W67"/>
      <c r="X67"/>
      <c r="Y67"/>
      <c r="Z67"/>
      <c r="AA67"/>
      <c r="AC67"/>
      <c r="AD67"/>
      <c r="AE67"/>
      <c r="AF67"/>
      <c r="AG67"/>
      <c r="AH67"/>
      <c r="AI67"/>
      <c r="AJ67"/>
      <c r="AK67" s="1"/>
      <c r="AN67" s="1">
        <f>AM67*$AS$1</f>
        <v>0</v>
      </c>
      <c r="AR67" s="1">
        <f t="shared" ref="AR65:AR70" si="5">AQ67*4.9</f>
        <v>0</v>
      </c>
      <c r="AT67" s="108" t="s">
        <v>2912</v>
      </c>
      <c r="AU67" s="44">
        <v>102.48</v>
      </c>
      <c r="AV67" s="35"/>
      <c r="AW67" s="108" t="s">
        <v>2906</v>
      </c>
      <c r="AX67" s="44">
        <v>144.96</v>
      </c>
      <c r="AZ67" s="115" t="s">
        <v>2875</v>
      </c>
      <c r="BA67" s="113">
        <v>0.982</v>
      </c>
      <c r="BB67" s="1" t="s">
        <v>430</v>
      </c>
    </row>
    <row r="68" ht="16.3" spans="2:54">
      <c r="B68"/>
      <c r="C68"/>
      <c r="E68"/>
      <c r="F68"/>
      <c r="H68"/>
      <c r="I68"/>
      <c r="K68"/>
      <c r="L68"/>
      <c r="M68"/>
      <c r="N68"/>
      <c r="O68"/>
      <c r="P68"/>
      <c r="Q68"/>
      <c r="R68"/>
      <c r="T68"/>
      <c r="U68"/>
      <c r="V68"/>
      <c r="W68"/>
      <c r="X68"/>
      <c r="Y68"/>
      <c r="Z68"/>
      <c r="AA68"/>
      <c r="AC68"/>
      <c r="AD68"/>
      <c r="AE68"/>
      <c r="AF68"/>
      <c r="AG68"/>
      <c r="AH68"/>
      <c r="AI68"/>
      <c r="AJ68"/>
      <c r="AK68" s="1"/>
      <c r="AN68" s="1">
        <f>AM68*$AS$1</f>
        <v>0</v>
      </c>
      <c r="AR68" s="1">
        <f t="shared" si="5"/>
        <v>0</v>
      </c>
      <c r="AT68" s="108" t="s">
        <v>2914</v>
      </c>
      <c r="AU68" s="44">
        <v>68.32</v>
      </c>
      <c r="AV68" s="35"/>
      <c r="AW68" s="109" t="s">
        <v>3036</v>
      </c>
      <c r="AX68" s="44">
        <v>24.4</v>
      </c>
      <c r="AZ68" s="115" t="s">
        <v>2898</v>
      </c>
      <c r="BA68" s="113">
        <v>0.484</v>
      </c>
      <c r="BB68" s="1" t="s">
        <v>430</v>
      </c>
    </row>
    <row r="69" ht="16.3" spans="5:54">
      <c r="E69"/>
      <c r="F69"/>
      <c r="H69"/>
      <c r="I69"/>
      <c r="K69"/>
      <c r="L69"/>
      <c r="M69"/>
      <c r="N69"/>
      <c r="O69"/>
      <c r="P69"/>
      <c r="Q69"/>
      <c r="R69"/>
      <c r="T69"/>
      <c r="U69"/>
      <c r="V69"/>
      <c r="W69"/>
      <c r="X69"/>
      <c r="Y69"/>
      <c r="Z69"/>
      <c r="AA69"/>
      <c r="AC69"/>
      <c r="AD69"/>
      <c r="AE69"/>
      <c r="AF69"/>
      <c r="AG69"/>
      <c r="AH69"/>
      <c r="AI69"/>
      <c r="AJ69"/>
      <c r="AK69" s="1"/>
      <c r="AN69" s="1">
        <f>AM69*$AS$1</f>
        <v>0</v>
      </c>
      <c r="AR69" s="1">
        <f t="shared" si="5"/>
        <v>0</v>
      </c>
      <c r="AT69" s="108" t="s">
        <v>2916</v>
      </c>
      <c r="AU69" s="44">
        <v>2203.2</v>
      </c>
      <c r="AV69" s="35"/>
      <c r="AW69" s="108" t="s">
        <v>2908</v>
      </c>
      <c r="AX69" s="44">
        <v>213.5</v>
      </c>
      <c r="AZ69" s="115" t="s">
        <v>2896</v>
      </c>
      <c r="BA69" s="113">
        <v>0.487</v>
      </c>
      <c r="BB69" s="1" t="s">
        <v>430</v>
      </c>
    </row>
    <row r="70" ht="16.3" spans="5:54">
      <c r="E70"/>
      <c r="F70"/>
      <c r="H70"/>
      <c r="I70"/>
      <c r="K70"/>
      <c r="L70"/>
      <c r="M70"/>
      <c r="N70"/>
      <c r="O70"/>
      <c r="P70"/>
      <c r="Q70"/>
      <c r="R70"/>
      <c r="T70"/>
      <c r="U70"/>
      <c r="V70"/>
      <c r="W70"/>
      <c r="X70"/>
      <c r="Y70"/>
      <c r="Z70"/>
      <c r="AA70"/>
      <c r="AC70"/>
      <c r="AD70"/>
      <c r="AE70"/>
      <c r="AF70"/>
      <c r="AG70"/>
      <c r="AH70"/>
      <c r="AI70"/>
      <c r="AJ70"/>
      <c r="AK70" s="1"/>
      <c r="AN70" s="1">
        <f>AM70*$AS$1</f>
        <v>0</v>
      </c>
      <c r="AR70" s="1">
        <f t="shared" si="5"/>
        <v>0</v>
      </c>
      <c r="AT70" s="108" t="s">
        <v>2918</v>
      </c>
      <c r="AU70" s="44">
        <v>1377</v>
      </c>
      <c r="AW70" s="108" t="s">
        <v>2910</v>
      </c>
      <c r="AX70" s="44">
        <v>222.04</v>
      </c>
      <c r="AZ70" s="115" t="s">
        <v>2982</v>
      </c>
      <c r="BA70" s="113">
        <v>0.919</v>
      </c>
      <c r="BB70" s="1" t="s">
        <v>430</v>
      </c>
    </row>
    <row r="71" ht="16.3" spans="5:54">
      <c r="E71"/>
      <c r="F71"/>
      <c r="H71"/>
      <c r="I71"/>
      <c r="K71"/>
      <c r="L71"/>
      <c r="M71"/>
      <c r="N71"/>
      <c r="O71"/>
      <c r="P71"/>
      <c r="Q71"/>
      <c r="R71"/>
      <c r="T71"/>
      <c r="U71"/>
      <c r="V71"/>
      <c r="W71"/>
      <c r="X71"/>
      <c r="Y71"/>
      <c r="Z71"/>
      <c r="AA71"/>
      <c r="AC71"/>
      <c r="AD71"/>
      <c r="AE71"/>
      <c r="AF71"/>
      <c r="AG71"/>
      <c r="AH71"/>
      <c r="AI71"/>
      <c r="AJ71"/>
      <c r="AK71" s="1"/>
      <c r="AN71" s="1">
        <f>AM71*$AS$1</f>
        <v>0</v>
      </c>
      <c r="AR71" s="1">
        <f t="shared" ref="AR68:AR74" si="6">AQ71*4.9</f>
        <v>0</v>
      </c>
      <c r="AT71" s="108" t="s">
        <v>2920</v>
      </c>
      <c r="AU71" s="44">
        <v>932.43</v>
      </c>
      <c r="AW71" s="108" t="s">
        <v>2912</v>
      </c>
      <c r="AX71" s="44">
        <v>102.48</v>
      </c>
      <c r="AZ71" s="115" t="s">
        <v>3025</v>
      </c>
      <c r="BA71" s="113">
        <v>0.985</v>
      </c>
      <c r="BB71" s="1" t="s">
        <v>430</v>
      </c>
    </row>
    <row r="72" ht="16.3" spans="5:54">
      <c r="E72"/>
      <c r="F72"/>
      <c r="H72"/>
      <c r="I72"/>
      <c r="K72"/>
      <c r="L72"/>
      <c r="M72"/>
      <c r="N72"/>
      <c r="O72"/>
      <c r="P72"/>
      <c r="Q72"/>
      <c r="R72"/>
      <c r="T72"/>
      <c r="U72"/>
      <c r="V72"/>
      <c r="W72"/>
      <c r="X72"/>
      <c r="Y72"/>
      <c r="Z72"/>
      <c r="AA72"/>
      <c r="AC72"/>
      <c r="AD72"/>
      <c r="AE72"/>
      <c r="AF72"/>
      <c r="AG72"/>
      <c r="AH72"/>
      <c r="AI72"/>
      <c r="AJ72"/>
      <c r="AK72" s="1"/>
      <c r="AN72" s="1">
        <f>AM72*$AS$1</f>
        <v>0</v>
      </c>
      <c r="AR72" s="1">
        <f t="shared" si="6"/>
        <v>0</v>
      </c>
      <c r="AT72" s="108" t="s">
        <v>2922</v>
      </c>
      <c r="AU72" s="44">
        <v>310.84</v>
      </c>
      <c r="AW72" s="108" t="s">
        <v>2914</v>
      </c>
      <c r="AX72" s="44">
        <v>68.32</v>
      </c>
      <c r="AZ72" s="115" t="s">
        <v>2872</v>
      </c>
      <c r="BA72" s="113">
        <v>0.941</v>
      </c>
      <c r="BB72" s="1" t="s">
        <v>430</v>
      </c>
    </row>
    <row r="73" ht="16.3" spans="5:54">
      <c r="E73"/>
      <c r="F73"/>
      <c r="H73"/>
      <c r="I73"/>
      <c r="K73"/>
      <c r="L73"/>
      <c r="M73"/>
      <c r="N73"/>
      <c r="O73"/>
      <c r="P73"/>
      <c r="Q73"/>
      <c r="R73"/>
      <c r="T73"/>
      <c r="U73"/>
      <c r="V73"/>
      <c r="W73"/>
      <c r="X73"/>
      <c r="Y73"/>
      <c r="Z73"/>
      <c r="AA73"/>
      <c r="AC73"/>
      <c r="AD73"/>
      <c r="AE73"/>
      <c r="AF73"/>
      <c r="AG73"/>
      <c r="AH73"/>
      <c r="AI73"/>
      <c r="AJ73"/>
      <c r="AK73" s="1"/>
      <c r="AN73" s="1">
        <f>AM73*$AS$1</f>
        <v>0</v>
      </c>
      <c r="AR73" s="1">
        <f t="shared" si="6"/>
        <v>0</v>
      </c>
      <c r="AT73" s="108" t="s">
        <v>2924</v>
      </c>
      <c r="AU73" s="44">
        <v>930.349</v>
      </c>
      <c r="AW73" s="108" t="s">
        <v>2916</v>
      </c>
      <c r="AX73" s="44">
        <v>3121.2</v>
      </c>
      <c r="AZ73" s="115" t="s">
        <v>3028</v>
      </c>
      <c r="BA73" s="113">
        <v>0.971</v>
      </c>
      <c r="BB73" s="1" t="s">
        <v>430</v>
      </c>
    </row>
    <row r="74" ht="16.3" spans="5:54">
      <c r="E74"/>
      <c r="F74"/>
      <c r="H74"/>
      <c r="I74"/>
      <c r="K74"/>
      <c r="L74"/>
      <c r="M74"/>
      <c r="N74"/>
      <c r="O74"/>
      <c r="P74"/>
      <c r="Q74"/>
      <c r="R74"/>
      <c r="T74"/>
      <c r="U74"/>
      <c r="V74"/>
      <c r="W74"/>
      <c r="X74"/>
      <c r="Y74"/>
      <c r="Z74"/>
      <c r="AA74"/>
      <c r="AC74"/>
      <c r="AD74"/>
      <c r="AE74"/>
      <c r="AF74"/>
      <c r="AG74"/>
      <c r="AH74"/>
      <c r="AI74"/>
      <c r="AJ74"/>
      <c r="AK74" s="1"/>
      <c r="AN74" s="1">
        <f>AM74*$AS$1</f>
        <v>0</v>
      </c>
      <c r="AR74" s="1">
        <f t="shared" si="6"/>
        <v>0</v>
      </c>
      <c r="AT74" s="108" t="s">
        <v>2926</v>
      </c>
      <c r="AU74" s="44">
        <v>320.84</v>
      </c>
      <c r="AW74" s="108" t="s">
        <v>2918</v>
      </c>
      <c r="AX74" s="44">
        <v>183.6</v>
      </c>
      <c r="AZ74" s="115" t="s">
        <v>2880</v>
      </c>
      <c r="BA74" s="113">
        <v>2.328</v>
      </c>
      <c r="BB74" s="1" t="s">
        <v>430</v>
      </c>
    </row>
    <row r="75" ht="16.3" spans="5:54">
      <c r="E75"/>
      <c r="F75"/>
      <c r="H75"/>
      <c r="I75"/>
      <c r="K75"/>
      <c r="L75"/>
      <c r="M75"/>
      <c r="N75"/>
      <c r="O75"/>
      <c r="P75"/>
      <c r="Q75"/>
      <c r="R75"/>
      <c r="T75"/>
      <c r="U75"/>
      <c r="V75"/>
      <c r="W75"/>
      <c r="X75"/>
      <c r="Y75"/>
      <c r="Z75"/>
      <c r="AA75"/>
      <c r="AC75"/>
      <c r="AD75"/>
      <c r="AE75"/>
      <c r="AF75"/>
      <c r="AG75"/>
      <c r="AH75"/>
      <c r="AI75"/>
      <c r="AJ75"/>
      <c r="AK75" s="1"/>
      <c r="AN75" s="1">
        <f>AM75*$AS$1</f>
        <v>0</v>
      </c>
      <c r="AR75" s="1">
        <f t="shared" ref="AR74:AR81" si="7">AQ75*4.9</f>
        <v>0</v>
      </c>
      <c r="AT75" s="108" t="s">
        <v>2928</v>
      </c>
      <c r="AU75" s="44">
        <v>1022.43</v>
      </c>
      <c r="AW75" s="108" t="s">
        <v>2920</v>
      </c>
      <c r="AX75" s="44">
        <v>932.43</v>
      </c>
      <c r="AZ75" s="115" t="s">
        <v>2883</v>
      </c>
      <c r="BA75" s="113">
        <v>0.962</v>
      </c>
      <c r="BB75" s="1" t="s">
        <v>430</v>
      </c>
    </row>
    <row r="76" ht="16.3" spans="5:54">
      <c r="E76"/>
      <c r="F76"/>
      <c r="H76"/>
      <c r="I76"/>
      <c r="K76"/>
      <c r="L76"/>
      <c r="M76"/>
      <c r="N76"/>
      <c r="O76"/>
      <c r="P76"/>
      <c r="Q76"/>
      <c r="R76"/>
      <c r="T76"/>
      <c r="U76"/>
      <c r="V76"/>
      <c r="W76"/>
      <c r="X76"/>
      <c r="Y76"/>
      <c r="Z76"/>
      <c r="AA76"/>
      <c r="AC76"/>
      <c r="AD76"/>
      <c r="AE76"/>
      <c r="AF76"/>
      <c r="AG76"/>
      <c r="AH76"/>
      <c r="AI76"/>
      <c r="AJ76"/>
      <c r="AK76" s="1"/>
      <c r="AN76" s="1">
        <f>AM76*$AS$1</f>
        <v>0</v>
      </c>
      <c r="AR76" s="1">
        <f t="shared" si="7"/>
        <v>0</v>
      </c>
      <c r="AT76" s="108" t="s">
        <v>2931</v>
      </c>
      <c r="AU76" s="44">
        <v>988.349</v>
      </c>
      <c r="AW76" s="108" t="s">
        <v>2922</v>
      </c>
      <c r="AX76" s="44">
        <v>310.84</v>
      </c>
      <c r="AZ76" s="115" t="s">
        <v>2885</v>
      </c>
      <c r="BA76" s="113">
        <v>0.952</v>
      </c>
      <c r="BB76" s="1" t="s">
        <v>430</v>
      </c>
    </row>
    <row r="77" ht="16.3" spans="5:54">
      <c r="E77"/>
      <c r="F77"/>
      <c r="H77"/>
      <c r="I77"/>
      <c r="K77"/>
      <c r="L77"/>
      <c r="M77"/>
      <c r="N77"/>
      <c r="O77"/>
      <c r="P77"/>
      <c r="Q77"/>
      <c r="R77"/>
      <c r="T77"/>
      <c r="U77"/>
      <c r="V77"/>
      <c r="W77"/>
      <c r="X77"/>
      <c r="Y77"/>
      <c r="Z77"/>
      <c r="AA77"/>
      <c r="AC77"/>
      <c r="AD77"/>
      <c r="AE77"/>
      <c r="AF77"/>
      <c r="AG77"/>
      <c r="AH77"/>
      <c r="AI77"/>
      <c r="AJ77"/>
      <c r="AK77" s="1"/>
      <c r="AN77" s="1">
        <f t="shared" ref="AN77:AN108" si="8">AM77*$AS$1</f>
        <v>0</v>
      </c>
      <c r="AR77" s="1">
        <f t="shared" si="7"/>
        <v>0</v>
      </c>
      <c r="AT77" s="108" t="s">
        <v>2934</v>
      </c>
      <c r="AU77" s="44">
        <v>340.84</v>
      </c>
      <c r="AW77" s="108" t="s">
        <v>2924</v>
      </c>
      <c r="AX77" s="44">
        <v>930.349</v>
      </c>
      <c r="AZ77" s="115" t="s">
        <v>3037</v>
      </c>
      <c r="BA77" s="113">
        <v>0.989</v>
      </c>
      <c r="BB77" s="1" t="s">
        <v>430</v>
      </c>
    </row>
    <row r="78" ht="16.3" spans="5:54">
      <c r="E78"/>
      <c r="F78"/>
      <c r="H78"/>
      <c r="I78"/>
      <c r="T78"/>
      <c r="U78"/>
      <c r="V78"/>
      <c r="W78"/>
      <c r="X78"/>
      <c r="Y78"/>
      <c r="Z78"/>
      <c r="AA78"/>
      <c r="AC78"/>
      <c r="AD78"/>
      <c r="AE78"/>
      <c r="AF78"/>
      <c r="AG78"/>
      <c r="AH78"/>
      <c r="AI78"/>
      <c r="AJ78"/>
      <c r="AK78" s="1"/>
      <c r="AN78" s="1">
        <f t="shared" si="8"/>
        <v>0</v>
      </c>
      <c r="AR78" s="1">
        <f t="shared" si="7"/>
        <v>0</v>
      </c>
      <c r="AT78" s="108" t="s">
        <v>2936</v>
      </c>
      <c r="AU78" s="44">
        <v>91.197</v>
      </c>
      <c r="AW78" s="108" t="s">
        <v>2926</v>
      </c>
      <c r="AX78" s="44">
        <v>320.84</v>
      </c>
      <c r="AZ78" s="115" t="s">
        <v>2900</v>
      </c>
      <c r="BA78" s="113">
        <v>11.66</v>
      </c>
      <c r="BB78" s="1" t="s">
        <v>430</v>
      </c>
    </row>
    <row r="79" ht="16.3" spans="5:54">
      <c r="E79"/>
      <c r="F79"/>
      <c r="H79"/>
      <c r="I79"/>
      <c r="T79"/>
      <c r="U79"/>
      <c r="V79"/>
      <c r="W79"/>
      <c r="X79"/>
      <c r="Y79"/>
      <c r="Z79"/>
      <c r="AA79"/>
      <c r="AC79"/>
      <c r="AD79"/>
      <c r="AE79"/>
      <c r="AF79"/>
      <c r="AG79"/>
      <c r="AH79"/>
      <c r="AI79"/>
      <c r="AJ79"/>
      <c r="AK79" s="1"/>
      <c r="AN79" s="1">
        <f t="shared" si="8"/>
        <v>0</v>
      </c>
      <c r="AR79" s="1">
        <f t="shared" si="7"/>
        <v>0</v>
      </c>
      <c r="AT79" s="108" t="s">
        <v>2938</v>
      </c>
      <c r="AU79" s="44">
        <v>852.1</v>
      </c>
      <c r="AW79" s="108" t="s">
        <v>2928</v>
      </c>
      <c r="AX79" s="44">
        <v>1022.43</v>
      </c>
      <c r="AZ79" s="115" t="s">
        <v>3038</v>
      </c>
      <c r="BA79" s="113">
        <v>2.369</v>
      </c>
      <c r="BB79" s="1" t="s">
        <v>430</v>
      </c>
    </row>
    <row r="80" ht="16.3" spans="5:54">
      <c r="E80"/>
      <c r="F80"/>
      <c r="H80"/>
      <c r="I80"/>
      <c r="T80"/>
      <c r="U80"/>
      <c r="V80"/>
      <c r="W80"/>
      <c r="X80"/>
      <c r="Y80"/>
      <c r="Z80"/>
      <c r="AA80"/>
      <c r="AC80"/>
      <c r="AD80"/>
      <c r="AE80"/>
      <c r="AF80"/>
      <c r="AG80"/>
      <c r="AH80"/>
      <c r="AI80"/>
      <c r="AJ80"/>
      <c r="AK80" s="1"/>
      <c r="AN80" s="1">
        <f t="shared" si="8"/>
        <v>0</v>
      </c>
      <c r="AR80" s="1">
        <f t="shared" si="7"/>
        <v>0</v>
      </c>
      <c r="AT80" s="108" t="s">
        <v>2940</v>
      </c>
      <c r="AU80" s="44">
        <v>395.187</v>
      </c>
      <c r="AW80" s="108" t="s">
        <v>2931</v>
      </c>
      <c r="AX80" s="44">
        <v>988.349</v>
      </c>
      <c r="AZ80" s="113" t="s">
        <v>3014</v>
      </c>
      <c r="BA80" s="113">
        <v>4.769</v>
      </c>
      <c r="BB80" s="1" t="s">
        <v>430</v>
      </c>
    </row>
    <row r="81" ht="16.3" spans="5:54">
      <c r="E81"/>
      <c r="F81"/>
      <c r="H81"/>
      <c r="I81"/>
      <c r="T81"/>
      <c r="U81"/>
      <c r="V81"/>
      <c r="W81"/>
      <c r="X81"/>
      <c r="Y81"/>
      <c r="Z81"/>
      <c r="AA81"/>
      <c r="AC81"/>
      <c r="AD81"/>
      <c r="AE81"/>
      <c r="AF81"/>
      <c r="AG81"/>
      <c r="AH81"/>
      <c r="AI81"/>
      <c r="AJ81"/>
      <c r="AK81" s="1"/>
      <c r="AN81" s="1">
        <f t="shared" si="8"/>
        <v>0</v>
      </c>
      <c r="AR81" s="1">
        <f t="shared" si="7"/>
        <v>0</v>
      </c>
      <c r="AT81" s="108" t="s">
        <v>2942</v>
      </c>
      <c r="AU81" s="44">
        <v>332.67</v>
      </c>
      <c r="AW81" s="108" t="s">
        <v>2934</v>
      </c>
      <c r="AX81" s="44">
        <v>340.84</v>
      </c>
      <c r="AZ81" s="104" t="s">
        <v>2975</v>
      </c>
      <c r="BA81" s="113">
        <v>4.716</v>
      </c>
      <c r="BB81" s="1" t="s">
        <v>430</v>
      </c>
    </row>
    <row r="82" ht="16.3" spans="5:54">
      <c r="E82"/>
      <c r="F82"/>
      <c r="H82"/>
      <c r="I82"/>
      <c r="T82"/>
      <c r="U82"/>
      <c r="V82"/>
      <c r="W82"/>
      <c r="X82"/>
      <c r="Y82"/>
      <c r="Z82"/>
      <c r="AA82"/>
      <c r="AC82"/>
      <c r="AD82"/>
      <c r="AE82"/>
      <c r="AF82"/>
      <c r="AG82"/>
      <c r="AH82"/>
      <c r="AI82"/>
      <c r="AJ82"/>
      <c r="AK82" s="1"/>
      <c r="AN82" s="1">
        <f t="shared" si="8"/>
        <v>0</v>
      </c>
      <c r="AR82" s="1">
        <f t="shared" ref="AR82:AR113" si="9">AQ82*$AS$1</f>
        <v>0</v>
      </c>
      <c r="AT82" s="108" t="s">
        <v>2945</v>
      </c>
      <c r="AU82" s="44">
        <v>121.979</v>
      </c>
      <c r="AW82" s="108" t="s">
        <v>2936</v>
      </c>
      <c r="AX82" s="44">
        <v>91.197</v>
      </c>
      <c r="AZ82" s="115" t="s">
        <v>2904</v>
      </c>
      <c r="BA82" s="113">
        <v>1.016</v>
      </c>
      <c r="BB82" s="1" t="s">
        <v>430</v>
      </c>
    </row>
    <row r="83" ht="16.3" spans="5:54">
      <c r="E83"/>
      <c r="F83"/>
      <c r="H83"/>
      <c r="I83"/>
      <c r="AC83"/>
      <c r="AD83"/>
      <c r="AE83"/>
      <c r="AF83"/>
      <c r="AG83"/>
      <c r="AH83"/>
      <c r="AI83"/>
      <c r="AJ83"/>
      <c r="AK83" s="1"/>
      <c r="AN83" s="1">
        <f t="shared" si="8"/>
        <v>0</v>
      </c>
      <c r="AR83" s="1">
        <f t="shared" si="9"/>
        <v>0</v>
      </c>
      <c r="AT83" s="108" t="s">
        <v>2947</v>
      </c>
      <c r="AU83" s="44">
        <v>240.68</v>
      </c>
      <c r="AW83" s="108" t="s">
        <v>2938</v>
      </c>
      <c r="AX83" s="44">
        <v>852.1</v>
      </c>
      <c r="AZ83" s="115" t="s">
        <v>3036</v>
      </c>
      <c r="BA83" s="113">
        <v>0.948</v>
      </c>
      <c r="BB83" s="1" t="s">
        <v>430</v>
      </c>
    </row>
    <row r="84" ht="16.3" spans="5:54">
      <c r="E84"/>
      <c r="F84"/>
      <c r="H84"/>
      <c r="I84"/>
      <c r="AC84"/>
      <c r="AD84"/>
      <c r="AE84"/>
      <c r="AF84"/>
      <c r="AG84"/>
      <c r="AH84"/>
      <c r="AI84"/>
      <c r="AJ84"/>
      <c r="AK84" s="1"/>
      <c r="AN84" s="1">
        <f t="shared" si="8"/>
        <v>0</v>
      </c>
      <c r="AR84" s="1">
        <f t="shared" si="9"/>
        <v>0</v>
      </c>
      <c r="AT84" s="108" t="s">
        <v>2950</v>
      </c>
      <c r="AU84" s="44">
        <v>108.306</v>
      </c>
      <c r="AW84" s="108" t="s">
        <v>2940</v>
      </c>
      <c r="AX84" s="44">
        <v>395.187</v>
      </c>
      <c r="AZ84" s="115" t="s">
        <v>2906</v>
      </c>
      <c r="BA84" s="113">
        <v>1.483</v>
      </c>
      <c r="BB84" s="1" t="s">
        <v>430</v>
      </c>
    </row>
    <row r="85" ht="16.3" spans="8:54">
      <c r="H85"/>
      <c r="I85"/>
      <c r="AC85"/>
      <c r="AD85"/>
      <c r="AE85"/>
      <c r="AF85"/>
      <c r="AG85"/>
      <c r="AH85"/>
      <c r="AI85"/>
      <c r="AJ85"/>
      <c r="AK85" s="1"/>
      <c r="AN85" s="1">
        <f t="shared" si="8"/>
        <v>0</v>
      </c>
      <c r="AR85" s="1">
        <f t="shared" si="9"/>
        <v>0</v>
      </c>
      <c r="AT85" s="108" t="s">
        <v>2952</v>
      </c>
      <c r="AU85" s="44">
        <v>48.136</v>
      </c>
      <c r="AW85" s="108" t="s">
        <v>2942</v>
      </c>
      <c r="AX85" s="44">
        <v>332.67</v>
      </c>
      <c r="AZ85" s="115" t="s">
        <v>2908</v>
      </c>
      <c r="BA85" s="113">
        <v>0.91</v>
      </c>
      <c r="BB85" s="1" t="s">
        <v>430</v>
      </c>
    </row>
    <row r="86" ht="16.3" spans="8:54">
      <c r="H86"/>
      <c r="I86"/>
      <c r="AC86"/>
      <c r="AD86"/>
      <c r="AE86"/>
      <c r="AF86"/>
      <c r="AG86"/>
      <c r="AH86"/>
      <c r="AI86"/>
      <c r="AJ86"/>
      <c r="AK86" s="1"/>
      <c r="AN86" s="1">
        <f t="shared" si="8"/>
        <v>0</v>
      </c>
      <c r="AR86" s="1">
        <f t="shared" si="9"/>
        <v>0</v>
      </c>
      <c r="AT86" s="108" t="s">
        <v>2955</v>
      </c>
      <c r="AU86" s="44">
        <v>171.646</v>
      </c>
      <c r="AW86" s="108" t="s">
        <v>2945</v>
      </c>
      <c r="AX86" s="44">
        <v>110.89</v>
      </c>
      <c r="AZ86" s="115" t="s">
        <v>2910</v>
      </c>
      <c r="BA86" s="113">
        <v>1.98</v>
      </c>
      <c r="BB86" s="1" t="s">
        <v>430</v>
      </c>
    </row>
    <row r="87" ht="16.3" spans="8:54">
      <c r="H87"/>
      <c r="I87"/>
      <c r="AC87"/>
      <c r="AD87"/>
      <c r="AE87"/>
      <c r="AF87"/>
      <c r="AG87"/>
      <c r="AH87"/>
      <c r="AI87"/>
      <c r="AJ87"/>
      <c r="AK87" s="1"/>
      <c r="AN87" s="1">
        <f t="shared" si="8"/>
        <v>0</v>
      </c>
      <c r="AR87" s="1">
        <f t="shared" si="9"/>
        <v>0</v>
      </c>
      <c r="AT87" s="108" t="s">
        <v>2958</v>
      </c>
      <c r="AU87" s="44">
        <v>90.34</v>
      </c>
      <c r="AW87" s="108" t="s">
        <v>2947</v>
      </c>
      <c r="AX87" s="44">
        <v>276.782</v>
      </c>
      <c r="AZ87" s="115" t="s">
        <v>2914</v>
      </c>
      <c r="BA87" s="113">
        <v>1.895</v>
      </c>
      <c r="BB87" s="1" t="s">
        <v>430</v>
      </c>
    </row>
    <row r="88" ht="16.3" spans="8:54">
      <c r="H88"/>
      <c r="I88"/>
      <c r="AC88"/>
      <c r="AD88"/>
      <c r="AE88"/>
      <c r="AF88"/>
      <c r="AG88"/>
      <c r="AH88"/>
      <c r="AI88"/>
      <c r="AJ88"/>
      <c r="AN88" s="1">
        <f t="shared" si="8"/>
        <v>0</v>
      </c>
      <c r="AR88" s="1">
        <f t="shared" si="9"/>
        <v>0</v>
      </c>
      <c r="AT88" s="108" t="s">
        <v>2961</v>
      </c>
      <c r="AU88" s="44">
        <v>405</v>
      </c>
      <c r="AW88" s="108" t="s">
        <v>2950</v>
      </c>
      <c r="AX88" s="44">
        <v>108.306</v>
      </c>
      <c r="AZ88" s="115" t="s">
        <v>2912</v>
      </c>
      <c r="BA88" s="113">
        <v>0.948</v>
      </c>
      <c r="BB88" s="1" t="s">
        <v>430</v>
      </c>
    </row>
    <row r="89" ht="16.3" spans="8:54">
      <c r="H89"/>
      <c r="I89"/>
      <c r="AN89" s="1">
        <f t="shared" si="8"/>
        <v>0</v>
      </c>
      <c r="AR89" s="1">
        <f t="shared" si="9"/>
        <v>0</v>
      </c>
      <c r="AT89" s="116" t="s">
        <v>2964</v>
      </c>
      <c r="AU89" s="44">
        <v>112.136</v>
      </c>
      <c r="AW89" s="108" t="s">
        <v>2952</v>
      </c>
      <c r="AX89" s="44">
        <v>60.17</v>
      </c>
      <c r="AZ89" s="115" t="s">
        <v>3039</v>
      </c>
      <c r="BA89" s="113">
        <v>10.471</v>
      </c>
      <c r="BB89" s="1" t="s">
        <v>430</v>
      </c>
    </row>
    <row r="90" ht="16.3" spans="8:54">
      <c r="H90"/>
      <c r="I90"/>
      <c r="AN90" s="1">
        <f t="shared" si="8"/>
        <v>0</v>
      </c>
      <c r="AR90" s="1">
        <f t="shared" si="9"/>
        <v>0</v>
      </c>
      <c r="AT90" s="116" t="s">
        <v>2967</v>
      </c>
      <c r="AU90" s="44">
        <v>722.5</v>
      </c>
      <c r="AW90" s="108" t="s">
        <v>2955</v>
      </c>
      <c r="AX90" s="44">
        <v>171.646</v>
      </c>
      <c r="AZ90" s="115" t="s">
        <v>2916</v>
      </c>
      <c r="BA90" s="113">
        <v>1.077</v>
      </c>
      <c r="BB90" s="1" t="s">
        <v>430</v>
      </c>
    </row>
    <row r="91" ht="16.3" spans="8:54">
      <c r="H91"/>
      <c r="I91"/>
      <c r="AN91" s="1">
        <f t="shared" si="8"/>
        <v>0</v>
      </c>
      <c r="AR91" s="1">
        <f t="shared" si="9"/>
        <v>0</v>
      </c>
      <c r="AT91" s="116" t="s">
        <v>2970</v>
      </c>
      <c r="AU91" s="44">
        <v>85.284</v>
      </c>
      <c r="AW91" s="108" t="s">
        <v>2958</v>
      </c>
      <c r="AX91" s="44">
        <v>90.34</v>
      </c>
      <c r="AZ91" s="115" t="s">
        <v>2918</v>
      </c>
      <c r="BA91" s="113">
        <v>1.038</v>
      </c>
      <c r="BB91" s="1" t="s">
        <v>430</v>
      </c>
    </row>
    <row r="92" ht="16.3" spans="40:54">
      <c r="AN92" s="1">
        <f t="shared" si="8"/>
        <v>0</v>
      </c>
      <c r="AR92" s="1">
        <f t="shared" si="9"/>
        <v>0</v>
      </c>
      <c r="AT92" s="117" t="s">
        <v>3034</v>
      </c>
      <c r="AU92" s="44">
        <v>10.763</v>
      </c>
      <c r="AW92" s="108" t="s">
        <v>2961</v>
      </c>
      <c r="AX92" s="44">
        <v>435</v>
      </c>
      <c r="AZ92" s="115" t="s">
        <v>2980</v>
      </c>
      <c r="BA92" s="113">
        <v>1.025</v>
      </c>
      <c r="BB92" s="1" t="s">
        <v>430</v>
      </c>
    </row>
    <row r="93" ht="16.3" spans="40:54">
      <c r="AN93" s="1">
        <f t="shared" si="8"/>
        <v>0</v>
      </c>
      <c r="AR93" s="1">
        <f t="shared" si="9"/>
        <v>0</v>
      </c>
      <c r="AT93" s="117" t="s">
        <v>2973</v>
      </c>
      <c r="AU93" s="44">
        <v>10.126</v>
      </c>
      <c r="AW93" s="108" t="s">
        <v>3023</v>
      </c>
      <c r="AX93" s="44">
        <v>94</v>
      </c>
      <c r="AZ93" s="115" t="s">
        <v>2978</v>
      </c>
      <c r="BA93" s="113">
        <v>1</v>
      </c>
      <c r="BB93" s="1" t="s">
        <v>430</v>
      </c>
    </row>
    <row r="94" ht="16.3" spans="40:54">
      <c r="AN94" s="1">
        <f t="shared" si="8"/>
        <v>0</v>
      </c>
      <c r="AR94" s="1">
        <f t="shared" si="9"/>
        <v>0</v>
      </c>
      <c r="AT94" s="116" t="s">
        <v>2975</v>
      </c>
      <c r="AU94" s="44">
        <v>127.5</v>
      </c>
      <c r="AW94" s="108" t="s">
        <v>2964</v>
      </c>
      <c r="AX94" s="44">
        <v>280.34</v>
      </c>
      <c r="AZ94" s="118" t="s">
        <v>3023</v>
      </c>
      <c r="BA94" s="119">
        <v>9.427</v>
      </c>
      <c r="BB94" s="1" t="s">
        <v>455</v>
      </c>
    </row>
    <row r="95" ht="16.3" spans="40:54">
      <c r="AN95" s="1">
        <f t="shared" si="8"/>
        <v>0</v>
      </c>
      <c r="AR95" s="1">
        <f t="shared" si="9"/>
        <v>0</v>
      </c>
      <c r="AT95" s="116" t="s">
        <v>2978</v>
      </c>
      <c r="AU95" s="44">
        <v>0</v>
      </c>
      <c r="AW95" s="43" t="s">
        <v>2967</v>
      </c>
      <c r="AX95" s="44">
        <v>722.5</v>
      </c>
      <c r="AZ95" s="118" t="s">
        <v>2970</v>
      </c>
      <c r="BA95" s="119">
        <v>12.373</v>
      </c>
      <c r="BB95" s="1" t="s">
        <v>455</v>
      </c>
    </row>
    <row r="96" ht="16.3" spans="40:54">
      <c r="AN96" s="1">
        <f t="shared" si="8"/>
        <v>0</v>
      </c>
      <c r="AR96" s="1">
        <f t="shared" si="9"/>
        <v>0</v>
      </c>
      <c r="AT96" s="116" t="s">
        <v>2980</v>
      </c>
      <c r="AU96" s="44">
        <v>870</v>
      </c>
      <c r="AW96" s="43" t="s">
        <v>2970</v>
      </c>
      <c r="AX96" s="44">
        <v>127.926</v>
      </c>
      <c r="AZ96" s="115" t="s">
        <v>2920</v>
      </c>
      <c r="BA96" s="113">
        <v>2.357</v>
      </c>
      <c r="BB96" s="1" t="s">
        <v>455</v>
      </c>
    </row>
    <row r="97" ht="16.3" spans="40:54">
      <c r="AN97" s="1">
        <f t="shared" si="8"/>
        <v>0</v>
      </c>
      <c r="AR97" s="1">
        <f t="shared" si="9"/>
        <v>0</v>
      </c>
      <c r="AT97" s="116" t="s">
        <v>2985</v>
      </c>
      <c r="AU97" s="44">
        <v>1345.784</v>
      </c>
      <c r="AW97" s="109" t="s">
        <v>3034</v>
      </c>
      <c r="AX97" s="44">
        <v>21.526</v>
      </c>
      <c r="AZ97" s="115" t="s">
        <v>2924</v>
      </c>
      <c r="BA97" s="113">
        <v>2.357</v>
      </c>
      <c r="BB97" s="1" t="s">
        <v>455</v>
      </c>
    </row>
    <row r="98" ht="16.3" spans="40:54">
      <c r="AN98" s="1">
        <f t="shared" si="8"/>
        <v>0</v>
      </c>
      <c r="AR98" s="1">
        <f t="shared" si="9"/>
        <v>0</v>
      </c>
      <c r="AW98" s="109" t="s">
        <v>2973</v>
      </c>
      <c r="AX98" s="44">
        <v>91.134</v>
      </c>
      <c r="AZ98" s="115" t="s">
        <v>2931</v>
      </c>
      <c r="BA98" s="113">
        <v>2.357</v>
      </c>
      <c r="BB98" s="1" t="s">
        <v>455</v>
      </c>
    </row>
    <row r="99" ht="16.3" spans="40:54">
      <c r="AN99" s="1">
        <f t="shared" si="8"/>
        <v>0</v>
      </c>
      <c r="AR99" s="1">
        <f t="shared" si="9"/>
        <v>0</v>
      </c>
      <c r="AW99" s="109" t="s">
        <v>3040</v>
      </c>
      <c r="AX99" s="44">
        <v>27.213</v>
      </c>
      <c r="AZ99" s="115" t="s">
        <v>2961</v>
      </c>
      <c r="BA99" s="113">
        <v>1.178</v>
      </c>
      <c r="BB99" s="1" t="s">
        <v>455</v>
      </c>
    </row>
    <row r="100" ht="16.3" spans="40:54">
      <c r="AN100" s="1">
        <f t="shared" si="8"/>
        <v>0</v>
      </c>
      <c r="AR100" s="1">
        <f t="shared" si="9"/>
        <v>0</v>
      </c>
      <c r="AW100" s="43" t="s">
        <v>2975</v>
      </c>
      <c r="AX100" s="44">
        <v>510</v>
      </c>
      <c r="AZ100" s="115" t="s">
        <v>2964</v>
      </c>
      <c r="BA100" s="113">
        <v>1.178</v>
      </c>
      <c r="BB100" s="1" t="s">
        <v>455</v>
      </c>
    </row>
    <row r="101" ht="16.3" spans="40:54">
      <c r="AN101" s="1">
        <f t="shared" si="8"/>
        <v>0</v>
      </c>
      <c r="AR101" s="1">
        <f t="shared" si="9"/>
        <v>0</v>
      </c>
      <c r="AW101" s="43" t="s">
        <v>2978</v>
      </c>
      <c r="AX101" s="44">
        <v>360</v>
      </c>
      <c r="AZ101" s="115" t="s">
        <v>3041</v>
      </c>
      <c r="BA101" s="113">
        <v>1.178</v>
      </c>
      <c r="BB101" s="1" t="s">
        <v>455</v>
      </c>
    </row>
    <row r="102" ht="16.3" spans="40:54">
      <c r="AN102" s="1">
        <f t="shared" si="8"/>
        <v>0</v>
      </c>
      <c r="AR102" s="1">
        <f t="shared" si="9"/>
        <v>0</v>
      </c>
      <c r="AW102" s="43" t="s">
        <v>2980</v>
      </c>
      <c r="AX102" s="44">
        <v>1020</v>
      </c>
      <c r="AZ102" s="115" t="s">
        <v>2967</v>
      </c>
      <c r="BA102" s="113">
        <v>0.589</v>
      </c>
      <c r="BB102" s="1" t="s">
        <v>455</v>
      </c>
    </row>
    <row r="103" ht="16.3" spans="40:54">
      <c r="AN103" s="1">
        <f t="shared" si="8"/>
        <v>0</v>
      </c>
      <c r="AR103" s="1">
        <f t="shared" si="9"/>
        <v>0</v>
      </c>
      <c r="AW103" s="109" t="s">
        <v>2982</v>
      </c>
      <c r="AX103" s="44">
        <v>60.486</v>
      </c>
      <c r="AZ103" s="115" t="s">
        <v>2940</v>
      </c>
      <c r="BA103" s="113">
        <v>1.768</v>
      </c>
      <c r="BB103" s="1" t="s">
        <v>455</v>
      </c>
    </row>
    <row r="104" ht="16.3" spans="40:54">
      <c r="AN104" s="1">
        <f t="shared" si="8"/>
        <v>0</v>
      </c>
      <c r="AR104" s="1">
        <f t="shared" si="9"/>
        <v>0</v>
      </c>
      <c r="AW104" s="43" t="s">
        <v>2985</v>
      </c>
      <c r="AX104" s="44">
        <v>1284.612</v>
      </c>
      <c r="AZ104" s="115" t="s">
        <v>2936</v>
      </c>
      <c r="BA104" s="113">
        <v>1.768</v>
      </c>
      <c r="BB104" s="1" t="s">
        <v>455</v>
      </c>
    </row>
    <row r="105" ht="16.3" spans="40:54">
      <c r="AN105" s="1">
        <f t="shared" si="8"/>
        <v>0</v>
      </c>
      <c r="AR105" s="1">
        <f t="shared" si="9"/>
        <v>0</v>
      </c>
      <c r="AZ105" s="115" t="s">
        <v>2958</v>
      </c>
      <c r="BA105" s="113">
        <v>1.178</v>
      </c>
      <c r="BB105" s="1" t="s">
        <v>455</v>
      </c>
    </row>
    <row r="106" ht="16.3" spans="40:54">
      <c r="AN106" s="1">
        <f t="shared" si="8"/>
        <v>0</v>
      </c>
      <c r="AR106" s="1">
        <f t="shared" si="9"/>
        <v>0</v>
      </c>
      <c r="AZ106" s="115" t="s">
        <v>2955</v>
      </c>
      <c r="BA106" s="113">
        <v>1.178</v>
      </c>
      <c r="BB106" s="1" t="s">
        <v>455</v>
      </c>
    </row>
    <row r="107" ht="16.3" spans="40:54">
      <c r="AN107" s="1">
        <f t="shared" si="8"/>
        <v>0</v>
      </c>
      <c r="AR107" s="1">
        <f t="shared" si="9"/>
        <v>0</v>
      </c>
      <c r="AZ107" s="115" t="s">
        <v>3042</v>
      </c>
      <c r="BA107" s="113">
        <v>5.892</v>
      </c>
      <c r="BB107" s="1" t="s">
        <v>455</v>
      </c>
    </row>
    <row r="108" ht="16.3" spans="40:54">
      <c r="AN108" s="1">
        <f t="shared" si="8"/>
        <v>0</v>
      </c>
      <c r="AR108" s="1">
        <f t="shared" si="9"/>
        <v>0</v>
      </c>
      <c r="AZ108" s="115" t="s">
        <v>3043</v>
      </c>
      <c r="BA108" s="113">
        <v>2.357</v>
      </c>
      <c r="BB108" s="1" t="s">
        <v>455</v>
      </c>
    </row>
    <row r="109" ht="16.3" spans="40:54">
      <c r="AN109" s="1">
        <f t="shared" ref="AN109:AN140" si="10">AM109*$AS$1</f>
        <v>0</v>
      </c>
      <c r="AR109" s="1">
        <f t="shared" si="9"/>
        <v>0</v>
      </c>
      <c r="AZ109" s="106" t="s">
        <v>3044</v>
      </c>
      <c r="BA109" s="113">
        <v>1.178</v>
      </c>
      <c r="BB109" s="1" t="s">
        <v>455</v>
      </c>
    </row>
    <row r="110" ht="16.3" spans="40:54">
      <c r="AN110" s="1">
        <f t="shared" si="10"/>
        <v>0</v>
      </c>
      <c r="AR110" s="1">
        <f t="shared" si="9"/>
        <v>0</v>
      </c>
      <c r="AZ110" s="106" t="s">
        <v>2952</v>
      </c>
      <c r="BA110" s="113">
        <v>1.178</v>
      </c>
      <c r="BB110" s="1" t="s">
        <v>455</v>
      </c>
    </row>
    <row r="111" ht="16.3" spans="40:54">
      <c r="AN111" s="1">
        <f t="shared" si="10"/>
        <v>0</v>
      </c>
      <c r="AR111" s="1">
        <f t="shared" si="9"/>
        <v>0</v>
      </c>
      <c r="AZ111" s="106" t="s">
        <v>2950</v>
      </c>
      <c r="BA111" s="113">
        <v>1.178</v>
      </c>
      <c r="BB111" s="1" t="s">
        <v>455</v>
      </c>
    </row>
    <row r="112" ht="16.3" spans="40:54">
      <c r="AN112" s="1">
        <f t="shared" si="10"/>
        <v>0</v>
      </c>
      <c r="AR112" s="1">
        <f t="shared" si="9"/>
        <v>0</v>
      </c>
      <c r="AZ112" s="106" t="s">
        <v>2947</v>
      </c>
      <c r="BA112" s="113">
        <v>1.178</v>
      </c>
      <c r="BB112" s="1" t="s">
        <v>455</v>
      </c>
    </row>
    <row r="113" spans="40:54">
      <c r="AN113" s="1">
        <f t="shared" si="10"/>
        <v>0</v>
      </c>
      <c r="AR113" s="1">
        <f t="shared" si="9"/>
        <v>0</v>
      </c>
      <c r="AZ113" s="106" t="s">
        <v>2942</v>
      </c>
      <c r="BA113" s="106">
        <v>1.178</v>
      </c>
      <c r="BB113" s="1" t="s">
        <v>455</v>
      </c>
    </row>
    <row r="114" spans="40:54">
      <c r="AN114" s="1">
        <f t="shared" si="10"/>
        <v>0</v>
      </c>
      <c r="AR114" s="1">
        <f t="shared" ref="AR114:AR145" si="11">AQ114*$AS$1</f>
        <v>0</v>
      </c>
      <c r="AZ114" t="s">
        <v>2795</v>
      </c>
      <c r="BA114">
        <v>2.012</v>
      </c>
      <c r="BB114" t="s">
        <v>430</v>
      </c>
    </row>
    <row r="115" spans="40:54">
      <c r="AN115" s="1">
        <f t="shared" si="10"/>
        <v>0</v>
      </c>
      <c r="AR115" s="1">
        <f t="shared" si="11"/>
        <v>0</v>
      </c>
      <c r="AZ115" t="s">
        <v>2797</v>
      </c>
      <c r="BA115">
        <v>2.043</v>
      </c>
      <c r="BB115" t="s">
        <v>430</v>
      </c>
    </row>
    <row r="116" spans="40:54">
      <c r="AN116" s="1">
        <f t="shared" si="10"/>
        <v>0</v>
      </c>
      <c r="AR116" s="1">
        <f t="shared" si="11"/>
        <v>0</v>
      </c>
      <c r="AZ116" t="s">
        <v>2799</v>
      </c>
      <c r="BA116">
        <v>2.008</v>
      </c>
      <c r="BB116" t="s">
        <v>430</v>
      </c>
    </row>
    <row r="117" spans="40:54">
      <c r="AN117" s="1">
        <f t="shared" si="10"/>
        <v>0</v>
      </c>
      <c r="AR117" s="1">
        <f t="shared" si="11"/>
        <v>0</v>
      </c>
      <c r="AZ117" t="s">
        <v>2832</v>
      </c>
      <c r="BA117">
        <v>14.09</v>
      </c>
      <c r="BB117" t="s">
        <v>430</v>
      </c>
    </row>
    <row r="118" spans="40:54">
      <c r="AN118" s="1">
        <f t="shared" si="10"/>
        <v>0</v>
      </c>
      <c r="AR118" s="1">
        <f t="shared" si="11"/>
        <v>0</v>
      </c>
      <c r="AZ118" t="s">
        <v>2838</v>
      </c>
      <c r="BA118">
        <v>16.498</v>
      </c>
      <c r="BB118" t="s">
        <v>430</v>
      </c>
    </row>
    <row r="119" spans="40:54">
      <c r="AN119" s="1">
        <f t="shared" si="10"/>
        <v>0</v>
      </c>
      <c r="AR119" s="1">
        <f t="shared" si="11"/>
        <v>0</v>
      </c>
      <c r="AZ119" t="s">
        <v>2854</v>
      </c>
      <c r="BA119">
        <v>1.923</v>
      </c>
      <c r="BB119" t="s">
        <v>430</v>
      </c>
    </row>
    <row r="120" spans="40:54">
      <c r="AN120" s="1">
        <f t="shared" si="10"/>
        <v>0</v>
      </c>
      <c r="AR120" s="1">
        <f t="shared" si="11"/>
        <v>0</v>
      </c>
      <c r="AZ120" t="s">
        <v>2859</v>
      </c>
      <c r="BA120">
        <v>2.039</v>
      </c>
      <c r="BB120" t="s">
        <v>430</v>
      </c>
    </row>
    <row r="121" spans="40:54">
      <c r="AN121" s="1">
        <f t="shared" si="10"/>
        <v>0</v>
      </c>
      <c r="AR121" s="1">
        <f t="shared" si="11"/>
        <v>0</v>
      </c>
      <c r="AZ121" t="s">
        <v>2861</v>
      </c>
      <c r="BA121">
        <v>0.489</v>
      </c>
      <c r="BB121" t="s">
        <v>430</v>
      </c>
    </row>
    <row r="122" spans="40:54">
      <c r="AN122" s="1">
        <f t="shared" si="10"/>
        <v>0</v>
      </c>
      <c r="AR122" s="1">
        <f t="shared" si="11"/>
        <v>0</v>
      </c>
      <c r="AZ122" t="s">
        <v>2869</v>
      </c>
      <c r="BA122">
        <v>7.644</v>
      </c>
      <c r="BB122" t="s">
        <v>430</v>
      </c>
    </row>
    <row r="123" spans="40:54">
      <c r="AN123" s="1">
        <f t="shared" si="10"/>
        <v>0</v>
      </c>
      <c r="AR123" s="1">
        <f t="shared" si="11"/>
        <v>0</v>
      </c>
      <c r="AZ123" t="s">
        <v>2902</v>
      </c>
      <c r="BA123">
        <v>10.471</v>
      </c>
      <c r="BB123" t="s">
        <v>430</v>
      </c>
    </row>
    <row r="124" spans="40:54">
      <c r="AN124" s="1">
        <f t="shared" si="10"/>
        <v>0</v>
      </c>
      <c r="AR124" s="1">
        <f t="shared" si="11"/>
        <v>0</v>
      </c>
      <c r="AZ124" t="s">
        <v>2922</v>
      </c>
      <c r="BA124">
        <v>2.357</v>
      </c>
      <c r="BB124" t="s">
        <v>455</v>
      </c>
    </row>
    <row r="125" spans="40:54">
      <c r="AN125" s="1">
        <f t="shared" si="10"/>
        <v>0</v>
      </c>
      <c r="AR125" s="1">
        <f t="shared" si="11"/>
        <v>0</v>
      </c>
      <c r="AZ125" t="s">
        <v>2926</v>
      </c>
      <c r="BA125">
        <v>2.357</v>
      </c>
      <c r="BB125" t="s">
        <v>455</v>
      </c>
    </row>
    <row r="126" spans="40:54">
      <c r="AN126" s="1">
        <f t="shared" si="10"/>
        <v>0</v>
      </c>
      <c r="AR126" s="1">
        <f t="shared" si="11"/>
        <v>0</v>
      </c>
      <c r="AZ126" t="s">
        <v>2928</v>
      </c>
      <c r="BA126">
        <v>2.357</v>
      </c>
      <c r="BB126" t="s">
        <v>455</v>
      </c>
    </row>
    <row r="127" spans="40:54">
      <c r="AN127" s="1">
        <f t="shared" si="10"/>
        <v>0</v>
      </c>
      <c r="AR127" s="1">
        <f t="shared" si="11"/>
        <v>0</v>
      </c>
      <c r="AZ127" t="s">
        <v>2934</v>
      </c>
      <c r="BA127">
        <v>2.357</v>
      </c>
      <c r="BB127" t="s">
        <v>455</v>
      </c>
    </row>
    <row r="128" spans="40:54">
      <c r="AN128" s="1">
        <f t="shared" si="10"/>
        <v>0</v>
      </c>
      <c r="AR128" s="1">
        <f t="shared" si="11"/>
        <v>0</v>
      </c>
      <c r="AZ128" t="s">
        <v>2938</v>
      </c>
      <c r="BA128">
        <v>2.357</v>
      </c>
      <c r="BB128" t="s">
        <v>455</v>
      </c>
    </row>
    <row r="129" spans="40:54">
      <c r="AN129" s="1">
        <f t="shared" si="10"/>
        <v>0</v>
      </c>
      <c r="AR129" s="1">
        <f t="shared" si="11"/>
        <v>0</v>
      </c>
      <c r="AZ129" t="s">
        <v>2945</v>
      </c>
      <c r="BA129">
        <v>1.178</v>
      </c>
      <c r="BB129" t="s">
        <v>455</v>
      </c>
    </row>
    <row r="130" spans="40:54">
      <c r="AN130" s="1">
        <f t="shared" si="10"/>
        <v>0</v>
      </c>
      <c r="AR130" s="1">
        <f t="shared" si="11"/>
        <v>0</v>
      </c>
      <c r="AZ130" t="s">
        <v>3040</v>
      </c>
      <c r="BA130">
        <v>0.962</v>
      </c>
      <c r="BB130" t="s">
        <v>430</v>
      </c>
    </row>
    <row r="131" spans="40:54">
      <c r="AN131" s="1">
        <f t="shared" si="10"/>
        <v>0</v>
      </c>
      <c r="AR131" s="1">
        <f t="shared" si="11"/>
        <v>0</v>
      </c>
      <c r="AZ131" t="s">
        <v>2985</v>
      </c>
      <c r="BA131">
        <v>1.077</v>
      </c>
      <c r="BB131" t="s">
        <v>430</v>
      </c>
    </row>
    <row r="132" spans="40:54">
      <c r="AN132" s="1">
        <f t="shared" si="10"/>
        <v>0</v>
      </c>
      <c r="AR132" s="1">
        <f t="shared" si="11"/>
        <v>0</v>
      </c>
      <c r="AZ132" t="s">
        <v>2982</v>
      </c>
      <c r="BA132">
        <v>0.919</v>
      </c>
      <c r="BB132" t="s">
        <v>430</v>
      </c>
    </row>
    <row r="133" spans="40:54">
      <c r="AN133" s="1">
        <f t="shared" si="10"/>
        <v>0</v>
      </c>
      <c r="AR133" s="1">
        <f t="shared" si="11"/>
        <v>0</v>
      </c>
      <c r="AZ133" t="s">
        <v>2987</v>
      </c>
      <c r="BA133">
        <v>7.36</v>
      </c>
      <c r="BB133" t="s">
        <v>430</v>
      </c>
    </row>
    <row r="134" spans="40:54">
      <c r="AN134" s="1">
        <f t="shared" si="10"/>
        <v>0</v>
      </c>
      <c r="AR134" s="1">
        <f t="shared" si="11"/>
        <v>0</v>
      </c>
      <c r="AZ134" t="s">
        <v>2990</v>
      </c>
      <c r="BA134">
        <v>4.731</v>
      </c>
      <c r="BB134" t="s">
        <v>430</v>
      </c>
    </row>
    <row r="135" spans="40:54">
      <c r="AN135" s="1">
        <f t="shared" si="10"/>
        <v>0</v>
      </c>
      <c r="AR135" s="1">
        <f t="shared" si="11"/>
        <v>0</v>
      </c>
      <c r="AZ135" t="s">
        <v>2992</v>
      </c>
      <c r="BA135">
        <v>0.507</v>
      </c>
      <c r="BB135" t="s">
        <v>430</v>
      </c>
    </row>
    <row r="136" spans="40:54">
      <c r="AN136" s="1">
        <f t="shared" si="10"/>
        <v>0</v>
      </c>
      <c r="AR136" s="1">
        <f t="shared" si="11"/>
        <v>0</v>
      </c>
      <c r="AZ136" t="s">
        <v>2995</v>
      </c>
      <c r="BA136">
        <v>4.206</v>
      </c>
      <c r="BB136" t="s">
        <v>430</v>
      </c>
    </row>
    <row r="137" spans="40:54">
      <c r="AN137" s="1">
        <f t="shared" si="10"/>
        <v>0</v>
      </c>
      <c r="AR137" s="1">
        <f t="shared" si="11"/>
        <v>0</v>
      </c>
      <c r="AZ137" t="s">
        <v>2998</v>
      </c>
      <c r="BA137">
        <v>17.348</v>
      </c>
      <c r="BB137" t="s">
        <v>430</v>
      </c>
    </row>
    <row r="138" spans="40:54">
      <c r="AN138" s="1">
        <f t="shared" si="10"/>
        <v>0</v>
      </c>
      <c r="AR138" s="1">
        <f t="shared" si="11"/>
        <v>0</v>
      </c>
      <c r="AZ138" t="s">
        <v>3001</v>
      </c>
      <c r="BA138">
        <v>9.463</v>
      </c>
      <c r="BB138" t="s">
        <v>430</v>
      </c>
    </row>
    <row r="139" spans="40:54">
      <c r="AN139" s="1">
        <f t="shared" si="10"/>
        <v>0</v>
      </c>
      <c r="AR139" s="1">
        <f t="shared" si="11"/>
        <v>0</v>
      </c>
      <c r="AZ139"/>
      <c r="BA139"/>
      <c r="BB139"/>
    </row>
    <row r="140" spans="40:54">
      <c r="AN140" s="1">
        <f t="shared" si="10"/>
        <v>0</v>
      </c>
      <c r="AR140" s="1">
        <f t="shared" si="11"/>
        <v>0</v>
      </c>
      <c r="AZ140"/>
      <c r="BA140"/>
      <c r="BB140"/>
    </row>
    <row r="141" spans="40:54">
      <c r="AN141" s="1">
        <f>AM141*$AS$1</f>
        <v>0</v>
      </c>
      <c r="AR141" s="1">
        <f t="shared" si="11"/>
        <v>0</v>
      </c>
      <c r="AZ141"/>
      <c r="BA141"/>
      <c r="BB141"/>
    </row>
    <row r="142" spans="40:54">
      <c r="AN142" s="1">
        <f>AM142*$AS$1</f>
        <v>0</v>
      </c>
      <c r="AR142" s="1">
        <f t="shared" si="11"/>
        <v>0</v>
      </c>
      <c r="AZ142"/>
      <c r="BA142"/>
      <c r="BB142"/>
    </row>
    <row r="143" spans="40:54">
      <c r="AN143" s="1">
        <f>AM143*$AS$1</f>
        <v>0</v>
      </c>
      <c r="AR143" s="1">
        <f t="shared" si="11"/>
        <v>0</v>
      </c>
      <c r="AZ143"/>
      <c r="BA143"/>
      <c r="BB143"/>
    </row>
    <row r="144" spans="40:54">
      <c r="AN144" s="1">
        <f>AM144*$AS$1</f>
        <v>0</v>
      </c>
      <c r="AR144" s="1">
        <f t="shared" si="11"/>
        <v>0</v>
      </c>
      <c r="AZ144"/>
      <c r="BA144"/>
      <c r="BB144"/>
    </row>
    <row r="145" spans="40:54">
      <c r="AN145" s="1">
        <f>AM145*$AS$1</f>
        <v>0</v>
      </c>
      <c r="AR145" s="1">
        <f t="shared" si="11"/>
        <v>0</v>
      </c>
      <c r="AZ145"/>
      <c r="BA145"/>
      <c r="BB145"/>
    </row>
    <row r="146" spans="40:54">
      <c r="AN146" s="1">
        <f>AM146*$AS$1</f>
        <v>0</v>
      </c>
      <c r="AR146" s="1">
        <f>AQ146*$AS$1</f>
        <v>0</v>
      </c>
      <c r="AZ146"/>
      <c r="BA146"/>
      <c r="BB146"/>
    </row>
    <row r="147" spans="40:54">
      <c r="AN147" s="1">
        <f>AM147*$AS$1</f>
        <v>0</v>
      </c>
      <c r="AR147" s="1">
        <f>AQ147*$AS$1</f>
        <v>0</v>
      </c>
      <c r="AZ147"/>
      <c r="BA147"/>
      <c r="BB147"/>
    </row>
    <row r="148" spans="40:54">
      <c r="AN148" s="1">
        <f>AM148*$AS$1</f>
        <v>0</v>
      </c>
      <c r="AR148" s="1">
        <f>AQ148*$AS$1</f>
        <v>0</v>
      </c>
      <c r="AZ148"/>
      <c r="BA148"/>
      <c r="BB148"/>
    </row>
    <row r="149" spans="40:54">
      <c r="AN149" s="1">
        <f>AM149*$AS$1</f>
        <v>0</v>
      </c>
      <c r="AR149" s="1">
        <f>AQ149*$AS$1</f>
        <v>0</v>
      </c>
      <c r="AZ149"/>
      <c r="BA149"/>
      <c r="BB149"/>
    </row>
    <row r="150" spans="40:54">
      <c r="AN150" s="1">
        <f>AM150*$AS$1</f>
        <v>0</v>
      </c>
      <c r="AZ150"/>
      <c r="BA150"/>
      <c r="BB150"/>
    </row>
    <row r="151" spans="40:54">
      <c r="AN151" s="1">
        <f>AM151*$AS$1</f>
        <v>0</v>
      </c>
      <c r="AZ151"/>
      <c r="BA151"/>
      <c r="BB151"/>
    </row>
    <row r="152" spans="52:54">
      <c r="AZ152"/>
      <c r="BA152"/>
      <c r="BB152"/>
    </row>
    <row r="153" spans="52:54">
      <c r="AZ153"/>
      <c r="BA153"/>
      <c r="BB153"/>
    </row>
    <row r="154" spans="52:54">
      <c r="AZ154"/>
      <c r="BA154"/>
      <c r="BB154"/>
    </row>
    <row r="155" spans="52:54">
      <c r="AZ155"/>
      <c r="BA155"/>
      <c r="BB155"/>
    </row>
    <row r="156" spans="52:54">
      <c r="AZ156"/>
      <c r="BA156"/>
      <c r="BB156"/>
    </row>
    <row r="157" spans="52:54">
      <c r="AZ157"/>
      <c r="BA157"/>
      <c r="BB157"/>
    </row>
    <row r="158" spans="52:54">
      <c r="AZ158"/>
      <c r="BA158"/>
      <c r="BB158"/>
    </row>
    <row r="159" spans="52:54">
      <c r="AZ159"/>
      <c r="BA159"/>
      <c r="BB159"/>
    </row>
    <row r="160" spans="52:53">
      <c r="AZ160"/>
      <c r="BA160"/>
    </row>
    <row r="161" spans="52:53">
      <c r="AZ161"/>
      <c r="BA161"/>
    </row>
    <row r="162" spans="52:53">
      <c r="AZ162"/>
      <c r="BA162"/>
    </row>
    <row r="163" spans="52:53">
      <c r="AZ163"/>
      <c r="BA163"/>
    </row>
    <row r="164" spans="52:53">
      <c r="AZ164"/>
      <c r="BA164"/>
    </row>
    <row r="165" spans="52:53">
      <c r="AZ165"/>
      <c r="BA165"/>
    </row>
    <row r="166" spans="52:53">
      <c r="AZ166"/>
      <c r="BA166"/>
    </row>
    <row r="167" spans="52:53">
      <c r="AZ167"/>
      <c r="BA167"/>
    </row>
    <row r="168" spans="52:53">
      <c r="AZ168"/>
      <c r="BA168"/>
    </row>
    <row r="169" spans="52:53">
      <c r="AZ169"/>
      <c r="BA169"/>
    </row>
    <row r="170" spans="52:53">
      <c r="AZ170"/>
      <c r="BA170"/>
    </row>
    <row r="171" spans="52:53">
      <c r="AZ171"/>
      <c r="BA171"/>
    </row>
    <row r="172" spans="52:53">
      <c r="AZ172"/>
      <c r="BA172"/>
    </row>
    <row r="173" spans="52:53">
      <c r="AZ173"/>
      <c r="BA173"/>
    </row>
    <row r="174" spans="52:53">
      <c r="AZ174"/>
      <c r="BA174"/>
    </row>
    <row r="175" spans="52:53">
      <c r="AZ175"/>
      <c r="BA175"/>
    </row>
    <row r="176" spans="52:53">
      <c r="AZ176"/>
      <c r="BA176"/>
    </row>
    <row r="177" spans="52:53">
      <c r="AZ177"/>
      <c r="BA177"/>
    </row>
    <row r="178" spans="52:53">
      <c r="AZ178"/>
      <c r="BA178"/>
    </row>
    <row r="179" spans="52:53">
      <c r="AZ179"/>
      <c r="BA179"/>
    </row>
    <row r="180" spans="52:53">
      <c r="AZ180"/>
      <c r="BA180"/>
    </row>
    <row r="181" spans="52:53">
      <c r="AZ181"/>
      <c r="BA181"/>
    </row>
    <row r="182" spans="52:53">
      <c r="AZ182"/>
      <c r="BA182"/>
    </row>
    <row r="183" spans="52:53">
      <c r="AZ183"/>
      <c r="BA183"/>
    </row>
    <row r="184" spans="52:53">
      <c r="AZ184"/>
      <c r="BA184"/>
    </row>
    <row r="185" spans="52:53">
      <c r="AZ185"/>
      <c r="BA185"/>
    </row>
    <row r="186" spans="52:53">
      <c r="AZ186"/>
      <c r="BA186"/>
    </row>
    <row r="187" spans="52:53">
      <c r="AZ187"/>
      <c r="BA187"/>
    </row>
    <row r="188" spans="52:53">
      <c r="AZ188"/>
      <c r="BA188"/>
    </row>
    <row r="189" spans="52:53">
      <c r="AZ189"/>
      <c r="BA189"/>
    </row>
    <row r="190" spans="52:53">
      <c r="AZ190"/>
      <c r="BA190"/>
    </row>
    <row r="191" spans="52:53">
      <c r="AZ191"/>
      <c r="BA191"/>
    </row>
    <row r="192" spans="52:53">
      <c r="AZ192"/>
      <c r="BA192"/>
    </row>
    <row r="193" spans="52:53">
      <c r="AZ193"/>
      <c r="BA193"/>
    </row>
    <row r="194" spans="52:53">
      <c r="AZ194"/>
      <c r="BA194"/>
    </row>
    <row r="195" spans="52:53">
      <c r="AZ195"/>
      <c r="BA195"/>
    </row>
    <row r="196" spans="52:53">
      <c r="AZ196"/>
      <c r="BA196"/>
    </row>
    <row r="197" spans="52:53">
      <c r="AZ197"/>
      <c r="BA197"/>
    </row>
    <row r="198" spans="52:53">
      <c r="AZ198"/>
      <c r="BA198"/>
    </row>
    <row r="199" spans="52:53">
      <c r="AZ199"/>
      <c r="BA199"/>
    </row>
    <row r="200" spans="52:53">
      <c r="AZ200"/>
      <c r="BA200"/>
    </row>
    <row r="201" spans="52:53">
      <c r="AZ201"/>
      <c r="BA201"/>
    </row>
    <row r="202" spans="52:53">
      <c r="AZ202"/>
      <c r="BA202"/>
    </row>
    <row r="203" spans="52:53">
      <c r="AZ203"/>
      <c r="BA203"/>
    </row>
    <row r="204" spans="52:53">
      <c r="AZ204"/>
      <c r="BA204"/>
    </row>
    <row r="205" spans="52:53">
      <c r="AZ205"/>
      <c r="BA205"/>
    </row>
    <row r="206" spans="52:53">
      <c r="AZ206"/>
      <c r="BA206"/>
    </row>
    <row r="207" spans="52:53">
      <c r="AZ207"/>
      <c r="BA207"/>
    </row>
    <row r="208" spans="52:53">
      <c r="AZ208"/>
      <c r="BA208"/>
    </row>
    <row r="209" spans="52:53">
      <c r="AZ209"/>
      <c r="BA209"/>
    </row>
    <row r="210" spans="52:53">
      <c r="AZ210"/>
      <c r="BA210"/>
    </row>
    <row r="211" spans="52:53">
      <c r="AZ211"/>
      <c r="BA211"/>
    </row>
    <row r="212" spans="52:53">
      <c r="AZ212"/>
      <c r="BA212"/>
    </row>
    <row r="213" spans="52:53">
      <c r="AZ213"/>
      <c r="BA213"/>
    </row>
    <row r="214" spans="52:53">
      <c r="AZ214"/>
      <c r="BA214"/>
    </row>
    <row r="215" spans="52:53">
      <c r="AZ215"/>
      <c r="BA215"/>
    </row>
    <row r="216" spans="52:53">
      <c r="AZ216"/>
      <c r="BA216"/>
    </row>
    <row r="217" spans="52:53">
      <c r="AZ217"/>
      <c r="BA217"/>
    </row>
    <row r="218" spans="52:53">
      <c r="AZ218"/>
      <c r="BA218"/>
    </row>
    <row r="219" spans="52:53">
      <c r="AZ219"/>
      <c r="BA219"/>
    </row>
    <row r="220" spans="52:53">
      <c r="AZ220"/>
      <c r="BA220"/>
    </row>
    <row r="221" spans="52:53">
      <c r="AZ221"/>
      <c r="BA221"/>
    </row>
    <row r="222" spans="52:53">
      <c r="AZ222"/>
      <c r="BA222"/>
    </row>
    <row r="223" spans="52:53">
      <c r="AZ223"/>
      <c r="BA223"/>
    </row>
  </sheetData>
  <autoFilter ref="B1:BC170">
    <extLst/>
  </autoFilter>
  <conditionalFormatting sqref="AT3">
    <cfRule type="duplicateValues" dxfId="984" priority="1"/>
  </conditionalFormatting>
  <conditionalFormatting sqref="AW3">
    <cfRule type="duplicateValues" dxfId="984" priority="2"/>
  </conditionalFormatting>
  <conditionalFormatting sqref="AZ3">
    <cfRule type="duplicateValues" dxfId="984" priority="22"/>
    <cfRule type="duplicateValues" dxfId="984" priority="21"/>
  </conditionalFormatting>
  <conditionalFormatting sqref="AZ51">
    <cfRule type="duplicateValues" dxfId="984" priority="20"/>
  </conditionalFormatting>
  <conditionalFormatting sqref="AZ78">
    <cfRule type="duplicateValues" dxfId="988" priority="18"/>
    <cfRule type="duplicateValues" dxfId="984" priority="17"/>
    <cfRule type="duplicateValues" dxfId="984" priority="16"/>
    <cfRule type="duplicateValues" dxfId="984" priority="15"/>
    <cfRule type="duplicateValues" dxfId="984" priority="14"/>
  </conditionalFormatting>
  <conditionalFormatting sqref="AZ1:AZ2 AZ224:AZ65521">
    <cfRule type="duplicateValues" dxfId="988" priority="134"/>
    <cfRule type="duplicateValues" dxfId="984" priority="133"/>
    <cfRule type="duplicateValues" dxfId="984" priority="132"/>
  </conditionalFormatting>
  <conditionalFormatting sqref="AZ1:AZ2 AZ224:AZ1048576">
    <cfRule type="duplicateValues" dxfId="984" priority="131"/>
    <cfRule type="duplicateValues" dxfId="984" priority="126"/>
  </conditionalFormatting>
  <conditionalFormatting sqref="AZ3:AZ77 AZ96:AZ105 AZ107:AZ113 AZ80:AZ81">
    <cfRule type="duplicateValues" dxfId="984" priority="19"/>
  </conditionalFormatting>
  <conditionalFormatting sqref="AZ55:AZ56 AZ96:AZ105 AZ107:AZ113 AZ63:AZ77">
    <cfRule type="duplicateValues" dxfId="988" priority="26"/>
    <cfRule type="duplicateValues" dxfId="984" priority="25"/>
    <cfRule type="duplicateValues" dxfId="984" priority="24"/>
    <cfRule type="duplicateValues" dxfId="984" priority="23"/>
  </conditionalFormatting>
  <pageMargins left="0.75" right="0.75" top="1" bottom="1" header="0.5" footer="0.5"/>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rgb="FFFFFF00"/>
  </sheetPr>
  <dimension ref="A1:AN118"/>
  <sheetViews>
    <sheetView workbookViewId="0">
      <pane ySplit="3" topLeftCell="A4" activePane="bottomLeft" state="frozen"/>
      <selection/>
      <selection pane="bottomLeft" activeCell="W103" sqref="W103"/>
    </sheetView>
  </sheetViews>
  <sheetFormatPr defaultColWidth="9" defaultRowHeight="21" customHeight="1"/>
  <cols>
    <col min="1" max="1" width="4.85321100917431" customWidth="1"/>
    <col min="2" max="2" width="13.4495412844037" customWidth="1"/>
    <col min="3" max="3" width="15.4495412844037" customWidth="1"/>
    <col min="4" max="4" width="11.6146788990826" style="50"/>
    <col min="5" max="5" width="11.5045871559633" customWidth="1"/>
    <col min="6" max="10" width="9" hidden="1" customWidth="1"/>
    <col min="12" max="12" width="8.44036697247706" customWidth="1"/>
    <col min="13" max="13" width="11.9633027522936" customWidth="1"/>
    <col min="16" max="16" width="8.55963302752294" customWidth="1"/>
    <col min="17" max="17" width="8.22018348623853" customWidth="1"/>
    <col min="22" max="22" width="9.22018348623853" customWidth="1"/>
    <col min="23" max="23" width="12.3302752293578" customWidth="1"/>
    <col min="24" max="24" width="12.8807339449541" customWidth="1"/>
    <col min="25" max="25" width="9.3302752293578"/>
    <col min="26" max="27" width="10.4495412844037"/>
    <col min="30" max="30" width="11.4403669724771" customWidth="1"/>
    <col min="31" max="32" width="9.4954128440367"/>
    <col min="35" max="36" width="10.4954128440367"/>
    <col min="37" max="37" width="12.3761467889908" customWidth="1"/>
    <col min="38" max="38" width="11.6880733944954"/>
    <col min="39" max="39" width="10.4954128440367"/>
  </cols>
  <sheetData>
    <row r="1" s="1" customFormat="1" ht="152" customHeight="1" spans="2:37">
      <c r="B1" s="35">
        <f>COUNTA(B4:B1046183)</f>
        <v>115</v>
      </c>
      <c r="C1" s="51" t="s">
        <v>0</v>
      </c>
      <c r="D1" s="52"/>
      <c r="K1" s="35">
        <f>SUM(K4:K1046456)</f>
        <v>4062</v>
      </c>
      <c r="M1" s="36"/>
      <c r="N1" s="36"/>
      <c r="O1" s="36"/>
      <c r="P1" s="36"/>
      <c r="Q1" s="36"/>
      <c r="R1" s="36"/>
      <c r="T1" s="66" t="s">
        <v>1</v>
      </c>
      <c r="W1" s="67" t="s">
        <v>2</v>
      </c>
      <c r="X1" s="68" t="s">
        <v>3</v>
      </c>
      <c r="Y1" s="84" t="s">
        <v>4</v>
      </c>
      <c r="Z1" s="85"/>
      <c r="AA1" s="85"/>
      <c r="AB1" s="85"/>
      <c r="AC1" s="85"/>
      <c r="AD1" s="86"/>
      <c r="AE1" s="85"/>
      <c r="AF1" s="85"/>
      <c r="AG1" s="93" t="s">
        <v>587</v>
      </c>
      <c r="AH1" s="93"/>
      <c r="AI1" s="94" t="s">
        <v>6</v>
      </c>
      <c r="AJ1" s="94" t="s">
        <v>7</v>
      </c>
      <c r="AK1" s="95" t="s">
        <v>8</v>
      </c>
    </row>
    <row r="2" s="1" customFormat="1" ht="51.6" spans="1:40">
      <c r="A2" s="37" t="s">
        <v>9</v>
      </c>
      <c r="B2" s="37" t="s">
        <v>10</v>
      </c>
      <c r="C2" s="37" t="s">
        <v>11</v>
      </c>
      <c r="D2" s="53"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72" t="s">
        <v>30</v>
      </c>
      <c r="W2" s="73" t="s">
        <v>458</v>
      </c>
      <c r="X2" s="74" t="s">
        <v>32</v>
      </c>
      <c r="Y2" s="38" t="s">
        <v>33</v>
      </c>
      <c r="Z2" s="38" t="s">
        <v>34</v>
      </c>
      <c r="AA2" s="38" t="s">
        <v>35</v>
      </c>
      <c r="AB2" s="87" t="s">
        <v>36</v>
      </c>
      <c r="AC2" s="88" t="s">
        <v>37</v>
      </c>
      <c r="AD2" s="88" t="s">
        <v>38</v>
      </c>
      <c r="AE2" s="38" t="s">
        <v>39</v>
      </c>
      <c r="AF2" s="38" t="s">
        <v>40</v>
      </c>
      <c r="AG2" s="96" t="s">
        <v>41</v>
      </c>
      <c r="AH2" s="96" t="s">
        <v>42</v>
      </c>
      <c r="AI2" s="97" t="s">
        <v>43</v>
      </c>
      <c r="AJ2" s="97" t="s">
        <v>44</v>
      </c>
      <c r="AK2" s="38" t="s">
        <v>45</v>
      </c>
      <c r="AL2" s="38" t="s">
        <v>46</v>
      </c>
      <c r="AM2" s="24">
        <v>45200</v>
      </c>
      <c r="AN2" s="24" t="s">
        <v>47</v>
      </c>
    </row>
    <row r="3" s="49" customFormat="1" ht="20" customHeight="1" spans="2:38">
      <c r="B3" s="40" t="s">
        <v>48</v>
      </c>
      <c r="C3" s="54"/>
      <c r="D3" s="55"/>
      <c r="E3" s="56"/>
      <c r="F3" s="57"/>
      <c r="G3" s="57"/>
      <c r="H3" s="57"/>
      <c r="I3" s="57"/>
      <c r="J3" s="57"/>
      <c r="K3" s="57">
        <f>SUM(K4:K1046413)</f>
        <v>4062</v>
      </c>
      <c r="L3" s="41"/>
      <c r="M3" s="41">
        <f t="shared" ref="M3:R3" si="0">SUM(M4:M1046413)</f>
        <v>157088.81</v>
      </c>
      <c r="N3" s="57">
        <f t="shared" si="0"/>
        <v>521</v>
      </c>
      <c r="O3" s="57">
        <f t="shared" si="0"/>
        <v>1088</v>
      </c>
      <c r="P3" s="57">
        <f t="shared" si="0"/>
        <v>1705</v>
      </c>
      <c r="Q3" s="57">
        <f t="shared" si="0"/>
        <v>504</v>
      </c>
      <c r="R3" s="57">
        <f t="shared" si="0"/>
        <v>17</v>
      </c>
      <c r="S3" s="75"/>
      <c r="T3" s="76"/>
      <c r="U3" s="77"/>
      <c r="V3" s="78"/>
      <c r="W3" s="76"/>
      <c r="X3" s="76"/>
      <c r="Y3" s="41">
        <f>SUM(Y4:Y1046413)</f>
        <v>934.68464</v>
      </c>
      <c r="Z3" s="41">
        <f>SUM(Z4:Z1046413)</f>
        <v>1959.49623</v>
      </c>
      <c r="AA3" s="41">
        <f>SUM(AA4:AA1046413)</f>
        <v>3310.76909</v>
      </c>
      <c r="AB3" s="89"/>
      <c r="AC3" s="89"/>
      <c r="AD3" s="90"/>
      <c r="AE3" s="89"/>
      <c r="AF3" s="89"/>
      <c r="AG3" s="89"/>
      <c r="AH3" s="98"/>
      <c r="AI3" s="98"/>
      <c r="AJ3" s="89"/>
      <c r="AK3" s="41">
        <f>SUM(AK4:AK1045199)</f>
        <v>14125.914</v>
      </c>
      <c r="AL3" s="41">
        <f>SUM(AL4:AL1046413)</f>
        <v>31426.529</v>
      </c>
    </row>
    <row r="4" customHeight="1" spans="1:40">
      <c r="A4" s="58" t="str">
        <f>INDEX('[1]9店'!$A:$A,MATCH(B:B,'[1]9店'!$B:$B,0))</f>
        <v>美珠</v>
      </c>
      <c r="B4" s="43" t="s">
        <v>3045</v>
      </c>
      <c r="C4" s="43" t="s">
        <v>3046</v>
      </c>
      <c r="D4" s="59"/>
      <c r="E4" s="43" t="s">
        <v>3047</v>
      </c>
      <c r="F4" s="43">
        <v>2</v>
      </c>
      <c r="G4" s="43">
        <v>0</v>
      </c>
      <c r="H4" s="43">
        <v>0</v>
      </c>
      <c r="I4" s="43">
        <v>0</v>
      </c>
      <c r="J4" s="43">
        <v>0</v>
      </c>
      <c r="K4" s="63">
        <f t="shared" ref="K4:K15" si="1">F4+G4+H4+I4+J4</f>
        <v>2</v>
      </c>
      <c r="L4" s="64">
        <f>IFERROR(VLOOKUP($B:$B,'[1]9店'!$B:$L,11,0),0)</f>
        <v>13.9</v>
      </c>
      <c r="M4" s="44">
        <f t="shared" ref="M4:M17" si="2">K4*L4</f>
        <v>27.8</v>
      </c>
      <c r="N4" s="65">
        <f>IFERROR(VLOOKUP(B:B,'9店辅助表'!B:C,2,FALSE),0)</f>
        <v>0</v>
      </c>
      <c r="O4" s="65">
        <f>IFERROR(VLOOKUP(B:B,'9店辅助表'!E:F,2,FALSE),0)</f>
        <v>0</v>
      </c>
      <c r="P4" s="65">
        <f>IFERROR(VLOOKUP(B:B,'9店辅助表'!H:I,2,FALSE),0)</f>
        <v>0</v>
      </c>
      <c r="Q4" s="65">
        <f>IFERROR(VLOOKUP(B:B,'[1]9店'!$B:$N,13,FALSE),0)</f>
        <v>0</v>
      </c>
      <c r="R4" s="79">
        <f>N4-Q4</f>
        <v>0</v>
      </c>
      <c r="S4" s="80" t="str">
        <f t="shared" ref="S4:S15" si="3">IFERROR(K4/((N4/7+O4/15+P4/30)/3),"-")</f>
        <v>-</v>
      </c>
      <c r="T4" s="44" t="str">
        <f t="shared" ref="T4:T15" si="4">IFERROR(S4/30,"-")</f>
        <v>-</v>
      </c>
      <c r="U4" s="44" t="str">
        <f>IFERROR(VLOOKUP(B:B,'[1]9店'!$B:$T,19,0),"-")</f>
        <v>-</v>
      </c>
      <c r="V4" s="81" t="str">
        <f>IFERROR(T4-U4,"-")</f>
        <v>-</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有库存无销量</v>
      </c>
      <c r="X4" s="83" t="str">
        <f>_xlfn.IFS(AND(D4&lt;&gt;0,D4-$AM$2&gt;=0,K4&gt;0,D4&lt;&gt;0),"本月刚到货",AND(T4="-",K4&gt;0),"有库存无销量",AND(T4="-",K4=0),"无库存无销量",AND(T4&lt;=0.5,K4=0),"无库存有销量",T4&lt;=0.5,"库存过低",T4&lt;=1.5,"正常",T4&gt;1.5,"库存过高")</f>
        <v>有库存无销量</v>
      </c>
      <c r="Y4" s="44">
        <f>IFERROR(SUMIF('9店辅助表'!K:K,B:B,'9店辅助表'!N:N),0)</f>
        <v>0</v>
      </c>
      <c r="Z4" s="44">
        <f>IFERROR(SUMIF('9店辅助表'!T:T,B:B,'9店辅助表'!W:W),0)</f>
        <v>0</v>
      </c>
      <c r="AA4" s="44">
        <f>IFERROR(SUMIF('9店辅助表'!AC:AC,B:B,'9店辅助表'!AF:AF),0)</f>
        <v>0</v>
      </c>
      <c r="AB4" s="91" t="str">
        <f>IFERROR(SUMIF('9店辅助表'!K:K,B:B,'9店辅助表'!N:N)/SUMIF('9店辅助表'!K:K,B:B,'9店辅助表'!O:O),"-")</f>
        <v>-</v>
      </c>
      <c r="AC4" s="91" t="str">
        <f>IFERROR(VLOOKUP(B:B,'[1]9店'!$B:$AB,27,FALSE),"-")</f>
        <v>-</v>
      </c>
      <c r="AD4" s="92" t="str">
        <f>IFERROR(AB4-AC4,"-")</f>
        <v>-</v>
      </c>
      <c r="AE4" s="91" t="str">
        <f>IFERROR(SUMIF('9店辅助表'!T:T,B:B,'9店辅助表'!W:W)/SUMIF('9店辅助表'!T:T,B:B,'9店辅助表'!X:X),"-")</f>
        <v>-</v>
      </c>
      <c r="AF4" s="91" t="str">
        <f>IFERROR(SUMIF('9店辅助表'!AC:AC,B:B,'9店辅助表'!AF:AF)/SUMIF('9店辅助表'!AC:AC,B:B,'9店辅助表'!AG:AG),"-")</f>
        <v>-</v>
      </c>
      <c r="AG4" s="99">
        <f>IFERROR(AK4/((SUMIF('9店辅助表'!AT:AT,B:B,'9店辅助表'!AU:AU)+M4)/2),"-")</f>
        <v>0</v>
      </c>
      <c r="AH4" s="99">
        <f>IFERROR(AL4/((SUMIF('9店辅助表'!AW:AW,B:B,'9店辅助表'!AX:AX)+M4)/2),"-")</f>
        <v>0</v>
      </c>
      <c r="AI4" s="100" t="str">
        <f>IFERROR((SUMIF('9店辅助表'!AP:AP,B:B,'9店辅助表'!AR:AR)-SUMIF('9店辅助表'!AP:AP,B:B,'9店辅助表'!AR:AR)*0.15-(L4+IFERROR(VLOOKUP(B:B,'9店辅助表'!AZ:BA,2,0),0))*O4-IF(AN:AN="US",6.85,4.9)*(Z4+4.27*O4))/SUMIF('9店辅助表'!AP:AP,B:B,'9店辅助表'!AR:AR),"-")</f>
        <v>-</v>
      </c>
      <c r="AJ4" s="100" t="str">
        <f>IFERROR(AH4*AI4,"-")</f>
        <v>-</v>
      </c>
      <c r="AK4" s="101">
        <f t="shared" ref="AK4:AK15" si="5">N4*$L4</f>
        <v>0</v>
      </c>
      <c r="AL4" s="101">
        <f t="shared" ref="AL4:AL15" si="6">O4*$L4</f>
        <v>0</v>
      </c>
      <c r="AM4" s="1" t="str">
        <f>VLOOKUP(B:B,'9店辅助表'!AZ:AZ,1,FALSE)</f>
        <v>Y9025-OR+Y9026+Y9027</v>
      </c>
      <c r="AN4" t="str">
        <f>VLOOKUP(B:B,'9店辅助表'!AZ:BB,3,FALSE)</f>
        <v>US</v>
      </c>
    </row>
    <row r="5" customHeight="1" spans="1:40">
      <c r="A5" s="58" t="str">
        <f>INDEX('[1]9店'!$A:$A,MATCH(B:B,'[1]9店'!$B:$B,0))</f>
        <v>美珠</v>
      </c>
      <c r="B5" s="43" t="s">
        <v>3048</v>
      </c>
      <c r="C5" s="43" t="s">
        <v>2143</v>
      </c>
      <c r="D5" s="59"/>
      <c r="E5" s="43" t="s">
        <v>3049</v>
      </c>
      <c r="F5" s="43">
        <v>23</v>
      </c>
      <c r="G5" s="43">
        <v>0</v>
      </c>
      <c r="H5" s="43">
        <v>1</v>
      </c>
      <c r="I5" s="43">
        <v>1</v>
      </c>
      <c r="J5" s="43">
        <v>0</v>
      </c>
      <c r="K5" s="63">
        <f t="shared" si="1"/>
        <v>25</v>
      </c>
      <c r="L5" s="64">
        <f>IFERROR(VLOOKUP($B:$B,'[1]9店'!$B:$L,11,0),0)</f>
        <v>13.9</v>
      </c>
      <c r="M5" s="44">
        <f t="shared" si="2"/>
        <v>347.5</v>
      </c>
      <c r="N5" s="65">
        <f>IFERROR(VLOOKUP(B:B,'9店辅助表'!B:C,2,FALSE),0)</f>
        <v>1</v>
      </c>
      <c r="O5" s="65">
        <f>IFERROR(VLOOKUP(B:B,'9店辅助表'!E:F,2,FALSE),0)</f>
        <v>5</v>
      </c>
      <c r="P5" s="65">
        <f>IFERROR(VLOOKUP(B:B,'9店辅助表'!H:I,2,FALSE),0)</f>
        <v>14</v>
      </c>
      <c r="Q5" s="65">
        <f>IFERROR(VLOOKUP(B:B,'[1]9店'!$B:$N,13,FALSE),0)</f>
        <v>3</v>
      </c>
      <c r="R5" s="79">
        <f t="shared" ref="R4:R15" si="7">N5-Q5</f>
        <v>-2</v>
      </c>
      <c r="S5" s="80">
        <f t="shared" si="3"/>
        <v>79.5454545454545</v>
      </c>
      <c r="T5" s="44">
        <f t="shared" si="4"/>
        <v>2.65151515151515</v>
      </c>
      <c r="U5" s="44">
        <f>IFERROR(VLOOKUP(B:B,'[1]9店'!$B:$T,19,0),"-")</f>
        <v>0.368421052631579</v>
      </c>
      <c r="V5" s="81">
        <f t="shared" ref="V4:V15" si="8">IFERROR(T5-U5,"-")</f>
        <v>2.28309409888357</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库存过高</v>
      </c>
      <c r="X5" s="83" t="str">
        <f>_xlfn.IFS(AND(D5&lt;&gt;0,D5-$AM$2&gt;=0,K5&gt;0,D5&lt;&gt;0),"本月刚到货",AND(T5="-",K5&gt;0),"有库存无销量",AND(T5="-",K5=0),"无库存无销量",AND(T5&lt;=0.5,K5=0),"无库存有销量",T5&lt;=0.5,"库存过低",T5&lt;=1.5,"正常",T5&gt;1.5,"库存过高")</f>
        <v>库存过高</v>
      </c>
      <c r="Y5" s="44">
        <f>IFERROR(SUMIF('9店辅助表'!K:K,B:B,'9店辅助表'!N:N),0)</f>
        <v>4.96</v>
      </c>
      <c r="Z5" s="44">
        <f>IFERROR(SUMIF('9店辅助表'!T:T,B:B,'9店辅助表'!W:W),0)</f>
        <v>12.09</v>
      </c>
      <c r="AA5" s="44">
        <f>IFERROR(SUMIF('9店辅助表'!AC:AC,B:B,'9店辅助表'!AF:AF),0)</f>
        <v>22.81</v>
      </c>
      <c r="AB5" s="91" t="str">
        <f>IFERROR(SUMIF('9店辅助表'!K:K,B:B,'9店辅助表'!N:N)/SUMIF('9店辅助表'!K:K,B:B,'9店辅助表'!O:O),"-")</f>
        <v>-</v>
      </c>
      <c r="AC5" s="91">
        <f>IFERROR(VLOOKUP(B:B,'[1]9店'!$B:$AB,27,FALSE),"-")</f>
        <v>0.498845265588915</v>
      </c>
      <c r="AD5" s="92" t="str">
        <f t="shared" ref="AD4:AD15" si="9">IFERROR(AB5-AC5,"-")</f>
        <v>-</v>
      </c>
      <c r="AE5" s="91">
        <f>IFERROR(SUMIF('9店辅助表'!T:T,B:B,'9店辅助表'!W:W)/SUMIF('9店辅助表'!T:T,B:B,'9店辅助表'!X:X),"-")</f>
        <v>0.930715935334873</v>
      </c>
      <c r="AF5" s="91">
        <f>IFERROR(SUMIF('9店辅助表'!AC:AC,B:B,'9店辅助表'!AF:AF)/SUMIF('9店辅助表'!AC:AC,B:B,'9店辅助表'!AG:AG),"-")</f>
        <v>0.351193225558122</v>
      </c>
      <c r="AG5" s="99">
        <f>IFERROR(AK5/((SUMIF('9店辅助表'!AT:AT,B:B,'9店辅助表'!AU:AU)+M5)/2),"-")</f>
        <v>0.0645161290322581</v>
      </c>
      <c r="AH5" s="99">
        <f>IFERROR(AL5/((SUMIF('9店辅助表'!AW:AW,B:B,'9店辅助表'!AX:AX)+M5)/2),"-")</f>
        <v>0.3125</v>
      </c>
      <c r="AI5" s="100">
        <f>IFERROR((SUMIF('9店辅助表'!AP:AP,B:B,'9店辅助表'!AR:AR)-SUMIF('9店辅助表'!AP:AP,B:B,'9店辅助表'!AR:AR)*0.15-(L5+IFERROR(VLOOKUP(B:B,'9店辅助表'!AZ:BA,2,0),0))*O5-IF(AN:AN="US",6.85,4.9)*(Z5+4.27*O5))/SUMIF('9店辅助表'!AP:AP,B:B,'9店辅助表'!AR:AR),"-")</f>
        <v>0.104386585975737</v>
      </c>
      <c r="AJ5" s="100">
        <f t="shared" ref="AJ4:AJ15" si="10">IFERROR(AH5*AI5,"-")</f>
        <v>0.0326208081174177</v>
      </c>
      <c r="AK5" s="101">
        <f t="shared" si="5"/>
        <v>13.9</v>
      </c>
      <c r="AL5" s="101">
        <f t="shared" si="6"/>
        <v>69.5</v>
      </c>
      <c r="AM5" s="1" t="str">
        <f>VLOOKUP(B:B,'9店辅助表'!AZ:AZ,1,FALSE)</f>
        <v>Y9002-BU+Y9005</v>
      </c>
      <c r="AN5" t="str">
        <f>VLOOKUP(B:B,'9店辅助表'!AZ:BB,3,FALSE)</f>
        <v>US</v>
      </c>
    </row>
    <row r="6" customHeight="1" spans="1:40">
      <c r="A6" s="58" t="str">
        <f>INDEX('[1]9店'!$A:$A,MATCH(B:B,'[1]9店'!$B:$B,0))</f>
        <v>美珠</v>
      </c>
      <c r="B6" s="43" t="s">
        <v>3050</v>
      </c>
      <c r="C6" s="43" t="s">
        <v>2149</v>
      </c>
      <c r="D6" s="59"/>
      <c r="E6" s="43" t="s">
        <v>3051</v>
      </c>
      <c r="F6" s="43">
        <v>10</v>
      </c>
      <c r="G6" s="43">
        <v>1</v>
      </c>
      <c r="H6" s="43">
        <v>0</v>
      </c>
      <c r="I6" s="43">
        <v>0</v>
      </c>
      <c r="J6" s="43">
        <v>0</v>
      </c>
      <c r="K6" s="63">
        <f t="shared" si="1"/>
        <v>11</v>
      </c>
      <c r="L6" s="64">
        <f>IFERROR(VLOOKUP($B:$B,'[1]9店'!$B:$L,11,0),0)</f>
        <v>13.9</v>
      </c>
      <c r="M6" s="44">
        <f t="shared" si="2"/>
        <v>152.9</v>
      </c>
      <c r="N6" s="65">
        <f>IFERROR(VLOOKUP(B:B,'9店辅助表'!B:C,2,FALSE),0)</f>
        <v>1</v>
      </c>
      <c r="O6" s="65">
        <f>IFERROR(VLOOKUP(B:B,'9店辅助表'!E:F,2,FALSE),0)</f>
        <v>1</v>
      </c>
      <c r="P6" s="65">
        <f>IFERROR(VLOOKUP(B:B,'9店辅助表'!H:I,2,FALSE),0)</f>
        <v>3</v>
      </c>
      <c r="Q6" s="65">
        <f>IFERROR(VLOOKUP(B:B,'[1]9店'!$B:$N,13,FALSE),0)</f>
        <v>0</v>
      </c>
      <c r="R6" s="79">
        <f t="shared" si="7"/>
        <v>1</v>
      </c>
      <c r="S6" s="80">
        <f t="shared" si="3"/>
        <v>106.615384615385</v>
      </c>
      <c r="T6" s="44">
        <f t="shared" si="4"/>
        <v>3.55384615384615</v>
      </c>
      <c r="U6" s="44">
        <f>IFERROR(VLOOKUP(B:B,'[1]9店'!$B:$T,19,0),"-")</f>
        <v>0.6</v>
      </c>
      <c r="V6" s="81">
        <f t="shared" si="8"/>
        <v>2.95384615384615</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库存过高</v>
      </c>
      <c r="X6" s="83" t="str">
        <f>_xlfn.IFS(AND(D6&lt;&gt;0,D6-$AM$2&gt;=0,K6&gt;0,D6&lt;&gt;0),"本月刚到货",AND(T6="-",K6&gt;0),"有库存无销量",AND(T6="-",K6=0),"无库存无销量",AND(T6&lt;=0.5,K6=0),"无库存有销量",T6&lt;=0.5,"库存过低",T6&lt;=1.5,"正常",T6&gt;1.5,"库存过高")</f>
        <v>库存过高</v>
      </c>
      <c r="Y6" s="44">
        <f>IFERROR(SUMIF('9店辅助表'!K:K,B:B,'9店辅助表'!N:N),0)</f>
        <v>2.04</v>
      </c>
      <c r="Z6" s="44">
        <f>IFERROR(SUMIF('9店辅助表'!T:T,B:B,'9店辅助表'!W:W),0)</f>
        <v>2.04</v>
      </c>
      <c r="AA6" s="44">
        <f>IFERROR(SUMIF('9店辅助表'!AC:AC,B:B,'9店辅助表'!AF:AF),0)</f>
        <v>6.61</v>
      </c>
      <c r="AB6" s="91" t="str">
        <f>IFERROR(SUMIF('9店辅助表'!K:K,B:B,'9店辅助表'!N:N)/SUMIF('9店辅助表'!K:K,B:B,'9店辅助表'!O:O),"-")</f>
        <v>-</v>
      </c>
      <c r="AC6" s="91" t="str">
        <f>IFERROR(VLOOKUP(B:B,'[1]9店'!$B:$AB,27,FALSE),"-")</f>
        <v>-</v>
      </c>
      <c r="AD6" s="92" t="str">
        <f t="shared" si="9"/>
        <v>-</v>
      </c>
      <c r="AE6" s="91" t="str">
        <f>IFERROR(SUMIF('9店辅助表'!T:T,B:B,'9店辅助表'!W:W)/SUMIF('9店辅助表'!T:T,B:B,'9店辅助表'!X:X),"-")</f>
        <v>-</v>
      </c>
      <c r="AF6" s="91">
        <f>IFERROR(SUMIF('9店辅助表'!AC:AC,B:B,'9店辅助表'!AF:AF)/SUMIF('9店辅助表'!AC:AC,B:B,'9店辅助表'!AG:AG),"-")</f>
        <v>0.508852963818322</v>
      </c>
      <c r="AG6" s="99">
        <f>IFERROR(AK6/((SUMIF('9店辅助表'!AT:AT,B:B,'9店辅助表'!AU:AU)+M6)/2),"-")</f>
        <v>0.166666666666667</v>
      </c>
      <c r="AH6" s="99">
        <f>IFERROR(AL6/((SUMIF('9店辅助表'!AW:AW,B:B,'9店辅助表'!AX:AX)+M6)/2),"-")</f>
        <v>0.125</v>
      </c>
      <c r="AI6" s="100">
        <f>IFERROR((SUMIF('9店辅助表'!AP:AP,B:B,'9店辅助表'!AR:AR)-SUMIF('9店辅助表'!AP:AP,B:B,'9店辅助表'!AR:AR)*0.15-(L6+IFERROR(VLOOKUP(B:B,'9店辅助表'!AZ:BA,2,0),0))*O6-IF(AN:AN="US",6.85,4.9)*(Z6+4.27*O6))/SUMIF('9店辅助表'!AP:AP,B:B,'9店辅助表'!AR:AR),"-")</f>
        <v>0.133867995032675</v>
      </c>
      <c r="AJ6" s="100">
        <f t="shared" si="10"/>
        <v>0.0167334993790844</v>
      </c>
      <c r="AK6" s="101">
        <f t="shared" si="5"/>
        <v>13.9</v>
      </c>
      <c r="AL6" s="101">
        <f t="shared" si="6"/>
        <v>13.9</v>
      </c>
      <c r="AM6" s="1" t="str">
        <f>VLOOKUP(B:B,'9店辅助表'!AZ:AZ,1,FALSE)</f>
        <v>Y9002-DB+Y9005</v>
      </c>
      <c r="AN6" t="str">
        <f>VLOOKUP(B:B,'9店辅助表'!AZ:BB,3,FALSE)</f>
        <v>US</v>
      </c>
    </row>
    <row r="7" customHeight="1" spans="1:40">
      <c r="A7" s="58" t="str">
        <f>INDEX('[1]9店'!$A:$A,MATCH(B:B,'[1]9店'!$B:$B,0))</f>
        <v>美珠</v>
      </c>
      <c r="B7" s="43" t="s">
        <v>3052</v>
      </c>
      <c r="C7" s="43" t="s">
        <v>2152</v>
      </c>
      <c r="D7" s="59"/>
      <c r="E7" s="43" t="s">
        <v>3053</v>
      </c>
      <c r="F7" s="43">
        <v>4</v>
      </c>
      <c r="G7" s="43">
        <v>0</v>
      </c>
      <c r="H7" s="43">
        <v>0</v>
      </c>
      <c r="I7" s="43">
        <v>0</v>
      </c>
      <c r="J7" s="43">
        <v>0</v>
      </c>
      <c r="K7" s="63">
        <f t="shared" si="1"/>
        <v>4</v>
      </c>
      <c r="L7" s="64">
        <f>IFERROR(VLOOKUP($B:$B,'[1]9店'!$B:$L,11,0),0)</f>
        <v>13.9</v>
      </c>
      <c r="M7" s="44">
        <f t="shared" si="2"/>
        <v>55.6</v>
      </c>
      <c r="N7" s="65">
        <f>IFERROR(VLOOKUP(B:B,'9店辅助表'!B:C,2,FALSE),0)</f>
        <v>0</v>
      </c>
      <c r="O7" s="65">
        <f>IFERROR(VLOOKUP(B:B,'9店辅助表'!E:F,2,FALSE),0)</f>
        <v>0</v>
      </c>
      <c r="P7" s="65">
        <f>IFERROR(VLOOKUP(B:B,'9店辅助表'!H:I,2,FALSE),0)</f>
        <v>1</v>
      </c>
      <c r="Q7" s="65">
        <f>IFERROR(VLOOKUP(B:B,'[1]9店'!$B:$N,13,FALSE),0)</f>
        <v>0</v>
      </c>
      <c r="R7" s="79">
        <f t="shared" si="7"/>
        <v>0</v>
      </c>
      <c r="S7" s="80">
        <f t="shared" si="3"/>
        <v>360</v>
      </c>
      <c r="T7" s="44">
        <f t="shared" si="4"/>
        <v>12</v>
      </c>
      <c r="U7" s="44">
        <f>IFERROR(VLOOKUP(B:B,'[1]9店'!$B:$T,19,0),"-")</f>
        <v>12</v>
      </c>
      <c r="V7" s="81">
        <f t="shared" si="8"/>
        <v>0</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有库存无销量</v>
      </c>
      <c r="X7" s="83" t="str">
        <f>_xlfn.IFS(AND(D7&lt;&gt;0,D7-$AM$2&gt;=0,K7&gt;0,D7&lt;&gt;0),"本月刚到货",AND(T7="-",K7&gt;0),"有库存无销量",AND(T7="-",K7=0),"无库存无销量",AND(T7&lt;=0.5,K7=0),"无库存有销量",T7&lt;=0.5,"库存过低",T7&lt;=1.5,"正常",T7&gt;1.5,"库存过高")</f>
        <v>库存过高</v>
      </c>
      <c r="Y7" s="44">
        <f>IFERROR(SUMIF('9店辅助表'!K:K,B:B,'9店辅助表'!N:N),0)</f>
        <v>0</v>
      </c>
      <c r="Z7" s="44">
        <f>IFERROR(SUMIF('9店辅助表'!T:T,B:B,'9店辅助表'!W:W),0)</f>
        <v>0</v>
      </c>
      <c r="AA7" s="44">
        <f>IFERROR(SUMIF('9店辅助表'!AC:AC,B:B,'9店辅助表'!AF:AF),0)</f>
        <v>0</v>
      </c>
      <c r="AB7" s="91" t="str">
        <f>IFERROR(SUMIF('9店辅助表'!K:K,B:B,'9店辅助表'!N:N)/SUMIF('9店辅助表'!K:K,B:B,'9店辅助表'!O:O),"-")</f>
        <v>-</v>
      </c>
      <c r="AC7" s="91" t="str">
        <f>IFERROR(VLOOKUP(B:B,'[1]9店'!$B:$AB,27,FALSE),"-")</f>
        <v>-</v>
      </c>
      <c r="AD7" s="92" t="str">
        <f t="shared" si="9"/>
        <v>-</v>
      </c>
      <c r="AE7" s="91" t="str">
        <f>IFERROR(SUMIF('9店辅助表'!T:T,B:B,'9店辅助表'!W:W)/SUMIF('9店辅助表'!T:T,B:B,'9店辅助表'!X:X),"-")</f>
        <v>-</v>
      </c>
      <c r="AF7" s="91" t="str">
        <f>IFERROR(SUMIF('9店辅助表'!AC:AC,B:B,'9店辅助表'!AF:AF)/SUMIF('9店辅助表'!AC:AC,B:B,'9店辅助表'!AG:AG),"-")</f>
        <v>-</v>
      </c>
      <c r="AG7" s="99">
        <f>IFERROR(AK7/((SUMIF('9店辅助表'!AT:AT,B:B,'9店辅助表'!AU:AU)+M7)/2),"-")</f>
        <v>0</v>
      </c>
      <c r="AH7" s="99">
        <f>IFERROR(AL7/((SUMIF('9店辅助表'!AW:AW,B:B,'9店辅助表'!AX:AX)+M7)/2),"-")</f>
        <v>0</v>
      </c>
      <c r="AI7" s="100" t="str">
        <f>IFERROR((SUMIF('9店辅助表'!AP:AP,B:B,'9店辅助表'!AR:AR)-SUMIF('9店辅助表'!AP:AP,B:B,'9店辅助表'!AR:AR)*0.15-(L7+IFERROR(VLOOKUP(B:B,'9店辅助表'!AZ:BA,2,0),0))*O7-IF(AN:AN="US",6.85,4.9)*(Z7+4.27*O7))/SUMIF('9店辅助表'!AP:AP,B:B,'9店辅助表'!AR:AR),"-")</f>
        <v>-</v>
      </c>
      <c r="AJ7" s="100" t="str">
        <f t="shared" si="10"/>
        <v>-</v>
      </c>
      <c r="AK7" s="101">
        <f t="shared" si="5"/>
        <v>0</v>
      </c>
      <c r="AL7" s="101">
        <f t="shared" si="6"/>
        <v>0</v>
      </c>
      <c r="AM7" s="1" t="str">
        <f>VLOOKUP(B:B,'9店辅助表'!AZ:AZ,1,FALSE)</f>
        <v>Y9002-OR+Y9005</v>
      </c>
      <c r="AN7" t="str">
        <f>VLOOKUP(B:B,'9店辅助表'!AZ:BB,3,FALSE)</f>
        <v>US</v>
      </c>
    </row>
    <row r="8" customHeight="1" spans="1:40">
      <c r="A8" s="58" t="str">
        <f>INDEX('[1]9店'!$A:$A,MATCH(B:B,'[1]9店'!$B:$B,0))</f>
        <v>美珠</v>
      </c>
      <c r="B8" s="43" t="s">
        <v>3054</v>
      </c>
      <c r="C8" s="43" t="s">
        <v>65</v>
      </c>
      <c r="D8" s="59"/>
      <c r="E8" s="43" t="s">
        <v>3055</v>
      </c>
      <c r="F8" s="43">
        <v>4</v>
      </c>
      <c r="G8" s="43">
        <v>0</v>
      </c>
      <c r="H8" s="43">
        <v>9</v>
      </c>
      <c r="I8" s="43">
        <v>0</v>
      </c>
      <c r="J8" s="43">
        <v>0</v>
      </c>
      <c r="K8" s="63">
        <f t="shared" si="1"/>
        <v>13</v>
      </c>
      <c r="L8" s="64">
        <f>IFERROR(VLOOKUP($B:$B,'[1]9店'!$B:$L,11,0),0)</f>
        <v>13.9</v>
      </c>
      <c r="M8" s="44">
        <f t="shared" si="2"/>
        <v>180.7</v>
      </c>
      <c r="N8" s="65">
        <f>IFERROR(VLOOKUP(B:B,'9店辅助表'!B:C,2,FALSE),0)</f>
        <v>0</v>
      </c>
      <c r="O8" s="65">
        <f>IFERROR(VLOOKUP(B:B,'9店辅助表'!E:F,2,FALSE),0)</f>
        <v>4</v>
      </c>
      <c r="P8" s="65">
        <f>IFERROR(VLOOKUP(B:B,'9店辅助表'!H:I,2,FALSE),0)</f>
        <v>10</v>
      </c>
      <c r="Q8" s="65">
        <f>IFERROR(VLOOKUP(B:B,'[1]9店'!$B:$N,13,FALSE),0)</f>
        <v>3</v>
      </c>
      <c r="R8" s="79">
        <f t="shared" si="7"/>
        <v>-3</v>
      </c>
      <c r="S8" s="80">
        <f t="shared" si="3"/>
        <v>65</v>
      </c>
      <c r="T8" s="44">
        <f t="shared" si="4"/>
        <v>2.16666666666667</v>
      </c>
      <c r="U8" s="44">
        <f>IFERROR(VLOOKUP(B:B,'[1]9店'!$B:$T,19,0),"-")</f>
        <v>0.22027972027972</v>
      </c>
      <c r="V8" s="81">
        <f t="shared" si="8"/>
        <v>1.94638694638695</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有库存无销量</v>
      </c>
      <c r="X8" s="83" t="str">
        <f>_xlfn.IFS(AND(D8&lt;&gt;0,D8-$AM$2&gt;=0,K8&gt;0,D8&lt;&gt;0),"本月刚到货",AND(T8="-",K8&gt;0),"有库存无销量",AND(T8="-",K8=0),"无库存无销量",AND(T8&lt;=0.5,K8=0),"无库存有销量",T8&lt;=0.5,"库存过低",T8&lt;=1.5,"正常",T8&gt;1.5,"库存过高")</f>
        <v>库存过高</v>
      </c>
      <c r="Y8" s="44">
        <f>IFERROR(SUMIF('9店辅助表'!K:K,B:B,'9店辅助表'!N:N),0)</f>
        <v>6.93</v>
      </c>
      <c r="Z8" s="44">
        <f>IFERROR(SUMIF('9店辅助表'!T:T,B:B,'9店辅助表'!W:W),0)</f>
        <v>14.22</v>
      </c>
      <c r="AA8" s="44">
        <f>IFERROR(SUMIF('9店辅助表'!AC:AC,B:B,'9店辅助表'!AF:AF),0)</f>
        <v>28.15</v>
      </c>
      <c r="AB8" s="91">
        <f>IFERROR(SUMIF('9店辅助表'!K:K,B:B,'9店辅助表'!N:N)/SUMIF('9店辅助表'!K:K,B:B,'9店辅助表'!O:O),"-")</f>
        <v>0.364928909952607</v>
      </c>
      <c r="AC8" s="91" t="str">
        <f>IFERROR(VLOOKUP(B:B,'[1]9店'!$B:$AB,27,FALSE),"-")</f>
        <v>-</v>
      </c>
      <c r="AD8" s="92" t="str">
        <f t="shared" si="9"/>
        <v>-</v>
      </c>
      <c r="AE8" s="91">
        <f>IFERROR(SUMIF('9店辅助表'!T:T,B:B,'9店辅助表'!W:W)/SUMIF('9店辅助表'!T:T,B:B,'9店辅助表'!X:X),"-")</f>
        <v>0.444652908067542</v>
      </c>
      <c r="AF8" s="91">
        <f>IFERROR(SUMIF('9店辅助表'!AC:AC,B:B,'9店辅助表'!AF:AF)/SUMIF('9店辅助表'!AC:AC,B:B,'9店辅助表'!AG:AG),"-")</f>
        <v>0.290415763953368</v>
      </c>
      <c r="AG8" s="99">
        <f>IFERROR(AK8/((SUMIF('9店辅助表'!AT:AT,B:B,'9店辅助表'!AU:AU)+M8)/2),"-")</f>
        <v>0</v>
      </c>
      <c r="AH8" s="99">
        <f>IFERROR(AL8/((SUMIF('9店辅助表'!AW:AW,B:B,'9店辅助表'!AX:AX)+M8)/2),"-")</f>
        <v>0.32</v>
      </c>
      <c r="AI8" s="100">
        <f>IFERROR((SUMIF('9店辅助表'!AP:AP,B:B,'9店辅助表'!AR:AR)-SUMIF('9店辅助表'!AP:AP,B:B,'9店辅助表'!AR:AR)*0.15-(L8+IFERROR(VLOOKUP(B:B,'9店辅助表'!AZ:BA,2,0),0))*O8-IF(AN:AN="US",6.85,4.9)*(Z8+4.27*O8))/SUMIF('9店辅助表'!AP:AP,B:B,'9店辅助表'!AR:AR),"-")</f>
        <v>-0.0401243737177574</v>
      </c>
      <c r="AJ8" s="100">
        <f t="shared" si="10"/>
        <v>-0.0128397995896824</v>
      </c>
      <c r="AK8" s="101">
        <f t="shared" si="5"/>
        <v>0</v>
      </c>
      <c r="AL8" s="101">
        <f t="shared" si="6"/>
        <v>55.6</v>
      </c>
      <c r="AM8" s="1" t="str">
        <f>VLOOKUP(B:B,'9店辅助表'!AZ:AZ,1,FALSE)</f>
        <v>Y92611-DB+Y92614+Y92635</v>
      </c>
      <c r="AN8" t="str">
        <f>VLOOKUP(B:B,'9店辅助表'!AZ:BB,3,FALSE)</f>
        <v>US</v>
      </c>
    </row>
    <row r="9" customHeight="1" spans="1:40">
      <c r="A9" s="58" t="str">
        <f>INDEX('[1]9店'!$A:$A,MATCH(B:B,'[1]9店'!$B:$B,0))</f>
        <v>美珠</v>
      </c>
      <c r="B9" s="43" t="s">
        <v>3056</v>
      </c>
      <c r="C9" s="43" t="s">
        <v>2167</v>
      </c>
      <c r="D9" s="59"/>
      <c r="E9" s="43" t="s">
        <v>3057</v>
      </c>
      <c r="F9" s="43">
        <v>0</v>
      </c>
      <c r="G9" s="43">
        <v>0</v>
      </c>
      <c r="H9" s="43">
        <v>0</v>
      </c>
      <c r="I9" s="43">
        <v>0</v>
      </c>
      <c r="J9" s="43">
        <v>0</v>
      </c>
      <c r="K9" s="63">
        <f t="shared" si="1"/>
        <v>0</v>
      </c>
      <c r="L9" s="64">
        <f>IFERROR(VLOOKUP($B:$B,'[1]9店'!$B:$L,11,0),0)</f>
        <v>13.9</v>
      </c>
      <c r="M9" s="44">
        <f t="shared" si="2"/>
        <v>0</v>
      </c>
      <c r="N9" s="65">
        <f>IFERROR(VLOOKUP(B:B,'9店辅助表'!B:C,2,FALSE),0)</f>
        <v>2</v>
      </c>
      <c r="O9" s="65">
        <f>IFERROR(VLOOKUP(B:B,'9店辅助表'!E:F,2,FALSE),0)</f>
        <v>9</v>
      </c>
      <c r="P9" s="65">
        <f>IFERROR(VLOOKUP(B:B,'9店辅助表'!H:I,2,FALSE),0)</f>
        <v>17</v>
      </c>
      <c r="Q9" s="65">
        <f>IFERROR(VLOOKUP(B:B,'[1]9店'!$B:$N,13,FALSE),0)</f>
        <v>6</v>
      </c>
      <c r="R9" s="79">
        <f t="shared" si="7"/>
        <v>-4</v>
      </c>
      <c r="S9" s="80">
        <f t="shared" si="3"/>
        <v>0</v>
      </c>
      <c r="T9" s="44">
        <f t="shared" si="4"/>
        <v>0</v>
      </c>
      <c r="U9" s="44">
        <f>IFERROR(VLOOKUP(B:B,'[1]9店'!$B:$T,19,0),"-")</f>
        <v>0.177215189873418</v>
      </c>
      <c r="V9" s="81">
        <f t="shared" si="8"/>
        <v>-0.177215189873418</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无库存有销量</v>
      </c>
      <c r="X9" s="83" t="str">
        <f>_xlfn.IFS(AND(D9&lt;&gt;0,D9-$AM$2&gt;=0,K9&gt;0,D9&lt;&gt;0),"本月刚到货",AND(T9="-",K9&gt;0),"有库存无销量",AND(T9="-",K9=0),"无库存无销量",AND(T9&lt;=0.5,K9=0),"无库存有销量",T9&lt;=0.5,"库存过低",T9&lt;=1.5,"正常",T9&gt;1.5,"库存过高")</f>
        <v>无库存有销量</v>
      </c>
      <c r="Y9" s="44">
        <f>IFERROR(SUMIF('9店辅助表'!K:K,B:B,'9店辅助表'!N:N),0)</f>
        <v>1.7</v>
      </c>
      <c r="Z9" s="44">
        <f>IFERROR(SUMIF('9店辅助表'!T:T,B:B,'9店辅助表'!W:W),0)</f>
        <v>5.01</v>
      </c>
      <c r="AA9" s="44">
        <f>IFERROR(SUMIF('9店辅助表'!AC:AC,B:B,'9店辅助表'!AF:AF),0)</f>
        <v>17.25</v>
      </c>
      <c r="AB9" s="91" t="str">
        <f>IFERROR(SUMIF('9店辅助表'!K:K,B:B,'9店辅助表'!N:N)/SUMIF('9店辅助表'!K:K,B:B,'9店辅助表'!O:O),"-")</f>
        <v>-</v>
      </c>
      <c r="AC9" s="91">
        <f>IFERROR(VLOOKUP(B:B,'[1]9店'!$B:$AB,27,FALSE),"-")</f>
        <v>0.254811393379523</v>
      </c>
      <c r="AD9" s="92" t="str">
        <f t="shared" si="9"/>
        <v>-</v>
      </c>
      <c r="AE9" s="91">
        <f>IFERROR(SUMIF('9店辅助表'!T:T,B:B,'9店辅助表'!W:W)/SUMIF('9店辅助表'!T:T,B:B,'9店辅助表'!X:X),"-")</f>
        <v>0.38568129330254</v>
      </c>
      <c r="AF9" s="91">
        <f>IFERROR(SUMIF('9店辅助表'!AC:AC,B:B,'9店辅助表'!AF:AF)/SUMIF('9店辅助表'!AC:AC,B:B,'9店辅助表'!AG:AG),"-")</f>
        <v>0.442648190916089</v>
      </c>
      <c r="AG9" s="99">
        <f>IFERROR(AK9/((SUMIF('9店辅助表'!AT:AT,B:B,'9店辅助表'!AU:AU)+M9)/2),"-")</f>
        <v>1</v>
      </c>
      <c r="AH9" s="99">
        <f>IFERROR(AL9/((SUMIF('9店辅助表'!AW:AW,B:B,'9店辅助表'!AX:AX)+M9)/2),"-")</f>
        <v>2.57142857142857</v>
      </c>
      <c r="AI9" s="100">
        <f>IFERROR((SUMIF('9店辅助表'!AP:AP,B:B,'9店辅助表'!AR:AR)-SUMIF('9店辅助表'!AP:AP,B:B,'9店辅助表'!AR:AR)*0.15-(L9+IFERROR(VLOOKUP(B:B,'9店辅助表'!AZ:BA,2,0),0))*O9-IF(AN:AN="US",6.85,4.9)*(Z9+4.27*O9))/SUMIF('9店辅助表'!AP:AP,B:B,'9店辅助表'!AR:AR),"-")</f>
        <v>0.259317479182375</v>
      </c>
      <c r="AJ9" s="100">
        <f t="shared" si="10"/>
        <v>0.666816375040393</v>
      </c>
      <c r="AK9" s="101">
        <f t="shared" si="5"/>
        <v>27.8</v>
      </c>
      <c r="AL9" s="101">
        <f t="shared" si="6"/>
        <v>125.1</v>
      </c>
      <c r="AM9" s="1" t="str">
        <f>VLOOKUP(B:B,'9店辅助表'!AZ:AZ,1,FALSE)</f>
        <v>Y93475-DB+Y92615+Y93478</v>
      </c>
      <c r="AN9" t="str">
        <f>VLOOKUP(B:B,'9店辅助表'!AZ:BB,3,FALSE)</f>
        <v>US</v>
      </c>
    </row>
    <row r="10" customHeight="1" spans="1:40">
      <c r="A10" s="58" t="str">
        <f>INDEX('[1]9店'!$A:$A,MATCH(B:B,'[1]9店'!$B:$B,0))</f>
        <v>美珠</v>
      </c>
      <c r="B10" s="45" t="s">
        <v>3058</v>
      </c>
      <c r="C10" s="45" t="s">
        <v>2179</v>
      </c>
      <c r="D10" s="59"/>
      <c r="E10" s="45" t="s">
        <v>3059</v>
      </c>
      <c r="F10" s="45">
        <v>9</v>
      </c>
      <c r="G10" s="45">
        <v>0</v>
      </c>
      <c r="H10" s="45">
        <v>0</v>
      </c>
      <c r="I10" s="45">
        <v>0</v>
      </c>
      <c r="J10" s="45">
        <v>0</v>
      </c>
      <c r="K10" s="63">
        <f t="shared" si="1"/>
        <v>9</v>
      </c>
      <c r="L10" s="64">
        <f>IFERROR(VLOOKUP($B:$B,'[1]9店'!$B:$L,11,0),0)</f>
        <v>13.9</v>
      </c>
      <c r="M10" s="44">
        <f t="shared" si="2"/>
        <v>125.1</v>
      </c>
      <c r="N10" s="65">
        <f>IFERROR(VLOOKUP(B:B,'9店辅助表'!B:C,2,FALSE),0)</f>
        <v>1</v>
      </c>
      <c r="O10" s="65">
        <f>IFERROR(VLOOKUP(B:B,'9店辅助表'!E:F,2,FALSE),0)</f>
        <v>1</v>
      </c>
      <c r="P10" s="65">
        <f>IFERROR(VLOOKUP(B:B,'9店辅助表'!H:I,2,FALSE),0)</f>
        <v>1</v>
      </c>
      <c r="Q10" s="65">
        <f>IFERROR(VLOOKUP(B:B,'[1]9店'!$B:$N,13,FALSE),0)</f>
        <v>0</v>
      </c>
      <c r="R10" s="79">
        <f t="shared" si="7"/>
        <v>1</v>
      </c>
      <c r="S10" s="80">
        <f t="shared" si="3"/>
        <v>111.176470588235</v>
      </c>
      <c r="T10" s="44">
        <f t="shared" si="4"/>
        <v>3.70588235294118</v>
      </c>
      <c r="U10" s="44" t="str">
        <f>IFERROR(VLOOKUP(B:B,'[1]9店'!$B:$T,19,0),"-")</f>
        <v>-</v>
      </c>
      <c r="V10" s="81" t="str">
        <f t="shared" si="8"/>
        <v>-</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库存过高</v>
      </c>
      <c r="X10" s="83" t="str">
        <f>_xlfn.IFS(AND(D10&lt;&gt;0,D10-$AM$2&gt;=0,K10&gt;0,D10&lt;&gt;0),"本月刚到货",AND(T10="-",K10&gt;0),"有库存无销量",AND(T10="-",K10=0),"无库存无销量",AND(T10&lt;=0.5,K10=0),"无库存有销量",T10&lt;=0.5,"库存过低",T10&lt;=1.5,"正常",T10&gt;1.5,"库存过高")</f>
        <v>库存过高</v>
      </c>
      <c r="Y10" s="44">
        <f>IFERROR(SUMIF('9店辅助表'!K:K,B:B,'9店辅助表'!N:N),0)</f>
        <v>0</v>
      </c>
      <c r="Z10" s="44">
        <f>IFERROR(SUMIF('9店辅助表'!T:T,B:B,'9店辅助表'!W:W),0)</f>
        <v>0</v>
      </c>
      <c r="AA10" s="44">
        <f>IFERROR(SUMIF('9店辅助表'!AC:AC,B:B,'9店辅助表'!AF:AF),0)</f>
        <v>0</v>
      </c>
      <c r="AB10" s="91" t="str">
        <f>IFERROR(SUMIF('9店辅助表'!K:K,B:B,'9店辅助表'!N:N)/SUMIF('9店辅助表'!K:K,B:B,'9店辅助表'!O:O),"-")</f>
        <v>-</v>
      </c>
      <c r="AC10" s="91" t="str">
        <f>IFERROR(VLOOKUP(B:B,'[1]9店'!$B:$AB,27,FALSE),"-")</f>
        <v>-</v>
      </c>
      <c r="AD10" s="92" t="str">
        <f t="shared" si="9"/>
        <v>-</v>
      </c>
      <c r="AE10" s="91" t="str">
        <f>IFERROR(SUMIF('9店辅助表'!T:T,B:B,'9店辅助表'!W:W)/SUMIF('9店辅助表'!T:T,B:B,'9店辅助表'!X:X),"-")</f>
        <v>-</v>
      </c>
      <c r="AF10" s="91" t="str">
        <f>IFERROR(SUMIF('9店辅助表'!AC:AC,B:B,'9店辅助表'!AF:AF)/SUMIF('9店辅助表'!AC:AC,B:B,'9店辅助表'!AG:AG),"-")</f>
        <v>-</v>
      </c>
      <c r="AG10" s="99">
        <f>IFERROR(AK10/((SUMIF('9店辅助表'!AT:AT,B:B,'9店辅助表'!AU:AU)+M10)/2),"-")</f>
        <v>0.105263157894737</v>
      </c>
      <c r="AH10" s="99">
        <f>IFERROR(AL10/((SUMIF('9店辅助表'!AW:AW,B:B,'9店辅助表'!AX:AX)+M10)/2),"-")</f>
        <v>0.1</v>
      </c>
      <c r="AI10" s="100">
        <f>IFERROR((SUMIF('9店辅助表'!AP:AP,B:B,'9店辅助表'!AR:AR)-SUMIF('9店辅助表'!AP:AP,B:B,'9店辅助表'!AR:AR)*0.15-(L10+IFERROR(VLOOKUP(B:B,'9店辅助表'!AZ:BA,2,0),0))*O10-IF(AN:AN="US",6.85,4.9)*(Z10+4.27*O10))/SUMIF('9店辅助表'!AP:AP,B:B,'9店辅助表'!AR:AR),"-")</f>
        <v>0.309882110326304</v>
      </c>
      <c r="AJ10" s="100">
        <f t="shared" si="10"/>
        <v>0.0309882110326304</v>
      </c>
      <c r="AK10" s="101">
        <f t="shared" si="5"/>
        <v>13.9</v>
      </c>
      <c r="AL10" s="101">
        <f t="shared" si="6"/>
        <v>13.9</v>
      </c>
      <c r="AM10" s="1" t="str">
        <f>VLOOKUP(B:B,'9店辅助表'!AZ:AZ,1,FALSE)</f>
        <v>Y93694-BL+Y93712+Y93744</v>
      </c>
      <c r="AN10" t="str">
        <f>VLOOKUP(B:B,'9店辅助表'!AZ:BB,3,FALSE)</f>
        <v>US</v>
      </c>
    </row>
    <row r="11" customHeight="1" spans="1:40">
      <c r="A11" s="58" t="str">
        <f>INDEX('[1]9店'!$A:$A,MATCH(B:B,'[1]9店'!$B:$B,0))</f>
        <v>美珠</v>
      </c>
      <c r="B11" s="45" t="s">
        <v>3060</v>
      </c>
      <c r="C11" s="45" t="s">
        <v>2176</v>
      </c>
      <c r="D11" s="59"/>
      <c r="E11" s="45" t="s">
        <v>3061</v>
      </c>
      <c r="F11" s="45">
        <v>4</v>
      </c>
      <c r="G11" s="45">
        <v>0</v>
      </c>
      <c r="H11" s="45">
        <v>0</v>
      </c>
      <c r="I11" s="45">
        <v>0</v>
      </c>
      <c r="J11" s="45">
        <v>0</v>
      </c>
      <c r="K11" s="63">
        <f t="shared" si="1"/>
        <v>4</v>
      </c>
      <c r="L11" s="64">
        <f>IFERROR(VLOOKUP($B:$B,'[1]9店'!$B:$L,11,0),0)</f>
        <v>13.9</v>
      </c>
      <c r="M11" s="44">
        <f t="shared" si="2"/>
        <v>55.6</v>
      </c>
      <c r="N11" s="65">
        <f>IFERROR(VLOOKUP(B:B,'9店辅助表'!B:C,2,FALSE),0)</f>
        <v>1</v>
      </c>
      <c r="O11" s="65">
        <f>IFERROR(VLOOKUP(B:B,'9店辅助表'!E:F,2,FALSE),0)</f>
        <v>3</v>
      </c>
      <c r="P11" s="65">
        <f>IFERROR(VLOOKUP(B:B,'9店辅助表'!H:I,2,FALSE),0)</f>
        <v>4</v>
      </c>
      <c r="Q11" s="65">
        <f>IFERROR(VLOOKUP(B:B,'[1]9店'!$B:$N,13,FALSE),0)</f>
        <v>1</v>
      </c>
      <c r="R11" s="79">
        <f t="shared" si="7"/>
        <v>0</v>
      </c>
      <c r="S11" s="80">
        <f t="shared" si="3"/>
        <v>25.2</v>
      </c>
      <c r="T11" s="44">
        <f t="shared" si="4"/>
        <v>0.84</v>
      </c>
      <c r="U11" s="44">
        <f>IFERROR(VLOOKUP(B:B,'[1]9店'!$B:$T,19,0),"-")</f>
        <v>1.05</v>
      </c>
      <c r="V11" s="81">
        <f t="shared" si="8"/>
        <v>-0.21</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正常</v>
      </c>
      <c r="X11" s="83" t="str">
        <f>_xlfn.IFS(AND(D11&lt;&gt;0,D11-$AM$2&gt;=0,K11&gt;0,D11&lt;&gt;0),"本月刚到货",AND(T11="-",K11&gt;0),"有库存无销量",AND(T11="-",K11=0),"无库存无销量",AND(T11&lt;=0.5,K11=0),"无库存有销量",T11&lt;=0.5,"库存过低",T11&lt;=1.5,"正常",T11&gt;1.5,"库存过高")</f>
        <v>正常</v>
      </c>
      <c r="Y11" s="44">
        <f>IFERROR(SUMIF('9店辅助表'!K:K,B:B,'9店辅助表'!N:N),0)</f>
        <v>1.22</v>
      </c>
      <c r="Z11" s="44">
        <f>IFERROR(SUMIF('9店辅助表'!T:T,B:B,'9店辅助表'!W:W),0)</f>
        <v>5.86</v>
      </c>
      <c r="AA11" s="44">
        <f>IFERROR(SUMIF('9店辅助表'!AC:AC,B:B,'9店辅助表'!AF:AF),0)</f>
        <v>10.85</v>
      </c>
      <c r="AB11" s="91" t="str">
        <f>IFERROR(SUMIF('9店辅助表'!K:K,B:B,'9店辅助表'!N:N)/SUMIF('9店辅助表'!K:K,B:B,'9店辅助表'!O:O),"-")</f>
        <v>-</v>
      </c>
      <c r="AC11" s="91">
        <f>IFERROR(VLOOKUP(B:B,'[1]9店'!$B:$AB,27,FALSE),"-")</f>
        <v>0.139722863741339</v>
      </c>
      <c r="AD11" s="92" t="str">
        <f t="shared" si="9"/>
        <v>-</v>
      </c>
      <c r="AE11" s="91">
        <f>IFERROR(SUMIF('9店辅助表'!T:T,B:B,'9店辅助表'!W:W)/SUMIF('9店辅助表'!T:T,B:B,'9店辅助表'!X:X),"-")</f>
        <v>0.225558121632025</v>
      </c>
      <c r="AF11" s="91">
        <f>IFERROR(SUMIF('9店辅助表'!AC:AC,B:B,'9店辅助表'!AF:AF)/SUMIF('9店辅助表'!AC:AC,B:B,'9店辅助表'!AG:AG),"-")</f>
        <v>0.208814472671286</v>
      </c>
      <c r="AG11" s="99">
        <f>IFERROR(AK11/((SUMIF('9店辅助表'!AT:AT,B:B,'9店辅助表'!AU:AU)+M11)/2),"-")</f>
        <v>0.222222222222222</v>
      </c>
      <c r="AH11" s="99">
        <f>IFERROR(AL11/((SUMIF('9店辅助表'!AW:AW,B:B,'9店辅助表'!AX:AX)+M11)/2),"-")</f>
        <v>0.461538461538462</v>
      </c>
      <c r="AI11" s="100">
        <f>IFERROR((SUMIF('9店辅助表'!AP:AP,B:B,'9店辅助表'!AR:AR)-SUMIF('9店辅助表'!AP:AP,B:B,'9店辅助表'!AR:AR)*0.15-(L11+IFERROR(VLOOKUP(B:B,'9店辅助表'!AZ:BA,2,0),0))*O11-IF(AN:AN="US",6.85,4.9)*(Z11+4.27*O11))/SUMIF('9店辅助表'!AP:AP,B:B,'9店辅助表'!AR:AR),"-")</f>
        <v>0.173187029513626</v>
      </c>
      <c r="AJ11" s="100">
        <f t="shared" si="10"/>
        <v>0.0799324751601349</v>
      </c>
      <c r="AK11" s="101">
        <f t="shared" si="5"/>
        <v>13.9</v>
      </c>
      <c r="AL11" s="101">
        <f t="shared" si="6"/>
        <v>41.7</v>
      </c>
      <c r="AM11" s="1" t="str">
        <f>VLOOKUP(B:B,'9店辅助表'!AZ:AZ,1,FALSE)</f>
        <v>Y93694-BU+Y93712+Y93744</v>
      </c>
      <c r="AN11" t="str">
        <f>VLOOKUP(B:B,'9店辅助表'!AZ:BB,3,FALSE)</f>
        <v>US</v>
      </c>
    </row>
    <row r="12" customHeight="1" spans="1:40">
      <c r="A12" s="58" t="str">
        <f>INDEX('[1]9店'!$A:$A,MATCH(B:B,'[1]9店'!$B:$B,0))</f>
        <v>美珠</v>
      </c>
      <c r="B12" s="45" t="s">
        <v>3062</v>
      </c>
      <c r="C12" s="45" t="s">
        <v>2182</v>
      </c>
      <c r="D12" s="59"/>
      <c r="E12" s="45" t="s">
        <v>3063</v>
      </c>
      <c r="F12" s="45">
        <v>7</v>
      </c>
      <c r="G12" s="45">
        <v>0</v>
      </c>
      <c r="H12" s="45">
        <v>0</v>
      </c>
      <c r="I12" s="45">
        <v>0</v>
      </c>
      <c r="J12" s="45">
        <v>0</v>
      </c>
      <c r="K12" s="63">
        <f t="shared" si="1"/>
        <v>7</v>
      </c>
      <c r="L12" s="64">
        <f>IFERROR(VLOOKUP($B:$B,'[1]9店'!$B:$L,11,0),0)</f>
        <v>13.9</v>
      </c>
      <c r="M12" s="44">
        <f t="shared" si="2"/>
        <v>97.3</v>
      </c>
      <c r="N12" s="65">
        <f>IFERROR(VLOOKUP(B:B,'9店辅助表'!B:C,2,FALSE),0)</f>
        <v>0</v>
      </c>
      <c r="O12" s="65">
        <f>IFERROR(VLOOKUP(B:B,'9店辅助表'!E:F,2,FALSE),0)</f>
        <v>0</v>
      </c>
      <c r="P12" s="65">
        <f>IFERROR(VLOOKUP(B:B,'9店辅助表'!H:I,2,FALSE),0)</f>
        <v>0</v>
      </c>
      <c r="Q12" s="65">
        <f>IFERROR(VLOOKUP(B:B,'[1]9店'!$B:$N,13,FALSE),0)</f>
        <v>0</v>
      </c>
      <c r="R12" s="79">
        <f t="shared" si="7"/>
        <v>0</v>
      </c>
      <c r="S12" s="80" t="str">
        <f t="shared" si="3"/>
        <v>-</v>
      </c>
      <c r="T12" s="44" t="str">
        <f t="shared" si="4"/>
        <v>-</v>
      </c>
      <c r="U12" s="44" t="str">
        <f>IFERROR(VLOOKUP(B:B,'[1]9店'!$B:$T,19,0),"-")</f>
        <v>-</v>
      </c>
      <c r="V12" s="81" t="str">
        <f t="shared" si="8"/>
        <v>-</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有库存无销量</v>
      </c>
      <c r="X12" s="83" t="str">
        <f>_xlfn.IFS(AND(D12&lt;&gt;0,D12-$AM$2&gt;=0,K12&gt;0,D12&lt;&gt;0),"本月刚到货",AND(T12="-",K12&gt;0),"有库存无销量",AND(T12="-",K12=0),"无库存无销量",AND(T12&lt;=0.5,K12=0),"无库存有销量",T12&lt;=0.5,"库存过低",T12&lt;=1.5,"正常",T12&gt;1.5,"库存过高")</f>
        <v>有库存无销量</v>
      </c>
      <c r="Y12" s="44">
        <f>IFERROR(SUMIF('9店辅助表'!K:K,B:B,'9店辅助表'!N:N),0)</f>
        <v>1.82</v>
      </c>
      <c r="Z12" s="44">
        <f>IFERROR(SUMIF('9店辅助表'!T:T,B:B,'9店辅助表'!W:W),0)</f>
        <v>2.7</v>
      </c>
      <c r="AA12" s="44">
        <f>IFERROR(SUMIF('9店辅助表'!AC:AC,B:B,'9店辅助表'!AF:AF),0)</f>
        <v>5.17</v>
      </c>
      <c r="AB12" s="91" t="str">
        <f>IFERROR(SUMIF('9店辅助表'!K:K,B:B,'9店辅助表'!N:N)/SUMIF('9店辅助表'!K:K,B:B,'9店辅助表'!O:O),"-")</f>
        <v>-</v>
      </c>
      <c r="AC12" s="91" t="str">
        <f>IFERROR(VLOOKUP(B:B,'[1]9店'!$B:$AB,27,FALSE),"-")</f>
        <v>-</v>
      </c>
      <c r="AD12" s="92" t="str">
        <f t="shared" si="9"/>
        <v>-</v>
      </c>
      <c r="AE12" s="91" t="str">
        <f>IFERROR(SUMIF('9店辅助表'!T:T,B:B,'9店辅助表'!W:W)/SUMIF('9店辅助表'!T:T,B:B,'9店辅助表'!X:X),"-")</f>
        <v>-</v>
      </c>
      <c r="AF12" s="91" t="str">
        <f>IFERROR(SUMIF('9店辅助表'!AC:AC,B:B,'9店辅助表'!AF:AF)/SUMIF('9店辅助表'!AC:AC,B:B,'9店辅助表'!AG:AG),"-")</f>
        <v>-</v>
      </c>
      <c r="AG12" s="99">
        <f>IFERROR(AK12/((SUMIF('9店辅助表'!AT:AT,B:B,'9店辅助表'!AU:AU)+M12)/2),"-")</f>
        <v>0</v>
      </c>
      <c r="AH12" s="99">
        <f>IFERROR(AL12/((SUMIF('9店辅助表'!AW:AW,B:B,'9店辅助表'!AX:AX)+M12)/2),"-")</f>
        <v>0</v>
      </c>
      <c r="AI12" s="100" t="str">
        <f>IFERROR((SUMIF('9店辅助表'!AP:AP,B:B,'9店辅助表'!AR:AR)-SUMIF('9店辅助表'!AP:AP,B:B,'9店辅助表'!AR:AR)*0.15-(L12+IFERROR(VLOOKUP(B:B,'9店辅助表'!AZ:BA,2,0),0))*O12-IF(AN:AN="US",6.85,4.9)*(Z12+4.27*O12))/SUMIF('9店辅助表'!AP:AP,B:B,'9店辅助表'!AR:AR),"-")</f>
        <v>-</v>
      </c>
      <c r="AJ12" s="100" t="str">
        <f t="shared" si="10"/>
        <v>-</v>
      </c>
      <c r="AK12" s="101">
        <f t="shared" si="5"/>
        <v>0</v>
      </c>
      <c r="AL12" s="101">
        <f t="shared" si="6"/>
        <v>0</v>
      </c>
      <c r="AM12" s="1" t="str">
        <f>VLOOKUP(B:B,'9店辅助表'!AZ:AZ,1,FALSE)</f>
        <v>Y93694-OR+Y93712+Y93744</v>
      </c>
      <c r="AN12" t="str">
        <f>VLOOKUP(B:B,'9店辅助表'!AZ:BB,3,FALSE)</f>
        <v>US</v>
      </c>
    </row>
    <row r="13" customHeight="1" spans="1:40">
      <c r="A13" s="58" t="str">
        <f>INDEX('[1]9店'!$A:$A,MATCH(B:B,'[1]9店'!$B:$B,0))</f>
        <v>美珠</v>
      </c>
      <c r="B13" s="45" t="s">
        <v>3064</v>
      </c>
      <c r="C13" s="45" t="s">
        <v>2532</v>
      </c>
      <c r="D13" s="59"/>
      <c r="E13" s="45" t="s">
        <v>3065</v>
      </c>
      <c r="F13" s="45">
        <v>5</v>
      </c>
      <c r="G13" s="45">
        <v>1</v>
      </c>
      <c r="H13" s="45">
        <v>0</v>
      </c>
      <c r="I13" s="45">
        <v>0</v>
      </c>
      <c r="J13" s="45">
        <v>0</v>
      </c>
      <c r="K13" s="63">
        <f t="shared" si="1"/>
        <v>6</v>
      </c>
      <c r="L13" s="64">
        <f>IFERROR(VLOOKUP($B:$B,'[1]9店'!$B:$L,11,0),0)</f>
        <v>13.9</v>
      </c>
      <c r="M13" s="44">
        <f t="shared" si="2"/>
        <v>83.4</v>
      </c>
      <c r="N13" s="65">
        <f>IFERROR(VLOOKUP(B:B,'9店辅助表'!B:C,2,FALSE),0)</f>
        <v>0</v>
      </c>
      <c r="O13" s="65">
        <f>IFERROR(VLOOKUP(B:B,'9店辅助表'!E:F,2,FALSE),0)</f>
        <v>1</v>
      </c>
      <c r="P13" s="65">
        <f>IFERROR(VLOOKUP(B:B,'9店辅助表'!H:I,2,FALSE),0)</f>
        <v>1</v>
      </c>
      <c r="Q13" s="65">
        <f>IFERROR(VLOOKUP(B:B,'[1]9店'!$B:$N,13,FALSE),0)</f>
        <v>1</v>
      </c>
      <c r="R13" s="79">
        <f t="shared" si="7"/>
        <v>-1</v>
      </c>
      <c r="S13" s="80">
        <f t="shared" si="3"/>
        <v>180</v>
      </c>
      <c r="T13" s="44">
        <f t="shared" si="4"/>
        <v>6</v>
      </c>
      <c r="U13" s="44">
        <f>IFERROR(VLOOKUP(B:B,'[1]9店'!$B:$T,19,0),"-")</f>
        <v>1.93846153846154</v>
      </c>
      <c r="V13" s="81">
        <f t="shared" si="8"/>
        <v>4.06153846153846</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有库存无销量</v>
      </c>
      <c r="X13" s="83" t="str">
        <f>_xlfn.IFS(AND(D13&lt;&gt;0,D13-$AM$2&gt;=0,K13&gt;0,D13&lt;&gt;0),"本月刚到货",AND(T13="-",K13&gt;0),"有库存无销量",AND(T13="-",K13=0),"无库存无销量",AND(T13&lt;=0.5,K13=0),"无库存有销量",T13&lt;=0.5,"库存过低",T13&lt;=1.5,"正常",T13&gt;1.5,"库存过高")</f>
        <v>库存过高</v>
      </c>
      <c r="Y13" s="44">
        <f>IFERROR(SUMIF('9店辅助表'!K:K,B:B,'9店辅助表'!N:N),0)</f>
        <v>0</v>
      </c>
      <c r="Z13" s="44">
        <f>IFERROR(SUMIF('9店辅助表'!T:T,B:B,'9店辅助表'!W:W),0)</f>
        <v>0</v>
      </c>
      <c r="AA13" s="44">
        <f>IFERROR(SUMIF('9店辅助表'!AC:AC,B:B,'9店辅助表'!AF:AF),0)</f>
        <v>0</v>
      </c>
      <c r="AB13" s="91" t="str">
        <f>IFERROR(SUMIF('9店辅助表'!K:K,B:B,'9店辅助表'!N:N)/SUMIF('9店辅助表'!K:K,B:B,'9店辅助表'!O:O),"-")</f>
        <v>-</v>
      </c>
      <c r="AC13" s="91" t="str">
        <f>IFERROR(VLOOKUP(B:B,'[1]9店'!$B:$AB,27,FALSE),"-")</f>
        <v>-</v>
      </c>
      <c r="AD13" s="92" t="str">
        <f t="shared" si="9"/>
        <v>-</v>
      </c>
      <c r="AE13" s="91" t="str">
        <f>IFERROR(SUMIF('9店辅助表'!T:T,B:B,'9店辅助表'!W:W)/SUMIF('9店辅助表'!T:T,B:B,'9店辅助表'!X:X),"-")</f>
        <v>-</v>
      </c>
      <c r="AF13" s="91" t="str">
        <f>IFERROR(SUMIF('9店辅助表'!AC:AC,B:B,'9店辅助表'!AF:AF)/SUMIF('9店辅助表'!AC:AC,B:B,'9店辅助表'!AG:AG),"-")</f>
        <v>-</v>
      </c>
      <c r="AG13" s="99">
        <f>IFERROR(AK13/((SUMIF('9店辅助表'!AT:AT,B:B,'9店辅助表'!AU:AU)+M13)/2),"-")</f>
        <v>0</v>
      </c>
      <c r="AH13" s="99">
        <f>IFERROR(AL13/((SUMIF('9店辅助表'!AW:AW,B:B,'9店辅助表'!AX:AX)+M13)/2),"-")</f>
        <v>0.153846153846154</v>
      </c>
      <c r="AI13" s="100">
        <f>IFERROR((SUMIF('9店辅助表'!AP:AP,B:B,'9店辅助表'!AR:AR)-SUMIF('9店辅助表'!AP:AP,B:B,'9店辅助表'!AR:AR)*0.15-(L13+IFERROR(VLOOKUP(B:B,'9店辅助表'!AZ:BA,2,0),0))*O13-IF(AN:AN="US",6.85,4.9)*(Z13+4.27*O13))/SUMIF('9店辅助表'!AP:AP,B:B,'9店辅助表'!AR:AR),"-")</f>
        <v>0.292597618606115</v>
      </c>
      <c r="AJ13" s="100">
        <f t="shared" si="10"/>
        <v>0.0450150182470946</v>
      </c>
      <c r="AK13" s="101">
        <f t="shared" si="5"/>
        <v>0</v>
      </c>
      <c r="AL13" s="101">
        <f t="shared" si="6"/>
        <v>13.9</v>
      </c>
      <c r="AM13" s="1" t="str">
        <f>VLOOKUP(B:B,'9店辅助表'!AZ:AZ,1,FALSE)</f>
        <v>Y9003-BL+Y9006+Y9008</v>
      </c>
      <c r="AN13" t="str">
        <f>VLOOKUP(B:B,'9店辅助表'!AZ:BB,3,FALSE)</f>
        <v>US</v>
      </c>
    </row>
    <row r="14" customHeight="1" spans="1:40">
      <c r="A14" s="58" t="str">
        <f>INDEX('[1]9店'!$A:$A,MATCH(B:B,'[1]9店'!$B:$B,0))</f>
        <v>美珠</v>
      </c>
      <c r="B14" s="45" t="s">
        <v>3066</v>
      </c>
      <c r="C14" s="45" t="s">
        <v>2535</v>
      </c>
      <c r="D14" s="59"/>
      <c r="E14" s="45" t="s">
        <v>3067</v>
      </c>
      <c r="F14" s="45">
        <v>6</v>
      </c>
      <c r="G14" s="45">
        <v>0</v>
      </c>
      <c r="H14" s="45">
        <v>0</v>
      </c>
      <c r="I14" s="45">
        <v>1</v>
      </c>
      <c r="J14" s="45">
        <v>0</v>
      </c>
      <c r="K14" s="63">
        <f t="shared" si="1"/>
        <v>7</v>
      </c>
      <c r="L14" s="64">
        <f>IFERROR(VLOOKUP($B:$B,'[1]9店'!$B:$L,11,0),0)</f>
        <v>13.9</v>
      </c>
      <c r="M14" s="44">
        <f t="shared" si="2"/>
        <v>97.3</v>
      </c>
      <c r="N14" s="65">
        <f>IFERROR(VLOOKUP(B:B,'9店辅助表'!B:C,2,FALSE),0)</f>
        <v>1</v>
      </c>
      <c r="O14" s="65">
        <f>IFERROR(VLOOKUP(B:B,'9店辅助表'!E:F,2,FALSE),0)</f>
        <v>2</v>
      </c>
      <c r="P14" s="65">
        <f>IFERROR(VLOOKUP(B:B,'9店辅助表'!H:I,2,FALSE),0)</f>
        <v>4</v>
      </c>
      <c r="Q14" s="65">
        <f>IFERROR(VLOOKUP(B:B,'[1]9店'!$B:$N,13,FALSE),0)</f>
        <v>1</v>
      </c>
      <c r="R14" s="79">
        <f t="shared" si="7"/>
        <v>0</v>
      </c>
      <c r="S14" s="80">
        <f t="shared" si="3"/>
        <v>51.2790697674419</v>
      </c>
      <c r="T14" s="44">
        <f t="shared" si="4"/>
        <v>1.7093023255814</v>
      </c>
      <c r="U14" s="44">
        <f>IFERROR(VLOOKUP(B:B,'[1]9店'!$B:$T,19,0),"-")</f>
        <v>2.26153846153846</v>
      </c>
      <c r="V14" s="81">
        <f t="shared" si="8"/>
        <v>-0.55223613595706</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库存过高</v>
      </c>
      <c r="X14" s="83" t="str">
        <f>_xlfn.IFS(AND(D14&lt;&gt;0,D14-$AM$2&gt;=0,K14&gt;0,D14&lt;&gt;0),"本月刚到货",AND(T14="-",K14&gt;0),"有库存无销量",AND(T14="-",K14=0),"无库存无销量",AND(T14&lt;=0.5,K14=0),"无库存有销量",T14&lt;=0.5,"库存过低",T14&lt;=1.5,"正常",T14&gt;1.5,"库存过高")</f>
        <v>库存过高</v>
      </c>
      <c r="Y14" s="44">
        <f>IFERROR(SUMIF('9店辅助表'!K:K,B:B,'9店辅助表'!N:N),0)</f>
        <v>4.22</v>
      </c>
      <c r="Z14" s="44">
        <f>IFERROR(SUMIF('9店辅助表'!T:T,B:B,'9店辅助表'!W:W),0)</f>
        <v>10.81</v>
      </c>
      <c r="AA14" s="44">
        <f>IFERROR(SUMIF('9店辅助表'!AC:AC,B:B,'9店辅助表'!AF:AF),0)</f>
        <v>17.75</v>
      </c>
      <c r="AB14" s="91">
        <f>IFERROR(SUMIF('9店辅助表'!K:K,B:B,'9店辅助表'!N:N)/SUMIF('9店辅助表'!K:K,B:B,'9店辅助表'!O:O),"-")</f>
        <v>0.324865280985373</v>
      </c>
      <c r="AC14" s="91">
        <f>IFERROR(VLOOKUP(B:B,'[1]9店'!$B:$AB,27,FALSE),"-")</f>
        <v>0.221709006928406</v>
      </c>
      <c r="AD14" s="92">
        <f t="shared" si="9"/>
        <v>0.103156274056967</v>
      </c>
      <c r="AE14" s="91">
        <f>IFERROR(SUMIF('9店辅助表'!T:T,B:B,'9店辅助表'!W:W)/SUMIF('9店辅助表'!T:T,B:B,'9店辅助表'!X:X),"-")</f>
        <v>0.277392866307416</v>
      </c>
      <c r="AF14" s="91">
        <f>IFERROR(SUMIF('9店辅助表'!AC:AC,B:B,'9店辅助表'!AF:AF)/SUMIF('9店辅助表'!AC:AC,B:B,'9店辅助表'!AG:AG),"-")</f>
        <v>0.341608929946112</v>
      </c>
      <c r="AG14" s="99">
        <f>IFERROR(AK14/((SUMIF('9店辅助表'!AT:AT,B:B,'9店辅助表'!AU:AU)+M14)/2),"-")</f>
        <v>0.142857142857143</v>
      </c>
      <c r="AH14" s="99">
        <f>IFERROR(AL14/((SUMIF('9店辅助表'!AW:AW,B:B,'9店辅助表'!AX:AX)+M14)/2),"-")</f>
        <v>0.235294117647059</v>
      </c>
      <c r="AI14" s="100">
        <f>IFERROR((SUMIF('9店辅助表'!AP:AP,B:B,'9店辅助表'!AR:AR)-SUMIF('9店辅助表'!AP:AP,B:B,'9店辅助表'!AR:AR)*0.15-(L14+IFERROR(VLOOKUP(B:B,'9店辅助表'!AZ:BA,2,0),0))*O14-IF(AN:AN="US",6.85,4.9)*(Z14+4.27*O14))/SUMIF('9店辅助表'!AP:AP,B:B,'9店辅助表'!AR:AR),"-")</f>
        <v>-0.12363777863938</v>
      </c>
      <c r="AJ14" s="100">
        <f t="shared" si="10"/>
        <v>-0.0290912420327953</v>
      </c>
      <c r="AK14" s="101">
        <f t="shared" si="5"/>
        <v>13.9</v>
      </c>
      <c r="AL14" s="101">
        <f t="shared" si="6"/>
        <v>27.8</v>
      </c>
      <c r="AM14" s="1" t="str">
        <f>VLOOKUP(B:B,'9店辅助表'!AZ:AZ,1,FALSE)</f>
        <v>Y9003-BU+Y9006+Y9008</v>
      </c>
      <c r="AN14" t="str">
        <f>VLOOKUP(B:B,'9店辅助表'!AZ:BB,3,FALSE)</f>
        <v>US</v>
      </c>
    </row>
    <row r="15" customHeight="1" spans="1:40">
      <c r="A15" s="58" t="str">
        <f>INDEX('[1]9店'!$A:$A,MATCH(B:B,'[1]9店'!$B:$B,0))</f>
        <v>美珠</v>
      </c>
      <c r="B15" s="45" t="s">
        <v>3068</v>
      </c>
      <c r="C15" s="45" t="s">
        <v>2538</v>
      </c>
      <c r="D15" s="59"/>
      <c r="E15" s="45" t="s">
        <v>3069</v>
      </c>
      <c r="F15" s="45">
        <v>10</v>
      </c>
      <c r="G15" s="45">
        <v>0</v>
      </c>
      <c r="H15" s="45">
        <v>0</v>
      </c>
      <c r="I15" s="45">
        <v>0</v>
      </c>
      <c r="J15" s="45">
        <v>0</v>
      </c>
      <c r="K15" s="63">
        <f t="shared" si="1"/>
        <v>10</v>
      </c>
      <c r="L15" s="64">
        <f>IFERROR(VLOOKUP($B:$B,'[1]9店'!$B:$L,11,0),0)</f>
        <v>13.9</v>
      </c>
      <c r="M15" s="44">
        <f t="shared" si="2"/>
        <v>139</v>
      </c>
      <c r="N15" s="65">
        <f>IFERROR(VLOOKUP(B:B,'9店辅助表'!B:C,2,FALSE),0)</f>
        <v>1</v>
      </c>
      <c r="O15" s="65">
        <f>IFERROR(VLOOKUP(B:B,'9店辅助表'!E:F,2,FALSE),0)</f>
        <v>1</v>
      </c>
      <c r="P15" s="65">
        <f>IFERROR(VLOOKUP(B:B,'9店辅助表'!H:I,2,FALSE),0)</f>
        <v>1</v>
      </c>
      <c r="Q15" s="65">
        <f>IFERROR(VLOOKUP(B:B,'[1]9店'!$B:$N,13,FALSE),0)</f>
        <v>0</v>
      </c>
      <c r="R15" s="79">
        <f t="shared" si="7"/>
        <v>1</v>
      </c>
      <c r="S15" s="80">
        <f t="shared" si="3"/>
        <v>123.529411764706</v>
      </c>
      <c r="T15" s="44">
        <f t="shared" si="4"/>
        <v>4.11764705882353</v>
      </c>
      <c r="U15" s="44" t="str">
        <f>IFERROR(VLOOKUP(B:B,'[1]9店'!$B:$T,19,0),"-")</f>
        <v>-</v>
      </c>
      <c r="V15" s="81" t="str">
        <f t="shared" si="8"/>
        <v>-</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库存过高</v>
      </c>
      <c r="X15" s="83" t="str">
        <f>_xlfn.IFS(AND(D15&lt;&gt;0,D15-$AM$2&gt;=0,K15&gt;0,D15&lt;&gt;0),"本月刚到货",AND(T15="-",K15&gt;0),"有库存无销量",AND(T15="-",K15=0),"无库存无销量",AND(T15&lt;=0.5,K15=0),"无库存有销量",T15&lt;=0.5,"库存过低",T15&lt;=1.5,"正常",T15&gt;1.5,"库存过高")</f>
        <v>库存过高</v>
      </c>
      <c r="Y15" s="44">
        <f>IFERROR(SUMIF('9店辅助表'!K:K,B:B,'9店辅助表'!N:N),0)</f>
        <v>0</v>
      </c>
      <c r="Z15" s="44">
        <f>IFERROR(SUMIF('9店辅助表'!T:T,B:B,'9店辅助表'!W:W),0)</f>
        <v>0</v>
      </c>
      <c r="AA15" s="44">
        <f>IFERROR(SUMIF('9店辅助表'!AC:AC,B:B,'9店辅助表'!AF:AF),0)</f>
        <v>0</v>
      </c>
      <c r="AB15" s="91" t="str">
        <f>IFERROR(SUMIF('9店辅助表'!K:K,B:B,'9店辅助表'!N:N)/SUMIF('9店辅助表'!K:K,B:B,'9店辅助表'!O:O),"-")</f>
        <v>-</v>
      </c>
      <c r="AC15" s="91" t="str">
        <f>IFERROR(VLOOKUP(B:B,'[1]9店'!$B:$AB,27,FALSE),"-")</f>
        <v>-</v>
      </c>
      <c r="AD15" s="92" t="str">
        <f t="shared" si="9"/>
        <v>-</v>
      </c>
      <c r="AE15" s="91" t="str">
        <f>IFERROR(SUMIF('9店辅助表'!T:T,B:B,'9店辅助表'!W:W)/SUMIF('9店辅助表'!T:T,B:B,'9店辅助表'!X:X),"-")</f>
        <v>-</v>
      </c>
      <c r="AF15" s="91" t="str">
        <f>IFERROR(SUMIF('9店辅助表'!AC:AC,B:B,'9店辅助表'!AF:AF)/SUMIF('9店辅助表'!AC:AC,B:B,'9店辅助表'!AG:AG),"-")</f>
        <v>-</v>
      </c>
      <c r="AG15" s="99">
        <f>IFERROR(AK15/((SUMIF('9店辅助表'!AT:AT,B:B,'9店辅助表'!AU:AU)+M15)/2),"-")</f>
        <v>0.0952380952380952</v>
      </c>
      <c r="AH15" s="99">
        <f>IFERROR(AL15/((SUMIF('9店辅助表'!AW:AW,B:B,'9店辅助表'!AX:AX)+M15)/2),"-")</f>
        <v>0.0952380952380952</v>
      </c>
      <c r="AI15" s="100">
        <f>IFERROR((SUMIF('9店辅助表'!AP:AP,B:B,'9店辅助表'!AR:AR)-SUMIF('9店辅助表'!AP:AP,B:B,'9店辅助表'!AR:AR)*0.15-(L15+IFERROR(VLOOKUP(B:B,'9店辅助表'!AZ:BA,2,0),0))*O15-IF(AN:AN="US",6.85,4.9)*(Z15+4.27*O15))/SUMIF('9店辅助表'!AP:AP,B:B,'9店辅助表'!AR:AR),"-")</f>
        <v>0.293080865123649</v>
      </c>
      <c r="AJ15" s="100">
        <f t="shared" si="10"/>
        <v>0.0279124633451095</v>
      </c>
      <c r="AK15" s="101">
        <f t="shared" si="5"/>
        <v>13.9</v>
      </c>
      <c r="AL15" s="101">
        <f t="shared" si="6"/>
        <v>13.9</v>
      </c>
      <c r="AM15" s="1" t="str">
        <f>VLOOKUP(B:B,'9店辅助表'!AZ:AZ,1,FALSE)</f>
        <v>Y9003-DB+Y9006+Y9008</v>
      </c>
      <c r="AN15" t="str">
        <f>VLOOKUP(B:B,'9店辅助表'!AZ:BB,3,FALSE)</f>
        <v>US</v>
      </c>
    </row>
    <row r="16" customHeight="1" spans="1:40">
      <c r="A16" s="58" t="str">
        <f>INDEX('[1]9店'!$A:$A,MATCH(B:B,'[1]9店'!$B:$B,0))</f>
        <v>美珠</v>
      </c>
      <c r="B16" s="45" t="s">
        <v>3070</v>
      </c>
      <c r="C16" s="45" t="s">
        <v>2218</v>
      </c>
      <c r="D16" s="59"/>
      <c r="E16" s="45" t="s">
        <v>3071</v>
      </c>
      <c r="F16" s="45">
        <v>5</v>
      </c>
      <c r="G16" s="45">
        <v>0</v>
      </c>
      <c r="H16" s="45">
        <v>0</v>
      </c>
      <c r="I16" s="45">
        <v>0</v>
      </c>
      <c r="J16" s="45">
        <v>0</v>
      </c>
      <c r="K16" s="63">
        <f t="shared" ref="K16:K34" si="11">F16+G16+H16+I16+J16</f>
        <v>5</v>
      </c>
      <c r="L16" s="64">
        <f>IFERROR(VLOOKUP($B:$B,'[1]9店'!$B:$L,11,0),0)</f>
        <v>13.9</v>
      </c>
      <c r="M16" s="44">
        <f t="shared" si="2"/>
        <v>69.5</v>
      </c>
      <c r="N16" s="65">
        <f>IFERROR(VLOOKUP(B:B,'9店辅助表'!B:C,2,FALSE),0)</f>
        <v>0</v>
      </c>
      <c r="O16" s="65">
        <f>IFERROR(VLOOKUP(B:B,'9店辅助表'!E:F,2,FALSE),0)</f>
        <v>0</v>
      </c>
      <c r="P16" s="65">
        <f>IFERROR(VLOOKUP(B:B,'9店辅助表'!H:I,2,FALSE),0)</f>
        <v>0</v>
      </c>
      <c r="Q16" s="65">
        <f>IFERROR(VLOOKUP(B:B,'[1]9店'!$B:$N,13,FALSE),0)</f>
        <v>0</v>
      </c>
      <c r="R16" s="79">
        <f t="shared" ref="R16:R34" si="12">N16-Q16</f>
        <v>0</v>
      </c>
      <c r="S16" s="80" t="str">
        <f t="shared" ref="S16:S34" si="13">IFERROR(K16/((N16/7+O16/15+P16/30)/3),"-")</f>
        <v>-</v>
      </c>
      <c r="T16" s="44" t="str">
        <f t="shared" ref="T16:T34" si="14">IFERROR(S16/30,"-")</f>
        <v>-</v>
      </c>
      <c r="U16" s="44">
        <f>IFERROR(VLOOKUP(B:B,'[1]9店'!$B:$T,19,0),"-")</f>
        <v>15</v>
      </c>
      <c r="V16" s="81" t="str">
        <f t="shared" ref="V16:V34" si="15">IFERROR(T16-U16,"-")</f>
        <v>-</v>
      </c>
      <c r="W16" s="82" t="str">
        <f t="shared" ref="W16:W34" si="16">_xlfn.IFS(AND(D16&lt;&gt;0,D16-$AM$2&gt;=0,B16&gt;0,D16&lt;&gt;0),"本月刚到货",AND(IFERROR((K16/(N16/7))/30,"-")="-",K16&gt;0),"有库存无销量",AND(IFERROR((K16/(N16/7))/30,"-")="-",K16=0),"无库存无销量",AND(IFERROR((K16/(N16/7))/30,"-")&lt;=0.5,K16=0),"无库存有销量",IFERROR((K16/(N16/7))/30,"-")&lt;=0.5,"库存过低",IFERROR((K16/(N16/7))/30,"-")&lt;=1.5,"正常",IFERROR((K16/(N16/7))/30,"-")&gt;1.5,"库存过高")</f>
        <v>有库存无销量</v>
      </c>
      <c r="X16" s="83" t="str">
        <f t="shared" ref="X16:X34" si="17">_xlfn.IFS(AND(D16&lt;&gt;0,D16-$AM$2&gt;=0,K16&gt;0,D16&lt;&gt;0),"本月刚到货",AND(T16="-",K16&gt;0),"有库存无销量",AND(T16="-",K16=0),"无库存无销量",AND(T16&lt;=0.5,K16=0),"无库存有销量",T16&lt;=0.5,"库存过低",T16&lt;=1.5,"正常",T16&gt;1.5,"库存过高")</f>
        <v>有库存无销量</v>
      </c>
      <c r="Y16" s="44">
        <f>IFERROR(SUMIF('9店辅助表'!K:K,B:B,'9店辅助表'!N:N),0)</f>
        <v>0.34</v>
      </c>
      <c r="Z16" s="44">
        <f>IFERROR(SUMIF('9店辅助表'!T:T,B:B,'9店辅助表'!W:W),0)</f>
        <v>1.14</v>
      </c>
      <c r="AA16" s="44">
        <f>IFERROR(SUMIF('9店辅助表'!AC:AC,B:B,'9店辅助表'!AF:AF),0)</f>
        <v>2.36</v>
      </c>
      <c r="AB16" s="91" t="str">
        <f>IFERROR(SUMIF('9店辅助表'!K:K,B:B,'9店辅助表'!N:N)/SUMIF('9店辅助表'!K:K,B:B,'9店辅助表'!O:O),"-")</f>
        <v>-</v>
      </c>
      <c r="AC16" s="91" t="str">
        <f>IFERROR(VLOOKUP(B:B,'[1]9店'!$B:$AB,27,FALSE),"-")</f>
        <v>-</v>
      </c>
      <c r="AD16" s="92" t="str">
        <f t="shared" ref="AD16:AD34" si="18">IFERROR(AB16-AC16,"-")</f>
        <v>-</v>
      </c>
      <c r="AE16" s="91" t="str">
        <f>IFERROR(SUMIF('9店辅助表'!T:T,B:B,'9店辅助表'!W:W)/SUMIF('9店辅助表'!T:T,B:B,'9店辅助表'!X:X),"-")</f>
        <v>-</v>
      </c>
      <c r="AF16" s="91" t="str">
        <f>IFERROR(SUMIF('9店辅助表'!AC:AC,B:B,'9店辅助表'!AF:AF)/SUMIF('9店辅助表'!AC:AC,B:B,'9店辅助表'!AG:AG),"-")</f>
        <v>-</v>
      </c>
      <c r="AG16" s="99">
        <f>IFERROR(AK16/((SUMIF('9店辅助表'!AT:AT,B:B,'9店辅助表'!AU:AU)+M16)/2),"-")</f>
        <v>0</v>
      </c>
      <c r="AH16" s="99">
        <f>IFERROR(AL16/((SUMIF('9店辅助表'!AW:AW,B:B,'9店辅助表'!AX:AX)+M16)/2),"-")</f>
        <v>0</v>
      </c>
      <c r="AI16" s="100" t="str">
        <f>IFERROR((SUMIF('9店辅助表'!AP:AP,B:B,'9店辅助表'!AR:AR)-SUMIF('9店辅助表'!AP:AP,B:B,'9店辅助表'!AR:AR)*0.15-(L16+IFERROR(VLOOKUP(B:B,'9店辅助表'!AZ:BA,2,0),0))*O16-IF(AN:AN="US",6.85,4.9)*(Z16+4.27*O16))/SUMIF('9店辅助表'!AP:AP,B:B,'9店辅助表'!AR:AR),"-")</f>
        <v>-</v>
      </c>
      <c r="AJ16" s="100" t="str">
        <f t="shared" ref="AJ16:AJ34" si="19">IFERROR(AH16*AI16,"-")</f>
        <v>-</v>
      </c>
      <c r="AK16" s="101">
        <f t="shared" ref="AK16:AK34" si="20">N16*$L16</f>
        <v>0</v>
      </c>
      <c r="AL16" s="101">
        <f t="shared" ref="AL16:AL34" si="21">O16*$L16</f>
        <v>0</v>
      </c>
      <c r="AM16" s="1" t="str">
        <f>VLOOKUP(B:B,'9店辅助表'!AZ:AZ,1,FALSE)</f>
        <v>Y93040-BL+Y93045+Y93043</v>
      </c>
      <c r="AN16" t="str">
        <f>VLOOKUP(B:B,'9店辅助表'!AZ:BB,3,FALSE)</f>
        <v>US</v>
      </c>
    </row>
    <row r="17" customHeight="1" spans="1:40">
      <c r="A17" s="58" t="str">
        <f>INDEX('[1]9店'!$A:$A,MATCH(B:B,'[1]9店'!$B:$B,0))</f>
        <v>美珠</v>
      </c>
      <c r="B17" s="45" t="s">
        <v>3072</v>
      </c>
      <c r="C17" s="45" t="s">
        <v>2221</v>
      </c>
      <c r="D17" s="59"/>
      <c r="E17" s="45" t="s">
        <v>3073</v>
      </c>
      <c r="F17" s="45">
        <v>8</v>
      </c>
      <c r="G17" s="45">
        <v>0</v>
      </c>
      <c r="H17" s="45">
        <v>0</v>
      </c>
      <c r="I17" s="45">
        <v>0</v>
      </c>
      <c r="J17" s="45">
        <v>0</v>
      </c>
      <c r="K17" s="63">
        <f t="shared" si="11"/>
        <v>8</v>
      </c>
      <c r="L17" s="64">
        <f>IFERROR(VLOOKUP($B:$B,'[1]9店'!$B:$L,11,0),0)</f>
        <v>13.9</v>
      </c>
      <c r="M17" s="44">
        <f t="shared" si="2"/>
        <v>111.2</v>
      </c>
      <c r="N17" s="65">
        <f>IFERROR(VLOOKUP(B:B,'9店辅助表'!B:C,2,FALSE),0)</f>
        <v>0</v>
      </c>
      <c r="O17" s="65">
        <f>IFERROR(VLOOKUP(B:B,'9店辅助表'!E:F,2,FALSE),0)</f>
        <v>0</v>
      </c>
      <c r="P17" s="65">
        <f>IFERROR(VLOOKUP(B:B,'9店辅助表'!H:I,2,FALSE),0)</f>
        <v>0</v>
      </c>
      <c r="Q17" s="65">
        <f>IFERROR(VLOOKUP(B:B,'[1]9店'!$B:$N,13,FALSE),0)</f>
        <v>0</v>
      </c>
      <c r="R17" s="79">
        <f t="shared" si="12"/>
        <v>0</v>
      </c>
      <c r="S17" s="80" t="str">
        <f t="shared" si="13"/>
        <v>-</v>
      </c>
      <c r="T17" s="44" t="str">
        <f t="shared" si="14"/>
        <v>-</v>
      </c>
      <c r="U17" s="44">
        <f>IFERROR(VLOOKUP(B:B,'[1]9店'!$B:$T,19,0),"-")</f>
        <v>24</v>
      </c>
      <c r="V17" s="81" t="str">
        <f t="shared" si="15"/>
        <v>-</v>
      </c>
      <c r="W17" s="82" t="str">
        <f t="shared" si="16"/>
        <v>有库存无销量</v>
      </c>
      <c r="X17" s="83" t="str">
        <f t="shared" si="17"/>
        <v>有库存无销量</v>
      </c>
      <c r="Y17" s="44">
        <f>IFERROR(SUMIF('9店辅助表'!K:K,B:B,'9店辅助表'!N:N),0)</f>
        <v>0.1</v>
      </c>
      <c r="Z17" s="44">
        <f>IFERROR(SUMIF('9店辅助表'!T:T,B:B,'9店辅助表'!W:W),0)</f>
        <v>0.78</v>
      </c>
      <c r="AA17" s="44">
        <f>IFERROR(SUMIF('9店辅助表'!AC:AC,B:B,'9店辅助表'!AF:AF),0)</f>
        <v>0.78</v>
      </c>
      <c r="AB17" s="91" t="str">
        <f>IFERROR(SUMIF('9店辅助表'!K:K,B:B,'9店辅助表'!N:N)/SUMIF('9店辅助表'!K:K,B:B,'9店辅助表'!O:O),"-")</f>
        <v>-</v>
      </c>
      <c r="AC17" s="91" t="str">
        <f>IFERROR(VLOOKUP(B:B,'[1]9店'!$B:$AB,27,FALSE),"-")</f>
        <v>-</v>
      </c>
      <c r="AD17" s="92" t="str">
        <f t="shared" si="18"/>
        <v>-</v>
      </c>
      <c r="AE17" s="91" t="str">
        <f>IFERROR(SUMIF('9店辅助表'!T:T,B:B,'9店辅助表'!W:W)/SUMIF('9店辅助表'!T:T,B:B,'9店辅助表'!X:X),"-")</f>
        <v>-</v>
      </c>
      <c r="AF17" s="91" t="str">
        <f>IFERROR(SUMIF('9店辅助表'!AC:AC,B:B,'9店辅助表'!AF:AF)/SUMIF('9店辅助表'!AC:AC,B:B,'9店辅助表'!AG:AG),"-")</f>
        <v>-</v>
      </c>
      <c r="AG17" s="99">
        <f>IFERROR(AK17/((SUMIF('9店辅助表'!AT:AT,B:B,'9店辅助表'!AU:AU)+M17)/2),"-")</f>
        <v>0</v>
      </c>
      <c r="AH17" s="99">
        <f>IFERROR(AL17/((SUMIF('9店辅助表'!AW:AW,B:B,'9店辅助表'!AX:AX)+M17)/2),"-")</f>
        <v>0</v>
      </c>
      <c r="AI17" s="100" t="str">
        <f>IFERROR((SUMIF('9店辅助表'!AP:AP,B:B,'9店辅助表'!AR:AR)-SUMIF('9店辅助表'!AP:AP,B:B,'9店辅助表'!AR:AR)*0.15-(L17+IFERROR(VLOOKUP(B:B,'9店辅助表'!AZ:BA,2,0),0))*O17-IF(AN:AN="US",6.85,4.9)*(Z17+4.27*O17))/SUMIF('9店辅助表'!AP:AP,B:B,'9店辅助表'!AR:AR),"-")</f>
        <v>-</v>
      </c>
      <c r="AJ17" s="100" t="str">
        <f t="shared" si="19"/>
        <v>-</v>
      </c>
      <c r="AK17" s="101">
        <f t="shared" si="20"/>
        <v>0</v>
      </c>
      <c r="AL17" s="101">
        <f t="shared" si="21"/>
        <v>0</v>
      </c>
      <c r="AM17" s="1" t="str">
        <f>VLOOKUP(B:B,'9店辅助表'!AZ:AZ,1,FALSE)</f>
        <v>Y93040-DB+Y93045+Y93043</v>
      </c>
      <c r="AN17" t="str">
        <f>VLOOKUP(B:B,'9店辅助表'!AZ:BB,3,FALSE)</f>
        <v>US</v>
      </c>
    </row>
    <row r="18" customHeight="1" spans="1:40">
      <c r="A18" s="58" t="str">
        <f>INDEX('[1]9店'!$A:$A,MATCH(B:B,'[1]9店'!$B:$B,0))</f>
        <v>美珠</v>
      </c>
      <c r="B18" s="45" t="s">
        <v>3074</v>
      </c>
      <c r="C18" s="45" t="s">
        <v>83</v>
      </c>
      <c r="D18" s="59"/>
      <c r="E18" s="45" t="s">
        <v>3075</v>
      </c>
      <c r="F18" s="45">
        <v>15</v>
      </c>
      <c r="G18" s="45">
        <v>0</v>
      </c>
      <c r="H18" s="45">
        <v>0</v>
      </c>
      <c r="I18" s="45">
        <v>0</v>
      </c>
      <c r="J18" s="45">
        <v>0</v>
      </c>
      <c r="K18" s="63">
        <f t="shared" si="11"/>
        <v>15</v>
      </c>
      <c r="L18" s="64">
        <f>IFERROR(VLOOKUP($B:$B,'[1]9店'!$B:$L,11,0),0)</f>
        <v>13.9</v>
      </c>
      <c r="M18" s="44">
        <f t="shared" ref="M18:M34" si="22">K18*L18</f>
        <v>208.5</v>
      </c>
      <c r="N18" s="65">
        <f>IFERROR(VLOOKUP(B:B,'9店辅助表'!B:C,2,FALSE),0)</f>
        <v>0</v>
      </c>
      <c r="O18" s="65">
        <f>IFERROR(VLOOKUP(B:B,'9店辅助表'!E:F,2,FALSE),0)</f>
        <v>0</v>
      </c>
      <c r="P18" s="65">
        <f>IFERROR(VLOOKUP(B:B,'9店辅助表'!H:I,2,FALSE),0)</f>
        <v>0</v>
      </c>
      <c r="Q18" s="65">
        <f>IFERROR(VLOOKUP(B:B,'[1]9店'!$B:$N,13,FALSE),0)</f>
        <v>0</v>
      </c>
      <c r="R18" s="79">
        <f t="shared" si="12"/>
        <v>0</v>
      </c>
      <c r="S18" s="80" t="str">
        <f t="shared" si="13"/>
        <v>-</v>
      </c>
      <c r="T18" s="44" t="str">
        <f t="shared" si="14"/>
        <v>-</v>
      </c>
      <c r="U18" s="44" t="str">
        <f>IFERROR(VLOOKUP(B:B,'[1]9店'!$B:$T,19,0),"-")</f>
        <v>-</v>
      </c>
      <c r="V18" s="81" t="str">
        <f t="shared" si="15"/>
        <v>-</v>
      </c>
      <c r="W18" s="82" t="str">
        <f t="shared" si="16"/>
        <v>有库存无销量</v>
      </c>
      <c r="X18" s="83" t="str">
        <f t="shared" si="17"/>
        <v>有库存无销量</v>
      </c>
      <c r="Y18" s="44">
        <f>IFERROR(SUMIF('9店辅助表'!K:K,B:B,'9店辅助表'!N:N),0)</f>
        <v>0</v>
      </c>
      <c r="Z18" s="44">
        <f>IFERROR(SUMIF('9店辅助表'!T:T,B:B,'9店辅助表'!W:W),0)</f>
        <v>0.35</v>
      </c>
      <c r="AA18" s="44">
        <f>IFERROR(SUMIF('9店辅助表'!AC:AC,B:B,'9店辅助表'!AF:AF),0)</f>
        <v>1.05</v>
      </c>
      <c r="AB18" s="91" t="str">
        <f>IFERROR(SUMIF('9店辅助表'!K:K,B:B,'9店辅助表'!N:N)/SUMIF('9店辅助表'!K:K,B:B,'9店辅助表'!O:O),"-")</f>
        <v>-</v>
      </c>
      <c r="AC18" s="91" t="str">
        <f>IFERROR(VLOOKUP(B:B,'[1]9店'!$B:$AB,27,FALSE),"-")</f>
        <v>-</v>
      </c>
      <c r="AD18" s="92" t="str">
        <f t="shared" si="18"/>
        <v>-</v>
      </c>
      <c r="AE18" s="91" t="str">
        <f>IFERROR(SUMIF('9店辅助表'!T:T,B:B,'9店辅助表'!W:W)/SUMIF('9店辅助表'!T:T,B:B,'9店辅助表'!X:X),"-")</f>
        <v>-</v>
      </c>
      <c r="AF18" s="91" t="str">
        <f>IFERROR(SUMIF('9店辅助表'!AC:AC,B:B,'9店辅助表'!AF:AF)/SUMIF('9店辅助表'!AC:AC,B:B,'9店辅助表'!AG:AG),"-")</f>
        <v>-</v>
      </c>
      <c r="AG18" s="99">
        <f>IFERROR(AK18/((SUMIF('9店辅助表'!AT:AT,B:B,'9店辅助表'!AU:AU)+M18)/2),"-")</f>
        <v>0</v>
      </c>
      <c r="AH18" s="99">
        <f>IFERROR(AL18/((SUMIF('9店辅助表'!AW:AW,B:B,'9店辅助表'!AX:AX)+M18)/2),"-")</f>
        <v>0</v>
      </c>
      <c r="AI18" s="100" t="str">
        <f>IFERROR((SUMIF('9店辅助表'!AP:AP,B:B,'9店辅助表'!AR:AR)-SUMIF('9店辅助表'!AP:AP,B:B,'9店辅助表'!AR:AR)*0.15-(L18+IFERROR(VLOOKUP(B:B,'9店辅助表'!AZ:BA,2,0),0))*O18-IF(AN:AN="US",6.85,4.9)*(Z18+4.27*O18))/SUMIF('9店辅助表'!AP:AP,B:B,'9店辅助表'!AR:AR),"-")</f>
        <v>-</v>
      </c>
      <c r="AJ18" s="100" t="str">
        <f t="shared" si="19"/>
        <v>-</v>
      </c>
      <c r="AK18" s="101">
        <f t="shared" si="20"/>
        <v>0</v>
      </c>
      <c r="AL18" s="101">
        <f t="shared" si="21"/>
        <v>0</v>
      </c>
      <c r="AM18" s="1" t="str">
        <f>VLOOKUP(B:B,'9店辅助表'!AZ:AZ,1,FALSE)</f>
        <v>Y93040-OR+Y93045+Y93043</v>
      </c>
      <c r="AN18" t="str">
        <f>VLOOKUP(B:B,'9店辅助表'!AZ:BB,3,FALSE)</f>
        <v>US</v>
      </c>
    </row>
    <row r="19" customHeight="1" spans="1:40">
      <c r="A19" s="58" t="str">
        <f>INDEX('[1]9店'!$A:$A,MATCH(B:B,'[1]9店'!$B:$B,0))</f>
        <v>美珠</v>
      </c>
      <c r="B19" s="45" t="s">
        <v>3076</v>
      </c>
      <c r="C19" s="45" t="s">
        <v>2201</v>
      </c>
      <c r="D19" s="59"/>
      <c r="E19" s="45" t="s">
        <v>3077</v>
      </c>
      <c r="F19" s="45">
        <v>13</v>
      </c>
      <c r="G19" s="45">
        <v>1</v>
      </c>
      <c r="H19" s="45">
        <v>15</v>
      </c>
      <c r="I19" s="45">
        <v>0</v>
      </c>
      <c r="J19" s="45">
        <v>0</v>
      </c>
      <c r="K19" s="63">
        <f t="shared" si="11"/>
        <v>29</v>
      </c>
      <c r="L19" s="64">
        <f>IFERROR(VLOOKUP($B:$B,'[1]9店'!$B:$L,11,0),0)</f>
        <v>13.9</v>
      </c>
      <c r="M19" s="44">
        <f t="shared" si="22"/>
        <v>403.1</v>
      </c>
      <c r="N19" s="65">
        <f>IFERROR(VLOOKUP(B:B,'9店辅助表'!B:C,2,FALSE),0)</f>
        <v>4</v>
      </c>
      <c r="O19" s="65">
        <f>IFERROR(VLOOKUP(B:B,'9店辅助表'!E:F,2,FALSE),0)</f>
        <v>13</v>
      </c>
      <c r="P19" s="65">
        <f>IFERROR(VLOOKUP(B:B,'9店辅助表'!H:I,2,FALSE),0)</f>
        <v>35</v>
      </c>
      <c r="Q19" s="65">
        <f>IFERROR(VLOOKUP(B:B,'[1]9店'!$B:$N,13,FALSE),0)</f>
        <v>9</v>
      </c>
      <c r="R19" s="79">
        <f t="shared" si="12"/>
        <v>-5</v>
      </c>
      <c r="S19" s="80">
        <f t="shared" si="13"/>
        <v>33.400365630713</v>
      </c>
      <c r="T19" s="44">
        <f t="shared" si="14"/>
        <v>1.11334552102377</v>
      </c>
      <c r="U19" s="44">
        <f>IFERROR(VLOOKUP(B:B,'[1]9店'!$B:$T,19,0),"-")</f>
        <v>0.675603217158177</v>
      </c>
      <c r="V19" s="81">
        <f t="shared" si="15"/>
        <v>0.437742303865593</v>
      </c>
      <c r="W19" s="82" t="str">
        <f t="shared" si="16"/>
        <v>库存过高</v>
      </c>
      <c r="X19" s="83" t="str">
        <f t="shared" si="17"/>
        <v>正常</v>
      </c>
      <c r="Y19" s="44">
        <f>IFERROR(SUMIF('9店辅助表'!K:K,B:B,'9店辅助表'!N:N),0)</f>
        <v>5.17</v>
      </c>
      <c r="Z19" s="44">
        <f>IFERROR(SUMIF('9店辅助表'!T:T,B:B,'9店辅助表'!W:W),0)</f>
        <v>12.71</v>
      </c>
      <c r="AA19" s="44">
        <f>IFERROR(SUMIF('9店辅助表'!AC:AC,B:B,'9店辅助表'!AF:AF),0)</f>
        <v>23.35</v>
      </c>
      <c r="AB19" s="91">
        <f>IFERROR(SUMIF('9店辅助表'!K:K,B:B,'9店辅助表'!N:N)/SUMIF('9店辅助表'!K:K,B:B,'9店辅助表'!O:O),"-")</f>
        <v>0.132666153451373</v>
      </c>
      <c r="AC19" s="91">
        <f>IFERROR(VLOOKUP(B:B,'[1]9店'!$B:$AB,27,FALSE),"-")</f>
        <v>0.207317073170732</v>
      </c>
      <c r="AD19" s="92">
        <f t="shared" si="18"/>
        <v>-0.074650919719359</v>
      </c>
      <c r="AE19" s="91">
        <f>IFERROR(SUMIF('9店辅助表'!T:T,B:B,'9店辅助表'!W:W)/SUMIF('9店辅助表'!T:T,B:B,'9店辅助表'!X:X),"-")</f>
        <v>0.179140239605356</v>
      </c>
      <c r="AF19" s="91">
        <f>IFERROR(SUMIF('9店辅助表'!AC:AC,B:B,'9店辅助表'!AF:AF)/SUMIF('9店辅助表'!AC:AC,B:B,'9店辅助表'!AG:AG),"-")</f>
        <v>0.14424264887571</v>
      </c>
      <c r="AG19" s="99">
        <f>IFERROR(AK19/((SUMIF('9店辅助表'!AT:AT,B:B,'9店辅助表'!AU:AU)+M19)/2),"-")</f>
        <v>0.150943396226415</v>
      </c>
      <c r="AH19" s="99">
        <f>IFERROR(AL19/((SUMIF('9店辅助表'!AW:AW,B:B,'9店辅助表'!AX:AX)+M19)/2),"-")</f>
        <v>0.440677966101695</v>
      </c>
      <c r="AI19" s="100">
        <f>IFERROR((SUMIF('9店辅助表'!AP:AP,B:B,'9店辅助表'!AR:AR)-SUMIF('9店辅助表'!AP:AP,B:B,'9店辅助表'!AR:AR)*0.15-(L19+IFERROR(VLOOKUP(B:B,'9店辅助表'!AZ:BA,2,0),0))*O19-IF(AN:AN="US",6.85,4.9)*(Z19+4.27*O19))/SUMIF('9店辅助表'!AP:AP,B:B,'9店辅助表'!AR:AR),"-")</f>
        <v>0.232391931944367</v>
      </c>
      <c r="AJ19" s="100">
        <f t="shared" si="19"/>
        <v>0.102410003907687</v>
      </c>
      <c r="AK19" s="101">
        <f t="shared" si="20"/>
        <v>55.6</v>
      </c>
      <c r="AL19" s="101">
        <f t="shared" si="21"/>
        <v>180.7</v>
      </c>
      <c r="AM19" s="1" t="str">
        <f>VLOOKUP(B:B,'9店辅助表'!AZ:AZ,1,FALSE)</f>
        <v>Y93106-BL+Y93109+Y93112</v>
      </c>
      <c r="AN19" t="str">
        <f>VLOOKUP(B:B,'9店辅助表'!AZ:BB,3,FALSE)</f>
        <v>US</v>
      </c>
    </row>
    <row r="20" customHeight="1" spans="1:40">
      <c r="A20" s="58" t="str">
        <f>INDEX('[1]9店'!$A:$A,MATCH(B:B,'[1]9店'!$B:$B,0))</f>
        <v>美珠</v>
      </c>
      <c r="B20" s="45" t="s">
        <v>3078</v>
      </c>
      <c r="C20" s="45" t="s">
        <v>2204</v>
      </c>
      <c r="D20" s="59"/>
      <c r="E20" s="45" t="s">
        <v>3079</v>
      </c>
      <c r="F20" s="45">
        <v>13</v>
      </c>
      <c r="G20" s="45">
        <v>1</v>
      </c>
      <c r="H20" s="45">
        <v>15</v>
      </c>
      <c r="I20" s="45">
        <v>0</v>
      </c>
      <c r="J20" s="45">
        <v>0</v>
      </c>
      <c r="K20" s="63">
        <f t="shared" si="11"/>
        <v>29</v>
      </c>
      <c r="L20" s="64">
        <f>IFERROR(VLOOKUP($B:$B,'[1]9店'!$B:$L,11,0),0)</f>
        <v>13.9</v>
      </c>
      <c r="M20" s="44">
        <f t="shared" si="22"/>
        <v>403.1</v>
      </c>
      <c r="N20" s="65">
        <f>IFERROR(VLOOKUP(B:B,'9店辅助表'!B:C,2,FALSE),0)</f>
        <v>6</v>
      </c>
      <c r="O20" s="65">
        <f>IFERROR(VLOOKUP(B:B,'9店辅助表'!E:F,2,FALSE),0)</f>
        <v>15</v>
      </c>
      <c r="P20" s="65">
        <f>IFERROR(VLOOKUP(B:B,'9店辅助表'!H:I,2,FALSE),0)</f>
        <v>29</v>
      </c>
      <c r="Q20" s="65">
        <f>IFERROR(VLOOKUP(B:B,'[1]9店'!$B:$N,13,FALSE),0)</f>
        <v>8</v>
      </c>
      <c r="R20" s="79">
        <f t="shared" si="12"/>
        <v>-2</v>
      </c>
      <c r="S20" s="80">
        <f t="shared" si="13"/>
        <v>30.8094435075885</v>
      </c>
      <c r="T20" s="44">
        <f t="shared" si="14"/>
        <v>1.02698145025295</v>
      </c>
      <c r="U20" s="44">
        <f>IFERROR(VLOOKUP(B:B,'[1]9店'!$B:$T,19,0),"-")</f>
        <v>0.709251101321586</v>
      </c>
      <c r="V20" s="81">
        <f t="shared" si="15"/>
        <v>0.317730348931364</v>
      </c>
      <c r="W20" s="82" t="str">
        <f t="shared" si="16"/>
        <v>正常</v>
      </c>
      <c r="X20" s="83" t="str">
        <f t="shared" si="17"/>
        <v>正常</v>
      </c>
      <c r="Y20" s="44">
        <f>IFERROR(SUMIF('9店辅助表'!K:K,B:B,'9店辅助表'!N:N),0)</f>
        <v>2.09</v>
      </c>
      <c r="Z20" s="44">
        <f>IFERROR(SUMIF('9店辅助表'!T:T,B:B,'9店辅助表'!W:W),0)</f>
        <v>2.92</v>
      </c>
      <c r="AA20" s="44">
        <f>IFERROR(SUMIF('9店辅助表'!AC:AC,B:B,'9店辅助表'!AF:AF),0)</f>
        <v>5.77</v>
      </c>
      <c r="AB20" s="91" t="str">
        <f>IFERROR(SUMIF('9店辅助表'!K:K,B:B,'9店辅助表'!N:N)/SUMIF('9店辅助表'!K:K,B:B,'9店辅助表'!O:O),"-")</f>
        <v>-</v>
      </c>
      <c r="AC20" s="91" t="str">
        <f>IFERROR(VLOOKUP(B:B,'[1]9店'!$B:$AB,27,FALSE),"-")</f>
        <v>-</v>
      </c>
      <c r="AD20" s="92" t="str">
        <f t="shared" si="18"/>
        <v>-</v>
      </c>
      <c r="AE20" s="91" t="str">
        <f>IFERROR(SUMIF('9店辅助表'!T:T,B:B,'9店辅助表'!W:W)/SUMIF('9店辅助表'!T:T,B:B,'9店辅助表'!X:X),"-")</f>
        <v>-</v>
      </c>
      <c r="AF20" s="91">
        <f>IFERROR(SUMIF('9店辅助表'!AC:AC,B:B,'9店辅助表'!AF:AF)/SUMIF('9店辅助表'!AC:AC,B:B,'9店辅助表'!AG:AG),"-")</f>
        <v>0.222093918398768</v>
      </c>
      <c r="AG20" s="99">
        <f>IFERROR(AK20/((SUMIF('9店辅助表'!AT:AT,B:B,'9店辅助表'!AU:AU)+M20)/2),"-")</f>
        <v>0.230769230769231</v>
      </c>
      <c r="AH20" s="99">
        <f>IFERROR(AL20/((SUMIF('9店辅助表'!AW:AW,B:B,'9店辅助表'!AX:AX)+M20)/2),"-")</f>
        <v>0.491803278688525</v>
      </c>
      <c r="AI20" s="100">
        <f>IFERROR((SUMIF('9店辅助表'!AP:AP,B:B,'9店辅助表'!AR:AR)-SUMIF('9店辅助表'!AP:AP,B:B,'9店辅助表'!AR:AR)*0.15-(L20+IFERROR(VLOOKUP(B:B,'9店辅助表'!AZ:BA,2,0),0))*O20-IF(AN:AN="US",6.85,4.9)*(Z20+4.27*O20))/SUMIF('9店辅助表'!AP:AP,B:B,'9店辅助表'!AR:AR),"-")</f>
        <v>0.276150754182986</v>
      </c>
      <c r="AJ20" s="100">
        <f t="shared" si="19"/>
        <v>0.135811846319501</v>
      </c>
      <c r="AK20" s="101">
        <f t="shared" si="20"/>
        <v>83.4</v>
      </c>
      <c r="AL20" s="101">
        <f t="shared" si="21"/>
        <v>208.5</v>
      </c>
      <c r="AM20" s="1" t="str">
        <f>VLOOKUP(B:B,'9店辅助表'!AZ:AZ,1,FALSE)</f>
        <v>Y93106-DB+Y93109+Y93112</v>
      </c>
      <c r="AN20" t="str">
        <f>VLOOKUP(B:B,'9店辅助表'!AZ:BB,3,FALSE)</f>
        <v>US</v>
      </c>
    </row>
    <row r="21" customHeight="1" spans="1:40">
      <c r="A21" s="58" t="str">
        <f>INDEX('[1]9店'!$A:$A,MATCH(B:B,'[1]9店'!$B:$B,0))</f>
        <v>美珠</v>
      </c>
      <c r="B21" s="45" t="s">
        <v>3080</v>
      </c>
      <c r="C21" s="45" t="s">
        <v>2207</v>
      </c>
      <c r="D21" s="59"/>
      <c r="E21" s="45" t="s">
        <v>3081</v>
      </c>
      <c r="F21" s="45">
        <v>11</v>
      </c>
      <c r="G21" s="45">
        <v>1</v>
      </c>
      <c r="H21" s="45">
        <v>3</v>
      </c>
      <c r="I21" s="45">
        <v>0</v>
      </c>
      <c r="J21" s="45">
        <v>0</v>
      </c>
      <c r="K21" s="63">
        <f t="shared" si="11"/>
        <v>15</v>
      </c>
      <c r="L21" s="64">
        <f>IFERROR(VLOOKUP($B:$B,'[1]9店'!$B:$L,11,0),0)</f>
        <v>13.9</v>
      </c>
      <c r="M21" s="44">
        <f t="shared" si="22"/>
        <v>208.5</v>
      </c>
      <c r="N21" s="65">
        <f>IFERROR(VLOOKUP(B:B,'9店辅助表'!B:C,2,FALSE),0)</f>
        <v>6</v>
      </c>
      <c r="O21" s="65">
        <f>IFERROR(VLOOKUP(B:B,'9店辅助表'!E:F,2,FALSE),0)</f>
        <v>10</v>
      </c>
      <c r="P21" s="65">
        <f>IFERROR(VLOOKUP(B:B,'9店辅助表'!H:I,2,FALSE),0)</f>
        <v>28</v>
      </c>
      <c r="Q21" s="65">
        <f>IFERROR(VLOOKUP(B:B,'[1]9店'!$B:$N,13,FALSE),0)</f>
        <v>3</v>
      </c>
      <c r="R21" s="79">
        <f t="shared" si="12"/>
        <v>3</v>
      </c>
      <c r="S21" s="80">
        <f t="shared" si="13"/>
        <v>18.3139534883721</v>
      </c>
      <c r="T21" s="44">
        <f t="shared" si="14"/>
        <v>0.61046511627907</v>
      </c>
      <c r="U21" s="44">
        <f>IFERROR(VLOOKUP(B:B,'[1]9店'!$B:$T,19,0),"-")</f>
        <v>0.819956616052061</v>
      </c>
      <c r="V21" s="81">
        <f t="shared" si="15"/>
        <v>-0.209491499772991</v>
      </c>
      <c r="W21" s="82" t="str">
        <f t="shared" si="16"/>
        <v>正常</v>
      </c>
      <c r="X21" s="83" t="str">
        <f t="shared" si="17"/>
        <v>正常</v>
      </c>
      <c r="Y21" s="44">
        <f>IFERROR(SUMIF('9店辅助表'!K:K,B:B,'9店辅助表'!N:N),0)</f>
        <v>8.1</v>
      </c>
      <c r="Z21" s="44">
        <f>IFERROR(SUMIF('9店辅助表'!T:T,B:B,'9店辅助表'!W:W),0)</f>
        <v>25.69</v>
      </c>
      <c r="AA21" s="44">
        <f>IFERROR(SUMIF('9店辅助表'!AC:AC,B:B,'9店辅助表'!AF:AF),0)</f>
        <v>53.46</v>
      </c>
      <c r="AB21" s="91">
        <f>IFERROR(SUMIF('9店辅助表'!K:K,B:B,'9店辅助表'!N:N)/SUMIF('9店辅助表'!K:K,B:B,'9店辅助表'!O:O),"-")</f>
        <v>0.311778290993072</v>
      </c>
      <c r="AC21" s="91">
        <f>IFERROR(VLOOKUP(B:B,'[1]9店'!$B:$AB,27,FALSE),"-")</f>
        <v>0.295338052233341</v>
      </c>
      <c r="AD21" s="92">
        <f t="shared" si="18"/>
        <v>0.0164402387597311</v>
      </c>
      <c r="AE21" s="91">
        <f>IFERROR(SUMIF('9店辅助表'!T:T,B:B,'9店辅助表'!W:W)/SUMIF('9店辅助表'!T:T,B:B,'9店辅助表'!X:X),"-")</f>
        <v>0.321366024518389</v>
      </c>
      <c r="AF21" s="91">
        <f>IFERROR(SUMIF('9店辅助表'!AC:AC,B:B,'9店辅助表'!AF:AF)/SUMIF('9店辅助表'!AC:AC,B:B,'9店辅助表'!AG:AG),"-")</f>
        <v>0.290764712281083</v>
      </c>
      <c r="AG21" s="99">
        <f>IFERROR(AK21/((SUMIF('9店辅助表'!AT:AT,B:B,'9店辅助表'!AU:AU)+M21)/2),"-")</f>
        <v>0.363636363636364</v>
      </c>
      <c r="AH21" s="99">
        <f>IFERROR(AL21/((SUMIF('9店辅助表'!AW:AW,B:B,'9店辅助表'!AX:AX)+M21)/2),"-")</f>
        <v>0.512820512820513</v>
      </c>
      <c r="AI21" s="100">
        <f>IFERROR((SUMIF('9店辅助表'!AP:AP,B:B,'9店辅助表'!AR:AR)-SUMIF('9店辅助表'!AP:AP,B:B,'9店辅助表'!AR:AR)*0.15-(L21+IFERROR(VLOOKUP(B:B,'9店辅助表'!AZ:BA,2,0),0))*O21-IF(AN:AN="US",6.85,4.9)*(Z21+4.27*O21))/SUMIF('9店辅助表'!AP:AP,B:B,'9店辅助表'!AR:AR),"-")</f>
        <v>0.0903981440846275</v>
      </c>
      <c r="AJ21" s="100">
        <f t="shared" si="19"/>
        <v>0.0463580226075013</v>
      </c>
      <c r="AK21" s="101">
        <f t="shared" si="20"/>
        <v>83.4</v>
      </c>
      <c r="AL21" s="101">
        <f t="shared" si="21"/>
        <v>139</v>
      </c>
      <c r="AM21" s="1" t="str">
        <f>VLOOKUP(B:B,'9店辅助表'!AZ:AZ,1,FALSE)</f>
        <v>Y93106-OR+Y93109+Y93112</v>
      </c>
      <c r="AN21" t="str">
        <f>VLOOKUP(B:B,'9店辅助表'!AZ:BB,3,FALSE)</f>
        <v>US</v>
      </c>
    </row>
    <row r="22" customHeight="1" spans="1:40">
      <c r="A22" s="58" t="str">
        <f>INDEX('[1]9店'!$A:$A,MATCH(B:B,'[1]9店'!$B:$B,0))</f>
        <v>美珠</v>
      </c>
      <c r="B22" s="45" t="s">
        <v>3082</v>
      </c>
      <c r="C22" s="45" t="s">
        <v>86</v>
      </c>
      <c r="D22" s="59"/>
      <c r="E22" s="45" t="s">
        <v>3083</v>
      </c>
      <c r="F22" s="45">
        <v>16</v>
      </c>
      <c r="G22" s="45">
        <v>0</v>
      </c>
      <c r="H22" s="45">
        <v>12</v>
      </c>
      <c r="I22" s="45">
        <v>2</v>
      </c>
      <c r="J22" s="45">
        <v>0</v>
      </c>
      <c r="K22" s="63">
        <f t="shared" si="11"/>
        <v>30</v>
      </c>
      <c r="L22" s="64">
        <f>IFERROR(VLOOKUP($B:$B,'[1]9店'!$B:$L,11,0),0)</f>
        <v>13.9</v>
      </c>
      <c r="M22" s="44">
        <f t="shared" si="22"/>
        <v>417</v>
      </c>
      <c r="N22" s="65">
        <f>IFERROR(VLOOKUP(B:B,'9店辅助表'!B:C,2,FALSE),0)</f>
        <v>3</v>
      </c>
      <c r="O22" s="65">
        <f>IFERROR(VLOOKUP(B:B,'9店辅助表'!E:F,2,FALSE),0)</f>
        <v>9</v>
      </c>
      <c r="P22" s="65">
        <f>IFERROR(VLOOKUP(B:B,'9店辅助表'!H:I,2,FALSE),0)</f>
        <v>18</v>
      </c>
      <c r="Q22" s="65">
        <f>IFERROR(VLOOKUP(B:B,'[1]9店'!$B:$N,13,FALSE),0)</f>
        <v>6</v>
      </c>
      <c r="R22" s="79">
        <f t="shared" si="12"/>
        <v>-3</v>
      </c>
      <c r="S22" s="80">
        <f t="shared" si="13"/>
        <v>55.2631578947368</v>
      </c>
      <c r="T22" s="44">
        <f t="shared" si="14"/>
        <v>1.84210526315789</v>
      </c>
      <c r="U22" s="44">
        <f>IFERROR(VLOOKUP(B:B,'[1]9店'!$B:$T,19,0),"-")</f>
        <v>0.860655737704918</v>
      </c>
      <c r="V22" s="81">
        <f t="shared" si="15"/>
        <v>0.981449525452972</v>
      </c>
      <c r="W22" s="82" t="str">
        <f t="shared" si="16"/>
        <v>库存过高</v>
      </c>
      <c r="X22" s="83" t="str">
        <f t="shared" si="17"/>
        <v>库存过高</v>
      </c>
      <c r="Y22" s="44">
        <f>IFERROR(SUMIF('9店辅助表'!K:K,B:B,'9店辅助表'!N:N),0)</f>
        <v>0</v>
      </c>
      <c r="Z22" s="44">
        <f>IFERROR(SUMIF('9店辅助表'!T:T,B:B,'9店辅助表'!W:W),0)</f>
        <v>0.39</v>
      </c>
      <c r="AA22" s="44">
        <f>IFERROR(SUMIF('9店辅助表'!AC:AC,B:B,'9店辅助表'!AF:AF),0)</f>
        <v>2.65</v>
      </c>
      <c r="AB22" s="91" t="str">
        <f>IFERROR(SUMIF('9店辅助表'!K:K,B:B,'9店辅助表'!N:N)/SUMIF('9店辅助表'!K:K,B:B,'9店辅助表'!O:O),"-")</f>
        <v>-</v>
      </c>
      <c r="AC22" s="91" t="str">
        <f>IFERROR(VLOOKUP(B:B,'[1]9店'!$B:$AB,27,FALSE),"-")</f>
        <v>-</v>
      </c>
      <c r="AD22" s="92" t="str">
        <f t="shared" si="18"/>
        <v>-</v>
      </c>
      <c r="AE22" s="91" t="str">
        <f>IFERROR(SUMIF('9店辅助表'!T:T,B:B,'9店辅助表'!W:W)/SUMIF('9店辅助表'!T:T,B:B,'9店辅助表'!X:X),"-")</f>
        <v>-</v>
      </c>
      <c r="AF22" s="91">
        <f>IFERROR(SUMIF('9店辅助表'!AC:AC,B:B,'9店辅助表'!AF:AF)/SUMIF('9店辅助表'!AC:AC,B:B,'9店辅助表'!AG:AG),"-")</f>
        <v>0.204003079291763</v>
      </c>
      <c r="AG22" s="99">
        <f>IFERROR(AK22/((SUMIF('9店辅助表'!AT:AT,B:B,'9店辅助表'!AU:AU)+M22)/2),"-")</f>
        <v>0.12</v>
      </c>
      <c r="AH22" s="99">
        <f>IFERROR(AL22/((SUMIF('9店辅助表'!AW:AW,B:B,'9店辅助表'!AX:AX)+M22)/2),"-")</f>
        <v>0.327272727272727</v>
      </c>
      <c r="AI22" s="100">
        <f>IFERROR((SUMIF('9店辅助表'!AP:AP,B:B,'9店辅助表'!AR:AR)-SUMIF('9店辅助表'!AP:AP,B:B,'9店辅助表'!AR:AR)*0.15-(L22+IFERROR(VLOOKUP(B:B,'9店辅助表'!AZ:BA,2,0),0))*O22-IF(AN:AN="US",6.85,4.9)*(Z22+4.27*O22))/SUMIF('9店辅助表'!AP:AP,B:B,'9店辅助表'!AR:AR),"-")</f>
        <v>0.304747966606036</v>
      </c>
      <c r="AJ22" s="100">
        <f t="shared" si="19"/>
        <v>0.0997356981619754</v>
      </c>
      <c r="AK22" s="101">
        <f t="shared" si="20"/>
        <v>41.7</v>
      </c>
      <c r="AL22" s="101">
        <f t="shared" si="21"/>
        <v>125.1</v>
      </c>
      <c r="AM22" s="1" t="str">
        <f>VLOOKUP(B:B,'9店辅助表'!AZ:AZ,1,FALSE)</f>
        <v>Y93134-BL+Y93137+Y93268</v>
      </c>
      <c r="AN22" t="str">
        <f>VLOOKUP(B:B,'9店辅助表'!AZ:BB,3,FALSE)</f>
        <v>US</v>
      </c>
    </row>
    <row r="23" customHeight="1" spans="1:40">
      <c r="A23" s="58" t="str">
        <f>INDEX('[1]9店'!$A:$A,MATCH(B:B,'[1]9店'!$B:$B,0))</f>
        <v>美珠</v>
      </c>
      <c r="B23" s="45" t="s">
        <v>3084</v>
      </c>
      <c r="C23" s="45" t="s">
        <v>2421</v>
      </c>
      <c r="D23" s="59"/>
      <c r="E23" s="45" t="s">
        <v>3085</v>
      </c>
      <c r="F23" s="45">
        <v>10</v>
      </c>
      <c r="G23" s="45">
        <v>0</v>
      </c>
      <c r="H23" s="45">
        <v>1</v>
      </c>
      <c r="I23" s="45">
        <v>0</v>
      </c>
      <c r="J23" s="45">
        <v>0</v>
      </c>
      <c r="K23" s="63">
        <f t="shared" si="11"/>
        <v>11</v>
      </c>
      <c r="L23" s="64">
        <f>IFERROR(VLOOKUP($B:$B,'[1]9店'!$B:$L,11,0),0)</f>
        <v>13.9</v>
      </c>
      <c r="M23" s="44">
        <f t="shared" si="22"/>
        <v>152.9</v>
      </c>
      <c r="N23" s="65">
        <f>IFERROR(VLOOKUP(B:B,'9店辅助表'!B:C,2,FALSE),0)</f>
        <v>4</v>
      </c>
      <c r="O23" s="65">
        <f>IFERROR(VLOOKUP(B:B,'9店辅助表'!E:F,2,FALSE),0)</f>
        <v>10</v>
      </c>
      <c r="P23" s="65">
        <f>IFERROR(VLOOKUP(B:B,'9店辅助表'!H:I,2,FALSE),0)</f>
        <v>12</v>
      </c>
      <c r="Q23" s="65">
        <f>IFERROR(VLOOKUP(B:B,'[1]9店'!$B:$N,13,FALSE),0)</f>
        <v>6</v>
      </c>
      <c r="R23" s="79">
        <f t="shared" si="12"/>
        <v>-2</v>
      </c>
      <c r="S23" s="80">
        <f t="shared" si="13"/>
        <v>20.1453488372093</v>
      </c>
      <c r="T23" s="44">
        <f t="shared" si="14"/>
        <v>0.671511627906977</v>
      </c>
      <c r="U23" s="44">
        <f>IFERROR(VLOOKUP(B:B,'[1]9店'!$B:$T,19,0),"-")</f>
        <v>0.893617021276596</v>
      </c>
      <c r="V23" s="81">
        <f t="shared" si="15"/>
        <v>-0.222105393369619</v>
      </c>
      <c r="W23" s="82" t="str">
        <f t="shared" si="16"/>
        <v>正常</v>
      </c>
      <c r="X23" s="83" t="str">
        <f t="shared" si="17"/>
        <v>正常</v>
      </c>
      <c r="Y23" s="44">
        <f>IFERROR(SUMIF('9店辅助表'!K:K,B:B,'9店辅助表'!N:N),0)</f>
        <v>5.98</v>
      </c>
      <c r="Z23" s="44">
        <f>IFERROR(SUMIF('9店辅助表'!T:T,B:B,'9店辅助表'!W:W),0)</f>
        <v>13.23</v>
      </c>
      <c r="AA23" s="44">
        <f>IFERROR(SUMIF('9店辅助表'!AC:AC,B:B,'9店辅助表'!AF:AF),0)</f>
        <v>23</v>
      </c>
      <c r="AB23" s="91" t="str">
        <f>IFERROR(SUMIF('9店辅助表'!K:K,B:B,'9店辅助表'!N:N)/SUMIF('9店辅助表'!K:K,B:B,'9店辅助表'!O:O),"-")</f>
        <v>-</v>
      </c>
      <c r="AC23" s="91">
        <f>IFERROR(VLOOKUP(B:B,'[1]9店'!$B:$AB,27,FALSE),"-")</f>
        <v>0.129556826304503</v>
      </c>
      <c r="AD23" s="92" t="str">
        <f t="shared" si="18"/>
        <v>-</v>
      </c>
      <c r="AE23" s="91">
        <f>IFERROR(SUMIF('9店辅助表'!T:T,B:B,'9店辅助表'!W:W)/SUMIF('9店辅助表'!T:T,B:B,'9店辅助表'!X:X),"-")</f>
        <v>0.236418870621873</v>
      </c>
      <c r="AF23" s="91">
        <f>IFERROR(SUMIF('9店辅助表'!AC:AC,B:B,'9店辅助表'!AF:AF)/SUMIF('9店辅助表'!AC:AC,B:B,'9店辅助表'!AG:AG),"-")</f>
        <v>0.242283788054356</v>
      </c>
      <c r="AG23" s="99">
        <f>IFERROR(AK23/((SUMIF('9店辅助表'!AT:AT,B:B,'9店辅助表'!AU:AU)+M23)/2),"-")</f>
        <v>0.296296296296296</v>
      </c>
      <c r="AH23" s="99">
        <f>IFERROR(AL23/((SUMIF('9店辅助表'!AW:AW,B:B,'9店辅助表'!AX:AX)+M23)/2),"-")</f>
        <v>0.869565217391304</v>
      </c>
      <c r="AI23" s="100">
        <f>IFERROR((SUMIF('9店辅助表'!AP:AP,B:B,'9店辅助表'!AR:AR)-SUMIF('9店辅助表'!AP:AP,B:B,'9店辅助表'!AR:AR)*0.15-(L23+IFERROR(VLOOKUP(B:B,'9店辅助表'!AZ:BA,2,0),0))*O23-IF(AN:AN="US",6.85,4.9)*(Z23+4.27*O23))/SUMIF('9店辅助表'!AP:AP,B:B,'9店辅助表'!AR:AR),"-")</f>
        <v>0.226191186840121</v>
      </c>
      <c r="AJ23" s="100">
        <f t="shared" si="19"/>
        <v>0.196687988556627</v>
      </c>
      <c r="AK23" s="101">
        <f t="shared" si="20"/>
        <v>55.6</v>
      </c>
      <c r="AL23" s="101">
        <f t="shared" si="21"/>
        <v>139</v>
      </c>
      <c r="AM23" s="1" t="str">
        <f>VLOOKUP(B:B,'9店辅助表'!AZ:AZ,1,FALSE)</f>
        <v>Y93134-DB+Y93137+Y93268</v>
      </c>
      <c r="AN23" t="str">
        <f>VLOOKUP(B:B,'9店辅助表'!AZ:BB,3,FALSE)</f>
        <v>US</v>
      </c>
    </row>
    <row r="24" customHeight="1" spans="1:40">
      <c r="A24" s="58" t="str">
        <f>INDEX('[1]9店'!$A:$A,MATCH(B:B,'[1]9店'!$B:$B,0))</f>
        <v>美珠</v>
      </c>
      <c r="B24" s="45" t="s">
        <v>3086</v>
      </c>
      <c r="C24" s="45" t="s">
        <v>89</v>
      </c>
      <c r="D24" s="59"/>
      <c r="E24" s="45" t="s">
        <v>3087</v>
      </c>
      <c r="F24" s="45">
        <v>10</v>
      </c>
      <c r="G24" s="45">
        <v>1</v>
      </c>
      <c r="H24" s="45">
        <v>14</v>
      </c>
      <c r="I24" s="45">
        <v>0</v>
      </c>
      <c r="J24" s="45">
        <v>0</v>
      </c>
      <c r="K24" s="63">
        <f t="shared" si="11"/>
        <v>25</v>
      </c>
      <c r="L24" s="64">
        <f>IFERROR(VLOOKUP($B:$B,'[1]9店'!$B:$L,11,0),0)</f>
        <v>13.9</v>
      </c>
      <c r="M24" s="44">
        <f t="shared" si="22"/>
        <v>347.5</v>
      </c>
      <c r="N24" s="65">
        <f>IFERROR(VLOOKUP(B:B,'9店辅助表'!B:C,2,FALSE),0)</f>
        <v>1</v>
      </c>
      <c r="O24" s="65">
        <f>IFERROR(VLOOKUP(B:B,'9店辅助表'!E:F,2,FALSE),0)</f>
        <v>9</v>
      </c>
      <c r="P24" s="65">
        <f>IFERROR(VLOOKUP(B:B,'9店辅助表'!H:I,2,FALSE),0)</f>
        <v>14</v>
      </c>
      <c r="Q24" s="65">
        <f>IFERROR(VLOOKUP(B:B,'[1]9店'!$B:$N,13,FALSE),0)</f>
        <v>7</v>
      </c>
      <c r="R24" s="79">
        <f t="shared" si="12"/>
        <v>-6</v>
      </c>
      <c r="S24" s="80">
        <f t="shared" si="13"/>
        <v>62.007874015748</v>
      </c>
      <c r="T24" s="44">
        <f t="shared" si="14"/>
        <v>2.06692913385827</v>
      </c>
      <c r="U24" s="44">
        <f>IFERROR(VLOOKUP(B:B,'[1]9店'!$B:$T,19,0),"-")</f>
        <v>0.629032258064516</v>
      </c>
      <c r="V24" s="81">
        <f t="shared" si="15"/>
        <v>1.43789687579375</v>
      </c>
      <c r="W24" s="82" t="str">
        <f t="shared" si="16"/>
        <v>库存过高</v>
      </c>
      <c r="X24" s="83" t="str">
        <f t="shared" si="17"/>
        <v>库存过高</v>
      </c>
      <c r="Y24" s="44">
        <f>IFERROR(SUMIF('9店辅助表'!K:K,B:B,'9店辅助表'!N:N),0)</f>
        <v>12.44</v>
      </c>
      <c r="Z24" s="44">
        <f>IFERROR(SUMIF('9店辅助表'!T:T,B:B,'9店辅助表'!W:W),0)</f>
        <v>29.94</v>
      </c>
      <c r="AA24" s="44">
        <f>IFERROR(SUMIF('9店辅助表'!AC:AC,B:B,'9店辅助表'!AF:AF),0)</f>
        <v>56.26</v>
      </c>
      <c r="AB24" s="91">
        <f>IFERROR(SUMIF('9店辅助表'!K:K,B:B,'9店辅助表'!N:N)/SUMIF('9店辅助表'!K:K,B:B,'9店辅助表'!O:O),"-")</f>
        <v>0.23941493456505</v>
      </c>
      <c r="AC24" s="91">
        <f>IFERROR(VLOOKUP(B:B,'[1]9店'!$B:$AB,27,FALSE),"-")</f>
        <v>0.108368609573429</v>
      </c>
      <c r="AD24" s="92">
        <f t="shared" si="18"/>
        <v>0.131046324991621</v>
      </c>
      <c r="AE24" s="91">
        <f>IFERROR(SUMIF('9店辅助表'!T:T,B:B,'9店辅助表'!W:W)/SUMIF('9店辅助表'!T:T,B:B,'9店辅助表'!X:X),"-")</f>
        <v>0.137025171624714</v>
      </c>
      <c r="AF24" s="91">
        <f>IFERROR(SUMIF('9店辅助表'!AC:AC,B:B,'9店辅助表'!AF:AF)/SUMIF('9店辅助表'!AC:AC,B:B,'9店辅助表'!AG:AG),"-")</f>
        <v>0.218510894473142</v>
      </c>
      <c r="AG24" s="99">
        <f>IFERROR(AK24/((SUMIF('9店辅助表'!AT:AT,B:B,'9店辅助表'!AU:AU)+M24)/2),"-")</f>
        <v>0.0526315789473684</v>
      </c>
      <c r="AH24" s="99">
        <f>IFERROR(AL24/((SUMIF('9店辅助表'!AW:AW,B:B,'9店辅助表'!AX:AX)+M24)/2),"-")</f>
        <v>0.45</v>
      </c>
      <c r="AI24" s="100">
        <f>IFERROR((SUMIF('9店辅助表'!AP:AP,B:B,'9店辅助表'!AR:AR)-SUMIF('9店辅助表'!AP:AP,B:B,'9店辅助表'!AR:AR)*0.15-(L24+IFERROR(VLOOKUP(B:B,'9店辅助表'!AZ:BA,2,0),0))*O24-IF(AN:AN="US",6.85,4.9)*(Z24+4.27*O24))/SUMIF('9店辅助表'!AP:AP,B:B,'9店辅助表'!AR:AR),"-")</f>
        <v>0.0043558689919689</v>
      </c>
      <c r="AJ24" s="100">
        <f t="shared" si="19"/>
        <v>0.001960141046386</v>
      </c>
      <c r="AK24" s="101">
        <f t="shared" si="20"/>
        <v>13.9</v>
      </c>
      <c r="AL24" s="101">
        <f t="shared" si="21"/>
        <v>125.1</v>
      </c>
      <c r="AM24" s="1" t="str">
        <f>VLOOKUP(B:B,'9店辅助表'!AZ:AZ,1,FALSE)</f>
        <v>Y93134-OR+Y93137+Y93268</v>
      </c>
      <c r="AN24" t="str">
        <f>VLOOKUP(B:B,'9店辅助表'!AZ:BB,3,FALSE)</f>
        <v>US</v>
      </c>
    </row>
    <row r="25" customHeight="1" spans="1:40">
      <c r="A25" s="58" t="str">
        <f>INDEX('[1]9店'!$A:$A,MATCH(B:B,'[1]9店'!$B:$B,0))</f>
        <v>美珠</v>
      </c>
      <c r="B25" s="45" t="s">
        <v>3088</v>
      </c>
      <c r="C25" s="45" t="s">
        <v>92</v>
      </c>
      <c r="D25" s="59"/>
      <c r="E25" s="45" t="s">
        <v>3089</v>
      </c>
      <c r="F25" s="45">
        <v>6</v>
      </c>
      <c r="G25" s="45">
        <v>1</v>
      </c>
      <c r="H25" s="45">
        <v>4</v>
      </c>
      <c r="I25" s="45">
        <v>0</v>
      </c>
      <c r="J25" s="45">
        <v>0</v>
      </c>
      <c r="K25" s="63">
        <f t="shared" si="11"/>
        <v>11</v>
      </c>
      <c r="L25" s="64">
        <f>IFERROR(VLOOKUP($B:$B,'[1]9店'!$B:$L,11,0),0)</f>
        <v>13.9</v>
      </c>
      <c r="M25" s="44">
        <f t="shared" si="22"/>
        <v>152.9</v>
      </c>
      <c r="N25" s="65">
        <f>IFERROR(VLOOKUP(B:B,'9店辅助表'!B:C,2,FALSE),0)</f>
        <v>3</v>
      </c>
      <c r="O25" s="65">
        <f>IFERROR(VLOOKUP(B:B,'9店辅助表'!E:F,2,FALSE),0)</f>
        <v>7</v>
      </c>
      <c r="P25" s="65">
        <f>IFERROR(VLOOKUP(B:B,'9店辅助表'!H:I,2,FALSE),0)</f>
        <v>18</v>
      </c>
      <c r="Q25" s="65">
        <f>IFERROR(VLOOKUP(B:B,'[1]9店'!$B:$N,13,FALSE),0)</f>
        <v>4</v>
      </c>
      <c r="R25" s="79">
        <f t="shared" si="12"/>
        <v>-1</v>
      </c>
      <c r="S25" s="80">
        <f t="shared" si="13"/>
        <v>22.0700636942675</v>
      </c>
      <c r="T25" s="44">
        <f t="shared" si="14"/>
        <v>0.735668789808917</v>
      </c>
      <c r="U25" s="44">
        <f>IFERROR(VLOOKUP(B:B,'[1]9店'!$B:$T,19,0),"-")</f>
        <v>0.897435897435897</v>
      </c>
      <c r="V25" s="81">
        <f t="shared" si="15"/>
        <v>-0.16176710762698</v>
      </c>
      <c r="W25" s="82" t="str">
        <f t="shared" si="16"/>
        <v>正常</v>
      </c>
      <c r="X25" s="83" t="str">
        <f t="shared" si="17"/>
        <v>正常</v>
      </c>
      <c r="Y25" s="44">
        <f>IFERROR(SUMIF('9店辅助表'!K:K,B:B,'9店辅助表'!N:N),0)</f>
        <v>0.47</v>
      </c>
      <c r="Z25" s="44">
        <f>IFERROR(SUMIF('9店辅助表'!T:T,B:B,'9店辅助表'!W:W),0)</f>
        <v>0.47</v>
      </c>
      <c r="AA25" s="44">
        <f>IFERROR(SUMIF('9店辅助表'!AC:AC,B:B,'9店辅助表'!AF:AF),0)</f>
        <v>0.88</v>
      </c>
      <c r="AB25" s="91" t="str">
        <f>IFERROR(SUMIF('9店辅助表'!K:K,B:B,'9店辅助表'!N:N)/SUMIF('9店辅助表'!K:K,B:B,'9店辅助表'!O:O),"-")</f>
        <v>-</v>
      </c>
      <c r="AC25" s="91" t="str">
        <f>IFERROR(VLOOKUP(B:B,'[1]9店'!$B:$AB,27,FALSE),"-")</f>
        <v>-</v>
      </c>
      <c r="AD25" s="92" t="str">
        <f t="shared" si="18"/>
        <v>-</v>
      </c>
      <c r="AE25" s="91" t="str">
        <f>IFERROR(SUMIF('9店辅助表'!T:T,B:B,'9店辅助表'!W:W)/SUMIF('9店辅助表'!T:T,B:B,'9店辅助表'!X:X),"-")</f>
        <v>-</v>
      </c>
      <c r="AF25" s="91">
        <f>IFERROR(SUMIF('9店辅助表'!AC:AC,B:B,'9店辅助表'!AF:AF)/SUMIF('9店辅助表'!AC:AC,B:B,'9店辅助表'!AG:AG),"-")</f>
        <v>0.0677444187836797</v>
      </c>
      <c r="AG25" s="99">
        <f>IFERROR(AK25/((SUMIF('9店辅助表'!AT:AT,B:B,'9店辅助表'!AU:AU)+M25)/2),"-")</f>
        <v>0.230769230769231</v>
      </c>
      <c r="AH25" s="99">
        <f>IFERROR(AL25/((SUMIF('9店辅助表'!AW:AW,B:B,'9店辅助表'!AX:AX)+M25)/2),"-")</f>
        <v>0.56</v>
      </c>
      <c r="AI25" s="100">
        <f>IFERROR((SUMIF('9店辅助表'!AP:AP,B:B,'9店辅助表'!AR:AR)-SUMIF('9店辅助表'!AP:AP,B:B,'9店辅助表'!AR:AR)*0.15-(L25+IFERROR(VLOOKUP(B:B,'9店辅助表'!AZ:BA,2,0),0))*O25-IF(AN:AN="US",6.85,4.9)*(Z25+4.27*O25))/SUMIF('9店辅助表'!AP:AP,B:B,'9店辅助表'!AR:AR),"-")</f>
        <v>0.260472894962891</v>
      </c>
      <c r="AJ25" s="100">
        <f t="shared" si="19"/>
        <v>0.145864821179219</v>
      </c>
      <c r="AK25" s="101">
        <f t="shared" si="20"/>
        <v>41.7</v>
      </c>
      <c r="AL25" s="101">
        <f t="shared" si="21"/>
        <v>97.3</v>
      </c>
      <c r="AM25" s="1" t="str">
        <f>VLOOKUP(B:B,'9店辅助表'!AZ:AZ,1,FALSE)</f>
        <v>Y93230-BL+Y903231+Y93240</v>
      </c>
      <c r="AN25" t="str">
        <f>VLOOKUP(B:B,'9店辅助表'!AZ:BB,3,FALSE)</f>
        <v>US</v>
      </c>
    </row>
    <row r="26" customHeight="1" spans="1:40">
      <c r="A26" s="58" t="str">
        <f>INDEX('[1]9店'!$A:$A,MATCH(B:B,'[1]9店'!$B:$B,0))</f>
        <v>美珠</v>
      </c>
      <c r="B26" s="45" t="s">
        <v>3090</v>
      </c>
      <c r="C26" s="45" t="s">
        <v>2212</v>
      </c>
      <c r="D26" s="59"/>
      <c r="E26" s="45" t="s">
        <v>3091</v>
      </c>
      <c r="F26" s="45">
        <v>10</v>
      </c>
      <c r="G26" s="45">
        <v>0</v>
      </c>
      <c r="H26" s="45">
        <v>3</v>
      </c>
      <c r="I26" s="45">
        <v>0</v>
      </c>
      <c r="J26" s="45">
        <v>0</v>
      </c>
      <c r="K26" s="63">
        <f t="shared" si="11"/>
        <v>13</v>
      </c>
      <c r="L26" s="64">
        <f>IFERROR(VLOOKUP($B:$B,'[1]9店'!$B:$L,11,0),0)</f>
        <v>13.9</v>
      </c>
      <c r="M26" s="44">
        <f t="shared" si="22"/>
        <v>180.7</v>
      </c>
      <c r="N26" s="65">
        <f>IFERROR(VLOOKUP(B:B,'9店辅助表'!B:C,2,FALSE),0)</f>
        <v>5</v>
      </c>
      <c r="O26" s="65">
        <f>IFERROR(VLOOKUP(B:B,'9店辅助表'!E:F,2,FALSE),0)</f>
        <v>8</v>
      </c>
      <c r="P26" s="65">
        <f>IFERROR(VLOOKUP(B:B,'9店辅助表'!H:I,2,FALSE),0)</f>
        <v>17</v>
      </c>
      <c r="Q26" s="65">
        <f>IFERROR(VLOOKUP(B:B,'[1]9店'!$B:$N,13,FALSE),0)</f>
        <v>3</v>
      </c>
      <c r="R26" s="79">
        <f t="shared" si="12"/>
        <v>2</v>
      </c>
      <c r="S26" s="80">
        <f t="shared" si="13"/>
        <v>21.496062992126</v>
      </c>
      <c r="T26" s="44">
        <f t="shared" si="14"/>
        <v>0.716535433070866</v>
      </c>
      <c r="U26" s="44">
        <f>IFERROR(VLOOKUP(B:B,'[1]9店'!$B:$T,19,0),"-")</f>
        <v>1.24299065420561</v>
      </c>
      <c r="V26" s="81">
        <f t="shared" si="15"/>
        <v>-0.526455221134744</v>
      </c>
      <c r="W26" s="82" t="str">
        <f t="shared" si="16"/>
        <v>正常</v>
      </c>
      <c r="X26" s="83" t="str">
        <f t="shared" si="17"/>
        <v>正常</v>
      </c>
      <c r="Y26" s="44">
        <f>IFERROR(SUMIF('9店辅助表'!K:K,B:B,'9店辅助表'!N:N),0)</f>
        <v>9.4</v>
      </c>
      <c r="Z26" s="44">
        <f>IFERROR(SUMIF('9店辅助表'!T:T,B:B,'9店辅助表'!W:W),0)</f>
        <v>20.31</v>
      </c>
      <c r="AA26" s="44">
        <f>IFERROR(SUMIF('9店辅助表'!AC:AC,B:B,'9店辅助表'!AF:AF),0)</f>
        <v>36.94</v>
      </c>
      <c r="AB26" s="91">
        <f>IFERROR(SUMIF('9店辅助表'!K:K,B:B,'9店辅助表'!N:N)/SUMIF('9店辅助表'!K:K,B:B,'9店辅助表'!O:O),"-")</f>
        <v>0.361816782140108</v>
      </c>
      <c r="AC26" s="91">
        <f>IFERROR(VLOOKUP(B:B,'[1]9店'!$B:$AB,27,FALSE),"-")</f>
        <v>0.403772132409546</v>
      </c>
      <c r="AD26" s="92">
        <f t="shared" si="18"/>
        <v>-0.041955350269438</v>
      </c>
      <c r="AE26" s="91">
        <f>IFERROR(SUMIF('9店辅助表'!T:T,B:B,'9店辅助表'!W:W)/SUMIF('9店辅助表'!T:T,B:B,'9店辅助表'!X:X),"-")</f>
        <v>0.390877598152425</v>
      </c>
      <c r="AF26" s="91">
        <f>IFERROR(SUMIF('9店辅助表'!AC:AC,B:B,'9店辅助表'!AF:AF)/SUMIF('9店辅助表'!AC:AC,B:B,'9店辅助表'!AG:AG),"-")</f>
        <v>0.258520540275737</v>
      </c>
      <c r="AG26" s="99">
        <f>IFERROR(AK26/((SUMIF('9店辅助表'!AT:AT,B:B,'9店辅助表'!AU:AU)+M26)/2),"-")</f>
        <v>0.3125</v>
      </c>
      <c r="AH26" s="99">
        <f>IFERROR(AL26/((SUMIF('9店辅助表'!AW:AW,B:B,'9店辅助表'!AX:AX)+M26)/2),"-")</f>
        <v>0.516129032258065</v>
      </c>
      <c r="AI26" s="100">
        <f>IFERROR((SUMIF('9店辅助表'!AP:AP,B:B,'9店辅助表'!AR:AR)-SUMIF('9店辅助表'!AP:AP,B:B,'9店辅助表'!AR:AR)*0.15-(L26+IFERROR(VLOOKUP(B:B,'9店辅助表'!AZ:BA,2,0),0))*O26-IF(AN:AN="US",6.85,4.9)*(Z26+4.27*O26))/SUMIF('9店辅助表'!AP:AP,B:B,'9店辅助表'!AR:AR),"-")</f>
        <v>0.0651977056097434</v>
      </c>
      <c r="AJ26" s="100">
        <f t="shared" si="19"/>
        <v>0.033650428701803</v>
      </c>
      <c r="AK26" s="101">
        <f t="shared" si="20"/>
        <v>69.5</v>
      </c>
      <c r="AL26" s="101">
        <f t="shared" si="21"/>
        <v>111.2</v>
      </c>
      <c r="AM26" s="1" t="str">
        <f>VLOOKUP(B:B,'9店辅助表'!AZ:AZ,1,FALSE)</f>
        <v>Y93230-DB+Y903231+Y93240</v>
      </c>
      <c r="AN26" t="str">
        <f>VLOOKUP(B:B,'9店辅助表'!AZ:BB,3,FALSE)</f>
        <v>US</v>
      </c>
    </row>
    <row r="27" customHeight="1" spans="1:40">
      <c r="A27" s="58" t="str">
        <f>INDEX('[1]9店'!$A:$A,MATCH(B:B,'[1]9店'!$B:$B,0))</f>
        <v>美珠</v>
      </c>
      <c r="B27" s="45" t="s">
        <v>3092</v>
      </c>
      <c r="C27" s="45" t="s">
        <v>2215</v>
      </c>
      <c r="D27" s="59"/>
      <c r="E27" s="45" t="s">
        <v>3093</v>
      </c>
      <c r="F27" s="45">
        <v>14</v>
      </c>
      <c r="G27" s="45">
        <v>0</v>
      </c>
      <c r="H27" s="45">
        <v>0</v>
      </c>
      <c r="I27" s="45">
        <v>0</v>
      </c>
      <c r="J27" s="45">
        <v>0</v>
      </c>
      <c r="K27" s="63">
        <f t="shared" si="11"/>
        <v>14</v>
      </c>
      <c r="L27" s="64">
        <f>IFERROR(VLOOKUP($B:$B,'[1]9店'!$B:$L,11,0),0)</f>
        <v>13.9</v>
      </c>
      <c r="M27" s="44">
        <f t="shared" si="22"/>
        <v>194.6</v>
      </c>
      <c r="N27" s="65">
        <f>IFERROR(VLOOKUP(B:B,'9店辅助表'!B:C,2,FALSE),0)</f>
        <v>4</v>
      </c>
      <c r="O27" s="65">
        <f>IFERROR(VLOOKUP(B:B,'9店辅助表'!E:F,2,FALSE),0)</f>
        <v>6</v>
      </c>
      <c r="P27" s="65">
        <f>IFERROR(VLOOKUP(B:B,'9店辅助表'!H:I,2,FALSE),0)</f>
        <v>12</v>
      </c>
      <c r="Q27" s="65">
        <f>IFERROR(VLOOKUP(B:B,'[1]9店'!$B:$N,13,FALSE),0)</f>
        <v>2</v>
      </c>
      <c r="R27" s="79">
        <f t="shared" si="12"/>
        <v>2</v>
      </c>
      <c r="S27" s="80">
        <f t="shared" si="13"/>
        <v>30.625</v>
      </c>
      <c r="T27" s="44">
        <f t="shared" si="14"/>
        <v>1.02083333333333</v>
      </c>
      <c r="U27" s="44">
        <f>IFERROR(VLOOKUP(B:B,'[1]9店'!$B:$T,19,0),"-")</f>
        <v>1.74093264248705</v>
      </c>
      <c r="V27" s="81">
        <f t="shared" si="15"/>
        <v>-0.72009930915372</v>
      </c>
      <c r="W27" s="82" t="str">
        <f t="shared" si="16"/>
        <v>正常</v>
      </c>
      <c r="X27" s="83" t="str">
        <f t="shared" si="17"/>
        <v>正常</v>
      </c>
      <c r="Y27" s="44">
        <f>IFERROR(SUMIF('9店辅助表'!K:K,B:B,'9店辅助表'!N:N),0)</f>
        <v>9.22</v>
      </c>
      <c r="Z27" s="44">
        <f>IFERROR(SUMIF('9店辅助表'!T:T,B:B,'9店辅助表'!W:W),0)</f>
        <v>19</v>
      </c>
      <c r="AA27" s="44">
        <f>IFERROR(SUMIF('9店辅助表'!AC:AC,B:B,'9店辅助表'!AF:AF),0)</f>
        <v>32.03</v>
      </c>
      <c r="AB27" s="91">
        <f>IFERROR(SUMIF('9店辅助表'!K:K,B:B,'9店辅助表'!N:N)/SUMIF('9店辅助表'!K:K,B:B,'9店辅助表'!O:O),"-")</f>
        <v>0.177444187836798</v>
      </c>
      <c r="AC27" s="91">
        <f>IFERROR(VLOOKUP(B:B,'[1]9店'!$B:$AB,27,FALSE),"-")</f>
        <v>0.267657992565056</v>
      </c>
      <c r="AD27" s="92">
        <f t="shared" si="18"/>
        <v>-0.090213804728258</v>
      </c>
      <c r="AE27" s="91">
        <f>IFERROR(SUMIF('9店辅助表'!T:T,B:B,'9店辅助表'!W:W)/SUMIF('9店辅助表'!T:T,B:B,'9店辅助表'!X:X),"-")</f>
        <v>0.218566662832164</v>
      </c>
      <c r="AF27" s="91">
        <f>IFERROR(SUMIF('9店辅助表'!AC:AC,B:B,'9店辅助表'!AF:AF)/SUMIF('9店辅助表'!AC:AC,B:B,'9店辅助表'!AG:AG),"-")</f>
        <v>0.230614155086759</v>
      </c>
      <c r="AG27" s="99">
        <f>IFERROR(AK27/((SUMIF('9店辅助表'!AT:AT,B:B,'9店辅助表'!AU:AU)+M27)/2),"-")</f>
        <v>0.266666666666667</v>
      </c>
      <c r="AH27" s="99">
        <f>IFERROR(AL27/((SUMIF('9店辅助表'!AW:AW,B:B,'9店辅助表'!AX:AX)+M27)/2),"-")</f>
        <v>0.292682926829268</v>
      </c>
      <c r="AI27" s="100">
        <f>IFERROR((SUMIF('9店辅助表'!AP:AP,B:B,'9店辅助表'!AR:AR)-SUMIF('9店辅助表'!AP:AP,B:B,'9店辅助表'!AR:AR)*0.15-(L27+IFERROR(VLOOKUP(B:B,'9店辅助表'!AZ:BA,2,0),0))*O27-IF(AN:AN="US",6.85,4.9)*(Z27+4.27*O27))/SUMIF('9店辅助表'!AP:AP,B:B,'9店辅助表'!AR:AR),"-")</f>
        <v>0.0472919464532891</v>
      </c>
      <c r="AJ27" s="100">
        <f t="shared" si="19"/>
        <v>0.0138415453034017</v>
      </c>
      <c r="AK27" s="101">
        <f t="shared" si="20"/>
        <v>55.6</v>
      </c>
      <c r="AL27" s="101">
        <f t="shared" si="21"/>
        <v>83.4</v>
      </c>
      <c r="AM27" s="1" t="str">
        <f>VLOOKUP(B:B,'9店辅助表'!AZ:AZ,1,FALSE)</f>
        <v>Y93230-OR+Y903231+Y93240</v>
      </c>
      <c r="AN27" t="str">
        <f>VLOOKUP(B:B,'9店辅助表'!AZ:BB,3,FALSE)</f>
        <v>US</v>
      </c>
    </row>
    <row r="28" customHeight="1" spans="1:40">
      <c r="A28" s="58" t="s">
        <v>1431</v>
      </c>
      <c r="B28" s="45" t="s">
        <v>3094</v>
      </c>
      <c r="C28" s="45" t="s">
        <v>3095</v>
      </c>
      <c r="D28" s="59"/>
      <c r="E28" s="45" t="s">
        <v>3096</v>
      </c>
      <c r="F28" s="45">
        <v>1</v>
      </c>
      <c r="G28" s="45">
        <v>0</v>
      </c>
      <c r="H28" s="45">
        <v>10</v>
      </c>
      <c r="I28" s="45">
        <v>0</v>
      </c>
      <c r="J28" s="45">
        <v>0</v>
      </c>
      <c r="K28" s="63">
        <f t="shared" si="11"/>
        <v>11</v>
      </c>
      <c r="L28" s="64">
        <v>13.9</v>
      </c>
      <c r="M28" s="44">
        <f t="shared" si="22"/>
        <v>152.9</v>
      </c>
      <c r="N28" s="65">
        <f>IFERROR(VLOOKUP(B:B,'9店辅助表'!B:C,2,FALSE),0)</f>
        <v>0</v>
      </c>
      <c r="O28" s="65">
        <f>IFERROR(VLOOKUP(B:B,'9店辅助表'!E:F,2,FALSE),0)</f>
        <v>0</v>
      </c>
      <c r="P28" s="65">
        <f>IFERROR(VLOOKUP(B:B,'9店辅助表'!H:I,2,FALSE),0)</f>
        <v>0</v>
      </c>
      <c r="Q28" s="65">
        <f>IFERROR(VLOOKUP(B:B,'[1]9店'!$B:$N,13,FALSE),0)</f>
        <v>0</v>
      </c>
      <c r="R28" s="79">
        <f t="shared" si="12"/>
        <v>0</v>
      </c>
      <c r="S28" s="80" t="str">
        <f t="shared" si="13"/>
        <v>-</v>
      </c>
      <c r="T28" s="44" t="str">
        <f t="shared" si="14"/>
        <v>-</v>
      </c>
      <c r="U28" s="44" t="str">
        <f>IFERROR(VLOOKUP(B:B,'[1]9店'!$B:$T,19,0),"-")</f>
        <v>-</v>
      </c>
      <c r="V28" s="81" t="str">
        <f t="shared" si="15"/>
        <v>-</v>
      </c>
      <c r="W28" s="82" t="str">
        <f t="shared" si="16"/>
        <v>有库存无销量</v>
      </c>
      <c r="X28" s="83" t="str">
        <f t="shared" si="17"/>
        <v>有库存无销量</v>
      </c>
      <c r="Y28" s="44">
        <f>IFERROR(SUMIF('9店辅助表'!K:K,B:B,'9店辅助表'!N:N),0)</f>
        <v>0</v>
      </c>
      <c r="Z28" s="44">
        <f>IFERROR(SUMIF('9店辅助表'!T:T,B:B,'9店辅助表'!W:W),0)</f>
        <v>0</v>
      </c>
      <c r="AA28" s="44">
        <f>IFERROR(SUMIF('9店辅助表'!AC:AC,B:B,'9店辅助表'!AF:AF),0)</f>
        <v>0</v>
      </c>
      <c r="AB28" s="91" t="str">
        <f>IFERROR(SUMIF('9店辅助表'!K:K,B:B,'9店辅助表'!N:N)/SUMIF('9店辅助表'!K:K,B:B,'9店辅助表'!O:O),"-")</f>
        <v>-</v>
      </c>
      <c r="AC28" s="91" t="str">
        <f>IFERROR(VLOOKUP(B:B,'[1]9店'!$B:$AB,27,FALSE),"-")</f>
        <v>-</v>
      </c>
      <c r="AD28" s="92" t="str">
        <f t="shared" si="18"/>
        <v>-</v>
      </c>
      <c r="AE28" s="91" t="str">
        <f>IFERROR(SUMIF('9店辅助表'!T:T,B:B,'9店辅助表'!W:W)/SUMIF('9店辅助表'!T:T,B:B,'9店辅助表'!X:X),"-")</f>
        <v>-</v>
      </c>
      <c r="AF28" s="91" t="str">
        <f>IFERROR(SUMIF('9店辅助表'!AC:AC,B:B,'9店辅助表'!AF:AF)/SUMIF('9店辅助表'!AC:AC,B:B,'9店辅助表'!AG:AG),"-")</f>
        <v>-</v>
      </c>
      <c r="AG28" s="99">
        <f>IFERROR(AK28/((SUMIF('9店辅助表'!AT:AT,B:B,'9店辅助表'!AU:AU)+M28)/2),"-")</f>
        <v>0</v>
      </c>
      <c r="AH28" s="99">
        <f>IFERROR(AL28/((SUMIF('9店辅助表'!AW:AW,B:B,'9店辅助表'!AX:AX)+M28)/2),"-")</f>
        <v>0</v>
      </c>
      <c r="AI28" s="100" t="str">
        <f>IFERROR((SUMIF('9店辅助表'!AP:AP,B:B,'9店辅助表'!AR:AR)-SUMIF('9店辅助表'!AP:AP,B:B,'9店辅助表'!AR:AR)*0.15-(L28+IFERROR(VLOOKUP(B:B,'9店辅助表'!AZ:BA,2,0),0))*O28-IF(AN:AN="US",6.85,4.9)*(Z28+4.27*O28))/SUMIF('9店辅助表'!AP:AP,B:B,'9店辅助表'!AR:AR),"-")</f>
        <v>-</v>
      </c>
      <c r="AJ28" s="100" t="str">
        <f t="shared" si="19"/>
        <v>-</v>
      </c>
      <c r="AK28" s="101">
        <f t="shared" si="20"/>
        <v>0</v>
      </c>
      <c r="AL28" s="101">
        <f t="shared" si="21"/>
        <v>0</v>
      </c>
      <c r="AM28" s="1" t="str">
        <f>VLOOKUP(B:B,'9店辅助表'!AZ:AZ,1,FALSE)</f>
        <v>Y9029-BU+Y9030+Y9031</v>
      </c>
      <c r="AN28" t="str">
        <f>VLOOKUP(B:B,'9店辅助表'!AZ:BB,3,FALSE)</f>
        <v>US</v>
      </c>
    </row>
    <row r="29" customHeight="1" spans="1:40">
      <c r="A29" s="58" t="str">
        <f>INDEX('[1]9店'!$A:$A,MATCH(B:B,'[1]9店'!$B:$B,0))</f>
        <v>美珠</v>
      </c>
      <c r="B29" s="45" t="s">
        <v>3097</v>
      </c>
      <c r="C29" s="45" t="s">
        <v>3098</v>
      </c>
      <c r="D29" s="59"/>
      <c r="E29" s="45" t="s">
        <v>3099</v>
      </c>
      <c r="F29" s="45">
        <v>3</v>
      </c>
      <c r="G29" s="45">
        <v>0</v>
      </c>
      <c r="H29" s="45">
        <v>0</v>
      </c>
      <c r="I29" s="45">
        <v>0</v>
      </c>
      <c r="J29" s="45">
        <v>0</v>
      </c>
      <c r="K29" s="63">
        <f t="shared" si="11"/>
        <v>3</v>
      </c>
      <c r="L29" s="64">
        <f>IFERROR(VLOOKUP($B:$B,'[1]9店'!$B:$L,11,0),0)</f>
        <v>13.9</v>
      </c>
      <c r="M29" s="44">
        <f t="shared" si="22"/>
        <v>41.7</v>
      </c>
      <c r="N29" s="65">
        <f>IFERROR(VLOOKUP(B:B,'9店辅助表'!B:C,2,FALSE),0)</f>
        <v>0</v>
      </c>
      <c r="O29" s="65">
        <f>IFERROR(VLOOKUP(B:B,'9店辅助表'!E:F,2,FALSE),0)</f>
        <v>0</v>
      </c>
      <c r="P29" s="65">
        <f>IFERROR(VLOOKUP(B:B,'9店辅助表'!H:I,2,FALSE),0)</f>
        <v>1</v>
      </c>
      <c r="Q29" s="65">
        <f>IFERROR(VLOOKUP(B:B,'[1]9店'!$B:$N,13,FALSE),0)</f>
        <v>0</v>
      </c>
      <c r="R29" s="79">
        <f t="shared" si="12"/>
        <v>0</v>
      </c>
      <c r="S29" s="80">
        <f t="shared" si="13"/>
        <v>270</v>
      </c>
      <c r="T29" s="44">
        <f t="shared" si="14"/>
        <v>9</v>
      </c>
      <c r="U29" s="44">
        <f>IFERROR(VLOOKUP(B:B,'[1]9店'!$B:$T,19,0),"-")</f>
        <v>3</v>
      </c>
      <c r="V29" s="81">
        <f t="shared" si="15"/>
        <v>6</v>
      </c>
      <c r="W29" s="82" t="str">
        <f t="shared" si="16"/>
        <v>有库存无销量</v>
      </c>
      <c r="X29" s="83" t="str">
        <f t="shared" si="17"/>
        <v>库存过高</v>
      </c>
      <c r="Y29" s="44">
        <f>IFERROR(SUMIF('9店辅助表'!K:K,B:B,'9店辅助表'!N:N),0)</f>
        <v>1.36</v>
      </c>
      <c r="Z29" s="44">
        <f>IFERROR(SUMIF('9店辅助表'!T:T,B:B,'9店辅助表'!W:W),0)</f>
        <v>2.87</v>
      </c>
      <c r="AA29" s="44">
        <f>IFERROR(SUMIF('9店辅助表'!AC:AC,B:B,'9店辅助表'!AF:AF),0)</f>
        <v>4.67</v>
      </c>
      <c r="AB29" s="91" t="str">
        <f>IFERROR(SUMIF('9店辅助表'!K:K,B:B,'9店辅助表'!N:N)/SUMIF('9店辅助表'!K:K,B:B,'9店辅助表'!O:O),"-")</f>
        <v>-</v>
      </c>
      <c r="AC29" s="91" t="str">
        <f>IFERROR(VLOOKUP(B:B,'[1]9店'!$B:$AB,27,FALSE),"-")</f>
        <v>-</v>
      </c>
      <c r="AD29" s="92" t="str">
        <f t="shared" si="18"/>
        <v>-</v>
      </c>
      <c r="AE29" s="91" t="str">
        <f>IFERROR(SUMIF('9店辅助表'!T:T,B:B,'9店辅助表'!W:W)/SUMIF('9店辅助表'!T:T,B:B,'9店辅助表'!X:X),"-")</f>
        <v>-</v>
      </c>
      <c r="AF29" s="91">
        <f>IFERROR(SUMIF('9店辅助表'!AC:AC,B:B,'9店辅助表'!AF:AF)/SUMIF('9店辅助表'!AC:AC,B:B,'9店辅助表'!AG:AG),"-")</f>
        <v>0.359507313317937</v>
      </c>
      <c r="AG29" s="99">
        <f>IFERROR(AK29/((SUMIF('9店辅助表'!AT:AT,B:B,'9店辅助表'!AU:AU)+M29)/2),"-")</f>
        <v>0</v>
      </c>
      <c r="AH29" s="99">
        <f>IFERROR(AL29/((SUMIF('9店辅助表'!AW:AW,B:B,'9店辅助表'!AX:AX)+M29)/2),"-")</f>
        <v>0</v>
      </c>
      <c r="AI29" s="100" t="str">
        <f>IFERROR((SUMIF('9店辅助表'!AP:AP,B:B,'9店辅助表'!AR:AR)-SUMIF('9店辅助表'!AP:AP,B:B,'9店辅助表'!AR:AR)*0.15-(L29+IFERROR(VLOOKUP(B:B,'9店辅助表'!AZ:BA,2,0),0))*O29-IF(AN:AN="US",6.85,4.9)*(Z29+4.27*O29))/SUMIF('9店辅助表'!AP:AP,B:B,'9店辅助表'!AR:AR),"-")</f>
        <v>-</v>
      </c>
      <c r="AJ29" s="100" t="str">
        <f t="shared" si="19"/>
        <v>-</v>
      </c>
      <c r="AK29" s="101">
        <f t="shared" si="20"/>
        <v>0</v>
      </c>
      <c r="AL29" s="101">
        <f t="shared" si="21"/>
        <v>0</v>
      </c>
      <c r="AM29" s="1" t="str">
        <f>VLOOKUP(B:B,'9店辅助表'!AZ:AZ,1,FALSE)</f>
        <v>Y9029-DB+Y9030+Y9031</v>
      </c>
      <c r="AN29" t="str">
        <f>VLOOKUP(B:B,'9店辅助表'!AZ:BB,3,FALSE)</f>
        <v>US</v>
      </c>
    </row>
    <row r="30" customHeight="1" spans="1:40">
      <c r="A30" s="58" t="str">
        <f>INDEX('[1]9店'!$A:$A,MATCH(B:B,'[1]9店'!$B:$B,0))</f>
        <v>美珠</v>
      </c>
      <c r="B30" s="45" t="s">
        <v>3100</v>
      </c>
      <c r="C30" s="45" t="s">
        <v>3101</v>
      </c>
      <c r="D30" s="59"/>
      <c r="E30" s="45" t="s">
        <v>3102</v>
      </c>
      <c r="F30" s="45">
        <v>6</v>
      </c>
      <c r="G30" s="45">
        <v>0</v>
      </c>
      <c r="H30" s="45">
        <v>0</v>
      </c>
      <c r="I30" s="45">
        <v>0</v>
      </c>
      <c r="J30" s="45">
        <v>0</v>
      </c>
      <c r="K30" s="63">
        <f t="shared" si="11"/>
        <v>6</v>
      </c>
      <c r="L30" s="64">
        <f>IFERROR(VLOOKUP($B:$B,'[1]9店'!$B:$L,11,0),0)</f>
        <v>13.9</v>
      </c>
      <c r="M30" s="44">
        <f t="shared" si="22"/>
        <v>83.4</v>
      </c>
      <c r="N30" s="65">
        <f>IFERROR(VLOOKUP(B:B,'9店辅助表'!B:C,2,FALSE),0)</f>
        <v>1</v>
      </c>
      <c r="O30" s="65">
        <f>IFERROR(VLOOKUP(B:B,'9店辅助表'!E:F,2,FALSE),0)</f>
        <v>1</v>
      </c>
      <c r="P30" s="65">
        <f>IFERROR(VLOOKUP(B:B,'9店辅助表'!H:I,2,FALSE),0)</f>
        <v>3</v>
      </c>
      <c r="Q30" s="65">
        <f>IFERROR(VLOOKUP(B:B,'[1]9店'!$B:$N,13,FALSE),0)</f>
        <v>0</v>
      </c>
      <c r="R30" s="79">
        <f t="shared" si="12"/>
        <v>1</v>
      </c>
      <c r="S30" s="80">
        <f t="shared" si="13"/>
        <v>58.1538461538461</v>
      </c>
      <c r="T30" s="44">
        <f t="shared" si="14"/>
        <v>1.93846153846154</v>
      </c>
      <c r="U30" s="44">
        <f>IFERROR(VLOOKUP(B:B,'[1]9店'!$B:$T,19,0),"-")</f>
        <v>3</v>
      </c>
      <c r="V30" s="81">
        <f t="shared" si="15"/>
        <v>-1.06153846153846</v>
      </c>
      <c r="W30" s="82" t="str">
        <f t="shared" si="16"/>
        <v>正常</v>
      </c>
      <c r="X30" s="83" t="str">
        <f t="shared" si="17"/>
        <v>库存过高</v>
      </c>
      <c r="Y30" s="44">
        <f>IFERROR(SUMIF('9店辅助表'!K:K,B:B,'9店辅助表'!N:N),0)</f>
        <v>0.42</v>
      </c>
      <c r="Z30" s="44">
        <f>IFERROR(SUMIF('9店辅助表'!T:T,B:B,'9店辅助表'!W:W),0)</f>
        <v>2.96</v>
      </c>
      <c r="AA30" s="44">
        <f>IFERROR(SUMIF('9店辅助表'!AC:AC,B:B,'9店辅助表'!AF:AF),0)</f>
        <v>5.71</v>
      </c>
      <c r="AB30" s="91">
        <f>IFERROR(SUMIF('9店辅助表'!K:K,B:B,'9店辅助表'!N:N)/SUMIF('9店辅助表'!K:K,B:B,'9店辅助表'!O:O),"-")</f>
        <v>0.0323325635103926</v>
      </c>
      <c r="AC30" s="91" t="str">
        <f>IFERROR(VLOOKUP(B:B,'[1]9店'!$B:$AB,27,FALSE),"-")</f>
        <v>-</v>
      </c>
      <c r="AD30" s="92" t="str">
        <f t="shared" si="18"/>
        <v>-</v>
      </c>
      <c r="AE30" s="91">
        <f>IFERROR(SUMIF('9店辅助表'!T:T,B:B,'9店辅助表'!W:W)/SUMIF('9店辅助表'!T:T,B:B,'9店辅助表'!X:X),"-")</f>
        <v>0.227867590454196</v>
      </c>
      <c r="AF30" s="91">
        <f>IFERROR(SUMIF('9店辅助表'!AC:AC,B:B,'9店辅助表'!AF:AF)/SUMIF('9店辅助表'!AC:AC,B:B,'9店辅助表'!AG:AG),"-")</f>
        <v>0.219784449576597</v>
      </c>
      <c r="AG30" s="99">
        <f>IFERROR(AK30/((SUMIF('9店辅助表'!AT:AT,B:B,'9店辅助表'!AU:AU)+M30)/2),"-")</f>
        <v>0.166666666666667</v>
      </c>
      <c r="AH30" s="99">
        <f>IFERROR(AL30/((SUMIF('9店辅助表'!AW:AW,B:B,'9店辅助表'!AX:AX)+M30)/2),"-")</f>
        <v>0.2</v>
      </c>
      <c r="AI30" s="100">
        <f>IFERROR((SUMIF('9店辅助表'!AP:AP,B:B,'9店辅助表'!AR:AR)-SUMIF('9店辅助表'!AP:AP,B:B,'9店辅助表'!AR:AR)*0.15-(L30+IFERROR(VLOOKUP(B:B,'9店辅助表'!AZ:BA,2,0),0))*O30-IF(AN:AN="US",6.85,4.9)*(Z30+4.27*O30))/SUMIF('9店辅助表'!AP:AP,B:B,'9店辅助表'!AR:AR),"-")</f>
        <v>0.0642692582165957</v>
      </c>
      <c r="AJ30" s="100">
        <f t="shared" si="19"/>
        <v>0.0128538516433191</v>
      </c>
      <c r="AK30" s="101">
        <f t="shared" si="20"/>
        <v>13.9</v>
      </c>
      <c r="AL30" s="101">
        <f t="shared" si="21"/>
        <v>13.9</v>
      </c>
      <c r="AM30" s="1" t="str">
        <f>VLOOKUP(B:B,'9店辅助表'!AZ:AZ,1,FALSE)</f>
        <v>Y9029-OR+Y9030+Y9031</v>
      </c>
      <c r="AN30" t="str">
        <f>VLOOKUP(B:B,'9店辅助表'!AZ:BB,3,FALSE)</f>
        <v>US</v>
      </c>
    </row>
    <row r="31" customHeight="1" spans="1:40">
      <c r="A31" s="58" t="str">
        <f>INDEX('[1]9店'!$A:$A,MATCH(B:B,'[1]9店'!$B:$B,0))</f>
        <v>美珠</v>
      </c>
      <c r="B31" s="45" t="s">
        <v>3103</v>
      </c>
      <c r="C31" s="45" t="s">
        <v>2170</v>
      </c>
      <c r="D31" s="59"/>
      <c r="E31" s="45" t="s">
        <v>3104</v>
      </c>
      <c r="F31" s="45">
        <v>23</v>
      </c>
      <c r="G31" s="45">
        <v>0</v>
      </c>
      <c r="H31" s="45">
        <v>0</v>
      </c>
      <c r="I31" s="45">
        <v>0</v>
      </c>
      <c r="J31" s="45">
        <v>0</v>
      </c>
      <c r="K31" s="63">
        <f t="shared" si="11"/>
        <v>23</v>
      </c>
      <c r="L31" s="64">
        <f>IFERROR(VLOOKUP($B:$B,'[1]9店'!$B:$L,11,0),0)</f>
        <v>13.9</v>
      </c>
      <c r="M31" s="44">
        <f t="shared" si="22"/>
        <v>319.7</v>
      </c>
      <c r="N31" s="65">
        <f>IFERROR(VLOOKUP(B:B,'9店辅助表'!B:C,2,FALSE),0)</f>
        <v>0</v>
      </c>
      <c r="O31" s="65">
        <f>IFERROR(VLOOKUP(B:B,'9店辅助表'!E:F,2,FALSE),0)</f>
        <v>0</v>
      </c>
      <c r="P31" s="65">
        <f>IFERROR(VLOOKUP(B:B,'9店辅助表'!H:I,2,FALSE),0)</f>
        <v>0</v>
      </c>
      <c r="Q31" s="65">
        <f>IFERROR(VLOOKUP(B:B,'[1]9店'!$B:$N,13,FALSE),0)</f>
        <v>0</v>
      </c>
      <c r="R31" s="79">
        <f t="shared" si="12"/>
        <v>0</v>
      </c>
      <c r="S31" s="80" t="str">
        <f t="shared" si="13"/>
        <v>-</v>
      </c>
      <c r="T31" s="44" t="str">
        <f t="shared" si="14"/>
        <v>-</v>
      </c>
      <c r="U31" s="44">
        <f>IFERROR(VLOOKUP(B:B,'[1]9店'!$B:$T,19,0),"-")</f>
        <v>34.5</v>
      </c>
      <c r="V31" s="81" t="str">
        <f t="shared" si="15"/>
        <v>-</v>
      </c>
      <c r="W31" s="82" t="str">
        <f t="shared" si="16"/>
        <v>有库存无销量</v>
      </c>
      <c r="X31" s="83" t="str">
        <f t="shared" si="17"/>
        <v>有库存无销量</v>
      </c>
      <c r="Y31" s="44">
        <f>IFERROR(SUMIF('9店辅助表'!K:K,B:B,'9店辅助表'!N:N),0)</f>
        <v>0.45</v>
      </c>
      <c r="Z31" s="44">
        <f>IFERROR(SUMIF('9店辅助表'!T:T,B:B,'9店辅助表'!W:W),0)</f>
        <v>1.1</v>
      </c>
      <c r="AA31" s="44">
        <f>IFERROR(SUMIF('9店辅助表'!AC:AC,B:B,'9店辅助表'!AF:AF),0)</f>
        <v>2.21</v>
      </c>
      <c r="AB31" s="91" t="str">
        <f>IFERROR(SUMIF('9店辅助表'!K:K,B:B,'9店辅助表'!N:N)/SUMIF('9店辅助表'!K:K,B:B,'9店辅助表'!O:O),"-")</f>
        <v>-</v>
      </c>
      <c r="AC31" s="91" t="str">
        <f>IFERROR(VLOOKUP(B:B,'[1]9店'!$B:$AB,27,FALSE),"-")</f>
        <v>-</v>
      </c>
      <c r="AD31" s="92" t="str">
        <f t="shared" si="18"/>
        <v>-</v>
      </c>
      <c r="AE31" s="91" t="str">
        <f>IFERROR(SUMIF('9店辅助表'!T:T,B:B,'9店辅助表'!W:W)/SUMIF('9店辅助表'!T:T,B:B,'9店辅助表'!X:X),"-")</f>
        <v>-</v>
      </c>
      <c r="AF31" s="91" t="str">
        <f>IFERROR(SUMIF('9店辅助表'!AC:AC,B:B,'9店辅助表'!AF:AF)/SUMIF('9店辅助表'!AC:AC,B:B,'9店辅助表'!AG:AG),"-")</f>
        <v>-</v>
      </c>
      <c r="AG31" s="99">
        <f>IFERROR(AK31/((SUMIF('9店辅助表'!AT:AT,B:B,'9店辅助表'!AU:AU)+M31)/2),"-")</f>
        <v>0</v>
      </c>
      <c r="AH31" s="99">
        <f>IFERROR(AL31/((SUMIF('9店辅助表'!AW:AW,B:B,'9店辅助表'!AX:AX)+M31)/2),"-")</f>
        <v>0</v>
      </c>
      <c r="AI31" s="100" t="str">
        <f>IFERROR((SUMIF('9店辅助表'!AP:AP,B:B,'9店辅助表'!AR:AR)-SUMIF('9店辅助表'!AP:AP,B:B,'9店辅助表'!AR:AR)*0.15-(L31+IFERROR(VLOOKUP(B:B,'9店辅助表'!AZ:BA,2,0),0))*O31-IF(AN:AN="US",6.85,4.9)*(Z31+4.27*O31))/SUMIF('9店辅助表'!AP:AP,B:B,'9店辅助表'!AR:AR),"-")</f>
        <v>-</v>
      </c>
      <c r="AJ31" s="100" t="str">
        <f t="shared" si="19"/>
        <v>-</v>
      </c>
      <c r="AK31" s="101">
        <f t="shared" si="20"/>
        <v>0</v>
      </c>
      <c r="AL31" s="101">
        <f t="shared" si="21"/>
        <v>0</v>
      </c>
      <c r="AM31" s="1" t="str">
        <f>VLOOKUP(B:B,'9店辅助表'!AZ:AZ,1,FALSE)</f>
        <v>Y93475-GR+Y92615+Y93478</v>
      </c>
      <c r="AN31" t="str">
        <f>VLOOKUP(B:B,'9店辅助表'!AZ:BB,3,FALSE)</f>
        <v>US</v>
      </c>
    </row>
    <row r="32" customHeight="1" spans="1:40">
      <c r="A32" s="58" t="str">
        <f>INDEX('[1]9店'!$A:$A,MATCH(B:B,'[1]9店'!$B:$B,0))</f>
        <v>美珠</v>
      </c>
      <c r="B32" s="45" t="s">
        <v>3105</v>
      </c>
      <c r="C32" s="45" t="s">
        <v>3106</v>
      </c>
      <c r="D32" s="59"/>
      <c r="E32" s="45" t="s">
        <v>3107</v>
      </c>
      <c r="F32" s="45">
        <v>1</v>
      </c>
      <c r="G32" s="45">
        <v>0</v>
      </c>
      <c r="H32" s="45">
        <v>0</v>
      </c>
      <c r="I32" s="45">
        <v>0</v>
      </c>
      <c r="J32" s="45">
        <v>0</v>
      </c>
      <c r="K32" s="63">
        <f t="shared" si="11"/>
        <v>1</v>
      </c>
      <c r="L32" s="64">
        <f>IFERROR(VLOOKUP($B:$B,'[1]9店'!$B:$L,11,0),0)</f>
        <v>13.9</v>
      </c>
      <c r="M32" s="44">
        <f t="shared" si="22"/>
        <v>13.9</v>
      </c>
      <c r="N32" s="65">
        <f>IFERROR(VLOOKUP(B:B,'9店辅助表'!B:C,2,FALSE),0)</f>
        <v>2</v>
      </c>
      <c r="O32" s="65">
        <f>IFERROR(VLOOKUP(B:B,'9店辅助表'!E:F,2,FALSE),0)</f>
        <v>3</v>
      </c>
      <c r="P32" s="65">
        <f>IFERROR(VLOOKUP(B:B,'9店辅助表'!H:I,2,FALSE),0)</f>
        <v>4</v>
      </c>
      <c r="Q32" s="65">
        <f>IFERROR(VLOOKUP(B:B,'[1]9店'!$B:$N,13,FALSE),0)</f>
        <v>1</v>
      </c>
      <c r="R32" s="79">
        <f t="shared" si="12"/>
        <v>1</v>
      </c>
      <c r="S32" s="80">
        <f t="shared" si="13"/>
        <v>4.84615384615385</v>
      </c>
      <c r="T32" s="44">
        <f t="shared" si="14"/>
        <v>0.161538461538462</v>
      </c>
      <c r="U32" s="44">
        <f>IFERROR(VLOOKUP(B:B,'[1]9店'!$B:$T,19,0),"-")</f>
        <v>0.291666666666667</v>
      </c>
      <c r="V32" s="81">
        <f t="shared" si="15"/>
        <v>-0.130128205128205</v>
      </c>
      <c r="W32" s="82" t="str">
        <f t="shared" si="16"/>
        <v>库存过低</v>
      </c>
      <c r="X32" s="83" t="str">
        <f t="shared" si="17"/>
        <v>库存过低</v>
      </c>
      <c r="Y32" s="44">
        <f>IFERROR(SUMIF('9店辅助表'!K:K,B:B,'9店辅助表'!N:N),0)</f>
        <v>2.74</v>
      </c>
      <c r="Z32" s="44">
        <f>IFERROR(SUMIF('9店辅助表'!T:T,B:B,'9店辅助表'!W:W),0)</f>
        <v>7.42</v>
      </c>
      <c r="AA32" s="44">
        <f>IFERROR(SUMIF('9店辅助表'!AC:AC,B:B,'9店辅助表'!AF:AF),0)</f>
        <v>13.39</v>
      </c>
      <c r="AB32" s="91">
        <f>IFERROR(SUMIF('9店辅助表'!K:K,B:B,'9店辅助表'!N:N)/SUMIF('9店辅助表'!K:K,B:B,'9店辅助表'!O:O),"-")</f>
        <v>0.210931485758276</v>
      </c>
      <c r="AC32" s="91">
        <f>IFERROR(VLOOKUP(B:B,'[1]9店'!$B:$AB,27,FALSE),"-")</f>
        <v>0.308462238398544</v>
      </c>
      <c r="AD32" s="92">
        <f t="shared" si="18"/>
        <v>-0.097530752640268</v>
      </c>
      <c r="AE32" s="91">
        <f>IFERROR(SUMIF('9店辅助表'!T:T,B:B,'9店辅助表'!W:W)/SUMIF('9店辅助表'!T:T,B:B,'9店辅助表'!X:X),"-")</f>
        <v>0.309424520433695</v>
      </c>
      <c r="AF32" s="91">
        <f>IFERROR(SUMIF('9店辅助表'!AC:AC,B:B,'9店辅助表'!AF:AF)/SUMIF('9店辅助表'!AC:AC,B:B,'9店辅助表'!AG:AG),"-")</f>
        <v>0.3621855558561</v>
      </c>
      <c r="AG32" s="99">
        <f>IFERROR(AK32/((SUMIF('9店辅助表'!AT:AT,B:B,'9店辅助表'!AU:AU)+M32)/2),"-")</f>
        <v>2</v>
      </c>
      <c r="AH32" s="99">
        <f>IFERROR(AL32/((SUMIF('9店辅助表'!AW:AW,B:B,'9店辅助表'!AX:AX)+M32)/2),"-")</f>
        <v>1</v>
      </c>
      <c r="AI32" s="100">
        <f>IFERROR((SUMIF('9店辅助表'!AP:AP,B:B,'9店辅助表'!AR:AR)-SUMIF('9店辅助表'!AP:AP,B:B,'9店辅助表'!AR:AR)*0.15-(L32+IFERROR(VLOOKUP(B:B,'9店辅助表'!AZ:BA,2,0),0))*O32-IF(AN:AN="US",6.85,4.9)*(Z32+4.27*O32))/SUMIF('9店辅助表'!AP:AP,B:B,'9店辅助表'!AR:AR),"-")</f>
        <v>0.079275571351162</v>
      </c>
      <c r="AJ32" s="100">
        <f t="shared" si="19"/>
        <v>0.079275571351162</v>
      </c>
      <c r="AK32" s="101">
        <f t="shared" si="20"/>
        <v>27.8</v>
      </c>
      <c r="AL32" s="101">
        <f t="shared" si="21"/>
        <v>41.7</v>
      </c>
      <c r="AM32" s="1" t="str">
        <f>VLOOKUP(B:B,'9店辅助表'!AZ:AZ,1,FALSE)</f>
        <v>Y93756-BL+Y93757+Y93760</v>
      </c>
      <c r="AN32" t="str">
        <f>VLOOKUP(B:B,'9店辅助表'!AZ:BB,3,FALSE)</f>
        <v>US</v>
      </c>
    </row>
    <row r="33" customHeight="1" spans="1:40">
      <c r="A33" s="58" t="str">
        <f>INDEX('[1]9店'!$A:$A,MATCH(B:B,'[1]9店'!$B:$B,0))</f>
        <v>美珠</v>
      </c>
      <c r="B33" s="45" t="s">
        <v>3108</v>
      </c>
      <c r="C33" s="45" t="s">
        <v>3109</v>
      </c>
      <c r="D33" s="59"/>
      <c r="E33" s="45" t="s">
        <v>3110</v>
      </c>
      <c r="F33" s="45">
        <v>6</v>
      </c>
      <c r="G33" s="45">
        <v>0</v>
      </c>
      <c r="H33" s="45">
        <v>0</v>
      </c>
      <c r="I33" s="45">
        <v>0</v>
      </c>
      <c r="J33" s="45">
        <v>0</v>
      </c>
      <c r="K33" s="63">
        <f t="shared" si="11"/>
        <v>6</v>
      </c>
      <c r="L33" s="64">
        <f>IFERROR(VLOOKUP($B:$B,'[1]9店'!$B:$L,11,0),0)</f>
        <v>13.9</v>
      </c>
      <c r="M33" s="44">
        <f t="shared" si="22"/>
        <v>83.4</v>
      </c>
      <c r="N33" s="65">
        <f>IFERROR(VLOOKUP(B:B,'9店辅助表'!B:C,2,FALSE),0)</f>
        <v>1</v>
      </c>
      <c r="O33" s="65">
        <f>IFERROR(VLOOKUP(B:B,'9店辅助表'!E:F,2,FALSE),0)</f>
        <v>3</v>
      </c>
      <c r="P33" s="65">
        <f>IFERROR(VLOOKUP(B:B,'9店辅助表'!H:I,2,FALSE),0)</f>
        <v>5</v>
      </c>
      <c r="Q33" s="65">
        <f>IFERROR(VLOOKUP(B:B,'[1]9店'!$B:$N,13,FALSE),0)</f>
        <v>2</v>
      </c>
      <c r="R33" s="79">
        <f t="shared" si="12"/>
        <v>-1</v>
      </c>
      <c r="S33" s="80">
        <f t="shared" si="13"/>
        <v>35.3271028037383</v>
      </c>
      <c r="T33" s="44">
        <f t="shared" si="14"/>
        <v>1.17757009345794</v>
      </c>
      <c r="U33" s="44">
        <f>IFERROR(VLOOKUP(B:B,'[1]9店'!$B:$T,19,0),"-")</f>
        <v>1.19620253164557</v>
      </c>
      <c r="V33" s="81">
        <f t="shared" si="15"/>
        <v>-0.0186324381876299</v>
      </c>
      <c r="W33" s="82" t="str">
        <f t="shared" si="16"/>
        <v>正常</v>
      </c>
      <c r="X33" s="83" t="str">
        <f t="shared" si="17"/>
        <v>正常</v>
      </c>
      <c r="Y33" s="44">
        <f>IFERROR(SUMIF('9店辅助表'!K:K,B:B,'9店辅助表'!N:N),0)</f>
        <v>0.77</v>
      </c>
      <c r="Z33" s="44">
        <f>IFERROR(SUMIF('9店辅助表'!T:T,B:B,'9店辅助表'!W:W),0)</f>
        <v>1.05</v>
      </c>
      <c r="AA33" s="44">
        <f>IFERROR(SUMIF('9店辅助表'!AC:AC,B:B,'9店辅助表'!AF:AF),0)</f>
        <v>1.34</v>
      </c>
      <c r="AB33" s="91" t="str">
        <f>IFERROR(SUMIF('9店辅助表'!K:K,B:B,'9店辅助表'!N:N)/SUMIF('9店辅助表'!K:K,B:B,'9店辅助表'!O:O),"-")</f>
        <v>-</v>
      </c>
      <c r="AC33" s="91" t="str">
        <f>IFERROR(VLOOKUP(B:B,'[1]9店'!$B:$AB,27,FALSE),"-")</f>
        <v>-</v>
      </c>
      <c r="AD33" s="92" t="str">
        <f t="shared" si="18"/>
        <v>-</v>
      </c>
      <c r="AE33" s="91" t="str">
        <f>IFERROR(SUMIF('9店辅助表'!T:T,B:B,'9店辅助表'!W:W)/SUMIF('9店辅助表'!T:T,B:B,'9店辅助表'!X:X),"-")</f>
        <v>-</v>
      </c>
      <c r="AF33" s="91" t="str">
        <f>IFERROR(SUMIF('9店辅助表'!AC:AC,B:B,'9店辅助表'!AF:AF)/SUMIF('9店辅助表'!AC:AC,B:B,'9店辅助表'!AG:AG),"-")</f>
        <v>-</v>
      </c>
      <c r="AG33" s="99">
        <f>IFERROR(AK33/((SUMIF('9店辅助表'!AT:AT,B:B,'9店辅助表'!AU:AU)+M33)/2),"-")</f>
        <v>0.133333333333333</v>
      </c>
      <c r="AH33" s="99">
        <f>IFERROR(AL33/((SUMIF('9店辅助表'!AW:AW,B:B,'9店辅助表'!AX:AX)+M33)/2),"-")</f>
        <v>0.352941176470588</v>
      </c>
      <c r="AI33" s="100">
        <f>IFERROR((SUMIF('9店辅助表'!AP:AP,B:B,'9店辅助表'!AR:AR)-SUMIF('9店辅助表'!AP:AP,B:B,'9店辅助表'!AR:AR)*0.15-(L33+IFERROR(VLOOKUP(B:B,'9店辅助表'!AZ:BA,2,0),0))*O33-IF(AN:AN="US",6.85,4.9)*(Z33+4.27*O33))/SUMIF('9店辅助表'!AP:AP,B:B,'9店辅助表'!AR:AR),"-")</f>
        <v>0.197574250295874</v>
      </c>
      <c r="AJ33" s="100">
        <f t="shared" si="19"/>
        <v>0.0697320883397203</v>
      </c>
      <c r="AK33" s="101">
        <f t="shared" si="20"/>
        <v>13.9</v>
      </c>
      <c r="AL33" s="101">
        <f t="shared" si="21"/>
        <v>41.7</v>
      </c>
      <c r="AM33" s="1" t="str">
        <f>VLOOKUP(B:B,'9店辅助表'!AZ:AZ,1,FALSE)</f>
        <v>Y93758-BU+Y93759+Y93761</v>
      </c>
      <c r="AN33" t="str">
        <f>VLOOKUP(B:B,'9店辅助表'!AZ:BB,3,FALSE)</f>
        <v>US</v>
      </c>
    </row>
    <row r="34" customHeight="1" spans="1:40">
      <c r="A34" s="58" t="str">
        <f>INDEX('[1]9店'!$A:$A,MATCH(B:B,'[1]9店'!$B:$B,0))</f>
        <v>美珠</v>
      </c>
      <c r="B34" s="45" t="s">
        <v>3111</v>
      </c>
      <c r="C34" s="45" t="s">
        <v>3112</v>
      </c>
      <c r="D34" s="59"/>
      <c r="E34" s="45" t="s">
        <v>3113</v>
      </c>
      <c r="F34" s="45">
        <v>9</v>
      </c>
      <c r="G34" s="45">
        <v>1</v>
      </c>
      <c r="H34" s="45">
        <v>0</v>
      </c>
      <c r="I34" s="45">
        <v>0</v>
      </c>
      <c r="J34" s="45">
        <v>0</v>
      </c>
      <c r="K34" s="63">
        <f t="shared" si="11"/>
        <v>10</v>
      </c>
      <c r="L34" s="64">
        <f>IFERROR(VLOOKUP($B:$B,'[1]9店'!$B:$L,11,0),0)</f>
        <v>13.9</v>
      </c>
      <c r="M34" s="44">
        <f t="shared" si="22"/>
        <v>139</v>
      </c>
      <c r="N34" s="65">
        <f>IFERROR(VLOOKUP(B:B,'9店辅助表'!B:C,2,FALSE),0)</f>
        <v>1</v>
      </c>
      <c r="O34" s="65">
        <f>IFERROR(VLOOKUP(B:B,'9店辅助表'!E:F,2,FALSE),0)</f>
        <v>1</v>
      </c>
      <c r="P34" s="65">
        <f>IFERROR(VLOOKUP(B:B,'9店辅助表'!H:I,2,FALSE),0)</f>
        <v>2</v>
      </c>
      <c r="Q34" s="65">
        <f>IFERROR(VLOOKUP(B:B,'[1]9店'!$B:$N,13,FALSE),0)</f>
        <v>0</v>
      </c>
      <c r="R34" s="79">
        <f t="shared" si="12"/>
        <v>1</v>
      </c>
      <c r="S34" s="80">
        <f t="shared" si="13"/>
        <v>108.620689655172</v>
      </c>
      <c r="T34" s="44">
        <f t="shared" si="14"/>
        <v>3.62068965517241</v>
      </c>
      <c r="U34" s="44">
        <f>IFERROR(VLOOKUP(B:B,'[1]9店'!$B:$T,19,0),"-")</f>
        <v>15</v>
      </c>
      <c r="V34" s="81">
        <f t="shared" si="15"/>
        <v>-11.3793103448276</v>
      </c>
      <c r="W34" s="82" t="str">
        <f t="shared" si="16"/>
        <v>库存过高</v>
      </c>
      <c r="X34" s="83" t="str">
        <f t="shared" si="17"/>
        <v>库存过高</v>
      </c>
      <c r="Y34" s="44">
        <f>IFERROR(SUMIF('9店辅助表'!K:K,B:B,'9店辅助表'!N:N),0)</f>
        <v>2.34</v>
      </c>
      <c r="Z34" s="44">
        <f>IFERROR(SUMIF('9店辅助表'!T:T,B:B,'9店辅助表'!W:W),0)</f>
        <v>4.27</v>
      </c>
      <c r="AA34" s="44">
        <f>IFERROR(SUMIF('9店辅助表'!AC:AC,B:B,'9店辅助表'!AF:AF),0)</f>
        <v>6.56</v>
      </c>
      <c r="AB34" s="91">
        <f>IFERROR(SUMIF('9店辅助表'!K:K,B:B,'9店辅助表'!N:N)/SUMIF('9店辅助表'!K:K,B:B,'9店辅助表'!O:O),"-")</f>
        <v>0.18013856812933</v>
      </c>
      <c r="AC34" s="91" t="str">
        <f>IFERROR(VLOOKUP(B:B,'[1]9店'!$B:$AB,27,FALSE),"-")</f>
        <v>-</v>
      </c>
      <c r="AD34" s="92" t="str">
        <f t="shared" si="18"/>
        <v>-</v>
      </c>
      <c r="AE34" s="91">
        <f>IFERROR(SUMIF('9店辅助表'!T:T,B:B,'9店辅助表'!W:W)/SUMIF('9店辅助表'!T:T,B:B,'9店辅助表'!X:X),"-")</f>
        <v>0.328714395688991</v>
      </c>
      <c r="AF34" s="91">
        <f>IFERROR(SUMIF('9店辅助表'!AC:AC,B:B,'9店辅助表'!AF:AF)/SUMIF('9店辅助表'!AC:AC,B:B,'9店辅助表'!AG:AG),"-")</f>
        <v>0.505003849114704</v>
      </c>
      <c r="AG34" s="99">
        <f>IFERROR(AK34/((SUMIF('9店辅助表'!AT:AT,B:B,'9店辅助表'!AU:AU)+M34)/2),"-")</f>
        <v>0.1</v>
      </c>
      <c r="AH34" s="99">
        <f>IFERROR(AL34/((SUMIF('9店辅助表'!AW:AW,B:B,'9店辅助表'!AX:AX)+M34)/2),"-")</f>
        <v>0.1</v>
      </c>
      <c r="AI34" s="100">
        <f>IFERROR((SUMIF('9店辅助表'!AP:AP,B:B,'9店辅助表'!AR:AR)-SUMIF('9店辅助表'!AP:AP,B:B,'9店辅助表'!AR:AR)*0.15-(L34+IFERROR(VLOOKUP(B:B,'9店辅助表'!AZ:BA,2,0),0))*O34-IF(AN:AN="US",6.85,4.9)*(Z34+4.27*O34))/SUMIF('9店辅助表'!AP:AP,B:B,'9店辅助表'!AR:AR),"-")</f>
        <v>-0.0193267701713276</v>
      </c>
      <c r="AJ34" s="100">
        <f t="shared" si="19"/>
        <v>-0.00193267701713276</v>
      </c>
      <c r="AK34" s="101">
        <f t="shared" si="20"/>
        <v>13.9</v>
      </c>
      <c r="AL34" s="101">
        <f t="shared" si="21"/>
        <v>13.9</v>
      </c>
      <c r="AM34" s="1" t="str">
        <f>VLOOKUP(B:B,'9店辅助表'!AZ:AZ,1,FALSE)</f>
        <v>Y93758-DB+Y93759+Y93761</v>
      </c>
      <c r="AN34" t="str">
        <f>VLOOKUP(B:B,'9店辅助表'!AZ:BB,3,FALSE)</f>
        <v>US</v>
      </c>
    </row>
    <row r="35" customHeight="1" spans="1:40">
      <c r="A35" s="58" t="str">
        <f>INDEX('[1]9店'!$A:$A,MATCH(B:B,'[1]9店'!$B:$B,0))</f>
        <v>美珠</v>
      </c>
      <c r="B35" s="45" t="s">
        <v>3114</v>
      </c>
      <c r="C35" s="45" t="s">
        <v>3115</v>
      </c>
      <c r="D35" s="59"/>
      <c r="E35" s="45" t="s">
        <v>3116</v>
      </c>
      <c r="F35" s="45">
        <v>10</v>
      </c>
      <c r="G35" s="45">
        <v>0</v>
      </c>
      <c r="H35" s="45">
        <v>0</v>
      </c>
      <c r="I35" s="45">
        <v>0</v>
      </c>
      <c r="J35" s="45">
        <v>0</v>
      </c>
      <c r="K35" s="63">
        <f t="shared" ref="K35:K45" si="23">F35+G35+H35+I35+J35</f>
        <v>10</v>
      </c>
      <c r="L35" s="64">
        <f>IFERROR(VLOOKUP($B:$B,'[1]9店'!$B:$L,11,0),0)</f>
        <v>13.9</v>
      </c>
      <c r="M35" s="44">
        <f t="shared" ref="M35:M45" si="24">K35*L35</f>
        <v>139</v>
      </c>
      <c r="N35" s="65">
        <f>IFERROR(VLOOKUP(B:B,'9店辅助表'!B:C,2,FALSE),0)</f>
        <v>0</v>
      </c>
      <c r="O35" s="65">
        <f>IFERROR(VLOOKUP(B:B,'9店辅助表'!E:F,2,FALSE),0)</f>
        <v>0</v>
      </c>
      <c r="P35" s="65">
        <f>IFERROR(VLOOKUP(B:B,'9店辅助表'!H:I,2,FALSE),0)</f>
        <v>0</v>
      </c>
      <c r="Q35" s="65">
        <f>IFERROR(VLOOKUP(B:B,'[1]9店'!$B:$N,13,FALSE),0)</f>
        <v>0</v>
      </c>
      <c r="R35" s="79">
        <f t="shared" ref="R35:R45" si="25">N35-Q35</f>
        <v>0</v>
      </c>
      <c r="S35" s="80" t="str">
        <f t="shared" ref="S35:S45" si="26">IFERROR(K35/((N35/7+O35/15+P35/30)/3),"-")</f>
        <v>-</v>
      </c>
      <c r="T35" s="44" t="str">
        <f t="shared" ref="T35:T45" si="27">IFERROR(S35/30,"-")</f>
        <v>-</v>
      </c>
      <c r="U35" s="44" t="str">
        <f>IFERROR(VLOOKUP(B:B,'[1]9店'!$B:$T,19,0),"-")</f>
        <v>-</v>
      </c>
      <c r="V35" s="81" t="str">
        <f t="shared" ref="V35:V45" si="28">IFERROR(T35-U35,"-")</f>
        <v>-</v>
      </c>
      <c r="W35" s="82" t="str">
        <f t="shared" ref="W35:W45" si="29">_xlfn.IFS(AND(D35&lt;&gt;0,D35-$AM$2&gt;=0,B35&gt;0,D35&lt;&gt;0),"本月刚到货",AND(IFERROR((K35/(N35/7))/30,"-")="-",K35&gt;0),"有库存无销量",AND(IFERROR((K35/(N35/7))/30,"-")="-",K35=0),"无库存无销量",AND(IFERROR((K35/(N35/7))/30,"-")&lt;=0.5,K35=0),"无库存有销量",IFERROR((K35/(N35/7))/30,"-")&lt;=0.5,"库存过低",IFERROR((K35/(N35/7))/30,"-")&lt;=1.5,"正常",IFERROR((K35/(N35/7))/30,"-")&gt;1.5,"库存过高")</f>
        <v>有库存无销量</v>
      </c>
      <c r="X35" s="83" t="str">
        <f t="shared" ref="X35:X45" si="30">_xlfn.IFS(AND(D35&lt;&gt;0,D35-$AM$2&gt;=0,K35&gt;0,D35&lt;&gt;0),"本月刚到货",AND(T35="-",K35&gt;0),"有库存无销量",AND(T35="-",K35=0),"无库存无销量",AND(T35&lt;=0.5,K35=0),"无库存有销量",T35&lt;=0.5,"库存过低",T35&lt;=1.5,"正常",T35&gt;1.5,"库存过高")</f>
        <v>有库存无销量</v>
      </c>
      <c r="Y35" s="44">
        <f>IFERROR(SUMIF('9店辅助表'!K:K,B:B,'9店辅助表'!N:N),0)</f>
        <v>0</v>
      </c>
      <c r="Z35" s="44">
        <f>IFERROR(SUMIF('9店辅助表'!T:T,B:B,'9店辅助表'!W:W),0)</f>
        <v>0</v>
      </c>
      <c r="AA35" s="44">
        <f>IFERROR(SUMIF('9店辅助表'!AC:AC,B:B,'9店辅助表'!AF:AF),0)</f>
        <v>0</v>
      </c>
      <c r="AB35" s="91" t="str">
        <f>IFERROR(SUMIF('9店辅助表'!K:K,B:B,'9店辅助表'!N:N)/SUMIF('9店辅助表'!K:K,B:B,'9店辅助表'!O:O),"-")</f>
        <v>-</v>
      </c>
      <c r="AC35" s="91" t="str">
        <f>IFERROR(VLOOKUP(B:B,'[1]9店'!$B:$AB,27,FALSE),"-")</f>
        <v>-</v>
      </c>
      <c r="AD35" s="92" t="str">
        <f t="shared" ref="AD35:AD45" si="31">IFERROR(AB35-AC35,"-")</f>
        <v>-</v>
      </c>
      <c r="AE35" s="91" t="str">
        <f>IFERROR(SUMIF('9店辅助表'!T:T,B:B,'9店辅助表'!W:W)/SUMIF('9店辅助表'!T:T,B:B,'9店辅助表'!X:X),"-")</f>
        <v>-</v>
      </c>
      <c r="AF35" s="91" t="str">
        <f>IFERROR(SUMIF('9店辅助表'!AC:AC,B:B,'9店辅助表'!AF:AF)/SUMIF('9店辅助表'!AC:AC,B:B,'9店辅助表'!AG:AG),"-")</f>
        <v>-</v>
      </c>
      <c r="AG35" s="99">
        <f>IFERROR(AK35/((SUMIF('9店辅助表'!AT:AT,B:B,'9店辅助表'!AU:AU)+M35)/2),"-")</f>
        <v>0</v>
      </c>
      <c r="AH35" s="99">
        <f>IFERROR(AL35/((SUMIF('9店辅助表'!AW:AW,B:B,'9店辅助表'!AX:AX)+M35)/2),"-")</f>
        <v>0</v>
      </c>
      <c r="AI35" s="100" t="str">
        <f>IFERROR((SUMIF('9店辅助表'!AP:AP,B:B,'9店辅助表'!AR:AR)-SUMIF('9店辅助表'!AP:AP,B:B,'9店辅助表'!AR:AR)*0.15-(L35+IFERROR(VLOOKUP(B:B,'9店辅助表'!AZ:BA,2,0),0))*O35-IF(AN:AN="US",6.85,4.9)*(Z35+4.27*O35))/SUMIF('9店辅助表'!AP:AP,B:B,'9店辅助表'!AR:AR),"-")</f>
        <v>-</v>
      </c>
      <c r="AJ35" s="100" t="str">
        <f t="shared" ref="AJ35:AJ45" si="32">IFERROR(AH35*AI35,"-")</f>
        <v>-</v>
      </c>
      <c r="AK35" s="101">
        <f t="shared" ref="AK35:AK45" si="33">N35*$L35</f>
        <v>0</v>
      </c>
      <c r="AL35" s="101">
        <f t="shared" ref="AL35:AL45" si="34">O35*$L35</f>
        <v>0</v>
      </c>
      <c r="AM35" s="1" t="str">
        <f>VLOOKUP(B:B,'9店辅助表'!AZ:AZ,1,FALSE)</f>
        <v>Y93694-DB+Y93712+Y93744</v>
      </c>
      <c r="AN35" t="str">
        <f>VLOOKUP(B:B,'9店辅助表'!AZ:BB,3,FALSE)</f>
        <v>US</v>
      </c>
    </row>
    <row r="36" customHeight="1" spans="1:40">
      <c r="A36" s="58" t="str">
        <f>INDEX('[1]9店'!$A:$A,MATCH(B:B,'[1]9店'!$B:$B,0))</f>
        <v>美珠</v>
      </c>
      <c r="B36" s="45" t="s">
        <v>3117</v>
      </c>
      <c r="C36" s="45" t="s">
        <v>3118</v>
      </c>
      <c r="D36" s="59">
        <f>VLOOKUP(B:B,'[1]9店'!$B:$L,3,0)</f>
        <v>44990</v>
      </c>
      <c r="E36" s="45" t="s">
        <v>3119</v>
      </c>
      <c r="F36" s="45">
        <v>0</v>
      </c>
      <c r="G36" s="45">
        <v>1</v>
      </c>
      <c r="H36" s="45">
        <v>0</v>
      </c>
      <c r="I36" s="45">
        <v>26</v>
      </c>
      <c r="J36" s="45">
        <v>0</v>
      </c>
      <c r="K36" s="63">
        <f t="shared" si="23"/>
        <v>27</v>
      </c>
      <c r="L36" s="64">
        <f>IFERROR(VLOOKUP($B:$B,'[1]9店'!$B:$L,11,0),0)</f>
        <v>24.251</v>
      </c>
      <c r="M36" s="44">
        <f t="shared" si="24"/>
        <v>654.777</v>
      </c>
      <c r="N36" s="65">
        <f>IFERROR(VLOOKUP(B:B,'9店辅助表'!B:C,2,FALSE),0)</f>
        <v>179</v>
      </c>
      <c r="O36" s="65">
        <f>IFERROR(VLOOKUP(B:B,'9店辅助表'!E:F,2,FALSE),0)</f>
        <v>209</v>
      </c>
      <c r="P36" s="65">
        <f>IFERROR(VLOOKUP(B:B,'9店辅助表'!H:I,2,FALSE),0)</f>
        <v>223</v>
      </c>
      <c r="Q36" s="65">
        <f>IFERROR(VLOOKUP(B:B,'[1]9店'!$B:$N,13,FALSE),0)</f>
        <v>30</v>
      </c>
      <c r="R36" s="79">
        <f t="shared" si="25"/>
        <v>149</v>
      </c>
      <c r="S36" s="80">
        <f t="shared" si="26"/>
        <v>1.7256771837273</v>
      </c>
      <c r="T36" s="44">
        <f t="shared" si="27"/>
        <v>0.05752257279091</v>
      </c>
      <c r="U36" s="44">
        <f>IFERROR(VLOOKUP(B:B,'[1]9店'!$B:$T,19,0),"-")</f>
        <v>2.40851993446204</v>
      </c>
      <c r="V36" s="81">
        <f t="shared" si="28"/>
        <v>-2.35099736167113</v>
      </c>
      <c r="W36" s="82" t="str">
        <f t="shared" si="29"/>
        <v>库存过低</v>
      </c>
      <c r="X36" s="83" t="str">
        <f t="shared" si="30"/>
        <v>库存过低</v>
      </c>
      <c r="Y36" s="44">
        <f>IFERROR(SUMIF('9店辅助表'!K:K,B:B,'9店辅助表'!N:N),0)</f>
        <v>175.56</v>
      </c>
      <c r="Z36" s="44">
        <f>IFERROR(SUMIF('9店辅助表'!T:T,B:B,'9店辅助表'!W:W),0)</f>
        <v>230.1</v>
      </c>
      <c r="AA36" s="44">
        <f>IFERROR(SUMIF('9店辅助表'!AC:AC,B:B,'9店辅助表'!AF:AF),0)</f>
        <v>267</v>
      </c>
      <c r="AB36" s="91">
        <f>IFERROR(SUMIF('9店辅助表'!K:K,B:B,'9店辅助表'!N:N)/SUMIF('9店辅助表'!K:K,B:B,'9店辅助表'!O:O),"-")</f>
        <v>0.156396711001042</v>
      </c>
      <c r="AC36" s="91">
        <f>IFERROR(VLOOKUP(B:B,'[1]9店'!$B:$AB,27,FALSE),"-")</f>
        <v>0.183986604244268</v>
      </c>
      <c r="AD36" s="92">
        <f t="shared" si="31"/>
        <v>-0.027589893243226</v>
      </c>
      <c r="AE36" s="91">
        <f>IFERROR(SUMIF('9店辅助表'!T:T,B:B,'9店辅助表'!W:W)/SUMIF('9店辅助表'!T:T,B:B,'9店辅助表'!X:X),"-")</f>
        <v>0.16022226400117</v>
      </c>
      <c r="AF36" s="91">
        <f>IFERROR(SUMIF('9店辅助表'!AC:AC,B:B,'9店辅助表'!AF:AF)/SUMIF('9店辅助表'!AC:AC,B:B,'9店辅助表'!AG:AG),"-")</f>
        <v>0.167871738447029</v>
      </c>
      <c r="AG36" s="99">
        <f>IFERROR(AK36/((SUMIF('9店辅助表'!AT:AT,B:B,'9店辅助表'!AU:AU)+M36)/2),"-")</f>
        <v>1.51054852320675</v>
      </c>
      <c r="AH36" s="99">
        <f>IFERROR(AL36/((SUMIF('9店辅助表'!AW:AW,B:B,'9店辅助表'!AX:AX)+M36)/2),"-")</f>
        <v>1.66533864541833</v>
      </c>
      <c r="AI36" s="100">
        <f>IFERROR((SUMIF('9店辅助表'!AP:AP,B:B,'9店辅助表'!AR:AR)-SUMIF('9店辅助表'!AP:AP,B:B,'9店辅助表'!AR:AR)*0.15-(L36+IFERROR(VLOOKUP(B:B,'9店辅助表'!AZ:BA,2,0),0))*O36-IF(AN:AN="US",6.85,4.9)*(Z36+4.27*O36))/SUMIF('9店辅助表'!AP:AP,B:B,'9店辅助表'!AR:AR),"-")</f>
        <v>-0.490860810745025</v>
      </c>
      <c r="AJ36" s="100">
        <f t="shared" si="32"/>
        <v>-0.817449477655062</v>
      </c>
      <c r="AK36" s="101">
        <f t="shared" si="33"/>
        <v>4340.929</v>
      </c>
      <c r="AL36" s="101">
        <f t="shared" si="34"/>
        <v>5068.459</v>
      </c>
      <c r="AM36" s="1" t="str">
        <f>VLOOKUP(B:B,'9店辅助表'!AZ:AZ,1,FALSE)</f>
        <v>Y9001-BU</v>
      </c>
      <c r="AN36" t="str">
        <f>VLOOKUP(B:B,'9店辅助表'!AZ:BB,3,FALSE)</f>
        <v>US</v>
      </c>
    </row>
    <row r="37" customHeight="1" spans="1:40">
      <c r="A37" s="58" t="str">
        <f>INDEX('[1]9店'!$A:$A,MATCH(B:B,'[1]9店'!$B:$B,0))</f>
        <v>美珠</v>
      </c>
      <c r="B37" s="45" t="s">
        <v>3120</v>
      </c>
      <c r="C37" s="45" t="s">
        <v>3121</v>
      </c>
      <c r="D37" s="59">
        <f>VLOOKUP(B:B,'[1]9店'!$B:$L,3,0)</f>
        <v>45009</v>
      </c>
      <c r="E37" s="45" t="s">
        <v>3122</v>
      </c>
      <c r="F37" s="45">
        <v>5</v>
      </c>
      <c r="G37" s="45">
        <v>1</v>
      </c>
      <c r="H37" s="45">
        <v>0</v>
      </c>
      <c r="I37" s="45">
        <v>2</v>
      </c>
      <c r="J37" s="45">
        <v>0</v>
      </c>
      <c r="K37" s="63">
        <f t="shared" si="23"/>
        <v>8</v>
      </c>
      <c r="L37" s="64">
        <f>IFERROR(VLOOKUP($B:$B,'[1]9店'!$B:$L,11,0),0)</f>
        <v>24.167</v>
      </c>
      <c r="M37" s="44">
        <f t="shared" si="24"/>
        <v>193.336</v>
      </c>
      <c r="N37" s="65">
        <f>IFERROR(VLOOKUP(B:B,'9店辅助表'!B:C,2,FALSE),0)</f>
        <v>7</v>
      </c>
      <c r="O37" s="65">
        <f>IFERROR(VLOOKUP(B:B,'9店辅助表'!E:F,2,FALSE),0)</f>
        <v>18</v>
      </c>
      <c r="P37" s="65">
        <f>IFERROR(VLOOKUP(B:B,'9店辅助表'!H:I,2,FALSE),0)</f>
        <v>63</v>
      </c>
      <c r="Q37" s="65">
        <f>IFERROR(VLOOKUP(B:B,'[1]9店'!$B:$N,13,FALSE),0)</f>
        <v>9</v>
      </c>
      <c r="R37" s="79">
        <f t="shared" si="25"/>
        <v>-2</v>
      </c>
      <c r="S37" s="80">
        <f t="shared" si="26"/>
        <v>5.58139534883721</v>
      </c>
      <c r="T37" s="44">
        <f t="shared" si="27"/>
        <v>0.186046511627907</v>
      </c>
      <c r="U37" s="44">
        <f>IFERROR(VLOOKUP(B:B,'[1]9店'!$B:$T,19,0),"-")</f>
        <v>0.154185022026432</v>
      </c>
      <c r="V37" s="81">
        <f t="shared" si="28"/>
        <v>0.031861489601475</v>
      </c>
      <c r="W37" s="82" t="str">
        <f t="shared" si="29"/>
        <v>库存过低</v>
      </c>
      <c r="X37" s="83" t="str">
        <f t="shared" si="30"/>
        <v>库存过低</v>
      </c>
      <c r="Y37" s="44">
        <f>IFERROR(SUMIF('9店辅助表'!K:K,B:B,'9店辅助表'!N:N),0)</f>
        <v>0.81</v>
      </c>
      <c r="Z37" s="44">
        <f>IFERROR(SUMIF('9店辅助表'!T:T,B:B,'9店辅助表'!W:W),0)</f>
        <v>3.03</v>
      </c>
      <c r="AA37" s="44">
        <f>IFERROR(SUMIF('9店辅助表'!AC:AC,B:B,'9店辅助表'!AF:AF),0)</f>
        <v>6.17</v>
      </c>
      <c r="AB37" s="91" t="str">
        <f>IFERROR(SUMIF('9店辅助表'!K:K,B:B,'9店辅助表'!N:N)/SUMIF('9店辅助表'!K:K,B:B,'9店辅助表'!O:O),"-")</f>
        <v>-</v>
      </c>
      <c r="AC37" s="91">
        <f>IFERROR(VLOOKUP(B:B,'[1]9店'!$B:$AB,27,FALSE),"-")</f>
        <v>0.261484098939929</v>
      </c>
      <c r="AD37" s="92" t="str">
        <f t="shared" si="31"/>
        <v>-</v>
      </c>
      <c r="AE37" s="91">
        <f>IFERROR(SUMIF('9店辅助表'!T:T,B:B,'9店辅助表'!W:W)/SUMIF('9店辅助表'!T:T,B:B,'9店辅助表'!X:X),"-")</f>
        <v>0.356890459363958</v>
      </c>
      <c r="AF37" s="91">
        <f>IFERROR(SUMIF('9店辅助表'!AC:AC,B:B,'9店辅助表'!AF:AF)/SUMIF('9店辅助表'!AC:AC,B:B,'9店辅助表'!AG:AG),"-")</f>
        <v>0.15636087176888</v>
      </c>
      <c r="AG37" s="99">
        <f>IFERROR(AK37/((SUMIF('9店辅助表'!AT:AT,B:B,'9店辅助表'!AU:AU)+M37)/2),"-")</f>
        <v>0.777777777777778</v>
      </c>
      <c r="AH37" s="99">
        <f>IFERROR(AL37/((SUMIF('9店辅助表'!AW:AW,B:B,'9店辅助表'!AX:AX)+M37)/2),"-")</f>
        <v>0.48</v>
      </c>
      <c r="AI37" s="100">
        <f>IFERROR((SUMIF('9店辅助表'!AP:AP,B:B,'9店辅助表'!AR:AR)-SUMIF('9店辅助表'!AP:AP,B:B,'9店辅助表'!AR:AR)*0.15-(L37+IFERROR(VLOOKUP(B:B,'9店辅助表'!AZ:BA,2,0),0))*O37-IF(AN:AN="US",6.85,4.9)*(Z37+4.27*O37))/SUMIF('9店辅助表'!AP:AP,B:B,'9店辅助表'!AR:AR),"-")</f>
        <v>0.0665329306500669</v>
      </c>
      <c r="AJ37" s="100">
        <f t="shared" si="32"/>
        <v>0.0319358067120321</v>
      </c>
      <c r="AK37" s="101">
        <f t="shared" si="33"/>
        <v>169.169</v>
      </c>
      <c r="AL37" s="101">
        <f t="shared" si="34"/>
        <v>435.006</v>
      </c>
      <c r="AM37" s="1" t="str">
        <f>VLOOKUP(B:B,'9店辅助表'!AZ:AZ,1,FALSE)</f>
        <v>Y9001-GR</v>
      </c>
      <c r="AN37" t="str">
        <f>VLOOKUP(B:B,'9店辅助表'!AZ:BB,3,FALSE)</f>
        <v>US</v>
      </c>
    </row>
    <row r="38" customHeight="1" spans="1:40">
      <c r="A38" s="58" t="str">
        <f>INDEX('[1]9店'!$A:$A,MATCH(B:B,'[1]9店'!$B:$B,0))</f>
        <v>美珠</v>
      </c>
      <c r="B38" s="45" t="s">
        <v>3123</v>
      </c>
      <c r="C38" s="45" t="s">
        <v>3124</v>
      </c>
      <c r="D38" s="59">
        <f>VLOOKUP(B:B,'[1]9店'!$B:$L,3,0)</f>
        <v>44990</v>
      </c>
      <c r="E38" s="45" t="s">
        <v>3125</v>
      </c>
      <c r="F38" s="45">
        <v>179</v>
      </c>
      <c r="G38" s="45">
        <v>1</v>
      </c>
      <c r="H38" s="45">
        <v>0</v>
      </c>
      <c r="I38" s="45">
        <v>1</v>
      </c>
      <c r="J38" s="45">
        <v>0</v>
      </c>
      <c r="K38" s="63">
        <f t="shared" si="23"/>
        <v>181</v>
      </c>
      <c r="L38" s="64">
        <f>IFERROR(VLOOKUP($B:$B,'[1]9店'!$B:$L,11,0),0)</f>
        <v>24.25</v>
      </c>
      <c r="M38" s="44">
        <f t="shared" si="24"/>
        <v>4389.25</v>
      </c>
      <c r="N38" s="65">
        <f>IFERROR(VLOOKUP(B:B,'9店辅助表'!B:C,2,FALSE),0)</f>
        <v>22</v>
      </c>
      <c r="O38" s="65">
        <f>IFERROR(VLOOKUP(B:B,'9店辅助表'!E:F,2,FALSE),0)</f>
        <v>28</v>
      </c>
      <c r="P38" s="65">
        <f>IFERROR(VLOOKUP(B:B,'9店辅助表'!H:I,2,FALSE),0)</f>
        <v>33</v>
      </c>
      <c r="Q38" s="65">
        <f>IFERROR(VLOOKUP(B:B,'[1]9店'!$B:$N,13,FALSE),0)</f>
        <v>6</v>
      </c>
      <c r="R38" s="79">
        <f t="shared" si="25"/>
        <v>16</v>
      </c>
      <c r="S38" s="80">
        <f t="shared" si="26"/>
        <v>88.8776305533905</v>
      </c>
      <c r="T38" s="44">
        <f t="shared" si="27"/>
        <v>2.96258768511302</v>
      </c>
      <c r="U38" s="44">
        <f>IFERROR(VLOOKUP(B:B,'[1]9店'!$B:$T,19,0),"-")</f>
        <v>8.76521739130435</v>
      </c>
      <c r="V38" s="81">
        <f t="shared" si="28"/>
        <v>-5.80262970619133</v>
      </c>
      <c r="W38" s="82" t="str">
        <f t="shared" si="29"/>
        <v>库存过高</v>
      </c>
      <c r="X38" s="83" t="str">
        <f t="shared" si="30"/>
        <v>库存过高</v>
      </c>
      <c r="Y38" s="44">
        <f>IFERROR(SUMIF('9店辅助表'!K:K,B:B,'9店辅助表'!N:N),0)</f>
        <v>24.04</v>
      </c>
      <c r="Z38" s="44">
        <f>IFERROR(SUMIF('9店辅助表'!T:T,B:B,'9店辅助表'!W:W),0)</f>
        <v>31.79</v>
      </c>
      <c r="AA38" s="44">
        <f>IFERROR(SUMIF('9店辅助表'!AC:AC,B:B,'9店辅助表'!AF:AF),0)</f>
        <v>41.82</v>
      </c>
      <c r="AB38" s="91">
        <f>IFERROR(SUMIF('9店辅助表'!K:K,B:B,'9店辅助表'!N:N)/SUMIF('9店辅助表'!K:K,B:B,'9店辅助表'!O:O),"-")</f>
        <v>0.38201175909741</v>
      </c>
      <c r="AC38" s="91">
        <f>IFERROR(VLOOKUP(B:B,'[1]9店'!$B:$AB,27,FALSE),"-")</f>
        <v>0.456040028591851</v>
      </c>
      <c r="AD38" s="92">
        <f t="shared" si="31"/>
        <v>-0.074028269494441</v>
      </c>
      <c r="AE38" s="91">
        <f>IFERROR(SUMIF('9店辅助表'!T:T,B:B,'9店辅助表'!W:W)/SUMIF('9店辅助表'!T:T,B:B,'9店辅助表'!X:X),"-")</f>
        <v>0.374396419738547</v>
      </c>
      <c r="AF38" s="91">
        <f>IFERROR(SUMIF('9店辅助表'!AC:AC,B:B,'9店辅助表'!AF:AF)/SUMIF('9店辅助表'!AC:AC,B:B,'9店辅助表'!AG:AG),"-")</f>
        <v>0.329602774274905</v>
      </c>
      <c r="AG38" s="99">
        <f>IFERROR(AK38/((SUMIF('9店辅助表'!AT:AT,B:B,'9店辅助表'!AU:AU)+M38)/2),"-")</f>
        <v>0.117962466487936</v>
      </c>
      <c r="AH38" s="99">
        <f>IFERROR(AL38/((SUMIF('9店辅助表'!AW:AW,B:B,'9店辅助表'!AX:AX)+M38)/2),"-")</f>
        <v>0.146981627296588</v>
      </c>
      <c r="AI38" s="100">
        <f>IFERROR((SUMIF('9店辅助表'!AP:AP,B:B,'9店辅助表'!AR:AR)-SUMIF('9店辅助表'!AP:AP,B:B,'9店辅助表'!AR:AR)*0.15-(L38+IFERROR(VLOOKUP(B:B,'9店辅助表'!AZ:BA,2,0),0))*O38-IF(AN:AN="US",6.85,4.9)*(Z38+4.27*O38))/SUMIF('9店辅助表'!AP:AP,B:B,'9店辅助表'!AR:AR),"-")</f>
        <v>-0.0651433216194576</v>
      </c>
      <c r="AJ38" s="100">
        <f t="shared" si="32"/>
        <v>-0.00957487141913287</v>
      </c>
      <c r="AK38" s="101">
        <f t="shared" si="33"/>
        <v>533.5</v>
      </c>
      <c r="AL38" s="101">
        <f t="shared" si="34"/>
        <v>679</v>
      </c>
      <c r="AM38" s="1" t="str">
        <f>VLOOKUP(B:B,'9店辅助表'!AZ:AZ,1,FALSE)</f>
        <v>Y9001-PI</v>
      </c>
      <c r="AN38" t="str">
        <f>VLOOKUP(B:B,'9店辅助表'!AZ:BB,3,FALSE)</f>
        <v>US</v>
      </c>
    </row>
    <row r="39" customHeight="1" spans="1:40">
      <c r="A39" s="58" t="str">
        <f>INDEX('[1]9店'!$A:$A,MATCH(B:B,'[1]9店'!$B:$B,0))</f>
        <v>美珠</v>
      </c>
      <c r="B39" s="45" t="s">
        <v>3126</v>
      </c>
      <c r="C39" s="45" t="s">
        <v>3127</v>
      </c>
      <c r="D39" s="59">
        <f>VLOOKUP(B:B,'[1]9店'!$B:$L,3,0)</f>
        <v>45009</v>
      </c>
      <c r="E39" s="45" t="s">
        <v>3128</v>
      </c>
      <c r="F39" s="45">
        <v>54</v>
      </c>
      <c r="G39" s="45">
        <v>1</v>
      </c>
      <c r="H39" s="45">
        <v>0</v>
      </c>
      <c r="I39" s="45">
        <v>0</v>
      </c>
      <c r="J39" s="45">
        <v>0</v>
      </c>
      <c r="K39" s="63">
        <f t="shared" si="23"/>
        <v>55</v>
      </c>
      <c r="L39" s="64">
        <f>IFERROR(VLOOKUP($B:$B,'[1]9店'!$B:$L,11,0),0)</f>
        <v>24.251</v>
      </c>
      <c r="M39" s="44">
        <f t="shared" si="24"/>
        <v>1333.805</v>
      </c>
      <c r="N39" s="65">
        <f>IFERROR(VLOOKUP(B:B,'9店辅助表'!B:C,2,FALSE),0)</f>
        <v>3</v>
      </c>
      <c r="O39" s="65">
        <f>IFERROR(VLOOKUP(B:B,'9店辅助表'!E:F,2,FALSE),0)</f>
        <v>9</v>
      </c>
      <c r="P39" s="65">
        <f>IFERROR(VLOOKUP(B:B,'9店辅助表'!H:I,2,FALSE),0)</f>
        <v>15</v>
      </c>
      <c r="Q39" s="65">
        <f>IFERROR(VLOOKUP(B:B,'[1]9店'!$B:$N,13,FALSE),0)</f>
        <v>6</v>
      </c>
      <c r="R39" s="79">
        <f t="shared" si="25"/>
        <v>-3</v>
      </c>
      <c r="S39" s="80">
        <f t="shared" si="26"/>
        <v>107.943925233645</v>
      </c>
      <c r="T39" s="44">
        <f t="shared" si="27"/>
        <v>3.5981308411215</v>
      </c>
      <c r="U39" s="44">
        <f>IFERROR(VLOOKUP(B:B,'[1]9店'!$B:$T,19,0),"-")</f>
        <v>3.17380352644836</v>
      </c>
      <c r="V39" s="81">
        <f t="shared" si="28"/>
        <v>0.42432731467314</v>
      </c>
      <c r="W39" s="82" t="str">
        <f t="shared" si="29"/>
        <v>库存过高</v>
      </c>
      <c r="X39" s="83" t="str">
        <f t="shared" si="30"/>
        <v>库存过高</v>
      </c>
      <c r="Y39" s="44">
        <f>IFERROR(SUMIF('9店辅助表'!K:K,B:B,'9店辅助表'!N:N),0)</f>
        <v>6.16</v>
      </c>
      <c r="Z39" s="44">
        <f>IFERROR(SUMIF('9店辅助表'!T:T,B:B,'9店辅助表'!W:W),0)</f>
        <v>17.13</v>
      </c>
      <c r="AA39" s="44">
        <f>IFERROR(SUMIF('9店辅助表'!AC:AC,B:B,'9店辅助表'!AF:AF),0)</f>
        <v>37.77</v>
      </c>
      <c r="AB39" s="91">
        <f>IFERROR(SUMIF('9店辅助表'!K:K,B:B,'9店辅助表'!N:N)/SUMIF('9店辅助表'!K:K,B:B,'9店辅助表'!O:O),"-")</f>
        <v>0.220314735336195</v>
      </c>
      <c r="AC39" s="91">
        <f>IFERROR(VLOOKUP(B:B,'[1]9店'!$B:$AB,27,FALSE),"-")</f>
        <v>0.225929456625357</v>
      </c>
      <c r="AD39" s="92">
        <f t="shared" si="31"/>
        <v>-0.00561472128916199</v>
      </c>
      <c r="AE39" s="91">
        <f>IFERROR(SUMIF('9店辅助表'!T:T,B:B,'9店辅助表'!W:W)/SUMIF('9店辅助表'!T:T,B:B,'9店辅助表'!X:X),"-")</f>
        <v>0.244994279176201</v>
      </c>
      <c r="AF39" s="91">
        <f>IFERROR(SUMIF('9店辅助表'!AC:AC,B:B,'9店辅助表'!AF:AF)/SUMIF('9店辅助表'!AC:AC,B:B,'9店辅助表'!AG:AG),"-")</f>
        <v>0.240834024102531</v>
      </c>
      <c r="AG39" s="99">
        <f>IFERROR(AK39/((SUMIF('9店辅助表'!AT:AT,B:B,'9店辅助表'!AU:AU)+M39)/2),"-")</f>
        <v>0.0521739130434783</v>
      </c>
      <c r="AH39" s="99">
        <f>IFERROR(AL39/((SUMIF('9店辅助表'!AW:AW,B:B,'9店辅助表'!AX:AX)+M39)/2),"-")</f>
        <v>0.146341463414634</v>
      </c>
      <c r="AI39" s="100">
        <f>IFERROR((SUMIF('9店辅助表'!AP:AP,B:B,'9店辅助表'!AR:AR)-SUMIF('9店辅助表'!AP:AP,B:B,'9店辅助表'!AR:AR)*0.15-(L39+IFERROR(VLOOKUP(B:B,'9店辅助表'!AZ:BA,2,0),0))*O39-IF(AN:AN="US",6.85,4.9)*(Z39+4.27*O39))/SUMIF('9店辅助表'!AP:AP,B:B,'9店辅助表'!AR:AR),"-")</f>
        <v>0.0721379350389314</v>
      </c>
      <c r="AJ39" s="100">
        <f t="shared" si="32"/>
        <v>0.010556770981307</v>
      </c>
      <c r="AK39" s="101">
        <f t="shared" si="33"/>
        <v>72.753</v>
      </c>
      <c r="AL39" s="101">
        <f t="shared" si="34"/>
        <v>218.259</v>
      </c>
      <c r="AM39" s="1" t="str">
        <f>VLOOKUP(B:B,'9店辅助表'!AZ:AZ,1,FALSE)</f>
        <v>Y9001-PU</v>
      </c>
      <c r="AN39" t="str">
        <f>VLOOKUP(B:B,'9店辅助表'!AZ:BB,3,FALSE)</f>
        <v>US</v>
      </c>
    </row>
    <row r="40" customHeight="1" spans="1:40">
      <c r="A40" s="58" t="str">
        <f>INDEX('[1]9店'!$A:$A,MATCH(B:B,'[1]9店'!$B:$B,0))</f>
        <v>美珠</v>
      </c>
      <c r="B40" s="45" t="s">
        <v>3129</v>
      </c>
      <c r="C40" s="45" t="s">
        <v>3130</v>
      </c>
      <c r="D40" s="59">
        <f>VLOOKUP(B:B,'[1]9店'!$B:$L,3,0)</f>
        <v>44990</v>
      </c>
      <c r="E40" s="45" t="s">
        <v>3131</v>
      </c>
      <c r="F40" s="45">
        <v>69</v>
      </c>
      <c r="G40" s="45">
        <v>1</v>
      </c>
      <c r="H40" s="45">
        <v>1</v>
      </c>
      <c r="I40" s="45">
        <v>48</v>
      </c>
      <c r="J40" s="45">
        <v>0</v>
      </c>
      <c r="K40" s="63">
        <f t="shared" si="23"/>
        <v>119</v>
      </c>
      <c r="L40" s="64">
        <f>IFERROR(VLOOKUP($B:$B,'[1]9店'!$B:$L,11,0),0)</f>
        <v>24.215</v>
      </c>
      <c r="M40" s="44">
        <f t="shared" si="24"/>
        <v>2881.585</v>
      </c>
      <c r="N40" s="65">
        <f>IFERROR(VLOOKUP(B:B,'9店辅助表'!B:C,2,FALSE),0)</f>
        <v>6</v>
      </c>
      <c r="O40" s="65">
        <f>IFERROR(VLOOKUP(B:B,'9店辅助表'!E:F,2,FALSE),0)</f>
        <v>13</v>
      </c>
      <c r="P40" s="65">
        <f>IFERROR(VLOOKUP(B:B,'9店辅助表'!H:I,2,FALSE),0)</f>
        <v>18</v>
      </c>
      <c r="Q40" s="65">
        <f>IFERROR(VLOOKUP(B:B,'[1]9店'!$B:$N,13,FALSE),0)</f>
        <v>6</v>
      </c>
      <c r="R40" s="79">
        <f t="shared" si="25"/>
        <v>0</v>
      </c>
      <c r="S40" s="80">
        <f t="shared" si="26"/>
        <v>153.627049180328</v>
      </c>
      <c r="T40" s="44">
        <f t="shared" si="27"/>
        <v>5.12090163934426</v>
      </c>
      <c r="U40" s="44">
        <f>IFERROR(VLOOKUP(B:B,'[1]9店'!$B:$T,19,0),"-")</f>
        <v>5.62658227848101</v>
      </c>
      <c r="V40" s="81">
        <f t="shared" si="28"/>
        <v>-0.50568063913675</v>
      </c>
      <c r="W40" s="82" t="str">
        <f t="shared" si="29"/>
        <v>库存过高</v>
      </c>
      <c r="X40" s="83" t="str">
        <f t="shared" si="30"/>
        <v>库存过高</v>
      </c>
      <c r="Y40" s="44">
        <f>IFERROR(SUMIF('9店辅助表'!K:K,B:B,'9店辅助表'!N:N),0)</f>
        <v>3.74</v>
      </c>
      <c r="Z40" s="44">
        <f>IFERROR(SUMIF('9店辅助表'!T:T,B:B,'9店辅助表'!W:W),0)</f>
        <v>5.44</v>
      </c>
      <c r="AA40" s="44">
        <f>IFERROR(SUMIF('9店辅助表'!AC:AC,B:B,'9店辅助表'!AF:AF),0)</f>
        <v>13.14</v>
      </c>
      <c r="AB40" s="91">
        <f>IFERROR(SUMIF('9店辅助表'!K:K,B:B,'9店辅助表'!N:N)/SUMIF('9店辅助表'!K:K,B:B,'9店辅助表'!O:O),"-")</f>
        <v>0.267333809864189</v>
      </c>
      <c r="AC40" s="91">
        <f>IFERROR(VLOOKUP(B:B,'[1]9店'!$B:$AB,27,FALSE),"-")</f>
        <v>0.243204577968526</v>
      </c>
      <c r="AD40" s="92">
        <f t="shared" si="31"/>
        <v>0.024129231895663</v>
      </c>
      <c r="AE40" s="91">
        <f>IFERROR(SUMIF('9店辅助表'!T:T,B:B,'9店辅助表'!W:W)/SUMIF('9店辅助表'!T:T,B:B,'9店辅助表'!X:X),"-")</f>
        <v>0.259294566253575</v>
      </c>
      <c r="AF40" s="91">
        <f>IFERROR(SUMIF('9店辅助表'!AC:AC,B:B,'9店辅助表'!AF:AF)/SUMIF('9店辅助表'!AC:AC,B:B,'9店辅助表'!AG:AG),"-")</f>
        <v>0.346153846153846</v>
      </c>
      <c r="AG40" s="99">
        <f>IFERROR(AK40/((SUMIF('9店辅助表'!AT:AT,B:B,'9店辅助表'!AU:AU)+M40)/2),"-")</f>
        <v>0.0487804878048781</v>
      </c>
      <c r="AH40" s="99">
        <f>IFERROR(AL40/((SUMIF('9店辅助表'!AW:AW,B:B,'9店辅助表'!AX:AX)+M40)/2),"-")</f>
        <v>0.103174603174603</v>
      </c>
      <c r="AI40" s="100">
        <f>IFERROR((SUMIF('9店辅助表'!AP:AP,B:B,'9店辅助表'!AR:AR)-SUMIF('9店辅助表'!AP:AP,B:B,'9店辅助表'!AR:AR)*0.15-(L40+IFERROR(VLOOKUP(B:B,'9店辅助表'!AZ:BA,2,0),0))*O40-IF(AN:AN="US",6.85,4.9)*(Z40+4.27*O40))/SUMIF('9店辅助表'!AP:AP,B:B,'9店辅助表'!AR:AR),"-")</f>
        <v>0.171351600682204</v>
      </c>
      <c r="AJ40" s="100">
        <f t="shared" si="32"/>
        <v>0.0176791334037195</v>
      </c>
      <c r="AK40" s="101">
        <f t="shared" si="33"/>
        <v>145.29</v>
      </c>
      <c r="AL40" s="101">
        <f t="shared" si="34"/>
        <v>314.795</v>
      </c>
      <c r="AM40" s="1" t="str">
        <f>VLOOKUP(B:B,'9店辅助表'!AZ:AZ,1,FALSE)</f>
        <v>Y9001-WH</v>
      </c>
      <c r="AN40" t="str">
        <f>VLOOKUP(B:B,'9店辅助表'!AZ:BB,3,FALSE)</f>
        <v>US</v>
      </c>
    </row>
    <row r="41" customHeight="1" spans="1:40">
      <c r="A41" s="58" t="str">
        <f>INDEX('[1]9店'!$A:$A,MATCH(B:B,'[1]9店'!$B:$B,0))</f>
        <v>美珠</v>
      </c>
      <c r="B41" s="45" t="s">
        <v>3132</v>
      </c>
      <c r="C41" s="45" t="s">
        <v>3133</v>
      </c>
      <c r="D41" s="59">
        <f>VLOOKUP(B:B,'[1]9店'!$B:$L,3,0)</f>
        <v>45009</v>
      </c>
      <c r="E41" s="45" t="s">
        <v>3134</v>
      </c>
      <c r="F41" s="45">
        <v>581</v>
      </c>
      <c r="G41" s="45">
        <v>1</v>
      </c>
      <c r="H41" s="45">
        <v>9</v>
      </c>
      <c r="I41" s="45">
        <v>8</v>
      </c>
      <c r="J41" s="45">
        <v>0</v>
      </c>
      <c r="K41" s="63">
        <f t="shared" si="23"/>
        <v>599</v>
      </c>
      <c r="L41" s="64">
        <f>IFERROR(VLOOKUP($B:$B,'[1]9店'!$B:$L,11,0),0)</f>
        <v>30.583</v>
      </c>
      <c r="M41" s="44">
        <f t="shared" si="24"/>
        <v>18319.217</v>
      </c>
      <c r="N41" s="65">
        <f>IFERROR(VLOOKUP(B:B,'9店辅助表'!B:C,2,FALSE),0)</f>
        <v>9</v>
      </c>
      <c r="O41" s="65">
        <f>IFERROR(VLOOKUP(B:B,'9店辅助表'!E:F,2,FALSE),0)</f>
        <v>78</v>
      </c>
      <c r="P41" s="65">
        <f>IFERROR(VLOOKUP(B:B,'9店辅助表'!H:I,2,FALSE),0)</f>
        <v>103</v>
      </c>
      <c r="Q41" s="65">
        <f>IFERROR(VLOOKUP(B:B,'[1]9店'!$B:$N,13,FALSE),0)</f>
        <v>62</v>
      </c>
      <c r="R41" s="79">
        <f t="shared" si="25"/>
        <v>-53</v>
      </c>
      <c r="S41" s="80">
        <f t="shared" si="26"/>
        <v>181.166586653865</v>
      </c>
      <c r="T41" s="44">
        <f t="shared" si="27"/>
        <v>6.03888622179549</v>
      </c>
      <c r="U41" s="44">
        <f>IFERROR(VLOOKUP(B:B,'[1]9店'!$B:$T,19,0),"-")</f>
        <v>3.37402190923318</v>
      </c>
      <c r="V41" s="81">
        <f t="shared" si="28"/>
        <v>2.66486431256231</v>
      </c>
      <c r="W41" s="82" t="str">
        <f t="shared" si="29"/>
        <v>库存过高</v>
      </c>
      <c r="X41" s="83" t="str">
        <f t="shared" si="30"/>
        <v>库存过高</v>
      </c>
      <c r="Y41" s="44">
        <f>IFERROR(SUMIF('9店辅助表'!K:K,B:B,'9店辅助表'!N:N),0)</f>
        <v>29.7</v>
      </c>
      <c r="Z41" s="44">
        <f>IFERROR(SUMIF('9店辅助表'!T:T,B:B,'9店辅助表'!W:W),0)</f>
        <v>140.72</v>
      </c>
      <c r="AA41" s="44">
        <f>IFERROR(SUMIF('9店辅助表'!AC:AC,B:B,'9店辅助表'!AF:AF),0)</f>
        <v>180.09</v>
      </c>
      <c r="AB41" s="91">
        <f>IFERROR(SUMIF('9店辅助表'!K:K,B:B,'9店辅助表'!N:N)/SUMIF('9店辅助表'!K:K,B:B,'9店辅助表'!O:O),"-")</f>
        <v>0.825458588104503</v>
      </c>
      <c r="AC41" s="91">
        <f>IFERROR(VLOOKUP(B:B,'[1]9店'!$B:$AB,27,FALSE),"-")</f>
        <v>0.242593558320296</v>
      </c>
      <c r="AD41" s="92">
        <f t="shared" si="31"/>
        <v>0.582865029784207</v>
      </c>
      <c r="AE41" s="91">
        <f>IFERROR(SUMIF('9店辅助表'!T:T,B:B,'9店辅助表'!W:W)/SUMIF('9店辅助表'!T:T,B:B,'9店辅助表'!X:X),"-")</f>
        <v>0.287753307568043</v>
      </c>
      <c r="AF41" s="91">
        <f>IFERROR(SUMIF('9店辅助表'!AC:AC,B:B,'9店辅助表'!AF:AF)/SUMIF('9店辅助表'!AC:AC,B:B,'9店辅助表'!AG:AG),"-")</f>
        <v>0.275915428221235</v>
      </c>
      <c r="AG41" s="99">
        <f>IFERROR(AK41/((SUMIF('9店辅助表'!AT:AT,B:B,'9店辅助表'!AU:AU)+M41)/2),"-")</f>
        <v>0.0148148148148148</v>
      </c>
      <c r="AH41" s="99">
        <f>IFERROR(AL41/((SUMIF('9店辅助表'!AW:AW,B:B,'9店辅助表'!AX:AX)+M41)/2),"-")</f>
        <v>0.120092378752887</v>
      </c>
      <c r="AI41" s="100">
        <f>IFERROR((SUMIF('9店辅助表'!AP:AP,B:B,'9店辅助表'!AR:AR)-SUMIF('9店辅助表'!AP:AP,B:B,'9店辅助表'!AR:AR)*0.15-(L41+IFERROR(VLOOKUP(B:B,'9店辅助表'!AZ:BA,2,0),0))*O41-IF(AN:AN="US",6.85,4.9)*(Z41+4.27*O41))/SUMIF('9店辅助表'!AP:AP,B:B,'9店辅助表'!AR:AR),"-")</f>
        <v>0.0252480886084855</v>
      </c>
      <c r="AJ41" s="100">
        <f t="shared" si="32"/>
        <v>0.00303210301995669</v>
      </c>
      <c r="AK41" s="101">
        <f t="shared" si="33"/>
        <v>275.247</v>
      </c>
      <c r="AL41" s="101">
        <f t="shared" si="34"/>
        <v>2385.474</v>
      </c>
      <c r="AM41" s="1" t="str">
        <f>VLOOKUP(B:B,'9店辅助表'!AZ:AZ,1,FALSE)</f>
        <v>Y9002-BL</v>
      </c>
      <c r="AN41" t="str">
        <f>VLOOKUP(B:B,'9店辅助表'!AZ:BB,3,FALSE)</f>
        <v>US</v>
      </c>
    </row>
    <row r="42" customHeight="1" spans="1:40">
      <c r="A42" s="58" t="str">
        <f>INDEX('[1]9店'!$A:$A,MATCH(B:B,'[1]9店'!$B:$B,0))</f>
        <v>美珠</v>
      </c>
      <c r="B42" s="45" t="s">
        <v>3135</v>
      </c>
      <c r="C42" s="45" t="s">
        <v>3136</v>
      </c>
      <c r="D42" s="59">
        <f>VLOOKUP(B:B,'[1]9店'!$B:$L,3,0)</f>
        <v>45009</v>
      </c>
      <c r="E42" s="45" t="s">
        <v>3137</v>
      </c>
      <c r="F42" s="45">
        <v>530</v>
      </c>
      <c r="G42" s="45">
        <v>1</v>
      </c>
      <c r="H42" s="45">
        <v>1</v>
      </c>
      <c r="I42" s="45">
        <v>40</v>
      </c>
      <c r="J42" s="45">
        <v>0</v>
      </c>
      <c r="K42" s="63">
        <f t="shared" si="23"/>
        <v>572</v>
      </c>
      <c r="L42" s="64">
        <f>IFERROR(VLOOKUP($B:$B,'[1]9店'!$B:$L,11,0),0)</f>
        <v>30.583</v>
      </c>
      <c r="M42" s="44">
        <f t="shared" si="24"/>
        <v>17493.476</v>
      </c>
      <c r="N42" s="65">
        <f>IFERROR(VLOOKUP(B:B,'9店辅助表'!B:C,2,FALSE),0)</f>
        <v>7</v>
      </c>
      <c r="O42" s="65">
        <f>IFERROR(VLOOKUP(B:B,'9店辅助表'!E:F,2,FALSE),0)</f>
        <v>18</v>
      </c>
      <c r="P42" s="65">
        <f>IFERROR(VLOOKUP(B:B,'9店辅助表'!H:I,2,FALSE),0)</f>
        <v>20</v>
      </c>
      <c r="Q42" s="65">
        <f>IFERROR(VLOOKUP(B:B,'[1]9店'!$B:$N,13,FALSE),0)</f>
        <v>11</v>
      </c>
      <c r="R42" s="79">
        <f t="shared" si="25"/>
        <v>-4</v>
      </c>
      <c r="S42" s="80">
        <f t="shared" si="26"/>
        <v>598.604651162791</v>
      </c>
      <c r="T42" s="44">
        <f t="shared" si="27"/>
        <v>19.953488372093</v>
      </c>
      <c r="U42" s="44">
        <f>IFERROR(VLOOKUP(B:B,'[1]9店'!$B:$T,19,0),"-")</f>
        <v>20.3731343283582</v>
      </c>
      <c r="V42" s="81">
        <f t="shared" si="28"/>
        <v>-0.419645956265203</v>
      </c>
      <c r="W42" s="82" t="str">
        <f t="shared" si="29"/>
        <v>库存过高</v>
      </c>
      <c r="X42" s="83" t="str">
        <f t="shared" si="30"/>
        <v>库存过高</v>
      </c>
      <c r="Y42" s="44">
        <f>IFERROR(SUMIF('9店辅助表'!K:K,B:B,'9店辅助表'!N:N),0)</f>
        <v>16.27</v>
      </c>
      <c r="Z42" s="44">
        <f>IFERROR(SUMIF('9店辅助表'!T:T,B:B,'9店辅助表'!W:W),0)</f>
        <v>37.39</v>
      </c>
      <c r="AA42" s="44">
        <f>IFERROR(SUMIF('9店辅助表'!AC:AC,B:B,'9店辅助表'!AF:AF),0)</f>
        <v>50.65</v>
      </c>
      <c r="AB42" s="91">
        <f>IFERROR(SUMIF('9店辅助表'!K:K,B:B,'9店辅助表'!N:N)/SUMIF('9店辅助表'!K:K,B:B,'9店辅助表'!O:O),"-")</f>
        <v>0.226097832128961</v>
      </c>
      <c r="AC42" s="91">
        <f>IFERROR(VLOOKUP(B:B,'[1]9店'!$B:$AB,27,FALSE),"-")</f>
        <v>0.175005147210212</v>
      </c>
      <c r="AD42" s="92">
        <f t="shared" si="31"/>
        <v>0.051092684918749</v>
      </c>
      <c r="AE42" s="91">
        <f>IFERROR(SUMIF('9店辅助表'!T:T,B:B,'9店辅助表'!W:W)/SUMIF('9店辅助表'!T:T,B:B,'9店辅助表'!X:X),"-")</f>
        <v>0.221111768184506</v>
      </c>
      <c r="AF42" s="91">
        <f>IFERROR(SUMIF('9店辅助表'!AC:AC,B:B,'9店辅助表'!AF:AF)/SUMIF('9店辅助表'!AC:AC,B:B,'9店辅助表'!AG:AG),"-")</f>
        <v>0.253655849358974</v>
      </c>
      <c r="AG42" s="99">
        <f>IFERROR(AK42/((SUMIF('9店辅助表'!AT:AT,B:B,'9店辅助表'!AU:AU)+M42)/2),"-")</f>
        <v>0.0121002592912705</v>
      </c>
      <c r="AH42" s="99">
        <f>IFERROR(AL42/((SUMIF('9店辅助表'!AW:AW,B:B,'9店辅助表'!AX:AX)+M42)/2),"-")</f>
        <v>0.0309810671256454</v>
      </c>
      <c r="AI42" s="100">
        <f>IFERROR((SUMIF('9店辅助表'!AP:AP,B:B,'9店辅助表'!AR:AR)-SUMIF('9店辅助表'!AP:AP,B:B,'9店辅助表'!AR:AR)*0.15-(L42+IFERROR(VLOOKUP(B:B,'9店辅助表'!AZ:BA,2,0),0))*O42-IF(AN:AN="US",6.85,4.9)*(Z42+4.27*O42))/SUMIF('9店辅助表'!AP:AP,B:B,'9店辅助表'!AR:AR),"-")</f>
        <v>0.149300991787287</v>
      </c>
      <c r="AJ42" s="100">
        <f t="shared" si="32"/>
        <v>0.00462550404848736</v>
      </c>
      <c r="AK42" s="101">
        <f t="shared" si="33"/>
        <v>214.081</v>
      </c>
      <c r="AL42" s="101">
        <f t="shared" si="34"/>
        <v>550.494</v>
      </c>
      <c r="AM42" s="1" t="str">
        <f>VLOOKUP(B:B,'9店辅助表'!AZ:AZ,1,FALSE)</f>
        <v>Y9002-BU</v>
      </c>
      <c r="AN42" t="str">
        <f>VLOOKUP(B:B,'9店辅助表'!AZ:BB,3,FALSE)</f>
        <v>US</v>
      </c>
    </row>
    <row r="43" customHeight="1" spans="1:40">
      <c r="A43" s="58" t="str">
        <f>INDEX('[1]9店'!$A:$A,MATCH(B:B,'[1]9店'!$B:$B,0))</f>
        <v>美珠</v>
      </c>
      <c r="B43" s="45" t="s">
        <v>3138</v>
      </c>
      <c r="C43" s="45" t="s">
        <v>3139</v>
      </c>
      <c r="D43" s="59">
        <f>VLOOKUP(B:B,'[1]9店'!$B:$L,3,0)</f>
        <v>45009</v>
      </c>
      <c r="E43" s="45" t="s">
        <v>3140</v>
      </c>
      <c r="F43" s="45">
        <v>376</v>
      </c>
      <c r="G43" s="45">
        <v>5</v>
      </c>
      <c r="H43" s="45">
        <v>0</v>
      </c>
      <c r="I43" s="45">
        <v>1</v>
      </c>
      <c r="J43" s="45">
        <v>0</v>
      </c>
      <c r="K43" s="63">
        <f t="shared" si="23"/>
        <v>382</v>
      </c>
      <c r="L43" s="64">
        <f>IFERROR(VLOOKUP($B:$B,'[1]9店'!$B:$L,11,0),0)</f>
        <v>68.725</v>
      </c>
      <c r="M43" s="44">
        <f t="shared" si="24"/>
        <v>26252.95</v>
      </c>
      <c r="N43" s="65">
        <f>IFERROR(VLOOKUP(B:B,'9店辅助表'!B:C,2,FALSE),0)</f>
        <v>4</v>
      </c>
      <c r="O43" s="65">
        <f>IFERROR(VLOOKUP(B:B,'9店辅助表'!E:F,2,FALSE),0)</f>
        <v>30</v>
      </c>
      <c r="P43" s="65">
        <f>IFERROR(VLOOKUP(B:B,'9店辅助表'!H:I,2,FALSE),0)</f>
        <v>42</v>
      </c>
      <c r="Q43" s="65">
        <f>IFERROR(VLOOKUP(B:B,'[1]9店'!$B:$N,13,FALSE),0)</f>
        <v>24</v>
      </c>
      <c r="R43" s="79">
        <f t="shared" si="25"/>
        <v>-20</v>
      </c>
      <c r="S43" s="80">
        <f t="shared" si="26"/>
        <v>288.561151079137</v>
      </c>
      <c r="T43" s="44">
        <f t="shared" si="27"/>
        <v>9.61870503597122</v>
      </c>
      <c r="U43" s="44">
        <f>IFERROR(VLOOKUP(B:B,'[1]9店'!$B:$T,19,0),"-")</f>
        <v>5.83092783505155</v>
      </c>
      <c r="V43" s="81">
        <f t="shared" si="28"/>
        <v>3.78777720091967</v>
      </c>
      <c r="W43" s="82" t="str">
        <f t="shared" si="29"/>
        <v>库存过高</v>
      </c>
      <c r="X43" s="83" t="str">
        <f t="shared" si="30"/>
        <v>库存过高</v>
      </c>
      <c r="Y43" s="44">
        <f>IFERROR(SUMIF('9店辅助表'!K:K,B:B,'9店辅助表'!N:N),0)</f>
        <v>30.81464</v>
      </c>
      <c r="Z43" s="44">
        <f>IFERROR(SUMIF('9店辅助表'!T:T,B:B,'9店辅助表'!W:W),0)</f>
        <v>116.43623</v>
      </c>
      <c r="AA43" s="44">
        <f>IFERROR(SUMIF('9店辅助表'!AC:AC,B:B,'9店辅助表'!AF:AF),0)</f>
        <v>268.48909</v>
      </c>
      <c r="AB43" s="91" t="str">
        <f>IFERROR(SUMIF('9店辅助表'!K:K,B:B,'9店辅助表'!N:N)/SUMIF('9店辅助表'!K:K,B:B,'9店辅助表'!O:O),"-")</f>
        <v>-</v>
      </c>
      <c r="AC43" s="91">
        <f>IFERROR(VLOOKUP(B:B,'[1]9店'!$B:$AB,27,FALSE),"-")</f>
        <v>0.154101409818074</v>
      </c>
      <c r="AD43" s="92" t="str">
        <f t="shared" si="31"/>
        <v>-</v>
      </c>
      <c r="AE43" s="91">
        <f>IFERROR(SUMIF('9店辅助表'!T:T,B:B,'9店辅助表'!W:W)/SUMIF('9店辅助表'!T:T,B:B,'9店辅助表'!X:X),"-")</f>
        <v>0.206158448272809</v>
      </c>
      <c r="AF43" s="91">
        <f>IFERROR(SUMIF('9店辅助表'!AC:AC,B:B,'9店辅助表'!AF:AF)/SUMIF('9店辅助表'!AC:AC,B:B,'9店辅助表'!AG:AG),"-")</f>
        <v>0.352010659079884</v>
      </c>
      <c r="AG43" s="99">
        <f>IFERROR(AK43/((SUMIF('9店辅助表'!AT:AT,B:B,'9店辅助表'!AU:AU)+M43)/2),"-")</f>
        <v>0.0101781170483461</v>
      </c>
      <c r="AH43" s="99">
        <f>IFERROR(AL43/((SUMIF('9店辅助表'!AW:AW,B:B,'9店辅助表'!AX:AX)+M43)/2),"-")</f>
        <v>0.0744416873449132</v>
      </c>
      <c r="AI43" s="100">
        <f>IFERROR((SUMIF('9店辅助表'!AP:AP,B:B,'9店辅助表'!AR:AR)-SUMIF('9店辅助表'!AP:AP,B:B,'9店辅助表'!AR:AR)*0.15-(L43+IFERROR(VLOOKUP(B:B,'9店辅助表'!AZ:BA,2,0),0))*O43-IF(AN:AN="US",6.85,4.9)*(Z43+4.27*O43))/SUMIF('9店辅助表'!AP:AP,B:B,'9店辅助表'!AR:AR),"-")</f>
        <v>0.17756941198885</v>
      </c>
      <c r="AJ43" s="100">
        <f t="shared" si="32"/>
        <v>0.013218566649294</v>
      </c>
      <c r="AK43" s="101">
        <f t="shared" si="33"/>
        <v>274.9</v>
      </c>
      <c r="AL43" s="101">
        <f t="shared" si="34"/>
        <v>2061.75</v>
      </c>
      <c r="AM43" s="1" t="str">
        <f>VLOOKUP(B:B,'9店辅助表'!AZ:AZ,1,FALSE)</f>
        <v>Y9003-1</v>
      </c>
      <c r="AN43" t="str">
        <f>VLOOKUP(B:B,'9店辅助表'!AZ:BB,3,FALSE)</f>
        <v>US</v>
      </c>
    </row>
    <row r="44" customHeight="1" spans="1:40">
      <c r="A44" s="58" t="str">
        <f>INDEX('[1]9店'!$A:$A,MATCH(B:B,'[1]9店'!$B:$B,0))</f>
        <v>美珠</v>
      </c>
      <c r="B44" s="45" t="s">
        <v>3141</v>
      </c>
      <c r="C44" s="45" t="s">
        <v>1185</v>
      </c>
      <c r="D44" s="59"/>
      <c r="E44" s="45" t="s">
        <v>3142</v>
      </c>
      <c r="F44" s="45">
        <v>13</v>
      </c>
      <c r="G44" s="45">
        <v>1</v>
      </c>
      <c r="H44" s="45">
        <v>5</v>
      </c>
      <c r="I44" s="45">
        <v>0</v>
      </c>
      <c r="J44" s="45">
        <v>0</v>
      </c>
      <c r="K44" s="63">
        <f t="shared" si="23"/>
        <v>19</v>
      </c>
      <c r="L44" s="64">
        <f>IFERROR(VLOOKUP($B:$B,'[1]9店'!$B:$L,11,0),0)</f>
        <v>13.9</v>
      </c>
      <c r="M44" s="44">
        <f t="shared" si="24"/>
        <v>264.1</v>
      </c>
      <c r="N44" s="65">
        <f>IFERROR(VLOOKUP(B:B,'9店辅助表'!B:C,2,FALSE),0)</f>
        <v>1</v>
      </c>
      <c r="O44" s="65">
        <f>IFERROR(VLOOKUP(B:B,'9店辅助表'!E:F,2,FALSE),0)</f>
        <v>3</v>
      </c>
      <c r="P44" s="65">
        <f>IFERROR(VLOOKUP(B:B,'9店辅助表'!H:I,2,FALSE),0)</f>
        <v>21</v>
      </c>
      <c r="Q44" s="65">
        <f>IFERROR(VLOOKUP(B:B,'[1]9店'!$B:$N,13,FALSE),0)</f>
        <v>2</v>
      </c>
      <c r="R44" s="79">
        <f t="shared" si="25"/>
        <v>-1</v>
      </c>
      <c r="S44" s="80">
        <f t="shared" si="26"/>
        <v>54.6575342465754</v>
      </c>
      <c r="T44" s="44">
        <f t="shared" si="27"/>
        <v>1.82191780821918</v>
      </c>
      <c r="U44" s="44">
        <f>IFERROR(VLOOKUP(B:B,'[1]9店'!$B:$T,19,0),"-")</f>
        <v>1.1981981981982</v>
      </c>
      <c r="V44" s="81">
        <f t="shared" si="28"/>
        <v>0.62371961002098</v>
      </c>
      <c r="W44" s="82" t="str">
        <f t="shared" si="29"/>
        <v>库存过高</v>
      </c>
      <c r="X44" s="83" t="str">
        <f t="shared" si="30"/>
        <v>库存过高</v>
      </c>
      <c r="Y44" s="44">
        <f>IFERROR(SUMIF('9店辅助表'!K:K,B:B,'9店辅助表'!N:N),0)</f>
        <v>1.12</v>
      </c>
      <c r="Z44" s="44">
        <f>IFERROR(SUMIF('9店辅助表'!T:T,B:B,'9店辅助表'!W:W),0)</f>
        <v>2.31</v>
      </c>
      <c r="AA44" s="44">
        <f>IFERROR(SUMIF('9店辅助表'!AC:AC,B:B,'9店辅助表'!AF:AF),0)</f>
        <v>3.92</v>
      </c>
      <c r="AB44" s="91" t="str">
        <f>IFERROR(SUMIF('9店辅助表'!K:K,B:B,'9店辅助表'!N:N)/SUMIF('9店辅助表'!K:K,B:B,'9店辅助表'!O:O),"-")</f>
        <v>-</v>
      </c>
      <c r="AC44" s="91" t="str">
        <f>IFERROR(VLOOKUP(B:B,'[1]9店'!$B:$AB,27,FALSE),"-")</f>
        <v>-</v>
      </c>
      <c r="AD44" s="92" t="str">
        <f t="shared" si="31"/>
        <v>-</v>
      </c>
      <c r="AE44" s="91" t="str">
        <f>IFERROR(SUMIF('9店辅助表'!T:T,B:B,'9店辅助表'!W:W)/SUMIF('9店辅助表'!T:T,B:B,'9店辅助表'!X:X),"-")</f>
        <v>-</v>
      </c>
      <c r="AF44" s="91" t="str">
        <f>IFERROR(SUMIF('9店辅助表'!AC:AC,B:B,'9店辅助表'!AF:AF)/SUMIF('9店辅助表'!AC:AC,B:B,'9店辅助表'!AG:AG),"-")</f>
        <v>-</v>
      </c>
      <c r="AG44" s="99">
        <f>IFERROR(AK44/((SUMIF('9店辅助表'!AT:AT,B:B,'9店辅助表'!AU:AU)+M44)/2),"-")</f>
        <v>0.0526315789473684</v>
      </c>
      <c r="AH44" s="99">
        <f>IFERROR(AL44/((SUMIF('9店辅助表'!AW:AW,B:B,'9店辅助表'!AX:AX)+M44)/2),"-")</f>
        <v>0.166666666666667</v>
      </c>
      <c r="AI44" s="100">
        <f>IFERROR((SUMIF('9店辅助表'!AP:AP,B:B,'9店辅助表'!AR:AR)-SUMIF('9店辅助表'!AP:AP,B:B,'9店辅助表'!AR:AR)*0.15-(L44+IFERROR(VLOOKUP(B:B,'9店辅助表'!AZ:BA,2,0),0))*O44-IF(AN:AN="US",6.85,4.9)*(Z44+4.27*O44))/SUMIF('9店辅助表'!AP:AP,B:B,'9店辅助表'!AR:AR),"-")</f>
        <v>0.236872552159719</v>
      </c>
      <c r="AJ44" s="100">
        <f t="shared" si="32"/>
        <v>0.0394787586932864</v>
      </c>
      <c r="AK44" s="101">
        <f t="shared" si="33"/>
        <v>13.9</v>
      </c>
      <c r="AL44" s="101">
        <f t="shared" si="34"/>
        <v>41.7</v>
      </c>
      <c r="AM44" s="1" t="str">
        <f>VLOOKUP(B:B,'9店辅助表'!AZ:AZ,1,FALSE)</f>
        <v>Y93405-BL+Y93406+Y93397</v>
      </c>
      <c r="AN44" t="str">
        <f>VLOOKUP(B:B,'9店辅助表'!AZ:BB,3,FALSE)</f>
        <v>US</v>
      </c>
    </row>
    <row r="45" customHeight="1" spans="1:40">
      <c r="A45" s="58" t="str">
        <f>INDEX('[1]9店'!$A:$A,MATCH(B:B,'[1]9店'!$B:$B,0))</f>
        <v>美珠</v>
      </c>
      <c r="B45" s="45" t="s">
        <v>3143</v>
      </c>
      <c r="C45" s="45" t="s">
        <v>95</v>
      </c>
      <c r="D45" s="59"/>
      <c r="E45" s="45" t="s">
        <v>3144</v>
      </c>
      <c r="F45" s="45">
        <v>9</v>
      </c>
      <c r="G45" s="45">
        <v>1</v>
      </c>
      <c r="H45" s="45">
        <v>11</v>
      </c>
      <c r="I45" s="45">
        <v>2</v>
      </c>
      <c r="J45" s="45">
        <v>2</v>
      </c>
      <c r="K45" s="63">
        <f t="shared" si="23"/>
        <v>25</v>
      </c>
      <c r="L45" s="64">
        <f>IFERROR(VLOOKUP($B:$B,'[1]9店'!$B:$L,11,0),0)</f>
        <v>13.9</v>
      </c>
      <c r="M45" s="44">
        <f t="shared" si="24"/>
        <v>347.5</v>
      </c>
      <c r="N45" s="65">
        <f>IFERROR(VLOOKUP(B:B,'9店辅助表'!B:C,2,FALSE),0)</f>
        <v>6</v>
      </c>
      <c r="O45" s="65">
        <f>IFERROR(VLOOKUP(B:B,'9店辅助表'!E:F,2,FALSE),0)</f>
        <v>15</v>
      </c>
      <c r="P45" s="65">
        <f>IFERROR(VLOOKUP(B:B,'9店辅助表'!H:I,2,FALSE),0)</f>
        <v>30</v>
      </c>
      <c r="Q45" s="65">
        <f>IFERROR(VLOOKUP(B:B,'[1]9店'!$B:$N,13,FALSE),0)</f>
        <v>7</v>
      </c>
      <c r="R45" s="79">
        <f t="shared" si="25"/>
        <v>-1</v>
      </c>
      <c r="S45" s="80">
        <f t="shared" si="26"/>
        <v>26.25</v>
      </c>
      <c r="T45" s="44">
        <f t="shared" si="27"/>
        <v>0.875</v>
      </c>
      <c r="U45" s="44">
        <f>IFERROR(VLOOKUP(B:B,'[1]9店'!$B:$T,19,0),"-")</f>
        <v>0.59375</v>
      </c>
      <c r="V45" s="81">
        <f t="shared" si="28"/>
        <v>0.28125</v>
      </c>
      <c r="W45" s="82" t="str">
        <f t="shared" si="29"/>
        <v>正常</v>
      </c>
      <c r="X45" s="83" t="str">
        <f t="shared" si="30"/>
        <v>正常</v>
      </c>
      <c r="Y45" s="44">
        <f>IFERROR(SUMIF('9店辅助表'!K:K,B:B,'9店辅助表'!N:N),0)</f>
        <v>6.9</v>
      </c>
      <c r="Z45" s="44">
        <f>IFERROR(SUMIF('9店辅助表'!T:T,B:B,'9店辅助表'!W:W),0)</f>
        <v>17.47</v>
      </c>
      <c r="AA45" s="44">
        <f>IFERROR(SUMIF('9店辅助表'!AC:AC,B:B,'9店辅助表'!AF:AF),0)</f>
        <v>40.07</v>
      </c>
      <c r="AB45" s="91">
        <f>IFERROR(SUMIF('9店辅助表'!K:K,B:B,'9店辅助表'!N:N)/SUMIF('9店辅助表'!K:K,B:B,'9店辅助表'!O:O),"-")</f>
        <v>0.177059276366436</v>
      </c>
      <c r="AC45" s="91">
        <f>IFERROR(VLOOKUP(B:B,'[1]9店'!$B:$AB,27,FALSE),"-")</f>
        <v>0.265767006334343</v>
      </c>
      <c r="AD45" s="92">
        <f t="shared" si="31"/>
        <v>-0.088707729967907</v>
      </c>
      <c r="AE45" s="91">
        <f>IFERROR(SUMIF('9店辅助表'!T:T,B:B,'9店辅助表'!W:W)/SUMIF('9店辅助表'!T:T,B:B,'9店辅助表'!X:X),"-")</f>
        <v>0.232066950053135</v>
      </c>
      <c r="AF45" s="91">
        <f>IFERROR(SUMIF('9店辅助表'!AC:AC,B:B,'9店辅助表'!AF:AF)/SUMIF('9店辅助表'!AC:AC,B:B,'9店辅助表'!AG:AG),"-")</f>
        <v>0.148699298623223</v>
      </c>
      <c r="AG45" s="99">
        <f>IFERROR(AK45/((SUMIF('9店辅助表'!AT:AT,B:B,'9店辅助表'!AU:AU)+M45)/2),"-")</f>
        <v>0.272727272727273</v>
      </c>
      <c r="AH45" s="99">
        <f>IFERROR(AL45/((SUMIF('9店辅助表'!AW:AW,B:B,'9店辅助表'!AX:AX)+M45)/2),"-")</f>
        <v>0.697674418604651</v>
      </c>
      <c r="AI45" s="100">
        <f>IFERROR((SUMIF('9店辅助表'!AP:AP,B:B,'9店辅助表'!AR:AR)-SUMIF('9店辅助表'!AP:AP,B:B,'9店辅助表'!AR:AR)*0.15-(L45+IFERROR(VLOOKUP(B:B,'9店辅助表'!AZ:BA,2,0),0))*O45-IF(AN:AN="US",6.85,4.9)*(Z45+4.27*O45))/SUMIF('9店辅助表'!AP:AP,B:B,'9店辅助表'!AR:AR),"-")</f>
        <v>0.20111665291901</v>
      </c>
      <c r="AJ45" s="100">
        <f t="shared" si="32"/>
        <v>0.140313943896984</v>
      </c>
      <c r="AK45" s="101">
        <f t="shared" si="33"/>
        <v>83.4</v>
      </c>
      <c r="AL45" s="101">
        <f t="shared" si="34"/>
        <v>208.5</v>
      </c>
      <c r="AM45" s="1" t="str">
        <f>VLOOKUP(B:B,'9店辅助表'!AZ:AZ,1,FALSE)</f>
        <v>Y93405-DB+Y93406+Y93397</v>
      </c>
      <c r="AN45" t="str">
        <f>VLOOKUP(B:B,'9店辅助表'!AZ:BB,3,FALSE)</f>
        <v>US</v>
      </c>
    </row>
    <row r="46" customHeight="1" spans="1:40">
      <c r="A46" s="58" t="str">
        <f>INDEX('[1]9店'!$A:$A,MATCH(B:B,'[1]9店'!$B:$B,0))</f>
        <v>美珠</v>
      </c>
      <c r="B46" s="45" t="s">
        <v>3145</v>
      </c>
      <c r="C46" s="45" t="s">
        <v>3146</v>
      </c>
      <c r="D46" s="59">
        <f>VLOOKUP(B:B,'[1]9店'!$B:$L,3,0)</f>
        <v>45015</v>
      </c>
      <c r="E46" s="45" t="s">
        <v>3147</v>
      </c>
      <c r="F46" s="45">
        <v>33</v>
      </c>
      <c r="G46" s="45">
        <v>3</v>
      </c>
      <c r="H46" s="45">
        <v>0</v>
      </c>
      <c r="I46" s="45">
        <v>0</v>
      </c>
      <c r="J46" s="45">
        <v>0</v>
      </c>
      <c r="K46" s="63">
        <f t="shared" ref="K46:K59" si="35">F46+G46+H46+I46+J46</f>
        <v>36</v>
      </c>
      <c r="L46" s="64">
        <f>IFERROR(VLOOKUP($B:$B,'[1]9店'!$B:$L,11,0),0)</f>
        <v>33.5</v>
      </c>
      <c r="M46" s="44">
        <f t="shared" ref="M46:M59" si="36">K46*L46</f>
        <v>1206</v>
      </c>
      <c r="N46" s="65">
        <f>IFERROR(VLOOKUP(B:B,'9店辅助表'!B:C,2,FALSE),0)</f>
        <v>7</v>
      </c>
      <c r="O46" s="65">
        <f>IFERROR(VLOOKUP(B:B,'9店辅助表'!E:F,2,FALSE),0)</f>
        <v>27</v>
      </c>
      <c r="P46" s="65">
        <f>IFERROR(VLOOKUP(B:B,'9店辅助表'!H:I,2,FALSE),0)</f>
        <v>55</v>
      </c>
      <c r="Q46" s="65">
        <f>IFERROR(VLOOKUP(B:B,'[1]9店'!$B:$N,13,FALSE),0)</f>
        <v>20</v>
      </c>
      <c r="R46" s="79">
        <f t="shared" ref="R46:R59" si="37">N46-Q46</f>
        <v>-13</v>
      </c>
      <c r="S46" s="80">
        <f t="shared" ref="S46:S59" si="38">IFERROR(K46/((N46/7+O46/15+P46/30)/3),"-")</f>
        <v>23.3093525179856</v>
      </c>
      <c r="T46" s="44">
        <f t="shared" ref="T46:T59" si="39">IFERROR(S46/30,"-")</f>
        <v>0.776978417266187</v>
      </c>
      <c r="U46" s="44">
        <f>IFERROR(VLOOKUP(B:B,'[1]9店'!$B:$T,19,0),"-")</f>
        <v>0.682100898410505</v>
      </c>
      <c r="V46" s="81">
        <f t="shared" ref="V46:V59" si="40">IFERROR(T46-U46,"-")</f>
        <v>0.094877518855682</v>
      </c>
      <c r="W46" s="82" t="str">
        <f t="shared" ref="W46:W59" si="41">_xlfn.IFS(AND(D46&lt;&gt;0,D46-$AM$2&gt;=0,B46&gt;0,D46&lt;&gt;0),"本月刚到货",AND(IFERROR((K46/(N46/7))/30,"-")="-",K46&gt;0),"有库存无销量",AND(IFERROR((K46/(N46/7))/30,"-")="-",K46=0),"无库存无销量",AND(IFERROR((K46/(N46/7))/30,"-")&lt;=0.5,K46=0),"无库存有销量",IFERROR((K46/(N46/7))/30,"-")&lt;=0.5,"库存过低",IFERROR((K46/(N46/7))/30,"-")&lt;=1.5,"正常",IFERROR((K46/(N46/7))/30,"-")&gt;1.5,"库存过高")</f>
        <v>正常</v>
      </c>
      <c r="X46" s="83" t="str">
        <f t="shared" ref="X46:X59" si="42">_xlfn.IFS(AND(D46&lt;&gt;0,D46-$AM$2&gt;=0,K46&gt;0,D46&lt;&gt;0),"本月刚到货",AND(T46="-",K46&gt;0),"有库存无销量",AND(T46="-",K46=0),"无库存无销量",AND(T46&lt;=0.5,K46=0),"无库存有销量",T46&lt;=0.5,"库存过低",T46&lt;=1.5,"正常",T46&gt;1.5,"库存过高")</f>
        <v>正常</v>
      </c>
      <c r="Y46" s="44">
        <f>IFERROR(SUMIF('9店辅助表'!K:K,B:B,'9店辅助表'!N:N),0)</f>
        <v>9.71</v>
      </c>
      <c r="Z46" s="44">
        <f>IFERROR(SUMIF('9店辅助表'!T:T,B:B,'9店辅助表'!W:W),0)</f>
        <v>15.31</v>
      </c>
      <c r="AA46" s="44">
        <f>IFERROR(SUMIF('9店辅助表'!AC:AC,B:B,'9店辅助表'!AF:AF),0)</f>
        <v>24.72</v>
      </c>
      <c r="AB46" s="91">
        <f>IFERROR(SUMIF('9店辅助表'!K:K,B:B,'9店辅助表'!N:N)/SUMIF('9店辅助表'!K:K,B:B,'9店辅助表'!O:O),"-")</f>
        <v>0.157018111254851</v>
      </c>
      <c r="AC46" s="91">
        <f>IFERROR(VLOOKUP(B:B,'[1]9店'!$B:$AB,27,FALSE),"-")</f>
        <v>0.278086763070078</v>
      </c>
      <c r="AD46" s="92">
        <f t="shared" ref="AD46:AD59" si="43">IFERROR(AB46-AC46,"-")</f>
        <v>-0.121068651815227</v>
      </c>
      <c r="AE46" s="91">
        <f>IFERROR(SUMIF('9店辅助表'!T:T,B:B,'9店辅助表'!W:W)/SUMIF('9店辅助表'!T:T,B:B,'9店辅助表'!X:X),"-")</f>
        <v>0.191806564770734</v>
      </c>
      <c r="AF46" s="91">
        <f>IFERROR(SUMIF('9店辅助表'!AC:AC,B:B,'9店辅助表'!AF:AF)/SUMIF('9店辅助表'!AC:AC,B:B,'9店辅助表'!AG:AG),"-")</f>
        <v>0.142544112559105</v>
      </c>
      <c r="AG46" s="99">
        <f>IFERROR(AK46/((SUMIF('9店辅助表'!AT:AT,B:B,'9店辅助表'!AU:AU)+M46)/2),"-")</f>
        <v>0.168674698795181</v>
      </c>
      <c r="AH46" s="99">
        <f>IFERROR(AL46/((SUMIF('9店辅助表'!AW:AW,B:B,'9店辅助表'!AX:AX)+M46)/2),"-")</f>
        <v>0.442622950819672</v>
      </c>
      <c r="AI46" s="100">
        <f>IFERROR((SUMIF('9店辅助表'!AP:AP,B:B,'9店辅助表'!AR:AR)-SUMIF('9店辅助表'!AP:AP,B:B,'9店辅助表'!AR:AR)*0.15-(L46+IFERROR(VLOOKUP(B:B,'9店辅助表'!AZ:BA,2,0),0))*O46-IF(AN:AN="US",6.85,4.9)*(Z46+4.27*O46))/SUMIF('9店辅助表'!AP:AP,B:B,'9店辅助表'!AR:AR),"-")</f>
        <v>0.0220350742012465</v>
      </c>
      <c r="AJ46" s="100">
        <f t="shared" ref="AJ46:AJ59" si="44">IFERROR(AH46*AI46,"-")</f>
        <v>0.00975322956448617</v>
      </c>
      <c r="AK46" s="101">
        <f t="shared" ref="AK46:AK59" si="45">N46*$L46</f>
        <v>234.5</v>
      </c>
      <c r="AL46" s="101">
        <f t="shared" ref="AL46:AL59" si="46">O46*$L46</f>
        <v>904.5</v>
      </c>
      <c r="AM46" s="1" t="str">
        <f>VLOOKUP(B:B,'9店辅助表'!AZ:AZ,1,FALSE)</f>
        <v>Y9005-BL</v>
      </c>
      <c r="AN46" t="str">
        <f>VLOOKUP(B:B,'9店辅助表'!AZ:BB,3,FALSE)</f>
        <v>US</v>
      </c>
    </row>
    <row r="47" customHeight="1" spans="1:40">
      <c r="A47" s="58" t="str">
        <f>INDEX('[1]9店'!$A:$A,MATCH(B:B,'[1]9店'!$B:$B,0))</f>
        <v>美珠</v>
      </c>
      <c r="B47" s="45" t="s">
        <v>3148</v>
      </c>
      <c r="C47" s="45" t="s">
        <v>3149</v>
      </c>
      <c r="D47" s="59">
        <f>VLOOKUP(B:B,'[1]9店'!$B:$L,3,0)</f>
        <v>45015</v>
      </c>
      <c r="E47" s="45" t="s">
        <v>3150</v>
      </c>
      <c r="F47" s="45">
        <v>23</v>
      </c>
      <c r="G47" s="45">
        <v>1</v>
      </c>
      <c r="H47" s="45">
        <v>3</v>
      </c>
      <c r="I47" s="45">
        <v>35</v>
      </c>
      <c r="J47" s="45">
        <v>0</v>
      </c>
      <c r="K47" s="63">
        <f t="shared" si="35"/>
        <v>62</v>
      </c>
      <c r="L47" s="64">
        <f>IFERROR(VLOOKUP($B:$B,'[1]9店'!$B:$L,11,0),0)</f>
        <v>33.5</v>
      </c>
      <c r="M47" s="44">
        <f t="shared" si="36"/>
        <v>2077</v>
      </c>
      <c r="N47" s="65">
        <f>IFERROR(VLOOKUP(B:B,'9店辅助表'!B:C,2,FALSE),0)</f>
        <v>136</v>
      </c>
      <c r="O47" s="65">
        <f>IFERROR(VLOOKUP(B:B,'9店辅助表'!E:F,2,FALSE),0)</f>
        <v>160</v>
      </c>
      <c r="P47" s="65">
        <f>IFERROR(VLOOKUP(B:B,'9店辅助表'!H:I,2,FALSE),0)</f>
        <v>165</v>
      </c>
      <c r="Q47" s="65">
        <f>IFERROR(VLOOKUP(B:B,'[1]9店'!$B:$N,13,FALSE),0)</f>
        <v>24</v>
      </c>
      <c r="R47" s="79">
        <f t="shared" si="37"/>
        <v>112</v>
      </c>
      <c r="S47" s="80">
        <f t="shared" si="38"/>
        <v>5.22541806020067</v>
      </c>
      <c r="T47" s="44">
        <f t="shared" si="39"/>
        <v>0.174180602006689</v>
      </c>
      <c r="U47" s="44">
        <f>IFERROR(VLOOKUP(B:B,'[1]9店'!$B:$T,19,0),"-")</f>
        <v>2.77752293577982</v>
      </c>
      <c r="V47" s="81">
        <f t="shared" si="40"/>
        <v>-2.60334233377313</v>
      </c>
      <c r="W47" s="82" t="str">
        <f t="shared" si="41"/>
        <v>库存过低</v>
      </c>
      <c r="X47" s="83" t="str">
        <f t="shared" si="42"/>
        <v>库存过低</v>
      </c>
      <c r="Y47" s="44">
        <f>IFERROR(SUMIF('9店辅助表'!K:K,B:B,'9店辅助表'!N:N),0)</f>
        <v>98.29</v>
      </c>
      <c r="Z47" s="44">
        <f>IFERROR(SUMIF('9店辅助表'!T:T,B:B,'9店辅助表'!W:W),0)</f>
        <v>108.59</v>
      </c>
      <c r="AA47" s="44">
        <f>IFERROR(SUMIF('9店辅助表'!AC:AC,B:B,'9店辅助表'!AF:AF),0)</f>
        <v>115.1</v>
      </c>
      <c r="AB47" s="91">
        <f>IFERROR(SUMIF('9店辅助表'!K:K,B:B,'9店辅助表'!N:N)/SUMIF('9店辅助表'!K:K,B:B,'9店辅助表'!O:O),"-")</f>
        <v>0.15872938972595</v>
      </c>
      <c r="AC47" s="91">
        <f>IFERROR(VLOOKUP(B:B,'[1]9店'!$B:$AB,27,FALSE),"-")</f>
        <v>0.332999666333</v>
      </c>
      <c r="AD47" s="92">
        <f t="shared" si="43"/>
        <v>-0.17427027660705</v>
      </c>
      <c r="AE47" s="91">
        <f>IFERROR(SUMIF('9店辅助表'!T:T,B:B,'9店辅助表'!W:W)/SUMIF('9店辅助表'!T:T,B:B,'9店辅助表'!X:X),"-")</f>
        <v>0.167267406038201</v>
      </c>
      <c r="AF47" s="91">
        <f>IFERROR(SUMIF('9店辅助表'!AC:AC,B:B,'9店辅助表'!AF:AF)/SUMIF('9店辅助表'!AC:AC,B:B,'9店辅助表'!AG:AG),"-")</f>
        <v>0.159497810542653</v>
      </c>
      <c r="AG47" s="99">
        <f>IFERROR(AK47/((SUMIF('9店辅助表'!AT:AT,B:B,'9店辅助表'!AU:AU)+M47)/2),"-")</f>
        <v>1.15744680851064</v>
      </c>
      <c r="AH47" s="99">
        <f>IFERROR(AL47/((SUMIF('9店辅助表'!AW:AW,B:B,'9店辅助表'!AX:AX)+M47)/2),"-")</f>
        <v>1.35021097046413</v>
      </c>
      <c r="AI47" s="100">
        <f>IFERROR((SUMIF('9店辅助表'!AP:AP,B:B,'9店辅助表'!AR:AR)-SUMIF('9店辅助表'!AP:AP,B:B,'9店辅助表'!AR:AR)*0.15-(L47+IFERROR(VLOOKUP(B:B,'9店辅助表'!AZ:BA,2,0),0))*O47-IF(AN:AN="US",6.85,4.9)*(Z47+4.27*O47))/SUMIF('9店辅助表'!AP:AP,B:B,'9店辅助表'!AR:AR),"-")</f>
        <v>-0.560541818448678</v>
      </c>
      <c r="AJ47" s="100">
        <f t="shared" si="44"/>
        <v>-0.756849712673321</v>
      </c>
      <c r="AK47" s="101">
        <f t="shared" si="45"/>
        <v>4556</v>
      </c>
      <c r="AL47" s="101">
        <f t="shared" si="46"/>
        <v>5360</v>
      </c>
      <c r="AM47" s="1" t="str">
        <f>VLOOKUP(B:B,'9店辅助表'!AZ:AZ,1,FALSE)</f>
        <v>Y9005-BU</v>
      </c>
      <c r="AN47" t="str">
        <f>VLOOKUP(B:B,'9店辅助表'!AZ:BB,3,FALSE)</f>
        <v>US</v>
      </c>
    </row>
    <row r="48" customHeight="1" spans="1:40">
      <c r="A48" s="58" t="str">
        <f>INDEX('[1]9店'!$A:$A,MATCH(B:B,'[1]9店'!$B:$B,0))</f>
        <v>美珠</v>
      </c>
      <c r="B48" s="45" t="s">
        <v>3151</v>
      </c>
      <c r="C48" s="45" t="s">
        <v>3152</v>
      </c>
      <c r="D48" s="59">
        <f>VLOOKUP(B:B,'[1]9店'!$B:$L,3,0)</f>
        <v>45015</v>
      </c>
      <c r="E48" s="45" t="s">
        <v>3153</v>
      </c>
      <c r="F48" s="45">
        <v>0</v>
      </c>
      <c r="G48" s="45">
        <v>3</v>
      </c>
      <c r="H48" s="45">
        <v>0</v>
      </c>
      <c r="I48" s="45">
        <v>0</v>
      </c>
      <c r="J48" s="45">
        <v>0</v>
      </c>
      <c r="K48" s="63">
        <f t="shared" si="35"/>
        <v>3</v>
      </c>
      <c r="L48" s="64">
        <f>IFERROR(VLOOKUP($B:$B,'[1]9店'!$B:$L,11,0),0)</f>
        <v>33.5</v>
      </c>
      <c r="M48" s="44">
        <f t="shared" si="36"/>
        <v>100.5</v>
      </c>
      <c r="N48" s="65">
        <f>IFERROR(VLOOKUP(B:B,'9店辅助表'!B:C,2,FALSE),0)</f>
        <v>0</v>
      </c>
      <c r="O48" s="65">
        <f>IFERROR(VLOOKUP(B:B,'9店辅助表'!E:F,2,FALSE),0)</f>
        <v>126</v>
      </c>
      <c r="P48" s="65">
        <f>IFERROR(VLOOKUP(B:B,'9店辅助表'!H:I,2,FALSE),0)</f>
        <v>224</v>
      </c>
      <c r="Q48" s="65">
        <f>IFERROR(VLOOKUP(B:B,'[1]9店'!$B:$N,13,FALSE),0)</f>
        <v>98</v>
      </c>
      <c r="R48" s="79">
        <f t="shared" si="37"/>
        <v>-98</v>
      </c>
      <c r="S48" s="80">
        <f t="shared" si="38"/>
        <v>0.567226890756303</v>
      </c>
      <c r="T48" s="44">
        <f t="shared" si="39"/>
        <v>0.0189075630252101</v>
      </c>
      <c r="U48" s="44">
        <f>IFERROR(VLOOKUP(B:B,'[1]9店'!$B:$T,19,0),"-")</f>
        <v>0.0137362637362637</v>
      </c>
      <c r="V48" s="81">
        <f t="shared" si="40"/>
        <v>0.0051712992889464</v>
      </c>
      <c r="W48" s="82" t="str">
        <f t="shared" si="41"/>
        <v>有库存无销量</v>
      </c>
      <c r="X48" s="83" t="str">
        <f t="shared" si="42"/>
        <v>库存过低</v>
      </c>
      <c r="Y48" s="44">
        <f>IFERROR(SUMIF('9店辅助表'!K:K,B:B,'9店辅助表'!N:N),0)</f>
        <v>0</v>
      </c>
      <c r="Z48" s="44">
        <f>IFERROR(SUMIF('9店辅助表'!T:T,B:B,'9店辅助表'!W:W),0)</f>
        <v>93.85</v>
      </c>
      <c r="AA48" s="44">
        <f>IFERROR(SUMIF('9店辅助表'!AC:AC,B:B,'9店辅助表'!AF:AF),0)</f>
        <v>179.69</v>
      </c>
      <c r="AB48" s="91" t="str">
        <f>IFERROR(SUMIF('9店辅助表'!K:K,B:B,'9店辅助表'!N:N)/SUMIF('9店辅助表'!K:K,B:B,'9店辅助表'!O:O),"-")</f>
        <v>-</v>
      </c>
      <c r="AC48" s="91">
        <f>IFERROR(VLOOKUP(B:B,'[1]9店'!$B:$AB,27,FALSE),"-")</f>
        <v>0.196639452725139</v>
      </c>
      <c r="AD48" s="92" t="str">
        <f t="shared" si="43"/>
        <v>-</v>
      </c>
      <c r="AE48" s="91">
        <f>IFERROR(SUMIF('9店辅助表'!T:T,B:B,'9店辅助表'!W:W)/SUMIF('9店辅助表'!T:T,B:B,'9店辅助表'!X:X),"-")</f>
        <v>0.173040047201121</v>
      </c>
      <c r="AF48" s="91">
        <f>IFERROR(SUMIF('9店辅助表'!AC:AC,B:B,'9店辅助表'!AF:AF)/SUMIF('9店辅助表'!AC:AC,B:B,'9店辅助表'!AG:AG),"-")</f>
        <v>0.163994122532422</v>
      </c>
      <c r="AG48" s="99">
        <f>IFERROR(AK48/((SUMIF('9店辅助表'!AT:AT,B:B,'9店辅助表'!AU:AU)+M48)/2),"-")</f>
        <v>0</v>
      </c>
      <c r="AH48" s="99">
        <f>IFERROR(AL48/((SUMIF('9店辅助表'!AW:AW,B:B,'9店辅助表'!AX:AX)+M48)/2),"-")</f>
        <v>1.38461538461538</v>
      </c>
      <c r="AI48" s="100">
        <f>IFERROR((SUMIF('9店辅助表'!AP:AP,B:B,'9店辅助表'!AR:AR)-SUMIF('9店辅助表'!AP:AP,B:B,'9店辅助表'!AR:AR)*0.15-(L48+IFERROR(VLOOKUP(B:B,'9店辅助表'!AZ:BA,2,0),0))*O48-IF(AN:AN="US",6.85,4.9)*(Z48+4.27*O48))/SUMIF('9店辅助表'!AP:AP,B:B,'9店辅助表'!AR:AR),"-")</f>
        <v>-0.475628983280427</v>
      </c>
      <c r="AJ48" s="100">
        <f t="shared" si="44"/>
        <v>-0.658563207619053</v>
      </c>
      <c r="AK48" s="101">
        <f t="shared" si="45"/>
        <v>0</v>
      </c>
      <c r="AL48" s="101">
        <f t="shared" si="46"/>
        <v>4221</v>
      </c>
      <c r="AM48" s="1" t="str">
        <f>VLOOKUP(B:B,'9店辅助表'!AZ:AZ,1,FALSE)</f>
        <v>Y9005-PI</v>
      </c>
      <c r="AN48" t="str">
        <f>VLOOKUP(B:B,'9店辅助表'!AZ:BB,3,FALSE)</f>
        <v>US</v>
      </c>
    </row>
    <row r="49" customHeight="1" spans="1:40">
      <c r="A49" s="58" t="str">
        <f>INDEX('[1]9店'!$A:$A,MATCH(B:B,'[1]9店'!$B:$B,0))</f>
        <v>美珠</v>
      </c>
      <c r="B49" s="45" t="s">
        <v>3154</v>
      </c>
      <c r="C49" s="45" t="s">
        <v>3155</v>
      </c>
      <c r="D49" s="59">
        <f>VLOOKUP(B:B,'[1]9店'!$B:$L,3,0)</f>
        <v>45015</v>
      </c>
      <c r="E49" s="45" t="s">
        <v>3156</v>
      </c>
      <c r="F49" s="45">
        <v>134</v>
      </c>
      <c r="G49" s="45">
        <v>5</v>
      </c>
      <c r="H49" s="45">
        <v>4</v>
      </c>
      <c r="I49" s="45">
        <v>1</v>
      </c>
      <c r="J49" s="45">
        <v>0</v>
      </c>
      <c r="K49" s="63">
        <f t="shared" si="35"/>
        <v>144</v>
      </c>
      <c r="L49" s="64">
        <f>IFERROR(VLOOKUP($B:$B,'[1]9店'!$B:$L,11,0),0)</f>
        <v>33.5</v>
      </c>
      <c r="M49" s="44">
        <f t="shared" si="36"/>
        <v>4824</v>
      </c>
      <c r="N49" s="65">
        <f>IFERROR(VLOOKUP(B:B,'9店辅助表'!B:C,2,FALSE),0)</f>
        <v>22</v>
      </c>
      <c r="O49" s="65">
        <f>IFERROR(VLOOKUP(B:B,'9店辅助表'!E:F,2,FALSE),0)</f>
        <v>36</v>
      </c>
      <c r="P49" s="65">
        <f>IFERROR(VLOOKUP(B:B,'9店辅助表'!H:I,2,FALSE),0)</f>
        <v>52</v>
      </c>
      <c r="Q49" s="65">
        <f>IFERROR(VLOOKUP(B:B,'[1]9店'!$B:$N,13,FALSE),0)</f>
        <v>13</v>
      </c>
      <c r="R49" s="79">
        <f t="shared" si="37"/>
        <v>9</v>
      </c>
      <c r="S49" s="80">
        <f t="shared" si="38"/>
        <v>59.3717277486911</v>
      </c>
      <c r="T49" s="44">
        <f t="shared" si="39"/>
        <v>1.97905759162304</v>
      </c>
      <c r="U49" s="44">
        <f>IFERROR(VLOOKUP(B:B,'[1]9店'!$B:$T,19,0),"-")</f>
        <v>3.44190871369295</v>
      </c>
      <c r="V49" s="81">
        <f t="shared" si="40"/>
        <v>-1.46285112206991</v>
      </c>
      <c r="W49" s="82" t="str">
        <f t="shared" si="41"/>
        <v>库存过高</v>
      </c>
      <c r="X49" s="83" t="str">
        <f t="shared" si="42"/>
        <v>库存过高</v>
      </c>
      <c r="Y49" s="44">
        <f>IFERROR(SUMIF('9店辅助表'!K:K,B:B,'9店辅助表'!N:N),0)</f>
        <v>27.13</v>
      </c>
      <c r="Z49" s="44">
        <f>IFERROR(SUMIF('9店辅助表'!T:T,B:B,'9店辅助表'!W:W),0)</f>
        <v>39.14</v>
      </c>
      <c r="AA49" s="44">
        <f>IFERROR(SUMIF('9店辅助表'!AC:AC,B:B,'9店辅助表'!AF:AF),0)</f>
        <v>61.1</v>
      </c>
      <c r="AB49" s="91">
        <f>IFERROR(SUMIF('9店辅助表'!K:K,B:B,'9店辅助表'!N:N)/SUMIF('9店辅助表'!K:K,B:B,'9店辅助表'!O:O),"-")</f>
        <v>0.178710229892629</v>
      </c>
      <c r="AC49" s="91">
        <f>IFERROR(VLOOKUP(B:B,'[1]9店'!$B:$AB,27,FALSE),"-")</f>
        <v>0.157097177811761</v>
      </c>
      <c r="AD49" s="92">
        <f t="shared" si="43"/>
        <v>0.021613052080868</v>
      </c>
      <c r="AE49" s="91">
        <f>IFERROR(SUMIF('9店辅助表'!T:T,B:B,'9店辅助表'!W:W)/SUMIF('9店辅助表'!T:T,B:B,'9店辅助表'!X:X),"-")</f>
        <v>0.163267008718141</v>
      </c>
      <c r="AF49" s="91">
        <f>IFERROR(SUMIF('9店辅助表'!AC:AC,B:B,'9店辅助表'!AF:AF)/SUMIF('9店辅助表'!AC:AC,B:B,'9店辅助表'!AG:AG),"-")</f>
        <v>0.17780235129787</v>
      </c>
      <c r="AG49" s="99">
        <f>IFERROR(AK49/((SUMIF('9店辅助表'!AT:AT,B:B,'9店辅助表'!AU:AU)+M49)/2),"-")</f>
        <v>0.145695364238411</v>
      </c>
      <c r="AH49" s="99">
        <f>IFERROR(AL49/((SUMIF('9店辅助表'!AW:AW,B:B,'9店辅助表'!AX:AX)+M49)/2),"-")</f>
        <v>0.222910216718266</v>
      </c>
      <c r="AI49" s="100">
        <f>IFERROR((SUMIF('9店辅助表'!AP:AP,B:B,'9店辅助表'!AR:AR)-SUMIF('9店辅助表'!AP:AP,B:B,'9店辅助表'!AR:AR)*0.15-(L49+IFERROR(VLOOKUP(B:B,'9店辅助表'!AZ:BA,2,0),0))*O49-IF(AN:AN="US",6.85,4.9)*(Z49+4.27*O49))/SUMIF('9店辅助表'!AP:AP,B:B,'9店辅助表'!AR:AR),"-")</f>
        <v>-0.116520122592784</v>
      </c>
      <c r="AJ49" s="100">
        <f t="shared" si="44"/>
        <v>-0.0259735257791965</v>
      </c>
      <c r="AK49" s="101">
        <f t="shared" si="45"/>
        <v>737</v>
      </c>
      <c r="AL49" s="101">
        <f t="shared" si="46"/>
        <v>1206</v>
      </c>
      <c r="AM49" s="1" t="str">
        <f>VLOOKUP(B:B,'9店辅助表'!AZ:AZ,1,FALSE)</f>
        <v>Y9005-WH</v>
      </c>
      <c r="AN49" t="str">
        <f>VLOOKUP(B:B,'9店辅助表'!AZ:BB,3,FALSE)</f>
        <v>US</v>
      </c>
    </row>
    <row r="50" customHeight="1" spans="1:40">
      <c r="A50" s="58" t="str">
        <f>INDEX('[1]9店'!$A:$A,MATCH(B:B,'[1]9店'!$B:$B,0))</f>
        <v>美珠</v>
      </c>
      <c r="B50" s="45" t="s">
        <v>3157</v>
      </c>
      <c r="C50" s="45" t="s">
        <v>2464</v>
      </c>
      <c r="D50" s="59">
        <f>VLOOKUP(B:B,'[1]9店'!$B:$L,3,0)</f>
        <v>45028</v>
      </c>
      <c r="E50" s="45" t="s">
        <v>3158</v>
      </c>
      <c r="F50" s="45">
        <v>5</v>
      </c>
      <c r="G50" s="45">
        <v>0</v>
      </c>
      <c r="H50" s="45">
        <v>0</v>
      </c>
      <c r="I50" s="45">
        <v>0</v>
      </c>
      <c r="J50" s="45">
        <v>0</v>
      </c>
      <c r="K50" s="63">
        <f t="shared" si="35"/>
        <v>5</v>
      </c>
      <c r="L50" s="64">
        <f>IFERROR(VLOOKUP($B:$B,'[1]9店'!$B:$L,11,0),0)</f>
        <v>13.9</v>
      </c>
      <c r="M50" s="44">
        <f t="shared" si="36"/>
        <v>69.5</v>
      </c>
      <c r="N50" s="65">
        <f>IFERROR(VLOOKUP(B:B,'9店辅助表'!B:C,2,FALSE),0)</f>
        <v>0</v>
      </c>
      <c r="O50" s="65">
        <f>IFERROR(VLOOKUP(B:B,'9店辅助表'!E:F,2,FALSE),0)</f>
        <v>0</v>
      </c>
      <c r="P50" s="65">
        <f>IFERROR(VLOOKUP(B:B,'9店辅助表'!H:I,2,FALSE),0)</f>
        <v>1</v>
      </c>
      <c r="Q50" s="65">
        <f>IFERROR(VLOOKUP(B:B,'[1]9店'!$B:$N,13,FALSE),0)</f>
        <v>0</v>
      </c>
      <c r="R50" s="79">
        <f t="shared" si="37"/>
        <v>0</v>
      </c>
      <c r="S50" s="80">
        <f t="shared" si="38"/>
        <v>450</v>
      </c>
      <c r="T50" s="44">
        <f t="shared" si="39"/>
        <v>15</v>
      </c>
      <c r="U50" s="44">
        <f>IFERROR(VLOOKUP(B:B,'[1]9店'!$B:$T,19,0),"-")</f>
        <v>5</v>
      </c>
      <c r="V50" s="81">
        <f t="shared" si="40"/>
        <v>10</v>
      </c>
      <c r="W50" s="82" t="str">
        <f t="shared" si="41"/>
        <v>有库存无销量</v>
      </c>
      <c r="X50" s="83" t="str">
        <f t="shared" si="42"/>
        <v>库存过高</v>
      </c>
      <c r="Y50" s="44">
        <f>IFERROR(SUMIF('9店辅助表'!K:K,B:B,'9店辅助表'!N:N),0)</f>
        <v>2.18</v>
      </c>
      <c r="Z50" s="44">
        <f>IFERROR(SUMIF('9店辅助表'!T:T,B:B,'9店辅助表'!W:W),0)</f>
        <v>6.24</v>
      </c>
      <c r="AA50" s="44">
        <f>IFERROR(SUMIF('9店辅助表'!AC:AC,B:B,'9店辅助表'!AF:AF),0)</f>
        <v>11.28</v>
      </c>
      <c r="AB50" s="91" t="str">
        <f>IFERROR(SUMIF('9店辅助表'!K:K,B:B,'9店辅助表'!N:N)/SUMIF('9店辅助表'!K:K,B:B,'9店辅助表'!O:O),"-")</f>
        <v>-</v>
      </c>
      <c r="AC50" s="91" t="str">
        <f>IFERROR(VLOOKUP(B:B,'[1]9店'!$B:$AB,27,FALSE),"-")</f>
        <v>-</v>
      </c>
      <c r="AD50" s="92" t="str">
        <f t="shared" si="43"/>
        <v>-</v>
      </c>
      <c r="AE50" s="91" t="str">
        <f>IFERROR(SUMIF('9店辅助表'!T:T,B:B,'9店辅助表'!W:W)/SUMIF('9店辅助表'!T:T,B:B,'9店辅助表'!X:X),"-")</f>
        <v>-</v>
      </c>
      <c r="AF50" s="91">
        <f>IFERROR(SUMIF('9店辅助表'!AC:AC,B:B,'9店辅助表'!AF:AF)/SUMIF('9店辅助表'!AC:AC,B:B,'9店辅助表'!AG:AG),"-")</f>
        <v>0.868360277136259</v>
      </c>
      <c r="AG50" s="99">
        <f>IFERROR(AK50/((SUMIF('9店辅助表'!AT:AT,B:B,'9店辅助表'!AU:AU)+M50)/2),"-")</f>
        <v>0</v>
      </c>
      <c r="AH50" s="99">
        <f>IFERROR(AL50/((SUMIF('9店辅助表'!AW:AW,B:B,'9店辅助表'!AX:AX)+M50)/2),"-")</f>
        <v>0</v>
      </c>
      <c r="AI50" s="100" t="str">
        <f>IFERROR((SUMIF('9店辅助表'!AP:AP,B:B,'9店辅助表'!AR:AR)-SUMIF('9店辅助表'!AP:AP,B:B,'9店辅助表'!AR:AR)*0.15-(L50+IFERROR(VLOOKUP(B:B,'9店辅助表'!AZ:BA,2,0),0))*O50-IF(AN:AN="US",6.85,4.9)*(Z50+4.27*O50))/SUMIF('9店辅助表'!AP:AP,B:B,'9店辅助表'!AR:AR),"-")</f>
        <v>-</v>
      </c>
      <c r="AJ50" s="100" t="str">
        <f t="shared" si="44"/>
        <v>-</v>
      </c>
      <c r="AK50" s="101">
        <f t="shared" si="45"/>
        <v>0</v>
      </c>
      <c r="AL50" s="101">
        <f t="shared" si="46"/>
        <v>0</v>
      </c>
      <c r="AM50" s="1" t="str">
        <f>VLOOKUP(B:B,'9店辅助表'!AZ:AZ,1,FALSE)</f>
        <v>Y93821-BU+Y93822+Y93823</v>
      </c>
      <c r="AN50" t="str">
        <f>VLOOKUP(B:B,'9店辅助表'!AZ:BB,3,FALSE)</f>
        <v>US</v>
      </c>
    </row>
    <row r="51" customHeight="1" spans="1:40">
      <c r="A51" s="58" t="str">
        <f>INDEX('[1]9店'!$A:$A,MATCH(B:B,'[1]9店'!$B:$B,0))</f>
        <v>美珠</v>
      </c>
      <c r="B51" s="45" t="s">
        <v>3159</v>
      </c>
      <c r="C51" s="45" t="s">
        <v>2467</v>
      </c>
      <c r="D51" s="59">
        <f>VLOOKUP(B:B,'[1]9店'!$B:$L,3,0)</f>
        <v>45028</v>
      </c>
      <c r="E51" s="45" t="s">
        <v>3160</v>
      </c>
      <c r="F51" s="45">
        <v>1</v>
      </c>
      <c r="G51" s="45">
        <v>0</v>
      </c>
      <c r="H51" s="45">
        <v>0</v>
      </c>
      <c r="I51" s="45">
        <v>0</v>
      </c>
      <c r="J51" s="45">
        <v>0</v>
      </c>
      <c r="K51" s="63">
        <f t="shared" si="35"/>
        <v>1</v>
      </c>
      <c r="L51" s="64">
        <f>IFERROR(VLOOKUP($B:$B,'[1]9店'!$B:$L,11,0),0)</f>
        <v>13.9</v>
      </c>
      <c r="M51" s="44">
        <f t="shared" si="36"/>
        <v>13.9</v>
      </c>
      <c r="N51" s="65">
        <f>IFERROR(VLOOKUP(B:B,'9店辅助表'!B:C,2,FALSE),0)</f>
        <v>1</v>
      </c>
      <c r="O51" s="65">
        <f>IFERROR(VLOOKUP(B:B,'9店辅助表'!E:F,2,FALSE),0)</f>
        <v>3</v>
      </c>
      <c r="P51" s="65">
        <f>IFERROR(VLOOKUP(B:B,'9店辅助表'!H:I,2,FALSE),0)</f>
        <v>5</v>
      </c>
      <c r="Q51" s="65">
        <f>IFERROR(VLOOKUP(B:B,'[1]9店'!$B:$N,13,FALSE),0)</f>
        <v>2</v>
      </c>
      <c r="R51" s="79">
        <f t="shared" si="37"/>
        <v>-1</v>
      </c>
      <c r="S51" s="80">
        <f t="shared" si="38"/>
        <v>5.88785046728972</v>
      </c>
      <c r="T51" s="44">
        <f t="shared" si="39"/>
        <v>0.196261682242991</v>
      </c>
      <c r="U51" s="44">
        <f>IFERROR(VLOOKUP(B:B,'[1]9店'!$B:$T,19,0),"-")</f>
        <v>0.291666666666667</v>
      </c>
      <c r="V51" s="81">
        <f t="shared" si="40"/>
        <v>-0.095404984423676</v>
      </c>
      <c r="W51" s="82" t="str">
        <f t="shared" si="41"/>
        <v>库存过低</v>
      </c>
      <c r="X51" s="83" t="str">
        <f t="shared" si="42"/>
        <v>库存过低</v>
      </c>
      <c r="Y51" s="44">
        <f>IFERROR(SUMIF('9店辅助表'!K:K,B:B,'9店辅助表'!N:N),0)</f>
        <v>1.22</v>
      </c>
      <c r="Z51" s="44">
        <f>IFERROR(SUMIF('9店辅助表'!T:T,B:B,'9店辅助表'!W:W),0)</f>
        <v>7.26</v>
      </c>
      <c r="AA51" s="44">
        <f>IFERROR(SUMIF('9店辅助表'!AC:AC,B:B,'9店辅助表'!AF:AF),0)</f>
        <v>15</v>
      </c>
      <c r="AB51" s="91" t="str">
        <f>IFERROR(SUMIF('9店辅助表'!K:K,B:B,'9店辅助表'!N:N)/SUMIF('9店辅助表'!K:K,B:B,'9店辅助表'!O:O),"-")</f>
        <v>-</v>
      </c>
      <c r="AC51" s="91">
        <f>IFERROR(VLOOKUP(B:B,'[1]9店'!$B:$AB,27,FALSE),"-")</f>
        <v>0.215165511932256</v>
      </c>
      <c r="AD51" s="92" t="str">
        <f t="shared" si="43"/>
        <v>-</v>
      </c>
      <c r="AE51" s="91">
        <f>IFERROR(SUMIF('9店辅助表'!T:T,B:B,'9店辅助表'!W:W)/SUMIF('9店辅助表'!T:T,B:B,'9店辅助表'!X:X),"-")</f>
        <v>0.279445727482679</v>
      </c>
      <c r="AF51" s="91">
        <f>IFERROR(SUMIF('9店辅助表'!AC:AC,B:B,'9店辅助表'!AF:AF)/SUMIF('9店辅助表'!AC:AC,B:B,'9店辅助表'!AG:AG),"-")</f>
        <v>0.290528762347472</v>
      </c>
      <c r="AG51" s="99">
        <f>IFERROR(AK51/((SUMIF('9店辅助表'!AT:AT,B:B,'9店辅助表'!AU:AU)+M51)/2),"-")</f>
        <v>0.666666666666667</v>
      </c>
      <c r="AH51" s="99">
        <f>IFERROR(AL51/((SUMIF('9店辅助表'!AW:AW,B:B,'9店辅助表'!AX:AX)+M51)/2),"-")</f>
        <v>0.857142857142857</v>
      </c>
      <c r="AI51" s="100">
        <f>IFERROR((SUMIF('9店辅助表'!AP:AP,B:B,'9店辅助表'!AR:AR)-SUMIF('9店辅助表'!AP:AP,B:B,'9店辅助表'!AR:AR)*0.15-(L51+IFERROR(VLOOKUP(B:B,'9店辅助表'!AZ:BA,2,0),0))*O51-IF(AN:AN="US",6.85,4.9)*(Z51+4.27*O51))/SUMIF('9店辅助表'!AP:AP,B:B,'9店辅助表'!AR:AR),"-")</f>
        <v>-0.269460224878205</v>
      </c>
      <c r="AJ51" s="100">
        <f t="shared" si="44"/>
        <v>-0.230965907038461</v>
      </c>
      <c r="AK51" s="101">
        <f t="shared" si="45"/>
        <v>13.9</v>
      </c>
      <c r="AL51" s="101">
        <f t="shared" si="46"/>
        <v>41.7</v>
      </c>
      <c r="AM51" s="1" t="str">
        <f>VLOOKUP(B:B,'9店辅助表'!AZ:AZ,1,FALSE)</f>
        <v>Y93821-DB+Y93822+Y93823</v>
      </c>
      <c r="AN51" t="str">
        <f>VLOOKUP(B:B,'9店辅助表'!AZ:BB,3,FALSE)</f>
        <v>US</v>
      </c>
    </row>
    <row r="52" customHeight="1" spans="1:40">
      <c r="A52" s="58" t="str">
        <f>INDEX('[1]9店'!$A:$A,MATCH(B:B,'[1]9店'!$B:$B,0))</f>
        <v>美珠</v>
      </c>
      <c r="B52" s="45" t="s">
        <v>3161</v>
      </c>
      <c r="C52" s="45" t="s">
        <v>3162</v>
      </c>
      <c r="D52" s="59">
        <f>VLOOKUP(B:B,'[1]9店'!$B:$L,3,0)</f>
        <v>45028</v>
      </c>
      <c r="E52" s="45" t="s">
        <v>3163</v>
      </c>
      <c r="F52" s="45">
        <v>7</v>
      </c>
      <c r="G52" s="45">
        <v>0</v>
      </c>
      <c r="H52" s="45">
        <v>0</v>
      </c>
      <c r="I52" s="45">
        <v>0</v>
      </c>
      <c r="J52" s="45">
        <v>0</v>
      </c>
      <c r="K52" s="63">
        <f t="shared" si="35"/>
        <v>7</v>
      </c>
      <c r="L52" s="64">
        <f>IFERROR(VLOOKUP($B:$B,'[1]9店'!$B:$L,11,0),0)</f>
        <v>13.9</v>
      </c>
      <c r="M52" s="44">
        <f t="shared" si="36"/>
        <v>97.3</v>
      </c>
      <c r="N52" s="65">
        <f>IFERROR(VLOOKUP(B:B,'9店辅助表'!B:C,2,FALSE),0)</f>
        <v>0</v>
      </c>
      <c r="O52" s="65">
        <f>IFERROR(VLOOKUP(B:B,'9店辅助表'!E:F,2,FALSE),0)</f>
        <v>1</v>
      </c>
      <c r="P52" s="65">
        <f>IFERROR(VLOOKUP(B:B,'9店辅助表'!H:I,2,FALSE),0)</f>
        <v>7</v>
      </c>
      <c r="Q52" s="65">
        <f>IFERROR(VLOOKUP(B:B,'[1]9店'!$B:$N,13,FALSE),0)</f>
        <v>1</v>
      </c>
      <c r="R52" s="79">
        <f t="shared" si="37"/>
        <v>-1</v>
      </c>
      <c r="S52" s="80">
        <f t="shared" si="38"/>
        <v>70</v>
      </c>
      <c r="T52" s="44">
        <f t="shared" si="39"/>
        <v>2.33333333333333</v>
      </c>
      <c r="U52" s="44">
        <f>IFERROR(VLOOKUP(B:B,'[1]9店'!$B:$T,19,0),"-")</f>
        <v>1.28947368421053</v>
      </c>
      <c r="V52" s="81">
        <f t="shared" si="40"/>
        <v>1.0438596491228</v>
      </c>
      <c r="W52" s="82" t="str">
        <f t="shared" si="41"/>
        <v>有库存无销量</v>
      </c>
      <c r="X52" s="83" t="str">
        <f t="shared" si="42"/>
        <v>库存过高</v>
      </c>
      <c r="Y52" s="44">
        <f>IFERROR(SUMIF('9店辅助表'!K:K,B:B,'9店辅助表'!N:N),0)</f>
        <v>0.38</v>
      </c>
      <c r="Z52" s="44">
        <f>IFERROR(SUMIF('9店辅助表'!T:T,B:B,'9店辅助表'!W:W),0)</f>
        <v>3.48</v>
      </c>
      <c r="AA52" s="44">
        <f>IFERROR(SUMIF('9店辅助表'!AC:AC,B:B,'9店辅助表'!AF:AF),0)</f>
        <v>10.45</v>
      </c>
      <c r="AB52" s="91" t="str">
        <f>IFERROR(SUMIF('9店辅助表'!K:K,B:B,'9店辅助表'!N:N)/SUMIF('9店辅助表'!K:K,B:B,'9店辅助表'!O:O),"-")</f>
        <v>-</v>
      </c>
      <c r="AC52" s="91" t="str">
        <f>IFERROR(VLOOKUP(B:B,'[1]9店'!$B:$AB,27,FALSE),"-")</f>
        <v>-</v>
      </c>
      <c r="AD52" s="92" t="str">
        <f t="shared" si="43"/>
        <v>-</v>
      </c>
      <c r="AE52" s="91" t="str">
        <f>IFERROR(SUMIF('9店辅助表'!T:T,B:B,'9店辅助表'!W:W)/SUMIF('9店辅助表'!T:T,B:B,'9店辅助表'!X:X),"-")</f>
        <v>-</v>
      </c>
      <c r="AF52" s="91">
        <f>IFERROR(SUMIF('9店辅助表'!AC:AC,B:B,'9店辅助表'!AF:AF)/SUMIF('9店辅助表'!AC:AC,B:B,'9店辅助表'!AG:AG),"-")</f>
        <v>0.402232486528099</v>
      </c>
      <c r="AG52" s="99">
        <f>IFERROR(AK52/((SUMIF('9店辅助表'!AT:AT,B:B,'9店辅助表'!AU:AU)+M52)/2),"-")</f>
        <v>0</v>
      </c>
      <c r="AH52" s="99">
        <f>IFERROR(AL52/((SUMIF('9店辅助表'!AW:AW,B:B,'9店辅助表'!AX:AX)+M52)/2),"-")</f>
        <v>0.0952380952380952</v>
      </c>
      <c r="AI52" s="100">
        <f>IFERROR((SUMIF('9店辅助表'!AP:AP,B:B,'9店辅助表'!AR:AR)-SUMIF('9店辅助表'!AP:AP,B:B,'9店辅助表'!AR:AR)*0.15-(L52+IFERROR(VLOOKUP(B:B,'9店辅助表'!AZ:BA,2,0),0))*O52-IF(AN:AN="US",6.85,4.9)*(Z52+4.27*O52))/SUMIF('9店辅助表'!AP:AP,B:B,'9店辅助表'!AR:AR),"-")</f>
        <v>0.0216199434713957</v>
      </c>
      <c r="AJ52" s="100">
        <f t="shared" si="44"/>
        <v>0.00205904223537102</v>
      </c>
      <c r="AK52" s="101">
        <f t="shared" si="45"/>
        <v>0</v>
      </c>
      <c r="AL52" s="101">
        <f t="shared" si="46"/>
        <v>13.9</v>
      </c>
      <c r="AM52" s="1" t="str">
        <f>VLOOKUP(B:B,'9店辅助表'!AZ:AZ,1,FALSE)</f>
        <v>Y93821-BL+Y93822+Y93823</v>
      </c>
      <c r="AN52" t="str">
        <f>VLOOKUP(B:B,'9店辅助表'!AZ:BB,3,FALSE)</f>
        <v>US</v>
      </c>
    </row>
    <row r="53" customHeight="1" spans="1:40">
      <c r="A53" s="58" t="str">
        <f>INDEX('[1]9店'!$A:$A,MATCH(B:B,'[1]9店'!$B:$B,0))</f>
        <v>美珠</v>
      </c>
      <c r="B53" s="45" t="s">
        <v>3164</v>
      </c>
      <c r="C53" s="45" t="s">
        <v>3165</v>
      </c>
      <c r="D53" s="59">
        <f>VLOOKUP(B:B,'[1]9店'!$B:$L,3,0)</f>
        <v>45074</v>
      </c>
      <c r="E53" s="45" t="s">
        <v>3166</v>
      </c>
      <c r="F53" s="45">
        <v>10</v>
      </c>
      <c r="G53" s="45">
        <v>0</v>
      </c>
      <c r="H53" s="45">
        <v>0</v>
      </c>
      <c r="I53" s="45">
        <v>0</v>
      </c>
      <c r="J53" s="45">
        <v>0</v>
      </c>
      <c r="K53" s="63">
        <f t="shared" si="35"/>
        <v>10</v>
      </c>
      <c r="L53" s="64">
        <f>IFERROR(VLOOKUP($B:$B,'[1]9店'!$B:$L,11,0),0)</f>
        <v>13.9</v>
      </c>
      <c r="M53" s="44">
        <f t="shared" si="36"/>
        <v>139</v>
      </c>
      <c r="N53" s="65">
        <f>IFERROR(VLOOKUP(B:B,'9店辅助表'!B:C,2,FALSE),0)</f>
        <v>0</v>
      </c>
      <c r="O53" s="65">
        <f>IFERROR(VLOOKUP(B:B,'9店辅助表'!E:F,2,FALSE),0)</f>
        <v>0</v>
      </c>
      <c r="P53" s="65">
        <f>IFERROR(VLOOKUP(B:B,'9店辅助表'!H:I,2,FALSE),0)</f>
        <v>0</v>
      </c>
      <c r="Q53" s="65">
        <f>IFERROR(VLOOKUP(B:B,'[1]9店'!$B:$N,13,FALSE),0)</f>
        <v>0</v>
      </c>
      <c r="R53" s="79">
        <f t="shared" si="37"/>
        <v>0</v>
      </c>
      <c r="S53" s="80" t="str">
        <f t="shared" si="38"/>
        <v>-</v>
      </c>
      <c r="T53" s="44" t="str">
        <f t="shared" si="39"/>
        <v>-</v>
      </c>
      <c r="U53" s="44" t="str">
        <f>IFERROR(VLOOKUP(B:B,'[1]9店'!$B:$T,19,0),"-")</f>
        <v>-</v>
      </c>
      <c r="V53" s="81" t="str">
        <f t="shared" si="40"/>
        <v>-</v>
      </c>
      <c r="W53" s="82" t="str">
        <f t="shared" si="41"/>
        <v>有库存无销量</v>
      </c>
      <c r="X53" s="83" t="str">
        <f t="shared" si="42"/>
        <v>有库存无销量</v>
      </c>
      <c r="Y53" s="44">
        <f>IFERROR(SUMIF('9店辅助表'!K:K,B:B,'9店辅助表'!N:N),0)</f>
        <v>0</v>
      </c>
      <c r="Z53" s="44">
        <f>IFERROR(SUMIF('9店辅助表'!T:T,B:B,'9店辅助表'!W:W),0)</f>
        <v>0</v>
      </c>
      <c r="AA53" s="44">
        <f>IFERROR(SUMIF('9店辅助表'!AC:AC,B:B,'9店辅助表'!AF:AF),0)</f>
        <v>0.38</v>
      </c>
      <c r="AB53" s="91" t="str">
        <f>IFERROR(SUMIF('9店辅助表'!K:K,B:B,'9店辅助表'!N:N)/SUMIF('9店辅助表'!K:K,B:B,'9店辅助表'!O:O),"-")</f>
        <v>-</v>
      </c>
      <c r="AC53" s="91" t="str">
        <f>IFERROR(VLOOKUP(B:B,'[1]9店'!$B:$AB,27,FALSE),"-")</f>
        <v>-</v>
      </c>
      <c r="AD53" s="92" t="str">
        <f t="shared" si="43"/>
        <v>-</v>
      </c>
      <c r="AE53" s="91" t="str">
        <f>IFERROR(SUMIF('9店辅助表'!T:T,B:B,'9店辅助表'!W:W)/SUMIF('9店辅助表'!T:T,B:B,'9店辅助表'!X:X),"-")</f>
        <v>-</v>
      </c>
      <c r="AF53" s="91" t="str">
        <f>IFERROR(SUMIF('9店辅助表'!AC:AC,B:B,'9店辅助表'!AF:AF)/SUMIF('9店辅助表'!AC:AC,B:B,'9店辅助表'!AG:AG),"-")</f>
        <v>-</v>
      </c>
      <c r="AG53" s="99">
        <f>IFERROR(AK53/((SUMIF('9店辅助表'!AT:AT,B:B,'9店辅助表'!AU:AU)+M53)/2),"-")</f>
        <v>0</v>
      </c>
      <c r="AH53" s="99">
        <f>IFERROR(AL53/((SUMIF('9店辅助表'!AW:AW,B:B,'9店辅助表'!AX:AX)+M53)/2),"-")</f>
        <v>0</v>
      </c>
      <c r="AI53" s="100" t="str">
        <f>IFERROR((SUMIF('9店辅助表'!AP:AP,B:B,'9店辅助表'!AR:AR)-SUMIF('9店辅助表'!AP:AP,B:B,'9店辅助表'!AR:AR)*0.15-(L53+IFERROR(VLOOKUP(B:B,'9店辅助表'!AZ:BA,2,0),0))*O53-IF(AN:AN="US",6.85,4.9)*(Z53+4.27*O53))/SUMIF('9店辅助表'!AP:AP,B:B,'9店辅助表'!AR:AR),"-")</f>
        <v>-</v>
      </c>
      <c r="AJ53" s="100" t="str">
        <f t="shared" si="44"/>
        <v>-</v>
      </c>
      <c r="AK53" s="101">
        <f t="shared" si="45"/>
        <v>0</v>
      </c>
      <c r="AL53" s="101">
        <f t="shared" si="46"/>
        <v>0</v>
      </c>
      <c r="AM53" s="1" t="str">
        <f>VLOOKUP(B:B,'9店辅助表'!AZ:AZ,1,FALSE)</f>
        <v>Y92559-BL+Y92560+Y92399</v>
      </c>
      <c r="AN53" t="str">
        <f>VLOOKUP(B:B,'9店辅助表'!AZ:BB,3,FALSE)</f>
        <v>US</v>
      </c>
    </row>
    <row r="54" customHeight="1" spans="1:40">
      <c r="A54" s="58" t="str">
        <f>INDEX('[1]9店'!$A:$A,MATCH(B:B,'[1]9店'!$B:$B,0))</f>
        <v>美珠</v>
      </c>
      <c r="B54" s="45" t="s">
        <v>3167</v>
      </c>
      <c r="C54" s="45" t="s">
        <v>2437</v>
      </c>
      <c r="D54" s="59">
        <f>VLOOKUP(B:B,'[1]9店'!$B:$L,3,0)</f>
        <v>45074</v>
      </c>
      <c r="E54" s="45" t="s">
        <v>3168</v>
      </c>
      <c r="F54" s="45">
        <v>10</v>
      </c>
      <c r="G54" s="45">
        <v>0</v>
      </c>
      <c r="H54" s="45">
        <v>0</v>
      </c>
      <c r="I54" s="45">
        <v>0</v>
      </c>
      <c r="J54" s="45">
        <v>0</v>
      </c>
      <c r="K54" s="63">
        <f t="shared" si="35"/>
        <v>10</v>
      </c>
      <c r="L54" s="64">
        <f>IFERROR(VLOOKUP($B:$B,'[1]9店'!$B:$L,11,0),0)</f>
        <v>13.9</v>
      </c>
      <c r="M54" s="44">
        <f t="shared" si="36"/>
        <v>139</v>
      </c>
      <c r="N54" s="65">
        <f>IFERROR(VLOOKUP(B:B,'9店辅助表'!B:C,2,FALSE),0)</f>
        <v>0</v>
      </c>
      <c r="O54" s="65">
        <f>IFERROR(VLOOKUP(B:B,'9店辅助表'!E:F,2,FALSE),0)</f>
        <v>0</v>
      </c>
      <c r="P54" s="65">
        <f>IFERROR(VLOOKUP(B:B,'9店辅助表'!H:I,2,FALSE),0)</f>
        <v>0</v>
      </c>
      <c r="Q54" s="65">
        <f>IFERROR(VLOOKUP(B:B,'[1]9店'!$B:$N,13,FALSE),0)</f>
        <v>0</v>
      </c>
      <c r="R54" s="79">
        <f t="shared" si="37"/>
        <v>0</v>
      </c>
      <c r="S54" s="80" t="str">
        <f t="shared" si="38"/>
        <v>-</v>
      </c>
      <c r="T54" s="44" t="str">
        <f t="shared" si="39"/>
        <v>-</v>
      </c>
      <c r="U54" s="44" t="str">
        <f>IFERROR(VLOOKUP(B:B,'[1]9店'!$B:$T,19,0),"-")</f>
        <v>-</v>
      </c>
      <c r="V54" s="81" t="str">
        <f t="shared" si="40"/>
        <v>-</v>
      </c>
      <c r="W54" s="82" t="str">
        <f t="shared" si="41"/>
        <v>有库存无销量</v>
      </c>
      <c r="X54" s="83" t="str">
        <f t="shared" si="42"/>
        <v>有库存无销量</v>
      </c>
      <c r="Y54" s="44">
        <f>IFERROR(SUMIF('9店辅助表'!K:K,B:B,'9店辅助表'!N:N),0)</f>
        <v>0</v>
      </c>
      <c r="Z54" s="44">
        <f>IFERROR(SUMIF('9店辅助表'!T:T,B:B,'9店辅助表'!W:W),0)</f>
        <v>0</v>
      </c>
      <c r="AA54" s="44">
        <f>IFERROR(SUMIF('9店辅助表'!AC:AC,B:B,'9店辅助表'!AF:AF),0)</f>
        <v>0.76</v>
      </c>
      <c r="AB54" s="91" t="str">
        <f>IFERROR(SUMIF('9店辅助表'!K:K,B:B,'9店辅助表'!N:N)/SUMIF('9店辅助表'!K:K,B:B,'9店辅助表'!O:O),"-")</f>
        <v>-</v>
      </c>
      <c r="AC54" s="91" t="str">
        <f>IFERROR(VLOOKUP(B:B,'[1]9店'!$B:$AB,27,FALSE),"-")</f>
        <v>-</v>
      </c>
      <c r="AD54" s="92" t="str">
        <f t="shared" si="43"/>
        <v>-</v>
      </c>
      <c r="AE54" s="91" t="str">
        <f>IFERROR(SUMIF('9店辅助表'!T:T,B:B,'9店辅助表'!W:W)/SUMIF('9店辅助表'!T:T,B:B,'9店辅助表'!X:X),"-")</f>
        <v>-</v>
      </c>
      <c r="AF54" s="91" t="str">
        <f>IFERROR(SUMIF('9店辅助表'!AC:AC,B:B,'9店辅助表'!AF:AF)/SUMIF('9店辅助表'!AC:AC,B:B,'9店辅助表'!AG:AG),"-")</f>
        <v>-</v>
      </c>
      <c r="AG54" s="99">
        <f>IFERROR(AK54/((SUMIF('9店辅助表'!AT:AT,B:B,'9店辅助表'!AU:AU)+M54)/2),"-")</f>
        <v>0</v>
      </c>
      <c r="AH54" s="99">
        <f>IFERROR(AL54/((SUMIF('9店辅助表'!AW:AW,B:B,'9店辅助表'!AX:AX)+M54)/2),"-")</f>
        <v>0</v>
      </c>
      <c r="AI54" s="100" t="str">
        <f>IFERROR((SUMIF('9店辅助表'!AP:AP,B:B,'9店辅助表'!AR:AR)-SUMIF('9店辅助表'!AP:AP,B:B,'9店辅助表'!AR:AR)*0.15-(L54+IFERROR(VLOOKUP(B:B,'9店辅助表'!AZ:BA,2,0),0))*O54-IF(AN:AN="US",6.85,4.9)*(Z54+4.27*O54))/SUMIF('9店辅助表'!AP:AP,B:B,'9店辅助表'!AR:AR),"-")</f>
        <v>-</v>
      </c>
      <c r="AJ54" s="100" t="str">
        <f t="shared" si="44"/>
        <v>-</v>
      </c>
      <c r="AK54" s="101">
        <f t="shared" si="45"/>
        <v>0</v>
      </c>
      <c r="AL54" s="101">
        <f t="shared" si="46"/>
        <v>0</v>
      </c>
      <c r="AM54" s="1" t="str">
        <f>VLOOKUP(B:B,'9店辅助表'!AZ:AZ,1,FALSE)</f>
        <v>Y92559-OR+Y92560+Y92399</v>
      </c>
      <c r="AN54" t="str">
        <f>VLOOKUP(B:B,'9店辅助表'!AZ:BB,3,FALSE)</f>
        <v>US</v>
      </c>
    </row>
    <row r="55" customHeight="1" spans="1:40">
      <c r="A55" s="58" t="str">
        <f>INDEX('[1]9店'!$A:$A,MATCH(B:B,'[1]9店'!$B:$B,0))</f>
        <v>美珠</v>
      </c>
      <c r="B55" s="45" t="s">
        <v>3169</v>
      </c>
      <c r="C55" s="45" t="s">
        <v>2272</v>
      </c>
      <c r="D55" s="59">
        <f>VLOOKUP(B:B,'[1]9店'!$B:$L,3,0)</f>
        <v>45074</v>
      </c>
      <c r="E55" s="45" t="s">
        <v>3170</v>
      </c>
      <c r="F55" s="45">
        <v>11</v>
      </c>
      <c r="G55" s="45">
        <v>0</v>
      </c>
      <c r="H55" s="45">
        <v>0</v>
      </c>
      <c r="I55" s="45">
        <v>0</v>
      </c>
      <c r="J55" s="45">
        <v>0</v>
      </c>
      <c r="K55" s="63">
        <f t="shared" si="35"/>
        <v>11</v>
      </c>
      <c r="L55" s="64">
        <f>IFERROR(VLOOKUP($B:$B,'[1]9店'!$B:$L,11,0),0)</f>
        <v>13.9</v>
      </c>
      <c r="M55" s="44">
        <f t="shared" si="36"/>
        <v>152.9</v>
      </c>
      <c r="N55" s="65">
        <f>IFERROR(VLOOKUP(B:B,'9店辅助表'!B:C,2,FALSE),0)</f>
        <v>0</v>
      </c>
      <c r="O55" s="65">
        <f>IFERROR(VLOOKUP(B:B,'9店辅助表'!E:F,2,FALSE),0)</f>
        <v>1</v>
      </c>
      <c r="P55" s="65">
        <f>IFERROR(VLOOKUP(B:B,'9店辅助表'!H:I,2,FALSE),0)</f>
        <v>2</v>
      </c>
      <c r="Q55" s="65">
        <f>IFERROR(VLOOKUP(B:B,'[1]9店'!$B:$N,13,FALSE),0)</f>
        <v>1</v>
      </c>
      <c r="R55" s="79">
        <f t="shared" si="37"/>
        <v>-1</v>
      </c>
      <c r="S55" s="80">
        <f t="shared" si="38"/>
        <v>247.5</v>
      </c>
      <c r="T55" s="44">
        <f t="shared" si="39"/>
        <v>8.25</v>
      </c>
      <c r="U55" s="44">
        <f>IFERROR(VLOOKUP(B:B,'[1]9店'!$B:$T,19,0),"-")</f>
        <v>3.98275862068966</v>
      </c>
      <c r="V55" s="81">
        <f t="shared" si="40"/>
        <v>4.26724137931034</v>
      </c>
      <c r="W55" s="82" t="str">
        <f t="shared" si="41"/>
        <v>有库存无销量</v>
      </c>
      <c r="X55" s="83" t="str">
        <f t="shared" si="42"/>
        <v>库存过高</v>
      </c>
      <c r="Y55" s="44">
        <f>IFERROR(SUMIF('9店辅助表'!K:K,B:B,'9店辅助表'!N:N),0)</f>
        <v>2.25</v>
      </c>
      <c r="Z55" s="44">
        <f>IFERROR(SUMIF('9店辅助表'!T:T,B:B,'9店辅助表'!W:W),0)</f>
        <v>2.25</v>
      </c>
      <c r="AA55" s="44">
        <f>IFERROR(SUMIF('9店辅助表'!AC:AC,B:B,'9店辅助表'!AF:AF),0)</f>
        <v>3.39</v>
      </c>
      <c r="AB55" s="91">
        <f>IFERROR(SUMIF('9店辅助表'!K:K,B:B,'9店辅助表'!N:N)/SUMIF('9店辅助表'!K:K,B:B,'9店辅助表'!O:O),"-")</f>
        <v>0.173210161662818</v>
      </c>
      <c r="AC55" s="91" t="str">
        <f>IFERROR(VLOOKUP(B:B,'[1]9店'!$B:$AB,27,FALSE),"-")</f>
        <v>-</v>
      </c>
      <c r="AD55" s="92" t="str">
        <f t="shared" si="43"/>
        <v>-</v>
      </c>
      <c r="AE55" s="91">
        <f>IFERROR(SUMIF('9店辅助表'!T:T,B:B,'9店辅助表'!W:W)/SUMIF('9店辅助表'!T:T,B:B,'9店辅助表'!X:X),"-")</f>
        <v>0.173210161662818</v>
      </c>
      <c r="AF55" s="91">
        <f>IFERROR(SUMIF('9店辅助表'!AC:AC,B:B,'9店辅助表'!AF:AF)/SUMIF('9店辅助表'!AC:AC,B:B,'9店辅助表'!AG:AG),"-")</f>
        <v>0.0869899923017706</v>
      </c>
      <c r="AG55" s="99">
        <f>IFERROR(AK55/((SUMIF('9店辅助表'!AT:AT,B:B,'9店辅助表'!AU:AU)+M55)/2),"-")</f>
        <v>0</v>
      </c>
      <c r="AH55" s="99">
        <f>IFERROR(AL55/((SUMIF('9店辅助表'!AW:AW,B:B,'9店辅助表'!AX:AX)+M55)/2),"-")</f>
        <v>0.0909090909090909</v>
      </c>
      <c r="AI55" s="100">
        <f>IFERROR((SUMIF('9店辅助表'!AP:AP,B:B,'9店辅助表'!AR:AR)-SUMIF('9店辅助表'!AP:AP,B:B,'9店辅助表'!AR:AR)*0.15-(L55+IFERROR(VLOOKUP(B:B,'9店辅助表'!AZ:BA,2,0),0))*O55-IF(AN:AN="US",6.85,4.9)*(Z55+4.27*O55))/SUMIF('9店辅助表'!AP:AP,B:B,'9店辅助表'!AR:AR),"-")</f>
        <v>0.116577884166934</v>
      </c>
      <c r="AJ55" s="100">
        <f t="shared" si="44"/>
        <v>0.0105979894697212</v>
      </c>
      <c r="AK55" s="101">
        <f t="shared" si="45"/>
        <v>0</v>
      </c>
      <c r="AL55" s="101">
        <f t="shared" si="46"/>
        <v>13.9</v>
      </c>
      <c r="AM55" s="1" t="str">
        <f>VLOOKUP(B:B,'9店辅助表'!AZ:AZ,1,FALSE)</f>
        <v>Y92563-BL+Y92564+Y92571</v>
      </c>
      <c r="AN55" t="str">
        <f>VLOOKUP(B:B,'9店辅助表'!AZ:BB,3,FALSE)</f>
        <v>US</v>
      </c>
    </row>
    <row r="56" customHeight="1" spans="1:40">
      <c r="A56" s="58" t="str">
        <f>INDEX('[1]9店'!$A:$A,MATCH(B:B,'[1]9店'!$B:$B,0))</f>
        <v>美珠</v>
      </c>
      <c r="B56" s="45" t="s">
        <v>3171</v>
      </c>
      <c r="C56" s="45" t="s">
        <v>59</v>
      </c>
      <c r="D56" s="59">
        <f>VLOOKUP(B:B,'[1]9店'!$B:$L,3,0)</f>
        <v>45074</v>
      </c>
      <c r="E56" s="45" t="s">
        <v>3172</v>
      </c>
      <c r="F56" s="45">
        <v>6</v>
      </c>
      <c r="G56" s="45">
        <v>0</v>
      </c>
      <c r="H56" s="45">
        <v>0</v>
      </c>
      <c r="I56" s="45">
        <v>0</v>
      </c>
      <c r="J56" s="45">
        <v>0</v>
      </c>
      <c r="K56" s="63">
        <f t="shared" si="35"/>
        <v>6</v>
      </c>
      <c r="L56" s="64">
        <f>IFERROR(VLOOKUP($B:$B,'[1]9店'!$B:$L,11,0),0)</f>
        <v>13.9</v>
      </c>
      <c r="M56" s="44">
        <f t="shared" si="36"/>
        <v>83.4</v>
      </c>
      <c r="N56" s="65">
        <f>IFERROR(VLOOKUP(B:B,'9店辅助表'!B:C,2,FALSE),0)</f>
        <v>2</v>
      </c>
      <c r="O56" s="65">
        <f>IFERROR(VLOOKUP(B:B,'9店辅助表'!E:F,2,FALSE),0)</f>
        <v>6</v>
      </c>
      <c r="P56" s="65">
        <f>IFERROR(VLOOKUP(B:B,'9店辅助表'!H:I,2,FALSE),0)</f>
        <v>8</v>
      </c>
      <c r="Q56" s="65">
        <f>IFERROR(VLOOKUP(B:B,'[1]9店'!$B:$N,13,FALSE),0)</f>
        <v>1</v>
      </c>
      <c r="R56" s="79">
        <f t="shared" si="37"/>
        <v>1</v>
      </c>
      <c r="S56" s="80">
        <f t="shared" si="38"/>
        <v>18.9</v>
      </c>
      <c r="T56" s="44">
        <f t="shared" si="39"/>
        <v>0.63</v>
      </c>
      <c r="U56" s="44">
        <f>IFERROR(VLOOKUP(B:B,'[1]9店'!$B:$T,19,0),"-")</f>
        <v>0.984375</v>
      </c>
      <c r="V56" s="81">
        <f t="shared" si="40"/>
        <v>-0.354375</v>
      </c>
      <c r="W56" s="82" t="str">
        <f t="shared" si="41"/>
        <v>正常</v>
      </c>
      <c r="X56" s="83" t="str">
        <f t="shared" si="42"/>
        <v>正常</v>
      </c>
      <c r="Y56" s="44">
        <f>IFERROR(SUMIF('9店辅助表'!K:K,B:B,'9店辅助表'!N:N),0)</f>
        <v>1.3</v>
      </c>
      <c r="Z56" s="44">
        <f>IFERROR(SUMIF('9店辅助表'!T:T,B:B,'9店辅助表'!W:W),0)</f>
        <v>2.9</v>
      </c>
      <c r="AA56" s="44">
        <f>IFERROR(SUMIF('9店辅助表'!AC:AC,B:B,'9店辅助表'!AF:AF),0)</f>
        <v>6.74</v>
      </c>
      <c r="AB56" s="91" t="str">
        <f>IFERROR(SUMIF('9店辅助表'!K:K,B:B,'9店辅助表'!N:N)/SUMIF('9店辅助表'!K:K,B:B,'9店辅助表'!O:O),"-")</f>
        <v>-</v>
      </c>
      <c r="AC56" s="91">
        <f>IFERROR(VLOOKUP(B:B,'[1]9店'!$B:$AB,27,FALSE),"-")</f>
        <v>0.0667222685571309</v>
      </c>
      <c r="AD56" s="92" t="str">
        <f t="shared" si="43"/>
        <v>-</v>
      </c>
      <c r="AE56" s="91">
        <f>IFERROR(SUMIF('9店辅助表'!T:T,B:B,'9店辅助表'!W:W)/SUMIF('9店辅助表'!T:T,B:B,'9店辅助表'!X:X),"-")</f>
        <v>0.1209341117598</v>
      </c>
      <c r="AF56" s="91">
        <f>IFERROR(SUMIF('9店辅助表'!AC:AC,B:B,'9店辅助表'!AF:AF)/SUMIF('9店辅助表'!AC:AC,B:B,'9店辅助表'!AG:AG),"-")</f>
        <v>0.281067556296914</v>
      </c>
      <c r="AG56" s="99">
        <f>IFERROR(AK56/((SUMIF('9店辅助表'!AT:AT,B:B,'9店辅助表'!AU:AU)+M56)/2),"-")</f>
        <v>0.333333333333333</v>
      </c>
      <c r="AH56" s="99">
        <f>IFERROR(AL56/((SUMIF('9店辅助表'!AW:AW,B:B,'9店辅助表'!AX:AX)+M56)/2),"-")</f>
        <v>0.705882352941177</v>
      </c>
      <c r="AI56" s="100">
        <f>IFERROR((SUMIF('9店辅助表'!AP:AP,B:B,'9店辅助表'!AR:AR)-SUMIF('9店辅助表'!AP:AP,B:B,'9店辅助表'!AR:AR)*0.15-(L56+IFERROR(VLOOKUP(B:B,'9店辅助表'!AZ:BA,2,0),0))*O56-IF(AN:AN="US",6.85,4.9)*(Z56+4.27*O56))/SUMIF('9店辅助表'!AP:AP,B:B,'9店辅助表'!AR:AR),"-")</f>
        <v>0.236569112380308</v>
      </c>
      <c r="AJ56" s="100">
        <f t="shared" si="44"/>
        <v>0.166989961680217</v>
      </c>
      <c r="AK56" s="101">
        <f t="shared" si="45"/>
        <v>27.8</v>
      </c>
      <c r="AL56" s="101">
        <f t="shared" si="46"/>
        <v>83.4</v>
      </c>
      <c r="AM56" s="1" t="str">
        <f>VLOOKUP(B:B,'9店辅助表'!AZ:AZ,1,FALSE)</f>
        <v>Y92563-OR+Y92564+Y92571</v>
      </c>
      <c r="AN56" t="str">
        <f>VLOOKUP(B:B,'9店辅助表'!AZ:BB,3,FALSE)</f>
        <v>US</v>
      </c>
    </row>
    <row r="57" customHeight="1" spans="1:40">
      <c r="A57" s="58" t="str">
        <f>INDEX('[1]9店'!$A:$A,MATCH(B:B,'[1]9店'!$B:$B,0))</f>
        <v>美珠</v>
      </c>
      <c r="B57" s="45" t="s">
        <v>3173</v>
      </c>
      <c r="C57" s="45" t="s">
        <v>62</v>
      </c>
      <c r="D57" s="59">
        <f>VLOOKUP(B:B,'[1]9店'!$B:$L,3,0)</f>
        <v>45030</v>
      </c>
      <c r="E57" s="45" t="s">
        <v>3174</v>
      </c>
      <c r="F57" s="45">
        <v>4</v>
      </c>
      <c r="G57" s="45">
        <v>0</v>
      </c>
      <c r="H57" s="45">
        <v>0</v>
      </c>
      <c r="I57" s="45">
        <v>0</v>
      </c>
      <c r="J57" s="45">
        <v>0</v>
      </c>
      <c r="K57" s="63">
        <f t="shared" si="35"/>
        <v>4</v>
      </c>
      <c r="L57" s="64">
        <f>IFERROR(VLOOKUP($B:$B,'[1]9店'!$B:$L,11,0),0)</f>
        <v>13.9</v>
      </c>
      <c r="M57" s="44">
        <f t="shared" si="36"/>
        <v>55.6</v>
      </c>
      <c r="N57" s="65">
        <f>IFERROR(VLOOKUP(B:B,'9店辅助表'!B:C,2,FALSE),0)</f>
        <v>0</v>
      </c>
      <c r="O57" s="65">
        <f>IFERROR(VLOOKUP(B:B,'9店辅助表'!E:F,2,FALSE),0)</f>
        <v>1</v>
      </c>
      <c r="P57" s="65">
        <f>IFERROR(VLOOKUP(B:B,'9店辅助表'!H:I,2,FALSE),0)</f>
        <v>2</v>
      </c>
      <c r="Q57" s="65">
        <f>IFERROR(VLOOKUP(B:B,'[1]9店'!$B:$N,13,FALSE),0)</f>
        <v>1</v>
      </c>
      <c r="R57" s="79">
        <f t="shared" si="37"/>
        <v>-1</v>
      </c>
      <c r="S57" s="80">
        <f t="shared" si="38"/>
        <v>90</v>
      </c>
      <c r="T57" s="44">
        <f t="shared" si="39"/>
        <v>3</v>
      </c>
      <c r="U57" s="44">
        <f>IFERROR(VLOOKUP(B:B,'[1]9店'!$B:$T,19,0),"-")</f>
        <v>0.903225806451613</v>
      </c>
      <c r="V57" s="81">
        <f t="shared" si="40"/>
        <v>2.09677419354839</v>
      </c>
      <c r="W57" s="82" t="str">
        <f t="shared" si="41"/>
        <v>有库存无销量</v>
      </c>
      <c r="X57" s="83" t="str">
        <f t="shared" si="42"/>
        <v>库存过高</v>
      </c>
      <c r="Y57" s="44">
        <f>IFERROR(SUMIF('9店辅助表'!K:K,B:B,'9店辅助表'!N:N),0)</f>
        <v>0</v>
      </c>
      <c r="Z57" s="44">
        <f>IFERROR(SUMIF('9店辅助表'!T:T,B:B,'9店辅助表'!W:W),0)</f>
        <v>0</v>
      </c>
      <c r="AA57" s="44">
        <f>IFERROR(SUMIF('9店辅助表'!AC:AC,B:B,'9店辅助表'!AF:AF),0)</f>
        <v>0</v>
      </c>
      <c r="AB57" s="91" t="str">
        <f>IFERROR(SUMIF('9店辅助表'!K:K,B:B,'9店辅助表'!N:N)/SUMIF('9店辅助表'!K:K,B:B,'9店辅助表'!O:O),"-")</f>
        <v>-</v>
      </c>
      <c r="AC57" s="91" t="str">
        <f>IFERROR(VLOOKUP(B:B,'[1]9店'!$B:$AB,27,FALSE),"-")</f>
        <v>-</v>
      </c>
      <c r="AD57" s="92" t="str">
        <f t="shared" si="43"/>
        <v>-</v>
      </c>
      <c r="AE57" s="91" t="str">
        <f>IFERROR(SUMIF('9店辅助表'!T:T,B:B,'9店辅助表'!W:W)/SUMIF('9店辅助表'!T:T,B:B,'9店辅助表'!X:X),"-")</f>
        <v>-</v>
      </c>
      <c r="AF57" s="91" t="str">
        <f>IFERROR(SUMIF('9店辅助表'!AC:AC,B:B,'9店辅助表'!AF:AF)/SUMIF('9店辅助表'!AC:AC,B:B,'9店辅助表'!AG:AG),"-")</f>
        <v>-</v>
      </c>
      <c r="AG57" s="99">
        <f>IFERROR(AK57/((SUMIF('9店辅助表'!AT:AT,B:B,'9店辅助表'!AU:AU)+M57)/2),"-")</f>
        <v>0</v>
      </c>
      <c r="AH57" s="99">
        <f>IFERROR(AL57/((SUMIF('9店辅助表'!AW:AW,B:B,'9店辅助表'!AX:AX)+M57)/2),"-")</f>
        <v>0.25</v>
      </c>
      <c r="AI57" s="100">
        <f>IFERROR((SUMIF('9店辅助表'!AP:AP,B:B,'9店辅助表'!AR:AR)-SUMIF('9店辅助表'!AP:AP,B:B,'9店辅助表'!AR:AR)*0.15-(L57+IFERROR(VLOOKUP(B:B,'9店辅助表'!AZ:BA,2,0),0))*O57-IF(AN:AN="US",6.85,4.9)*(Z57+4.27*O57))/SUMIF('9店辅助表'!AP:AP,B:B,'9店辅助表'!AR:AR),"-")</f>
        <v>0.189366245359086</v>
      </c>
      <c r="AJ57" s="100">
        <f t="shared" si="44"/>
        <v>0.0473415613397714</v>
      </c>
      <c r="AK57" s="101">
        <f t="shared" si="45"/>
        <v>0</v>
      </c>
      <c r="AL57" s="101">
        <f t="shared" si="46"/>
        <v>13.9</v>
      </c>
      <c r="AM57" s="1" t="str">
        <f>VLOOKUP(B:B,'9店辅助表'!AZ:AZ,1,FALSE)</f>
        <v>Y92610-BL+Y92613+Y92634</v>
      </c>
      <c r="AN57" t="str">
        <f>VLOOKUP(B:B,'9店辅助表'!AZ:BB,3,FALSE)</f>
        <v>US</v>
      </c>
    </row>
    <row r="58" customHeight="1" spans="1:40">
      <c r="A58" s="58" t="str">
        <f>INDEX('[1]9店'!$A:$A,MATCH(B:B,'[1]9店'!$B:$B,0))</f>
        <v>美珠</v>
      </c>
      <c r="B58" s="45" t="s">
        <v>3175</v>
      </c>
      <c r="C58" s="45" t="s">
        <v>3176</v>
      </c>
      <c r="D58" s="59">
        <f>VLOOKUP(B:B,'[1]9店'!$B:$L,3,0)</f>
        <v>45030</v>
      </c>
      <c r="E58" s="45" t="s">
        <v>3177</v>
      </c>
      <c r="F58" s="45">
        <v>7</v>
      </c>
      <c r="G58" s="45">
        <v>0</v>
      </c>
      <c r="H58" s="45">
        <v>0</v>
      </c>
      <c r="I58" s="45">
        <v>0</v>
      </c>
      <c r="J58" s="45">
        <v>0</v>
      </c>
      <c r="K58" s="63">
        <f t="shared" si="35"/>
        <v>7</v>
      </c>
      <c r="L58" s="64">
        <f>IFERROR(VLOOKUP($B:$B,'[1]9店'!$B:$L,11,0),0)</f>
        <v>13.9</v>
      </c>
      <c r="M58" s="44">
        <f t="shared" si="36"/>
        <v>97.3</v>
      </c>
      <c r="N58" s="65">
        <f>IFERROR(VLOOKUP(B:B,'9店辅助表'!B:C,2,FALSE),0)</f>
        <v>0</v>
      </c>
      <c r="O58" s="65">
        <f>IFERROR(VLOOKUP(B:B,'9店辅助表'!E:F,2,FALSE),0)</f>
        <v>1</v>
      </c>
      <c r="P58" s="65">
        <f>IFERROR(VLOOKUP(B:B,'9店辅助表'!H:I,2,FALSE),0)</f>
        <v>1</v>
      </c>
      <c r="Q58" s="65">
        <f>IFERROR(VLOOKUP(B:B,'[1]9店'!$B:$N,13,FALSE),0)</f>
        <v>1</v>
      </c>
      <c r="R58" s="79">
        <f t="shared" si="37"/>
        <v>-1</v>
      </c>
      <c r="S58" s="80">
        <f t="shared" si="38"/>
        <v>210</v>
      </c>
      <c r="T58" s="44">
        <f t="shared" si="39"/>
        <v>7</v>
      </c>
      <c r="U58" s="44">
        <f>IFERROR(VLOOKUP(B:B,'[1]9店'!$B:$T,19,0),"-")</f>
        <v>2.89655172413793</v>
      </c>
      <c r="V58" s="81">
        <f t="shared" si="40"/>
        <v>4.10344827586207</v>
      </c>
      <c r="W58" s="82" t="str">
        <f t="shared" si="41"/>
        <v>有库存无销量</v>
      </c>
      <c r="X58" s="83" t="str">
        <f t="shared" si="42"/>
        <v>库存过高</v>
      </c>
      <c r="Y58" s="44">
        <f>IFERROR(SUMIF('9店辅助表'!K:K,B:B,'9店辅助表'!N:N),0)</f>
        <v>2.14</v>
      </c>
      <c r="Z58" s="44">
        <f>IFERROR(SUMIF('9店辅助表'!T:T,B:B,'9店辅助表'!W:W),0)</f>
        <v>3.06</v>
      </c>
      <c r="AA58" s="44">
        <f>IFERROR(SUMIF('9店辅助表'!AC:AC,B:B,'9店辅助表'!AF:AF),0)</f>
        <v>4.68</v>
      </c>
      <c r="AB58" s="91" t="str">
        <f>IFERROR(SUMIF('9店辅助表'!K:K,B:B,'9店辅助表'!N:N)/SUMIF('9店辅助表'!K:K,B:B,'9店辅助表'!O:O),"-")</f>
        <v>-</v>
      </c>
      <c r="AC58" s="91">
        <f>IFERROR(VLOOKUP(B:B,'[1]9店'!$B:$AB,27,FALSE),"-")</f>
        <v>0.0418562329390355</v>
      </c>
      <c r="AD58" s="92" t="str">
        <f t="shared" si="43"/>
        <v>-</v>
      </c>
      <c r="AE58" s="91">
        <f>IFERROR(SUMIF('9店辅助表'!T:T,B:B,'9店辅助表'!W:W)/SUMIF('9店辅助表'!T:T,B:B,'9店辅助表'!X:X),"-")</f>
        <v>0.139217470427661</v>
      </c>
      <c r="AF58" s="91">
        <f>IFERROR(SUMIF('9店辅助表'!AC:AC,B:B,'9店辅助表'!AF:AF)/SUMIF('9店辅助表'!AC:AC,B:B,'9店辅助表'!AG:AG),"-")</f>
        <v>0.212920837124659</v>
      </c>
      <c r="AG58" s="99">
        <f>IFERROR(AK58/((SUMIF('9店辅助表'!AT:AT,B:B,'9店辅助表'!AU:AU)+M58)/2),"-")</f>
        <v>0</v>
      </c>
      <c r="AH58" s="99">
        <f>IFERROR(AL58/((SUMIF('9店辅助表'!AW:AW,B:B,'9店辅助表'!AX:AX)+M58)/2),"-")</f>
        <v>0.133333333333333</v>
      </c>
      <c r="AI58" s="100">
        <f>IFERROR((SUMIF('9店辅助表'!AP:AP,B:B,'9店辅助表'!AR:AR)-SUMIF('9店辅助表'!AP:AP,B:B,'9店辅助表'!AR:AR)*0.15-(L58+IFERROR(VLOOKUP(B:B,'9店辅助表'!AZ:BA,2,0),0))*O58-IF(AN:AN="US",6.85,4.9)*(Z58+4.27*O58))/SUMIF('9店辅助表'!AP:AP,B:B,'9店辅助表'!AR:AR),"-")</f>
        <v>-0.0889757111640975</v>
      </c>
      <c r="AJ58" s="100">
        <f t="shared" si="44"/>
        <v>-0.011863428155213</v>
      </c>
      <c r="AK58" s="101">
        <f t="shared" si="45"/>
        <v>0</v>
      </c>
      <c r="AL58" s="101">
        <f t="shared" si="46"/>
        <v>13.9</v>
      </c>
      <c r="AM58" s="1" t="str">
        <f>VLOOKUP(B:B,'9店辅助表'!AZ:AZ,1,FALSE)</f>
        <v>Y92610-DB+Y92613+Y92634</v>
      </c>
      <c r="AN58" t="str">
        <f>VLOOKUP(B:B,'9店辅助表'!AZ:BB,3,FALSE)</f>
        <v>US</v>
      </c>
    </row>
    <row r="59" customHeight="1" spans="1:40">
      <c r="A59" s="58" t="str">
        <f>INDEX('[1]9店'!$A:$A,MATCH(B:B,'[1]9店'!$B:$B,0))</f>
        <v>美珠</v>
      </c>
      <c r="B59" s="45" t="s">
        <v>3178</v>
      </c>
      <c r="C59" s="45" t="s">
        <v>2346</v>
      </c>
      <c r="D59" s="59">
        <f>VLOOKUP(B:B,'[1]9店'!$B:$L,3,0)</f>
        <v>45030</v>
      </c>
      <c r="E59" s="45" t="s">
        <v>3179</v>
      </c>
      <c r="F59" s="45">
        <v>1</v>
      </c>
      <c r="G59" s="45">
        <v>0</v>
      </c>
      <c r="H59" s="45">
        <v>0</v>
      </c>
      <c r="I59" s="45">
        <v>0</v>
      </c>
      <c r="J59" s="45">
        <v>0</v>
      </c>
      <c r="K59" s="63">
        <f t="shared" si="35"/>
        <v>1</v>
      </c>
      <c r="L59" s="64">
        <f>IFERROR(VLOOKUP($B:$B,'[1]9店'!$B:$L,11,0),0)</f>
        <v>13.9</v>
      </c>
      <c r="M59" s="44">
        <f t="shared" si="36"/>
        <v>13.9</v>
      </c>
      <c r="N59" s="65">
        <f>IFERROR(VLOOKUP(B:B,'9店辅助表'!B:C,2,FALSE),0)</f>
        <v>1</v>
      </c>
      <c r="O59" s="65">
        <f>IFERROR(VLOOKUP(B:B,'9店辅助表'!E:F,2,FALSE),0)</f>
        <v>3</v>
      </c>
      <c r="P59" s="65">
        <f>IFERROR(VLOOKUP(B:B,'9店辅助表'!H:I,2,FALSE),0)</f>
        <v>4</v>
      </c>
      <c r="Q59" s="65">
        <f>IFERROR(VLOOKUP(B:B,'[1]9店'!$B:$N,13,FALSE),0)</f>
        <v>2</v>
      </c>
      <c r="R59" s="79">
        <f t="shared" si="37"/>
        <v>-1</v>
      </c>
      <c r="S59" s="80">
        <f t="shared" si="38"/>
        <v>6.3</v>
      </c>
      <c r="T59" s="44">
        <f t="shared" si="39"/>
        <v>0.21</v>
      </c>
      <c r="U59" s="44">
        <f>IFERROR(VLOOKUP(B:B,'[1]9店'!$B:$T,19,0),"-")</f>
        <v>0.181034482758621</v>
      </c>
      <c r="V59" s="81">
        <f t="shared" si="40"/>
        <v>0.028965517241379</v>
      </c>
      <c r="W59" s="82" t="str">
        <f t="shared" si="41"/>
        <v>库存过低</v>
      </c>
      <c r="X59" s="83" t="str">
        <f t="shared" si="42"/>
        <v>库存过低</v>
      </c>
      <c r="Y59" s="44">
        <f>IFERROR(SUMIF('9店辅助表'!K:K,B:B,'9店辅助表'!N:N),0)</f>
        <v>5.2</v>
      </c>
      <c r="Z59" s="44">
        <f>IFERROR(SUMIF('9店辅助表'!T:T,B:B,'9店辅助表'!W:W),0)</f>
        <v>8.36</v>
      </c>
      <c r="AA59" s="44">
        <f>IFERROR(SUMIF('9店辅助表'!AC:AC,B:B,'9店辅助表'!AF:AF),0)</f>
        <v>12.86</v>
      </c>
      <c r="AB59" s="91">
        <f>IFERROR(SUMIF('9店辅助表'!K:K,B:B,'9店辅助表'!N:N)/SUMIF('9店辅助表'!K:K,B:B,'9店辅助表'!O:O),"-")</f>
        <v>0.400307929176289</v>
      </c>
      <c r="AC59" s="91">
        <f>IFERROR(VLOOKUP(B:B,'[1]9店'!$B:$AB,27,FALSE),"-")</f>
        <v>0.139282735613011</v>
      </c>
      <c r="AD59" s="92">
        <f t="shared" si="43"/>
        <v>0.261025193563278</v>
      </c>
      <c r="AE59" s="91">
        <f>IFERROR(SUMIF('9店辅助表'!T:T,B:B,'9店辅助表'!W:W)/SUMIF('9店辅助表'!T:T,B:B,'9店辅助表'!X:X),"-")</f>
        <v>0.22612929402218</v>
      </c>
      <c r="AF59" s="91">
        <f>IFERROR(SUMIF('9店辅助表'!AC:AC,B:B,'9店辅助表'!AF:AF)/SUMIF('9店辅助表'!AC:AC,B:B,'9店辅助表'!AG:AG),"-")</f>
        <v>0.3478496077901</v>
      </c>
      <c r="AG59" s="99">
        <f>IFERROR(AK59/((SUMIF('9店辅助表'!AT:AT,B:B,'9店辅助表'!AU:AU)+M59)/2),"-")</f>
        <v>1</v>
      </c>
      <c r="AH59" s="99">
        <f>IFERROR(AL59/((SUMIF('9店辅助表'!AW:AW,B:B,'9店辅助表'!AX:AX)+M59)/2),"-")</f>
        <v>1.2</v>
      </c>
      <c r="AI59" s="100">
        <f>IFERROR((SUMIF('9店辅助表'!AP:AP,B:B,'9店辅助表'!AR:AR)-SUMIF('9店辅助表'!AP:AP,B:B,'9店辅助表'!AR:AR)*0.15-(L59+IFERROR(VLOOKUP(B:B,'9店辅助表'!AZ:BA,2,0),0))*O59-IF(AN:AN="US",6.85,4.9)*(Z59+4.27*O59))/SUMIF('9店辅助表'!AP:AP,B:B,'9店辅助表'!AR:AR),"-")</f>
        <v>0.0347147716929688</v>
      </c>
      <c r="AJ59" s="100">
        <f t="shared" si="44"/>
        <v>0.0416577260315625</v>
      </c>
      <c r="AK59" s="101">
        <f t="shared" si="45"/>
        <v>13.9</v>
      </c>
      <c r="AL59" s="101">
        <f t="shared" si="46"/>
        <v>41.7</v>
      </c>
      <c r="AM59" s="1" t="str">
        <f>VLOOKUP(B:B,'9店辅助表'!AZ:AZ,1,FALSE)</f>
        <v>Y92610-OR+Y92613+Y92634</v>
      </c>
      <c r="AN59" t="str">
        <f>VLOOKUP(B:B,'9店辅助表'!AZ:BB,3,FALSE)</f>
        <v>US</v>
      </c>
    </row>
    <row r="60" customHeight="1" spans="1:40">
      <c r="A60" s="58" t="str">
        <f>INDEX('[1]9店'!$A:$A,MATCH(B:B,'[1]9店'!$B:$B,0))</f>
        <v>美珠</v>
      </c>
      <c r="B60" s="45" t="s">
        <v>3180</v>
      </c>
      <c r="C60" s="45" t="s">
        <v>2410</v>
      </c>
      <c r="D60" s="59">
        <f>VLOOKUP(B:B,'[1]9店'!$B:$L,3,0)</f>
        <v>45086</v>
      </c>
      <c r="E60" s="45" t="s">
        <v>3181</v>
      </c>
      <c r="F60" s="45">
        <v>10</v>
      </c>
      <c r="G60" s="45">
        <v>0</v>
      </c>
      <c r="H60" s="45">
        <v>0</v>
      </c>
      <c r="I60" s="45">
        <v>0</v>
      </c>
      <c r="J60" s="45">
        <v>0</v>
      </c>
      <c r="K60" s="63">
        <f t="shared" ref="K60:K65" si="47">F60+G60+H60+I60+J60</f>
        <v>10</v>
      </c>
      <c r="L60" s="64">
        <f>IFERROR(VLOOKUP($B:$B,'[1]9店'!$B:$L,11,0),0)</f>
        <v>13.9</v>
      </c>
      <c r="M60" s="44">
        <f t="shared" ref="M60:M65" si="48">K60*L60</f>
        <v>139</v>
      </c>
      <c r="N60" s="65">
        <f>IFERROR(VLOOKUP(B:B,'9店辅助表'!B:C,2,FALSE),0)</f>
        <v>0</v>
      </c>
      <c r="O60" s="65">
        <f>IFERROR(VLOOKUP(B:B,'9店辅助表'!E:F,2,FALSE),0)</f>
        <v>0</v>
      </c>
      <c r="P60" s="65">
        <f>IFERROR(VLOOKUP(B:B,'9店辅助表'!H:I,2,FALSE),0)</f>
        <v>1</v>
      </c>
      <c r="Q60" s="65">
        <f>IFERROR(VLOOKUP(B:B,'[1]9店'!$B:$N,13,FALSE),0)</f>
        <v>0</v>
      </c>
      <c r="R60" s="79">
        <f t="shared" ref="R60:R65" si="49">N60-Q60</f>
        <v>0</v>
      </c>
      <c r="S60" s="80">
        <f t="shared" ref="S60:S65" si="50">IFERROR(K60/((N60/7+O60/15+P60/30)/3),"-")</f>
        <v>900</v>
      </c>
      <c r="T60" s="44">
        <f t="shared" ref="T60:T65" si="51">IFERROR(S60/30,"-")</f>
        <v>30</v>
      </c>
      <c r="U60" s="44">
        <f>IFERROR(VLOOKUP(B:B,'[1]9店'!$B:$T,19,0),"-")</f>
        <v>10</v>
      </c>
      <c r="V60" s="81">
        <f t="shared" ref="V60:V65" si="52">IFERROR(T60-U60,"-")</f>
        <v>20</v>
      </c>
      <c r="W60" s="82" t="str">
        <f t="shared" ref="W60:W65" si="53">_xlfn.IFS(AND(D60&lt;&gt;0,D60-$AM$2&gt;=0,B60&gt;0,D60&lt;&gt;0),"本月刚到货",AND(IFERROR((K60/(N60/7))/30,"-")="-",K60&gt;0),"有库存无销量",AND(IFERROR((K60/(N60/7))/30,"-")="-",K60=0),"无库存无销量",AND(IFERROR((K60/(N60/7))/30,"-")&lt;=0.5,K60=0),"无库存有销量",IFERROR((K60/(N60/7))/30,"-")&lt;=0.5,"库存过低",IFERROR((K60/(N60/7))/30,"-")&lt;=1.5,"正常",IFERROR((K60/(N60/7))/30,"-")&gt;1.5,"库存过高")</f>
        <v>有库存无销量</v>
      </c>
      <c r="X60" s="83" t="str">
        <f t="shared" ref="X60:X65" si="54">_xlfn.IFS(AND(D60&lt;&gt;0,D60-$AM$2&gt;=0,K60&gt;0,D60&lt;&gt;0),"本月刚到货",AND(T60="-",K60&gt;0),"有库存无销量",AND(T60="-",K60=0),"无库存无销量",AND(T60&lt;=0.5,K60=0),"无库存有销量",T60&lt;=0.5,"库存过低",T60&lt;=1.5,"正常",T60&gt;1.5,"库存过高")</f>
        <v>库存过高</v>
      </c>
      <c r="Y60" s="44">
        <f>IFERROR(SUMIF('9店辅助表'!K:K,B:B,'9店辅助表'!N:N),0)</f>
        <v>1.05</v>
      </c>
      <c r="Z60" s="44">
        <f>IFERROR(SUMIF('9店辅助表'!T:T,B:B,'9店辅助表'!W:W),0)</f>
        <v>3.19</v>
      </c>
      <c r="AA60" s="44">
        <f>IFERROR(SUMIF('9店辅助表'!AC:AC,B:B,'9店辅助表'!AF:AF),0)</f>
        <v>4.29</v>
      </c>
      <c r="AB60" s="91" t="str">
        <f>IFERROR(SUMIF('9店辅助表'!K:K,B:B,'9店辅助表'!N:N)/SUMIF('9店辅助表'!K:K,B:B,'9店辅助表'!O:O),"-")</f>
        <v>-</v>
      </c>
      <c r="AC60" s="91" t="str">
        <f>IFERROR(VLOOKUP(B:B,'[1]9店'!$B:$AB,27,FALSE),"-")</f>
        <v>-</v>
      </c>
      <c r="AD60" s="92" t="str">
        <f t="shared" ref="AD60:AD65" si="55">IFERROR(AB60-AC60,"-")</f>
        <v>-</v>
      </c>
      <c r="AE60" s="91" t="str">
        <f>IFERROR(SUMIF('9店辅助表'!T:T,B:B,'9店辅助表'!W:W)/SUMIF('9店辅助表'!T:T,B:B,'9店辅助表'!X:X),"-")</f>
        <v>-</v>
      </c>
      <c r="AF60" s="91" t="str">
        <f>IFERROR(SUMIF('9店辅助表'!AC:AC,B:B,'9店辅助表'!AF:AF)/SUMIF('9店辅助表'!AC:AC,B:B,'9店辅助表'!AG:AG),"-")</f>
        <v>-</v>
      </c>
      <c r="AG60" s="99">
        <f>IFERROR(AK60/((SUMIF('9店辅助表'!AT:AT,B:B,'9店辅助表'!AU:AU)+M60)/2),"-")</f>
        <v>0</v>
      </c>
      <c r="AH60" s="99">
        <f>IFERROR(AL60/((SUMIF('9店辅助表'!AW:AW,B:B,'9店辅助表'!AX:AX)+M60)/2),"-")</f>
        <v>0</v>
      </c>
      <c r="AI60" s="100" t="str">
        <f>IFERROR((SUMIF('9店辅助表'!AP:AP,B:B,'9店辅助表'!AR:AR)-SUMIF('9店辅助表'!AP:AP,B:B,'9店辅助表'!AR:AR)*0.15-(L60+IFERROR(VLOOKUP(B:B,'9店辅助表'!AZ:BA,2,0),0))*O60-IF(AN:AN="US",6.85,4.9)*(Z60+4.27*O60))/SUMIF('9店辅助表'!AP:AP,B:B,'9店辅助表'!AR:AR),"-")</f>
        <v>-</v>
      </c>
      <c r="AJ60" s="100" t="str">
        <f t="shared" ref="AJ60:AJ65" si="56">IFERROR(AH60*AI60,"-")</f>
        <v>-</v>
      </c>
      <c r="AK60" s="101">
        <f t="shared" ref="AK60:AK65" si="57">N60*$L60</f>
        <v>0</v>
      </c>
      <c r="AL60" s="101">
        <f t="shared" ref="AL60:AL65" si="58">O60*$L60</f>
        <v>0</v>
      </c>
      <c r="AM60" s="1" t="str">
        <f>VLOOKUP(B:B,'9店辅助表'!AZ:AZ,1,FALSE)</f>
        <v>Y93133-BL+Y93136+Y93267</v>
      </c>
      <c r="AN60" t="str">
        <f>VLOOKUP(B:B,'9店辅助表'!AZ:BB,3,FALSE)</f>
        <v>US</v>
      </c>
    </row>
    <row r="61" customHeight="1" spans="1:40">
      <c r="A61" s="58" t="str">
        <f>INDEX('[1]9店'!$A:$A,MATCH(B:B,'[1]9店'!$B:$B,0))</f>
        <v>美珠</v>
      </c>
      <c r="B61" s="45" t="s">
        <v>3182</v>
      </c>
      <c r="C61" s="45" t="s">
        <v>2413</v>
      </c>
      <c r="D61" s="59">
        <f>VLOOKUP(B:B,'[1]9店'!$B:$L,3,0)</f>
        <v>45086</v>
      </c>
      <c r="E61" s="45" t="s">
        <v>3183</v>
      </c>
      <c r="F61" s="45">
        <v>3</v>
      </c>
      <c r="G61" s="45">
        <v>0</v>
      </c>
      <c r="H61" s="45">
        <v>0</v>
      </c>
      <c r="I61" s="45">
        <v>0</v>
      </c>
      <c r="J61" s="45">
        <v>0</v>
      </c>
      <c r="K61" s="63">
        <f t="shared" si="47"/>
        <v>3</v>
      </c>
      <c r="L61" s="64">
        <f>IFERROR(VLOOKUP($B:$B,'[1]9店'!$B:$L,11,0),0)</f>
        <v>13.9</v>
      </c>
      <c r="M61" s="44">
        <f t="shared" si="48"/>
        <v>41.7</v>
      </c>
      <c r="N61" s="65">
        <f>IFERROR(VLOOKUP(B:B,'9店辅助表'!B:C,2,FALSE),0)</f>
        <v>0</v>
      </c>
      <c r="O61" s="65">
        <f>IFERROR(VLOOKUP(B:B,'9店辅助表'!E:F,2,FALSE),0)</f>
        <v>0</v>
      </c>
      <c r="P61" s="65">
        <f>IFERROR(VLOOKUP(B:B,'9店辅助表'!H:I,2,FALSE),0)</f>
        <v>1</v>
      </c>
      <c r="Q61" s="65">
        <f>IFERROR(VLOOKUP(B:B,'[1]9店'!$B:$N,13,FALSE),0)</f>
        <v>0</v>
      </c>
      <c r="R61" s="79">
        <f t="shared" si="49"/>
        <v>0</v>
      </c>
      <c r="S61" s="80">
        <f t="shared" si="50"/>
        <v>270</v>
      </c>
      <c r="T61" s="44">
        <f t="shared" si="51"/>
        <v>9</v>
      </c>
      <c r="U61" s="44">
        <f>IFERROR(VLOOKUP(B:B,'[1]9店'!$B:$T,19,0),"-")</f>
        <v>9</v>
      </c>
      <c r="V61" s="81">
        <f t="shared" si="52"/>
        <v>0</v>
      </c>
      <c r="W61" s="82" t="str">
        <f t="shared" si="53"/>
        <v>有库存无销量</v>
      </c>
      <c r="X61" s="83" t="str">
        <f t="shared" si="54"/>
        <v>库存过高</v>
      </c>
      <c r="Y61" s="44">
        <f>IFERROR(SUMIF('9店辅助表'!K:K,B:B,'9店辅助表'!N:N),0)</f>
        <v>0.19</v>
      </c>
      <c r="Z61" s="44">
        <f>IFERROR(SUMIF('9店辅助表'!T:T,B:B,'9店辅助表'!W:W),0)</f>
        <v>0.19</v>
      </c>
      <c r="AA61" s="44">
        <f>IFERROR(SUMIF('9店辅助表'!AC:AC,B:B,'9店辅助表'!AF:AF),0)</f>
        <v>2.07</v>
      </c>
      <c r="AB61" s="91" t="str">
        <f>IFERROR(SUMIF('9店辅助表'!K:K,B:B,'9店辅助表'!N:N)/SUMIF('9店辅助表'!K:K,B:B,'9店辅助表'!O:O),"-")</f>
        <v>-</v>
      </c>
      <c r="AC61" s="91" t="str">
        <f>IFERROR(VLOOKUP(B:B,'[1]9店'!$B:$AB,27,FALSE),"-")</f>
        <v>-</v>
      </c>
      <c r="AD61" s="92" t="str">
        <f t="shared" si="55"/>
        <v>-</v>
      </c>
      <c r="AE61" s="91" t="str">
        <f>IFERROR(SUMIF('9店辅助表'!T:T,B:B,'9店辅助表'!W:W)/SUMIF('9店辅助表'!T:T,B:B,'9店辅助表'!X:X),"-")</f>
        <v>-</v>
      </c>
      <c r="AF61" s="91" t="str">
        <f>IFERROR(SUMIF('9店辅助表'!AC:AC,B:B,'9店辅助表'!AF:AF)/SUMIF('9店辅助表'!AC:AC,B:B,'9店辅助表'!AG:AG),"-")</f>
        <v>-</v>
      </c>
      <c r="AG61" s="99">
        <f>IFERROR(AK61/((SUMIF('9店辅助表'!AT:AT,B:B,'9店辅助表'!AU:AU)+M61)/2),"-")</f>
        <v>0</v>
      </c>
      <c r="AH61" s="99">
        <f>IFERROR(AL61/((SUMIF('9店辅助表'!AW:AW,B:B,'9店辅助表'!AX:AX)+M61)/2),"-")</f>
        <v>0</v>
      </c>
      <c r="AI61" s="100" t="str">
        <f>IFERROR((SUMIF('9店辅助表'!AP:AP,B:B,'9店辅助表'!AR:AR)-SUMIF('9店辅助表'!AP:AP,B:B,'9店辅助表'!AR:AR)*0.15-(L61+IFERROR(VLOOKUP(B:B,'9店辅助表'!AZ:BA,2,0),0))*O61-IF(AN:AN="US",6.85,4.9)*(Z61+4.27*O61))/SUMIF('9店辅助表'!AP:AP,B:B,'9店辅助表'!AR:AR),"-")</f>
        <v>-</v>
      </c>
      <c r="AJ61" s="100" t="str">
        <f t="shared" si="56"/>
        <v>-</v>
      </c>
      <c r="AK61" s="101">
        <f t="shared" si="57"/>
        <v>0</v>
      </c>
      <c r="AL61" s="101">
        <f t="shared" si="58"/>
        <v>0</v>
      </c>
      <c r="AM61" s="1" t="str">
        <f>VLOOKUP(B:B,'9店辅助表'!AZ:AZ,1,FALSE)</f>
        <v>Y93133-DB+Y93136+Y93267</v>
      </c>
      <c r="AN61" t="str">
        <f>VLOOKUP(B:B,'9店辅助表'!AZ:BB,3,FALSE)</f>
        <v>US</v>
      </c>
    </row>
    <row r="62" customHeight="1" spans="1:40">
      <c r="A62" s="58" t="str">
        <f>INDEX('[1]9店'!$A:$A,MATCH(B:B,'[1]9店'!$B:$B,0))</f>
        <v>美珠</v>
      </c>
      <c r="B62" s="45" t="s">
        <v>3184</v>
      </c>
      <c r="C62" s="45" t="s">
        <v>2416</v>
      </c>
      <c r="D62" s="59">
        <f>VLOOKUP(B:B,'[1]9店'!$B:$L,3,0)</f>
        <v>45086</v>
      </c>
      <c r="E62" s="45" t="s">
        <v>3185</v>
      </c>
      <c r="F62" s="45">
        <v>3</v>
      </c>
      <c r="G62" s="45">
        <v>1</v>
      </c>
      <c r="H62" s="45">
        <v>0</v>
      </c>
      <c r="I62" s="45">
        <v>0</v>
      </c>
      <c r="J62" s="45">
        <v>0</v>
      </c>
      <c r="K62" s="63">
        <f t="shared" si="47"/>
        <v>4</v>
      </c>
      <c r="L62" s="64">
        <f>IFERROR(VLOOKUP($B:$B,'[1]9店'!$B:$L,11,0),0)</f>
        <v>13.9</v>
      </c>
      <c r="M62" s="44">
        <f t="shared" si="48"/>
        <v>55.6</v>
      </c>
      <c r="N62" s="65">
        <f>IFERROR(VLOOKUP(B:B,'9店辅助表'!B:C,2,FALSE),0)</f>
        <v>0</v>
      </c>
      <c r="O62" s="65">
        <f>IFERROR(VLOOKUP(B:B,'9店辅助表'!E:F,2,FALSE),0)</f>
        <v>1</v>
      </c>
      <c r="P62" s="65">
        <f>IFERROR(VLOOKUP(B:B,'9店辅助表'!H:I,2,FALSE),0)</f>
        <v>1</v>
      </c>
      <c r="Q62" s="65">
        <f>IFERROR(VLOOKUP(B:B,'[1]9店'!$B:$N,13,FALSE),0)</f>
        <v>1</v>
      </c>
      <c r="R62" s="79">
        <f t="shared" si="49"/>
        <v>-1</v>
      </c>
      <c r="S62" s="80">
        <f t="shared" si="50"/>
        <v>120</v>
      </c>
      <c r="T62" s="44">
        <f t="shared" si="51"/>
        <v>4</v>
      </c>
      <c r="U62" s="44">
        <f>IFERROR(VLOOKUP(B:B,'[1]9店'!$B:$T,19,0),"-")</f>
        <v>1.08620689655172</v>
      </c>
      <c r="V62" s="81">
        <f t="shared" si="52"/>
        <v>2.91379310344828</v>
      </c>
      <c r="W62" s="82" t="str">
        <f t="shared" si="53"/>
        <v>有库存无销量</v>
      </c>
      <c r="X62" s="83" t="str">
        <f t="shared" si="54"/>
        <v>库存过高</v>
      </c>
      <c r="Y62" s="44">
        <f>IFERROR(SUMIF('9店辅助表'!K:K,B:B,'9店辅助表'!N:N),0)</f>
        <v>0.74</v>
      </c>
      <c r="Z62" s="44">
        <f>IFERROR(SUMIF('9店辅助表'!T:T,B:B,'9店辅助表'!W:W),0)</f>
        <v>3.17</v>
      </c>
      <c r="AA62" s="44">
        <f>IFERROR(SUMIF('9店辅助表'!AC:AC,B:B,'9店辅助表'!AF:AF),0)</f>
        <v>4.29</v>
      </c>
      <c r="AB62" s="91" t="str">
        <f>IFERROR(SUMIF('9店辅助表'!K:K,B:B,'9店辅助表'!N:N)/SUMIF('9店辅助表'!K:K,B:B,'9店辅助表'!O:O),"-")</f>
        <v>-</v>
      </c>
      <c r="AC62" s="91">
        <f>IFERROR(VLOOKUP(B:B,'[1]9店'!$B:$AB,27,FALSE),"-")</f>
        <v>0.130100076982294</v>
      </c>
      <c r="AD62" s="92" t="str">
        <f t="shared" si="55"/>
        <v>-</v>
      </c>
      <c r="AE62" s="91">
        <f>IFERROR(SUMIF('9店辅助表'!T:T,B:B,'9店辅助表'!W:W)/SUMIF('9店辅助表'!T:T,B:B,'9店辅助表'!X:X),"-")</f>
        <v>0.244033872209392</v>
      </c>
      <c r="AF62" s="91">
        <f>IFERROR(SUMIF('9店辅助表'!AC:AC,B:B,'9店辅助表'!AF:AF)/SUMIF('9店辅助表'!AC:AC,B:B,'9店辅助表'!AG:AG),"-")</f>
        <v>0.330254041570439</v>
      </c>
      <c r="AG62" s="99">
        <f>IFERROR(AK62/((SUMIF('9店辅助表'!AT:AT,B:B,'9店辅助表'!AU:AU)+M62)/2),"-")</f>
        <v>0</v>
      </c>
      <c r="AH62" s="99">
        <f>IFERROR(AL62/((SUMIF('9店辅助表'!AW:AW,B:B,'9店辅助表'!AX:AX)+M62)/2),"-")</f>
        <v>0.25</v>
      </c>
      <c r="AI62" s="100">
        <f>IFERROR((SUMIF('9店辅助表'!AP:AP,B:B,'9店辅助表'!AR:AR)-SUMIF('9店辅助表'!AP:AP,B:B,'9店辅助表'!AR:AR)*0.15-(L62+IFERROR(VLOOKUP(B:B,'9店辅助表'!AZ:BA,2,0),0))*O62-IF(AN:AN="US",6.85,4.9)*(Z62+4.27*O62))/SUMIF('9店辅助表'!AP:AP,B:B,'9店辅助表'!AR:AR),"-")</f>
        <v>0.0450686378629267</v>
      </c>
      <c r="AJ62" s="100">
        <f t="shared" si="56"/>
        <v>0.0112671594657317</v>
      </c>
      <c r="AK62" s="101">
        <f t="shared" si="57"/>
        <v>0</v>
      </c>
      <c r="AL62" s="101">
        <f t="shared" si="58"/>
        <v>13.9</v>
      </c>
      <c r="AM62" s="1" t="str">
        <f>VLOOKUP(B:B,'9店辅助表'!AZ:AZ,1,FALSE)</f>
        <v>Y93133-OR+Y93136+Y93267</v>
      </c>
      <c r="AN62" t="str">
        <f>VLOOKUP(B:B,'9店辅助表'!AZ:BB,3,FALSE)</f>
        <v>US</v>
      </c>
    </row>
    <row r="63" customHeight="1" spans="1:40">
      <c r="A63" s="58" t="str">
        <f>INDEX('[1]9店'!$A:$A,MATCH(B:B,'[1]9店'!$B:$B,0))</f>
        <v>美珠</v>
      </c>
      <c r="B63" s="45" t="s">
        <v>3186</v>
      </c>
      <c r="C63" s="45" t="s">
        <v>2492</v>
      </c>
      <c r="D63" s="59">
        <f>VLOOKUP(B:B,'[1]9店'!$B:$L,3,0)</f>
        <v>45074</v>
      </c>
      <c r="E63" s="45" t="s">
        <v>3187</v>
      </c>
      <c r="F63" s="45">
        <v>9</v>
      </c>
      <c r="G63" s="45">
        <v>0</v>
      </c>
      <c r="H63" s="45">
        <v>0</v>
      </c>
      <c r="I63" s="45">
        <v>0</v>
      </c>
      <c r="J63" s="45">
        <v>0</v>
      </c>
      <c r="K63" s="63">
        <f t="shared" si="47"/>
        <v>9</v>
      </c>
      <c r="L63" s="64">
        <f>IFERROR(VLOOKUP($B:$B,'[1]9店'!$B:$L,11,0),0)</f>
        <v>13.9</v>
      </c>
      <c r="M63" s="44">
        <f t="shared" si="48"/>
        <v>125.1</v>
      </c>
      <c r="N63" s="65">
        <f>IFERROR(VLOOKUP(B:B,'9店辅助表'!B:C,2,FALSE),0)</f>
        <v>1</v>
      </c>
      <c r="O63" s="65">
        <f>IFERROR(VLOOKUP(B:B,'9店辅助表'!E:F,2,FALSE),0)</f>
        <v>1</v>
      </c>
      <c r="P63" s="65">
        <f>IFERROR(VLOOKUP(B:B,'9店辅助表'!H:I,2,FALSE),0)</f>
        <v>2</v>
      </c>
      <c r="Q63" s="65">
        <f>IFERROR(VLOOKUP(B:B,'[1]9店'!$B:$N,13,FALSE),0)</f>
        <v>0</v>
      </c>
      <c r="R63" s="79">
        <f t="shared" si="49"/>
        <v>1</v>
      </c>
      <c r="S63" s="80">
        <f t="shared" si="50"/>
        <v>97.7586206896552</v>
      </c>
      <c r="T63" s="44">
        <f t="shared" si="51"/>
        <v>3.25862068965517</v>
      </c>
      <c r="U63" s="44">
        <f>IFERROR(VLOOKUP(B:B,'[1]9店'!$B:$T,19,0),"-")</f>
        <v>5.4</v>
      </c>
      <c r="V63" s="81">
        <f t="shared" si="52"/>
        <v>-2.14137931034483</v>
      </c>
      <c r="W63" s="82" t="str">
        <f t="shared" si="53"/>
        <v>库存过高</v>
      </c>
      <c r="X63" s="83" t="str">
        <f t="shared" si="54"/>
        <v>库存过高</v>
      </c>
      <c r="Y63" s="44">
        <f>IFERROR(SUMIF('9店辅助表'!K:K,B:B,'9店辅助表'!N:N),0)</f>
        <v>0.17</v>
      </c>
      <c r="Z63" s="44">
        <f>IFERROR(SUMIF('9店辅助表'!T:T,B:B,'9店辅助表'!W:W),0)</f>
        <v>0.71</v>
      </c>
      <c r="AA63" s="44">
        <f>IFERROR(SUMIF('9店辅助表'!AC:AC,B:B,'9店辅助表'!AF:AF),0)</f>
        <v>1.52</v>
      </c>
      <c r="AB63" s="91" t="str">
        <f>IFERROR(SUMIF('9店辅助表'!K:K,B:B,'9店辅助表'!N:N)/SUMIF('9店辅助表'!K:K,B:B,'9店辅助表'!O:O),"-")</f>
        <v>-</v>
      </c>
      <c r="AC63" s="91" t="str">
        <f>IFERROR(VLOOKUP(B:B,'[1]9店'!$B:$AB,27,FALSE),"-")</f>
        <v>-</v>
      </c>
      <c r="AD63" s="92" t="str">
        <f t="shared" si="55"/>
        <v>-</v>
      </c>
      <c r="AE63" s="91" t="str">
        <f>IFERROR(SUMIF('9店辅助表'!T:T,B:B,'9店辅助表'!W:W)/SUMIF('9店辅助表'!T:T,B:B,'9店辅助表'!X:X),"-")</f>
        <v>-</v>
      </c>
      <c r="AF63" s="91" t="str">
        <f>IFERROR(SUMIF('9店辅助表'!AC:AC,B:B,'9店辅助表'!AF:AF)/SUMIF('9店辅助表'!AC:AC,B:B,'9店辅助表'!AG:AG),"-")</f>
        <v>-</v>
      </c>
      <c r="AG63" s="99">
        <f>IFERROR(AK63/((SUMIF('9店辅助表'!AT:AT,B:B,'9店辅助表'!AU:AU)+M63)/2),"-")</f>
        <v>0.111111111111111</v>
      </c>
      <c r="AH63" s="99">
        <f>IFERROR(AL63/((SUMIF('9店辅助表'!AW:AW,B:B,'9店辅助表'!AX:AX)+M63)/2),"-")</f>
        <v>0.105263157894737</v>
      </c>
      <c r="AI63" s="100">
        <f>IFERROR((SUMIF('9店辅助表'!AP:AP,B:B,'9店辅助表'!AR:AR)-SUMIF('9店辅助表'!AP:AP,B:B,'9店辅助表'!AR:AR)*0.15-(L63+IFERROR(VLOOKUP(B:B,'9店辅助表'!AZ:BA,2,0),0))*O63-IF(AN:AN="US",6.85,4.9)*(Z63+4.27*O63))/SUMIF('9店辅助表'!AP:AP,B:B,'9店辅助表'!AR:AR),"-")</f>
        <v>0.235108140456162</v>
      </c>
      <c r="AJ63" s="100">
        <f t="shared" si="56"/>
        <v>0.024748225311175</v>
      </c>
      <c r="AK63" s="101">
        <f t="shared" si="57"/>
        <v>13.9</v>
      </c>
      <c r="AL63" s="101">
        <f t="shared" si="58"/>
        <v>13.9</v>
      </c>
      <c r="AM63" s="1" t="str">
        <f>VLOOKUP(B:B,'9店辅助表'!AZ:AZ,1,FALSE)</f>
        <v>Y93153-BL+Y93155+Y93169</v>
      </c>
      <c r="AN63" t="str">
        <f>VLOOKUP(B:B,'9店辅助表'!AZ:BB,3,FALSE)</f>
        <v>US</v>
      </c>
    </row>
    <row r="64" customHeight="1" spans="1:40">
      <c r="A64" s="58" t="str">
        <f>INDEX('[1]9店'!$A:$A,MATCH(B:B,'[1]9店'!$B:$B,0))</f>
        <v>美珠</v>
      </c>
      <c r="B64" s="45" t="s">
        <v>3188</v>
      </c>
      <c r="C64" s="45" t="s">
        <v>2514</v>
      </c>
      <c r="D64" s="59">
        <f>VLOOKUP(B:B,'[1]9店'!$B:$L,3,0)</f>
        <v>45074</v>
      </c>
      <c r="E64" s="45" t="s">
        <v>3189</v>
      </c>
      <c r="F64" s="45">
        <v>0</v>
      </c>
      <c r="G64" s="45">
        <v>0</v>
      </c>
      <c r="H64" s="45">
        <v>0</v>
      </c>
      <c r="I64" s="45">
        <v>0</v>
      </c>
      <c r="J64" s="45">
        <v>0</v>
      </c>
      <c r="K64" s="63">
        <f t="shared" si="47"/>
        <v>0</v>
      </c>
      <c r="L64" s="64">
        <f>IFERROR(VLOOKUP($B:$B,'[1]9店'!$B:$L,11,0),0)</f>
        <v>13.9</v>
      </c>
      <c r="M64" s="44">
        <f t="shared" si="48"/>
        <v>0</v>
      </c>
      <c r="N64" s="65">
        <f>IFERROR(VLOOKUP(B:B,'9店辅助表'!B:C,2,FALSE),0)</f>
        <v>1</v>
      </c>
      <c r="O64" s="65">
        <f>IFERROR(VLOOKUP(B:B,'9店辅助表'!E:F,2,FALSE),0)</f>
        <v>1</v>
      </c>
      <c r="P64" s="65">
        <f>IFERROR(VLOOKUP(B:B,'9店辅助表'!H:I,2,FALSE),0)</f>
        <v>3</v>
      </c>
      <c r="Q64" s="65">
        <f>IFERROR(VLOOKUP(B:B,'[1]9店'!$B:$N,13,FALSE),0)</f>
        <v>0</v>
      </c>
      <c r="R64" s="79">
        <f t="shared" si="49"/>
        <v>1</v>
      </c>
      <c r="S64" s="80">
        <f t="shared" si="50"/>
        <v>0</v>
      </c>
      <c r="T64" s="44">
        <f t="shared" si="51"/>
        <v>0</v>
      </c>
      <c r="U64" s="44">
        <f>IFERROR(VLOOKUP(B:B,'[1]9店'!$B:$T,19,0),"-")</f>
        <v>0.75</v>
      </c>
      <c r="V64" s="81">
        <f t="shared" si="52"/>
        <v>-0.75</v>
      </c>
      <c r="W64" s="82" t="str">
        <f t="shared" si="53"/>
        <v>无库存有销量</v>
      </c>
      <c r="X64" s="83" t="str">
        <f t="shared" si="54"/>
        <v>无库存有销量</v>
      </c>
      <c r="Y64" s="44">
        <f>IFERROR(SUMIF('9店辅助表'!K:K,B:B,'9店辅助表'!N:N),0)</f>
        <v>0</v>
      </c>
      <c r="Z64" s="44">
        <f>IFERROR(SUMIF('9店辅助表'!T:T,B:B,'9店辅助表'!W:W),0)</f>
        <v>0</v>
      </c>
      <c r="AA64" s="44">
        <f>IFERROR(SUMIF('9店辅助表'!AC:AC,B:B,'9店辅助表'!AF:AF),0)</f>
        <v>0.76</v>
      </c>
      <c r="AB64" s="91" t="str">
        <f>IFERROR(SUMIF('9店辅助表'!K:K,B:B,'9店辅助表'!N:N)/SUMIF('9店辅助表'!K:K,B:B,'9店辅助表'!O:O),"-")</f>
        <v>-</v>
      </c>
      <c r="AC64" s="91" t="str">
        <f>IFERROR(VLOOKUP(B:B,'[1]9店'!$B:$AB,27,FALSE),"-")</f>
        <v>-</v>
      </c>
      <c r="AD64" s="92" t="str">
        <f t="shared" si="55"/>
        <v>-</v>
      </c>
      <c r="AE64" s="91" t="str">
        <f>IFERROR(SUMIF('9店辅助表'!T:T,B:B,'9店辅助表'!W:W)/SUMIF('9店辅助表'!T:T,B:B,'9店辅助表'!X:X),"-")</f>
        <v>-</v>
      </c>
      <c r="AF64" s="91">
        <f>IFERROR(SUMIF('9店辅助表'!AC:AC,B:B,'9店辅助表'!AF:AF)/SUMIF('9店辅助表'!AC:AC,B:B,'9店辅助表'!AG:AG),"-")</f>
        <v>0.0585065434949961</v>
      </c>
      <c r="AG64" s="99">
        <f>IFERROR(AK64/((SUMIF('9店辅助表'!AT:AT,B:B,'9店辅助表'!AU:AU)+M64)/2),"-")</f>
        <v>2</v>
      </c>
      <c r="AH64" s="99">
        <f>IFERROR(AL64/((SUMIF('9店辅助表'!AW:AW,B:B,'9店辅助表'!AX:AX)+M64)/2),"-")</f>
        <v>0.5</v>
      </c>
      <c r="AI64" s="100">
        <f>IFERROR((SUMIF('9店辅助表'!AP:AP,B:B,'9店辅助表'!AR:AR)-SUMIF('9店辅助表'!AP:AP,B:B,'9店辅助表'!AR:AR)*0.15-(L64+IFERROR(VLOOKUP(B:B,'9店辅助表'!AZ:BA,2,0),0))*O64-IF(AN:AN="US",6.85,4.9)*(Z64+4.27*O64))/SUMIF('9店辅助表'!AP:AP,B:B,'9店辅助表'!AR:AR),"-")</f>
        <v>0.289102510072319</v>
      </c>
      <c r="AJ64" s="100">
        <f t="shared" si="56"/>
        <v>0.144551255036159</v>
      </c>
      <c r="AK64" s="101">
        <f t="shared" si="57"/>
        <v>13.9</v>
      </c>
      <c r="AL64" s="101">
        <f t="shared" si="58"/>
        <v>13.9</v>
      </c>
      <c r="AM64" s="1" t="str">
        <f>VLOOKUP(B:B,'9店辅助表'!AZ:AZ,1,FALSE)</f>
        <v>Y93153-DB+Y93155+Y93169</v>
      </c>
      <c r="AN64" t="str">
        <f>VLOOKUP(B:B,'9店辅助表'!AZ:BB,3,FALSE)</f>
        <v>US</v>
      </c>
    </row>
    <row r="65" customHeight="1" spans="1:40">
      <c r="A65" s="58" t="str">
        <f>INDEX('[1]9店'!$A:$A,MATCH(B:B,'[1]9店'!$B:$B,0))</f>
        <v>美珠</v>
      </c>
      <c r="B65" s="45" t="s">
        <v>3190</v>
      </c>
      <c r="C65" s="45" t="s">
        <v>2461</v>
      </c>
      <c r="D65" s="59">
        <f>VLOOKUP(B:B,'[1]9店'!$B:$L,3,0)</f>
        <v>45074</v>
      </c>
      <c r="E65" s="45" t="s">
        <v>3191</v>
      </c>
      <c r="F65" s="45">
        <v>4</v>
      </c>
      <c r="G65" s="45">
        <v>0</v>
      </c>
      <c r="H65" s="45">
        <v>0</v>
      </c>
      <c r="I65" s="45">
        <v>0</v>
      </c>
      <c r="J65" s="45">
        <v>0</v>
      </c>
      <c r="K65" s="63">
        <f t="shared" si="47"/>
        <v>4</v>
      </c>
      <c r="L65" s="64">
        <f>IFERROR(VLOOKUP($B:$B,'[1]9店'!$B:$L,11,0),0)</f>
        <v>13.9</v>
      </c>
      <c r="M65" s="44">
        <f t="shared" si="48"/>
        <v>55.6</v>
      </c>
      <c r="N65" s="65">
        <f>IFERROR(VLOOKUP(B:B,'9店辅助表'!B:C,2,FALSE),0)</f>
        <v>0</v>
      </c>
      <c r="O65" s="65">
        <f>IFERROR(VLOOKUP(B:B,'9店辅助表'!E:F,2,FALSE),0)</f>
        <v>0</v>
      </c>
      <c r="P65" s="65">
        <f>IFERROR(VLOOKUP(B:B,'9店辅助表'!H:I,2,FALSE),0)</f>
        <v>4</v>
      </c>
      <c r="Q65" s="65">
        <f>IFERROR(VLOOKUP(B:B,'[1]9店'!$B:$N,13,FALSE),0)</f>
        <v>0</v>
      </c>
      <c r="R65" s="79">
        <f t="shared" si="49"/>
        <v>0</v>
      </c>
      <c r="S65" s="80">
        <f t="shared" si="50"/>
        <v>90</v>
      </c>
      <c r="T65" s="44">
        <f t="shared" si="51"/>
        <v>3</v>
      </c>
      <c r="U65" s="44">
        <f>IFERROR(VLOOKUP(B:B,'[1]9店'!$B:$T,19,0),"-")</f>
        <v>2</v>
      </c>
      <c r="V65" s="81">
        <f t="shared" si="52"/>
        <v>1</v>
      </c>
      <c r="W65" s="82" t="str">
        <f t="shared" si="53"/>
        <v>有库存无销量</v>
      </c>
      <c r="X65" s="83" t="str">
        <f t="shared" si="54"/>
        <v>库存过高</v>
      </c>
      <c r="Y65" s="44">
        <f>IFERROR(SUMIF('9店辅助表'!K:K,B:B,'9店辅助表'!N:N),0)</f>
        <v>2.01</v>
      </c>
      <c r="Z65" s="44">
        <f>IFERROR(SUMIF('9店辅助表'!T:T,B:B,'9店辅助表'!W:W),0)</f>
        <v>4.69</v>
      </c>
      <c r="AA65" s="44">
        <f>IFERROR(SUMIF('9店辅助表'!AC:AC,B:B,'9店辅助表'!AF:AF),0)</f>
        <v>8.69</v>
      </c>
      <c r="AB65" s="91" t="str">
        <f>IFERROR(SUMIF('9店辅助表'!K:K,B:B,'9店辅助表'!N:N)/SUMIF('9店辅助表'!K:K,B:B,'9店辅助表'!O:O),"-")</f>
        <v>-</v>
      </c>
      <c r="AC65" s="91" t="str">
        <f>IFERROR(VLOOKUP(B:B,'[1]9店'!$B:$AB,27,FALSE),"-")</f>
        <v>-</v>
      </c>
      <c r="AD65" s="92" t="str">
        <f t="shared" si="55"/>
        <v>-</v>
      </c>
      <c r="AE65" s="91" t="str">
        <f>IFERROR(SUMIF('9店辅助表'!T:T,B:B,'9店辅助表'!W:W)/SUMIF('9店辅助表'!T:T,B:B,'9店辅助表'!X:X),"-")</f>
        <v>-</v>
      </c>
      <c r="AF65" s="91">
        <f>IFERROR(SUMIF('9店辅助表'!AC:AC,B:B,'9店辅助表'!AF:AF)/SUMIF('9店辅助表'!AC:AC,B:B,'9店辅助表'!AG:AG),"-")</f>
        <v>0.222992045162946</v>
      </c>
      <c r="AG65" s="99">
        <f>IFERROR(AK65/((SUMIF('9店辅助表'!AT:AT,B:B,'9店辅助表'!AU:AU)+M65)/2),"-")</f>
        <v>0</v>
      </c>
      <c r="AH65" s="99">
        <f>IFERROR(AL65/((SUMIF('9店辅助表'!AW:AW,B:B,'9店辅助表'!AX:AX)+M65)/2),"-")</f>
        <v>0</v>
      </c>
      <c r="AI65" s="100" t="str">
        <f>IFERROR((SUMIF('9店辅助表'!AP:AP,B:B,'9店辅助表'!AR:AR)-SUMIF('9店辅助表'!AP:AP,B:B,'9店辅助表'!AR:AR)*0.15-(L65+IFERROR(VLOOKUP(B:B,'9店辅助表'!AZ:BA,2,0),0))*O65-IF(AN:AN="US",6.85,4.9)*(Z65+4.27*O65))/SUMIF('9店辅助表'!AP:AP,B:B,'9店辅助表'!AR:AR),"-")</f>
        <v>-</v>
      </c>
      <c r="AJ65" s="100" t="str">
        <f t="shared" si="56"/>
        <v>-</v>
      </c>
      <c r="AK65" s="101">
        <f t="shared" si="57"/>
        <v>0</v>
      </c>
      <c r="AL65" s="101">
        <f t="shared" si="58"/>
        <v>0</v>
      </c>
      <c r="AM65" s="1" t="str">
        <f>VLOOKUP(B:B,'9店辅助表'!AZ:AZ,1,FALSE)</f>
        <v>Y93153-OR+Y93155+Y93169</v>
      </c>
      <c r="AN65" t="str">
        <f>VLOOKUP(B:B,'9店辅助表'!AZ:BB,3,FALSE)</f>
        <v>US</v>
      </c>
    </row>
    <row r="66" customHeight="1" spans="1:40">
      <c r="A66" s="58" t="str">
        <f>INDEX('[1]9店'!$A:$A,MATCH(B:B,'[1]9店'!$B:$B,0))</f>
        <v>美珠</v>
      </c>
      <c r="B66" s="45" t="s">
        <v>3192</v>
      </c>
      <c r="C66" s="45" t="s">
        <v>3193</v>
      </c>
      <c r="D66" s="59">
        <f>VLOOKUP(B:B,'[1]9店'!$B:$L,3,0)</f>
        <v>45074</v>
      </c>
      <c r="E66" s="45" t="s">
        <v>3194</v>
      </c>
      <c r="F66" s="45">
        <v>0</v>
      </c>
      <c r="G66" s="45">
        <v>0</v>
      </c>
      <c r="H66" s="45">
        <v>0</v>
      </c>
      <c r="I66" s="45">
        <v>0</v>
      </c>
      <c r="J66" s="45">
        <v>0</v>
      </c>
      <c r="K66" s="63">
        <f t="shared" ref="K66:K86" si="59">F66+G66+H66+I66+J66</f>
        <v>0</v>
      </c>
      <c r="L66" s="64">
        <f>IFERROR(VLOOKUP($B:$B,'[1]9店'!$B:$L,11,0),0)</f>
        <v>13.9</v>
      </c>
      <c r="M66" s="44">
        <f t="shared" ref="M66:M86" si="60">K66*L66</f>
        <v>0</v>
      </c>
      <c r="N66" s="65">
        <f>IFERROR(VLOOKUP(B:B,'9店辅助表'!B:C,2,FALSE),0)</f>
        <v>2</v>
      </c>
      <c r="O66" s="65">
        <f>IFERROR(VLOOKUP(B:B,'9店辅助表'!E:F,2,FALSE),0)</f>
        <v>7</v>
      </c>
      <c r="P66" s="65">
        <f>IFERROR(VLOOKUP(B:B,'9店辅助表'!H:I,2,FALSE),0)</f>
        <v>12</v>
      </c>
      <c r="Q66" s="65">
        <f>IFERROR(VLOOKUP(B:B,'[1]9店'!$B:$N,13,FALSE),0)</f>
        <v>5</v>
      </c>
      <c r="R66" s="79">
        <f t="shared" ref="R66:R86" si="61">N66-Q66</f>
        <v>-3</v>
      </c>
      <c r="S66" s="80">
        <f t="shared" ref="S66:S86" si="62">IFERROR(K66/((N66/7+O66/15+P66/30)/3),"-")</f>
        <v>0</v>
      </c>
      <c r="T66" s="44">
        <f t="shared" ref="T66:T86" si="63">IFERROR(S66/30,"-")</f>
        <v>0</v>
      </c>
      <c r="U66" s="44">
        <f>IFERROR(VLOOKUP(B:B,'[1]9店'!$B:$T,19,0),"-")</f>
        <v>0.0583333333333333</v>
      </c>
      <c r="V66" s="81">
        <f t="shared" ref="V66:V86" si="64">IFERROR(T66-U66,"-")</f>
        <v>-0.0583333333333333</v>
      </c>
      <c r="W66" s="82" t="str">
        <f t="shared" ref="W66:W86" si="65">_xlfn.IFS(AND(D66&lt;&gt;0,D66-$AM$2&gt;=0,B66&gt;0,D66&lt;&gt;0),"本月刚到货",AND(IFERROR((K66/(N66/7))/30,"-")="-",K66&gt;0),"有库存无销量",AND(IFERROR((K66/(N66/7))/30,"-")="-",K66=0),"无库存无销量",AND(IFERROR((K66/(N66/7))/30,"-")&lt;=0.5,K66=0),"无库存有销量",IFERROR((K66/(N66/7))/30,"-")&lt;=0.5,"库存过低",IFERROR((K66/(N66/7))/30,"-")&lt;=1.5,"正常",IFERROR((K66/(N66/7))/30,"-")&gt;1.5,"库存过高")</f>
        <v>无库存有销量</v>
      </c>
      <c r="X66" s="83" t="str">
        <f t="shared" ref="X66:X86" si="66">_xlfn.IFS(AND(D66&lt;&gt;0,D66-$AM$2&gt;=0,K66&gt;0,D66&lt;&gt;0),"本月刚到货",AND(T66="-",K66&gt;0),"有库存无销量",AND(T66="-",K66=0),"无库存无销量",AND(T66&lt;=0.5,K66=0),"无库存有销量",T66&lt;=0.5,"库存过低",T66&lt;=1.5,"正常",T66&gt;1.5,"库存过高")</f>
        <v>无库存有销量</v>
      </c>
      <c r="Y66" s="44">
        <f>IFERROR(SUMIF('9店辅助表'!K:K,B:B,'9店辅助表'!N:N),0)</f>
        <v>0.43</v>
      </c>
      <c r="Z66" s="44">
        <f>IFERROR(SUMIF('9店辅助表'!T:T,B:B,'9店辅助表'!W:W),0)</f>
        <v>3.83</v>
      </c>
      <c r="AA66" s="44">
        <f>IFERROR(SUMIF('9店辅助表'!AC:AC,B:B,'9店辅助表'!AF:AF),0)</f>
        <v>9.43</v>
      </c>
      <c r="AB66" s="91">
        <f>IFERROR(SUMIF('9店辅助表'!K:K,B:B,'9店辅助表'!N:N)/SUMIF('9店辅助表'!K:K,B:B,'9店辅助表'!O:O),"-")</f>
        <v>0.0368782161234991</v>
      </c>
      <c r="AC66" s="91">
        <f>IFERROR(VLOOKUP(B:B,'[1]9店'!$B:$AB,27,FALSE),"-")</f>
        <v>0.228637413394919</v>
      </c>
      <c r="AD66" s="92">
        <f t="shared" ref="AD66:AD86" si="67">IFERROR(AB66-AC66,"-")</f>
        <v>-0.19175919727142</v>
      </c>
      <c r="AE66" s="91">
        <f>IFERROR(SUMIF('9店辅助表'!T:T,B:B,'9店辅助表'!W:W)/SUMIF('9店辅助表'!T:T,B:B,'9店辅助表'!X:X),"-")</f>
        <v>0.155375253549696</v>
      </c>
      <c r="AF66" s="91">
        <f>IFERROR(SUMIF('9店辅助表'!AC:AC,B:B,'9店辅助表'!AF:AF)/SUMIF('9店辅助表'!AC:AC,B:B,'9店辅助表'!AG:AG),"-")</f>
        <v>0.148223828984596</v>
      </c>
      <c r="AG66" s="99">
        <f>IFERROR(AK66/((SUMIF('9店辅助表'!AT:AT,B:B,'9店辅助表'!AU:AU)+M66)/2),"-")</f>
        <v>4</v>
      </c>
      <c r="AH66" s="99">
        <f>IFERROR(AL66/((SUMIF('9店辅助表'!AW:AW,B:B,'9店辅助表'!AX:AX)+M66)/2),"-")</f>
        <v>1.27272727272727</v>
      </c>
      <c r="AI66" s="100">
        <f>IFERROR((SUMIF('9店辅助表'!AP:AP,B:B,'9店辅助表'!AR:AR)-SUMIF('9店辅助表'!AP:AP,B:B,'9店辅助表'!AR:AR)*0.15-(L66+IFERROR(VLOOKUP(B:B,'9店辅助表'!AZ:BA,2,0),0))*O66-IF(AN:AN="US",6.85,4.9)*(Z66+4.27*O66))/SUMIF('9店辅助表'!AP:AP,B:B,'9店辅助表'!AR:AR),"-")</f>
        <v>0.233420569446485</v>
      </c>
      <c r="AJ66" s="100">
        <f t="shared" ref="AJ66:AJ86" si="68">IFERROR(AH66*AI66,"-")</f>
        <v>0.297080724750072</v>
      </c>
      <c r="AK66" s="101">
        <f t="shared" ref="AK66:AK86" si="69">N66*$L66</f>
        <v>27.8</v>
      </c>
      <c r="AL66" s="101">
        <f t="shared" ref="AL66:AL86" si="70">O66*$L66</f>
        <v>97.3</v>
      </c>
      <c r="AM66" s="1" t="str">
        <f>VLOOKUP(B:B,'9店辅助表'!AZ:AZ,1,FALSE)</f>
        <v>Y9009-BL-ZH</v>
      </c>
      <c r="AN66" t="str">
        <f>VLOOKUP(B:B,'9店辅助表'!AZ:BB,3,FALSE)</f>
        <v>US</v>
      </c>
    </row>
    <row r="67" customHeight="1" spans="1:40">
      <c r="A67" s="58" t="str">
        <f>INDEX('[1]9店'!$A:$A,MATCH(B:B,'[1]9店'!$B:$B,0))</f>
        <v>美珠</v>
      </c>
      <c r="B67" s="45" t="s">
        <v>3195</v>
      </c>
      <c r="C67" s="45" t="s">
        <v>2523</v>
      </c>
      <c r="D67" s="59">
        <f>VLOOKUP(B:B,'[1]9店'!$B:$L,3,0)</f>
        <v>45074</v>
      </c>
      <c r="E67" s="45" t="s">
        <v>3196</v>
      </c>
      <c r="F67" s="45">
        <v>1</v>
      </c>
      <c r="G67" s="45">
        <v>0</v>
      </c>
      <c r="H67" s="45">
        <v>14</v>
      </c>
      <c r="I67" s="45">
        <v>1</v>
      </c>
      <c r="J67" s="45">
        <v>0</v>
      </c>
      <c r="K67" s="63">
        <f t="shared" si="59"/>
        <v>16</v>
      </c>
      <c r="L67" s="64">
        <f>IFERROR(VLOOKUP($B:$B,'[1]9店'!$B:$L,11,0),0)</f>
        <v>13.9</v>
      </c>
      <c r="M67" s="44">
        <f t="shared" si="60"/>
        <v>222.4</v>
      </c>
      <c r="N67" s="65">
        <f>IFERROR(VLOOKUP(B:B,'9店辅助表'!B:C,2,FALSE),0)</f>
        <v>3</v>
      </c>
      <c r="O67" s="65">
        <f>IFERROR(VLOOKUP(B:B,'9店辅助表'!E:F,2,FALSE),0)</f>
        <v>9</v>
      </c>
      <c r="P67" s="65">
        <f>IFERROR(VLOOKUP(B:B,'9店辅助表'!H:I,2,FALSE),0)</f>
        <v>11</v>
      </c>
      <c r="Q67" s="65">
        <f>IFERROR(VLOOKUP(B:B,'[1]9店'!$B:$N,13,FALSE),0)</f>
        <v>6</v>
      </c>
      <c r="R67" s="79">
        <f t="shared" si="61"/>
        <v>-3</v>
      </c>
      <c r="S67" s="80">
        <f t="shared" si="62"/>
        <v>34.4027303754266</v>
      </c>
      <c r="T67" s="44">
        <f t="shared" si="63"/>
        <v>1.14675767918089</v>
      </c>
      <c r="U67" s="44">
        <f>IFERROR(VLOOKUP(B:B,'[1]9店'!$B:$T,19,0),"-")</f>
        <v>0.290055248618785</v>
      </c>
      <c r="V67" s="81">
        <f t="shared" si="64"/>
        <v>0.856702430562105</v>
      </c>
      <c r="W67" s="82" t="str">
        <f t="shared" si="65"/>
        <v>正常</v>
      </c>
      <c r="X67" s="83" t="str">
        <f t="shared" si="66"/>
        <v>正常</v>
      </c>
      <c r="Y67" s="44">
        <f>IFERROR(SUMIF('9店辅助表'!K:K,B:B,'9店辅助表'!N:N),0)</f>
        <v>2.45</v>
      </c>
      <c r="Z67" s="44">
        <f>IFERROR(SUMIF('9店辅助表'!T:T,B:B,'9店辅助表'!W:W),0)</f>
        <v>9.34</v>
      </c>
      <c r="AA67" s="44">
        <f>IFERROR(SUMIF('9店辅助表'!AC:AC,B:B,'9店辅助表'!AF:AF),0)</f>
        <v>16.74</v>
      </c>
      <c r="AB67" s="91" t="str">
        <f>IFERROR(SUMIF('9店辅助表'!K:K,B:B,'9店辅助表'!N:N)/SUMIF('9店辅助表'!K:K,B:B,'9店辅助表'!O:O),"-")</f>
        <v>-</v>
      </c>
      <c r="AC67" s="91">
        <f>IFERROR(VLOOKUP(B:B,'[1]9店'!$B:$AB,27,FALSE),"-")</f>
        <v>0.587807097361237</v>
      </c>
      <c r="AD67" s="92" t="str">
        <f t="shared" si="67"/>
        <v>-</v>
      </c>
      <c r="AE67" s="91">
        <f>IFERROR(SUMIF('9店辅助表'!T:T,B:B,'9店辅助表'!W:W)/SUMIF('9店辅助表'!T:T,B:B,'9店辅助表'!X:X),"-")</f>
        <v>0.849863512283894</v>
      </c>
      <c r="AF67" s="91">
        <f>IFERROR(SUMIF('9店辅助表'!AC:AC,B:B,'9店辅助表'!AF:AF)/SUMIF('9店辅助表'!AC:AC,B:B,'9店辅助表'!AG:AG),"-")</f>
        <v>0.698081734778982</v>
      </c>
      <c r="AG67" s="99">
        <f>IFERROR(AK67/((SUMIF('9店辅助表'!AT:AT,B:B,'9店辅助表'!AU:AU)+M67)/2),"-")</f>
        <v>0.285714285714286</v>
      </c>
      <c r="AH67" s="99">
        <f>IFERROR(AL67/((SUMIF('9店辅助表'!AW:AW,B:B,'9店辅助表'!AX:AX)+M67)/2),"-")</f>
        <v>1.05882352941176</v>
      </c>
      <c r="AI67" s="100">
        <f>IFERROR((SUMIF('9店辅助表'!AP:AP,B:B,'9店辅助表'!AR:AR)-SUMIF('9店辅助表'!AP:AP,B:B,'9店辅助表'!AR:AR)*0.15-(L67+IFERROR(VLOOKUP(B:B,'9店辅助表'!AZ:BA,2,0),0))*O67-IF(AN:AN="US",6.85,4.9)*(Z67+4.27*O67))/SUMIF('9店辅助表'!AP:AP,B:B,'9店辅助表'!AR:AR),"-")</f>
        <v>0.171420792161147</v>
      </c>
      <c r="AJ67" s="100">
        <f t="shared" si="68"/>
        <v>0.181504368170626</v>
      </c>
      <c r="AK67" s="101">
        <f t="shared" si="69"/>
        <v>41.7</v>
      </c>
      <c r="AL67" s="101">
        <f t="shared" si="70"/>
        <v>125.1</v>
      </c>
      <c r="AM67" s="1" t="str">
        <f>VLOOKUP(B:B,'9店辅助表'!AZ:AZ,1,FALSE)</f>
        <v>Y9009-BU-ZH</v>
      </c>
      <c r="AN67" t="str">
        <f>VLOOKUP(B:B,'9店辅助表'!AZ:BB,3,FALSE)</f>
        <v>US</v>
      </c>
    </row>
    <row r="68" customHeight="1" spans="1:40">
      <c r="A68" s="58" t="str">
        <f>INDEX('[1]9店'!$A:$A,MATCH(B:B,'[1]9店'!$B:$B,0))</f>
        <v>美珠</v>
      </c>
      <c r="B68" s="45" t="s">
        <v>3197</v>
      </c>
      <c r="C68" s="45" t="s">
        <v>2526</v>
      </c>
      <c r="D68" s="59">
        <f>VLOOKUP(B:B,'[1]9店'!$B:$L,3,0)</f>
        <v>45074</v>
      </c>
      <c r="E68" s="45" t="s">
        <v>3198</v>
      </c>
      <c r="F68" s="45">
        <v>0</v>
      </c>
      <c r="G68" s="45">
        <v>1</v>
      </c>
      <c r="H68" s="45">
        <v>0</v>
      </c>
      <c r="I68" s="45">
        <v>0</v>
      </c>
      <c r="J68" s="45">
        <v>0</v>
      </c>
      <c r="K68" s="63">
        <f t="shared" si="59"/>
        <v>1</v>
      </c>
      <c r="L68" s="64">
        <f>IFERROR(VLOOKUP($B:$B,'[1]9店'!$B:$L,11,0),0)</f>
        <v>13.9</v>
      </c>
      <c r="M68" s="44">
        <f t="shared" si="60"/>
        <v>13.9</v>
      </c>
      <c r="N68" s="65">
        <f>IFERROR(VLOOKUP(B:B,'9店辅助表'!B:C,2,FALSE),0)</f>
        <v>2</v>
      </c>
      <c r="O68" s="65">
        <f>IFERROR(VLOOKUP(B:B,'9店辅助表'!E:F,2,FALSE),0)</f>
        <v>3</v>
      </c>
      <c r="P68" s="65">
        <f>IFERROR(VLOOKUP(B:B,'9店辅助表'!H:I,2,FALSE),0)</f>
        <v>6</v>
      </c>
      <c r="Q68" s="65">
        <f>IFERROR(VLOOKUP(B:B,'[1]9店'!$B:$N,13,FALSE),0)</f>
        <v>0</v>
      </c>
      <c r="R68" s="79">
        <f t="shared" si="61"/>
        <v>2</v>
      </c>
      <c r="S68" s="80">
        <f t="shared" si="62"/>
        <v>4.375</v>
      </c>
      <c r="T68" s="44">
        <f t="shared" si="63"/>
        <v>0.145833333333333</v>
      </c>
      <c r="U68" s="44">
        <f>IFERROR(VLOOKUP(B:B,'[1]9店'!$B:$T,19,0),"-")</f>
        <v>0.9</v>
      </c>
      <c r="V68" s="81">
        <f t="shared" si="64"/>
        <v>-0.754166666666667</v>
      </c>
      <c r="W68" s="82" t="str">
        <f t="shared" si="65"/>
        <v>库存过低</v>
      </c>
      <c r="X68" s="83" t="str">
        <f t="shared" si="66"/>
        <v>库存过低</v>
      </c>
      <c r="Y68" s="44">
        <f>IFERROR(SUMIF('9店辅助表'!K:K,B:B,'9店辅助表'!N:N),0)</f>
        <v>2.15</v>
      </c>
      <c r="Z68" s="44">
        <f>IFERROR(SUMIF('9店辅助表'!T:T,B:B,'9店辅助表'!W:W),0)</f>
        <v>7.59</v>
      </c>
      <c r="AA68" s="44">
        <f>IFERROR(SUMIF('9店辅助表'!AC:AC,B:B,'9店辅助表'!AF:AF),0)</f>
        <v>11.17</v>
      </c>
      <c r="AB68" s="91">
        <f>IFERROR(SUMIF('9店辅助表'!K:K,B:B,'9店辅助表'!N:N)/SUMIF('9店辅助表'!K:K,B:B,'9店辅助表'!O:O),"-")</f>
        <v>0.165511932255581</v>
      </c>
      <c r="AC68" s="91">
        <f>IFERROR(VLOOKUP(B:B,'[1]9店'!$B:$AB,27,FALSE),"-")</f>
        <v>0.128560431100847</v>
      </c>
      <c r="AD68" s="92">
        <f t="shared" si="67"/>
        <v>0.036951501154734</v>
      </c>
      <c r="AE68" s="91">
        <f>IFERROR(SUMIF('9店辅助表'!T:T,B:B,'9店辅助表'!W:W)/SUMIF('9店辅助表'!T:T,B:B,'9店辅助表'!X:X),"-")</f>
        <v>0.146073903002309</v>
      </c>
      <c r="AF68" s="91">
        <f>IFERROR(SUMIF('9店辅助表'!AC:AC,B:B,'9店辅助表'!AF:AF)/SUMIF('9店辅助表'!AC:AC,B:B,'9店辅助表'!AG:AG),"-")</f>
        <v>0.122841746398328</v>
      </c>
      <c r="AG68" s="99">
        <f>IFERROR(AK68/((SUMIF('9店辅助表'!AT:AT,B:B,'9店辅助表'!AU:AU)+M68)/2),"-")</f>
        <v>1</v>
      </c>
      <c r="AH68" s="99">
        <f>IFERROR(AL68/((SUMIF('9店辅助表'!AW:AW,B:B,'9店辅助表'!AX:AX)+M68)/2),"-")</f>
        <v>1.2</v>
      </c>
      <c r="AI68" s="100">
        <f>IFERROR((SUMIF('9店辅助表'!AP:AP,B:B,'9店辅助表'!AR:AR)-SUMIF('9店辅助表'!AP:AP,B:B,'9店辅助表'!AR:AR)*0.15-(L68+IFERROR(VLOOKUP(B:B,'9店辅助表'!AZ:BA,2,0),0))*O68-IF(AN:AN="US",6.85,4.9)*(Z68+4.27*O68))/SUMIF('9店辅助表'!AP:AP,B:B,'9店辅助表'!AR:AR),"-")</f>
        <v>0.0956521861285774</v>
      </c>
      <c r="AJ68" s="100">
        <f t="shared" si="68"/>
        <v>0.114782623354293</v>
      </c>
      <c r="AK68" s="101">
        <f t="shared" si="69"/>
        <v>27.8</v>
      </c>
      <c r="AL68" s="101">
        <f t="shared" si="70"/>
        <v>41.7</v>
      </c>
      <c r="AM68" s="1" t="str">
        <f>VLOOKUP(B:B,'9店辅助表'!AZ:AZ,1,FALSE)</f>
        <v>Y9009-DB-ZH</v>
      </c>
      <c r="AN68" t="str">
        <f>VLOOKUP(B:B,'9店辅助表'!AZ:BB,3,FALSE)</f>
        <v>US</v>
      </c>
    </row>
    <row r="69" customHeight="1" spans="1:40">
      <c r="A69" s="58" t="str">
        <f>INDEX('[1]9店'!$A:$A,MATCH(B:B,'[1]9店'!$B:$B,0))</f>
        <v>美珠</v>
      </c>
      <c r="B69" s="45" t="s">
        <v>3199</v>
      </c>
      <c r="C69" s="45" t="s">
        <v>2529</v>
      </c>
      <c r="D69" s="59">
        <f>VLOOKUP(B:B,'[1]9店'!$B:$L,3,0)</f>
        <v>45074</v>
      </c>
      <c r="E69" s="45" t="s">
        <v>3200</v>
      </c>
      <c r="F69" s="45">
        <v>1</v>
      </c>
      <c r="G69" s="45">
        <v>0</v>
      </c>
      <c r="H69" s="45">
        <v>0</v>
      </c>
      <c r="I69" s="45">
        <v>0</v>
      </c>
      <c r="J69" s="45">
        <v>0</v>
      </c>
      <c r="K69" s="63">
        <f t="shared" si="59"/>
        <v>1</v>
      </c>
      <c r="L69" s="64">
        <f>IFERROR(VLOOKUP($B:$B,'[1]9店'!$B:$L,11,0),0)</f>
        <v>13.9</v>
      </c>
      <c r="M69" s="44">
        <f t="shared" si="60"/>
        <v>13.9</v>
      </c>
      <c r="N69" s="65">
        <f>IFERROR(VLOOKUP(B:B,'9店辅助表'!B:C,2,FALSE),0)</f>
        <v>1</v>
      </c>
      <c r="O69" s="65">
        <f>IFERROR(VLOOKUP(B:B,'9店辅助表'!E:F,2,FALSE),0)</f>
        <v>2</v>
      </c>
      <c r="P69" s="65">
        <f>IFERROR(VLOOKUP(B:B,'9店辅助表'!H:I,2,FALSE),0)</f>
        <v>5</v>
      </c>
      <c r="Q69" s="65">
        <f>IFERROR(VLOOKUP(B:B,'[1]9店'!$B:$N,13,FALSE),0)</f>
        <v>1</v>
      </c>
      <c r="R69" s="79">
        <f t="shared" si="61"/>
        <v>0</v>
      </c>
      <c r="S69" s="80">
        <f t="shared" si="62"/>
        <v>6.7741935483871</v>
      </c>
      <c r="T69" s="44">
        <f t="shared" si="63"/>
        <v>0.225806451612903</v>
      </c>
      <c r="U69" s="44">
        <f>IFERROR(VLOOKUP(B:B,'[1]9店'!$B:$T,19,0),"-")</f>
        <v>0.42</v>
      </c>
      <c r="V69" s="81">
        <f t="shared" si="64"/>
        <v>-0.194193548387097</v>
      </c>
      <c r="W69" s="82" t="str">
        <f t="shared" si="65"/>
        <v>库存过低</v>
      </c>
      <c r="X69" s="83" t="str">
        <f t="shared" si="66"/>
        <v>库存过低</v>
      </c>
      <c r="Y69" s="44">
        <f>IFERROR(SUMIF('9店辅助表'!K:K,B:B,'9店辅助表'!N:N),0)</f>
        <v>6.02</v>
      </c>
      <c r="Z69" s="44">
        <f>IFERROR(SUMIF('9店辅助表'!T:T,B:B,'9店辅助表'!W:W),0)</f>
        <v>14.12</v>
      </c>
      <c r="AA69" s="44">
        <f>IFERROR(SUMIF('9店辅助表'!AC:AC,B:B,'9店辅助表'!AF:AF),0)</f>
        <v>24.14</v>
      </c>
      <c r="AB69" s="91">
        <f>IFERROR(SUMIF('9店辅助表'!K:K,B:B,'9店辅助表'!N:N)/SUMIF('9店辅助表'!K:K,B:B,'9店辅助表'!O:O),"-")</f>
        <v>0.463433410315627</v>
      </c>
      <c r="AC69" s="91">
        <f>IFERROR(VLOOKUP(B:B,'[1]9店'!$B:$AB,27,FALSE),"-")</f>
        <v>0.331210191082803</v>
      </c>
      <c r="AD69" s="92">
        <f t="shared" si="67"/>
        <v>0.132223219232824</v>
      </c>
      <c r="AE69" s="91">
        <f>IFERROR(SUMIF('9店辅助表'!T:T,B:B,'9店辅助表'!W:W)/SUMIF('9店辅助表'!T:T,B:B,'9店辅助表'!X:X),"-")</f>
        <v>0.29441201000834</v>
      </c>
      <c r="AF69" s="91">
        <f>IFERROR(SUMIF('9店辅助表'!AC:AC,B:B,'9店辅助表'!AF:AF)/SUMIF('9店辅助表'!AC:AC,B:B,'9店辅助表'!AG:AG),"-")</f>
        <v>0.277694696882549</v>
      </c>
      <c r="AG69" s="99">
        <f>IFERROR(AK69/((SUMIF('9店辅助表'!AT:AT,B:B,'9店辅助表'!AU:AU)+M69)/2),"-")</f>
        <v>0.666666666666667</v>
      </c>
      <c r="AH69" s="99">
        <f>IFERROR(AL69/((SUMIF('9店辅助表'!AW:AW,B:B,'9店辅助表'!AX:AX)+M69)/2),"-")</f>
        <v>0.5</v>
      </c>
      <c r="AI69" s="100">
        <f>IFERROR((SUMIF('9店辅助表'!AP:AP,B:B,'9店辅助表'!AR:AR)-SUMIF('9店辅助表'!AP:AP,B:B,'9店辅助表'!AR:AR)*0.15-(L69+IFERROR(VLOOKUP(B:B,'9店辅助表'!AZ:BA,2,0),0))*O69-IF(AN:AN="US",6.85,4.9)*(Z69+4.27*O69))/SUMIF('9店辅助表'!AP:AP,B:B,'9店辅助表'!AR:AR),"-")</f>
        <v>-0.253077606019229</v>
      </c>
      <c r="AJ69" s="100">
        <f t="shared" si="68"/>
        <v>-0.126538803009614</v>
      </c>
      <c r="AK69" s="101">
        <f t="shared" si="69"/>
        <v>13.9</v>
      </c>
      <c r="AL69" s="101">
        <f t="shared" si="70"/>
        <v>27.8</v>
      </c>
      <c r="AM69" s="1" t="str">
        <f>VLOOKUP(B:B,'9店辅助表'!AZ:AZ,1,FALSE)</f>
        <v>Y9009-OR-ZH</v>
      </c>
      <c r="AN69" t="str">
        <f>VLOOKUP(B:B,'9店辅助表'!AZ:BB,3,FALSE)</f>
        <v>US</v>
      </c>
    </row>
    <row r="70" customHeight="1" spans="1:40">
      <c r="A70" s="58" t="str">
        <f>INDEX('[1]9店'!$A:$A,MATCH(B:B,'[1]9店'!$B:$B,0))</f>
        <v>美珠</v>
      </c>
      <c r="B70" s="45" t="s">
        <v>3201</v>
      </c>
      <c r="C70" s="45" t="s">
        <v>50</v>
      </c>
      <c r="D70" s="59">
        <f>VLOOKUP(B:B,'[1]9店'!$B:$L,3,0)</f>
        <v>45086</v>
      </c>
      <c r="E70" s="45" t="s">
        <v>3202</v>
      </c>
      <c r="F70" s="45">
        <v>8</v>
      </c>
      <c r="G70" s="45">
        <v>0</v>
      </c>
      <c r="H70" s="45">
        <v>0</v>
      </c>
      <c r="I70" s="45">
        <v>0</v>
      </c>
      <c r="J70" s="45">
        <v>0</v>
      </c>
      <c r="K70" s="63">
        <f t="shared" si="59"/>
        <v>8</v>
      </c>
      <c r="L70" s="64">
        <f>IFERROR(VLOOKUP($B:$B,'[1]9店'!$B:$L,11,0),0)</f>
        <v>13.9</v>
      </c>
      <c r="M70" s="44">
        <f t="shared" si="60"/>
        <v>111.2</v>
      </c>
      <c r="N70" s="65">
        <f>IFERROR(VLOOKUP(B:B,'9店辅助表'!B:C,2,FALSE),0)</f>
        <v>3</v>
      </c>
      <c r="O70" s="65">
        <f>IFERROR(VLOOKUP(B:B,'9店辅助表'!E:F,2,FALSE),0)</f>
        <v>5</v>
      </c>
      <c r="P70" s="65">
        <f>IFERROR(VLOOKUP(B:B,'9店辅助表'!H:I,2,FALSE),0)</f>
        <v>7</v>
      </c>
      <c r="Q70" s="65">
        <f>IFERROR(VLOOKUP(B:B,'[1]9店'!$B:$N,13,FALSE),0)</f>
        <v>2</v>
      </c>
      <c r="R70" s="79">
        <f t="shared" si="61"/>
        <v>1</v>
      </c>
      <c r="S70" s="80">
        <f t="shared" si="62"/>
        <v>24.1148325358852</v>
      </c>
      <c r="T70" s="44">
        <f t="shared" si="63"/>
        <v>0.803827751196172</v>
      </c>
      <c r="U70" s="44">
        <f>IFERROR(VLOOKUP(B:B,'[1]9店'!$B:$T,19,0),"-")</f>
        <v>1.83941605839416</v>
      </c>
      <c r="V70" s="81">
        <f t="shared" si="64"/>
        <v>-1.03558830719799</v>
      </c>
      <c r="W70" s="82" t="str">
        <f t="shared" si="65"/>
        <v>正常</v>
      </c>
      <c r="X70" s="83" t="str">
        <f t="shared" si="66"/>
        <v>正常</v>
      </c>
      <c r="Y70" s="44">
        <f>IFERROR(SUMIF('9店辅助表'!K:K,B:B,'9店辅助表'!N:N),0)</f>
        <v>1.8</v>
      </c>
      <c r="Z70" s="44">
        <f>IFERROR(SUMIF('9店辅助表'!T:T,B:B,'9店辅助表'!W:W),0)</f>
        <v>3.7</v>
      </c>
      <c r="AA70" s="44">
        <f>IFERROR(SUMIF('9店辅助表'!AC:AC,B:B,'9店辅助表'!AF:AF),0)</f>
        <v>7.24</v>
      </c>
      <c r="AB70" s="91">
        <f>IFERROR(SUMIF('9店辅助表'!K:K,B:B,'9店辅助表'!N:N)/SUMIF('9店辅助表'!K:K,B:B,'9店辅助表'!O:O),"-")</f>
        <v>0.138568129330254</v>
      </c>
      <c r="AC70" s="91" t="str">
        <f>IFERROR(VLOOKUP(B:B,'[1]9店'!$B:$AB,27,FALSE),"-")</f>
        <v>-</v>
      </c>
      <c r="AD70" s="92" t="str">
        <f t="shared" si="67"/>
        <v>-</v>
      </c>
      <c r="AE70" s="91">
        <f>IFERROR(SUMIF('9店辅助表'!T:T,B:B,'9店辅助表'!W:W)/SUMIF('9店辅助表'!T:T,B:B,'9店辅助表'!X:X),"-")</f>
        <v>0.284834488067744</v>
      </c>
      <c r="AF70" s="91">
        <f>IFERROR(SUMIF('9店辅助表'!AC:AC,B:B,'9店辅助表'!AF:AF)/SUMIF('9店辅助表'!AC:AC,B:B,'9店辅助表'!AG:AG),"-")</f>
        <v>0.278675904541955</v>
      </c>
      <c r="AG70" s="99">
        <f>IFERROR(AK70/((SUMIF('9店辅助表'!AT:AT,B:B,'9店辅助表'!AU:AU)+M70)/2),"-")</f>
        <v>0.3</v>
      </c>
      <c r="AH70" s="99">
        <f>IFERROR(AL70/((SUMIF('9店辅助表'!AW:AW,B:B,'9店辅助表'!AX:AX)+M70)/2),"-")</f>
        <v>0.434782608695652</v>
      </c>
      <c r="AI70" s="100">
        <f>IFERROR((SUMIF('9店辅助表'!AP:AP,B:B,'9店辅助表'!AR:AR)-SUMIF('9店辅助表'!AP:AP,B:B,'9店辅助表'!AR:AR)*0.15-(L70+IFERROR(VLOOKUP(B:B,'9店辅助表'!AZ:BA,2,0),0))*O70-IF(AN:AN="US",6.85,4.9)*(Z70+4.27*O70))/SUMIF('9店辅助表'!AP:AP,B:B,'9店辅助表'!AR:AR),"-")</f>
        <v>0.212482099685186</v>
      </c>
      <c r="AJ70" s="100">
        <f t="shared" si="68"/>
        <v>0.0923835216022549</v>
      </c>
      <c r="AK70" s="101">
        <f t="shared" si="69"/>
        <v>41.7</v>
      </c>
      <c r="AL70" s="101">
        <f t="shared" si="70"/>
        <v>69.5</v>
      </c>
      <c r="AM70" s="1" t="str">
        <f>VLOOKUP(B:B,'9店辅助表'!AZ:AZ,1,FALSE)</f>
        <v>Y92000-BL+Y92013+Y92749</v>
      </c>
      <c r="AN70" t="str">
        <f>VLOOKUP(B:B,'9店辅助表'!AZ:BB,3,FALSE)</f>
        <v>US</v>
      </c>
    </row>
    <row r="71" customHeight="1" spans="1:40">
      <c r="A71" s="58" t="str">
        <f>INDEX('[1]9店'!$A:$A,MATCH(B:B,'[1]9店'!$B:$B,0))</f>
        <v>美珠</v>
      </c>
      <c r="B71" s="45" t="s">
        <v>3203</v>
      </c>
      <c r="C71" s="45" t="s">
        <v>2431</v>
      </c>
      <c r="D71" s="59">
        <f>VLOOKUP(B:B,'[1]9店'!$B:$L,3,0)</f>
        <v>45086</v>
      </c>
      <c r="E71" s="45" t="s">
        <v>3204</v>
      </c>
      <c r="F71" s="45">
        <v>4</v>
      </c>
      <c r="G71" s="45">
        <v>0</v>
      </c>
      <c r="H71" s="45">
        <v>0</v>
      </c>
      <c r="I71" s="45">
        <v>0</v>
      </c>
      <c r="J71" s="45">
        <v>0</v>
      </c>
      <c r="K71" s="63">
        <f t="shared" si="59"/>
        <v>4</v>
      </c>
      <c r="L71" s="64">
        <f>IFERROR(VLOOKUP($B:$B,'[1]9店'!$B:$L,11,0),0)</f>
        <v>13.9</v>
      </c>
      <c r="M71" s="44">
        <f t="shared" si="60"/>
        <v>55.6</v>
      </c>
      <c r="N71" s="65">
        <f>IFERROR(VLOOKUP(B:B,'9店辅助表'!B:C,2,FALSE),0)</f>
        <v>0</v>
      </c>
      <c r="O71" s="65">
        <f>IFERROR(VLOOKUP(B:B,'9店辅助表'!E:F,2,FALSE),0)</f>
        <v>2</v>
      </c>
      <c r="P71" s="65">
        <f>IFERROR(VLOOKUP(B:B,'9店辅助表'!H:I,2,FALSE),0)</f>
        <v>7</v>
      </c>
      <c r="Q71" s="65">
        <f>IFERROR(VLOOKUP(B:B,'[1]9店'!$B:$N,13,FALSE),0)</f>
        <v>2</v>
      </c>
      <c r="R71" s="79">
        <f t="shared" si="61"/>
        <v>-2</v>
      </c>
      <c r="S71" s="80">
        <f t="shared" si="62"/>
        <v>32.7272727272727</v>
      </c>
      <c r="T71" s="44">
        <f t="shared" si="63"/>
        <v>1.09090909090909</v>
      </c>
      <c r="U71" s="44">
        <f>IFERROR(VLOOKUP(B:B,'[1]9店'!$B:$T,19,0),"-")</f>
        <v>0.695364238410596</v>
      </c>
      <c r="V71" s="81">
        <f t="shared" si="64"/>
        <v>0.395544852498494</v>
      </c>
      <c r="W71" s="82" t="str">
        <f t="shared" si="65"/>
        <v>有库存无销量</v>
      </c>
      <c r="X71" s="83" t="str">
        <f t="shared" si="66"/>
        <v>正常</v>
      </c>
      <c r="Y71" s="44">
        <f>IFERROR(SUMIF('9店辅助表'!K:K,B:B,'9店辅助表'!N:N),0)</f>
        <v>5.49</v>
      </c>
      <c r="Z71" s="44">
        <f>IFERROR(SUMIF('9店辅助表'!T:T,B:B,'9店辅助表'!W:W),0)</f>
        <v>11.06</v>
      </c>
      <c r="AA71" s="44">
        <f>IFERROR(SUMIF('9店辅助表'!AC:AC,B:B,'9店辅助表'!AF:AF),0)</f>
        <v>23.62</v>
      </c>
      <c r="AB71" s="91">
        <f>IFERROR(SUMIF('9店辅助表'!K:K,B:B,'9店辅助表'!N:N)/SUMIF('9店辅助表'!K:K,B:B,'9店辅助表'!O:O),"-")</f>
        <v>0.422632794457275</v>
      </c>
      <c r="AC71" s="91">
        <f>IFERROR(VLOOKUP(B:B,'[1]9店'!$B:$AB,27,FALSE),"-")</f>
        <v>0.417652411282985</v>
      </c>
      <c r="AD71" s="92">
        <f t="shared" si="67"/>
        <v>0.00498038317428995</v>
      </c>
      <c r="AE71" s="91">
        <f>IFERROR(SUMIF('9店辅助表'!T:T,B:B,'9店辅助表'!W:W)/SUMIF('9店辅助表'!T:T,B:B,'9店辅助表'!X:X),"-")</f>
        <v>0.461217681401168</v>
      </c>
      <c r="AF71" s="91">
        <f>IFERROR(SUMIF('9店辅助表'!AC:AC,B:B,'9店辅助表'!AF:AF)/SUMIF('9店辅助表'!AC:AC,B:B,'9店辅助表'!AG:AG),"-")</f>
        <v>0.265602159001462</v>
      </c>
      <c r="AG71" s="99">
        <f>IFERROR(AK71/((SUMIF('9店辅助表'!AT:AT,B:B,'9店辅助表'!AU:AU)+M71)/2),"-")</f>
        <v>0</v>
      </c>
      <c r="AH71" s="99">
        <f>IFERROR(AL71/((SUMIF('9店辅助表'!AW:AW,B:B,'9店辅助表'!AX:AX)+M71)/2),"-")</f>
        <v>0.25</v>
      </c>
      <c r="AI71" s="100">
        <f>IFERROR((SUMIF('9店辅助表'!AP:AP,B:B,'9店辅助表'!AR:AR)-SUMIF('9店辅助表'!AP:AP,B:B,'9店辅助表'!AR:AR)*0.15-(L71+IFERROR(VLOOKUP(B:B,'9店辅助表'!AZ:BA,2,0),0))*O71-IF(AN:AN="US",6.85,4.9)*(Z71+4.27*O71))/SUMIF('9店辅助表'!AP:AP,B:B,'9店辅助表'!AR:AR),"-")</f>
        <v>-0.218712978577038</v>
      </c>
      <c r="AJ71" s="100">
        <f t="shared" si="68"/>
        <v>-0.0546782446442595</v>
      </c>
      <c r="AK71" s="101">
        <f t="shared" si="69"/>
        <v>0</v>
      </c>
      <c r="AL71" s="101">
        <f t="shared" si="70"/>
        <v>27.8</v>
      </c>
      <c r="AM71" s="1" t="str">
        <f>VLOOKUP(B:B,'9店辅助表'!AZ:AZ,1,FALSE)</f>
        <v>Y92000-DB+Y92013+Y92749</v>
      </c>
      <c r="AN71" t="str">
        <f>VLOOKUP(B:B,'9店辅助表'!AZ:BB,3,FALSE)</f>
        <v>US</v>
      </c>
    </row>
    <row r="72" customHeight="1" spans="1:40">
      <c r="A72" s="58" t="str">
        <f>INDEX('[1]9店'!$A:$A,MATCH(B:B,'[1]9店'!$B:$B,0))</f>
        <v>美珠</v>
      </c>
      <c r="B72" s="45" t="s">
        <v>3205</v>
      </c>
      <c r="C72" s="45" t="s">
        <v>2434</v>
      </c>
      <c r="D72" s="59">
        <f>VLOOKUP(B:B,'[1]9店'!$B:$L,3,0)</f>
        <v>45086</v>
      </c>
      <c r="E72" s="45" t="s">
        <v>3206</v>
      </c>
      <c r="F72" s="45">
        <v>3</v>
      </c>
      <c r="G72" s="45">
        <v>0</v>
      </c>
      <c r="H72" s="45">
        <v>14</v>
      </c>
      <c r="I72" s="45">
        <v>0</v>
      </c>
      <c r="J72" s="45">
        <v>0</v>
      </c>
      <c r="K72" s="63">
        <f t="shared" si="59"/>
        <v>17</v>
      </c>
      <c r="L72" s="64">
        <f>IFERROR(VLOOKUP($B:$B,'[1]9店'!$B:$L,11,0),0)</f>
        <v>13.9</v>
      </c>
      <c r="M72" s="44">
        <f t="shared" si="60"/>
        <v>236.3</v>
      </c>
      <c r="N72" s="65">
        <f>IFERROR(VLOOKUP(B:B,'9店辅助表'!B:C,2,FALSE),0)</f>
        <v>0</v>
      </c>
      <c r="O72" s="65">
        <f>IFERROR(VLOOKUP(B:B,'9店辅助表'!E:F,2,FALSE),0)</f>
        <v>4</v>
      </c>
      <c r="P72" s="65">
        <f>IFERROR(VLOOKUP(B:B,'9店辅助表'!H:I,2,FALSE),0)</f>
        <v>6</v>
      </c>
      <c r="Q72" s="65">
        <f>IFERROR(VLOOKUP(B:B,'[1]9店'!$B:$N,13,FALSE),0)</f>
        <v>3</v>
      </c>
      <c r="R72" s="79">
        <f t="shared" si="61"/>
        <v>-3</v>
      </c>
      <c r="S72" s="80">
        <f t="shared" si="62"/>
        <v>109.285714285714</v>
      </c>
      <c r="T72" s="44">
        <f t="shared" si="63"/>
        <v>3.64285714285714</v>
      </c>
      <c r="U72" s="44">
        <f>IFERROR(VLOOKUP(B:B,'[1]9店'!$B:$T,19,0),"-")</f>
        <v>0.194444444444444</v>
      </c>
      <c r="V72" s="81">
        <f t="shared" si="64"/>
        <v>3.4484126984127</v>
      </c>
      <c r="W72" s="82" t="str">
        <f t="shared" si="65"/>
        <v>有库存无销量</v>
      </c>
      <c r="X72" s="83" t="str">
        <f t="shared" si="66"/>
        <v>库存过高</v>
      </c>
      <c r="Y72" s="44">
        <f>IFERROR(SUMIF('9店辅助表'!K:K,B:B,'9店辅助表'!N:N),0)</f>
        <v>6.09</v>
      </c>
      <c r="Z72" s="44">
        <f>IFERROR(SUMIF('9店辅助表'!T:T,B:B,'9店辅助表'!W:W),0)</f>
        <v>14.08</v>
      </c>
      <c r="AA72" s="44">
        <f>IFERROR(SUMIF('9店辅助表'!AC:AC,B:B,'9店辅助表'!AF:AF),0)</f>
        <v>21.52</v>
      </c>
      <c r="AB72" s="91" t="str">
        <f>IFERROR(SUMIF('9店辅助表'!K:K,B:B,'9店辅助表'!N:N)/SUMIF('9店辅助表'!K:K,B:B,'9店辅助表'!O:O),"-")</f>
        <v>-</v>
      </c>
      <c r="AC72" s="91">
        <f>IFERROR(VLOOKUP(B:B,'[1]9店'!$B:$AB,27,FALSE),"-")</f>
        <v>0.19421152285637</v>
      </c>
      <c r="AD72" s="92" t="str">
        <f t="shared" si="67"/>
        <v>-</v>
      </c>
      <c r="AE72" s="91">
        <f>IFERROR(SUMIF('9店辅助表'!T:T,B:B,'9店辅助表'!W:W)/SUMIF('9店辅助表'!T:T,B:B,'9店辅助表'!X:X),"-")</f>
        <v>0.281825460368295</v>
      </c>
      <c r="AF72" s="91">
        <f>IFERROR(SUMIF('9店辅助表'!AC:AC,B:B,'9店辅助表'!AF:AF)/SUMIF('9店辅助表'!AC:AC,B:B,'9店辅助表'!AG:AG),"-")</f>
        <v>0.283381617066105</v>
      </c>
      <c r="AG72" s="99">
        <f>IFERROR(AK72/((SUMIF('9店辅助表'!AT:AT,B:B,'9店辅助表'!AU:AU)+M72)/2),"-")</f>
        <v>0</v>
      </c>
      <c r="AH72" s="99">
        <f>IFERROR(AL72/((SUMIF('9店辅助表'!AW:AW,B:B,'9店辅助表'!AX:AX)+M72)/2),"-")</f>
        <v>0.32</v>
      </c>
      <c r="AI72" s="100">
        <f>IFERROR((SUMIF('9店辅助表'!AP:AP,B:B,'9店辅助表'!AR:AR)-SUMIF('9店辅助表'!AP:AP,B:B,'9店辅助表'!AR:AR)*0.15-(L72+IFERROR(VLOOKUP(B:B,'9店辅助表'!AZ:BA,2,0),0))*O72-IF(AN:AN="US",6.85,4.9)*(Z72+4.27*O72))/SUMIF('9店辅助表'!AP:AP,B:B,'9店辅助表'!AR:AR),"-")</f>
        <v>-0.0151768129832331</v>
      </c>
      <c r="AJ72" s="100">
        <f t="shared" si="68"/>
        <v>-0.00485658015463459</v>
      </c>
      <c r="AK72" s="101">
        <f t="shared" si="69"/>
        <v>0</v>
      </c>
      <c r="AL72" s="101">
        <f t="shared" si="70"/>
        <v>55.6</v>
      </c>
      <c r="AM72" s="1" t="str">
        <f>VLOOKUP(B:B,'9店辅助表'!AZ:AZ,1,FALSE)</f>
        <v>Y92000-OR+Y92013+Y92749</v>
      </c>
      <c r="AN72" t="str">
        <f>VLOOKUP(B:B,'9店辅助表'!AZ:BB,3,FALSE)</f>
        <v>US</v>
      </c>
    </row>
    <row r="73" customHeight="1" spans="1:40">
      <c r="A73" s="58" t="str">
        <f>INDEX('[1]9店'!$A:$A,MATCH(B:B,'[1]9店'!$B:$B,0))</f>
        <v>美珠</v>
      </c>
      <c r="B73" s="45" t="s">
        <v>3207</v>
      </c>
      <c r="C73" s="45" t="s">
        <v>2452</v>
      </c>
      <c r="D73" s="59">
        <f>VLOOKUP(B:B,'[1]9店'!$B:$L,3,0)</f>
        <v>45074</v>
      </c>
      <c r="E73" s="45" t="s">
        <v>3208</v>
      </c>
      <c r="F73" s="45">
        <v>3</v>
      </c>
      <c r="G73" s="45">
        <v>0</v>
      </c>
      <c r="H73" s="45">
        <v>0</v>
      </c>
      <c r="I73" s="45">
        <v>0</v>
      </c>
      <c r="J73" s="45">
        <v>0</v>
      </c>
      <c r="K73" s="63">
        <f t="shared" si="59"/>
        <v>3</v>
      </c>
      <c r="L73" s="64">
        <f>IFERROR(VLOOKUP($B:$B,'[1]9店'!$B:$L,11,0),0)</f>
        <v>13.9</v>
      </c>
      <c r="M73" s="44">
        <f t="shared" si="60"/>
        <v>41.7</v>
      </c>
      <c r="N73" s="65">
        <f>IFERROR(VLOOKUP(B:B,'9店辅助表'!B:C,2,FALSE),0)</f>
        <v>1</v>
      </c>
      <c r="O73" s="65">
        <f>IFERROR(VLOOKUP(B:B,'9店辅助表'!E:F,2,FALSE),0)</f>
        <v>3</v>
      </c>
      <c r="P73" s="65">
        <f>IFERROR(VLOOKUP(B:B,'9店辅助表'!H:I,2,FALSE),0)</f>
        <v>8</v>
      </c>
      <c r="Q73" s="65">
        <f>IFERROR(VLOOKUP(B:B,'[1]9店'!$B:$N,13,FALSE),0)</f>
        <v>2</v>
      </c>
      <c r="R73" s="79">
        <f t="shared" si="61"/>
        <v>-1</v>
      </c>
      <c r="S73" s="80">
        <f t="shared" si="62"/>
        <v>14.765625</v>
      </c>
      <c r="T73" s="44">
        <f t="shared" si="63"/>
        <v>0.4921875</v>
      </c>
      <c r="U73" s="44">
        <f>IFERROR(VLOOKUP(B:B,'[1]9店'!$B:$T,19,0),"-")</f>
        <v>0.636363636363636</v>
      </c>
      <c r="V73" s="81">
        <f t="shared" si="64"/>
        <v>-0.144176136363636</v>
      </c>
      <c r="W73" s="82" t="str">
        <f t="shared" si="65"/>
        <v>正常</v>
      </c>
      <c r="X73" s="83" t="str">
        <f t="shared" si="66"/>
        <v>库存过低</v>
      </c>
      <c r="Y73" s="44">
        <f>IFERROR(SUMIF('9店辅助表'!K:K,B:B,'9店辅助表'!N:N),0)</f>
        <v>1.26</v>
      </c>
      <c r="Z73" s="44">
        <f>IFERROR(SUMIF('9店辅助表'!T:T,B:B,'9店辅助表'!W:W),0)</f>
        <v>3.04</v>
      </c>
      <c r="AA73" s="44">
        <f>IFERROR(SUMIF('9店辅助表'!AC:AC,B:B,'9店辅助表'!AF:AF),0)</f>
        <v>4.76</v>
      </c>
      <c r="AB73" s="91" t="str">
        <f>IFERROR(SUMIF('9店辅助表'!K:K,B:B,'9店辅助表'!N:N)/SUMIF('9店辅助表'!K:K,B:B,'9店辅助表'!O:O),"-")</f>
        <v>-</v>
      </c>
      <c r="AC73" s="91" t="str">
        <f>IFERROR(VLOOKUP(B:B,'[1]9店'!$B:$AB,27,FALSE),"-")</f>
        <v>-</v>
      </c>
      <c r="AD73" s="92" t="str">
        <f t="shared" si="67"/>
        <v>-</v>
      </c>
      <c r="AE73" s="91" t="str">
        <f>IFERROR(SUMIF('9店辅助表'!T:T,B:B,'9店辅助表'!W:W)/SUMIF('9店辅助表'!T:T,B:B,'9店辅助表'!X:X),"-")</f>
        <v>-</v>
      </c>
      <c r="AF73" s="91">
        <f>IFERROR(SUMIF('9店辅助表'!AC:AC,B:B,'9店辅助表'!AF:AF)/SUMIF('9店辅助表'!AC:AC,B:B,'9店辅助表'!AG:AG),"-")</f>
        <v>0.183217859892225</v>
      </c>
      <c r="AG73" s="99">
        <f>IFERROR(AK73/((SUMIF('9店辅助表'!AT:AT,B:B,'9店辅助表'!AU:AU)+M73)/2),"-")</f>
        <v>0.25</v>
      </c>
      <c r="AH73" s="99">
        <f>IFERROR(AL73/((SUMIF('9店辅助表'!AW:AW,B:B,'9店辅助表'!AX:AX)+M73)/2),"-")</f>
        <v>0.461538461538462</v>
      </c>
      <c r="AI73" s="100">
        <f>IFERROR((SUMIF('9店辅助表'!AP:AP,B:B,'9店辅助表'!AR:AR)-SUMIF('9店辅助表'!AP:AP,B:B,'9店辅助表'!AR:AR)*0.15-(L73+IFERROR(VLOOKUP(B:B,'9店辅助表'!AZ:BA,2,0),0))*O73-IF(AN:AN="US",6.85,4.9)*(Z73+4.27*O73))/SUMIF('9店辅助表'!AP:AP,B:B,'9店辅助表'!AR:AR),"-")</f>
        <v>0.176530289897708</v>
      </c>
      <c r="AJ73" s="100">
        <f t="shared" si="68"/>
        <v>0.0814755184143266</v>
      </c>
      <c r="AK73" s="101">
        <f t="shared" si="69"/>
        <v>13.9</v>
      </c>
      <c r="AL73" s="101">
        <f t="shared" si="70"/>
        <v>41.7</v>
      </c>
      <c r="AM73" s="1" t="str">
        <f>VLOOKUP(B:B,'9店辅助表'!AZ:AZ,1,FALSE)</f>
        <v>Y93135-BL+Y93138+Y93269-1</v>
      </c>
      <c r="AN73" t="str">
        <f>VLOOKUP(B:B,'9店辅助表'!AZ:BB,3,FALSE)</f>
        <v>US</v>
      </c>
    </row>
    <row r="74" customHeight="1" spans="1:40">
      <c r="A74" s="58" t="str">
        <f>INDEX('[1]9店'!$A:$A,MATCH(B:B,'[1]9店'!$B:$B,0))</f>
        <v>美珠</v>
      </c>
      <c r="B74" s="45" t="s">
        <v>3209</v>
      </c>
      <c r="C74" s="45" t="s">
        <v>2455</v>
      </c>
      <c r="D74" s="59">
        <f>VLOOKUP(B:B,'[1]9店'!$B:$L,3,0)</f>
        <v>45074</v>
      </c>
      <c r="E74" s="45" t="s">
        <v>3210</v>
      </c>
      <c r="F74" s="45">
        <v>1</v>
      </c>
      <c r="G74" s="45">
        <v>0</v>
      </c>
      <c r="H74" s="45">
        <v>9</v>
      </c>
      <c r="I74" s="45">
        <v>0</v>
      </c>
      <c r="J74" s="45">
        <v>0</v>
      </c>
      <c r="K74" s="63">
        <f t="shared" si="59"/>
        <v>10</v>
      </c>
      <c r="L74" s="64">
        <f>IFERROR(VLOOKUP($B:$B,'[1]9店'!$B:$L,11,0),0)</f>
        <v>13.9</v>
      </c>
      <c r="M74" s="44">
        <f t="shared" si="60"/>
        <v>139</v>
      </c>
      <c r="N74" s="65">
        <f>IFERROR(VLOOKUP(B:B,'9店辅助表'!B:C,2,FALSE),0)</f>
        <v>2</v>
      </c>
      <c r="O74" s="65">
        <f>IFERROR(VLOOKUP(B:B,'9店辅助表'!E:F,2,FALSE),0)</f>
        <v>2</v>
      </c>
      <c r="P74" s="65">
        <f>IFERROR(VLOOKUP(B:B,'9店辅助表'!H:I,2,FALSE),0)</f>
        <v>5</v>
      </c>
      <c r="Q74" s="65">
        <f>IFERROR(VLOOKUP(B:B,'[1]9店'!$B:$N,13,FALSE),0)</f>
        <v>0</v>
      </c>
      <c r="R74" s="79">
        <f t="shared" si="61"/>
        <v>2</v>
      </c>
      <c r="S74" s="80">
        <f t="shared" si="62"/>
        <v>51.219512195122</v>
      </c>
      <c r="T74" s="44">
        <f t="shared" si="63"/>
        <v>1.70731707317073</v>
      </c>
      <c r="U74" s="44">
        <f>IFERROR(VLOOKUP(B:B,'[1]9店'!$B:$T,19,0),"-")</f>
        <v>1</v>
      </c>
      <c r="V74" s="81">
        <f t="shared" si="64"/>
        <v>0.70731707317073</v>
      </c>
      <c r="W74" s="82" t="str">
        <f t="shared" si="65"/>
        <v>正常</v>
      </c>
      <c r="X74" s="83" t="str">
        <f t="shared" si="66"/>
        <v>库存过高</v>
      </c>
      <c r="Y74" s="44">
        <f>IFERROR(SUMIF('9店辅助表'!K:K,B:B,'9店辅助表'!N:N),0)</f>
        <v>0.66</v>
      </c>
      <c r="Z74" s="44">
        <f>IFERROR(SUMIF('9店辅助表'!T:T,B:B,'9店辅助表'!W:W),0)</f>
        <v>3.12</v>
      </c>
      <c r="AA74" s="44">
        <f>IFERROR(SUMIF('9店辅助表'!AC:AC,B:B,'9店辅助表'!AF:AF),0)</f>
        <v>5.04</v>
      </c>
      <c r="AB74" s="91" t="str">
        <f>IFERROR(SUMIF('9店辅助表'!K:K,B:B,'9店辅助表'!N:N)/SUMIF('9店辅助表'!K:K,B:B,'9店辅助表'!O:O),"-")</f>
        <v>-</v>
      </c>
      <c r="AC74" s="91" t="str">
        <f>IFERROR(VLOOKUP(B:B,'[1]9店'!$B:$AB,27,FALSE),"-")</f>
        <v>-</v>
      </c>
      <c r="AD74" s="92" t="str">
        <f t="shared" si="67"/>
        <v>-</v>
      </c>
      <c r="AE74" s="91" t="str">
        <f>IFERROR(SUMIF('9店辅助表'!T:T,B:B,'9店辅助表'!W:W)/SUMIF('9店辅助表'!T:T,B:B,'9店辅助表'!X:X),"-")</f>
        <v>-</v>
      </c>
      <c r="AF74" s="91">
        <f>IFERROR(SUMIF('9店辅助表'!AC:AC,B:B,'9店辅助表'!AF:AF)/SUMIF('9店辅助表'!AC:AC,B:B,'9店辅助表'!AG:AG),"-")</f>
        <v>0.387990762124711</v>
      </c>
      <c r="AG74" s="99">
        <f>IFERROR(AK74/((SUMIF('9店辅助表'!AT:AT,B:B,'9店辅助表'!AU:AU)+M74)/2),"-")</f>
        <v>0.363636363636364</v>
      </c>
      <c r="AH74" s="99">
        <f>IFERROR(AL74/((SUMIF('9店辅助表'!AW:AW,B:B,'9店辅助表'!AX:AX)+M74)/2),"-")</f>
        <v>0.285714285714286</v>
      </c>
      <c r="AI74" s="100">
        <f>IFERROR((SUMIF('9店辅助表'!AP:AP,B:B,'9店辅助表'!AR:AR)-SUMIF('9店辅助表'!AP:AP,B:B,'9店辅助表'!AR:AR)*0.15-(L74+IFERROR(VLOOKUP(B:B,'9店辅助表'!AZ:BA,2,0),0))*O74-IF(AN:AN="US",6.85,4.9)*(Z74+4.27*O74))/SUMIF('9店辅助表'!AP:AP,B:B,'9店辅助表'!AR:AR),"-")</f>
        <v>0.17032501137877</v>
      </c>
      <c r="AJ74" s="100">
        <f t="shared" si="68"/>
        <v>0.0486642889653628</v>
      </c>
      <c r="AK74" s="101">
        <f t="shared" si="69"/>
        <v>27.8</v>
      </c>
      <c r="AL74" s="101">
        <f t="shared" si="70"/>
        <v>27.8</v>
      </c>
      <c r="AM74" s="1" t="str">
        <f>VLOOKUP(B:B,'9店辅助表'!AZ:AZ,1,FALSE)</f>
        <v>Y93135-DB+Y93138+Y93269</v>
      </c>
      <c r="AN74" t="str">
        <f>VLOOKUP(B:B,'9店辅助表'!AZ:BB,3,FALSE)</f>
        <v>US</v>
      </c>
    </row>
    <row r="75" customHeight="1" spans="1:40">
      <c r="A75" s="58" t="str">
        <f>INDEX('[1]9店'!$A:$A,MATCH(B:B,'[1]9店'!$B:$B,0))</f>
        <v>美珠</v>
      </c>
      <c r="B75" s="45" t="s">
        <v>3211</v>
      </c>
      <c r="C75" s="45" t="s">
        <v>2458</v>
      </c>
      <c r="D75" s="59">
        <f>VLOOKUP(B:B,'[1]9店'!$B:$L,3,0)</f>
        <v>45074</v>
      </c>
      <c r="E75" s="45" t="s">
        <v>3212</v>
      </c>
      <c r="F75" s="45">
        <v>3</v>
      </c>
      <c r="G75" s="45">
        <v>0</v>
      </c>
      <c r="H75" s="45">
        <v>0</v>
      </c>
      <c r="I75" s="45">
        <v>0</v>
      </c>
      <c r="J75" s="45">
        <v>0</v>
      </c>
      <c r="K75" s="63">
        <f t="shared" si="59"/>
        <v>3</v>
      </c>
      <c r="L75" s="64">
        <f>IFERROR(VLOOKUP($B:$B,'[1]9店'!$B:$L,11,0),0)</f>
        <v>13.9</v>
      </c>
      <c r="M75" s="44">
        <f t="shared" si="60"/>
        <v>41.7</v>
      </c>
      <c r="N75" s="65">
        <f>IFERROR(VLOOKUP(B:B,'9店辅助表'!B:C,2,FALSE),0)</f>
        <v>0</v>
      </c>
      <c r="O75" s="65">
        <f>IFERROR(VLOOKUP(B:B,'9店辅助表'!E:F,2,FALSE),0)</f>
        <v>3</v>
      </c>
      <c r="P75" s="65">
        <f>IFERROR(VLOOKUP(B:B,'9店辅助表'!H:I,2,FALSE),0)</f>
        <v>3</v>
      </c>
      <c r="Q75" s="65">
        <f>IFERROR(VLOOKUP(B:B,'[1]9店'!$B:$N,13,FALSE),0)</f>
        <v>3</v>
      </c>
      <c r="R75" s="79">
        <f t="shared" si="61"/>
        <v>-3</v>
      </c>
      <c r="S75" s="80">
        <f t="shared" si="62"/>
        <v>30</v>
      </c>
      <c r="T75" s="44">
        <f t="shared" si="63"/>
        <v>1</v>
      </c>
      <c r="U75" s="44">
        <f>IFERROR(VLOOKUP(B:B,'[1]9店'!$B:$T,19,0),"-")</f>
        <v>0.411764705882353</v>
      </c>
      <c r="V75" s="81">
        <f t="shared" si="64"/>
        <v>0.588235294117647</v>
      </c>
      <c r="W75" s="82" t="str">
        <f t="shared" si="65"/>
        <v>有库存无销量</v>
      </c>
      <c r="X75" s="83" t="str">
        <f t="shared" si="66"/>
        <v>正常</v>
      </c>
      <c r="Y75" s="44">
        <f>IFERROR(SUMIF('9店辅助表'!K:K,B:B,'9店辅助表'!N:N),0)</f>
        <v>0.13</v>
      </c>
      <c r="Z75" s="44">
        <f>IFERROR(SUMIF('9店辅助表'!T:T,B:B,'9店辅助表'!W:W),0)</f>
        <v>1.59</v>
      </c>
      <c r="AA75" s="44">
        <f>IFERROR(SUMIF('9店辅助表'!AC:AC,B:B,'9店辅助表'!AF:AF),0)</f>
        <v>2.06</v>
      </c>
      <c r="AB75" s="91" t="str">
        <f>IFERROR(SUMIF('9店辅助表'!K:K,B:B,'9店辅助表'!N:N)/SUMIF('9店辅助表'!K:K,B:B,'9店辅助表'!O:O),"-")</f>
        <v>-</v>
      </c>
      <c r="AC75" s="91" t="str">
        <f>IFERROR(VLOOKUP(B:B,'[1]9店'!$B:$AB,27,FALSE),"-")</f>
        <v>-</v>
      </c>
      <c r="AD75" s="92" t="str">
        <f t="shared" si="67"/>
        <v>-</v>
      </c>
      <c r="AE75" s="91">
        <f>IFERROR(SUMIF('9店辅助表'!T:T,B:B,'9店辅助表'!W:W)/SUMIF('9店辅助表'!T:T,B:B,'9店辅助表'!X:X),"-")</f>
        <v>0.122401847575058</v>
      </c>
      <c r="AF75" s="91">
        <f>IFERROR(SUMIF('9店辅助表'!AC:AC,B:B,'9店辅助表'!AF:AF)/SUMIF('9店辅助表'!AC:AC,B:B,'9店辅助表'!AG:AG),"-")</f>
        <v>0.158583525789069</v>
      </c>
      <c r="AG75" s="99">
        <f>IFERROR(AK75/((SUMIF('9店辅助表'!AT:AT,B:B,'9店辅助表'!AU:AU)+M75)/2),"-")</f>
        <v>0</v>
      </c>
      <c r="AH75" s="99">
        <f>IFERROR(AL75/((SUMIF('9店辅助表'!AW:AW,B:B,'9店辅助表'!AX:AX)+M75)/2),"-")</f>
        <v>0.666666666666667</v>
      </c>
      <c r="AI75" s="100">
        <f>IFERROR((SUMIF('9店辅助表'!AP:AP,B:B,'9店辅助表'!AR:AR)-SUMIF('9店辅助表'!AP:AP,B:B,'9店辅助表'!AR:AR)*0.15-(L75+IFERROR(VLOOKUP(B:B,'9店辅助表'!AZ:BA,2,0),0))*O75-IF(AN:AN="US",6.85,4.9)*(Z75+4.27*O75))/SUMIF('9店辅助表'!AP:AP,B:B,'9店辅助表'!AR:AR),"-")</f>
        <v>0.217137292221549</v>
      </c>
      <c r="AJ75" s="100">
        <f t="shared" si="68"/>
        <v>0.144758194814366</v>
      </c>
      <c r="AK75" s="101">
        <f t="shared" si="69"/>
        <v>0</v>
      </c>
      <c r="AL75" s="101">
        <f t="shared" si="70"/>
        <v>41.7</v>
      </c>
      <c r="AM75" s="1" t="str">
        <f>VLOOKUP(B:B,'9店辅助表'!AZ:AZ,1,FALSE)</f>
        <v>Y93135-OR+Y93138+Y93269</v>
      </c>
      <c r="AN75" t="str">
        <f>VLOOKUP(B:B,'9店辅助表'!AZ:BB,3,FALSE)</f>
        <v>US</v>
      </c>
    </row>
    <row r="76" customHeight="1" spans="1:40">
      <c r="A76" s="58" t="str">
        <f>INDEX('[1]9店'!$A:$A,MATCH(B:B,'[1]9店'!$B:$B,0))</f>
        <v>美珠</v>
      </c>
      <c r="B76" s="45" t="s">
        <v>3213</v>
      </c>
      <c r="C76" s="45" t="s">
        <v>2238</v>
      </c>
      <c r="D76" s="59">
        <f>VLOOKUP(B:B,'[1]9店'!$B:$L,3,0)</f>
        <v>45074</v>
      </c>
      <c r="E76" s="45" t="s">
        <v>3214</v>
      </c>
      <c r="F76" s="45">
        <v>22</v>
      </c>
      <c r="G76" s="45">
        <v>1</v>
      </c>
      <c r="H76" s="45">
        <v>0</v>
      </c>
      <c r="I76" s="45">
        <v>0</v>
      </c>
      <c r="J76" s="45">
        <v>0</v>
      </c>
      <c r="K76" s="63">
        <f t="shared" si="59"/>
        <v>23</v>
      </c>
      <c r="L76" s="64">
        <f>IFERROR(VLOOKUP($B:$B,'[1]9店'!$B:$L,11,0),0)</f>
        <v>13.9</v>
      </c>
      <c r="M76" s="44">
        <f t="shared" si="60"/>
        <v>319.7</v>
      </c>
      <c r="N76" s="65">
        <f>IFERROR(VLOOKUP(B:B,'9店辅助表'!B:C,2,FALSE),0)</f>
        <v>2</v>
      </c>
      <c r="O76" s="65">
        <f>IFERROR(VLOOKUP(B:B,'9店辅助表'!E:F,2,FALSE),0)</f>
        <v>8</v>
      </c>
      <c r="P76" s="65">
        <f>IFERROR(VLOOKUP(B:B,'9店辅助表'!H:I,2,FALSE),0)</f>
        <v>17</v>
      </c>
      <c r="Q76" s="65">
        <f>IFERROR(VLOOKUP(B:B,'[1]9店'!$B:$N,13,FALSE),0)</f>
        <v>6</v>
      </c>
      <c r="R76" s="79">
        <f t="shared" si="61"/>
        <v>-4</v>
      </c>
      <c r="S76" s="80">
        <f t="shared" si="62"/>
        <v>49.7938144329897</v>
      </c>
      <c r="T76" s="44">
        <f t="shared" si="63"/>
        <v>1.65979381443299</v>
      </c>
      <c r="U76" s="44">
        <f>IFERROR(VLOOKUP(B:B,'[1]9店'!$B:$T,19,0),"-")</f>
        <v>1.09565217391304</v>
      </c>
      <c r="V76" s="81">
        <f t="shared" si="64"/>
        <v>0.56414164051995</v>
      </c>
      <c r="W76" s="82" t="str">
        <f t="shared" si="65"/>
        <v>库存过高</v>
      </c>
      <c r="X76" s="83" t="str">
        <f t="shared" si="66"/>
        <v>库存过高</v>
      </c>
      <c r="Y76" s="44">
        <f>IFERROR(SUMIF('9店辅助表'!K:K,B:B,'9店辅助表'!N:N),0)</f>
        <v>10.32</v>
      </c>
      <c r="Z76" s="44">
        <f>IFERROR(SUMIF('9店辅助表'!T:T,B:B,'9店辅助表'!W:W),0)</f>
        <v>18.51</v>
      </c>
      <c r="AA76" s="44">
        <f>IFERROR(SUMIF('9店辅助表'!AC:AC,B:B,'9店辅助表'!AF:AF),0)</f>
        <v>47.93</v>
      </c>
      <c r="AB76" s="91">
        <f>IFERROR(SUMIF('9店辅助表'!K:K,B:B,'9店辅助表'!N:N)/SUMIF('9店辅助表'!K:K,B:B,'9店辅助表'!O:O),"-")</f>
        <v>0.397228637413395</v>
      </c>
      <c r="AC76" s="91" t="str">
        <f>IFERROR(VLOOKUP(B:B,'[1]9店'!$B:$AB,27,FALSE),"-")</f>
        <v>-</v>
      </c>
      <c r="AD76" s="92" t="str">
        <f t="shared" si="67"/>
        <v>-</v>
      </c>
      <c r="AE76" s="91">
        <f>IFERROR(SUMIF('9店辅助表'!T:T,B:B,'9店辅助表'!W:W)/SUMIF('9店辅助表'!T:T,B:B,'9店辅助表'!X:X),"-")</f>
        <v>0.474980754426482</v>
      </c>
      <c r="AF76" s="91">
        <f>IFERROR(SUMIF('9店辅助表'!AC:AC,B:B,'9店辅助表'!AF:AF)/SUMIF('9店辅助表'!AC:AC,B:B,'9店辅助表'!AG:AG),"-")</f>
        <v>0.527108764984054</v>
      </c>
      <c r="AG76" s="99">
        <f>IFERROR(AK76/((SUMIF('9店辅助表'!AT:AT,B:B,'9店辅助表'!AU:AU)+M76)/2),"-")</f>
        <v>0.0851063829787234</v>
      </c>
      <c r="AH76" s="99">
        <f>IFERROR(AL76/((SUMIF('9店辅助表'!AW:AW,B:B,'9店辅助表'!AX:AX)+M76)/2),"-")</f>
        <v>0.470588235294118</v>
      </c>
      <c r="AI76" s="100">
        <f>IFERROR((SUMIF('9店辅助表'!AP:AP,B:B,'9店辅助表'!AR:AR)-SUMIF('9店辅助表'!AP:AP,B:B,'9店辅助表'!AR:AR)*0.15-(L76+IFERROR(VLOOKUP(B:B,'9店辅助表'!AZ:BA,2,0),0))*O76-IF(AN:AN="US",6.85,4.9)*(Z76+4.27*O76))/SUMIF('9店辅助表'!AP:AP,B:B,'9店辅助表'!AR:AR),"-")</f>
        <v>0.0498479572393053</v>
      </c>
      <c r="AJ76" s="100">
        <f t="shared" si="68"/>
        <v>0.0234578622302613</v>
      </c>
      <c r="AK76" s="101">
        <f t="shared" si="69"/>
        <v>27.8</v>
      </c>
      <c r="AL76" s="101">
        <f t="shared" si="70"/>
        <v>111.2</v>
      </c>
      <c r="AM76" s="1" t="str">
        <f>VLOOKUP(B:B,'9店辅助表'!AZ:AZ,1,FALSE)</f>
        <v>Y93452-DB-ZH</v>
      </c>
      <c r="AN76" t="str">
        <f>VLOOKUP(B:B,'9店辅助表'!AZ:BB,3,FALSE)</f>
        <v>US</v>
      </c>
    </row>
    <row r="77" customHeight="1" spans="1:40">
      <c r="A77" s="58" t="str">
        <f>INDEX('[1]9店'!$A:$A,MATCH(B:B,'[1]9店'!$B:$B,0))</f>
        <v>美珠</v>
      </c>
      <c r="B77" s="45" t="s">
        <v>3215</v>
      </c>
      <c r="C77" s="45" t="s">
        <v>2241</v>
      </c>
      <c r="D77" s="59">
        <f>VLOOKUP(B:B,'[1]9店'!$B:$L,3,0)</f>
        <v>45074</v>
      </c>
      <c r="E77" s="45" t="s">
        <v>3216</v>
      </c>
      <c r="F77" s="45">
        <v>0</v>
      </c>
      <c r="G77" s="45">
        <v>0</v>
      </c>
      <c r="H77" s="45">
        <v>9</v>
      </c>
      <c r="I77" s="45">
        <v>0</v>
      </c>
      <c r="J77" s="45">
        <v>0</v>
      </c>
      <c r="K77" s="63">
        <f t="shared" si="59"/>
        <v>9</v>
      </c>
      <c r="L77" s="64">
        <f>IFERROR(VLOOKUP($B:$B,'[1]9店'!$B:$L,11,0),0)</f>
        <v>13.9</v>
      </c>
      <c r="M77" s="44">
        <f t="shared" si="60"/>
        <v>125.1</v>
      </c>
      <c r="N77" s="65">
        <f>IFERROR(VLOOKUP(B:B,'9店辅助表'!B:C,2,FALSE),0)</f>
        <v>4</v>
      </c>
      <c r="O77" s="65">
        <f>IFERROR(VLOOKUP(B:B,'9店辅助表'!E:F,2,FALSE),0)</f>
        <v>8</v>
      </c>
      <c r="P77" s="65">
        <f>IFERROR(VLOOKUP(B:B,'9店辅助表'!H:I,2,FALSE),0)</f>
        <v>12</v>
      </c>
      <c r="Q77" s="65">
        <f>IFERROR(VLOOKUP(B:B,'[1]9店'!$B:$N,13,FALSE),0)</f>
        <v>4</v>
      </c>
      <c r="R77" s="79">
        <f t="shared" si="61"/>
        <v>0</v>
      </c>
      <c r="S77" s="80">
        <f t="shared" si="62"/>
        <v>17.9430379746835</v>
      </c>
      <c r="T77" s="44">
        <f t="shared" si="63"/>
        <v>0.598101265822785</v>
      </c>
      <c r="U77" s="44">
        <f>IFERROR(VLOOKUP(B:B,'[1]9店'!$B:$T,19,0),"-")</f>
        <v>0.195046439628483</v>
      </c>
      <c r="V77" s="81">
        <f t="shared" si="64"/>
        <v>0.403054826194302</v>
      </c>
      <c r="W77" s="82" t="str">
        <f t="shared" si="65"/>
        <v>正常</v>
      </c>
      <c r="X77" s="83" t="str">
        <f t="shared" si="66"/>
        <v>正常</v>
      </c>
      <c r="Y77" s="44">
        <f>IFERROR(SUMIF('9店辅助表'!K:K,B:B,'9店辅助表'!N:N),0)</f>
        <v>11.76</v>
      </c>
      <c r="Z77" s="44">
        <f>IFERROR(SUMIF('9店辅助表'!T:T,B:B,'9店辅助表'!W:W),0)</f>
        <v>35.29</v>
      </c>
      <c r="AA77" s="44">
        <f>IFERROR(SUMIF('9店辅助表'!AC:AC,B:B,'9店辅助表'!AF:AF),0)</f>
        <v>50.07</v>
      </c>
      <c r="AB77" s="91">
        <f>IFERROR(SUMIF('9店辅助表'!K:K,B:B,'9店辅助表'!N:N)/SUMIF('9店辅助表'!K:K,B:B,'9店辅助表'!O:O),"-")</f>
        <v>0.301770592763664</v>
      </c>
      <c r="AC77" s="91">
        <f>IFERROR(VLOOKUP(B:B,'[1]9店'!$B:$AB,27,FALSE),"-")</f>
        <v>0.249227727665884</v>
      </c>
      <c r="AD77" s="92">
        <f t="shared" si="67"/>
        <v>0.05254286509778</v>
      </c>
      <c r="AE77" s="91">
        <f>IFERROR(SUMIF('9店辅助表'!T:T,B:B,'9店辅助表'!W:W)/SUMIF('9店辅助表'!T:T,B:B,'9店辅助表'!X:X),"-")</f>
        <v>0.265557980284446</v>
      </c>
      <c r="AF77" s="91">
        <f>IFERROR(SUMIF('9店辅助表'!AC:AC,B:B,'9店辅助表'!AF:AF)/SUMIF('9店辅助表'!AC:AC,B:B,'9店辅助表'!AG:AG),"-")</f>
        <v>0.270868271571545</v>
      </c>
      <c r="AG77" s="99">
        <f>IFERROR(AK77/((SUMIF('9店辅助表'!AT:AT,B:B,'9店辅助表'!AU:AU)+M77)/2),"-")</f>
        <v>0.666666666666667</v>
      </c>
      <c r="AH77" s="99">
        <f>IFERROR(AL77/((SUMIF('9店辅助表'!AW:AW,B:B,'9店辅助表'!AX:AX)+M77)/2),"-")</f>
        <v>1.77777777777778</v>
      </c>
      <c r="AI77" s="100">
        <f>IFERROR((SUMIF('9店辅助表'!AP:AP,B:B,'9店辅助表'!AR:AR)-SUMIF('9店辅助表'!AP:AP,B:B,'9店辅助表'!AR:AR)*0.15-(L77+IFERROR(VLOOKUP(B:B,'9店辅助表'!AZ:BA,2,0),0))*O77-IF(AN:AN="US",6.85,4.9)*(Z77+4.27*O77))/SUMIF('9店辅助表'!AP:AP,B:B,'9店辅助表'!AR:AR),"-")</f>
        <v>-0.0681102396039829</v>
      </c>
      <c r="AJ77" s="100">
        <f t="shared" si="68"/>
        <v>-0.121084870407081</v>
      </c>
      <c r="AK77" s="101">
        <f t="shared" si="69"/>
        <v>55.6</v>
      </c>
      <c r="AL77" s="101">
        <f t="shared" si="70"/>
        <v>111.2</v>
      </c>
      <c r="AM77" s="1" t="str">
        <f>VLOOKUP(B:B,'9店辅助表'!AZ:AZ,1,FALSE)</f>
        <v>Y93452-OR-ZH</v>
      </c>
      <c r="AN77" t="str">
        <f>VLOOKUP(B:B,'9店辅助表'!AZ:BB,3,FALSE)</f>
        <v>US</v>
      </c>
    </row>
    <row r="78" customHeight="1" spans="1:40">
      <c r="A78" s="58" t="str">
        <f>INDEX('[1]9店'!$A:$A,MATCH(B:B,'[1]9店'!$B:$B,0))</f>
        <v>美珠</v>
      </c>
      <c r="B78" s="45" t="s">
        <v>3217</v>
      </c>
      <c r="C78" s="45" t="s">
        <v>3218</v>
      </c>
      <c r="D78" s="59">
        <f>VLOOKUP(B:B,'[1]9店'!$B:$L,3,0)</f>
        <v>45080</v>
      </c>
      <c r="E78" s="45" t="s">
        <v>3219</v>
      </c>
      <c r="F78" s="45">
        <v>74</v>
      </c>
      <c r="G78" s="45">
        <v>0</v>
      </c>
      <c r="H78" s="45">
        <v>0</v>
      </c>
      <c r="I78" s="45">
        <v>1</v>
      </c>
      <c r="J78" s="45">
        <v>0</v>
      </c>
      <c r="K78" s="63">
        <f t="shared" si="59"/>
        <v>75</v>
      </c>
      <c r="L78" s="64">
        <f>IFERROR(VLOOKUP($B:$B,'[1]9店'!$B:$L,11,0),0)</f>
        <v>16.634</v>
      </c>
      <c r="M78" s="44">
        <f t="shared" si="60"/>
        <v>1247.55</v>
      </c>
      <c r="N78" s="65">
        <f>IFERROR(VLOOKUP(B:B,'9店辅助表'!B:C,2,FALSE),0)</f>
        <v>0</v>
      </c>
      <c r="O78" s="65">
        <f>IFERROR(VLOOKUP(B:B,'9店辅助表'!E:F,2,FALSE),0)</f>
        <v>0</v>
      </c>
      <c r="P78" s="65">
        <f>IFERROR(VLOOKUP(B:B,'9店辅助表'!H:I,2,FALSE),0)</f>
        <v>1</v>
      </c>
      <c r="Q78" s="65">
        <f>IFERROR(VLOOKUP(B:B,'[1]9店'!$B:$N,13,FALSE),0)</f>
        <v>0</v>
      </c>
      <c r="R78" s="79">
        <f t="shared" si="61"/>
        <v>0</v>
      </c>
      <c r="S78" s="80">
        <f t="shared" si="62"/>
        <v>6750</v>
      </c>
      <c r="T78" s="44">
        <f t="shared" si="63"/>
        <v>225</v>
      </c>
      <c r="U78" s="44">
        <f>IFERROR(VLOOKUP(B:B,'[1]9店'!$B:$T,19,0),"-")</f>
        <v>76</v>
      </c>
      <c r="V78" s="81">
        <f t="shared" si="64"/>
        <v>149</v>
      </c>
      <c r="W78" s="82" t="str">
        <f t="shared" si="65"/>
        <v>有库存无销量</v>
      </c>
      <c r="X78" s="83" t="str">
        <f t="shared" si="66"/>
        <v>库存过高</v>
      </c>
      <c r="Y78" s="44">
        <f>IFERROR(SUMIF('9店辅助表'!K:K,B:B,'9店辅助表'!N:N),0)</f>
        <v>0.17</v>
      </c>
      <c r="Z78" s="44">
        <f>IFERROR(SUMIF('9店辅助表'!T:T,B:B,'9店辅助表'!W:W),0)</f>
        <v>2.17</v>
      </c>
      <c r="AA78" s="44">
        <f>IFERROR(SUMIF('9店辅助表'!AC:AC,B:B,'9店辅助表'!AF:AF),0)</f>
        <v>3.07</v>
      </c>
      <c r="AB78" s="91" t="str">
        <f>IFERROR(SUMIF('9店辅助表'!K:K,B:B,'9店辅助表'!N:N)/SUMIF('9店辅助表'!K:K,B:B,'9店辅助表'!O:O),"-")</f>
        <v>-</v>
      </c>
      <c r="AC78" s="91" t="str">
        <f>IFERROR(VLOOKUP(B:B,'[1]9店'!$B:$AB,27,FALSE),"-")</f>
        <v>-</v>
      </c>
      <c r="AD78" s="92" t="str">
        <f t="shared" si="67"/>
        <v>-</v>
      </c>
      <c r="AE78" s="91" t="str">
        <f>IFERROR(SUMIF('9店辅助表'!T:T,B:B,'9店辅助表'!W:W)/SUMIF('9店辅助表'!T:T,B:B,'9店辅助表'!X:X),"-")</f>
        <v>-</v>
      </c>
      <c r="AF78" s="91">
        <f>IFERROR(SUMIF('9店辅助表'!AC:AC,B:B,'9店辅助表'!AF:AF)/SUMIF('9店辅助表'!AC:AC,B:B,'9店辅助表'!AG:AG),"-")</f>
        <v>0.113787991104522</v>
      </c>
      <c r="AG78" s="99">
        <f>IFERROR(AK78/((SUMIF('9店辅助表'!AT:AT,B:B,'9店辅助表'!AU:AU)+M78)/2),"-")</f>
        <v>0</v>
      </c>
      <c r="AH78" s="99">
        <f>IFERROR(AL78/((SUMIF('9店辅助表'!AW:AW,B:B,'9店辅助表'!AX:AX)+M78)/2),"-")</f>
        <v>0</v>
      </c>
      <c r="AI78" s="100" t="str">
        <f>IFERROR((SUMIF('9店辅助表'!AP:AP,B:B,'9店辅助表'!AR:AR)-SUMIF('9店辅助表'!AP:AP,B:B,'9店辅助表'!AR:AR)*0.15-(L78+IFERROR(VLOOKUP(B:B,'9店辅助表'!AZ:BA,2,0),0))*O78-IF(AN:AN="US",6.85,4.9)*(Z78+4.27*O78))/SUMIF('9店辅助表'!AP:AP,B:B,'9店辅助表'!AR:AR),"-")</f>
        <v>-</v>
      </c>
      <c r="AJ78" s="100" t="str">
        <f t="shared" si="68"/>
        <v>-</v>
      </c>
      <c r="AK78" s="101">
        <f t="shared" si="69"/>
        <v>0</v>
      </c>
      <c r="AL78" s="101">
        <f t="shared" si="70"/>
        <v>0</v>
      </c>
      <c r="AM78" s="1" t="str">
        <f>VLOOKUP(B:B,'9店辅助表'!AZ:AZ,1,FALSE)</f>
        <v>Y9007-12PC</v>
      </c>
      <c r="AN78" t="str">
        <f>VLOOKUP(B:B,'9店辅助表'!AZ:BB,3,FALSE)</f>
        <v>US</v>
      </c>
    </row>
    <row r="79" customHeight="1" spans="1:40">
      <c r="A79" s="58" t="str">
        <f>INDEX('[1]9店'!$A:$A,MATCH(B:B,'[1]9店'!$B:$B,0))</f>
        <v>美珠</v>
      </c>
      <c r="B79" s="45" t="s">
        <v>3220</v>
      </c>
      <c r="C79" s="45" t="s">
        <v>3221</v>
      </c>
      <c r="D79" s="59">
        <f>VLOOKUP(B:B,'[1]9店'!$B:$L,3,0)</f>
        <v>45107</v>
      </c>
      <c r="E79" s="45" t="s">
        <v>3222</v>
      </c>
      <c r="F79" s="45">
        <v>75</v>
      </c>
      <c r="G79" s="45">
        <v>0</v>
      </c>
      <c r="H79" s="45">
        <v>1</v>
      </c>
      <c r="I79" s="45">
        <v>0</v>
      </c>
      <c r="J79" s="45">
        <v>0</v>
      </c>
      <c r="K79" s="63">
        <f t="shared" si="59"/>
        <v>76</v>
      </c>
      <c r="L79" s="64">
        <f>IFERROR(VLOOKUP($B:$B,'[1]9店'!$B:$L,11,0),0)</f>
        <v>32.03</v>
      </c>
      <c r="M79" s="44">
        <f t="shared" si="60"/>
        <v>2434.28</v>
      </c>
      <c r="N79" s="65">
        <f>IFERROR(VLOOKUP(B:B,'9店辅助表'!B:C,2,FALSE),0)</f>
        <v>0</v>
      </c>
      <c r="O79" s="65">
        <f>IFERROR(VLOOKUP(B:B,'9店辅助表'!E:F,2,FALSE),0)</f>
        <v>1</v>
      </c>
      <c r="P79" s="65">
        <f>IFERROR(VLOOKUP(B:B,'9店辅助表'!H:I,2,FALSE),0)</f>
        <v>1</v>
      </c>
      <c r="Q79" s="65">
        <f>IFERROR(VLOOKUP(B:B,'[1]9店'!$B:$N,13,FALSE),0)</f>
        <v>1</v>
      </c>
      <c r="R79" s="79">
        <f t="shared" si="61"/>
        <v>-1</v>
      </c>
      <c r="S79" s="80">
        <f t="shared" si="62"/>
        <v>2280</v>
      </c>
      <c r="T79" s="44">
        <f t="shared" si="63"/>
        <v>76</v>
      </c>
      <c r="U79" s="44">
        <f>IFERROR(VLOOKUP(B:B,'[1]9店'!$B:$T,19,0),"-")</f>
        <v>30.8823529411765</v>
      </c>
      <c r="V79" s="81">
        <f t="shared" si="64"/>
        <v>45.1176470588235</v>
      </c>
      <c r="W79" s="82" t="str">
        <f t="shared" si="65"/>
        <v>有库存无销量</v>
      </c>
      <c r="X79" s="83" t="str">
        <f t="shared" si="66"/>
        <v>库存过高</v>
      </c>
      <c r="Y79" s="44">
        <f>IFERROR(SUMIF('9店辅助表'!K:K,B:B,'9店辅助表'!N:N),0)</f>
        <v>0.72</v>
      </c>
      <c r="Z79" s="44">
        <f>IFERROR(SUMIF('9店辅助表'!T:T,B:B,'9店辅助表'!W:W),0)</f>
        <v>1.92</v>
      </c>
      <c r="AA79" s="44">
        <f>IFERROR(SUMIF('9店辅助表'!AC:AC,B:B,'9店辅助表'!AF:AF),0)</f>
        <v>2.72</v>
      </c>
      <c r="AB79" s="91" t="str">
        <f>IFERROR(SUMIF('9店辅助表'!K:K,B:B,'9店辅助表'!N:N)/SUMIF('9店辅助表'!K:K,B:B,'9店辅助表'!O:O),"-")</f>
        <v>-</v>
      </c>
      <c r="AC79" s="91" t="str">
        <f>IFERROR(VLOOKUP(B:B,'[1]9店'!$B:$AB,27,FALSE),"-")</f>
        <v>-</v>
      </c>
      <c r="AD79" s="92" t="str">
        <f t="shared" si="67"/>
        <v>-</v>
      </c>
      <c r="AE79" s="91" t="str">
        <f>IFERROR(SUMIF('9店辅助表'!T:T,B:B,'9店辅助表'!W:W)/SUMIF('9店辅助表'!T:T,B:B,'9店辅助表'!X:X),"-")</f>
        <v>-</v>
      </c>
      <c r="AF79" s="91">
        <f>IFERROR(SUMIF('9店辅助表'!AC:AC,B:B,'9店辅助表'!AF:AF)/SUMIF('9店辅助表'!AC:AC,B:B,'9店辅助表'!AG:AG),"-")</f>
        <v>0.100815418828762</v>
      </c>
      <c r="AG79" s="99">
        <f>IFERROR(AK79/((SUMIF('9店辅助表'!AT:AT,B:B,'9店辅助表'!AU:AU)+M79)/2),"-")</f>
        <v>0</v>
      </c>
      <c r="AH79" s="99">
        <f>IFERROR(AL79/((SUMIF('9店辅助表'!AW:AW,B:B,'9店辅助表'!AX:AX)+M79)/2),"-")</f>
        <v>0.0131578947368421</v>
      </c>
      <c r="AI79" s="100">
        <f>IFERROR((SUMIF('9店辅助表'!AP:AP,B:B,'9店辅助表'!AR:AR)-SUMIF('9店辅助表'!AP:AP,B:B,'9店辅助表'!AR:AR)*0.15-(L79+IFERROR(VLOOKUP(B:B,'9店辅助表'!AZ:BA,2,0),0))*O79-IF(AN:AN="US",6.85,4.9)*(Z79+4.27*O79))/SUMIF('9店辅助表'!AP:AP,B:B,'9店辅助表'!AR:AR),"-")</f>
        <v>0.266991133992558</v>
      </c>
      <c r="AJ79" s="100">
        <f t="shared" si="68"/>
        <v>0.00351304123674418</v>
      </c>
      <c r="AK79" s="101">
        <f t="shared" si="69"/>
        <v>0</v>
      </c>
      <c r="AL79" s="101">
        <f t="shared" si="70"/>
        <v>32.03</v>
      </c>
      <c r="AM79" s="1" t="str">
        <f>VLOOKUP(B:B,'9店辅助表'!AZ:AZ,1,FALSE)</f>
        <v>Y9007-24PC</v>
      </c>
      <c r="AN79" t="str">
        <f>VLOOKUP(B:B,'9店辅助表'!AZ:BB,3,FALSE)</f>
        <v>US</v>
      </c>
    </row>
    <row r="80" customHeight="1" spans="1:40">
      <c r="A80" s="58" t="str">
        <f>INDEX('[1]9店'!$A:$A,MATCH(B:B,'[1]9店'!$B:$B,0))</f>
        <v>美珠</v>
      </c>
      <c r="B80" s="45" t="s">
        <v>3223</v>
      </c>
      <c r="C80" s="45" t="s">
        <v>3224</v>
      </c>
      <c r="D80" s="59">
        <f>VLOOKUP(B:B,'[1]9店'!$B:$L,3,0)</f>
        <v>45113</v>
      </c>
      <c r="E80" s="45" t="s">
        <v>3225</v>
      </c>
      <c r="F80" s="45">
        <v>14</v>
      </c>
      <c r="G80" s="45">
        <v>0</v>
      </c>
      <c r="H80" s="45">
        <v>0</v>
      </c>
      <c r="I80" s="45">
        <v>0</v>
      </c>
      <c r="J80" s="45">
        <v>0</v>
      </c>
      <c r="K80" s="63">
        <f t="shared" si="59"/>
        <v>14</v>
      </c>
      <c r="L80" s="64">
        <f>IFERROR(VLOOKUP($B:$B,'[1]9店'!$B:$L,11,0),0)</f>
        <v>41.059</v>
      </c>
      <c r="M80" s="44">
        <f t="shared" si="60"/>
        <v>574.826</v>
      </c>
      <c r="N80" s="65">
        <f>IFERROR(VLOOKUP(B:B,'9店辅助表'!B:C,2,FALSE),0)</f>
        <v>1</v>
      </c>
      <c r="O80" s="65">
        <f>IFERROR(VLOOKUP(B:B,'9店辅助表'!E:F,2,FALSE),0)</f>
        <v>31</v>
      </c>
      <c r="P80" s="65">
        <f>IFERROR(VLOOKUP(B:B,'9店辅助表'!H:I,2,FALSE),0)</f>
        <v>71</v>
      </c>
      <c r="Q80" s="65">
        <f>IFERROR(VLOOKUP(B:B,'[1]9店'!$B:$N,13,FALSE),0)</f>
        <v>26</v>
      </c>
      <c r="R80" s="79">
        <f t="shared" si="61"/>
        <v>-25</v>
      </c>
      <c r="S80" s="80">
        <f t="shared" si="62"/>
        <v>9.17793964620187</v>
      </c>
      <c r="T80" s="44">
        <f t="shared" si="63"/>
        <v>0.305931321540062</v>
      </c>
      <c r="U80" s="44">
        <f>IFERROR(VLOOKUP(B:B,'[1]9店'!$B:$T,19,0),"-")</f>
        <v>0.163761467889908</v>
      </c>
      <c r="V80" s="81">
        <f t="shared" si="64"/>
        <v>0.142169853650154</v>
      </c>
      <c r="W80" s="82" t="str">
        <f t="shared" si="65"/>
        <v>库存过高</v>
      </c>
      <c r="X80" s="83" t="str">
        <f t="shared" si="66"/>
        <v>库存过低</v>
      </c>
      <c r="Y80" s="44">
        <f>IFERROR(SUMIF('9店辅助表'!K:K,B:B,'9店辅助表'!N:N),0)</f>
        <v>0.7</v>
      </c>
      <c r="Z80" s="44">
        <f>IFERROR(SUMIF('9店辅助表'!T:T,B:B,'9店辅助表'!W:W),0)</f>
        <v>4.84</v>
      </c>
      <c r="AA80" s="44">
        <f>IFERROR(SUMIF('9店辅助表'!AC:AC,B:B,'9店辅助表'!AF:AF),0)</f>
        <v>8.04</v>
      </c>
      <c r="AB80" s="91">
        <f>IFERROR(SUMIF('9店辅助表'!K:K,B:B,'9店辅助表'!N:N)/SUMIF('9店辅助表'!K:K,B:B,'9店辅助表'!O:O),"-")</f>
        <v>0.100143061516452</v>
      </c>
      <c r="AC80" s="91">
        <f>IFERROR(VLOOKUP(B:B,'[1]9店'!$B:$AB,27,FALSE),"-")</f>
        <v>0.269829503335804</v>
      </c>
      <c r="AD80" s="92">
        <f t="shared" si="67"/>
        <v>-0.169686441819352</v>
      </c>
      <c r="AE80" s="91">
        <f>IFERROR(SUMIF('9店辅助表'!T:T,B:B,'9店辅助表'!W:W)/SUMIF('9店辅助表'!T:T,B:B,'9店辅助表'!X:X),"-")</f>
        <v>0.236328125</v>
      </c>
      <c r="AF80" s="91">
        <f>IFERROR(SUMIF('9店辅助表'!AC:AC,B:B,'9店辅助表'!AF:AF)/SUMIF('9店辅助表'!AC:AC,B:B,'9店辅助表'!AG:AG),"-")</f>
        <v>0.236679423020312</v>
      </c>
      <c r="AG80" s="99">
        <f>IFERROR(AK80/((SUMIF('9店辅助表'!AT:AT,B:B,'9店辅助表'!AU:AU)+M80)/2),"-")</f>
        <v>0.064516129032258</v>
      </c>
      <c r="AH80" s="99">
        <f>IFERROR(AL80/((SUMIF('9店辅助表'!AW:AW,B:B,'9店辅助表'!AX:AX)+M80)/2),"-")</f>
        <v>0.59047619047619</v>
      </c>
      <c r="AI80" s="100">
        <f>IFERROR((SUMIF('9店辅助表'!AP:AP,B:B,'9店辅助表'!AR:AR)-SUMIF('9店辅助表'!AP:AP,B:B,'9店辅助表'!AR:AR)*0.15-(L80+IFERROR(VLOOKUP(B:B,'9店辅助表'!AZ:BA,2,0),0))*O80-IF(AN:AN="US",6.85,4.9)*(Z80+4.27*O80))/SUMIF('9店辅助表'!AP:AP,B:B,'9店辅助表'!AR:AR),"-")</f>
        <v>-0.0276593319109215</v>
      </c>
      <c r="AJ80" s="100">
        <f t="shared" si="68"/>
        <v>-0.0163321769378775</v>
      </c>
      <c r="AK80" s="101">
        <f t="shared" si="69"/>
        <v>41.059</v>
      </c>
      <c r="AL80" s="101">
        <f t="shared" si="70"/>
        <v>1272.829</v>
      </c>
      <c r="AM80" s="1" t="str">
        <f>VLOOKUP(B:B,'9店辅助表'!AZ:AZ,1,FALSE)</f>
        <v>Y9007-30PC</v>
      </c>
      <c r="AN80" t="str">
        <f>VLOOKUP(B:B,'9店辅助表'!AZ:BB,3,FALSE)</f>
        <v>US</v>
      </c>
    </row>
    <row r="81" customHeight="1" spans="1:40">
      <c r="A81" s="58" t="str">
        <f>INDEX('[1]9店'!$A:$A,MATCH(B:B,'[1]9店'!$B:$B,0))</f>
        <v>美珠</v>
      </c>
      <c r="B81" s="45" t="s">
        <v>3226</v>
      </c>
      <c r="C81" s="45" t="s">
        <v>3227</v>
      </c>
      <c r="D81" s="59">
        <f>VLOOKUP(B:B,'[1]9店'!$B:$L,3,0)</f>
        <v>45080</v>
      </c>
      <c r="E81" s="45" t="s">
        <v>3228</v>
      </c>
      <c r="F81" s="45">
        <v>3</v>
      </c>
      <c r="G81" s="45">
        <v>0</v>
      </c>
      <c r="H81" s="45">
        <v>0</v>
      </c>
      <c r="I81" s="45">
        <v>0</v>
      </c>
      <c r="J81" s="45">
        <v>0</v>
      </c>
      <c r="K81" s="63">
        <f t="shared" si="59"/>
        <v>3</v>
      </c>
      <c r="L81" s="64">
        <f>IFERROR(VLOOKUP($B:$B,'[1]9店'!$B:$L,11,0),0)</f>
        <v>8.492</v>
      </c>
      <c r="M81" s="44">
        <f t="shared" si="60"/>
        <v>25.476</v>
      </c>
      <c r="N81" s="65">
        <f>IFERROR(VLOOKUP(B:B,'9店辅助表'!B:C,2,FALSE),0)</f>
        <v>2</v>
      </c>
      <c r="O81" s="65">
        <f>IFERROR(VLOOKUP(B:B,'9店辅助表'!E:F,2,FALSE),0)</f>
        <v>9</v>
      </c>
      <c r="P81" s="65">
        <f>IFERROR(VLOOKUP(B:B,'9店辅助表'!H:I,2,FALSE),0)</f>
        <v>11</v>
      </c>
      <c r="Q81" s="65">
        <f>IFERROR(VLOOKUP(B:B,'[1]9店'!$B:$N,13,FALSE),0)</f>
        <v>7</v>
      </c>
      <c r="R81" s="79">
        <f t="shared" si="61"/>
        <v>-5</v>
      </c>
      <c r="S81" s="80">
        <f t="shared" si="62"/>
        <v>7.18631178707224</v>
      </c>
      <c r="T81" s="44">
        <f t="shared" si="63"/>
        <v>0.239543726235741</v>
      </c>
      <c r="U81" s="44">
        <f>IFERROR(VLOOKUP(B:B,'[1]9店'!$B:$T,19,0),"-")</f>
        <v>0.413793103448276</v>
      </c>
      <c r="V81" s="81">
        <f t="shared" si="64"/>
        <v>-0.174249377212535</v>
      </c>
      <c r="W81" s="82" t="str">
        <f t="shared" si="65"/>
        <v>库存过低</v>
      </c>
      <c r="X81" s="83" t="str">
        <f t="shared" si="66"/>
        <v>库存过低</v>
      </c>
      <c r="Y81" s="44">
        <f>IFERROR(SUMIF('9店辅助表'!K:K,B:B,'9店辅助表'!N:N),0)</f>
        <v>0</v>
      </c>
      <c r="Z81" s="44">
        <f>IFERROR(SUMIF('9店辅助表'!T:T,B:B,'9店辅助表'!W:W),0)</f>
        <v>4.48</v>
      </c>
      <c r="AA81" s="44">
        <f>IFERROR(SUMIF('9店辅助表'!AC:AC,B:B,'9店辅助表'!AF:AF),0)</f>
        <v>6.11</v>
      </c>
      <c r="AB81" s="91" t="str">
        <f>IFERROR(SUMIF('9店辅助表'!K:K,B:B,'9店辅助表'!N:N)/SUMIF('9店辅助表'!K:K,B:B,'9店辅助表'!O:O),"-")</f>
        <v>-</v>
      </c>
      <c r="AC81" s="91" t="str">
        <f>IFERROR(VLOOKUP(B:B,'[1]9店'!$B:$AB,27,FALSE),"-")</f>
        <v>-</v>
      </c>
      <c r="AD81" s="92" t="str">
        <f t="shared" si="67"/>
        <v>-</v>
      </c>
      <c r="AE81" s="91" t="str">
        <f>IFERROR(SUMIF('9店辅助表'!T:T,B:B,'9店辅助表'!W:W)/SUMIF('9店辅助表'!T:T,B:B,'9店辅助表'!X:X),"-")</f>
        <v>-</v>
      </c>
      <c r="AF81" s="91" t="str">
        <f>IFERROR(SUMIF('9店辅助表'!AC:AC,B:B,'9店辅助表'!AF:AF)/SUMIF('9店辅助表'!AC:AC,B:B,'9店辅助表'!AG:AG),"-")</f>
        <v>-</v>
      </c>
      <c r="AG81" s="99">
        <f>IFERROR(AK81/((SUMIF('9店辅助表'!AT:AT,B:B,'9店辅助表'!AU:AU)+M81)/2),"-")</f>
        <v>0.363636363636364</v>
      </c>
      <c r="AH81" s="99">
        <f>IFERROR(AL81/((SUMIF('9店辅助表'!AW:AW,B:B,'9店辅助表'!AX:AX)+M81)/2),"-")</f>
        <v>1.05882352941176</v>
      </c>
      <c r="AI81" s="100">
        <f>IFERROR((SUMIF('9店辅助表'!AP:AP,B:B,'9店辅助表'!AR:AR)-SUMIF('9店辅助表'!AP:AP,B:B,'9店辅助表'!AR:AR)*0.15-(L81+IFERROR(VLOOKUP(B:B,'9店辅助表'!AZ:BA,2,0),0))*O81-IF(AN:AN="US",6.85,4.9)*(Z81+4.27*O81))/SUMIF('9店辅助表'!AP:AP,B:B,'9店辅助表'!AR:AR),"-")</f>
        <v>-0.405478369172562</v>
      </c>
      <c r="AJ81" s="100">
        <f t="shared" si="68"/>
        <v>-0.429330037947419</v>
      </c>
      <c r="AK81" s="101">
        <f t="shared" si="69"/>
        <v>16.984</v>
      </c>
      <c r="AL81" s="101">
        <f t="shared" si="70"/>
        <v>76.428</v>
      </c>
      <c r="AM81" s="1" t="str">
        <f>VLOOKUP(B:B,'9店辅助表'!AZ:AZ,1,FALSE)</f>
        <v>Y9007-6PC</v>
      </c>
      <c r="AN81" t="str">
        <f>VLOOKUP(B:B,'9店辅助表'!AZ:BB,3,FALSE)</f>
        <v>US</v>
      </c>
    </row>
    <row r="82" customHeight="1" spans="1:40">
      <c r="A82" s="58" t="str">
        <f>INDEX('[1]9店'!$A:$A,MATCH(B:B,'[1]9店'!$B:$B,0))</f>
        <v>美珠</v>
      </c>
      <c r="B82" s="45" t="s">
        <v>3229</v>
      </c>
      <c r="C82" s="45" t="s">
        <v>3230</v>
      </c>
      <c r="D82" s="59">
        <f>VLOOKUP(B:B,'[1]9店'!$B:$L,3,0)</f>
        <v>45103</v>
      </c>
      <c r="E82" s="45" t="s">
        <v>3231</v>
      </c>
      <c r="F82" s="45">
        <v>111</v>
      </c>
      <c r="G82" s="45">
        <v>0</v>
      </c>
      <c r="H82" s="45">
        <v>0</v>
      </c>
      <c r="I82" s="45">
        <v>1</v>
      </c>
      <c r="J82" s="45">
        <v>0</v>
      </c>
      <c r="K82" s="63">
        <f t="shared" si="59"/>
        <v>112</v>
      </c>
      <c r="L82" s="64">
        <f>IFERROR(VLOOKUP($B:$B,'[1]9店'!$B:$L,11,0),0)</f>
        <v>73.5</v>
      </c>
      <c r="M82" s="44">
        <f t="shared" si="60"/>
        <v>8232</v>
      </c>
      <c r="N82" s="65">
        <f>IFERROR(VLOOKUP(B:B,'9店辅助表'!B:C,2,FALSE),0)</f>
        <v>1</v>
      </c>
      <c r="O82" s="65">
        <f>IFERROR(VLOOKUP(B:B,'9店辅助表'!E:F,2,FALSE),0)</f>
        <v>7</v>
      </c>
      <c r="P82" s="65">
        <f>IFERROR(VLOOKUP(B:B,'9店辅助表'!H:I,2,FALSE),0)</f>
        <v>7</v>
      </c>
      <c r="Q82" s="65">
        <f>IFERROR(VLOOKUP(B:B,'[1]9店'!$B:$N,13,FALSE),0)</f>
        <v>5</v>
      </c>
      <c r="R82" s="79">
        <f t="shared" si="61"/>
        <v>-4</v>
      </c>
      <c r="S82" s="80">
        <f t="shared" si="62"/>
        <v>398.64406779661</v>
      </c>
      <c r="T82" s="44">
        <f t="shared" si="63"/>
        <v>13.2881355932203</v>
      </c>
      <c r="U82" s="44">
        <f>IFERROR(VLOOKUP(B:B,'[1]9店'!$B:$T,19,0),"-")</f>
        <v>8.38515901060071</v>
      </c>
      <c r="V82" s="81">
        <f t="shared" si="64"/>
        <v>4.90297658261959</v>
      </c>
      <c r="W82" s="82" t="str">
        <f t="shared" si="65"/>
        <v>库存过高</v>
      </c>
      <c r="X82" s="83" t="str">
        <f t="shared" si="66"/>
        <v>库存过高</v>
      </c>
      <c r="Y82" s="44">
        <f>IFERROR(SUMIF('9店辅助表'!K:K,B:B,'9店辅助表'!N:N),0)</f>
        <v>1.3</v>
      </c>
      <c r="Z82" s="44">
        <f>IFERROR(SUMIF('9店辅助表'!T:T,B:B,'9店辅助表'!W:W),0)</f>
        <v>29.37</v>
      </c>
      <c r="AA82" s="44">
        <f>IFERROR(SUMIF('9店辅助表'!AC:AC,B:B,'9店辅助表'!AF:AF),0)</f>
        <v>41.85</v>
      </c>
      <c r="AB82" s="91">
        <f>IFERROR(SUMIF('9店辅助表'!K:K,B:B,'9店辅助表'!N:N)/SUMIF('9店辅助表'!K:K,B:B,'9店辅助表'!O:O),"-")</f>
        <v>0.0433477825941981</v>
      </c>
      <c r="AC82" s="91">
        <f>IFERROR(VLOOKUP(B:B,'[1]9店'!$B:$AB,27,FALSE),"-")</f>
        <v>0.208003722661703</v>
      </c>
      <c r="AD82" s="92">
        <f t="shared" si="67"/>
        <v>-0.164655940067505</v>
      </c>
      <c r="AE82" s="91">
        <f>IFERROR(SUMIF('9店辅助表'!T:T,B:B,'9店辅助表'!W:W)/SUMIF('9店辅助表'!T:T,B:B,'9店辅助表'!X:X),"-")</f>
        <v>0.184798338891336</v>
      </c>
      <c r="AF82" s="91">
        <f>IFERROR(SUMIF('9店辅助表'!AC:AC,B:B,'9店辅助表'!AF:AF)/SUMIF('9店辅助表'!AC:AC,B:B,'9店辅助表'!AG:AG),"-")</f>
        <v>0.263323475744038</v>
      </c>
      <c r="AG82" s="99">
        <f>IFERROR(AK82/((SUMIF('9店辅助表'!AT:AT,B:B,'9店辅助表'!AU:AU)+M82)/2),"-")</f>
        <v>0.00888888888888889</v>
      </c>
      <c r="AH82" s="99">
        <f>IFERROR(AL82/((SUMIF('9店辅助表'!AW:AW,B:B,'9店辅助表'!AX:AX)+M82)/2),"-")</f>
        <v>0.0606060606060606</v>
      </c>
      <c r="AI82" s="100">
        <f>IFERROR((SUMIF('9店辅助表'!AP:AP,B:B,'9店辅助表'!AR:AR)-SUMIF('9店辅助表'!AP:AP,B:B,'9店辅助表'!AR:AR)*0.15-(L82+IFERROR(VLOOKUP(B:B,'9店辅助表'!AZ:BA,2,0),0))*O82-IF(AN:AN="US",6.85,4.9)*(Z82+4.27*O82))/SUMIF('9店辅助表'!AP:AP,B:B,'9店辅助表'!AR:AR),"-")</f>
        <v>-0.154269649351361</v>
      </c>
      <c r="AJ82" s="100">
        <f t="shared" si="68"/>
        <v>-0.00934967571826428</v>
      </c>
      <c r="AK82" s="101">
        <f t="shared" si="69"/>
        <v>73.5</v>
      </c>
      <c r="AL82" s="101">
        <f t="shared" si="70"/>
        <v>514.5</v>
      </c>
      <c r="AM82" s="1" t="str">
        <f>VLOOKUP(B:B,'9店辅助表'!AZ:AZ,1,FALSE)</f>
        <v>Y9008</v>
      </c>
      <c r="AN82" t="str">
        <f>VLOOKUP(B:B,'9店辅助表'!AZ:BB,3,FALSE)</f>
        <v>US</v>
      </c>
    </row>
    <row r="83" customHeight="1" spans="1:40">
      <c r="A83" s="58" t="str">
        <f>INDEX('[1]9店'!$A:$A,MATCH(B:B,'[1]9店'!$B:$B,0))</f>
        <v>美珠</v>
      </c>
      <c r="B83" s="45" t="s">
        <v>3232</v>
      </c>
      <c r="C83" s="45" t="s">
        <v>3230</v>
      </c>
      <c r="D83" s="59">
        <f>VLOOKUP(B:B,'[1]9店'!$B:$L,3,0)</f>
        <v>45103</v>
      </c>
      <c r="E83" s="45" t="s">
        <v>3233</v>
      </c>
      <c r="F83" s="45">
        <v>2</v>
      </c>
      <c r="G83" s="45">
        <v>0</v>
      </c>
      <c r="H83" s="45">
        <v>0</v>
      </c>
      <c r="I83" s="45">
        <v>0</v>
      </c>
      <c r="J83" s="45">
        <v>0</v>
      </c>
      <c r="K83" s="63">
        <f t="shared" si="59"/>
        <v>2</v>
      </c>
      <c r="L83" s="64">
        <f>IFERROR(VLOOKUP($B:$B,'[1]9店'!$B:$L,11,0),0)</f>
        <v>73.5</v>
      </c>
      <c r="M83" s="44">
        <f t="shared" si="60"/>
        <v>147</v>
      </c>
      <c r="N83" s="65">
        <f>IFERROR(VLOOKUP(B:B,'9店辅助表'!B:C,2,FALSE),0)</f>
        <v>0</v>
      </c>
      <c r="O83" s="65">
        <f>IFERROR(VLOOKUP(B:B,'9店辅助表'!E:F,2,FALSE),0)</f>
        <v>0</v>
      </c>
      <c r="P83" s="65">
        <f>IFERROR(VLOOKUP(B:B,'9店辅助表'!H:I,2,FALSE),0)</f>
        <v>0</v>
      </c>
      <c r="Q83" s="65">
        <f>IFERROR(VLOOKUP(B:B,'[1]9店'!$B:$N,13,FALSE),0)</f>
        <v>0</v>
      </c>
      <c r="R83" s="79">
        <f t="shared" si="61"/>
        <v>0</v>
      </c>
      <c r="S83" s="80" t="str">
        <f t="shared" si="62"/>
        <v>-</v>
      </c>
      <c r="T83" s="44" t="str">
        <f t="shared" si="63"/>
        <v>-</v>
      </c>
      <c r="U83" s="44" t="str">
        <f>IFERROR(VLOOKUP(B:B,'[1]9店'!$B:$T,19,0),"-")</f>
        <v>-</v>
      </c>
      <c r="V83" s="81" t="str">
        <f t="shared" si="64"/>
        <v>-</v>
      </c>
      <c r="W83" s="82" t="str">
        <f t="shared" si="65"/>
        <v>有库存无销量</v>
      </c>
      <c r="X83" s="83" t="str">
        <f t="shared" si="66"/>
        <v>有库存无销量</v>
      </c>
      <c r="Y83" s="44">
        <f>IFERROR(SUMIF('9店辅助表'!K:K,B:B,'9店辅助表'!N:N),0)</f>
        <v>0</v>
      </c>
      <c r="Z83" s="44">
        <f>IFERROR(SUMIF('9店辅助表'!T:T,B:B,'9店辅助表'!W:W),0)</f>
        <v>0</v>
      </c>
      <c r="AA83" s="44">
        <f>IFERROR(SUMIF('9店辅助表'!AC:AC,B:B,'9店辅助表'!AF:AF),0)</f>
        <v>0</v>
      </c>
      <c r="AB83" s="91" t="str">
        <f>IFERROR(SUMIF('9店辅助表'!K:K,B:B,'9店辅助表'!N:N)/SUMIF('9店辅助表'!K:K,B:B,'9店辅助表'!O:O),"-")</f>
        <v>-</v>
      </c>
      <c r="AC83" s="91" t="str">
        <f>IFERROR(VLOOKUP(B:B,'[1]9店'!$B:$AB,27,FALSE),"-")</f>
        <v>-</v>
      </c>
      <c r="AD83" s="92" t="str">
        <f t="shared" si="67"/>
        <v>-</v>
      </c>
      <c r="AE83" s="91" t="str">
        <f>IFERROR(SUMIF('9店辅助表'!T:T,B:B,'9店辅助表'!W:W)/SUMIF('9店辅助表'!T:T,B:B,'9店辅助表'!X:X),"-")</f>
        <v>-</v>
      </c>
      <c r="AF83" s="91" t="str">
        <f>IFERROR(SUMIF('9店辅助表'!AC:AC,B:B,'9店辅助表'!AF:AF)/SUMIF('9店辅助表'!AC:AC,B:B,'9店辅助表'!AG:AG),"-")</f>
        <v>-</v>
      </c>
      <c r="AG83" s="99">
        <f>IFERROR(AK83/((SUMIF('9店辅助表'!AT:AT,B:B,'9店辅助表'!AU:AU)+M83)/2),"-")</f>
        <v>0</v>
      </c>
      <c r="AH83" s="99">
        <f>IFERROR(AL83/((SUMIF('9店辅助表'!AW:AW,B:B,'9店辅助表'!AX:AX)+M83)/2),"-")</f>
        <v>0</v>
      </c>
      <c r="AI83" s="100" t="str">
        <f>IFERROR((SUMIF('9店辅助表'!AP:AP,B:B,'9店辅助表'!AR:AR)-SUMIF('9店辅助表'!AP:AP,B:B,'9店辅助表'!AR:AR)*0.15-(L83+IFERROR(VLOOKUP(B:B,'9店辅助表'!AZ:BA,2,0),0))*O83-IF(AN:AN="US",6.85,4.9)*(Z83+4.27*O83))/SUMIF('9店辅助表'!AP:AP,B:B,'9店辅助表'!AR:AR),"-")</f>
        <v>-</v>
      </c>
      <c r="AJ83" s="100" t="str">
        <f t="shared" si="68"/>
        <v>-</v>
      </c>
      <c r="AK83" s="101">
        <f t="shared" si="69"/>
        <v>0</v>
      </c>
      <c r="AL83" s="101">
        <f t="shared" si="70"/>
        <v>0</v>
      </c>
      <c r="AM83" s="1" t="str">
        <f>VLOOKUP(B:B,'9店辅助表'!AZ:AZ,1,FALSE)</f>
        <v>Y9008-1</v>
      </c>
      <c r="AN83" t="str">
        <f>VLOOKUP(B:B,'9店辅助表'!AZ:BB,3,FALSE)</f>
        <v>US</v>
      </c>
    </row>
    <row r="84" customHeight="1" spans="1:40">
      <c r="A84" s="58" t="str">
        <f>INDEX('[1]9店'!$A:$A,MATCH(B:B,'[1]9店'!$B:$B,0))</f>
        <v>美珠</v>
      </c>
      <c r="B84" s="45" t="s">
        <v>3234</v>
      </c>
      <c r="C84" s="45" t="s">
        <v>3230</v>
      </c>
      <c r="D84" s="59">
        <f>VLOOKUP(B:B,'[1]9店'!$B:$L,3,0)</f>
        <v>45103</v>
      </c>
      <c r="E84" s="45" t="s">
        <v>3235</v>
      </c>
      <c r="F84" s="45">
        <v>2</v>
      </c>
      <c r="G84" s="45">
        <v>0</v>
      </c>
      <c r="H84" s="45">
        <v>0</v>
      </c>
      <c r="I84" s="45">
        <v>0</v>
      </c>
      <c r="J84" s="45">
        <v>0</v>
      </c>
      <c r="K84" s="63">
        <f t="shared" si="59"/>
        <v>2</v>
      </c>
      <c r="L84" s="64">
        <f>IFERROR(VLOOKUP($B:$B,'[1]9店'!$B:$L,11,0),0)</f>
        <v>73.5</v>
      </c>
      <c r="M84" s="44">
        <f t="shared" si="60"/>
        <v>147</v>
      </c>
      <c r="N84" s="65">
        <f>IFERROR(VLOOKUP(B:B,'9店辅助表'!B:C,2,FALSE),0)</f>
        <v>0</v>
      </c>
      <c r="O84" s="65">
        <f>IFERROR(VLOOKUP(B:B,'9店辅助表'!E:F,2,FALSE),0)</f>
        <v>0</v>
      </c>
      <c r="P84" s="65">
        <f>IFERROR(VLOOKUP(B:B,'9店辅助表'!H:I,2,FALSE),0)</f>
        <v>0</v>
      </c>
      <c r="Q84" s="65">
        <f>IFERROR(VLOOKUP(B:B,'[1]9店'!$B:$N,13,FALSE),0)</f>
        <v>0</v>
      </c>
      <c r="R84" s="79">
        <f t="shared" si="61"/>
        <v>0</v>
      </c>
      <c r="S84" s="80" t="str">
        <f t="shared" si="62"/>
        <v>-</v>
      </c>
      <c r="T84" s="44" t="str">
        <f t="shared" si="63"/>
        <v>-</v>
      </c>
      <c r="U84" s="44" t="str">
        <f>IFERROR(VLOOKUP(B:B,'[1]9店'!$B:$T,19,0),"-")</f>
        <v>-</v>
      </c>
      <c r="V84" s="81" t="str">
        <f t="shared" si="64"/>
        <v>-</v>
      </c>
      <c r="W84" s="82" t="str">
        <f t="shared" si="65"/>
        <v>有库存无销量</v>
      </c>
      <c r="X84" s="83" t="str">
        <f t="shared" si="66"/>
        <v>有库存无销量</v>
      </c>
      <c r="Y84" s="44">
        <f>IFERROR(SUMIF('9店辅助表'!K:K,B:B,'9店辅助表'!N:N),0)</f>
        <v>0</v>
      </c>
      <c r="Z84" s="44">
        <f>IFERROR(SUMIF('9店辅助表'!T:T,B:B,'9店辅助表'!W:W),0)</f>
        <v>0</v>
      </c>
      <c r="AA84" s="44">
        <f>IFERROR(SUMIF('9店辅助表'!AC:AC,B:B,'9店辅助表'!AF:AF),0)</f>
        <v>0</v>
      </c>
      <c r="AB84" s="91" t="str">
        <f>IFERROR(SUMIF('9店辅助表'!K:K,B:B,'9店辅助表'!N:N)/SUMIF('9店辅助表'!K:K,B:B,'9店辅助表'!O:O),"-")</f>
        <v>-</v>
      </c>
      <c r="AC84" s="91" t="str">
        <f>IFERROR(VLOOKUP(B:B,'[1]9店'!$B:$AB,27,FALSE),"-")</f>
        <v>-</v>
      </c>
      <c r="AD84" s="92" t="str">
        <f t="shared" si="67"/>
        <v>-</v>
      </c>
      <c r="AE84" s="91" t="str">
        <f>IFERROR(SUMIF('9店辅助表'!T:T,B:B,'9店辅助表'!W:W)/SUMIF('9店辅助表'!T:T,B:B,'9店辅助表'!X:X),"-")</f>
        <v>-</v>
      </c>
      <c r="AF84" s="91" t="str">
        <f>IFERROR(SUMIF('9店辅助表'!AC:AC,B:B,'9店辅助表'!AF:AF)/SUMIF('9店辅助表'!AC:AC,B:B,'9店辅助表'!AG:AG),"-")</f>
        <v>-</v>
      </c>
      <c r="AG84" s="99">
        <f>IFERROR(AK84/((SUMIF('9店辅助表'!AT:AT,B:B,'9店辅助表'!AU:AU)+M84)/2),"-")</f>
        <v>0</v>
      </c>
      <c r="AH84" s="99">
        <f>IFERROR(AL84/((SUMIF('9店辅助表'!AW:AW,B:B,'9店辅助表'!AX:AX)+M84)/2),"-")</f>
        <v>0</v>
      </c>
      <c r="AI84" s="100" t="str">
        <f>IFERROR((SUMIF('9店辅助表'!AP:AP,B:B,'9店辅助表'!AR:AR)-SUMIF('9店辅助表'!AP:AP,B:B,'9店辅助表'!AR:AR)*0.15-(L84+IFERROR(VLOOKUP(B:B,'9店辅助表'!AZ:BA,2,0),0))*O84-IF(AN:AN="US",6.85,4.9)*(Z84+4.27*O84))/SUMIF('9店辅助表'!AP:AP,B:B,'9店辅助表'!AR:AR),"-")</f>
        <v>-</v>
      </c>
      <c r="AJ84" s="100" t="str">
        <f t="shared" si="68"/>
        <v>-</v>
      </c>
      <c r="AK84" s="101">
        <f t="shared" si="69"/>
        <v>0</v>
      </c>
      <c r="AL84" s="101">
        <f t="shared" si="70"/>
        <v>0</v>
      </c>
      <c r="AM84" s="1" t="str">
        <f>VLOOKUP(B:B,'9店辅助表'!AZ:AZ,1,FALSE)</f>
        <v>Y9008-2</v>
      </c>
      <c r="AN84" t="str">
        <f>VLOOKUP(B:B,'9店辅助表'!AZ:BB,3,FALSE)</f>
        <v>US</v>
      </c>
    </row>
    <row r="85" customHeight="1" spans="1:40">
      <c r="A85" s="58" t="str">
        <f>INDEX('[1]9店'!$A:$A,MATCH(B:B,'[1]9店'!$B:$B,0))</f>
        <v>美珠</v>
      </c>
      <c r="B85" s="45" t="s">
        <v>3236</v>
      </c>
      <c r="C85" s="45" t="s">
        <v>3230</v>
      </c>
      <c r="D85" s="59">
        <f>VLOOKUP(B:B,'[1]9店'!$B:$L,3,0)</f>
        <v>45103</v>
      </c>
      <c r="E85" s="45" t="s">
        <v>3237</v>
      </c>
      <c r="F85" s="45">
        <v>2</v>
      </c>
      <c r="G85" s="45">
        <v>0</v>
      </c>
      <c r="H85" s="45">
        <v>0</v>
      </c>
      <c r="I85" s="45">
        <v>0</v>
      </c>
      <c r="J85" s="45">
        <v>0</v>
      </c>
      <c r="K85" s="63">
        <f t="shared" si="59"/>
        <v>2</v>
      </c>
      <c r="L85" s="64">
        <f>IFERROR(VLOOKUP($B:$B,'[1]9店'!$B:$L,11,0),0)</f>
        <v>73.5</v>
      </c>
      <c r="M85" s="44">
        <f t="shared" si="60"/>
        <v>147</v>
      </c>
      <c r="N85" s="65">
        <f>IFERROR(VLOOKUP(B:B,'9店辅助表'!B:C,2,FALSE),0)</f>
        <v>0</v>
      </c>
      <c r="O85" s="65">
        <f>IFERROR(VLOOKUP(B:B,'9店辅助表'!E:F,2,FALSE),0)</f>
        <v>0</v>
      </c>
      <c r="P85" s="65">
        <f>IFERROR(VLOOKUP(B:B,'9店辅助表'!H:I,2,FALSE),0)</f>
        <v>0</v>
      </c>
      <c r="Q85" s="65">
        <f>IFERROR(VLOOKUP(B:B,'[1]9店'!$B:$N,13,FALSE),0)</f>
        <v>0</v>
      </c>
      <c r="R85" s="79">
        <f t="shared" si="61"/>
        <v>0</v>
      </c>
      <c r="S85" s="80" t="str">
        <f t="shared" si="62"/>
        <v>-</v>
      </c>
      <c r="T85" s="44" t="str">
        <f t="shared" si="63"/>
        <v>-</v>
      </c>
      <c r="U85" s="44" t="str">
        <f>IFERROR(VLOOKUP(B:B,'[1]9店'!$B:$T,19,0),"-")</f>
        <v>-</v>
      </c>
      <c r="V85" s="81" t="str">
        <f t="shared" si="64"/>
        <v>-</v>
      </c>
      <c r="W85" s="82" t="str">
        <f t="shared" si="65"/>
        <v>有库存无销量</v>
      </c>
      <c r="X85" s="83" t="str">
        <f t="shared" si="66"/>
        <v>有库存无销量</v>
      </c>
      <c r="Y85" s="44">
        <f>IFERROR(SUMIF('9店辅助表'!K:K,B:B,'9店辅助表'!N:N),0)</f>
        <v>0</v>
      </c>
      <c r="Z85" s="44">
        <f>IFERROR(SUMIF('9店辅助表'!T:T,B:B,'9店辅助表'!W:W),0)</f>
        <v>0</v>
      </c>
      <c r="AA85" s="44">
        <f>IFERROR(SUMIF('9店辅助表'!AC:AC,B:B,'9店辅助表'!AF:AF),0)</f>
        <v>0</v>
      </c>
      <c r="AB85" s="91" t="str">
        <f>IFERROR(SUMIF('9店辅助表'!K:K,B:B,'9店辅助表'!N:N)/SUMIF('9店辅助表'!K:K,B:B,'9店辅助表'!O:O),"-")</f>
        <v>-</v>
      </c>
      <c r="AC85" s="91" t="str">
        <f>IFERROR(VLOOKUP(B:B,'[1]9店'!$B:$AB,27,FALSE),"-")</f>
        <v>-</v>
      </c>
      <c r="AD85" s="92" t="str">
        <f t="shared" si="67"/>
        <v>-</v>
      </c>
      <c r="AE85" s="91" t="str">
        <f>IFERROR(SUMIF('9店辅助表'!T:T,B:B,'9店辅助表'!W:W)/SUMIF('9店辅助表'!T:T,B:B,'9店辅助表'!X:X),"-")</f>
        <v>-</v>
      </c>
      <c r="AF85" s="91" t="str">
        <f>IFERROR(SUMIF('9店辅助表'!AC:AC,B:B,'9店辅助表'!AF:AF)/SUMIF('9店辅助表'!AC:AC,B:B,'9店辅助表'!AG:AG),"-")</f>
        <v>-</v>
      </c>
      <c r="AG85" s="99">
        <f>IFERROR(AK85/((SUMIF('9店辅助表'!AT:AT,B:B,'9店辅助表'!AU:AU)+M85)/2),"-")</f>
        <v>0</v>
      </c>
      <c r="AH85" s="99">
        <f>IFERROR(AL85/((SUMIF('9店辅助表'!AW:AW,B:B,'9店辅助表'!AX:AX)+M85)/2),"-")</f>
        <v>0</v>
      </c>
      <c r="AI85" s="100" t="str">
        <f>IFERROR((SUMIF('9店辅助表'!AP:AP,B:B,'9店辅助表'!AR:AR)-SUMIF('9店辅助表'!AP:AP,B:B,'9店辅助表'!AR:AR)*0.15-(L85+IFERROR(VLOOKUP(B:B,'9店辅助表'!AZ:BA,2,0),0))*O85-IF(AN:AN="US",6.85,4.9)*(Z85+4.27*O85))/SUMIF('9店辅助表'!AP:AP,B:B,'9店辅助表'!AR:AR),"-")</f>
        <v>-</v>
      </c>
      <c r="AJ85" s="100" t="str">
        <f t="shared" si="68"/>
        <v>-</v>
      </c>
      <c r="AK85" s="101">
        <f t="shared" si="69"/>
        <v>0</v>
      </c>
      <c r="AL85" s="101">
        <f t="shared" si="70"/>
        <v>0</v>
      </c>
      <c r="AM85" s="1" t="str">
        <f>VLOOKUP(B:B,'9店辅助表'!AZ:AZ,1,FALSE)</f>
        <v>Y9008-S</v>
      </c>
      <c r="AN85" t="str">
        <f>VLOOKUP(B:B,'9店辅助表'!AZ:BB,3,FALSE)</f>
        <v>US</v>
      </c>
    </row>
    <row r="86" customHeight="1" spans="1:40">
      <c r="A86" s="58" t="str">
        <f>INDEX('[1]9店'!$A:$A,MATCH(B:B,'[1]9店'!$B:$B,0))</f>
        <v>子杰</v>
      </c>
      <c r="B86" s="45" t="s">
        <v>3238</v>
      </c>
      <c r="C86" s="45" t="s">
        <v>3239</v>
      </c>
      <c r="D86" s="59">
        <f>VLOOKUP(B:B,'[1]9店'!$B:$L,3,0)</f>
        <v>45191</v>
      </c>
      <c r="E86" s="45" t="s">
        <v>3240</v>
      </c>
      <c r="F86" s="45">
        <v>10</v>
      </c>
      <c r="G86" s="45">
        <v>0</v>
      </c>
      <c r="H86" s="45">
        <v>0</v>
      </c>
      <c r="I86" s="45">
        <v>0</v>
      </c>
      <c r="J86" s="45">
        <v>3</v>
      </c>
      <c r="K86" s="63">
        <f t="shared" ref="K86:K110" si="71">F86+G86+H86+I86+J86</f>
        <v>13</v>
      </c>
      <c r="L86" s="64">
        <f>IFERROR(VLOOKUP($B:$B,'[1]9店'!$B:$L,11,0),0)</f>
        <v>45.2</v>
      </c>
      <c r="M86" s="44">
        <f t="shared" ref="M86:M110" si="72">K86*L86</f>
        <v>587.6</v>
      </c>
      <c r="N86" s="65">
        <f>IFERROR(VLOOKUP(B:B,'9店辅助表'!B:C,2,FALSE),0)</f>
        <v>2</v>
      </c>
      <c r="O86" s="65">
        <f>IFERROR(VLOOKUP(B:B,'9店辅助表'!E:F,2,FALSE),0)</f>
        <v>3</v>
      </c>
      <c r="P86" s="65">
        <f>IFERROR(VLOOKUP(B:B,'9店辅助表'!H:I,2,FALSE),0)</f>
        <v>6</v>
      </c>
      <c r="Q86" s="65">
        <f>IFERROR(VLOOKUP(B:B,'[1]9店'!$B:$N,13,FALSE),0)</f>
        <v>1</v>
      </c>
      <c r="R86" s="79">
        <f t="shared" ref="R86:R110" si="73">N86-Q86</f>
        <v>1</v>
      </c>
      <c r="S86" s="80">
        <f t="shared" ref="S86:S110" si="74">IFERROR(K86/((N86/7+O86/15+P86/30)/3),"-")</f>
        <v>56.875</v>
      </c>
      <c r="T86" s="44">
        <f t="shared" ref="T86:T110" si="75">IFERROR(S86/30,"-")</f>
        <v>1.89583333333333</v>
      </c>
      <c r="U86" s="44">
        <f>IFERROR(VLOOKUP(B:B,'[1]9店'!$B:$T,19,0),"-")</f>
        <v>4.15116279069767</v>
      </c>
      <c r="V86" s="81">
        <f t="shared" ref="V86:V110" si="76">IFERROR(T86-U86,"-")</f>
        <v>-2.25532945736434</v>
      </c>
      <c r="W86" s="82" t="str">
        <f t="shared" ref="W86:W110" si="77">_xlfn.IFS(AND(D86&lt;&gt;0,D86-$AM$2&gt;=0,B86&gt;0,D86&lt;&gt;0),"本月刚到货",AND(IFERROR((K86/(N86/7))/30,"-")="-",K86&gt;0),"有库存无销量",AND(IFERROR((K86/(N86/7))/30,"-")="-",K86=0),"无库存无销量",AND(IFERROR((K86/(N86/7))/30,"-")&lt;=0.5,K86=0),"无库存有销量",IFERROR((K86/(N86/7))/30,"-")&lt;=0.5,"库存过低",IFERROR((K86/(N86/7))/30,"-")&lt;=1.5,"正常",IFERROR((K86/(N86/7))/30,"-")&gt;1.5,"库存过高")</f>
        <v>库存过高</v>
      </c>
      <c r="X86" s="83" t="str">
        <f t="shared" ref="X86:X110" si="78">_xlfn.IFS(AND(D86&lt;&gt;0,D86-$AM$2&gt;=0,K86&gt;0,D86&lt;&gt;0),"本月刚到货",AND(T86="-",K86&gt;0),"有库存无销量",AND(T86="-",K86=0),"无库存无销量",AND(T86&lt;=0.5,K86=0),"无库存有销量",T86&lt;=0.5,"库存过低",T86&lt;=1.5,"正常",T86&gt;1.5,"库存过高")</f>
        <v>库存过高</v>
      </c>
      <c r="Y86" s="44">
        <f>IFERROR(SUMIF('9店辅助表'!K:K,B:B,'9店辅助表'!N:N),0)</f>
        <v>36.02</v>
      </c>
      <c r="Z86" s="44">
        <f>IFERROR(SUMIF('9店辅助表'!T:T,B:B,'9店辅助表'!W:W),0)</f>
        <v>67.66</v>
      </c>
      <c r="AA86" s="44">
        <f>IFERROR(SUMIF('9店辅助表'!AC:AC,B:B,'9店辅助表'!AF:AF),0)</f>
        <v>109.15</v>
      </c>
      <c r="AB86" s="91">
        <f>IFERROR(SUMIF('9店辅助表'!K:K,B:B,'9店辅助表'!N:N)/SUMIF('9店辅助表'!K:K,B:B,'9店辅助表'!O:O),"-")</f>
        <v>0.240181369607255</v>
      </c>
      <c r="AC86" s="91">
        <f>IFERROR(VLOOKUP(B:B,'[1]9店'!$B:$AB,27,FALSE),"-")</f>
        <v>0.224222722347253</v>
      </c>
      <c r="AD86" s="92">
        <f t="shared" ref="AD86:AD110" si="79">IFERROR(AB86-AC86,"-")</f>
        <v>0.015958647260002</v>
      </c>
      <c r="AE86" s="91">
        <f>IFERROR(SUMIF('9店辅助表'!T:T,B:B,'9店辅助表'!W:W)/SUMIF('9店辅助表'!T:T,B:B,'9店辅助表'!X:X),"-")</f>
        <v>0.250648292213084</v>
      </c>
      <c r="AF86" s="91">
        <f>IFERROR(SUMIF('9店辅助表'!AC:AC,B:B,'9店辅助表'!AF:AF)/SUMIF('9店辅助表'!AC:AC,B:B,'9店辅助表'!AG:AG),"-")</f>
        <v>0.19153155050186</v>
      </c>
      <c r="AG86" s="99">
        <f>IFERROR(AK86/((SUMIF('9店辅助表'!AT:AT,B:B,'9店辅助表'!AU:AU)+M86)/2),"-")</f>
        <v>0.133333333333333</v>
      </c>
      <c r="AH86" s="99">
        <f>IFERROR(AL86/((SUMIF('9店辅助表'!AW:AW,B:B,'9店辅助表'!AX:AX)+M86)/2),"-")</f>
        <v>0.193548387096774</v>
      </c>
      <c r="AI86" s="100">
        <f>IFERROR((SUMIF('9店辅助表'!AP:AP,B:B,'9店辅助表'!AR:AR)-SUMIF('9店辅助表'!AP:AP,B:B,'9店辅助表'!AR:AR)*0.15-(L86+IFERROR(VLOOKUP(B:B,'9店辅助表'!AZ:BA,2,0),0))*O86-IF(AN:AN="US",6.85,4.9)*(Z86+7.81*O86))/SUMIF('9店辅助表'!AP:AP,B:B,'9店辅助表'!AR:AR),"-")</f>
        <v>0.0368305534586236</v>
      </c>
      <c r="AJ86" s="100">
        <f t="shared" ref="AJ86:AJ110" si="80">IFERROR(AH86*AI86,"-")</f>
        <v>0.00712849421779812</v>
      </c>
      <c r="AK86" s="101">
        <f t="shared" ref="AK86:AK110" si="81">N86*$L86</f>
        <v>90.4</v>
      </c>
      <c r="AL86" s="101">
        <f t="shared" ref="AL86:AL110" si="82">O86*$L86</f>
        <v>135.6</v>
      </c>
      <c r="AM86" s="1" t="str">
        <f>VLOOKUP(B:B,'9店辅助表'!AZ:AZ,1,FALSE)</f>
        <v>Y9009-KH</v>
      </c>
      <c r="AN86" t="str">
        <f>VLOOKUP(B:B,'9店辅助表'!AZ:BB,3,FALSE)</f>
        <v>US</v>
      </c>
    </row>
    <row r="87" customHeight="1" spans="1:40">
      <c r="A87" s="58" t="str">
        <f>INDEX('[1]9店'!$A:$A,MATCH(B:B,'[1]9店'!$B:$B,0))</f>
        <v>子杰</v>
      </c>
      <c r="B87" s="45" t="s">
        <v>3241</v>
      </c>
      <c r="C87" s="45" t="s">
        <v>3242</v>
      </c>
      <c r="D87" s="59">
        <f>VLOOKUP(B:B,'[1]9店'!$B:$L,3,0)</f>
        <v>45191</v>
      </c>
      <c r="E87" s="45" t="s">
        <v>3243</v>
      </c>
      <c r="F87" s="45">
        <v>16</v>
      </c>
      <c r="G87" s="45">
        <v>0</v>
      </c>
      <c r="H87" s="45">
        <v>2</v>
      </c>
      <c r="I87" s="45">
        <v>0</v>
      </c>
      <c r="J87" s="45">
        <v>0</v>
      </c>
      <c r="K87" s="63">
        <f t="shared" si="71"/>
        <v>18</v>
      </c>
      <c r="L87" s="64">
        <f>IFERROR(VLOOKUP($B:$B,'[1]9店'!$B:$L,11,0),0)</f>
        <v>45.2</v>
      </c>
      <c r="M87" s="44">
        <f t="shared" si="72"/>
        <v>813.6</v>
      </c>
      <c r="N87" s="65">
        <f>IFERROR(VLOOKUP(B:B,'9店辅助表'!B:C,2,FALSE),0)</f>
        <v>0</v>
      </c>
      <c r="O87" s="65">
        <f>IFERROR(VLOOKUP(B:B,'9店辅助表'!E:F,2,FALSE),0)</f>
        <v>0</v>
      </c>
      <c r="P87" s="65">
        <f>IFERROR(VLOOKUP(B:B,'9店辅助表'!H:I,2,FALSE),0)</f>
        <v>1</v>
      </c>
      <c r="Q87" s="65">
        <f>IFERROR(VLOOKUP(B:B,'[1]9店'!$B:$N,13,FALSE),0)</f>
        <v>0</v>
      </c>
      <c r="R87" s="79">
        <f t="shared" si="73"/>
        <v>0</v>
      </c>
      <c r="S87" s="80">
        <f t="shared" si="74"/>
        <v>1620</v>
      </c>
      <c r="T87" s="44">
        <f t="shared" si="75"/>
        <v>54</v>
      </c>
      <c r="U87" s="44">
        <f>IFERROR(VLOOKUP(B:B,'[1]9店'!$B:$T,19,0),"-")</f>
        <v>18</v>
      </c>
      <c r="V87" s="81">
        <f t="shared" si="76"/>
        <v>36</v>
      </c>
      <c r="W87" s="82" t="str">
        <f t="shared" si="77"/>
        <v>有库存无销量</v>
      </c>
      <c r="X87" s="83" t="str">
        <f t="shared" si="78"/>
        <v>库存过高</v>
      </c>
      <c r="Y87" s="44">
        <f>IFERROR(SUMIF('9店辅助表'!K:K,B:B,'9店辅助表'!N:N),0)</f>
        <v>19.82</v>
      </c>
      <c r="Z87" s="44">
        <f>IFERROR(SUMIF('9店辅助表'!T:T,B:B,'9店辅助表'!W:W),0)</f>
        <v>22.15</v>
      </c>
      <c r="AA87" s="44">
        <f>IFERROR(SUMIF('9店辅助表'!AC:AC,B:B,'9店辅助表'!AF:AF),0)</f>
        <v>22.15</v>
      </c>
      <c r="AB87" s="91" t="str">
        <f>IFERROR(SUMIF('9店辅助表'!K:K,B:B,'9店辅助表'!N:N)/SUMIF('9店辅助表'!K:K,B:B,'9店辅助表'!O:O),"-")</f>
        <v>-</v>
      </c>
      <c r="AC87" s="91" t="str">
        <f>IFERROR(VLOOKUP(B:B,'[1]9店'!$B:$AB,27,FALSE),"-")</f>
        <v>-</v>
      </c>
      <c r="AD87" s="92" t="str">
        <f t="shared" si="79"/>
        <v>-</v>
      </c>
      <c r="AE87" s="91" t="str">
        <f>IFERROR(SUMIF('9店辅助表'!T:T,B:B,'9店辅助表'!W:W)/SUMIF('9店辅助表'!T:T,B:B,'9店辅助表'!X:X),"-")</f>
        <v>-</v>
      </c>
      <c r="AF87" s="91" t="str">
        <f>IFERROR(SUMIF('9店辅助表'!AC:AC,B:B,'9店辅助表'!AF:AF)/SUMIF('9店辅助表'!AC:AC,B:B,'9店辅助表'!AG:AG),"-")</f>
        <v>-</v>
      </c>
      <c r="AG87" s="99">
        <f>IFERROR(AK87/((SUMIF('9店辅助表'!AT:AT,B:B,'9店辅助表'!AU:AU)+M87)/2),"-")</f>
        <v>0</v>
      </c>
      <c r="AH87" s="99">
        <f>IFERROR(AL87/((SUMIF('9店辅助表'!AW:AW,B:B,'9店辅助表'!AX:AX)+M87)/2),"-")</f>
        <v>0</v>
      </c>
      <c r="AI87" s="100" t="str">
        <f>IFERROR((SUMIF('9店辅助表'!AP:AP,B:B,'9店辅助表'!AR:AR)-SUMIF('9店辅助表'!AP:AP,B:B,'9店辅助表'!AR:AR)*0.15-(L87+IFERROR(VLOOKUP(B:B,'9店辅助表'!AZ:BA,2,0),0))*O87-IF(AN:AN="US",6.85,4.9)*(Z87+7.81*O87))/SUMIF('9店辅助表'!AP:AP,B:B,'9店辅助表'!AR:AR),"-")</f>
        <v>-</v>
      </c>
      <c r="AJ87" s="100" t="str">
        <f t="shared" si="80"/>
        <v>-</v>
      </c>
      <c r="AK87" s="101">
        <f t="shared" si="81"/>
        <v>0</v>
      </c>
      <c r="AL87" s="101">
        <f t="shared" si="82"/>
        <v>0</v>
      </c>
      <c r="AM87" s="1" t="str">
        <f>VLOOKUP(B:B,'9店辅助表'!AZ:AZ,1,FALSE)</f>
        <v>Y9009-PI</v>
      </c>
      <c r="AN87" t="str">
        <f>VLOOKUP(B:B,'9店辅助表'!AZ:BB,3,FALSE)</f>
        <v>US</v>
      </c>
    </row>
    <row r="88" customHeight="1" spans="1:40">
      <c r="A88" s="58" t="str">
        <f>INDEX('[1]9店'!$A:$A,MATCH(B:B,'[1]9店'!$B:$B,0))</f>
        <v>子杰</v>
      </c>
      <c r="B88" s="45" t="s">
        <v>3244</v>
      </c>
      <c r="C88" s="45" t="s">
        <v>3245</v>
      </c>
      <c r="D88" s="59">
        <f>VLOOKUP(B:B,'[1]9店'!$B:$L,3,0)</f>
        <v>45191</v>
      </c>
      <c r="E88" s="45" t="s">
        <v>3246</v>
      </c>
      <c r="F88" s="45">
        <v>2</v>
      </c>
      <c r="G88" s="45">
        <v>0</v>
      </c>
      <c r="H88" s="45">
        <v>0</v>
      </c>
      <c r="I88" s="45">
        <v>0</v>
      </c>
      <c r="J88" s="45">
        <v>2</v>
      </c>
      <c r="K88" s="63">
        <f t="shared" si="71"/>
        <v>4</v>
      </c>
      <c r="L88" s="64">
        <f>IFERROR(VLOOKUP($B:$B,'[1]9店'!$B:$L,11,0),0)</f>
        <v>45.2</v>
      </c>
      <c r="M88" s="44">
        <f t="shared" si="72"/>
        <v>180.8</v>
      </c>
      <c r="N88" s="65">
        <f>IFERROR(VLOOKUP(B:B,'9店辅助表'!B:C,2,FALSE),0)</f>
        <v>0</v>
      </c>
      <c r="O88" s="65">
        <f>IFERROR(VLOOKUP(B:B,'9店辅助表'!E:F,2,FALSE),0)</f>
        <v>7</v>
      </c>
      <c r="P88" s="65">
        <f>IFERROR(VLOOKUP(B:B,'9店辅助表'!H:I,2,FALSE),0)</f>
        <v>16</v>
      </c>
      <c r="Q88" s="65">
        <f>IFERROR(VLOOKUP(B:B,'[1]9店'!$B:$N,13,FALSE),0)</f>
        <v>7</v>
      </c>
      <c r="R88" s="79">
        <f t="shared" si="73"/>
        <v>-7</v>
      </c>
      <c r="S88" s="80">
        <f t="shared" si="74"/>
        <v>12</v>
      </c>
      <c r="T88" s="44">
        <f t="shared" si="75"/>
        <v>0.4</v>
      </c>
      <c r="U88" s="44">
        <f>IFERROR(VLOOKUP(B:B,'[1]9店'!$B:$T,19,0),"-")</f>
        <v>0.236842105263158</v>
      </c>
      <c r="V88" s="81">
        <f t="shared" si="76"/>
        <v>0.163157894736842</v>
      </c>
      <c r="W88" s="82" t="str">
        <f t="shared" si="77"/>
        <v>有库存无销量</v>
      </c>
      <c r="X88" s="83" t="str">
        <f t="shared" si="78"/>
        <v>库存过低</v>
      </c>
      <c r="Y88" s="44">
        <f>IFERROR(SUMIF('9店辅助表'!K:K,B:B,'9店辅助表'!N:N),0)</f>
        <v>0</v>
      </c>
      <c r="Z88" s="44">
        <f>IFERROR(SUMIF('9店辅助表'!T:T,B:B,'9店辅助表'!W:W),0)</f>
        <v>34.51</v>
      </c>
      <c r="AA88" s="44">
        <f>IFERROR(SUMIF('9店辅助表'!AC:AC,B:B,'9店辅助表'!AF:AF),0)</f>
        <v>67.93</v>
      </c>
      <c r="AB88" s="91" t="str">
        <f>IFERROR(SUMIF('9店辅助表'!K:K,B:B,'9店辅助表'!N:N)/SUMIF('9店辅助表'!K:K,B:B,'9店辅助表'!O:O),"-")</f>
        <v>-</v>
      </c>
      <c r="AC88" s="91">
        <f>IFERROR(VLOOKUP(B:B,'[1]9店'!$B:$AB,27,FALSE),"-")</f>
        <v>0.306012110726644</v>
      </c>
      <c r="AD88" s="92" t="str">
        <f t="shared" si="79"/>
        <v>-</v>
      </c>
      <c r="AE88" s="91">
        <f>IFERROR(SUMIF('9店辅助表'!T:T,B:B,'9店辅助表'!W:W)/SUMIF('9店辅助表'!T:T,B:B,'9店辅助表'!X:X),"-")</f>
        <v>0.373161764705882</v>
      </c>
      <c r="AF88" s="91">
        <f>IFERROR(SUMIF('9店辅助表'!AC:AC,B:B,'9店辅助表'!AF:AF)/SUMIF('9店辅助表'!AC:AC,B:B,'9店辅助表'!AG:AG),"-")</f>
        <v>0.198376310486815</v>
      </c>
      <c r="AG88" s="99">
        <f>IFERROR(AK88/((SUMIF('9店辅助表'!AT:AT,B:B,'9店辅助表'!AU:AU)+M88)/2),"-")</f>
        <v>0</v>
      </c>
      <c r="AH88" s="99">
        <f>IFERROR(AL88/((SUMIF('9店辅助表'!AW:AW,B:B,'9店辅助表'!AX:AX)+M88)/2),"-")</f>
        <v>0.538461538461539</v>
      </c>
      <c r="AI88" s="100">
        <f>IFERROR((SUMIF('9店辅助表'!AP:AP,B:B,'9店辅助表'!AR:AR)-SUMIF('9店辅助表'!AP:AP,B:B,'9店辅助表'!AR:AR)*0.15-(L88+IFERROR(VLOOKUP(B:B,'9店辅助表'!AZ:BA,2,0),0))*O88-IF(AN:AN="US",6.85,4.9)*(Z88+7.81*O88))/SUMIF('9店辅助表'!AP:AP,B:B,'9店辅助表'!AR:AR),"-")</f>
        <v>0.252848697459006</v>
      </c>
      <c r="AJ88" s="100">
        <f t="shared" si="80"/>
        <v>0.136149298631772</v>
      </c>
      <c r="AK88" s="101">
        <f t="shared" si="81"/>
        <v>0</v>
      </c>
      <c r="AL88" s="101">
        <f t="shared" si="82"/>
        <v>316.4</v>
      </c>
      <c r="AM88" s="1" t="str">
        <f>VLOOKUP(B:B,'9店辅助表'!AZ:AZ,1,FALSE)</f>
        <v>Y9009-WH</v>
      </c>
      <c r="AN88" t="str">
        <f>VLOOKUP(B:B,'9店辅助表'!AZ:BB,3,FALSE)</f>
        <v>US</v>
      </c>
    </row>
    <row r="89" customHeight="1" spans="1:40">
      <c r="A89" s="58" t="str">
        <f>INDEX('[1]9店'!$A:$A,MATCH(B:B,'[1]9店'!$B:$B,0))</f>
        <v>子杰</v>
      </c>
      <c r="B89" s="45" t="s">
        <v>3247</v>
      </c>
      <c r="C89" s="45" t="s">
        <v>3248</v>
      </c>
      <c r="D89" s="59">
        <f>VLOOKUP(B:B,'[1]9店'!$B:$L,3,0)</f>
        <v>45191</v>
      </c>
      <c r="E89" s="45" t="s">
        <v>3249</v>
      </c>
      <c r="F89" s="45">
        <v>15</v>
      </c>
      <c r="G89" s="45">
        <v>0</v>
      </c>
      <c r="H89" s="45">
        <v>2</v>
      </c>
      <c r="I89" s="45">
        <v>1</v>
      </c>
      <c r="J89" s="45">
        <v>0</v>
      </c>
      <c r="K89" s="63">
        <f t="shared" si="71"/>
        <v>18</v>
      </c>
      <c r="L89" s="64">
        <f>IFERROR(VLOOKUP($B:$B,'[1]9店'!$B:$L,11,0),0)</f>
        <v>45</v>
      </c>
      <c r="M89" s="44">
        <f t="shared" si="72"/>
        <v>810</v>
      </c>
      <c r="N89" s="65">
        <f>IFERROR(VLOOKUP(B:B,'9店辅助表'!B:C,2,FALSE),0)</f>
        <v>0</v>
      </c>
      <c r="O89" s="65">
        <f>IFERROR(VLOOKUP(B:B,'9店辅助表'!E:F,2,FALSE),0)</f>
        <v>2</v>
      </c>
      <c r="P89" s="65">
        <f>IFERROR(VLOOKUP(B:B,'9店辅助表'!H:I,2,FALSE),0)</f>
        <v>3</v>
      </c>
      <c r="Q89" s="65">
        <f>IFERROR(VLOOKUP(B:B,'[1]9店'!$B:$N,13,FALSE),0)</f>
        <v>2</v>
      </c>
      <c r="R89" s="79">
        <f t="shared" si="73"/>
        <v>-2</v>
      </c>
      <c r="S89" s="80">
        <f t="shared" si="74"/>
        <v>231.428571428571</v>
      </c>
      <c r="T89" s="44">
        <f t="shared" si="75"/>
        <v>7.71428571428571</v>
      </c>
      <c r="U89" s="44">
        <f>IFERROR(VLOOKUP(B:B,'[1]9店'!$B:$T,19,0),"-")</f>
        <v>3.24390243902439</v>
      </c>
      <c r="V89" s="81">
        <f t="shared" si="76"/>
        <v>4.47038327526132</v>
      </c>
      <c r="W89" s="82" t="str">
        <f t="shared" si="77"/>
        <v>有库存无销量</v>
      </c>
      <c r="X89" s="83" t="str">
        <f t="shared" si="78"/>
        <v>库存过高</v>
      </c>
      <c r="Y89" s="44">
        <f>IFERROR(SUMIF('9店辅助表'!K:K,B:B,'9店辅助表'!N:N),0)</f>
        <v>10.46</v>
      </c>
      <c r="Z89" s="44">
        <f>IFERROR(SUMIF('9店辅助表'!T:T,B:B,'9店辅助表'!W:W),0)</f>
        <v>10.93</v>
      </c>
      <c r="AA89" s="44">
        <f>IFERROR(SUMIF('9店辅助表'!AC:AC,B:B,'9店辅助表'!AF:AF),0)</f>
        <v>10.93</v>
      </c>
      <c r="AB89" s="91" t="str">
        <f>IFERROR(SUMIF('9店辅助表'!K:K,B:B,'9店辅助表'!N:N)/SUMIF('9店辅助表'!K:K,B:B,'9店辅助表'!O:O),"-")</f>
        <v>-</v>
      </c>
      <c r="AC89" s="91" t="str">
        <f>IFERROR(VLOOKUP(B:B,'[1]9店'!$B:$AB,27,FALSE),"-")</f>
        <v>-</v>
      </c>
      <c r="AD89" s="92" t="str">
        <f t="shared" si="79"/>
        <v>-</v>
      </c>
      <c r="AE89" s="91" t="str">
        <f>IFERROR(SUMIF('9店辅助表'!T:T,B:B,'9店辅助表'!W:W)/SUMIF('9店辅助表'!T:T,B:B,'9店辅助表'!X:X),"-")</f>
        <v>-</v>
      </c>
      <c r="AF89" s="91" t="str">
        <f>IFERROR(SUMIF('9店辅助表'!AC:AC,B:B,'9店辅助表'!AF:AF)/SUMIF('9店辅助表'!AC:AC,B:B,'9店辅助表'!AG:AG),"-")</f>
        <v>-</v>
      </c>
      <c r="AG89" s="99">
        <f>IFERROR(AK89/((SUMIF('9店辅助表'!AT:AT,B:B,'9店辅助表'!AU:AU)+M89)/2),"-")</f>
        <v>0</v>
      </c>
      <c r="AH89" s="99">
        <f>IFERROR(AL89/((SUMIF('9店辅助表'!AW:AW,B:B,'9店辅助表'!AX:AX)+M89)/2),"-")</f>
        <v>0.105263157894737</v>
      </c>
      <c r="AI89" s="100">
        <f>IFERROR((SUMIF('9店辅助表'!AP:AP,B:B,'9店辅助表'!AR:AR)-SUMIF('9店辅助表'!AP:AP,B:B,'9店辅助表'!AR:AR)*0.15-(L89+IFERROR(VLOOKUP(B:B,'9店辅助表'!AZ:BA,2,0),0))*O89-IF(AN:AN="US",6.85,4.9)*(Z89+7.81*O89))/SUMIF('9店辅助表'!AP:AP,B:B,'9店辅助表'!AR:AR),"-")</f>
        <v>0.19339257201512</v>
      </c>
      <c r="AJ89" s="100">
        <f t="shared" si="80"/>
        <v>0.0203571128436968</v>
      </c>
      <c r="AK89" s="101">
        <f t="shared" si="81"/>
        <v>0</v>
      </c>
      <c r="AL89" s="101">
        <f t="shared" si="82"/>
        <v>90</v>
      </c>
      <c r="AM89" s="1" t="str">
        <f>VLOOKUP(B:B,'9店辅助表'!AZ:AZ,1,FALSE)</f>
        <v>Y9010-KH</v>
      </c>
      <c r="AN89" t="str">
        <f>VLOOKUP(B:B,'9店辅助表'!AZ:BB,3,FALSE)</f>
        <v>US</v>
      </c>
    </row>
    <row r="90" customHeight="1" spans="1:40">
      <c r="A90" s="58" t="str">
        <f>INDEX('[1]9店'!$A:$A,MATCH(B:B,'[1]9店'!$B:$B,0))</f>
        <v>子杰</v>
      </c>
      <c r="B90" s="45" t="s">
        <v>3250</v>
      </c>
      <c r="C90" s="45" t="s">
        <v>3242</v>
      </c>
      <c r="D90" s="59">
        <f>VLOOKUP(B:B,'[1]9店'!$B:$L,3,0)</f>
        <v>45191</v>
      </c>
      <c r="E90" s="45" t="s">
        <v>3251</v>
      </c>
      <c r="F90" s="45">
        <v>10</v>
      </c>
      <c r="G90" s="45">
        <v>0</v>
      </c>
      <c r="H90" s="45">
        <v>1</v>
      </c>
      <c r="I90" s="45">
        <v>1</v>
      </c>
      <c r="J90" s="45">
        <v>1</v>
      </c>
      <c r="K90" s="63">
        <f t="shared" si="71"/>
        <v>13</v>
      </c>
      <c r="L90" s="64">
        <f>IFERROR(VLOOKUP($B:$B,'[1]9店'!$B:$L,11,0),0)</f>
        <v>45</v>
      </c>
      <c r="M90" s="44">
        <f t="shared" si="72"/>
        <v>585</v>
      </c>
      <c r="N90" s="65">
        <f>IFERROR(VLOOKUP(B:B,'9店辅助表'!B:C,2,FALSE),0)</f>
        <v>1</v>
      </c>
      <c r="O90" s="65">
        <f>IFERROR(VLOOKUP(B:B,'9店辅助表'!E:F,2,FALSE),0)</f>
        <v>3</v>
      </c>
      <c r="P90" s="65">
        <f>IFERROR(VLOOKUP(B:B,'9店辅助表'!H:I,2,FALSE),0)</f>
        <v>6</v>
      </c>
      <c r="Q90" s="65">
        <f>IFERROR(VLOOKUP(B:B,'[1]9店'!$B:$N,13,FALSE),0)</f>
        <v>2</v>
      </c>
      <c r="R90" s="79">
        <f t="shared" si="73"/>
        <v>-1</v>
      </c>
      <c r="S90" s="80">
        <f t="shared" si="74"/>
        <v>71.8421052631579</v>
      </c>
      <c r="T90" s="44">
        <f t="shared" si="75"/>
        <v>2.39473684210526</v>
      </c>
      <c r="U90" s="44">
        <f>IFERROR(VLOOKUP(B:B,'[1]9店'!$B:$T,19,0),"-")</f>
        <v>2.08609271523179</v>
      </c>
      <c r="V90" s="81">
        <f t="shared" si="76"/>
        <v>0.30864412687347</v>
      </c>
      <c r="W90" s="82" t="str">
        <f t="shared" si="77"/>
        <v>库存过高</v>
      </c>
      <c r="X90" s="83" t="str">
        <f t="shared" si="78"/>
        <v>库存过高</v>
      </c>
      <c r="Y90" s="44">
        <f>IFERROR(SUMIF('9店辅助表'!K:K,B:B,'9店辅助表'!N:N),0)</f>
        <v>8.05</v>
      </c>
      <c r="Z90" s="44">
        <f>IFERROR(SUMIF('9店辅助表'!T:T,B:B,'9店辅助表'!W:W),0)</f>
        <v>35.83</v>
      </c>
      <c r="AA90" s="44">
        <f>IFERROR(SUMIF('9店辅助表'!AC:AC,B:B,'9店辅助表'!AF:AF),0)</f>
        <v>63.75</v>
      </c>
      <c r="AB90" s="91" t="str">
        <f>IFERROR(SUMIF('9店辅助表'!K:K,B:B,'9店辅助表'!N:N)/SUMIF('9店辅助表'!K:K,B:B,'9店辅助表'!O:O),"-")</f>
        <v>-</v>
      </c>
      <c r="AC90" s="91">
        <f>IFERROR(VLOOKUP(B:B,'[1]9店'!$B:$AB,27,FALSE),"-")</f>
        <v>0.514095851792187</v>
      </c>
      <c r="AD90" s="92" t="str">
        <f t="shared" si="79"/>
        <v>-</v>
      </c>
      <c r="AE90" s="91">
        <f>IFERROR(SUMIF('9店辅助表'!T:T,B:B,'9店辅助表'!W:W)/SUMIF('9店辅助表'!T:T,B:B,'9店辅助表'!X:X),"-")</f>
        <v>0.721506242448651</v>
      </c>
      <c r="AF90" s="91">
        <f>IFERROR(SUMIF('9店辅助表'!AC:AC,B:B,'9店辅助表'!AF:AF)/SUMIF('9店辅助表'!AC:AC,B:B,'9店辅助表'!AG:AG),"-")</f>
        <v>0.426022453889334</v>
      </c>
      <c r="AG90" s="99">
        <f>IFERROR(AK90/((SUMIF('9店辅助表'!AT:AT,B:B,'9店辅助表'!AU:AU)+M90)/2),"-")</f>
        <v>0.0714285714285714</v>
      </c>
      <c r="AH90" s="99">
        <f>IFERROR(AL90/((SUMIF('9店辅助表'!AW:AW,B:B,'9店辅助表'!AX:AX)+M90)/2),"-")</f>
        <v>0.181818181818182</v>
      </c>
      <c r="AI90" s="100">
        <f>IFERROR((SUMIF('9店辅助表'!AP:AP,B:B,'9店辅助表'!AR:AR)-SUMIF('9店辅助表'!AP:AP,B:B,'9店辅助表'!AR:AR)*0.15-(L90+IFERROR(VLOOKUP(B:B,'9店辅助表'!AZ:BA,2,0),0))*O90-IF(AN:AN="US",6.85,4.9)*(Z90+7.81*O90))/SUMIF('9店辅助表'!AP:AP,B:B,'9店辅助表'!AR:AR),"-")</f>
        <v>0.24833312846208</v>
      </c>
      <c r="AJ90" s="100">
        <f t="shared" si="80"/>
        <v>0.0451514779021964</v>
      </c>
      <c r="AK90" s="101">
        <f t="shared" si="81"/>
        <v>45</v>
      </c>
      <c r="AL90" s="101">
        <f t="shared" si="82"/>
        <v>135</v>
      </c>
      <c r="AM90" s="1" t="str">
        <f>VLOOKUP(B:B,'9店辅助表'!AZ:AZ,1,FALSE)</f>
        <v>Y9010-PI</v>
      </c>
      <c r="AN90" t="str">
        <f>VLOOKUP(B:B,'9店辅助表'!AZ:BB,3,FALSE)</f>
        <v>US</v>
      </c>
    </row>
    <row r="91" customHeight="1" spans="1:40">
      <c r="A91" s="58" t="str">
        <f>INDEX('[1]9店'!$A:$A,MATCH(B:B,'[1]9店'!$B:$B,0))</f>
        <v>子杰</v>
      </c>
      <c r="B91" s="45" t="s">
        <v>3252</v>
      </c>
      <c r="C91" s="45" t="s">
        <v>3253</v>
      </c>
      <c r="D91" s="59">
        <f>VLOOKUP(B:B,'[1]9店'!$B:$L,3,0)</f>
        <v>45191</v>
      </c>
      <c r="E91" s="45" t="s">
        <v>3254</v>
      </c>
      <c r="F91" s="45">
        <v>0</v>
      </c>
      <c r="G91" s="45">
        <v>1</v>
      </c>
      <c r="H91" s="45">
        <v>1</v>
      </c>
      <c r="I91" s="45">
        <v>3</v>
      </c>
      <c r="J91" s="45">
        <v>6</v>
      </c>
      <c r="K91" s="63">
        <f t="shared" si="71"/>
        <v>11</v>
      </c>
      <c r="L91" s="64">
        <f>IFERROR(VLOOKUP($B:$B,'[1]9店'!$B:$L,11,0),0)</f>
        <v>45</v>
      </c>
      <c r="M91" s="44">
        <f t="shared" si="72"/>
        <v>495</v>
      </c>
      <c r="N91" s="65">
        <f>IFERROR(VLOOKUP(B:B,'9店辅助表'!B:C,2,FALSE),0)</f>
        <v>4</v>
      </c>
      <c r="O91" s="65">
        <f>IFERROR(VLOOKUP(B:B,'9店辅助表'!E:F,2,FALSE),0)</f>
        <v>11</v>
      </c>
      <c r="P91" s="65">
        <f>IFERROR(VLOOKUP(B:B,'9店辅助表'!H:I,2,FALSE),0)</f>
        <v>17</v>
      </c>
      <c r="Q91" s="65">
        <f>IFERROR(VLOOKUP(B:B,'[1]9店'!$B:$N,13,FALSE),0)</f>
        <v>7</v>
      </c>
      <c r="R91" s="79">
        <f t="shared" si="73"/>
        <v>-3</v>
      </c>
      <c r="S91" s="80">
        <f t="shared" si="74"/>
        <v>17.6335877862595</v>
      </c>
      <c r="T91" s="44">
        <f t="shared" si="75"/>
        <v>0.587786259541985</v>
      </c>
      <c r="U91" s="44">
        <f>IFERROR(VLOOKUP(B:B,'[1]9店'!$B:$T,19,0),"-")</f>
        <v>0.695652173913043</v>
      </c>
      <c r="V91" s="81">
        <f t="shared" si="76"/>
        <v>-0.107865914371058</v>
      </c>
      <c r="W91" s="82" t="str">
        <f t="shared" si="77"/>
        <v>正常</v>
      </c>
      <c r="X91" s="83" t="str">
        <f t="shared" si="78"/>
        <v>正常</v>
      </c>
      <c r="Y91" s="44">
        <f>IFERROR(SUMIF('9店辅助表'!K:K,B:B,'9店辅助表'!N:N),0)</f>
        <v>0</v>
      </c>
      <c r="Z91" s="44">
        <f>IFERROR(SUMIF('9店辅助表'!T:T,B:B,'9店辅助表'!W:W),0)</f>
        <v>48.6</v>
      </c>
      <c r="AA91" s="44">
        <f>IFERROR(SUMIF('9店辅助表'!AC:AC,B:B,'9店辅助表'!AF:AF),0)</f>
        <v>104.55</v>
      </c>
      <c r="AB91" s="91" t="str">
        <f>IFERROR(SUMIF('9店辅助表'!K:K,B:B,'9店辅助表'!N:N)/SUMIF('9店辅助表'!K:K,B:B,'9店辅助表'!O:O),"-")</f>
        <v>-</v>
      </c>
      <c r="AC91" s="91">
        <f>IFERROR(VLOOKUP(B:B,'[1]9店'!$B:$AB,27,FALSE),"-")</f>
        <v>0.309206257659866</v>
      </c>
      <c r="AD91" s="92" t="str">
        <f t="shared" si="79"/>
        <v>-</v>
      </c>
      <c r="AE91" s="91">
        <f>IFERROR(SUMIF('9店辅助表'!T:T,B:B,'9店辅助表'!W:W)/SUMIF('9店辅助表'!T:T,B:B,'9店辅助表'!X:X),"-")</f>
        <v>0.35037127820633</v>
      </c>
      <c r="AF91" s="91">
        <f>IFERROR(SUMIF('9店辅助表'!AC:AC,B:B,'9店辅助表'!AF:AF)/SUMIF('9店辅助表'!AC:AC,B:B,'9店辅助表'!AG:AG),"-")</f>
        <v>0.318100222107281</v>
      </c>
      <c r="AG91" s="99">
        <f>IFERROR(AK91/((SUMIF('9店辅助表'!AT:AT,B:B,'9店辅助表'!AU:AU)+M91)/2),"-")</f>
        <v>0.296296296296296</v>
      </c>
      <c r="AH91" s="99">
        <f>IFERROR(AL91/((SUMIF('9店辅助表'!AW:AW,B:B,'9店辅助表'!AX:AX)+M91)/2),"-")</f>
        <v>0.709677419354839</v>
      </c>
      <c r="AI91" s="100">
        <f>IFERROR((SUMIF('9店辅助表'!AP:AP,B:B,'9店辅助表'!AR:AR)-SUMIF('9店辅助表'!AP:AP,B:B,'9店辅助表'!AR:AR)*0.15-(L91+IFERROR(VLOOKUP(B:B,'9店辅助表'!AZ:BA,2,0),0))*O91-IF(AN:AN="US",6.85,4.9)*(Z91+7.81*O91))/SUMIF('9店辅助表'!AP:AP,B:B,'9店辅助表'!AR:AR),"-")</f>
        <v>0.235323279302289</v>
      </c>
      <c r="AJ91" s="100">
        <f t="shared" si="80"/>
        <v>0.167003617569366</v>
      </c>
      <c r="AK91" s="101">
        <f t="shared" si="81"/>
        <v>180</v>
      </c>
      <c r="AL91" s="101">
        <f t="shared" si="82"/>
        <v>495</v>
      </c>
      <c r="AM91" s="1" t="str">
        <f>VLOOKUP(B:B,'9店辅助表'!AZ:AZ,1,FALSE)</f>
        <v>Y9010-WH</v>
      </c>
      <c r="AN91" t="str">
        <f>VLOOKUP(B:B,'9店辅助表'!AZ:BB,3,FALSE)</f>
        <v>US</v>
      </c>
    </row>
    <row r="92" customHeight="1" spans="1:40">
      <c r="A92" s="58" t="str">
        <f>INDEX('[1]9店'!$A:$A,MATCH(B:B,'[1]9店'!$B:$B,0))</f>
        <v>子杰</v>
      </c>
      <c r="B92" s="45" t="s">
        <v>3255</v>
      </c>
      <c r="C92" s="45" t="s">
        <v>3256</v>
      </c>
      <c r="D92" s="59">
        <f>VLOOKUP(B:B,'[1]9店'!$B:$L,3,0)</f>
        <v>45187</v>
      </c>
      <c r="E92" s="45" t="s">
        <v>3257</v>
      </c>
      <c r="F92" s="45">
        <v>22</v>
      </c>
      <c r="G92" s="45">
        <v>0</v>
      </c>
      <c r="H92" s="45">
        <v>2</v>
      </c>
      <c r="I92" s="45">
        <v>0</v>
      </c>
      <c r="J92" s="45">
        <v>12</v>
      </c>
      <c r="K92" s="63">
        <f t="shared" si="71"/>
        <v>36</v>
      </c>
      <c r="L92" s="64">
        <f>IFERROR(VLOOKUP($B:$B,'[1]9店'!$B:$L,11,0),0)</f>
        <v>28.25</v>
      </c>
      <c r="M92" s="44">
        <f t="shared" si="72"/>
        <v>1017</v>
      </c>
      <c r="N92" s="65">
        <f>IFERROR(VLOOKUP(B:B,'9店辅助表'!B:C,2,FALSE),0)</f>
        <v>1</v>
      </c>
      <c r="O92" s="65">
        <f>IFERROR(VLOOKUP(B:B,'9店辅助表'!E:F,2,FALSE),0)</f>
        <v>4</v>
      </c>
      <c r="P92" s="65">
        <f>IFERROR(VLOOKUP(B:B,'9店辅助表'!H:I,2,FALSE),0)</f>
        <v>13</v>
      </c>
      <c r="Q92" s="65">
        <f>IFERROR(VLOOKUP(B:B,'[1]9店'!$B:$N,13,FALSE),0)</f>
        <v>2</v>
      </c>
      <c r="R92" s="79">
        <f t="shared" si="73"/>
        <v>-1</v>
      </c>
      <c r="S92" s="80">
        <f t="shared" si="74"/>
        <v>128.135593220339</v>
      </c>
      <c r="T92" s="44">
        <f t="shared" si="75"/>
        <v>4.27118644067797</v>
      </c>
      <c r="U92" s="44">
        <f>IFERROR(VLOOKUP(B:B,'[1]9店'!$B:$T,19,0),"-")</f>
        <v>3.92523364485981</v>
      </c>
      <c r="V92" s="81">
        <f t="shared" si="76"/>
        <v>0.34595279581816</v>
      </c>
      <c r="W92" s="82" t="str">
        <f t="shared" si="77"/>
        <v>库存过高</v>
      </c>
      <c r="X92" s="83" t="str">
        <f t="shared" si="78"/>
        <v>库存过高</v>
      </c>
      <c r="Y92" s="44">
        <f>IFERROR(SUMIF('9店辅助表'!K:K,B:B,'9店辅助表'!N:N),0)</f>
        <v>6.77</v>
      </c>
      <c r="Z92" s="44">
        <f>IFERROR(SUMIF('9店辅助表'!T:T,B:B,'9店辅助表'!W:W),0)</f>
        <v>22.7</v>
      </c>
      <c r="AA92" s="44">
        <f>IFERROR(SUMIF('9店辅助表'!AC:AC,B:B,'9店辅助表'!AF:AF),0)</f>
        <v>99.81</v>
      </c>
      <c r="AB92" s="91">
        <f>IFERROR(SUMIF('9店辅助表'!K:K,B:B,'9店辅助表'!N:N)/SUMIF('9店辅助表'!K:K,B:B,'9店辅助表'!O:O),"-")</f>
        <v>0.270908363345338</v>
      </c>
      <c r="AC92" s="91" t="str">
        <f>IFERROR(VLOOKUP(B:B,'[1]9店'!$B:$AB,27,FALSE),"-")</f>
        <v>-</v>
      </c>
      <c r="AD92" s="92" t="str">
        <f t="shared" si="79"/>
        <v>-</v>
      </c>
      <c r="AE92" s="91">
        <f>IFERROR(SUMIF('9店辅助表'!T:T,B:B,'9店辅助表'!W:W)/SUMIF('9店辅助表'!T:T,B:B,'9店辅助表'!X:X),"-")</f>
        <v>0.908363345338135</v>
      </c>
      <c r="AF92" s="91">
        <f>IFERROR(SUMIF('9店辅助表'!AC:AC,B:B,'9店辅助表'!AF:AF)/SUMIF('9店辅助表'!AC:AC,B:B,'9店辅助表'!AG:AG),"-")</f>
        <v>0.51289825282631</v>
      </c>
      <c r="AG92" s="99">
        <f>IFERROR(AK92/((SUMIF('9店辅助表'!AT:AT,B:B,'9店辅助表'!AU:AU)+M92)/2),"-")</f>
        <v>0.0263157894736842</v>
      </c>
      <c r="AH92" s="99">
        <f>IFERROR(AL92/((SUMIF('9店辅助表'!AW:AW,B:B,'9店辅助表'!AX:AX)+M92)/2),"-")</f>
        <v>0.148148148148148</v>
      </c>
      <c r="AI92" s="100">
        <f>IFERROR((SUMIF('9店辅助表'!AP:AP,B:B,'9店辅助表'!AR:AR)-SUMIF('9店辅助表'!AP:AP,B:B,'9店辅助表'!AR:AR)*0.15-(L92+IFERROR(VLOOKUP(B:B,'9店辅助表'!AZ:BA,2,0),0))*O92-IF(AN:AN="US",6.85,4.9)*(Z92+7.81*O92))/SUMIF('9店辅助表'!AP:AP,B:B,'9店辅助表'!AR:AR),"-")</f>
        <v>-0.0849612355148666</v>
      </c>
      <c r="AJ92" s="100">
        <f t="shared" si="80"/>
        <v>-0.0125868497059062</v>
      </c>
      <c r="AK92" s="101">
        <f t="shared" si="81"/>
        <v>28.25</v>
      </c>
      <c r="AL92" s="101">
        <f t="shared" si="82"/>
        <v>113</v>
      </c>
      <c r="AM92" s="1" t="str">
        <f>VLOOKUP(B:B,'9店辅助表'!AZ:AZ,1,FALSE)</f>
        <v>Y9018-GA</v>
      </c>
      <c r="AN92" t="str">
        <f>VLOOKUP(B:B,'9店辅助表'!AZ:BB,3,FALSE)</f>
        <v>US</v>
      </c>
    </row>
    <row r="93" customHeight="1" spans="1:40">
      <c r="A93" s="58" t="str">
        <f>INDEX('[1]9店'!$A:$A,MATCH(B:B,'[1]9店'!$B:$B,0))</f>
        <v>子杰</v>
      </c>
      <c r="B93" s="45" t="s">
        <v>3258</v>
      </c>
      <c r="C93" s="45" t="s">
        <v>3259</v>
      </c>
      <c r="D93" s="59">
        <f>VLOOKUP(B:B,'[1]9店'!$B:$L,3,0)</f>
        <v>45187</v>
      </c>
      <c r="E93" s="45" t="s">
        <v>3260</v>
      </c>
      <c r="F93" s="45">
        <v>31</v>
      </c>
      <c r="G93" s="45">
        <v>0</v>
      </c>
      <c r="H93" s="45">
        <v>0</v>
      </c>
      <c r="I93" s="45">
        <v>0</v>
      </c>
      <c r="J93" s="45">
        <v>15</v>
      </c>
      <c r="K93" s="63">
        <f t="shared" si="71"/>
        <v>46</v>
      </c>
      <c r="L93" s="64">
        <f>IFERROR(VLOOKUP($B:$B,'[1]9店'!$B:$L,11,0),0)</f>
        <v>28.25</v>
      </c>
      <c r="M93" s="44">
        <f t="shared" si="72"/>
        <v>1299.5</v>
      </c>
      <c r="N93" s="65">
        <f>IFERROR(VLOOKUP(B:B,'9店辅助表'!B:C,2,FALSE),0)</f>
        <v>2</v>
      </c>
      <c r="O93" s="65">
        <f>IFERROR(VLOOKUP(B:B,'9店辅助表'!E:F,2,FALSE),0)</f>
        <v>3</v>
      </c>
      <c r="P93" s="65">
        <f>IFERROR(VLOOKUP(B:B,'9店辅助表'!H:I,2,FALSE),0)</f>
        <v>6</v>
      </c>
      <c r="Q93" s="65">
        <f>IFERROR(VLOOKUP(B:B,'[1]9店'!$B:$N,13,FALSE),0)</f>
        <v>1</v>
      </c>
      <c r="R93" s="79">
        <f t="shared" si="73"/>
        <v>1</v>
      </c>
      <c r="S93" s="80">
        <f t="shared" si="74"/>
        <v>201.25</v>
      </c>
      <c r="T93" s="44">
        <f t="shared" si="75"/>
        <v>6.70833333333333</v>
      </c>
      <c r="U93" s="44">
        <f>IFERROR(VLOOKUP(B:B,'[1]9店'!$B:$T,19,0),"-")</f>
        <v>11.4767441860465</v>
      </c>
      <c r="V93" s="81">
        <f t="shared" si="76"/>
        <v>-4.76841085271317</v>
      </c>
      <c r="W93" s="82" t="str">
        <f t="shared" si="77"/>
        <v>库存过高</v>
      </c>
      <c r="X93" s="83" t="str">
        <f t="shared" si="78"/>
        <v>库存过高</v>
      </c>
      <c r="Y93" s="44">
        <f>IFERROR(SUMIF('9店辅助表'!K:K,B:B,'9店辅助表'!N:N),0)</f>
        <v>21.91</v>
      </c>
      <c r="Z93" s="44">
        <f>IFERROR(SUMIF('9店辅助表'!T:T,B:B,'9店辅助表'!W:W),0)</f>
        <v>32.59</v>
      </c>
      <c r="AA93" s="44">
        <f>IFERROR(SUMIF('9店辅助表'!AC:AC,B:B,'9店辅助表'!AF:AF),0)</f>
        <v>96.69</v>
      </c>
      <c r="AB93" s="91">
        <f>IFERROR(SUMIF('9店辅助表'!K:K,B:B,'9店辅助表'!N:N)/SUMIF('9店辅助表'!K:K,B:B,'9店辅助表'!O:O),"-")</f>
        <v>0.182644214738246</v>
      </c>
      <c r="AC93" s="91" t="str">
        <f>IFERROR(VLOOKUP(B:B,'[1]9店'!$B:$AB,27,FALSE),"-")</f>
        <v>-</v>
      </c>
      <c r="AD93" s="92" t="str">
        <f t="shared" si="79"/>
        <v>-</v>
      </c>
      <c r="AE93" s="91">
        <f>IFERROR(SUMIF('9店辅助表'!T:T,B:B,'9店辅助表'!W:W)/SUMIF('9店辅助表'!T:T,B:B,'9店辅助表'!X:X),"-")</f>
        <v>0.217339113037679</v>
      </c>
      <c r="AF93" s="91">
        <f>IFERROR(SUMIF('9店辅助表'!AC:AC,B:B,'9店辅助表'!AF:AF)/SUMIF('9店辅助表'!AC:AC,B:B,'9店辅助表'!AG:AG),"-")</f>
        <v>0.379802026867782</v>
      </c>
      <c r="AG93" s="99">
        <f>IFERROR(AK93/((SUMIF('9店辅助表'!AT:AT,B:B,'9店辅助表'!AU:AU)+M93)/2),"-")</f>
        <v>0.043010752688172</v>
      </c>
      <c r="AH93" s="99">
        <f>IFERROR(AL93/((SUMIF('9店辅助表'!AW:AW,B:B,'9店辅助表'!AX:AX)+M93)/2),"-")</f>
        <v>0.0952380952380952</v>
      </c>
      <c r="AI93" s="100">
        <f>IFERROR((SUMIF('9店辅助表'!AP:AP,B:B,'9店辅助表'!AR:AR)-SUMIF('9店辅助表'!AP:AP,B:B,'9店辅助表'!AR:AR)*0.15-(L93+IFERROR(VLOOKUP(B:B,'9店辅助表'!AZ:BA,2,0),0))*O93-IF(AN:AN="US",6.85,4.9)*(Z93+7.81*O93))/SUMIF('9店辅助表'!AP:AP,B:B,'9店辅助表'!AR:AR),"-")</f>
        <v>-0.263911670934581</v>
      </c>
      <c r="AJ93" s="100">
        <f t="shared" si="80"/>
        <v>-0.0251344448509125</v>
      </c>
      <c r="AK93" s="101">
        <f t="shared" si="81"/>
        <v>56.5</v>
      </c>
      <c r="AL93" s="101">
        <f t="shared" si="82"/>
        <v>84.75</v>
      </c>
      <c r="AM93" s="1" t="str">
        <f>VLOOKUP(B:B,'9店辅助表'!AZ:AZ,1,FALSE)</f>
        <v>Y9018-GN</v>
      </c>
      <c r="AN93" t="str">
        <f>VLOOKUP(B:B,'9店辅助表'!AZ:BB,3,FALSE)</f>
        <v>US</v>
      </c>
    </row>
    <row r="94" customHeight="1" spans="1:40">
      <c r="A94" s="58" t="str">
        <f>INDEX('[1]9店'!$A:$A,MATCH(B:B,'[1]9店'!$B:$B,0))</f>
        <v>子杰</v>
      </c>
      <c r="B94" s="45" t="s">
        <v>3261</v>
      </c>
      <c r="C94" s="45" t="s">
        <v>3262</v>
      </c>
      <c r="D94" s="59">
        <f>VLOOKUP(B:B,'[1]9店'!$B:$L,3,0)</f>
        <v>45191</v>
      </c>
      <c r="E94" s="45" t="s">
        <v>3263</v>
      </c>
      <c r="F94" s="45">
        <v>33</v>
      </c>
      <c r="G94" s="45">
        <v>0</v>
      </c>
      <c r="H94" s="45">
        <v>1</v>
      </c>
      <c r="I94" s="45">
        <v>0</v>
      </c>
      <c r="J94" s="45">
        <v>11</v>
      </c>
      <c r="K94" s="63">
        <f t="shared" si="71"/>
        <v>45</v>
      </c>
      <c r="L94" s="64">
        <f>IFERROR(VLOOKUP($B:$B,'[1]9店'!$B:$L,11,0),0)</f>
        <v>33.75</v>
      </c>
      <c r="M94" s="44">
        <f t="shared" si="72"/>
        <v>1518.75</v>
      </c>
      <c r="N94" s="65">
        <f>IFERROR(VLOOKUP(B:B,'9店辅助表'!B:C,2,FALSE),0)</f>
        <v>2</v>
      </c>
      <c r="O94" s="65">
        <f>IFERROR(VLOOKUP(B:B,'9店辅助表'!E:F,2,FALSE),0)</f>
        <v>5</v>
      </c>
      <c r="P94" s="65">
        <f>IFERROR(VLOOKUP(B:B,'9店辅助表'!H:I,2,FALSE),0)</f>
        <v>7</v>
      </c>
      <c r="Q94" s="65">
        <f>IFERROR(VLOOKUP(B:B,'[1]9店'!$B:$N,13,FALSE),0)</f>
        <v>2</v>
      </c>
      <c r="R94" s="79">
        <f t="shared" si="73"/>
        <v>0</v>
      </c>
      <c r="S94" s="80">
        <f t="shared" si="74"/>
        <v>158.379888268156</v>
      </c>
      <c r="T94" s="44">
        <f t="shared" si="75"/>
        <v>5.27932960893855</v>
      </c>
      <c r="U94" s="44">
        <f>IFERROR(VLOOKUP(B:B,'[1]9店'!$B:$T,19,0),"-")</f>
        <v>6.39735099337748</v>
      </c>
      <c r="V94" s="81">
        <f t="shared" si="76"/>
        <v>-1.11802138443893</v>
      </c>
      <c r="W94" s="82" t="str">
        <f t="shared" si="77"/>
        <v>库存过高</v>
      </c>
      <c r="X94" s="83" t="str">
        <f t="shared" si="78"/>
        <v>库存过高</v>
      </c>
      <c r="Y94" s="44">
        <f>IFERROR(SUMIF('9店辅助表'!K:K,B:B,'9店辅助表'!N:N),0)</f>
        <v>0</v>
      </c>
      <c r="Z94" s="44">
        <f>IFERROR(SUMIF('9店辅助表'!T:T,B:B,'9店辅助表'!W:W),0)</f>
        <v>7.89</v>
      </c>
      <c r="AA94" s="44">
        <f>IFERROR(SUMIF('9店辅助表'!AC:AC,B:B,'9店辅助表'!AF:AF),0)</f>
        <v>20.28</v>
      </c>
      <c r="AB94" s="91" t="str">
        <f>IFERROR(SUMIF('9店辅助表'!K:K,B:B,'9店辅助表'!N:N)/SUMIF('9店辅助表'!K:K,B:B,'9店辅助表'!O:O),"-")</f>
        <v>-</v>
      </c>
      <c r="AC94" s="91">
        <f>IFERROR(VLOOKUP(B:B,'[1]9店'!$B:$AB,27,FALSE),"-")</f>
        <v>0.200066688896299</v>
      </c>
      <c r="AD94" s="92" t="str">
        <f t="shared" si="79"/>
        <v>-</v>
      </c>
      <c r="AE94" s="91">
        <f>IFERROR(SUMIF('9店辅助表'!T:T,B:B,'9店辅助表'!W:W)/SUMIF('9店辅助表'!T:T,B:B,'9店辅助表'!X:X),"-")</f>
        <v>0.263087695898633</v>
      </c>
      <c r="AF94" s="91">
        <f>IFERROR(SUMIF('9店辅助表'!AC:AC,B:B,'9店辅助表'!AF:AF)/SUMIF('9店辅助表'!AC:AC,B:B,'9店辅助表'!AG:AG),"-")</f>
        <v>0.253595098161811</v>
      </c>
      <c r="AG94" s="99">
        <f>IFERROR(AK94/((SUMIF('9店辅助表'!AT:AT,B:B,'9店辅助表'!AU:AU)+M94)/2),"-")</f>
        <v>0.043956043956044</v>
      </c>
      <c r="AH94" s="99">
        <f>IFERROR(AL94/((SUMIF('9店辅助表'!AW:AW,B:B,'9店辅助表'!AX:AX)+M94)/2),"-")</f>
        <v>0.153846153846154</v>
      </c>
      <c r="AI94" s="100">
        <f>IFERROR((SUMIF('9店辅助表'!AP:AP,B:B,'9店辅助表'!AR:AR)-SUMIF('9店辅助表'!AP:AP,B:B,'9店辅助表'!AR:AR)*0.15-(L94+IFERROR(VLOOKUP(B:B,'9店辅助表'!AZ:BA,2,0),0))*O94-IF(AN:AN="US",6.85,4.9)*(Z94+7.81*O94))/SUMIF('9店辅助表'!AP:AP,B:B,'9店辅助表'!AR:AR),"-")</f>
        <v>0.257905725578884</v>
      </c>
      <c r="AJ94" s="100">
        <f t="shared" si="80"/>
        <v>0.0396778039352128</v>
      </c>
      <c r="AK94" s="101">
        <f t="shared" si="81"/>
        <v>67.5</v>
      </c>
      <c r="AL94" s="101">
        <f t="shared" si="82"/>
        <v>168.75</v>
      </c>
      <c r="AM94" s="1" t="str">
        <f>VLOOKUP(B:B,'9店辅助表'!AZ:AZ,1,FALSE)</f>
        <v>Y9019-GA</v>
      </c>
      <c r="AN94" t="str">
        <f>VLOOKUP(B:B,'9店辅助表'!AZ:BB,3,FALSE)</f>
        <v>US</v>
      </c>
    </row>
    <row r="95" customHeight="1" spans="1:40">
      <c r="A95" s="58" t="str">
        <f>INDEX('[1]9店'!$A:$A,MATCH(B:B,'[1]9店'!$B:$B,0))</f>
        <v>子杰</v>
      </c>
      <c r="B95" s="45" t="s">
        <v>3264</v>
      </c>
      <c r="C95" s="45" t="s">
        <v>3265</v>
      </c>
      <c r="D95" s="59">
        <f>VLOOKUP(B:B,'[1]9店'!$B:$L,3,0)</f>
        <v>45191</v>
      </c>
      <c r="E95" s="45" t="s">
        <v>3266</v>
      </c>
      <c r="F95" s="45">
        <v>23</v>
      </c>
      <c r="G95" s="45">
        <v>1</v>
      </c>
      <c r="H95" s="45">
        <v>0</v>
      </c>
      <c r="I95" s="45">
        <v>0</v>
      </c>
      <c r="J95" s="45">
        <v>21</v>
      </c>
      <c r="K95" s="63">
        <f t="shared" si="71"/>
        <v>45</v>
      </c>
      <c r="L95" s="64">
        <f>IFERROR(VLOOKUP($B:$B,'[1]9店'!$B:$L,11,0),0)</f>
        <v>33.75</v>
      </c>
      <c r="M95" s="44">
        <f t="shared" si="72"/>
        <v>1518.75</v>
      </c>
      <c r="N95" s="65">
        <f>IFERROR(VLOOKUP(B:B,'9店辅助表'!B:C,2,FALSE),0)</f>
        <v>3</v>
      </c>
      <c r="O95" s="65">
        <f>IFERROR(VLOOKUP(B:B,'9店辅助表'!E:F,2,FALSE),0)</f>
        <v>4</v>
      </c>
      <c r="P95" s="65">
        <f>IFERROR(VLOOKUP(B:B,'9店辅助表'!H:I,2,FALSE),0)</f>
        <v>7</v>
      </c>
      <c r="Q95" s="65">
        <f>IFERROR(VLOOKUP(B:B,'[1]9店'!$B:$N,13,FALSE),0)</f>
        <v>1</v>
      </c>
      <c r="R95" s="79">
        <f t="shared" si="73"/>
        <v>2</v>
      </c>
      <c r="S95" s="80">
        <f t="shared" si="74"/>
        <v>145.384615384615</v>
      </c>
      <c r="T95" s="44">
        <f t="shared" si="75"/>
        <v>4.84615384615385</v>
      </c>
      <c r="U95" s="44">
        <f>IFERROR(VLOOKUP(B:B,'[1]9店'!$B:$T,19,0),"-")</f>
        <v>9.87</v>
      </c>
      <c r="V95" s="81">
        <f t="shared" si="76"/>
        <v>-5.02384615384615</v>
      </c>
      <c r="W95" s="82" t="str">
        <f t="shared" si="77"/>
        <v>库存过高</v>
      </c>
      <c r="X95" s="83" t="str">
        <f t="shared" si="78"/>
        <v>库存过高</v>
      </c>
      <c r="Y95" s="44">
        <f>IFERROR(SUMIF('9店辅助表'!K:K,B:B,'9店辅助表'!N:N),0)</f>
        <v>0.64</v>
      </c>
      <c r="Z95" s="44">
        <f>IFERROR(SUMIF('9店辅助表'!T:T,B:B,'9店辅助表'!W:W),0)</f>
        <v>9.39</v>
      </c>
      <c r="AA95" s="44">
        <f>IFERROR(SUMIF('9店辅助表'!AC:AC,B:B,'9店辅助表'!AF:AF),0)</f>
        <v>19.82</v>
      </c>
      <c r="AB95" s="91" t="str">
        <f>IFERROR(SUMIF('9店辅助表'!K:K,B:B,'9店辅助表'!N:N)/SUMIF('9店辅助表'!K:K,B:B,'9店辅助表'!O:O),"-")</f>
        <v>-</v>
      </c>
      <c r="AC95" s="91">
        <f>IFERROR(VLOOKUP(B:B,'[1]9店'!$B:$AB,27,FALSE),"-")</f>
        <v>0.19784058431248</v>
      </c>
      <c r="AD95" s="92" t="str">
        <f t="shared" si="79"/>
        <v>-</v>
      </c>
      <c r="AE95" s="91">
        <f>IFERROR(SUMIF('9店辅助表'!T:T,B:B,'9店辅助表'!W:W)/SUMIF('9店辅助表'!T:T,B:B,'9店辅助表'!X:X),"-")</f>
        <v>0.141245487364621</v>
      </c>
      <c r="AF95" s="91">
        <f>IFERROR(SUMIF('9店辅助表'!AC:AC,B:B,'9店辅助表'!AF:AF)/SUMIF('9店辅助表'!AC:AC,B:B,'9店辅助表'!AG:AG),"-")</f>
        <v>0.298134777376655</v>
      </c>
      <c r="AG95" s="99">
        <f>IFERROR(AK95/((SUMIF('9店辅助表'!AT:AT,B:B,'9店辅助表'!AU:AU)+M95)/2),"-")</f>
        <v>0.0652173913043478</v>
      </c>
      <c r="AH95" s="99">
        <f>IFERROR(AL95/((SUMIF('9店辅助表'!AW:AW,B:B,'9店辅助表'!AX:AX)+M95)/2),"-")</f>
        <v>0.119402985074627</v>
      </c>
      <c r="AI95" s="100">
        <f>IFERROR((SUMIF('9店辅助表'!AP:AP,B:B,'9店辅助表'!AR:AR)-SUMIF('9店辅助表'!AP:AP,B:B,'9店辅助表'!AR:AR)*0.15-(L95+IFERROR(VLOOKUP(B:B,'9店辅助表'!AZ:BA,2,0),0))*O95-IF(AN:AN="US",6.85,4.9)*(Z95+7.81*O95))/SUMIF('9店辅助表'!AP:AP,B:B,'9店辅助表'!AR:AR),"-")</f>
        <v>0.224661489624993</v>
      </c>
      <c r="AJ95" s="100">
        <f t="shared" si="80"/>
        <v>0.0268252524925365</v>
      </c>
      <c r="AK95" s="101">
        <f t="shared" si="81"/>
        <v>101.25</v>
      </c>
      <c r="AL95" s="101">
        <f t="shared" si="82"/>
        <v>135</v>
      </c>
      <c r="AM95" s="1" t="str">
        <f>VLOOKUP(B:B,'9店辅助表'!AZ:AZ,1,FALSE)</f>
        <v>Y9019-GN</v>
      </c>
      <c r="AN95" t="str">
        <f>VLOOKUP(B:B,'9店辅助表'!AZ:BB,3,FALSE)</f>
        <v>US</v>
      </c>
    </row>
    <row r="96" customHeight="1" spans="1:40">
      <c r="A96" s="58" t="str">
        <f>INDEX('[1]9店'!$A:$A,MATCH(B:B,'[1]9店'!$B:$B,0))</f>
        <v>子杰</v>
      </c>
      <c r="B96" s="45" t="s">
        <v>3267</v>
      </c>
      <c r="C96" s="45" t="s">
        <v>3268</v>
      </c>
      <c r="D96" s="59">
        <f>VLOOKUP(B:B,'[1]9店'!$B:$L,3,0)</f>
        <v>45191</v>
      </c>
      <c r="E96" s="45" t="s">
        <v>3269</v>
      </c>
      <c r="F96" s="45">
        <v>30</v>
      </c>
      <c r="G96" s="45">
        <v>0</v>
      </c>
      <c r="H96" s="45">
        <v>1</v>
      </c>
      <c r="I96" s="45">
        <v>2</v>
      </c>
      <c r="J96" s="45">
        <v>11</v>
      </c>
      <c r="K96" s="63">
        <f t="shared" si="71"/>
        <v>44</v>
      </c>
      <c r="L96" s="64">
        <f>IFERROR(VLOOKUP($B:$B,'[1]9店'!$B:$L,11,0),0)</f>
        <v>38.375</v>
      </c>
      <c r="M96" s="44">
        <f t="shared" si="72"/>
        <v>1688.5</v>
      </c>
      <c r="N96" s="65">
        <f>IFERROR(VLOOKUP(B:B,'9店辅助表'!B:C,2,FALSE),0)</f>
        <v>3</v>
      </c>
      <c r="O96" s="65">
        <f>IFERROR(VLOOKUP(B:B,'9店辅助表'!E:F,2,FALSE),0)</f>
        <v>6</v>
      </c>
      <c r="P96" s="65">
        <f>IFERROR(VLOOKUP(B:B,'9店辅助表'!H:I,2,FALSE),0)</f>
        <v>8</v>
      </c>
      <c r="Q96" s="65">
        <f>IFERROR(VLOOKUP(B:B,'[1]9店'!$B:$N,13,FALSE),0)</f>
        <v>2</v>
      </c>
      <c r="R96" s="79">
        <f t="shared" si="73"/>
        <v>1</v>
      </c>
      <c r="S96" s="80">
        <f t="shared" si="74"/>
        <v>120.521739130435</v>
      </c>
      <c r="T96" s="44">
        <f t="shared" si="75"/>
        <v>4.01739130434783</v>
      </c>
      <c r="U96" s="44">
        <f>IFERROR(VLOOKUP(B:B,'[1]9店'!$B:$T,19,0),"-")</f>
        <v>6.81456953642384</v>
      </c>
      <c r="V96" s="81">
        <f t="shared" si="76"/>
        <v>-2.79717823207601</v>
      </c>
      <c r="W96" s="82" t="str">
        <f t="shared" si="77"/>
        <v>库存过高</v>
      </c>
      <c r="X96" s="83" t="str">
        <f t="shared" si="78"/>
        <v>库存过高</v>
      </c>
      <c r="Y96" s="44">
        <f>IFERROR(SUMIF('9店辅助表'!K:K,B:B,'9店辅助表'!N:N),0)</f>
        <v>16.27</v>
      </c>
      <c r="Z96" s="44">
        <f>IFERROR(SUMIF('9店辅助表'!T:T,B:B,'9店辅助表'!W:W),0)</f>
        <v>35.66</v>
      </c>
      <c r="AA96" s="44">
        <f>IFERROR(SUMIF('9店辅助表'!AC:AC,B:B,'9店辅助表'!AF:AF),0)</f>
        <v>37.76</v>
      </c>
      <c r="AB96" s="91">
        <f>IFERROR(SUMIF('9店辅助表'!K:K,B:B,'9店辅助表'!N:N)/SUMIF('9店辅助表'!K:K,B:B,'9店辅助表'!O:O),"-")</f>
        <v>0.464989997142041</v>
      </c>
      <c r="AC96" s="91" t="str">
        <f>IFERROR(VLOOKUP(B:B,'[1]9店'!$B:$AB,27,FALSE),"-")</f>
        <v>-</v>
      </c>
      <c r="AD96" s="92" t="str">
        <f t="shared" si="79"/>
        <v>-</v>
      </c>
      <c r="AE96" s="91">
        <f>IFERROR(SUMIF('9店辅助表'!T:T,B:B,'9店辅助表'!W:W)/SUMIF('9店辅助表'!T:T,B:B,'9店辅助表'!X:X),"-")</f>
        <v>1.01914832809374</v>
      </c>
      <c r="AF96" s="91">
        <f>IFERROR(SUMIF('9店辅助表'!AC:AC,B:B,'9店辅助表'!AF:AF)/SUMIF('9店辅助表'!AC:AC,B:B,'9店辅助表'!AG:AG),"-")</f>
        <v>1.07916547585024</v>
      </c>
      <c r="AG96" s="99">
        <f>IFERROR(AK96/((SUMIF('9店辅助表'!AT:AT,B:B,'9店辅助表'!AU:AU)+M96)/2),"-")</f>
        <v>0.0645161290322581</v>
      </c>
      <c r="AH96" s="99">
        <f>IFERROR(AL96/((SUMIF('9店辅助表'!AW:AW,B:B,'9店辅助表'!AX:AX)+M96)/2),"-")</f>
        <v>0.19672131147541</v>
      </c>
      <c r="AI96" s="100">
        <f>IFERROR((SUMIF('9店辅助表'!AP:AP,B:B,'9店辅助表'!AR:AR)-SUMIF('9店辅助表'!AP:AP,B:B,'9店辅助表'!AR:AR)*0.15-(L96+IFERROR(VLOOKUP(B:B,'9店辅助表'!AZ:BA,2,0),0))*O96-IF(AN:AN="US",6.85,4.9)*(Z96+7.81*O96))/SUMIF('9店辅助表'!AP:AP,B:B,'9店辅助表'!AR:AR),"-")</f>
        <v>0.209903316136901</v>
      </c>
      <c r="AJ96" s="100">
        <f t="shared" si="80"/>
        <v>0.0412924556334887</v>
      </c>
      <c r="AK96" s="101">
        <f t="shared" si="81"/>
        <v>115.125</v>
      </c>
      <c r="AL96" s="101">
        <f t="shared" si="82"/>
        <v>230.25</v>
      </c>
      <c r="AM96" s="1" t="str">
        <f>VLOOKUP(B:B,'9店辅助表'!AZ:AZ,1,FALSE)</f>
        <v>Y9020-GA</v>
      </c>
      <c r="AN96" t="str">
        <f>VLOOKUP(B:B,'9店辅助表'!AZ:BB,3,FALSE)</f>
        <v>US</v>
      </c>
    </row>
    <row r="97" customHeight="1" spans="1:40">
      <c r="A97" s="58" t="str">
        <f>INDEX('[1]9店'!$A:$A,MATCH(B:B,'[1]9店'!$B:$B,0))</f>
        <v>子杰</v>
      </c>
      <c r="B97" s="45" t="s">
        <v>3270</v>
      </c>
      <c r="C97" s="45" t="s">
        <v>3271</v>
      </c>
      <c r="D97" s="59">
        <f>VLOOKUP(B:B,'[1]9店'!$B:$L,3,0)</f>
        <v>45191</v>
      </c>
      <c r="E97" s="45" t="s">
        <v>3272</v>
      </c>
      <c r="F97" s="45">
        <v>38</v>
      </c>
      <c r="G97" s="45">
        <v>0</v>
      </c>
      <c r="H97" s="45">
        <v>3</v>
      </c>
      <c r="I97" s="45">
        <v>0</v>
      </c>
      <c r="J97" s="45">
        <v>6</v>
      </c>
      <c r="K97" s="63">
        <f t="shared" si="71"/>
        <v>47</v>
      </c>
      <c r="L97" s="64">
        <f>IFERROR(VLOOKUP($B:$B,'[1]9店'!$B:$L,11,0),0)</f>
        <v>38.375</v>
      </c>
      <c r="M97" s="44">
        <f t="shared" si="72"/>
        <v>1803.625</v>
      </c>
      <c r="N97" s="65">
        <f>IFERROR(VLOOKUP(B:B,'9店辅助表'!B:C,2,FALSE),0)</f>
        <v>1</v>
      </c>
      <c r="O97" s="65">
        <f>IFERROR(VLOOKUP(B:B,'9店辅助表'!E:F,2,FALSE),0)</f>
        <v>2</v>
      </c>
      <c r="P97" s="65">
        <f>IFERROR(VLOOKUP(B:B,'9店辅助表'!H:I,2,FALSE),0)</f>
        <v>3</v>
      </c>
      <c r="Q97" s="65">
        <f>IFERROR(VLOOKUP(B:B,'[1]9店'!$B:$N,13,FALSE),0)</f>
        <v>1</v>
      </c>
      <c r="R97" s="79">
        <f t="shared" si="73"/>
        <v>0</v>
      </c>
      <c r="S97" s="80">
        <f t="shared" si="74"/>
        <v>374.810126582278</v>
      </c>
      <c r="T97" s="44">
        <f t="shared" si="75"/>
        <v>12.493670886076</v>
      </c>
      <c r="U97" s="44">
        <f>IFERROR(VLOOKUP(B:B,'[1]9店'!$B:$T,19,0),"-")</f>
        <v>21</v>
      </c>
      <c r="V97" s="81">
        <f t="shared" si="76"/>
        <v>-8.506329113924</v>
      </c>
      <c r="W97" s="82" t="str">
        <f t="shared" si="77"/>
        <v>库存过高</v>
      </c>
      <c r="X97" s="83" t="str">
        <f t="shared" si="78"/>
        <v>库存过高</v>
      </c>
      <c r="Y97" s="44">
        <f>IFERROR(SUMIF('9店辅助表'!K:K,B:B,'9店辅助表'!N:N),0)</f>
        <v>23.59</v>
      </c>
      <c r="Z97" s="44">
        <f>IFERROR(SUMIF('9店辅助表'!T:T,B:B,'9店辅助表'!W:W),0)</f>
        <v>56.98</v>
      </c>
      <c r="AA97" s="44">
        <f>IFERROR(SUMIF('9店辅助表'!AC:AC,B:B,'9店辅助表'!AF:AF),0)</f>
        <v>79.35</v>
      </c>
      <c r="AB97" s="91" t="str">
        <f>IFERROR(SUMIF('9店辅助表'!K:K,B:B,'9店辅助表'!N:N)/SUMIF('9店辅助表'!K:K,B:B,'9店辅助表'!O:O),"-")</f>
        <v>-</v>
      </c>
      <c r="AC97" s="91">
        <f>IFERROR(VLOOKUP(B:B,'[1]9店'!$B:$AB,27,FALSE),"-")</f>
        <v>0.47713632466419</v>
      </c>
      <c r="AD97" s="92" t="str">
        <f t="shared" si="79"/>
        <v>-</v>
      </c>
      <c r="AE97" s="91">
        <f>IFERROR(SUMIF('9店辅助表'!T:T,B:B,'9店辅助表'!W:W)/SUMIF('9店辅助表'!T:T,B:B,'9店辅助表'!X:X),"-")</f>
        <v>0.814232637896542</v>
      </c>
      <c r="AF97" s="91">
        <f>IFERROR(SUMIF('9店辅助表'!AC:AC,B:B,'9店辅助表'!AF:AF)/SUMIF('9店辅助表'!AC:AC,B:B,'9店辅助表'!AG:AG),"-")</f>
        <v>0.587951985773562</v>
      </c>
      <c r="AG97" s="99">
        <f>IFERROR(AK97/((SUMIF('9店辅助表'!AT:AT,B:B,'9店辅助表'!AU:AU)+M97)/2),"-")</f>
        <v>0.019047619047619</v>
      </c>
      <c r="AH97" s="99">
        <f>IFERROR(AL97/((SUMIF('9店辅助表'!AW:AW,B:B,'9店辅助表'!AX:AX)+M97)/2),"-")</f>
        <v>0.0625</v>
      </c>
      <c r="AI97" s="100">
        <f>IFERROR((SUMIF('9店辅助表'!AP:AP,B:B,'9店辅助表'!AR:AR)-SUMIF('9店辅助表'!AP:AP,B:B,'9店辅助表'!AR:AR)*0.15-(L97+IFERROR(VLOOKUP(B:B,'9店辅助表'!AZ:BA,2,0),0))*O97-IF(AN:AN="US",6.85,4.9)*(Z97+7.81*O97))/SUMIF('9店辅助表'!AP:AP,B:B,'9店辅助表'!AR:AR),"-")</f>
        <v>-0.501897722381793</v>
      </c>
      <c r="AJ97" s="100">
        <f t="shared" si="80"/>
        <v>-0.0313686076488621</v>
      </c>
      <c r="AK97" s="101">
        <f t="shared" si="81"/>
        <v>38.375</v>
      </c>
      <c r="AL97" s="101">
        <f t="shared" si="82"/>
        <v>76.75</v>
      </c>
      <c r="AM97" s="1" t="str">
        <f>VLOOKUP(B:B,'9店辅助表'!AZ:AZ,1,FALSE)</f>
        <v>Y9020-GN</v>
      </c>
      <c r="AN97" t="str">
        <f>VLOOKUP(B:B,'9店辅助表'!AZ:BB,3,FALSE)</f>
        <v>US</v>
      </c>
    </row>
    <row r="98" customHeight="1" spans="1:40">
      <c r="A98" s="58" t="str">
        <f>INDEX('[1]9店'!$A:$A,MATCH(B:B,'[1]9店'!$B:$B,0))</f>
        <v>子杰</v>
      </c>
      <c r="B98" s="45" t="s">
        <v>3273</v>
      </c>
      <c r="C98" s="45" t="s">
        <v>3274</v>
      </c>
      <c r="D98" s="59">
        <f>VLOOKUP(B:B,'[1]9店'!$B:$L,3,0)</f>
        <v>45184</v>
      </c>
      <c r="E98" s="45" t="s">
        <v>3275</v>
      </c>
      <c r="F98" s="45">
        <v>27</v>
      </c>
      <c r="G98" s="45">
        <v>1</v>
      </c>
      <c r="H98" s="45">
        <v>0</v>
      </c>
      <c r="I98" s="45">
        <v>3</v>
      </c>
      <c r="J98" s="45">
        <v>9</v>
      </c>
      <c r="K98" s="63">
        <f t="shared" si="71"/>
        <v>40</v>
      </c>
      <c r="L98" s="64">
        <f>IFERROR(VLOOKUP($B:$B,'[1]9店'!$B:$L,11,0),0)</f>
        <v>36.867</v>
      </c>
      <c r="M98" s="44">
        <f t="shared" si="72"/>
        <v>1474.68</v>
      </c>
      <c r="N98" s="65">
        <f>IFERROR(VLOOKUP(B:B,'9店辅助表'!B:C,2,FALSE),0)</f>
        <v>4</v>
      </c>
      <c r="O98" s="65">
        <f>IFERROR(VLOOKUP(B:B,'9店辅助表'!E:F,2,FALSE),0)</f>
        <v>5</v>
      </c>
      <c r="P98" s="65">
        <f>IFERROR(VLOOKUP(B:B,'9店辅助表'!H:I,2,FALSE),0)</f>
        <v>12</v>
      </c>
      <c r="Q98" s="65">
        <f>IFERROR(VLOOKUP(B:B,'[1]9店'!$B:$N,13,FALSE),0)</f>
        <v>1</v>
      </c>
      <c r="R98" s="79">
        <f t="shared" si="73"/>
        <v>3</v>
      </c>
      <c r="S98" s="80">
        <f t="shared" si="74"/>
        <v>91.970802919708</v>
      </c>
      <c r="T98" s="44">
        <f t="shared" si="75"/>
        <v>3.06569343065693</v>
      </c>
      <c r="U98" s="44">
        <f>IFERROR(VLOOKUP(B:B,'[1]9店'!$B:$T,19,0),"-")</f>
        <v>5.31176470588235</v>
      </c>
      <c r="V98" s="81">
        <f t="shared" si="76"/>
        <v>-2.24607127522542</v>
      </c>
      <c r="W98" s="82" t="str">
        <f t="shared" si="77"/>
        <v>库存过高</v>
      </c>
      <c r="X98" s="83" t="str">
        <f t="shared" si="78"/>
        <v>库存过高</v>
      </c>
      <c r="Y98" s="44">
        <f>IFERROR(SUMIF('9店辅助表'!K:K,B:B,'9店辅助表'!N:N),0)</f>
        <v>29.6</v>
      </c>
      <c r="Z98" s="44">
        <f>IFERROR(SUMIF('9店辅助表'!T:T,B:B,'9店辅助表'!W:W),0)</f>
        <v>73.94</v>
      </c>
      <c r="AA98" s="44">
        <f>IFERROR(SUMIF('9店辅助表'!AC:AC,B:B,'9店辅助表'!AF:AF),0)</f>
        <v>153.26</v>
      </c>
      <c r="AB98" s="91">
        <f>IFERROR(SUMIF('9店辅助表'!K:K,B:B,'9店辅助表'!N:N)/SUMIF('9店辅助表'!K:K,B:B,'9店辅助表'!O:O),"-")</f>
        <v>0.308461859107962</v>
      </c>
      <c r="AC98" s="91">
        <f>IFERROR(VLOOKUP(B:B,'[1]9店'!$B:$AB,27,FALSE),"-")</f>
        <v>0.973993498374594</v>
      </c>
      <c r="AD98" s="92">
        <f t="shared" si="79"/>
        <v>-0.665531639266632</v>
      </c>
      <c r="AE98" s="91">
        <f>IFERROR(SUMIF('9店辅助表'!T:T,B:B,'9店辅助表'!W:W)/SUMIF('9店辅助表'!T:T,B:B,'9店辅助表'!X:X),"-")</f>
        <v>0.543876425156308</v>
      </c>
      <c r="AF98" s="91">
        <f>IFERROR(SUMIF('9店辅助表'!AC:AC,B:B,'9店辅助表'!AF:AF)/SUMIF('9店辅助表'!AC:AC,B:B,'9店辅助表'!AG:AG),"-")</f>
        <v>0.678381728045326</v>
      </c>
      <c r="AG98" s="99">
        <f>IFERROR(AK98/((SUMIF('9店辅助表'!AT:AT,B:B,'9店辅助表'!AU:AU)+M98)/2),"-")</f>
        <v>0.0963855421686747</v>
      </c>
      <c r="AH98" s="99">
        <f>IFERROR(AL98/((SUMIF('9店辅助表'!AW:AW,B:B,'9店辅助表'!AX:AX)+M98)/2),"-")</f>
        <v>0.142857142857143</v>
      </c>
      <c r="AI98" s="100">
        <f>IFERROR((SUMIF('9店辅助表'!AP:AP,B:B,'9店辅助表'!AR:AR)-SUMIF('9店辅助表'!AP:AP,B:B,'9店辅助表'!AR:AR)*0.15-(L98+IFERROR(VLOOKUP(B:B,'9店辅助表'!AZ:BA,2,0),0))*O98-IF(AN:AN="US",6.85,4.9)*(Z98+7.81*O98))/SUMIF('9店辅助表'!AP:AP,B:B,'9店辅助表'!AR:AR),"-")</f>
        <v>-0.436725225782506</v>
      </c>
      <c r="AJ98" s="100">
        <f t="shared" si="80"/>
        <v>-0.0623893179689295</v>
      </c>
      <c r="AK98" s="101">
        <f t="shared" si="81"/>
        <v>147.468</v>
      </c>
      <c r="AL98" s="101">
        <f t="shared" si="82"/>
        <v>184.335</v>
      </c>
      <c r="AM98" s="1" t="str">
        <f>VLOOKUP(B:B,'9店辅助表'!AZ:AZ,1,FALSE)</f>
        <v>Y9021</v>
      </c>
      <c r="AN98" t="str">
        <f>VLOOKUP(B:B,'9店辅助表'!AZ:BB,3,FALSE)</f>
        <v>US</v>
      </c>
    </row>
    <row r="99" customHeight="1" spans="1:40">
      <c r="A99" s="58" t="str">
        <f>INDEX('[1]9店'!$A:$A,MATCH(B:B,'[1]9店'!$B:$B,0))</f>
        <v>子杰</v>
      </c>
      <c r="B99" s="45" t="s">
        <v>3276</v>
      </c>
      <c r="C99" s="45" t="s">
        <v>3277</v>
      </c>
      <c r="D99" s="59">
        <f>VLOOKUP(B:B,'[1]9店'!$B:$L,3,0)</f>
        <v>45184</v>
      </c>
      <c r="E99" s="45" t="s">
        <v>3278</v>
      </c>
      <c r="F99" s="45">
        <v>0</v>
      </c>
      <c r="G99" s="45">
        <v>1</v>
      </c>
      <c r="H99" s="45">
        <v>0</v>
      </c>
      <c r="I99" s="45">
        <v>0</v>
      </c>
      <c r="J99" s="45">
        <v>2</v>
      </c>
      <c r="K99" s="63">
        <f t="shared" si="71"/>
        <v>3</v>
      </c>
      <c r="L99" s="64">
        <f>IFERROR(VLOOKUP($B:$B,'[1]9店'!$B:$L,11,0),0)</f>
        <v>67.667</v>
      </c>
      <c r="M99" s="44">
        <f t="shared" si="72"/>
        <v>203.001</v>
      </c>
      <c r="N99" s="65">
        <f>IFERROR(VLOOKUP(B:B,'9店辅助表'!B:C,2,FALSE),0)</f>
        <v>2</v>
      </c>
      <c r="O99" s="65">
        <f>IFERROR(VLOOKUP(B:B,'9店辅助表'!E:F,2,FALSE),0)</f>
        <v>10</v>
      </c>
      <c r="P99" s="65">
        <f>IFERROR(VLOOKUP(B:B,'9店辅助表'!H:I,2,FALSE),0)</f>
        <v>42</v>
      </c>
      <c r="Q99" s="65">
        <f>IFERROR(VLOOKUP(B:B,'[1]9店'!$B:$N,13,FALSE),0)</f>
        <v>8</v>
      </c>
      <c r="R99" s="79">
        <f t="shared" si="73"/>
        <v>-6</v>
      </c>
      <c r="S99" s="80">
        <f t="shared" si="74"/>
        <v>3.82591093117409</v>
      </c>
      <c r="T99" s="44">
        <f t="shared" si="75"/>
        <v>0.12753036437247</v>
      </c>
      <c r="U99" s="44">
        <f>IFERROR(VLOOKUP(B:B,'[1]9店'!$B:$T,19,0),"-")</f>
        <v>0.220794392523365</v>
      </c>
      <c r="V99" s="81">
        <f t="shared" si="76"/>
        <v>-0.093264028150895</v>
      </c>
      <c r="W99" s="82" t="str">
        <f t="shared" si="77"/>
        <v>库存过低</v>
      </c>
      <c r="X99" s="83" t="str">
        <f t="shared" si="78"/>
        <v>库存过低</v>
      </c>
      <c r="Y99" s="44">
        <f>IFERROR(SUMIF('9店辅助表'!K:K,B:B,'9店辅助表'!N:N),0)</f>
        <v>6.5</v>
      </c>
      <c r="Z99" s="44">
        <f>IFERROR(SUMIF('9店辅助表'!T:T,B:B,'9店辅助表'!W:W),0)</f>
        <v>42.32</v>
      </c>
      <c r="AA99" s="44">
        <f>IFERROR(SUMIF('9店辅助表'!AC:AC,B:B,'9店辅助表'!AF:AF),0)</f>
        <v>195.18</v>
      </c>
      <c r="AB99" s="91" t="str">
        <f>IFERROR(SUMIF('9店辅助表'!K:K,B:B,'9店辅助表'!N:N)/SUMIF('9店辅助表'!K:K,B:B,'9店辅助表'!O:O),"-")</f>
        <v>-</v>
      </c>
      <c r="AC99" s="91">
        <f>IFERROR(VLOOKUP(B:B,'[1]9店'!$B:$AB,27,FALSE),"-")</f>
        <v>0.209199789418268</v>
      </c>
      <c r="AD99" s="92" t="str">
        <f t="shared" si="79"/>
        <v>-</v>
      </c>
      <c r="AE99" s="91">
        <f>IFERROR(SUMIF('9店辅助表'!T:T,B:B,'9店辅助表'!W:W)/SUMIF('9店辅助表'!T:T,B:B,'9店辅助表'!X:X),"-")</f>
        <v>0.278494340615952</v>
      </c>
      <c r="AF99" s="91">
        <f>IFERROR(SUMIF('9店辅助表'!AC:AC,B:B,'9店辅助表'!AF:AF)/SUMIF('9店辅助表'!AC:AC,B:B,'9店辅助表'!AG:AG),"-")</f>
        <v>0.150853273975144</v>
      </c>
      <c r="AG99" s="99">
        <f>IFERROR(AK99/((SUMIF('9店辅助表'!AT:AT,B:B,'9店辅助表'!AU:AU)+M99)/2),"-")</f>
        <v>0.333333333333333</v>
      </c>
      <c r="AH99" s="99">
        <f>IFERROR(AL99/((SUMIF('9店辅助表'!AW:AW,B:B,'9店辅助表'!AX:AX)+M99)/2),"-")</f>
        <v>0.666666666666667</v>
      </c>
      <c r="AI99" s="100">
        <f>IFERROR((SUMIF('9店辅助表'!AP:AP,B:B,'9店辅助表'!AR:AR)-SUMIF('9店辅助表'!AP:AP,B:B,'9店辅助表'!AR:AR)*0.15-(L99+IFERROR(VLOOKUP(B:B,'9店辅助表'!AZ:BA,2,0),0))*O99-IF(AN:AN="US",6.85,4.9)*(Z99+7.81*O99))/SUMIF('9店辅助表'!AP:AP,B:B,'9店辅助表'!AR:AR),"-")</f>
        <v>0.146837489994163</v>
      </c>
      <c r="AJ99" s="100">
        <f t="shared" si="80"/>
        <v>0.0978916599961087</v>
      </c>
      <c r="AK99" s="101">
        <f t="shared" si="81"/>
        <v>135.334</v>
      </c>
      <c r="AL99" s="101">
        <f t="shared" si="82"/>
        <v>676.67</v>
      </c>
      <c r="AM99" s="1" t="str">
        <f>VLOOKUP(B:B,'9店辅助表'!AZ:AZ,1,FALSE)</f>
        <v>Y9022</v>
      </c>
      <c r="AN99" t="str">
        <f>VLOOKUP(B:B,'9店辅助表'!AZ:BB,3,FALSE)</f>
        <v>US</v>
      </c>
    </row>
    <row r="100" customHeight="1" spans="1:40">
      <c r="A100" s="58" t="str">
        <f>INDEX('[1]9店'!$A:$A,MATCH(B:B,'[1]9店'!$B:$B,0))</f>
        <v>子杰</v>
      </c>
      <c r="B100" s="45" t="s">
        <v>3279</v>
      </c>
      <c r="C100" s="45" t="s">
        <v>3280</v>
      </c>
      <c r="D100" s="59">
        <f>VLOOKUP(B:B,'[1]9店'!$B:$L,3,0)</f>
        <v>45209</v>
      </c>
      <c r="E100" s="45" t="s">
        <v>3281</v>
      </c>
      <c r="F100" s="45">
        <v>30</v>
      </c>
      <c r="G100" s="45">
        <v>0</v>
      </c>
      <c r="H100" s="45">
        <v>0</v>
      </c>
      <c r="I100" s="45">
        <v>0</v>
      </c>
      <c r="J100" s="45">
        <v>0</v>
      </c>
      <c r="K100" s="63">
        <f t="shared" si="71"/>
        <v>30</v>
      </c>
      <c r="L100" s="64">
        <f>IFERROR(VLOOKUP($B:$B,'[1]9店'!$B:$L,11,0),0)</f>
        <v>46.5</v>
      </c>
      <c r="M100" s="44">
        <f t="shared" si="72"/>
        <v>1395</v>
      </c>
      <c r="N100" s="65">
        <f>IFERROR(VLOOKUP(B:B,'9店辅助表'!B:C,2,FALSE),0)</f>
        <v>0</v>
      </c>
      <c r="O100" s="65">
        <f>IFERROR(VLOOKUP(B:B,'9店辅助表'!E:F,2,FALSE),0)</f>
        <v>0</v>
      </c>
      <c r="P100" s="65">
        <f>IFERROR(VLOOKUP(B:B,'9店辅助表'!H:I,2,FALSE),0)</f>
        <v>0</v>
      </c>
      <c r="Q100" s="65">
        <f>IFERROR(VLOOKUP(B:B,'[1]9店'!$B:$N,13,FALSE),0)</f>
        <v>0</v>
      </c>
      <c r="R100" s="79">
        <f t="shared" si="73"/>
        <v>0</v>
      </c>
      <c r="S100" s="80" t="str">
        <f t="shared" si="74"/>
        <v>-</v>
      </c>
      <c r="T100" s="44" t="str">
        <f t="shared" si="75"/>
        <v>-</v>
      </c>
      <c r="U100" s="44" t="str">
        <f>IFERROR(VLOOKUP(B:B,'[1]9店'!$B:$T,19,0),"-")</f>
        <v>-</v>
      </c>
      <c r="V100" s="81" t="str">
        <f t="shared" si="76"/>
        <v>-</v>
      </c>
      <c r="W100" s="82" t="str">
        <f t="shared" si="77"/>
        <v>本月刚到货</v>
      </c>
      <c r="X100" s="83" t="str">
        <f t="shared" si="78"/>
        <v>本月刚到货</v>
      </c>
      <c r="Y100" s="44">
        <f>IFERROR(SUMIF('9店辅助表'!K:K,B:B,'9店辅助表'!N:N),0)</f>
        <v>14.7</v>
      </c>
      <c r="Z100" s="44">
        <f>IFERROR(SUMIF('9店辅助表'!T:T,B:B,'9店辅助表'!W:W),0)</f>
        <v>14.7</v>
      </c>
      <c r="AA100" s="44">
        <f>IFERROR(SUMIF('9店辅助表'!AC:AC,B:B,'9店辅助表'!AF:AF),0)</f>
        <v>14.7</v>
      </c>
      <c r="AB100" s="91" t="str">
        <f>IFERROR(SUMIF('9店辅助表'!K:K,B:B,'9店辅助表'!N:N)/SUMIF('9店辅助表'!K:K,B:B,'9店辅助表'!O:O),"-")</f>
        <v>-</v>
      </c>
      <c r="AC100" s="91" t="str">
        <f>IFERROR(VLOOKUP(B:B,'[1]9店'!$B:$AB,27,FALSE),"-")</f>
        <v>-</v>
      </c>
      <c r="AD100" s="92" t="str">
        <f t="shared" si="79"/>
        <v>-</v>
      </c>
      <c r="AE100" s="91" t="str">
        <f>IFERROR(SUMIF('9店辅助表'!T:T,B:B,'9店辅助表'!W:W)/SUMIF('9店辅助表'!T:T,B:B,'9店辅助表'!X:X),"-")</f>
        <v>-</v>
      </c>
      <c r="AF100" s="91" t="str">
        <f>IFERROR(SUMIF('9店辅助表'!AC:AC,B:B,'9店辅助表'!AF:AF)/SUMIF('9店辅助表'!AC:AC,B:B,'9店辅助表'!AG:AG),"-")</f>
        <v>-</v>
      </c>
      <c r="AG100" s="99">
        <f>IFERROR(AK100/((SUMIF('9店辅助表'!AT:AT,B:B,'9店辅助表'!AU:AU)+M100)/2),"-")</f>
        <v>0</v>
      </c>
      <c r="AH100" s="99">
        <f>IFERROR(AL100/((SUMIF('9店辅助表'!AW:AW,B:B,'9店辅助表'!AX:AX)+M100)/2),"-")</f>
        <v>0</v>
      </c>
      <c r="AI100" s="100" t="str">
        <f>IFERROR((SUMIF('9店辅助表'!AP:AP,B:B,'9店辅助表'!AR:AR)-SUMIF('9店辅助表'!AP:AP,B:B,'9店辅助表'!AR:AR)*0.15-(L100+IFERROR(VLOOKUP(B:B,'9店辅助表'!AZ:BA,2,0),0))*O100-IF(AN:AN="US",6.85,4.9)*(Z100+7.81*O100))/SUMIF('9店辅助表'!AP:AP,B:B,'9店辅助表'!AR:AR),"-")</f>
        <v>-</v>
      </c>
      <c r="AJ100" s="100" t="str">
        <f t="shared" si="80"/>
        <v>-</v>
      </c>
      <c r="AK100" s="101">
        <f t="shared" si="81"/>
        <v>0</v>
      </c>
      <c r="AL100" s="101">
        <f t="shared" si="82"/>
        <v>0</v>
      </c>
      <c r="AM100" s="1" t="str">
        <f>VLOOKUP(B:B,'9店辅助表'!AZ:AZ,1,FALSE)</f>
        <v>Y9023-BR-15</v>
      </c>
      <c r="AN100" t="str">
        <f>VLOOKUP(B:B,'9店辅助表'!AZ:BB,3,FALSE)</f>
        <v>US</v>
      </c>
    </row>
    <row r="101" customHeight="1" spans="1:40">
      <c r="A101" s="58" t="str">
        <f>INDEX('[1]9店'!$A:$A,MATCH(B:B,'[1]9店'!$B:$B,0))</f>
        <v>子杰</v>
      </c>
      <c r="B101" s="45" t="s">
        <v>3282</v>
      </c>
      <c r="C101" s="45" t="s">
        <v>3283</v>
      </c>
      <c r="D101" s="59">
        <f>VLOOKUP(B:B,'[1]9店'!$B:$L,3,0)</f>
        <v>45209</v>
      </c>
      <c r="E101" s="45" t="s">
        <v>3284</v>
      </c>
      <c r="F101" s="45">
        <v>30</v>
      </c>
      <c r="G101" s="45">
        <v>0</v>
      </c>
      <c r="H101" s="45">
        <v>0</v>
      </c>
      <c r="I101" s="45">
        <v>0</v>
      </c>
      <c r="J101" s="45">
        <v>0</v>
      </c>
      <c r="K101" s="63">
        <f t="shared" si="71"/>
        <v>30</v>
      </c>
      <c r="L101" s="64">
        <f>IFERROR(VLOOKUP($B:$B,'[1]9店'!$B:$L,11,0),0)</f>
        <v>52.5</v>
      </c>
      <c r="M101" s="44">
        <f t="shared" si="72"/>
        <v>1575</v>
      </c>
      <c r="N101" s="65">
        <f>IFERROR(VLOOKUP(B:B,'9店辅助表'!B:C,2,FALSE),0)</f>
        <v>0</v>
      </c>
      <c r="O101" s="65">
        <f>IFERROR(VLOOKUP(B:B,'9店辅助表'!E:F,2,FALSE),0)</f>
        <v>0</v>
      </c>
      <c r="P101" s="65">
        <f>IFERROR(VLOOKUP(B:B,'9店辅助表'!H:I,2,FALSE),0)</f>
        <v>0</v>
      </c>
      <c r="Q101" s="65">
        <f>IFERROR(VLOOKUP(B:B,'[1]9店'!$B:$N,13,FALSE),0)</f>
        <v>0</v>
      </c>
      <c r="R101" s="79">
        <f t="shared" si="73"/>
        <v>0</v>
      </c>
      <c r="S101" s="80" t="str">
        <f t="shared" si="74"/>
        <v>-</v>
      </c>
      <c r="T101" s="44" t="str">
        <f t="shared" si="75"/>
        <v>-</v>
      </c>
      <c r="U101" s="44" t="str">
        <f>IFERROR(VLOOKUP(B:B,'[1]9店'!$B:$T,19,0),"-")</f>
        <v>-</v>
      </c>
      <c r="V101" s="81" t="str">
        <f t="shared" si="76"/>
        <v>-</v>
      </c>
      <c r="W101" s="82" t="str">
        <f t="shared" si="77"/>
        <v>本月刚到货</v>
      </c>
      <c r="X101" s="83" t="str">
        <f t="shared" si="78"/>
        <v>本月刚到货</v>
      </c>
      <c r="Y101" s="44">
        <f>IFERROR(SUMIF('9店辅助表'!K:K,B:B,'9店辅助表'!N:N),0)</f>
        <v>5.89</v>
      </c>
      <c r="Z101" s="44">
        <f>IFERROR(SUMIF('9店辅助表'!T:T,B:B,'9店辅助表'!W:W),0)</f>
        <v>5.89</v>
      </c>
      <c r="AA101" s="44">
        <f>IFERROR(SUMIF('9店辅助表'!AC:AC,B:B,'9店辅助表'!AF:AF),0)</f>
        <v>5.89</v>
      </c>
      <c r="AB101" s="91" t="str">
        <f>IFERROR(SUMIF('9店辅助表'!K:K,B:B,'9店辅助表'!N:N)/SUMIF('9店辅助表'!K:K,B:B,'9店辅助表'!O:O),"-")</f>
        <v>-</v>
      </c>
      <c r="AC101" s="91" t="str">
        <f>IFERROR(VLOOKUP(B:B,'[1]9店'!$B:$AB,27,FALSE),"-")</f>
        <v>-</v>
      </c>
      <c r="AD101" s="92" t="str">
        <f t="shared" si="79"/>
        <v>-</v>
      </c>
      <c r="AE101" s="91" t="str">
        <f>IFERROR(SUMIF('9店辅助表'!T:T,B:B,'9店辅助表'!W:W)/SUMIF('9店辅助表'!T:T,B:B,'9店辅助表'!X:X),"-")</f>
        <v>-</v>
      </c>
      <c r="AF101" s="91" t="str">
        <f>IFERROR(SUMIF('9店辅助表'!AC:AC,B:B,'9店辅助表'!AF:AF)/SUMIF('9店辅助表'!AC:AC,B:B,'9店辅助表'!AG:AG),"-")</f>
        <v>-</v>
      </c>
      <c r="AG101" s="99">
        <f>IFERROR(AK101/((SUMIF('9店辅助表'!AT:AT,B:B,'9店辅助表'!AU:AU)+M101)/2),"-")</f>
        <v>0</v>
      </c>
      <c r="AH101" s="99">
        <f>IFERROR(AL101/((SUMIF('9店辅助表'!AW:AW,B:B,'9店辅助表'!AX:AX)+M101)/2),"-")</f>
        <v>0</v>
      </c>
      <c r="AI101" s="100" t="str">
        <f>IFERROR((SUMIF('9店辅助表'!AP:AP,B:B,'9店辅助表'!AR:AR)-SUMIF('9店辅助表'!AP:AP,B:B,'9店辅助表'!AR:AR)*0.15-(L101+IFERROR(VLOOKUP(B:B,'9店辅助表'!AZ:BA,2,0),0))*O101-IF(AN:AN="US",6.85,4.9)*(Z101+7.81*O101))/SUMIF('9店辅助表'!AP:AP,B:B,'9店辅助表'!AR:AR),"-")</f>
        <v>-</v>
      </c>
      <c r="AJ101" s="100" t="str">
        <f t="shared" si="80"/>
        <v>-</v>
      </c>
      <c r="AK101" s="101">
        <f t="shared" si="81"/>
        <v>0</v>
      </c>
      <c r="AL101" s="101">
        <f t="shared" si="82"/>
        <v>0</v>
      </c>
      <c r="AM101" s="1" t="str">
        <f>VLOOKUP(B:B,'9店辅助表'!AZ:AZ,1,FALSE)</f>
        <v>Y9023-BR-20</v>
      </c>
      <c r="AN101" t="str">
        <f>VLOOKUP(B:B,'9店辅助表'!AZ:BB,3,FALSE)</f>
        <v>US</v>
      </c>
    </row>
    <row r="102" customHeight="1" spans="1:40">
      <c r="A102" s="58" t="str">
        <f>INDEX('[1]9店'!$A:$A,MATCH(B:B,'[1]9店'!$B:$B,0))</f>
        <v>子杰</v>
      </c>
      <c r="B102" s="45" t="s">
        <v>3285</v>
      </c>
      <c r="C102" s="45" t="s">
        <v>3286</v>
      </c>
      <c r="D102" s="59">
        <f>VLOOKUP(B:B,'[1]9店'!$B:$L,3,0)</f>
        <v>45209</v>
      </c>
      <c r="E102" s="45" t="s">
        <v>3287</v>
      </c>
      <c r="F102" s="45">
        <v>30</v>
      </c>
      <c r="G102" s="45">
        <v>0</v>
      </c>
      <c r="H102" s="45">
        <v>0</v>
      </c>
      <c r="I102" s="45">
        <v>0</v>
      </c>
      <c r="J102" s="45">
        <v>0</v>
      </c>
      <c r="K102" s="63">
        <f t="shared" si="71"/>
        <v>30</v>
      </c>
      <c r="L102" s="64">
        <f>IFERROR(VLOOKUP($B:$B,'[1]9店'!$B:$L,11,0),0)</f>
        <v>57.5</v>
      </c>
      <c r="M102" s="44">
        <f t="shared" si="72"/>
        <v>1725</v>
      </c>
      <c r="N102" s="65">
        <f>IFERROR(VLOOKUP(B:B,'9店辅助表'!B:C,2,FALSE),0)</f>
        <v>0</v>
      </c>
      <c r="O102" s="65">
        <f>IFERROR(VLOOKUP(B:B,'9店辅助表'!E:F,2,FALSE),0)</f>
        <v>0</v>
      </c>
      <c r="P102" s="65">
        <f>IFERROR(VLOOKUP(B:B,'9店辅助表'!H:I,2,FALSE),0)</f>
        <v>0</v>
      </c>
      <c r="Q102" s="65">
        <f>IFERROR(VLOOKUP(B:B,'[1]9店'!$B:$N,13,FALSE),0)</f>
        <v>0</v>
      </c>
      <c r="R102" s="79">
        <f t="shared" si="73"/>
        <v>0</v>
      </c>
      <c r="S102" s="80" t="str">
        <f t="shared" si="74"/>
        <v>-</v>
      </c>
      <c r="T102" s="44" t="str">
        <f t="shared" si="75"/>
        <v>-</v>
      </c>
      <c r="U102" s="44" t="str">
        <f>IFERROR(VLOOKUP(B:B,'[1]9店'!$B:$T,19,0),"-")</f>
        <v>-</v>
      </c>
      <c r="V102" s="81" t="str">
        <f t="shared" si="76"/>
        <v>-</v>
      </c>
      <c r="W102" s="82" t="str">
        <f t="shared" si="77"/>
        <v>本月刚到货</v>
      </c>
      <c r="X102" s="83" t="str">
        <f t="shared" si="78"/>
        <v>本月刚到货</v>
      </c>
      <c r="Y102" s="44">
        <f>IFERROR(SUMIF('9店辅助表'!K:K,B:B,'9店辅助表'!N:N),0)</f>
        <v>1.16</v>
      </c>
      <c r="Z102" s="44">
        <f>IFERROR(SUMIF('9店辅助表'!T:T,B:B,'9店辅助表'!W:W),0)</f>
        <v>1.16</v>
      </c>
      <c r="AA102" s="44">
        <f>IFERROR(SUMIF('9店辅助表'!AC:AC,B:B,'9店辅助表'!AF:AF),0)</f>
        <v>1.16</v>
      </c>
      <c r="AB102" s="91" t="str">
        <f>IFERROR(SUMIF('9店辅助表'!K:K,B:B,'9店辅助表'!N:N)/SUMIF('9店辅助表'!K:K,B:B,'9店辅助表'!O:O),"-")</f>
        <v>-</v>
      </c>
      <c r="AC102" s="91" t="str">
        <f>IFERROR(VLOOKUP(B:B,'[1]9店'!$B:$AB,27,FALSE),"-")</f>
        <v>-</v>
      </c>
      <c r="AD102" s="92" t="str">
        <f t="shared" si="79"/>
        <v>-</v>
      </c>
      <c r="AE102" s="91" t="str">
        <f>IFERROR(SUMIF('9店辅助表'!T:T,B:B,'9店辅助表'!W:W)/SUMIF('9店辅助表'!T:T,B:B,'9店辅助表'!X:X),"-")</f>
        <v>-</v>
      </c>
      <c r="AF102" s="91" t="str">
        <f>IFERROR(SUMIF('9店辅助表'!AC:AC,B:B,'9店辅助表'!AF:AF)/SUMIF('9店辅助表'!AC:AC,B:B,'9店辅助表'!AG:AG),"-")</f>
        <v>-</v>
      </c>
      <c r="AG102" s="99">
        <f>IFERROR(AK102/((SUMIF('9店辅助表'!AT:AT,B:B,'9店辅助表'!AU:AU)+M102)/2),"-")</f>
        <v>0</v>
      </c>
      <c r="AH102" s="99">
        <f>IFERROR(AL102/((SUMIF('9店辅助表'!AW:AW,B:B,'9店辅助表'!AX:AX)+M102)/2),"-")</f>
        <v>0</v>
      </c>
      <c r="AI102" s="100" t="str">
        <f>IFERROR((SUMIF('9店辅助表'!AP:AP,B:B,'9店辅助表'!AR:AR)-SUMIF('9店辅助表'!AP:AP,B:B,'9店辅助表'!AR:AR)*0.15-(L102+IFERROR(VLOOKUP(B:B,'9店辅助表'!AZ:BA,2,0),0))*O102-IF(AN:AN="US",6.85,4.9)*(Z102+7.81*O102))/SUMIF('9店辅助表'!AP:AP,B:B,'9店辅助表'!AR:AR),"-")</f>
        <v>-</v>
      </c>
      <c r="AJ102" s="100" t="str">
        <f t="shared" si="80"/>
        <v>-</v>
      </c>
      <c r="AK102" s="101">
        <f t="shared" si="81"/>
        <v>0</v>
      </c>
      <c r="AL102" s="101">
        <f t="shared" si="82"/>
        <v>0</v>
      </c>
      <c r="AM102" s="1" t="str">
        <f>VLOOKUP(B:B,'9店辅助表'!AZ:AZ,1,FALSE)</f>
        <v>Y9023-BR-25</v>
      </c>
      <c r="AN102" t="str">
        <f>VLOOKUP(B:B,'9店辅助表'!AZ:BB,3,FALSE)</f>
        <v>US</v>
      </c>
    </row>
    <row r="103" customHeight="1" spans="1:40">
      <c r="A103" s="58" t="str">
        <f>INDEX('[1]9店'!$A:$A,MATCH(B:B,'[1]9店'!$B:$B,0))</f>
        <v>子杰</v>
      </c>
      <c r="B103" s="45" t="s">
        <v>3288</v>
      </c>
      <c r="C103" s="45" t="s">
        <v>3289</v>
      </c>
      <c r="D103" s="59">
        <f>VLOOKUP(B:B,'[1]9店'!$B:$L,3,0)</f>
        <v>45209</v>
      </c>
      <c r="E103" s="45" t="s">
        <v>3290</v>
      </c>
      <c r="F103" s="45">
        <v>30</v>
      </c>
      <c r="G103" s="45">
        <v>0</v>
      </c>
      <c r="H103" s="45">
        <v>0</v>
      </c>
      <c r="I103" s="45">
        <v>0</v>
      </c>
      <c r="J103" s="45">
        <v>0</v>
      </c>
      <c r="K103" s="63">
        <f t="shared" si="71"/>
        <v>30</v>
      </c>
      <c r="L103" s="64">
        <f>IFERROR(VLOOKUP($B:$B,'[1]9店'!$B:$L,11,0),0)</f>
        <v>46.5</v>
      </c>
      <c r="M103" s="44">
        <f t="shared" si="72"/>
        <v>1395</v>
      </c>
      <c r="N103" s="65">
        <f>IFERROR(VLOOKUP(B:B,'9店辅助表'!B:C,2,FALSE),0)</f>
        <v>0</v>
      </c>
      <c r="O103" s="65">
        <f>IFERROR(VLOOKUP(B:B,'9店辅助表'!E:F,2,FALSE),0)</f>
        <v>0</v>
      </c>
      <c r="P103" s="65">
        <f>IFERROR(VLOOKUP(B:B,'9店辅助表'!H:I,2,FALSE),0)</f>
        <v>0</v>
      </c>
      <c r="Q103" s="65">
        <f>IFERROR(VLOOKUP(B:B,'[1]9店'!$B:$N,13,FALSE),0)</f>
        <v>0</v>
      </c>
      <c r="R103" s="79">
        <f t="shared" si="73"/>
        <v>0</v>
      </c>
      <c r="S103" s="80" t="str">
        <f t="shared" si="74"/>
        <v>-</v>
      </c>
      <c r="T103" s="44" t="str">
        <f t="shared" si="75"/>
        <v>-</v>
      </c>
      <c r="U103" s="44" t="str">
        <f>IFERROR(VLOOKUP(B:B,'[1]9店'!$B:$T,19,0),"-")</f>
        <v>-</v>
      </c>
      <c r="V103" s="81" t="str">
        <f t="shared" si="76"/>
        <v>-</v>
      </c>
      <c r="W103" s="82" t="str">
        <f t="shared" si="77"/>
        <v>本月刚到货</v>
      </c>
      <c r="X103" s="83" t="str">
        <f t="shared" si="78"/>
        <v>本月刚到货</v>
      </c>
      <c r="Y103" s="44">
        <f>IFERROR(SUMIF('9店辅助表'!K:K,B:B,'9店辅助表'!N:N),0)</f>
        <v>45.34</v>
      </c>
      <c r="Z103" s="44">
        <f>IFERROR(SUMIF('9店辅助表'!T:T,B:B,'9店辅助表'!W:W),0)</f>
        <v>45.34</v>
      </c>
      <c r="AA103" s="44">
        <f>IFERROR(SUMIF('9店辅助表'!AC:AC,B:B,'9店辅助表'!AF:AF),0)</f>
        <v>45.34</v>
      </c>
      <c r="AB103" s="91" t="str">
        <f>IFERROR(SUMIF('9店辅助表'!K:K,B:B,'9店辅助表'!N:N)/SUMIF('9店辅助表'!K:K,B:B,'9店辅助表'!O:O),"-")</f>
        <v>-</v>
      </c>
      <c r="AC103" s="91" t="str">
        <f>IFERROR(VLOOKUP(B:B,'[1]9店'!$B:$AB,27,FALSE),"-")</f>
        <v>-</v>
      </c>
      <c r="AD103" s="92" t="str">
        <f t="shared" si="79"/>
        <v>-</v>
      </c>
      <c r="AE103" s="91" t="str">
        <f>IFERROR(SUMIF('9店辅助表'!T:T,B:B,'9店辅助表'!W:W)/SUMIF('9店辅助表'!T:T,B:B,'9店辅助表'!X:X),"-")</f>
        <v>-</v>
      </c>
      <c r="AF103" s="91" t="str">
        <f>IFERROR(SUMIF('9店辅助表'!AC:AC,B:B,'9店辅助表'!AF:AF)/SUMIF('9店辅助表'!AC:AC,B:B,'9店辅助表'!AG:AG),"-")</f>
        <v>-</v>
      </c>
      <c r="AG103" s="99">
        <f>IFERROR(AK103/((SUMIF('9店辅助表'!AT:AT,B:B,'9店辅助表'!AU:AU)+M103)/2),"-")</f>
        <v>0</v>
      </c>
      <c r="AH103" s="99">
        <f>IFERROR(AL103/((SUMIF('9店辅助表'!AW:AW,B:B,'9店辅助表'!AX:AX)+M103)/2),"-")</f>
        <v>0</v>
      </c>
      <c r="AI103" s="100" t="str">
        <f>IFERROR((SUMIF('9店辅助表'!AP:AP,B:B,'9店辅助表'!AR:AR)-SUMIF('9店辅助表'!AP:AP,B:B,'9店辅助表'!AR:AR)*0.15-(L103+IFERROR(VLOOKUP(B:B,'9店辅助表'!AZ:BA,2,0),0))*O103-IF(AN:AN="US",6.85,4.9)*(Z103+7.81*O103))/SUMIF('9店辅助表'!AP:AP,B:B,'9店辅助表'!AR:AR),"-")</f>
        <v>-</v>
      </c>
      <c r="AJ103" s="100" t="str">
        <f t="shared" si="80"/>
        <v>-</v>
      </c>
      <c r="AK103" s="101">
        <f t="shared" si="81"/>
        <v>0</v>
      </c>
      <c r="AL103" s="101">
        <f t="shared" si="82"/>
        <v>0</v>
      </c>
      <c r="AM103" s="1" t="str">
        <f>VLOOKUP(B:B,'9店辅助表'!AZ:AZ,1,FALSE)</f>
        <v>Y9023-WH-15</v>
      </c>
      <c r="AN103" t="str">
        <f>VLOOKUP(B:B,'9店辅助表'!AZ:BB,3,FALSE)</f>
        <v>US</v>
      </c>
    </row>
    <row r="104" customHeight="1" spans="1:40">
      <c r="A104" s="58" t="str">
        <f>INDEX('[1]9店'!$A:$A,MATCH(B:B,'[1]9店'!$B:$B,0))</f>
        <v>子杰</v>
      </c>
      <c r="B104" s="45" t="s">
        <v>3291</v>
      </c>
      <c r="C104" s="45" t="s">
        <v>3292</v>
      </c>
      <c r="D104" s="59">
        <f>VLOOKUP(B:B,'[1]9店'!$B:$L,3,0)</f>
        <v>45209</v>
      </c>
      <c r="E104" s="45" t="s">
        <v>3293</v>
      </c>
      <c r="F104" s="45">
        <v>30</v>
      </c>
      <c r="G104" s="45">
        <v>0</v>
      </c>
      <c r="H104" s="45">
        <v>0</v>
      </c>
      <c r="I104" s="45">
        <v>0</v>
      </c>
      <c r="J104" s="45">
        <v>0</v>
      </c>
      <c r="K104" s="63">
        <f t="shared" si="71"/>
        <v>30</v>
      </c>
      <c r="L104" s="64">
        <f>IFERROR(VLOOKUP($B:$B,'[1]9店'!$B:$L,11,0),0)</f>
        <v>52.5</v>
      </c>
      <c r="M104" s="44">
        <f t="shared" si="72"/>
        <v>1575</v>
      </c>
      <c r="N104" s="65">
        <f>IFERROR(VLOOKUP(B:B,'9店辅助表'!B:C,2,FALSE),0)</f>
        <v>0</v>
      </c>
      <c r="O104" s="65">
        <f>IFERROR(VLOOKUP(B:B,'9店辅助表'!E:F,2,FALSE),0)</f>
        <v>0</v>
      </c>
      <c r="P104" s="65">
        <f>IFERROR(VLOOKUP(B:B,'9店辅助表'!H:I,2,FALSE),0)</f>
        <v>0</v>
      </c>
      <c r="Q104" s="65">
        <f>IFERROR(VLOOKUP(B:B,'[1]9店'!$B:$N,13,FALSE),0)</f>
        <v>0</v>
      </c>
      <c r="R104" s="79">
        <f t="shared" si="73"/>
        <v>0</v>
      </c>
      <c r="S104" s="80" t="str">
        <f t="shared" si="74"/>
        <v>-</v>
      </c>
      <c r="T104" s="44" t="str">
        <f t="shared" si="75"/>
        <v>-</v>
      </c>
      <c r="U104" s="44" t="str">
        <f>IFERROR(VLOOKUP(B:B,'[1]9店'!$B:$T,19,0),"-")</f>
        <v>-</v>
      </c>
      <c r="V104" s="81" t="str">
        <f t="shared" si="76"/>
        <v>-</v>
      </c>
      <c r="W104" s="82" t="str">
        <f t="shared" si="77"/>
        <v>本月刚到货</v>
      </c>
      <c r="X104" s="83" t="str">
        <f t="shared" si="78"/>
        <v>本月刚到货</v>
      </c>
      <c r="Y104" s="44">
        <f>IFERROR(SUMIF('9店辅助表'!K:K,B:B,'9店辅助表'!N:N),0)</f>
        <v>3.24</v>
      </c>
      <c r="Z104" s="44">
        <f>IFERROR(SUMIF('9店辅助表'!T:T,B:B,'9店辅助表'!W:W),0)</f>
        <v>3.24</v>
      </c>
      <c r="AA104" s="44">
        <f>IFERROR(SUMIF('9店辅助表'!AC:AC,B:B,'9店辅助表'!AF:AF),0)</f>
        <v>3.24</v>
      </c>
      <c r="AB104" s="91" t="str">
        <f>IFERROR(SUMIF('9店辅助表'!K:K,B:B,'9店辅助表'!N:N)/SUMIF('9店辅助表'!K:K,B:B,'9店辅助表'!O:O),"-")</f>
        <v>-</v>
      </c>
      <c r="AC104" s="91" t="str">
        <f>IFERROR(VLOOKUP(B:B,'[1]9店'!$B:$AB,27,FALSE),"-")</f>
        <v>-</v>
      </c>
      <c r="AD104" s="92" t="str">
        <f t="shared" si="79"/>
        <v>-</v>
      </c>
      <c r="AE104" s="91" t="str">
        <f>IFERROR(SUMIF('9店辅助表'!T:T,B:B,'9店辅助表'!W:W)/SUMIF('9店辅助表'!T:T,B:B,'9店辅助表'!X:X),"-")</f>
        <v>-</v>
      </c>
      <c r="AF104" s="91" t="str">
        <f>IFERROR(SUMIF('9店辅助表'!AC:AC,B:B,'9店辅助表'!AF:AF)/SUMIF('9店辅助表'!AC:AC,B:B,'9店辅助表'!AG:AG),"-")</f>
        <v>-</v>
      </c>
      <c r="AG104" s="99">
        <f>IFERROR(AK104/((SUMIF('9店辅助表'!AT:AT,B:B,'9店辅助表'!AU:AU)+M104)/2),"-")</f>
        <v>0</v>
      </c>
      <c r="AH104" s="99">
        <f>IFERROR(AL104/((SUMIF('9店辅助表'!AW:AW,B:B,'9店辅助表'!AX:AX)+M104)/2),"-")</f>
        <v>0</v>
      </c>
      <c r="AI104" s="100" t="str">
        <f>IFERROR((SUMIF('9店辅助表'!AP:AP,B:B,'9店辅助表'!AR:AR)-SUMIF('9店辅助表'!AP:AP,B:B,'9店辅助表'!AR:AR)*0.15-(L104+IFERROR(VLOOKUP(B:B,'9店辅助表'!AZ:BA,2,0),0))*O104-IF(AN:AN="US",6.85,4.9)*(Z104+7.81*O104))/SUMIF('9店辅助表'!AP:AP,B:B,'9店辅助表'!AR:AR),"-")</f>
        <v>-</v>
      </c>
      <c r="AJ104" s="100" t="str">
        <f t="shared" si="80"/>
        <v>-</v>
      </c>
      <c r="AK104" s="101">
        <f t="shared" si="81"/>
        <v>0</v>
      </c>
      <c r="AL104" s="101">
        <f t="shared" si="82"/>
        <v>0</v>
      </c>
      <c r="AM104" s="1" t="str">
        <f>VLOOKUP(B:B,'9店辅助表'!AZ:AZ,1,FALSE)</f>
        <v>Y9023-WH-20</v>
      </c>
      <c r="AN104" t="str">
        <f>VLOOKUP(B:B,'9店辅助表'!AZ:BB,3,FALSE)</f>
        <v>US</v>
      </c>
    </row>
    <row r="105" customHeight="1" spans="1:40">
      <c r="A105" s="58" t="str">
        <f>INDEX('[1]9店'!$A:$A,MATCH(B:B,'[1]9店'!$B:$B,0))</f>
        <v>子杰</v>
      </c>
      <c r="B105" s="45" t="s">
        <v>3294</v>
      </c>
      <c r="C105" s="45" t="s">
        <v>3295</v>
      </c>
      <c r="D105" s="59">
        <f>VLOOKUP(B:B,'[1]9店'!$B:$L,3,0)</f>
        <v>45209</v>
      </c>
      <c r="E105" s="45" t="s">
        <v>3296</v>
      </c>
      <c r="F105" s="45">
        <v>30</v>
      </c>
      <c r="G105" s="45">
        <v>0</v>
      </c>
      <c r="H105" s="45">
        <v>0</v>
      </c>
      <c r="I105" s="45">
        <v>0</v>
      </c>
      <c r="J105" s="45">
        <v>0</v>
      </c>
      <c r="K105" s="63">
        <f t="shared" si="71"/>
        <v>30</v>
      </c>
      <c r="L105" s="64">
        <f>IFERROR(VLOOKUP($B:$B,'[1]9店'!$B:$L,11,0),0)</f>
        <v>57.5</v>
      </c>
      <c r="M105" s="44">
        <f t="shared" si="72"/>
        <v>1725</v>
      </c>
      <c r="N105" s="65">
        <f>IFERROR(VLOOKUP(B:B,'9店辅助表'!B:C,2,FALSE),0)</f>
        <v>0</v>
      </c>
      <c r="O105" s="65">
        <f>IFERROR(VLOOKUP(B:B,'9店辅助表'!E:F,2,FALSE),0)</f>
        <v>0</v>
      </c>
      <c r="P105" s="65">
        <f>IFERROR(VLOOKUP(B:B,'9店辅助表'!H:I,2,FALSE),0)</f>
        <v>0</v>
      </c>
      <c r="Q105" s="65">
        <f>IFERROR(VLOOKUP(B:B,'[1]9店'!$B:$N,13,FALSE),0)</f>
        <v>0</v>
      </c>
      <c r="R105" s="79">
        <f t="shared" si="73"/>
        <v>0</v>
      </c>
      <c r="S105" s="80" t="str">
        <f t="shared" si="74"/>
        <v>-</v>
      </c>
      <c r="T105" s="44" t="str">
        <f t="shared" si="75"/>
        <v>-</v>
      </c>
      <c r="U105" s="44" t="str">
        <f>IFERROR(VLOOKUP(B:B,'[1]9店'!$B:$T,19,0),"-")</f>
        <v>-</v>
      </c>
      <c r="V105" s="81" t="str">
        <f t="shared" si="76"/>
        <v>-</v>
      </c>
      <c r="W105" s="82" t="str">
        <f t="shared" si="77"/>
        <v>本月刚到货</v>
      </c>
      <c r="X105" s="83" t="str">
        <f t="shared" si="78"/>
        <v>本月刚到货</v>
      </c>
      <c r="Y105" s="44">
        <f>IFERROR(SUMIF('9店辅助表'!K:K,B:B,'9店辅助表'!N:N),0)</f>
        <v>1.48</v>
      </c>
      <c r="Z105" s="44">
        <f>IFERROR(SUMIF('9店辅助表'!T:T,B:B,'9店辅助表'!W:W),0)</f>
        <v>1.48</v>
      </c>
      <c r="AA105" s="44">
        <f>IFERROR(SUMIF('9店辅助表'!AC:AC,B:B,'9店辅助表'!AF:AF),0)</f>
        <v>1.48</v>
      </c>
      <c r="AB105" s="91" t="str">
        <f>IFERROR(SUMIF('9店辅助表'!K:K,B:B,'9店辅助表'!N:N)/SUMIF('9店辅助表'!K:K,B:B,'9店辅助表'!O:O),"-")</f>
        <v>-</v>
      </c>
      <c r="AC105" s="91" t="str">
        <f>IFERROR(VLOOKUP(B:B,'[1]9店'!$B:$AB,27,FALSE),"-")</f>
        <v>-</v>
      </c>
      <c r="AD105" s="92" t="str">
        <f t="shared" si="79"/>
        <v>-</v>
      </c>
      <c r="AE105" s="91" t="str">
        <f>IFERROR(SUMIF('9店辅助表'!T:T,B:B,'9店辅助表'!W:W)/SUMIF('9店辅助表'!T:T,B:B,'9店辅助表'!X:X),"-")</f>
        <v>-</v>
      </c>
      <c r="AF105" s="91" t="str">
        <f>IFERROR(SUMIF('9店辅助表'!AC:AC,B:B,'9店辅助表'!AF:AF)/SUMIF('9店辅助表'!AC:AC,B:B,'9店辅助表'!AG:AG),"-")</f>
        <v>-</v>
      </c>
      <c r="AG105" s="99">
        <f>IFERROR(AK105/((SUMIF('9店辅助表'!AT:AT,B:B,'9店辅助表'!AU:AU)+M105)/2),"-")</f>
        <v>0</v>
      </c>
      <c r="AH105" s="99">
        <f>IFERROR(AL105/((SUMIF('9店辅助表'!AW:AW,B:B,'9店辅助表'!AX:AX)+M105)/2),"-")</f>
        <v>0</v>
      </c>
      <c r="AI105" s="100" t="str">
        <f>IFERROR((SUMIF('9店辅助表'!AP:AP,B:B,'9店辅助表'!AR:AR)-SUMIF('9店辅助表'!AP:AP,B:B,'9店辅助表'!AR:AR)*0.15-(L105+IFERROR(VLOOKUP(B:B,'9店辅助表'!AZ:BA,2,0),0))*O105-IF(AN:AN="US",6.85,4.9)*(Z105+7.81*O105))/SUMIF('9店辅助表'!AP:AP,B:B,'9店辅助表'!AR:AR),"-")</f>
        <v>-</v>
      </c>
      <c r="AJ105" s="100" t="str">
        <f t="shared" si="80"/>
        <v>-</v>
      </c>
      <c r="AK105" s="101">
        <f t="shared" si="81"/>
        <v>0</v>
      </c>
      <c r="AL105" s="101">
        <f t="shared" si="82"/>
        <v>0</v>
      </c>
      <c r="AM105" s="1" t="str">
        <f>VLOOKUP(B:B,'9店辅助表'!AZ:AZ,1,FALSE)</f>
        <v>Y9023-WH-25</v>
      </c>
      <c r="AN105" t="str">
        <f>VLOOKUP(B:B,'9店辅助表'!AZ:BB,3,FALSE)</f>
        <v>US</v>
      </c>
    </row>
    <row r="106" customHeight="1" spans="1:40">
      <c r="A106" s="58" t="str">
        <f>INDEX('[1]9店'!$A:$A,MATCH(B:B,'[1]9店'!$B:$B,0))</f>
        <v>子杰</v>
      </c>
      <c r="B106" s="45" t="s">
        <v>3297</v>
      </c>
      <c r="C106" s="45" t="s">
        <v>3298</v>
      </c>
      <c r="D106" s="59">
        <f>VLOOKUP(B:B,'[1]9店'!$B:$L,3,0)</f>
        <v>45210</v>
      </c>
      <c r="E106" s="45" t="s">
        <v>3299</v>
      </c>
      <c r="F106" s="45">
        <v>30</v>
      </c>
      <c r="G106" s="45">
        <v>0</v>
      </c>
      <c r="H106" s="45">
        <v>0</v>
      </c>
      <c r="I106" s="45">
        <v>0</v>
      </c>
      <c r="J106" s="45">
        <v>0</v>
      </c>
      <c r="K106" s="63">
        <f t="shared" si="71"/>
        <v>30</v>
      </c>
      <c r="L106" s="64">
        <f>IFERROR(VLOOKUP($B:$B,'[1]9店'!$B:$L,11,0),0)</f>
        <v>93.648</v>
      </c>
      <c r="M106" s="44">
        <f t="shared" si="72"/>
        <v>2809.44</v>
      </c>
      <c r="N106" s="65">
        <f>IFERROR(VLOOKUP(B:B,'9店辅助表'!B:C,2,FALSE),0)</f>
        <v>0</v>
      </c>
      <c r="O106" s="65">
        <f>IFERROR(VLOOKUP(B:B,'9店辅助表'!E:F,2,FALSE),0)</f>
        <v>0</v>
      </c>
      <c r="P106" s="65">
        <f>IFERROR(VLOOKUP(B:B,'9店辅助表'!H:I,2,FALSE),0)</f>
        <v>0</v>
      </c>
      <c r="Q106" s="65">
        <f>IFERROR(VLOOKUP(B:B,'[1]9店'!$B:$N,13,FALSE),0)</f>
        <v>0</v>
      </c>
      <c r="R106" s="79">
        <f t="shared" si="73"/>
        <v>0</v>
      </c>
      <c r="S106" s="80" t="str">
        <f t="shared" si="74"/>
        <v>-</v>
      </c>
      <c r="T106" s="44" t="str">
        <f t="shared" si="75"/>
        <v>-</v>
      </c>
      <c r="U106" s="44" t="str">
        <f>IFERROR(VLOOKUP(B:B,'[1]9店'!$B:$T,19,0),"-")</f>
        <v>-</v>
      </c>
      <c r="V106" s="81" t="str">
        <f t="shared" si="76"/>
        <v>-</v>
      </c>
      <c r="W106" s="82" t="str">
        <f t="shared" si="77"/>
        <v>本月刚到货</v>
      </c>
      <c r="X106" s="83" t="str">
        <f t="shared" si="78"/>
        <v>本月刚到货</v>
      </c>
      <c r="Y106" s="44">
        <f>IFERROR(SUMIF('9店辅助表'!K:K,B:B,'9店辅助表'!N:N),0)</f>
        <v>0</v>
      </c>
      <c r="Z106" s="44">
        <f>IFERROR(SUMIF('9店辅助表'!T:T,B:B,'9店辅助表'!W:W),0)</f>
        <v>0</v>
      </c>
      <c r="AA106" s="44">
        <f>IFERROR(SUMIF('9店辅助表'!AC:AC,B:B,'9店辅助表'!AF:AF),0)</f>
        <v>0</v>
      </c>
      <c r="AB106" s="91" t="str">
        <f>IFERROR(SUMIF('9店辅助表'!K:K,B:B,'9店辅助表'!N:N)/SUMIF('9店辅助表'!K:K,B:B,'9店辅助表'!O:O),"-")</f>
        <v>-</v>
      </c>
      <c r="AC106" s="91" t="str">
        <f>IFERROR(VLOOKUP(B:B,'[1]9店'!$B:$AB,27,FALSE),"-")</f>
        <v>-</v>
      </c>
      <c r="AD106" s="92" t="str">
        <f t="shared" si="79"/>
        <v>-</v>
      </c>
      <c r="AE106" s="91" t="str">
        <f>IFERROR(SUMIF('9店辅助表'!T:T,B:B,'9店辅助表'!W:W)/SUMIF('9店辅助表'!T:T,B:B,'9店辅助表'!X:X),"-")</f>
        <v>-</v>
      </c>
      <c r="AF106" s="91" t="str">
        <f>IFERROR(SUMIF('9店辅助表'!AC:AC,B:B,'9店辅助表'!AF:AF)/SUMIF('9店辅助表'!AC:AC,B:B,'9店辅助表'!AG:AG),"-")</f>
        <v>-</v>
      </c>
      <c r="AG106" s="99">
        <f>IFERROR(AK106/((SUMIF('9店辅助表'!AT:AT,B:B,'9店辅助表'!AU:AU)+M106)/2),"-")</f>
        <v>0</v>
      </c>
      <c r="AH106" s="99">
        <f>IFERROR(AL106/((SUMIF('9店辅助表'!AW:AW,B:B,'9店辅助表'!AX:AX)+M106)/2),"-")</f>
        <v>0</v>
      </c>
      <c r="AI106" s="100" t="str">
        <f>IFERROR((SUMIF('9店辅助表'!AP:AP,B:B,'9店辅助表'!AR:AR)-SUMIF('9店辅助表'!AP:AP,B:B,'9店辅助表'!AR:AR)*0.15-(L106+IFERROR(VLOOKUP(B:B,'9店辅助表'!AZ:BA,2,0),0))*O106-IF(AN:AN="US",6.85,4.9)*(Z106+7.81*O106))/SUMIF('9店辅助表'!AP:AP,B:B,'9店辅助表'!AR:AR),"-")</f>
        <v>-</v>
      </c>
      <c r="AJ106" s="100" t="str">
        <f t="shared" si="80"/>
        <v>-</v>
      </c>
      <c r="AK106" s="101">
        <f t="shared" si="81"/>
        <v>0</v>
      </c>
      <c r="AL106" s="101">
        <f t="shared" si="82"/>
        <v>0</v>
      </c>
      <c r="AM106" s="1" t="str">
        <f>VLOOKUP(B:B,'9店辅助表'!AZ:AZ,1,FALSE)</f>
        <v>Y9024-50-3</v>
      </c>
      <c r="AN106" t="str">
        <f>VLOOKUP(B:B,'9店辅助表'!AZ:BB,3,FALSE)</f>
        <v>US</v>
      </c>
    </row>
    <row r="107" customHeight="1" spans="1:40">
      <c r="A107" s="58" t="str">
        <f>INDEX('[1]9店'!$A:$A,MATCH(B:B,'[1]9店'!$B:$B,0))</f>
        <v>子杰</v>
      </c>
      <c r="B107" s="45" t="s">
        <v>3300</v>
      </c>
      <c r="C107" s="45" t="s">
        <v>3301</v>
      </c>
      <c r="D107" s="59">
        <f>VLOOKUP(B:B,'[1]9店'!$B:$L,3,0)</f>
        <v>45210</v>
      </c>
      <c r="E107" s="45" t="s">
        <v>3302</v>
      </c>
      <c r="F107" s="45">
        <v>30</v>
      </c>
      <c r="G107" s="45">
        <v>0</v>
      </c>
      <c r="H107" s="45">
        <v>0</v>
      </c>
      <c r="I107" s="45">
        <v>0</v>
      </c>
      <c r="J107" s="45">
        <v>0</v>
      </c>
      <c r="K107" s="63">
        <f t="shared" si="71"/>
        <v>30</v>
      </c>
      <c r="L107" s="64">
        <f>IFERROR(VLOOKUP($B:$B,'[1]9店'!$B:$L,11,0),0)</f>
        <v>119.506</v>
      </c>
      <c r="M107" s="44">
        <f t="shared" si="72"/>
        <v>3585.18</v>
      </c>
      <c r="N107" s="65">
        <f>IFERROR(VLOOKUP(B:B,'9店辅助表'!B:C,2,FALSE),0)</f>
        <v>0</v>
      </c>
      <c r="O107" s="65">
        <f>IFERROR(VLOOKUP(B:B,'9店辅助表'!E:F,2,FALSE),0)</f>
        <v>0</v>
      </c>
      <c r="P107" s="65">
        <f>IFERROR(VLOOKUP(B:B,'9店辅助表'!H:I,2,FALSE),0)</f>
        <v>0</v>
      </c>
      <c r="Q107" s="65">
        <f>IFERROR(VLOOKUP(B:B,'[1]9店'!$B:$N,13,FALSE),0)</f>
        <v>0</v>
      </c>
      <c r="R107" s="79">
        <f t="shared" si="73"/>
        <v>0</v>
      </c>
      <c r="S107" s="80" t="str">
        <f t="shared" si="74"/>
        <v>-</v>
      </c>
      <c r="T107" s="44" t="str">
        <f t="shared" si="75"/>
        <v>-</v>
      </c>
      <c r="U107" s="44" t="str">
        <f>IFERROR(VLOOKUP(B:B,'[1]9店'!$B:$T,19,0),"-")</f>
        <v>-</v>
      </c>
      <c r="V107" s="81" t="str">
        <f t="shared" si="76"/>
        <v>-</v>
      </c>
      <c r="W107" s="82" t="str">
        <f t="shared" si="77"/>
        <v>本月刚到货</v>
      </c>
      <c r="X107" s="83" t="str">
        <f t="shared" si="78"/>
        <v>本月刚到货</v>
      </c>
      <c r="Y107" s="44">
        <f>IFERROR(SUMIF('9店辅助表'!K:K,B:B,'9店辅助表'!N:N),0)</f>
        <v>4.61</v>
      </c>
      <c r="Z107" s="44">
        <f>IFERROR(SUMIF('9店辅助表'!T:T,B:B,'9店辅助表'!W:W),0)</f>
        <v>4.61</v>
      </c>
      <c r="AA107" s="44">
        <f>IFERROR(SUMIF('9店辅助表'!AC:AC,B:B,'9店辅助表'!AF:AF),0)</f>
        <v>4.61</v>
      </c>
      <c r="AB107" s="91" t="str">
        <f>IFERROR(SUMIF('9店辅助表'!K:K,B:B,'9店辅助表'!N:N)/SUMIF('9店辅助表'!K:K,B:B,'9店辅助表'!O:O),"-")</f>
        <v>-</v>
      </c>
      <c r="AC107" s="91" t="str">
        <f>IFERROR(VLOOKUP(B:B,'[1]9店'!$B:$AB,27,FALSE),"-")</f>
        <v>-</v>
      </c>
      <c r="AD107" s="92" t="str">
        <f t="shared" si="79"/>
        <v>-</v>
      </c>
      <c r="AE107" s="91" t="str">
        <f>IFERROR(SUMIF('9店辅助表'!T:T,B:B,'9店辅助表'!W:W)/SUMIF('9店辅助表'!T:T,B:B,'9店辅助表'!X:X),"-")</f>
        <v>-</v>
      </c>
      <c r="AF107" s="91" t="str">
        <f>IFERROR(SUMIF('9店辅助表'!AC:AC,B:B,'9店辅助表'!AF:AF)/SUMIF('9店辅助表'!AC:AC,B:B,'9店辅助表'!AG:AG),"-")</f>
        <v>-</v>
      </c>
      <c r="AG107" s="99">
        <f>IFERROR(AK107/((SUMIF('9店辅助表'!AT:AT,B:B,'9店辅助表'!AU:AU)+M107)/2),"-")</f>
        <v>0</v>
      </c>
      <c r="AH107" s="99">
        <f>IFERROR(AL107/((SUMIF('9店辅助表'!AW:AW,B:B,'9店辅助表'!AX:AX)+M107)/2),"-")</f>
        <v>0</v>
      </c>
      <c r="AI107" s="100" t="str">
        <f>IFERROR((SUMIF('9店辅助表'!AP:AP,B:B,'9店辅助表'!AR:AR)-SUMIF('9店辅助表'!AP:AP,B:B,'9店辅助表'!AR:AR)*0.15-(L107+IFERROR(VLOOKUP(B:B,'9店辅助表'!AZ:BA,2,0),0))*O107-IF(AN:AN="US",6.85,4.9)*(Z107+7.81*O107))/SUMIF('9店辅助表'!AP:AP,B:B,'9店辅助表'!AR:AR),"-")</f>
        <v>-</v>
      </c>
      <c r="AJ107" s="100" t="str">
        <f t="shared" si="80"/>
        <v>-</v>
      </c>
      <c r="AK107" s="101">
        <f t="shared" si="81"/>
        <v>0</v>
      </c>
      <c r="AL107" s="101">
        <f t="shared" si="82"/>
        <v>0</v>
      </c>
      <c r="AM107" s="1" t="str">
        <f>VLOOKUP(B:B,'9店辅助表'!AZ:AZ,1,FALSE)</f>
        <v>Y9024-50-4</v>
      </c>
      <c r="AN107" t="str">
        <f>VLOOKUP(B:B,'9店辅助表'!AZ:BB,3,FALSE)</f>
        <v>US</v>
      </c>
    </row>
    <row r="108" customHeight="1" spans="1:40">
      <c r="A108" s="58" t="str">
        <f>INDEX('[1]9店'!$A:$A,MATCH(B:B,'[1]9店'!$B:$B,0))</f>
        <v>子杰</v>
      </c>
      <c r="B108" s="45" t="s">
        <v>3303</v>
      </c>
      <c r="C108" s="45" t="s">
        <v>3304</v>
      </c>
      <c r="D108" s="59">
        <v>45219</v>
      </c>
      <c r="E108" s="45" t="s">
        <v>3305</v>
      </c>
      <c r="F108" s="45">
        <v>30</v>
      </c>
      <c r="G108" s="45">
        <v>0</v>
      </c>
      <c r="H108" s="45">
        <v>0</v>
      </c>
      <c r="I108" s="45">
        <v>0</v>
      </c>
      <c r="J108" s="45">
        <v>0</v>
      </c>
      <c r="K108" s="63">
        <f t="shared" si="71"/>
        <v>30</v>
      </c>
      <c r="L108" s="64">
        <f>IFERROR(VLOOKUP($B:$B,'[1]9店'!$B:$L,11,0),0)</f>
        <v>76.667</v>
      </c>
      <c r="M108" s="44">
        <f t="shared" si="72"/>
        <v>2300.01</v>
      </c>
      <c r="N108" s="65">
        <f>IFERROR(VLOOKUP(B:B,'9店辅助表'!B:C,2,FALSE),0)</f>
        <v>0</v>
      </c>
      <c r="O108" s="65">
        <f>IFERROR(VLOOKUP(B:B,'9店辅助表'!E:F,2,FALSE),0)</f>
        <v>0</v>
      </c>
      <c r="P108" s="65">
        <f>IFERROR(VLOOKUP(B:B,'9店辅助表'!H:I,2,FALSE),0)</f>
        <v>0</v>
      </c>
      <c r="Q108" s="65">
        <f>IFERROR(VLOOKUP(B:B,'[1]9店'!$B:$N,13,FALSE),0)</f>
        <v>0</v>
      </c>
      <c r="R108" s="79">
        <f t="shared" si="73"/>
        <v>0</v>
      </c>
      <c r="S108" s="80" t="str">
        <f t="shared" si="74"/>
        <v>-</v>
      </c>
      <c r="T108" s="44" t="str">
        <f t="shared" si="75"/>
        <v>-</v>
      </c>
      <c r="U108" s="44" t="str">
        <f>IFERROR(VLOOKUP(B:B,'[1]9店'!$B:$T,19,0),"-")</f>
        <v>-</v>
      </c>
      <c r="V108" s="81" t="str">
        <f t="shared" si="76"/>
        <v>-</v>
      </c>
      <c r="W108" s="82" t="str">
        <f t="shared" si="77"/>
        <v>本月刚到货</v>
      </c>
      <c r="X108" s="83" t="str">
        <f t="shared" si="78"/>
        <v>本月刚到货</v>
      </c>
      <c r="Y108" s="44">
        <f>IFERROR(SUMIF('9店辅助表'!K:K,B:B,'9店辅助表'!N:N),0)</f>
        <v>0</v>
      </c>
      <c r="Z108" s="44">
        <f>IFERROR(SUMIF('9店辅助表'!T:T,B:B,'9店辅助表'!W:W),0)</f>
        <v>0</v>
      </c>
      <c r="AA108" s="44">
        <f>IFERROR(SUMIF('9店辅助表'!AC:AC,B:B,'9店辅助表'!AF:AF),0)</f>
        <v>0</v>
      </c>
      <c r="AB108" s="91" t="str">
        <f>IFERROR(SUMIF('9店辅助表'!K:K,B:B,'9店辅助表'!N:N)/SUMIF('9店辅助表'!K:K,B:B,'9店辅助表'!O:O),"-")</f>
        <v>-</v>
      </c>
      <c r="AC108" s="91" t="str">
        <f>IFERROR(VLOOKUP(B:B,'[1]9店'!$B:$AB,27,FALSE),"-")</f>
        <v>-</v>
      </c>
      <c r="AD108" s="92" t="str">
        <f t="shared" si="79"/>
        <v>-</v>
      </c>
      <c r="AE108" s="91" t="str">
        <f>IFERROR(SUMIF('9店辅助表'!T:T,B:B,'9店辅助表'!W:W)/SUMIF('9店辅助表'!T:T,B:B,'9店辅助表'!X:X),"-")</f>
        <v>-</v>
      </c>
      <c r="AF108" s="91" t="str">
        <f>IFERROR(SUMIF('9店辅助表'!AC:AC,B:B,'9店辅助表'!AF:AF)/SUMIF('9店辅助表'!AC:AC,B:B,'9店辅助表'!AG:AG),"-")</f>
        <v>-</v>
      </c>
      <c r="AG108" s="99">
        <f>IFERROR(AK108/((SUMIF('9店辅助表'!AT:AT,B:B,'9店辅助表'!AU:AU)+M108)/2),"-")</f>
        <v>0</v>
      </c>
      <c r="AH108" s="99">
        <f>IFERROR(AL108/((SUMIF('9店辅助表'!AW:AW,B:B,'9店辅助表'!AX:AX)+M108)/2),"-")</f>
        <v>0</v>
      </c>
      <c r="AI108" s="100" t="str">
        <f>IFERROR((SUMIF('9店辅助表'!AP:AP,B:B,'9店辅助表'!AR:AR)-SUMIF('9店辅助表'!AP:AP,B:B,'9店辅助表'!AR:AR)*0.15-(L108+IFERROR(VLOOKUP(B:B,'9店辅助表'!AZ:BA,2,0),0))*O108-IF(AN:AN="US",6.85,4.9)*(Z108+7.81*O108))/SUMIF('9店辅助表'!AP:AP,B:B,'9店辅助表'!AR:AR),"-")</f>
        <v>-</v>
      </c>
      <c r="AJ108" s="100" t="str">
        <f t="shared" si="80"/>
        <v>-</v>
      </c>
      <c r="AK108" s="101">
        <f t="shared" si="81"/>
        <v>0</v>
      </c>
      <c r="AL108" s="101">
        <f t="shared" si="82"/>
        <v>0</v>
      </c>
      <c r="AM108" s="1" t="str">
        <f>VLOOKUP(B:B,'9店辅助表'!AZ:AZ,1,FALSE)</f>
        <v>Y9011-KH</v>
      </c>
      <c r="AN108" t="str">
        <f>VLOOKUP(B:B,'9店辅助表'!AZ:BB,3,FALSE)</f>
        <v>US</v>
      </c>
    </row>
    <row r="109" customHeight="1" spans="1:40">
      <c r="A109" s="58" t="str">
        <f>INDEX('[1]9店'!$A:$A,MATCH(B:B,'[1]9店'!$B:$B,0))</f>
        <v>子杰</v>
      </c>
      <c r="B109" s="45" t="s">
        <v>3306</v>
      </c>
      <c r="C109" s="45" t="s">
        <v>3307</v>
      </c>
      <c r="D109" s="59">
        <v>45219</v>
      </c>
      <c r="E109" s="45" t="s">
        <v>3308</v>
      </c>
      <c r="F109" s="45">
        <v>29</v>
      </c>
      <c r="G109" s="45">
        <v>0</v>
      </c>
      <c r="H109" s="45">
        <v>0</v>
      </c>
      <c r="I109" s="45">
        <v>0</v>
      </c>
      <c r="J109" s="45">
        <v>0</v>
      </c>
      <c r="K109" s="63">
        <f t="shared" si="71"/>
        <v>29</v>
      </c>
      <c r="L109" s="64">
        <f>IFERROR(VLOOKUP($B:$B,'[1]9店'!$B:$L,11,0),0)</f>
        <v>106.667</v>
      </c>
      <c r="M109" s="44">
        <f t="shared" si="72"/>
        <v>3093.343</v>
      </c>
      <c r="N109" s="65">
        <f>IFERROR(VLOOKUP(B:B,'9店辅助表'!B:C,2,FALSE),0)</f>
        <v>0</v>
      </c>
      <c r="O109" s="65">
        <f>IFERROR(VLOOKUP(B:B,'9店辅助表'!E:F,2,FALSE),0)</f>
        <v>0</v>
      </c>
      <c r="P109" s="65">
        <f>IFERROR(VLOOKUP(B:B,'9店辅助表'!H:I,2,FALSE),0)</f>
        <v>0</v>
      </c>
      <c r="Q109" s="65">
        <f>IFERROR(VLOOKUP(B:B,'[1]9店'!$B:$N,13,FALSE),0)</f>
        <v>0</v>
      </c>
      <c r="R109" s="79">
        <f t="shared" si="73"/>
        <v>0</v>
      </c>
      <c r="S109" s="80" t="str">
        <f t="shared" si="74"/>
        <v>-</v>
      </c>
      <c r="T109" s="44" t="str">
        <f t="shared" si="75"/>
        <v>-</v>
      </c>
      <c r="U109" s="44" t="str">
        <f>IFERROR(VLOOKUP(B:B,'[1]9店'!$B:$T,19,0),"-")</f>
        <v>-</v>
      </c>
      <c r="V109" s="81" t="str">
        <f t="shared" si="76"/>
        <v>-</v>
      </c>
      <c r="W109" s="82" t="str">
        <f t="shared" si="77"/>
        <v>本月刚到货</v>
      </c>
      <c r="X109" s="83" t="str">
        <f t="shared" si="78"/>
        <v>本月刚到货</v>
      </c>
      <c r="Y109" s="44">
        <f>IFERROR(SUMIF('9店辅助表'!K:K,B:B,'9店辅助表'!N:N),0)</f>
        <v>0</v>
      </c>
      <c r="Z109" s="44">
        <f>IFERROR(SUMIF('9店辅助表'!T:T,B:B,'9店辅助表'!W:W),0)</f>
        <v>0</v>
      </c>
      <c r="AA109" s="44">
        <f>IFERROR(SUMIF('9店辅助表'!AC:AC,B:B,'9店辅助表'!AF:AF),0)</f>
        <v>0</v>
      </c>
      <c r="AB109" s="91" t="str">
        <f>IFERROR(SUMIF('9店辅助表'!K:K,B:B,'9店辅助表'!N:N)/SUMIF('9店辅助表'!K:K,B:B,'9店辅助表'!O:O),"-")</f>
        <v>-</v>
      </c>
      <c r="AC109" s="91" t="str">
        <f>IFERROR(VLOOKUP(B:B,'[1]9店'!$B:$AB,27,FALSE),"-")</f>
        <v>-</v>
      </c>
      <c r="AD109" s="92" t="str">
        <f t="shared" si="79"/>
        <v>-</v>
      </c>
      <c r="AE109" s="91" t="str">
        <f>IFERROR(SUMIF('9店辅助表'!T:T,B:B,'9店辅助表'!W:W)/SUMIF('9店辅助表'!T:T,B:B,'9店辅助表'!X:X),"-")</f>
        <v>-</v>
      </c>
      <c r="AF109" s="91" t="str">
        <f>IFERROR(SUMIF('9店辅助表'!AC:AC,B:B,'9店辅助表'!AF:AF)/SUMIF('9店辅助表'!AC:AC,B:B,'9店辅助表'!AG:AG),"-")</f>
        <v>-</v>
      </c>
      <c r="AG109" s="99">
        <f>IFERROR(AK109/((SUMIF('9店辅助表'!AT:AT,B:B,'9店辅助表'!AU:AU)+M109)/2),"-")</f>
        <v>0</v>
      </c>
      <c r="AH109" s="99">
        <f>IFERROR(AL109/((SUMIF('9店辅助表'!AW:AW,B:B,'9店辅助表'!AX:AX)+M109)/2),"-")</f>
        <v>0</v>
      </c>
      <c r="AI109" s="100" t="str">
        <f>IFERROR((SUMIF('9店辅助表'!AP:AP,B:B,'9店辅助表'!AR:AR)-SUMIF('9店辅助表'!AP:AP,B:B,'9店辅助表'!AR:AR)*0.15-(L109+IFERROR(VLOOKUP(B:B,'9店辅助表'!AZ:BA,2,0),0))*O109-IF(AN:AN="US",6.85,4.9)*(Z109+7.81*O109))/SUMIF('9店辅助表'!AP:AP,B:B,'9店辅助表'!AR:AR),"-")</f>
        <v>-</v>
      </c>
      <c r="AJ109" s="100" t="str">
        <f t="shared" si="80"/>
        <v>-</v>
      </c>
      <c r="AK109" s="101">
        <f t="shared" si="81"/>
        <v>0</v>
      </c>
      <c r="AL109" s="101">
        <f t="shared" si="82"/>
        <v>0</v>
      </c>
      <c r="AM109" s="1" t="str">
        <f>VLOOKUP(B:B,'9店辅助表'!AZ:AZ,1,FALSE)</f>
        <v>Y9012-BU</v>
      </c>
      <c r="AN109" t="str">
        <f>VLOOKUP(B:B,'9店辅助表'!AZ:BB,3,FALSE)</f>
        <v>US</v>
      </c>
    </row>
    <row r="110" customHeight="1" spans="1:40">
      <c r="A110" s="58" t="str">
        <f>INDEX('[1]9店'!$A:$A,MATCH(B:B,'[1]9店'!$B:$B,0))</f>
        <v>子杰</v>
      </c>
      <c r="B110" s="45" t="s">
        <v>3309</v>
      </c>
      <c r="C110" s="45" t="s">
        <v>3310</v>
      </c>
      <c r="D110" s="59">
        <v>45219</v>
      </c>
      <c r="E110" s="45" t="s">
        <v>3311</v>
      </c>
      <c r="F110" s="45">
        <v>29</v>
      </c>
      <c r="G110" s="45">
        <v>0</v>
      </c>
      <c r="H110" s="45">
        <v>0</v>
      </c>
      <c r="I110" s="45">
        <v>0</v>
      </c>
      <c r="J110" s="45">
        <v>1</v>
      </c>
      <c r="K110" s="63">
        <f t="shared" si="71"/>
        <v>30</v>
      </c>
      <c r="L110" s="64">
        <f>IFERROR(VLOOKUP($B:$B,'[1]9店'!$B:$L,11,0),0)</f>
        <v>106.667</v>
      </c>
      <c r="M110" s="44">
        <f t="shared" si="72"/>
        <v>3200.01</v>
      </c>
      <c r="N110" s="65">
        <f>IFERROR(VLOOKUP(B:B,'9店辅助表'!B:C,2,FALSE),0)</f>
        <v>0</v>
      </c>
      <c r="O110" s="65">
        <f>IFERROR(VLOOKUP(B:B,'9店辅助表'!E:F,2,FALSE),0)</f>
        <v>0</v>
      </c>
      <c r="P110" s="65">
        <f>IFERROR(VLOOKUP(B:B,'9店辅助表'!H:I,2,FALSE),0)</f>
        <v>0</v>
      </c>
      <c r="Q110" s="65">
        <f>IFERROR(VLOOKUP(B:B,'[1]9店'!$B:$N,13,FALSE),0)</f>
        <v>0</v>
      </c>
      <c r="R110" s="79">
        <f t="shared" si="73"/>
        <v>0</v>
      </c>
      <c r="S110" s="80" t="str">
        <f t="shared" si="74"/>
        <v>-</v>
      </c>
      <c r="T110" s="44" t="str">
        <f t="shared" si="75"/>
        <v>-</v>
      </c>
      <c r="U110" s="44" t="str">
        <f>IFERROR(VLOOKUP(B:B,'[1]9店'!$B:$T,19,0),"-")</f>
        <v>-</v>
      </c>
      <c r="V110" s="81" t="str">
        <f t="shared" si="76"/>
        <v>-</v>
      </c>
      <c r="W110" s="82" t="str">
        <f t="shared" si="77"/>
        <v>本月刚到货</v>
      </c>
      <c r="X110" s="83" t="str">
        <f t="shared" si="78"/>
        <v>本月刚到货</v>
      </c>
      <c r="Y110" s="44">
        <f>IFERROR(SUMIF('9店辅助表'!K:K,B:B,'9店辅助表'!N:N),0)</f>
        <v>0</v>
      </c>
      <c r="Z110" s="44">
        <f>IFERROR(SUMIF('9店辅助表'!T:T,B:B,'9店辅助表'!W:W),0)</f>
        <v>0</v>
      </c>
      <c r="AA110" s="44">
        <f>IFERROR(SUMIF('9店辅助表'!AC:AC,B:B,'9店辅助表'!AF:AF),0)</f>
        <v>0</v>
      </c>
      <c r="AB110" s="91" t="str">
        <f>IFERROR(SUMIF('9店辅助表'!K:K,B:B,'9店辅助表'!N:N)/SUMIF('9店辅助表'!K:K,B:B,'9店辅助表'!O:O),"-")</f>
        <v>-</v>
      </c>
      <c r="AC110" s="91" t="str">
        <f>IFERROR(VLOOKUP(B:B,'[1]9店'!$B:$AB,27,FALSE),"-")</f>
        <v>-</v>
      </c>
      <c r="AD110" s="92" t="str">
        <f t="shared" si="79"/>
        <v>-</v>
      </c>
      <c r="AE110" s="91" t="str">
        <f>IFERROR(SUMIF('9店辅助表'!T:T,B:B,'9店辅助表'!W:W)/SUMIF('9店辅助表'!T:T,B:B,'9店辅助表'!X:X),"-")</f>
        <v>-</v>
      </c>
      <c r="AF110" s="91" t="str">
        <f>IFERROR(SUMIF('9店辅助表'!AC:AC,B:B,'9店辅助表'!AF:AF)/SUMIF('9店辅助表'!AC:AC,B:B,'9店辅助表'!AG:AG),"-")</f>
        <v>-</v>
      </c>
      <c r="AG110" s="99">
        <f>IFERROR(AK110/((SUMIF('9店辅助表'!AT:AT,B:B,'9店辅助表'!AU:AU)+M110)/2),"-")</f>
        <v>0</v>
      </c>
      <c r="AH110" s="99">
        <f>IFERROR(AL110/((SUMIF('9店辅助表'!AW:AW,B:B,'9店辅助表'!AX:AX)+M110)/2),"-")</f>
        <v>0</v>
      </c>
      <c r="AI110" s="100" t="str">
        <f>IFERROR((SUMIF('9店辅助表'!AP:AP,B:B,'9店辅助表'!AR:AR)-SUMIF('9店辅助表'!AP:AP,B:B,'9店辅助表'!AR:AR)*0.15-(L110+IFERROR(VLOOKUP(B:B,'9店辅助表'!AZ:BA,2,0),0))*O110-IF(AN:AN="US",6.85,4.9)*(Z110+7.81*O110))/SUMIF('9店辅助表'!AP:AP,B:B,'9店辅助表'!AR:AR),"-")</f>
        <v>-</v>
      </c>
      <c r="AJ110" s="100" t="str">
        <f t="shared" si="80"/>
        <v>-</v>
      </c>
      <c r="AK110" s="101">
        <f t="shared" si="81"/>
        <v>0</v>
      </c>
      <c r="AL110" s="101">
        <f t="shared" si="82"/>
        <v>0</v>
      </c>
      <c r="AM110" s="1" t="str">
        <f>VLOOKUP(B:B,'9店辅助表'!AZ:AZ,1,FALSE)</f>
        <v>Y9012-KH</v>
      </c>
      <c r="AN110" t="str">
        <f>VLOOKUP(B:B,'9店辅助表'!AZ:BB,3,FALSE)</f>
        <v>US</v>
      </c>
    </row>
    <row r="111" customHeight="1" spans="1:40">
      <c r="A111" s="58" t="str">
        <f>INDEX('[1]9店'!$A:$A,MATCH(B:B,'[1]9店'!$B:$B,0))</f>
        <v>子杰</v>
      </c>
      <c r="B111" s="45" t="s">
        <v>3312</v>
      </c>
      <c r="C111" s="45" t="s">
        <v>3313</v>
      </c>
      <c r="D111" s="59">
        <v>45215</v>
      </c>
      <c r="E111" s="45" t="s">
        <v>3314</v>
      </c>
      <c r="F111" s="45">
        <v>28</v>
      </c>
      <c r="G111" s="45">
        <v>0</v>
      </c>
      <c r="H111" s="45">
        <v>0</v>
      </c>
      <c r="I111" s="45">
        <v>1</v>
      </c>
      <c r="J111" s="45">
        <v>1</v>
      </c>
      <c r="K111" s="63">
        <f t="shared" ref="K111:K118" si="83">F111+G111+H111+I111+J111</f>
        <v>30</v>
      </c>
      <c r="L111" s="64">
        <f>IFERROR(VLOOKUP($B:$B,'[1]9店'!$B:$L,11,0),0)</f>
        <v>43.667</v>
      </c>
      <c r="M111" s="44">
        <f t="shared" ref="M111:M118" si="84">K111*L111</f>
        <v>1310.01</v>
      </c>
      <c r="N111" s="65">
        <f>IFERROR(VLOOKUP(B:B,'9店辅助表'!B:C,2,FALSE),0)</f>
        <v>0</v>
      </c>
      <c r="O111" s="65">
        <f>IFERROR(VLOOKUP(B:B,'9店辅助表'!E:F,2,FALSE),0)</f>
        <v>0</v>
      </c>
      <c r="P111" s="65">
        <f>IFERROR(VLOOKUP(B:B,'9店辅助表'!H:I,2,FALSE),0)</f>
        <v>0</v>
      </c>
      <c r="Q111" s="65">
        <f>IFERROR(VLOOKUP(B:B,'[1]9店'!$B:$N,13,FALSE),0)</f>
        <v>0</v>
      </c>
      <c r="R111" s="79">
        <f t="shared" ref="R111:R118" si="85">N111-Q111</f>
        <v>0</v>
      </c>
      <c r="S111" s="80" t="str">
        <f t="shared" ref="S111:S118" si="86">IFERROR(K111/((N111/7+O111/15+P111/30)/3),"-")</f>
        <v>-</v>
      </c>
      <c r="T111" s="44" t="str">
        <f t="shared" ref="T111:T118" si="87">IFERROR(S111/30,"-")</f>
        <v>-</v>
      </c>
      <c r="U111" s="44" t="str">
        <f>IFERROR(VLOOKUP(B:B,'[1]9店'!$B:$T,19,0),"-")</f>
        <v>-</v>
      </c>
      <c r="V111" s="81" t="str">
        <f t="shared" ref="V111:V118" si="88">IFERROR(T111-U111,"-")</f>
        <v>-</v>
      </c>
      <c r="W111" s="82" t="str">
        <f t="shared" ref="W111:W118" si="89">_xlfn.IFS(AND(D111&lt;&gt;0,D111-$AM$2&gt;=0,B111&gt;0,D111&lt;&gt;0),"本月刚到货",AND(IFERROR((K111/(N111/7))/30,"-")="-",K111&gt;0),"有库存无销量",AND(IFERROR((K111/(N111/7))/30,"-")="-",K111=0),"无库存无销量",AND(IFERROR((K111/(N111/7))/30,"-")&lt;=0.5,K111=0),"无库存有销量",IFERROR((K111/(N111/7))/30,"-")&lt;=0.5,"库存过低",IFERROR((K111/(N111/7))/30,"-")&lt;=1.5,"正常",IFERROR((K111/(N111/7))/30,"-")&gt;1.5,"库存过高")</f>
        <v>本月刚到货</v>
      </c>
      <c r="X111" s="83" t="str">
        <f t="shared" ref="X111:X118" si="90">_xlfn.IFS(AND(D111&lt;&gt;0,D111-$AM$2&gt;=0,K111&gt;0,D111&lt;&gt;0),"本月刚到货",AND(T111="-",K111&gt;0),"有库存无销量",AND(T111="-",K111=0),"无库存无销量",AND(T111&lt;=0.5,K111=0),"无库存有销量",T111&lt;=0.5,"库存过低",T111&lt;=1.5,"正常",T111&gt;1.5,"库存过高")</f>
        <v>本月刚到货</v>
      </c>
      <c r="Y111" s="44">
        <f>IFERROR(SUMIF('9店辅助表'!K:K,B:B,'9店辅助表'!N:N),0)</f>
        <v>8.63</v>
      </c>
      <c r="Z111" s="44">
        <f>IFERROR(SUMIF('9店辅助表'!T:T,B:B,'9店辅助表'!W:W),0)</f>
        <v>8.63</v>
      </c>
      <c r="AA111" s="44">
        <f>IFERROR(SUMIF('9店辅助表'!AC:AC,B:B,'9店辅助表'!AF:AF),0)</f>
        <v>8.63</v>
      </c>
      <c r="AB111" s="91" t="str">
        <f>IFERROR(SUMIF('9店辅助表'!K:K,B:B,'9店辅助表'!N:N)/SUMIF('9店辅助表'!K:K,B:B,'9店辅助表'!O:O),"-")</f>
        <v>-</v>
      </c>
      <c r="AC111" s="91" t="str">
        <f>IFERROR(VLOOKUP(B:B,'[1]9店'!$B:$AB,27,FALSE),"-")</f>
        <v>-</v>
      </c>
      <c r="AD111" s="92" t="str">
        <f t="shared" ref="AD111:AD118" si="91">IFERROR(AB111-AC111,"-")</f>
        <v>-</v>
      </c>
      <c r="AE111" s="91" t="str">
        <f>IFERROR(SUMIF('9店辅助表'!T:T,B:B,'9店辅助表'!W:W)/SUMIF('9店辅助表'!T:T,B:B,'9店辅助表'!X:X),"-")</f>
        <v>-</v>
      </c>
      <c r="AF111" s="91" t="str">
        <f>IFERROR(SUMIF('9店辅助表'!AC:AC,B:B,'9店辅助表'!AF:AF)/SUMIF('9店辅助表'!AC:AC,B:B,'9店辅助表'!AG:AG),"-")</f>
        <v>-</v>
      </c>
      <c r="AG111" s="99">
        <f>IFERROR(AK111/((SUMIF('9店辅助表'!AT:AT,B:B,'9店辅助表'!AU:AU)+M111)/2),"-")</f>
        <v>0</v>
      </c>
      <c r="AH111" s="99">
        <f>IFERROR(AL111/((SUMIF('9店辅助表'!AW:AW,B:B,'9店辅助表'!AX:AX)+M111)/2),"-")</f>
        <v>0</v>
      </c>
      <c r="AI111" s="100" t="str">
        <f>IFERROR((SUMIF('9店辅助表'!AP:AP,B:B,'9店辅助表'!AR:AR)-SUMIF('9店辅助表'!AP:AP,B:B,'9店辅助表'!AR:AR)*0.15-(L111+IFERROR(VLOOKUP(B:B,'9店辅助表'!AZ:BA,2,0),0))*O111-IF(AN:AN="US",6.85,4.9)*(Z111+7.81*O111))/SUMIF('9店辅助表'!AP:AP,B:B,'9店辅助表'!AR:AR),"-")</f>
        <v>-</v>
      </c>
      <c r="AJ111" s="100" t="str">
        <f t="shared" ref="AJ111:AJ118" si="92">IFERROR(AH111*AI111,"-")</f>
        <v>-</v>
      </c>
      <c r="AK111" s="101">
        <f t="shared" ref="AK111:AK118" si="93">N111*$L111</f>
        <v>0</v>
      </c>
      <c r="AL111" s="101">
        <f t="shared" ref="AL111:AL118" si="94">O111*$L111</f>
        <v>0</v>
      </c>
      <c r="AM111" s="1" t="str">
        <f>VLOOKUP(B:B,'9店辅助表'!AZ:AZ,1,FALSE)</f>
        <v>Y9014-BR</v>
      </c>
      <c r="AN111" t="str">
        <f>VLOOKUP(B:B,'9店辅助表'!AZ:BB,3,FALSE)</f>
        <v>US</v>
      </c>
    </row>
    <row r="112" customHeight="1" spans="1:40">
      <c r="A112" s="58" t="str">
        <f>INDEX('[1]9店'!$A:$A,MATCH(B:B,'[1]9店'!$B:$B,0))</f>
        <v>子杰</v>
      </c>
      <c r="B112" s="45" t="s">
        <v>3315</v>
      </c>
      <c r="C112" s="45" t="s">
        <v>3316</v>
      </c>
      <c r="D112" s="59">
        <v>45215</v>
      </c>
      <c r="E112" s="45" t="s">
        <v>3317</v>
      </c>
      <c r="F112" s="45">
        <v>30</v>
      </c>
      <c r="G112" s="45">
        <v>0</v>
      </c>
      <c r="H112" s="45">
        <v>0</v>
      </c>
      <c r="I112" s="45">
        <v>0</v>
      </c>
      <c r="J112" s="45">
        <v>0</v>
      </c>
      <c r="K112" s="63">
        <f t="shared" si="83"/>
        <v>30</v>
      </c>
      <c r="L112" s="64">
        <f>IFERROR(VLOOKUP($B:$B,'[1]9店'!$B:$L,11,0),0)</f>
        <v>43.667</v>
      </c>
      <c r="M112" s="44">
        <f t="shared" si="84"/>
        <v>1310.01</v>
      </c>
      <c r="N112" s="65">
        <f>IFERROR(VLOOKUP(B:B,'9店辅助表'!B:C,2,FALSE),0)</f>
        <v>0</v>
      </c>
      <c r="O112" s="65">
        <f>IFERROR(VLOOKUP(B:B,'9店辅助表'!E:F,2,FALSE),0)</f>
        <v>0</v>
      </c>
      <c r="P112" s="65">
        <f>IFERROR(VLOOKUP(B:B,'9店辅助表'!H:I,2,FALSE),0)</f>
        <v>0</v>
      </c>
      <c r="Q112" s="65">
        <f>IFERROR(VLOOKUP(B:B,'[1]9店'!$B:$N,13,FALSE),0)</f>
        <v>0</v>
      </c>
      <c r="R112" s="79">
        <f t="shared" si="85"/>
        <v>0</v>
      </c>
      <c r="S112" s="80" t="str">
        <f t="shared" si="86"/>
        <v>-</v>
      </c>
      <c r="T112" s="44" t="str">
        <f t="shared" si="87"/>
        <v>-</v>
      </c>
      <c r="U112" s="44" t="str">
        <f>IFERROR(VLOOKUP(B:B,'[1]9店'!$B:$T,19,0),"-")</f>
        <v>-</v>
      </c>
      <c r="V112" s="81" t="str">
        <f t="shared" si="88"/>
        <v>-</v>
      </c>
      <c r="W112" s="82" t="str">
        <f t="shared" si="89"/>
        <v>本月刚到货</v>
      </c>
      <c r="X112" s="83" t="str">
        <f t="shared" si="90"/>
        <v>本月刚到货</v>
      </c>
      <c r="Y112" s="44">
        <f>IFERROR(SUMIF('9店辅助表'!K:K,B:B,'9店辅助表'!N:N),0)</f>
        <v>2.28</v>
      </c>
      <c r="Z112" s="44">
        <f>IFERROR(SUMIF('9店辅助表'!T:T,B:B,'9店辅助表'!W:W),0)</f>
        <v>2.28</v>
      </c>
      <c r="AA112" s="44">
        <f>IFERROR(SUMIF('9店辅助表'!AC:AC,B:B,'9店辅助表'!AF:AF),0)</f>
        <v>2.28</v>
      </c>
      <c r="AB112" s="91" t="str">
        <f>IFERROR(SUMIF('9店辅助表'!K:K,B:B,'9店辅助表'!N:N)/SUMIF('9店辅助表'!K:K,B:B,'9店辅助表'!O:O),"-")</f>
        <v>-</v>
      </c>
      <c r="AC112" s="91" t="str">
        <f>IFERROR(VLOOKUP(B:B,'[1]9店'!$B:$AB,27,FALSE),"-")</f>
        <v>-</v>
      </c>
      <c r="AD112" s="92" t="str">
        <f t="shared" si="91"/>
        <v>-</v>
      </c>
      <c r="AE112" s="91" t="str">
        <f>IFERROR(SUMIF('9店辅助表'!T:T,B:B,'9店辅助表'!W:W)/SUMIF('9店辅助表'!T:T,B:B,'9店辅助表'!X:X),"-")</f>
        <v>-</v>
      </c>
      <c r="AF112" s="91" t="str">
        <f>IFERROR(SUMIF('9店辅助表'!AC:AC,B:B,'9店辅助表'!AF:AF)/SUMIF('9店辅助表'!AC:AC,B:B,'9店辅助表'!AG:AG),"-")</f>
        <v>-</v>
      </c>
      <c r="AG112" s="99">
        <f>IFERROR(AK112/((SUMIF('9店辅助表'!AT:AT,B:B,'9店辅助表'!AU:AU)+M112)/2),"-")</f>
        <v>0</v>
      </c>
      <c r="AH112" s="99">
        <f>IFERROR(AL112/((SUMIF('9店辅助表'!AW:AW,B:B,'9店辅助表'!AX:AX)+M112)/2),"-")</f>
        <v>0</v>
      </c>
      <c r="AI112" s="100" t="str">
        <f>IFERROR((SUMIF('9店辅助表'!AP:AP,B:B,'9店辅助表'!AR:AR)-SUMIF('9店辅助表'!AP:AP,B:B,'9店辅助表'!AR:AR)*0.15-(L112+IFERROR(VLOOKUP(B:B,'9店辅助表'!AZ:BA,2,0),0))*O112-IF(AN:AN="US",6.85,4.9)*(Z112+7.81*O112))/SUMIF('9店辅助表'!AP:AP,B:B,'9店辅助表'!AR:AR),"-")</f>
        <v>-</v>
      </c>
      <c r="AJ112" s="100" t="str">
        <f t="shared" si="92"/>
        <v>-</v>
      </c>
      <c r="AK112" s="101">
        <f t="shared" si="93"/>
        <v>0</v>
      </c>
      <c r="AL112" s="101">
        <f t="shared" si="94"/>
        <v>0</v>
      </c>
      <c r="AM112" s="1" t="str">
        <f>VLOOKUP(B:B,'9店辅助表'!AZ:AZ,1,FALSE)</f>
        <v>Y9014-GN</v>
      </c>
      <c r="AN112" t="str">
        <f>VLOOKUP(B:B,'9店辅助表'!AZ:BB,3,FALSE)</f>
        <v>US</v>
      </c>
    </row>
    <row r="113" customHeight="1" spans="1:40">
      <c r="A113" s="58" t="str">
        <f>INDEX('[1]9店'!$A:$A,MATCH(B:B,'[1]9店'!$B:$B,0))</f>
        <v>子杰</v>
      </c>
      <c r="B113" s="45" t="s">
        <v>3318</v>
      </c>
      <c r="C113" s="45" t="s">
        <v>3319</v>
      </c>
      <c r="D113" s="59">
        <v>45215</v>
      </c>
      <c r="E113" s="45" t="s">
        <v>3320</v>
      </c>
      <c r="F113" s="45">
        <v>30</v>
      </c>
      <c r="G113" s="45">
        <v>0</v>
      </c>
      <c r="H113" s="45">
        <v>0</v>
      </c>
      <c r="I113" s="45">
        <v>0</v>
      </c>
      <c r="J113" s="45">
        <v>0</v>
      </c>
      <c r="K113" s="63">
        <f t="shared" si="83"/>
        <v>30</v>
      </c>
      <c r="L113" s="64">
        <f>IFERROR(VLOOKUP($B:$B,'[1]9店'!$B:$L,11,0),0)</f>
        <v>82.667</v>
      </c>
      <c r="M113" s="44">
        <f t="shared" si="84"/>
        <v>2480.01</v>
      </c>
      <c r="N113" s="65">
        <f>IFERROR(VLOOKUP(B:B,'9店辅助表'!B:C,2,FALSE),0)</f>
        <v>0</v>
      </c>
      <c r="O113" s="65">
        <f>IFERROR(VLOOKUP(B:B,'9店辅助表'!E:F,2,FALSE),0)</f>
        <v>0</v>
      </c>
      <c r="P113" s="65">
        <f>IFERROR(VLOOKUP(B:B,'9店辅助表'!H:I,2,FALSE),0)</f>
        <v>0</v>
      </c>
      <c r="Q113" s="65">
        <f>IFERROR(VLOOKUP(B:B,'[1]9店'!$B:$N,13,FALSE),0)</f>
        <v>0</v>
      </c>
      <c r="R113" s="79">
        <f t="shared" si="85"/>
        <v>0</v>
      </c>
      <c r="S113" s="80" t="str">
        <f t="shared" si="86"/>
        <v>-</v>
      </c>
      <c r="T113" s="44" t="str">
        <f t="shared" si="87"/>
        <v>-</v>
      </c>
      <c r="U113" s="44" t="str">
        <f>IFERROR(VLOOKUP(B:B,'[1]9店'!$B:$T,19,0),"-")</f>
        <v>-</v>
      </c>
      <c r="V113" s="81" t="str">
        <f t="shared" si="88"/>
        <v>-</v>
      </c>
      <c r="W113" s="82" t="str">
        <f t="shared" si="89"/>
        <v>本月刚到货</v>
      </c>
      <c r="X113" s="83" t="str">
        <f t="shared" si="90"/>
        <v>本月刚到货</v>
      </c>
      <c r="Y113" s="44">
        <f>IFERROR(SUMIF('9店辅助表'!K:K,B:B,'9店辅助表'!N:N),0)</f>
        <v>1.27</v>
      </c>
      <c r="Z113" s="44">
        <f>IFERROR(SUMIF('9店辅助表'!T:T,B:B,'9店辅助表'!W:W),0)</f>
        <v>1.27</v>
      </c>
      <c r="AA113" s="44">
        <f>IFERROR(SUMIF('9店辅助表'!AC:AC,B:B,'9店辅助表'!AF:AF),0)</f>
        <v>1.27</v>
      </c>
      <c r="AB113" s="91" t="str">
        <f>IFERROR(SUMIF('9店辅助表'!K:K,B:B,'9店辅助表'!N:N)/SUMIF('9店辅助表'!K:K,B:B,'9店辅助表'!O:O),"-")</f>
        <v>-</v>
      </c>
      <c r="AC113" s="91" t="str">
        <f>IFERROR(VLOOKUP(B:B,'[1]9店'!$B:$AB,27,FALSE),"-")</f>
        <v>-</v>
      </c>
      <c r="AD113" s="92" t="str">
        <f t="shared" si="91"/>
        <v>-</v>
      </c>
      <c r="AE113" s="91" t="str">
        <f>IFERROR(SUMIF('9店辅助表'!T:T,B:B,'9店辅助表'!W:W)/SUMIF('9店辅助表'!T:T,B:B,'9店辅助表'!X:X),"-")</f>
        <v>-</v>
      </c>
      <c r="AF113" s="91" t="str">
        <f>IFERROR(SUMIF('9店辅助表'!AC:AC,B:B,'9店辅助表'!AF:AF)/SUMIF('9店辅助表'!AC:AC,B:B,'9店辅助表'!AG:AG),"-")</f>
        <v>-</v>
      </c>
      <c r="AG113" s="99">
        <f>IFERROR(AK113/((SUMIF('9店辅助表'!AT:AT,B:B,'9店辅助表'!AU:AU)+M113)/2),"-")</f>
        <v>0</v>
      </c>
      <c r="AH113" s="99">
        <f>IFERROR(AL113/((SUMIF('9店辅助表'!AW:AW,B:B,'9店辅助表'!AX:AX)+M113)/2),"-")</f>
        <v>0</v>
      </c>
      <c r="AI113" s="100" t="str">
        <f>IFERROR((SUMIF('9店辅助表'!AP:AP,B:B,'9店辅助表'!AR:AR)-SUMIF('9店辅助表'!AP:AP,B:B,'9店辅助表'!AR:AR)*0.15-(L113+IFERROR(VLOOKUP(B:B,'9店辅助表'!AZ:BA,2,0),0))*O113-IF(AN:AN="US",6.85,4.9)*(Z113+7.81*O113))/SUMIF('9店辅助表'!AP:AP,B:B,'9店辅助表'!AR:AR),"-")</f>
        <v>-</v>
      </c>
      <c r="AJ113" s="100" t="str">
        <f t="shared" si="92"/>
        <v>-</v>
      </c>
      <c r="AK113" s="101">
        <f t="shared" si="93"/>
        <v>0</v>
      </c>
      <c r="AL113" s="101">
        <f t="shared" si="94"/>
        <v>0</v>
      </c>
      <c r="AM113" s="1" t="str">
        <f>VLOOKUP(B:B,'9店辅助表'!AZ:AZ,1,FALSE)</f>
        <v>Y9015-BR</v>
      </c>
      <c r="AN113" t="str">
        <f>VLOOKUP(B:B,'9店辅助表'!AZ:BB,3,FALSE)</f>
        <v>US</v>
      </c>
    </row>
    <row r="114" customHeight="1" spans="1:40">
      <c r="A114" s="58" t="str">
        <f>INDEX('[1]9店'!$A:$A,MATCH(B:B,'[1]9店'!$B:$B,0))</f>
        <v>子杰</v>
      </c>
      <c r="B114" s="45" t="s">
        <v>3321</v>
      </c>
      <c r="C114" s="45" t="s">
        <v>3322</v>
      </c>
      <c r="D114" s="59">
        <v>45215</v>
      </c>
      <c r="E114" s="45" t="s">
        <v>3323</v>
      </c>
      <c r="F114" s="45">
        <v>29</v>
      </c>
      <c r="G114" s="45">
        <v>0</v>
      </c>
      <c r="H114" s="45">
        <v>0</v>
      </c>
      <c r="I114" s="45">
        <v>0</v>
      </c>
      <c r="J114" s="45">
        <v>0</v>
      </c>
      <c r="K114" s="63">
        <f t="shared" si="83"/>
        <v>29</v>
      </c>
      <c r="L114" s="64">
        <f>IFERROR(VLOOKUP($B:$B,'[1]9店'!$B:$L,11,0),0)</f>
        <v>82.667</v>
      </c>
      <c r="M114" s="44">
        <f t="shared" si="84"/>
        <v>2397.343</v>
      </c>
      <c r="N114" s="65">
        <f>IFERROR(VLOOKUP(B:B,'9店辅助表'!B:C,2,FALSE),0)</f>
        <v>0</v>
      </c>
      <c r="O114" s="65">
        <f>IFERROR(VLOOKUP(B:B,'9店辅助表'!E:F,2,FALSE),0)</f>
        <v>0</v>
      </c>
      <c r="P114" s="65">
        <f>IFERROR(VLOOKUP(B:B,'9店辅助表'!H:I,2,FALSE),0)</f>
        <v>0</v>
      </c>
      <c r="Q114" s="65">
        <f>IFERROR(VLOOKUP(B:B,'[1]9店'!$B:$N,13,FALSE),0)</f>
        <v>0</v>
      </c>
      <c r="R114" s="79">
        <f t="shared" si="85"/>
        <v>0</v>
      </c>
      <c r="S114" s="80" t="str">
        <f t="shared" si="86"/>
        <v>-</v>
      </c>
      <c r="T114" s="44" t="str">
        <f t="shared" si="87"/>
        <v>-</v>
      </c>
      <c r="U114" s="44" t="str">
        <f>IFERROR(VLOOKUP(B:B,'[1]9店'!$B:$T,19,0),"-")</f>
        <v>-</v>
      </c>
      <c r="V114" s="81" t="str">
        <f t="shared" si="88"/>
        <v>-</v>
      </c>
      <c r="W114" s="82" t="str">
        <f t="shared" si="89"/>
        <v>本月刚到货</v>
      </c>
      <c r="X114" s="83" t="str">
        <f t="shared" si="90"/>
        <v>本月刚到货</v>
      </c>
      <c r="Y114" s="44">
        <f>IFERROR(SUMIF('9店辅助表'!K:K,B:B,'9店辅助表'!N:N),0)</f>
        <v>0</v>
      </c>
      <c r="Z114" s="44">
        <f>IFERROR(SUMIF('9店辅助表'!T:T,B:B,'9店辅助表'!W:W),0)</f>
        <v>0</v>
      </c>
      <c r="AA114" s="44">
        <f>IFERROR(SUMIF('9店辅助表'!AC:AC,B:B,'9店辅助表'!AF:AF),0)</f>
        <v>0</v>
      </c>
      <c r="AB114" s="91" t="str">
        <f>IFERROR(SUMIF('9店辅助表'!K:K,B:B,'9店辅助表'!N:N)/SUMIF('9店辅助表'!K:K,B:B,'9店辅助表'!O:O),"-")</f>
        <v>-</v>
      </c>
      <c r="AC114" s="91" t="str">
        <f>IFERROR(VLOOKUP(B:B,'[1]9店'!$B:$AB,27,FALSE),"-")</f>
        <v>-</v>
      </c>
      <c r="AD114" s="92" t="str">
        <f t="shared" si="91"/>
        <v>-</v>
      </c>
      <c r="AE114" s="91" t="str">
        <f>IFERROR(SUMIF('9店辅助表'!T:T,B:B,'9店辅助表'!W:W)/SUMIF('9店辅助表'!T:T,B:B,'9店辅助表'!X:X),"-")</f>
        <v>-</v>
      </c>
      <c r="AF114" s="91" t="str">
        <f>IFERROR(SUMIF('9店辅助表'!AC:AC,B:B,'9店辅助表'!AF:AF)/SUMIF('9店辅助表'!AC:AC,B:B,'9店辅助表'!AG:AG),"-")</f>
        <v>-</v>
      </c>
      <c r="AG114" s="99">
        <f>IFERROR(AK114/((SUMIF('9店辅助表'!AT:AT,B:B,'9店辅助表'!AU:AU)+M114)/2),"-")</f>
        <v>0</v>
      </c>
      <c r="AH114" s="99">
        <f>IFERROR(AL114/((SUMIF('9店辅助表'!AW:AW,B:B,'9店辅助表'!AX:AX)+M114)/2),"-")</f>
        <v>0</v>
      </c>
      <c r="AI114" s="100" t="str">
        <f>IFERROR((SUMIF('9店辅助表'!AP:AP,B:B,'9店辅助表'!AR:AR)-SUMIF('9店辅助表'!AP:AP,B:B,'9店辅助表'!AR:AR)*0.15-(L114+IFERROR(VLOOKUP(B:B,'9店辅助表'!AZ:BA,2,0),0))*O114-IF(AN:AN="US",6.85,4.9)*(Z114+7.81*O114))/SUMIF('9店辅助表'!AP:AP,B:B,'9店辅助表'!AR:AR),"-")</f>
        <v>-</v>
      </c>
      <c r="AJ114" s="100" t="str">
        <f t="shared" si="92"/>
        <v>-</v>
      </c>
      <c r="AK114" s="101">
        <f t="shared" si="93"/>
        <v>0</v>
      </c>
      <c r="AL114" s="101">
        <f t="shared" si="94"/>
        <v>0</v>
      </c>
      <c r="AM114" s="1" t="str">
        <f>VLOOKUP(B:B,'9店辅助表'!AZ:AZ,1,FALSE)</f>
        <v>Y9015-GN</v>
      </c>
      <c r="AN114" t="str">
        <f>VLOOKUP(B:B,'9店辅助表'!AZ:BB,3,FALSE)</f>
        <v>US</v>
      </c>
    </row>
    <row r="115" customHeight="1" spans="1:40">
      <c r="A115" s="58" t="str">
        <f>INDEX('[1]9店'!$A:$A,MATCH(B:B,'[1]9店'!$B:$B,0))</f>
        <v>子杰</v>
      </c>
      <c r="B115" s="45" t="s">
        <v>3324</v>
      </c>
      <c r="C115" s="45" t="s">
        <v>3325</v>
      </c>
      <c r="D115" s="59">
        <f>VLOOKUP(B:B,'[1]9店'!$B:$L,3,0)</f>
        <v>45211</v>
      </c>
      <c r="E115" s="45" t="s">
        <v>3326</v>
      </c>
      <c r="F115" s="45">
        <v>30</v>
      </c>
      <c r="G115" s="45">
        <v>0</v>
      </c>
      <c r="H115" s="45">
        <v>0</v>
      </c>
      <c r="I115" s="45">
        <v>0</v>
      </c>
      <c r="J115" s="45">
        <v>0</v>
      </c>
      <c r="K115" s="63">
        <f t="shared" si="83"/>
        <v>30</v>
      </c>
      <c r="L115" s="64">
        <f>IFERROR(VLOOKUP($B:$B,'[1]9店'!$B:$L,11,0),0)</f>
        <v>111.667</v>
      </c>
      <c r="M115" s="44">
        <f t="shared" si="84"/>
        <v>3350.01</v>
      </c>
      <c r="N115" s="65">
        <f>IFERROR(VLOOKUP(B:B,'9店辅助表'!B:C,2,FALSE),0)</f>
        <v>0</v>
      </c>
      <c r="O115" s="65">
        <f>IFERROR(VLOOKUP(B:B,'9店辅助表'!E:F,2,FALSE),0)</f>
        <v>0</v>
      </c>
      <c r="P115" s="65">
        <f>IFERROR(VLOOKUP(B:B,'9店辅助表'!H:I,2,FALSE),0)</f>
        <v>0</v>
      </c>
      <c r="Q115" s="65">
        <f>IFERROR(VLOOKUP(B:B,'[1]9店'!$B:$N,13,FALSE),0)</f>
        <v>0</v>
      </c>
      <c r="R115" s="79">
        <f t="shared" si="85"/>
        <v>0</v>
      </c>
      <c r="S115" s="80" t="str">
        <f t="shared" si="86"/>
        <v>-</v>
      </c>
      <c r="T115" s="44" t="str">
        <f t="shared" si="87"/>
        <v>-</v>
      </c>
      <c r="U115" s="44" t="str">
        <f>IFERROR(VLOOKUP(B:B,'[1]9店'!$B:$T,19,0),"-")</f>
        <v>-</v>
      </c>
      <c r="V115" s="81" t="str">
        <f t="shared" si="88"/>
        <v>-</v>
      </c>
      <c r="W115" s="82" t="str">
        <f t="shared" si="89"/>
        <v>本月刚到货</v>
      </c>
      <c r="X115" s="83" t="str">
        <f t="shared" si="90"/>
        <v>本月刚到货</v>
      </c>
      <c r="Y115" s="44">
        <f>IFERROR(SUMIF('9店辅助表'!K:K,B:B,'9店辅助表'!N:N),0)</f>
        <v>10.02</v>
      </c>
      <c r="Z115" s="44">
        <f>IFERROR(SUMIF('9店辅助表'!T:T,B:B,'9店辅助表'!W:W),0)</f>
        <v>10.02</v>
      </c>
      <c r="AA115" s="44">
        <f>IFERROR(SUMIF('9店辅助表'!AC:AC,B:B,'9店辅助表'!AF:AF),0)</f>
        <v>10.02</v>
      </c>
      <c r="AB115" s="91" t="str">
        <f>IFERROR(SUMIF('9店辅助表'!K:K,B:B,'9店辅助表'!N:N)/SUMIF('9店辅助表'!K:K,B:B,'9店辅助表'!O:O),"-")</f>
        <v>-</v>
      </c>
      <c r="AC115" s="91" t="str">
        <f>IFERROR(VLOOKUP(B:B,'[1]9店'!$B:$AB,27,FALSE),"-")</f>
        <v>-</v>
      </c>
      <c r="AD115" s="92" t="str">
        <f t="shared" si="91"/>
        <v>-</v>
      </c>
      <c r="AE115" s="91" t="str">
        <f>IFERROR(SUMIF('9店辅助表'!T:T,B:B,'9店辅助表'!W:W)/SUMIF('9店辅助表'!T:T,B:B,'9店辅助表'!X:X),"-")</f>
        <v>-</v>
      </c>
      <c r="AF115" s="91" t="str">
        <f>IFERROR(SUMIF('9店辅助表'!AC:AC,B:B,'9店辅助表'!AF:AF)/SUMIF('9店辅助表'!AC:AC,B:B,'9店辅助表'!AG:AG),"-")</f>
        <v>-</v>
      </c>
      <c r="AG115" s="99">
        <f>IFERROR(AK115/((SUMIF('9店辅助表'!AT:AT,B:B,'9店辅助表'!AU:AU)+M115)/2),"-")</f>
        <v>0</v>
      </c>
      <c r="AH115" s="99">
        <f>IFERROR(AL115/((SUMIF('9店辅助表'!AW:AW,B:B,'9店辅助表'!AX:AX)+M115)/2),"-")</f>
        <v>0</v>
      </c>
      <c r="AI115" s="100" t="str">
        <f>IFERROR((SUMIF('9店辅助表'!AP:AP,B:B,'9店辅助表'!AR:AR)-SUMIF('9店辅助表'!AP:AP,B:B,'9店辅助表'!AR:AR)*0.15-(L115+IFERROR(VLOOKUP(B:B,'9店辅助表'!AZ:BA,2,0),0))*O115-IF(AN:AN="US",6.85,4.9)*(Z115+7.81*O115))/SUMIF('9店辅助表'!AP:AP,B:B,'9店辅助表'!AR:AR),"-")</f>
        <v>-</v>
      </c>
      <c r="AJ115" s="100" t="str">
        <f t="shared" si="92"/>
        <v>-</v>
      </c>
      <c r="AK115" s="101">
        <f t="shared" si="93"/>
        <v>0</v>
      </c>
      <c r="AL115" s="101">
        <f t="shared" si="94"/>
        <v>0</v>
      </c>
      <c r="AM115" s="1" t="str">
        <f>VLOOKUP(B:B,'9店辅助表'!AZ:AZ,1,FALSE)</f>
        <v>Y9016-BR</v>
      </c>
      <c r="AN115" t="str">
        <f>VLOOKUP(B:B,'9店辅助表'!AZ:BB,3,FALSE)</f>
        <v>US</v>
      </c>
    </row>
    <row r="116" customHeight="1" spans="1:40">
      <c r="A116" s="58" t="str">
        <f>INDEX('[1]9店'!$A:$A,MATCH(B:B,'[1]9店'!$B:$B,0))</f>
        <v>子杰</v>
      </c>
      <c r="B116" s="45" t="s">
        <v>3327</v>
      </c>
      <c r="C116" s="45" t="s">
        <v>3328</v>
      </c>
      <c r="D116" s="59">
        <f>VLOOKUP(B:B,'[1]9店'!$B:$L,3,0)</f>
        <v>45211</v>
      </c>
      <c r="E116" s="45" t="s">
        <v>3329</v>
      </c>
      <c r="F116" s="45">
        <v>30</v>
      </c>
      <c r="G116" s="45">
        <v>0</v>
      </c>
      <c r="H116" s="45">
        <v>0</v>
      </c>
      <c r="I116" s="45">
        <v>0</v>
      </c>
      <c r="J116" s="45">
        <v>0</v>
      </c>
      <c r="K116" s="63">
        <f t="shared" si="83"/>
        <v>30</v>
      </c>
      <c r="L116" s="64">
        <f>IFERROR(VLOOKUP($B:$B,'[1]9店'!$B:$L,11,0),0)</f>
        <v>111.667</v>
      </c>
      <c r="M116" s="44">
        <f t="shared" si="84"/>
        <v>3350.01</v>
      </c>
      <c r="N116" s="65">
        <f>IFERROR(VLOOKUP(B:B,'9店辅助表'!B:C,2,FALSE),0)</f>
        <v>0</v>
      </c>
      <c r="O116" s="65">
        <f>IFERROR(VLOOKUP(B:B,'9店辅助表'!E:F,2,FALSE),0)</f>
        <v>0</v>
      </c>
      <c r="P116" s="65">
        <f>IFERROR(VLOOKUP(B:B,'9店辅助表'!H:I,2,FALSE),0)</f>
        <v>0</v>
      </c>
      <c r="Q116" s="65">
        <f>IFERROR(VLOOKUP(B:B,'[1]9店'!$B:$N,13,FALSE),0)</f>
        <v>0</v>
      </c>
      <c r="R116" s="79">
        <f t="shared" si="85"/>
        <v>0</v>
      </c>
      <c r="S116" s="80" t="str">
        <f t="shared" si="86"/>
        <v>-</v>
      </c>
      <c r="T116" s="44" t="str">
        <f t="shared" si="87"/>
        <v>-</v>
      </c>
      <c r="U116" s="44" t="str">
        <f>IFERROR(VLOOKUP(B:B,'[1]9店'!$B:$T,19,0),"-")</f>
        <v>-</v>
      </c>
      <c r="V116" s="81" t="str">
        <f t="shared" si="88"/>
        <v>-</v>
      </c>
      <c r="W116" s="82" t="str">
        <f t="shared" si="89"/>
        <v>本月刚到货</v>
      </c>
      <c r="X116" s="83" t="str">
        <f t="shared" si="90"/>
        <v>本月刚到货</v>
      </c>
      <c r="Y116" s="44">
        <f>IFERROR(SUMIF('9店辅助表'!K:K,B:B,'9店辅助表'!N:N),0)</f>
        <v>1.29</v>
      </c>
      <c r="Z116" s="44">
        <f>IFERROR(SUMIF('9店辅助表'!T:T,B:B,'9店辅助表'!W:W),0)</f>
        <v>1.29</v>
      </c>
      <c r="AA116" s="44">
        <f>IFERROR(SUMIF('9店辅助表'!AC:AC,B:B,'9店辅助表'!AF:AF),0)</f>
        <v>1.29</v>
      </c>
      <c r="AB116" s="91" t="str">
        <f>IFERROR(SUMIF('9店辅助表'!K:K,B:B,'9店辅助表'!N:N)/SUMIF('9店辅助表'!K:K,B:B,'9店辅助表'!O:O),"-")</f>
        <v>-</v>
      </c>
      <c r="AC116" s="91" t="str">
        <f>IFERROR(VLOOKUP(B:B,'[1]9店'!$B:$AB,27,FALSE),"-")</f>
        <v>-</v>
      </c>
      <c r="AD116" s="92" t="str">
        <f t="shared" si="91"/>
        <v>-</v>
      </c>
      <c r="AE116" s="91" t="str">
        <f>IFERROR(SUMIF('9店辅助表'!T:T,B:B,'9店辅助表'!W:W)/SUMIF('9店辅助表'!T:T,B:B,'9店辅助表'!X:X),"-")</f>
        <v>-</v>
      </c>
      <c r="AF116" s="91" t="str">
        <f>IFERROR(SUMIF('9店辅助表'!AC:AC,B:B,'9店辅助表'!AF:AF)/SUMIF('9店辅助表'!AC:AC,B:B,'9店辅助表'!AG:AG),"-")</f>
        <v>-</v>
      </c>
      <c r="AG116" s="99">
        <f>IFERROR(AK116/((SUMIF('9店辅助表'!AT:AT,B:B,'9店辅助表'!AU:AU)+M116)/2),"-")</f>
        <v>0</v>
      </c>
      <c r="AH116" s="99">
        <f>IFERROR(AL116/((SUMIF('9店辅助表'!AW:AW,B:B,'9店辅助表'!AX:AX)+M116)/2),"-")</f>
        <v>0</v>
      </c>
      <c r="AI116" s="100" t="str">
        <f>IFERROR((SUMIF('9店辅助表'!AP:AP,B:B,'9店辅助表'!AR:AR)-SUMIF('9店辅助表'!AP:AP,B:B,'9店辅助表'!AR:AR)*0.15-(L116+IFERROR(VLOOKUP(B:B,'9店辅助表'!AZ:BA,2,0),0))*O116-IF(AN:AN="US",6.85,4.9)*(Z116+7.81*O116))/SUMIF('9店辅助表'!AP:AP,B:B,'9店辅助表'!AR:AR),"-")</f>
        <v>-</v>
      </c>
      <c r="AJ116" s="100" t="str">
        <f t="shared" si="92"/>
        <v>-</v>
      </c>
      <c r="AK116" s="101">
        <f t="shared" si="93"/>
        <v>0</v>
      </c>
      <c r="AL116" s="101">
        <f t="shared" si="94"/>
        <v>0</v>
      </c>
      <c r="AM116" s="1" t="str">
        <f>VLOOKUP(B:B,'9店辅助表'!AZ:AZ,1,FALSE)</f>
        <v>Y9016-GN</v>
      </c>
      <c r="AN116" t="str">
        <f>VLOOKUP(B:B,'9店辅助表'!AZ:BB,3,FALSE)</f>
        <v>US</v>
      </c>
    </row>
    <row r="117" customHeight="1" spans="1:40">
      <c r="A117" s="58" t="str">
        <f>INDEX('[1]9店'!$A:$A,MATCH(B:B,'[1]9店'!$B:$B,0))</f>
        <v>子杰</v>
      </c>
      <c r="B117" s="45" t="s">
        <v>3330</v>
      </c>
      <c r="C117" s="45" t="s">
        <v>3331</v>
      </c>
      <c r="D117" s="59">
        <f>VLOOKUP(B:B,'[1]9店'!$B:$L,3,0)</f>
        <v>45206</v>
      </c>
      <c r="E117" s="45" t="s">
        <v>3332</v>
      </c>
      <c r="F117" s="45">
        <v>34</v>
      </c>
      <c r="G117" s="45">
        <v>0</v>
      </c>
      <c r="H117" s="45">
        <v>2</v>
      </c>
      <c r="I117" s="45">
        <v>0</v>
      </c>
      <c r="J117" s="45">
        <v>13</v>
      </c>
      <c r="K117" s="63">
        <f t="shared" si="83"/>
        <v>49</v>
      </c>
      <c r="L117" s="64">
        <f>IFERROR(VLOOKUP($B:$B,'[1]9店'!$B:$L,11,0),0)</f>
        <v>37</v>
      </c>
      <c r="M117" s="44">
        <f t="shared" si="84"/>
        <v>1813</v>
      </c>
      <c r="N117" s="65">
        <f>IFERROR(VLOOKUP(B:B,'9店辅助表'!B:C,2,FALSE),0)</f>
        <v>1</v>
      </c>
      <c r="O117" s="65">
        <f>IFERROR(VLOOKUP(B:B,'9店辅助表'!E:F,2,FALSE),0)</f>
        <v>1</v>
      </c>
      <c r="P117" s="65">
        <f>IFERROR(VLOOKUP(B:B,'9店辅助表'!H:I,2,FALSE),0)</f>
        <v>1</v>
      </c>
      <c r="Q117" s="65">
        <f>IFERROR(VLOOKUP(B:B,'[1]9店'!$B:$N,13,FALSE),0)</f>
        <v>0</v>
      </c>
      <c r="R117" s="79">
        <f t="shared" si="85"/>
        <v>1</v>
      </c>
      <c r="S117" s="80">
        <f t="shared" si="86"/>
        <v>605.294117647059</v>
      </c>
      <c r="T117" s="44">
        <f t="shared" si="87"/>
        <v>20.1764705882353</v>
      </c>
      <c r="U117" s="44" t="str">
        <f>IFERROR(VLOOKUP(B:B,'[1]9店'!$B:$T,19,0),"-")</f>
        <v>-</v>
      </c>
      <c r="V117" s="81" t="str">
        <f t="shared" si="88"/>
        <v>-</v>
      </c>
      <c r="W117" s="82" t="str">
        <f t="shared" si="89"/>
        <v>本月刚到货</v>
      </c>
      <c r="X117" s="83" t="str">
        <f t="shared" si="90"/>
        <v>本月刚到货</v>
      </c>
      <c r="Y117" s="44">
        <f>IFERROR(SUMIF('9店辅助表'!K:K,B:B,'9店辅助表'!N:N),0)</f>
        <v>33.7</v>
      </c>
      <c r="Z117" s="44">
        <f>IFERROR(SUMIF('9店辅助表'!T:T,B:B,'9店辅助表'!W:W),0)</f>
        <v>38.21</v>
      </c>
      <c r="AA117" s="44">
        <f>IFERROR(SUMIF('9店辅助表'!AC:AC,B:B,'9店辅助表'!AF:AF),0)</f>
        <v>38.21</v>
      </c>
      <c r="AB117" s="91">
        <f>IFERROR(SUMIF('9店辅助表'!K:K,B:B,'9店辅助表'!N:N)/SUMIF('9店辅助表'!K:K,B:B,'9店辅助表'!O:O),"-")</f>
        <v>1.34853941576631</v>
      </c>
      <c r="AC117" s="91" t="str">
        <f>IFERROR(VLOOKUP(B:B,'[1]9店'!$B:$AB,27,FALSE),"-")</f>
        <v>-</v>
      </c>
      <c r="AD117" s="92" t="str">
        <f t="shared" si="91"/>
        <v>-</v>
      </c>
      <c r="AE117" s="91">
        <f>IFERROR(SUMIF('9店辅助表'!T:T,B:B,'9店辅助表'!W:W)/SUMIF('9店辅助表'!T:T,B:B,'9店辅助表'!X:X),"-")</f>
        <v>1.52901160464186</v>
      </c>
      <c r="AF117" s="91">
        <f>IFERROR(SUMIF('9店辅助表'!AC:AC,B:B,'9店辅助表'!AF:AF)/SUMIF('9店辅助表'!AC:AC,B:B,'9店辅助表'!AG:AG),"-")</f>
        <v>1.52901160464186</v>
      </c>
      <c r="AG117" s="99">
        <f>IFERROR(AK117/((SUMIF('9店辅助表'!AT:AT,B:B,'9店辅助表'!AU:AU)+M117)/2),"-")</f>
        <v>0.0204081632653061</v>
      </c>
      <c r="AH117" s="99">
        <f>IFERROR(AL117/((SUMIF('9店辅助表'!AW:AW,B:B,'9店辅助表'!AX:AX)+M117)/2),"-")</f>
        <v>0.0408163265306122</v>
      </c>
      <c r="AI117" s="100">
        <f>IFERROR((SUMIF('9店辅助表'!AP:AP,B:B,'9店辅助表'!AR:AR)-SUMIF('9店辅助表'!AP:AP,B:B,'9店辅助表'!AR:AR)*0.15-(L117+IFERROR(VLOOKUP(B:B,'9店辅助表'!AZ:BA,2,0),0))*O117-IF(AN:AN="US",6.85,4.9)*(Z117+7.81*O117))/SUMIF('9店辅助表'!AP:AP,B:B,'9店辅助表'!AR:AR),"-")</f>
        <v>-1.29076871624562</v>
      </c>
      <c r="AJ117" s="100">
        <f t="shared" si="92"/>
        <v>-0.0526844373977805</v>
      </c>
      <c r="AK117" s="101">
        <f t="shared" si="93"/>
        <v>37</v>
      </c>
      <c r="AL117" s="101">
        <f t="shared" si="94"/>
        <v>37</v>
      </c>
      <c r="AM117" s="1" t="str">
        <f>VLOOKUP(B:B,'9店辅助表'!AZ:AZ,1,FALSE)</f>
        <v>Y9026-6-BL</v>
      </c>
      <c r="AN117" t="str">
        <f>VLOOKUP(B:B,'9店辅助表'!AZ:BB,3,FALSE)</f>
        <v>US</v>
      </c>
    </row>
    <row r="118" customHeight="1" spans="1:40">
      <c r="A118" s="58" t="str">
        <f>INDEX('[1]9店'!$A:$A,MATCH(B:B,'[1]9店'!$B:$B,0))</f>
        <v>子杰</v>
      </c>
      <c r="B118" s="45" t="s">
        <v>3333</v>
      </c>
      <c r="C118" s="45" t="s">
        <v>3334</v>
      </c>
      <c r="D118" s="59">
        <f>VLOOKUP(B:B,'[1]9店'!$B:$L,3,0)</f>
        <v>45206</v>
      </c>
      <c r="E118" s="45" t="s">
        <v>3335</v>
      </c>
      <c r="F118" s="45">
        <v>9</v>
      </c>
      <c r="G118" s="45">
        <v>0</v>
      </c>
      <c r="H118" s="45">
        <v>4</v>
      </c>
      <c r="I118" s="45">
        <v>6</v>
      </c>
      <c r="J118" s="45">
        <v>25</v>
      </c>
      <c r="K118" s="63">
        <f t="shared" si="83"/>
        <v>44</v>
      </c>
      <c r="L118" s="64">
        <f>IFERROR(VLOOKUP($B:$B,'[1]9店'!$B:$L,11,0),0)</f>
        <v>37</v>
      </c>
      <c r="M118" s="44">
        <f t="shared" si="84"/>
        <v>1628</v>
      </c>
      <c r="N118" s="65">
        <f>IFERROR(VLOOKUP(B:B,'9店辅助表'!B:C,2,FALSE),0)</f>
        <v>7</v>
      </c>
      <c r="O118" s="65">
        <f>IFERROR(VLOOKUP(B:B,'9店辅助表'!E:F,2,FALSE),0)</f>
        <v>7</v>
      </c>
      <c r="P118" s="65">
        <f>IFERROR(VLOOKUP(B:B,'9店辅助表'!H:I,2,FALSE),0)</f>
        <v>7</v>
      </c>
      <c r="Q118" s="65">
        <f>IFERROR(VLOOKUP(B:B,'[1]9店'!$B:$N,13,FALSE),0)</f>
        <v>0</v>
      </c>
      <c r="R118" s="79">
        <f t="shared" si="85"/>
        <v>7</v>
      </c>
      <c r="S118" s="80">
        <f t="shared" si="86"/>
        <v>77.6470588235294</v>
      </c>
      <c r="T118" s="44">
        <f t="shared" si="87"/>
        <v>2.58823529411765</v>
      </c>
      <c r="U118" s="44" t="str">
        <f>IFERROR(VLOOKUP(B:B,'[1]9店'!$B:$T,19,0),"-")</f>
        <v>-</v>
      </c>
      <c r="V118" s="81" t="str">
        <f t="shared" si="88"/>
        <v>-</v>
      </c>
      <c r="W118" s="82" t="str">
        <f t="shared" si="89"/>
        <v>本月刚到货</v>
      </c>
      <c r="X118" s="83" t="str">
        <f t="shared" si="90"/>
        <v>本月刚到货</v>
      </c>
      <c r="Y118" s="44">
        <f>IFERROR(SUMIF('9店辅助表'!K:K,B:B,'9店辅助表'!N:N),0)</f>
        <v>36.64</v>
      </c>
      <c r="Z118" s="44">
        <f>IFERROR(SUMIF('9店辅助表'!T:T,B:B,'9店辅助表'!W:W),0)</f>
        <v>48.64</v>
      </c>
      <c r="AA118" s="44">
        <f>IFERROR(SUMIF('9店辅助表'!AC:AC,B:B,'9店辅助表'!AF:AF),0)</f>
        <v>48.64</v>
      </c>
      <c r="AB118" s="91">
        <f>IFERROR(SUMIF('9店辅助表'!K:K,B:B,'9店辅助表'!N:N)/SUMIF('9店辅助表'!K:K,B:B,'9店辅助表'!O:O),"-")</f>
        <v>0.431211015652583</v>
      </c>
      <c r="AC118" s="91" t="str">
        <f>IFERROR(VLOOKUP(B:B,'[1]9店'!$B:$AB,27,FALSE),"-")</f>
        <v>-</v>
      </c>
      <c r="AD118" s="92" t="str">
        <f t="shared" si="91"/>
        <v>-</v>
      </c>
      <c r="AE118" s="91">
        <f>IFERROR(SUMIF('9店辅助表'!T:T,B:B,'9店辅助表'!W:W)/SUMIF('9店辅助表'!T:T,B:B,'9店辅助表'!X:X),"-")</f>
        <v>0.572437330822643</v>
      </c>
      <c r="AF118" s="91">
        <f>IFERROR(SUMIF('9店辅助表'!AC:AC,B:B,'9店辅助表'!AF:AF)/SUMIF('9店辅助表'!AC:AC,B:B,'9店辅助表'!AG:AG),"-")</f>
        <v>0.572437330822643</v>
      </c>
      <c r="AG118" s="99">
        <f>IFERROR(AK118/((SUMIF('9店辅助表'!AT:AT,B:B,'9店辅助表'!AU:AU)+M118)/2),"-")</f>
        <v>0.145833333333333</v>
      </c>
      <c r="AH118" s="99">
        <f>IFERROR(AL118/((SUMIF('9店辅助表'!AW:AW,B:B,'9店辅助表'!AX:AX)+M118)/2),"-")</f>
        <v>0.318181818181818</v>
      </c>
      <c r="AI118" s="100">
        <f>IFERROR((SUMIF('9店辅助表'!AP:AP,B:B,'9店辅助表'!AR:AR)-SUMIF('9店辅助表'!AP:AP,B:B,'9店辅助表'!AR:AR)*0.15-(L118+IFERROR(VLOOKUP(B:B,'9店辅助表'!AZ:BA,2,0),0))*O118-IF(AN:AN="US",6.85,4.9)*(Z118+7.81*O118))/SUMIF('9店辅助表'!AP:AP,B:B,'9店辅助表'!AR:AR),"-")</f>
        <v>0.0514842685433402</v>
      </c>
      <c r="AJ118" s="100">
        <f t="shared" si="92"/>
        <v>0.016381358172881</v>
      </c>
      <c r="AK118" s="101">
        <f t="shared" si="93"/>
        <v>259</v>
      </c>
      <c r="AL118" s="101">
        <f t="shared" si="94"/>
        <v>259</v>
      </c>
      <c r="AM118" s="1" t="str">
        <f>VLOOKUP(B:B,'9店辅助表'!AZ:AZ,1,FALSE)</f>
        <v>Y9026-6-GA</v>
      </c>
      <c r="AN118" t="str">
        <f>VLOOKUP(B:B,'9店辅助表'!AZ:BB,3,FALSE)</f>
        <v>US</v>
      </c>
    </row>
  </sheetData>
  <autoFilter ref="A2:AP118">
    <extLst>
      <etc:autoFilterAnalysis etc:version="v1" etc:showPane="0">
        <etc:analysisCharts>
          <etc:chart etc:type="pie">
            <etc:category etc:colId="0"/>
            <etc:seriesCollections etc:count="1">
              <etc:series etc:colId="0" etc:subtotal="count"/>
            </etc:seriesCollections>
          </etc:chart>
        </etc:analysisCharts>
      </etc:autoFilterAnalysis>
    </extLst>
  </autoFilter>
  <mergeCells count="3">
    <mergeCell ref="Y1:AF1"/>
    <mergeCell ref="AG1:AH1"/>
    <mergeCell ref="B3:E3"/>
  </mergeCells>
  <conditionalFormatting sqref="D2">
    <cfRule type="expression" dxfId="987" priority="83">
      <formula>(TODAY()-$D2)&lt;30</formula>
    </cfRule>
  </conditionalFormatting>
  <conditionalFormatting sqref="E2">
    <cfRule type="duplicateValues" dxfId="984" priority="84"/>
  </conditionalFormatting>
  <conditionalFormatting sqref="B3">
    <cfRule type="duplicateValues" dxfId="984" priority="87"/>
  </conditionalFormatting>
  <conditionalFormatting sqref="E3">
    <cfRule type="duplicateValues" dxfId="984" priority="86"/>
  </conditionalFormatting>
  <conditionalFormatting sqref="V3">
    <cfRule type="iconSet" priority="89">
      <iconSet iconSet="3Arrows">
        <cfvo type="percent" val="0"/>
        <cfvo type="num" val="0"/>
        <cfvo type="num" val="0" gte="0"/>
      </iconSet>
    </cfRule>
  </conditionalFormatting>
  <conditionalFormatting sqref="AD3">
    <cfRule type="iconSet" priority="88">
      <iconSet iconSet="3Arrows">
        <cfvo type="percent" val="0"/>
        <cfvo type="num" val="0"/>
        <cfvo type="num" val="0" gte="0"/>
      </iconSet>
    </cfRule>
  </conditionalFormatting>
  <conditionalFormatting sqref="AI3:AJ3">
    <cfRule type="cellIs" dxfId="986" priority="85" operator="lessThan">
      <formula>0</formula>
    </cfRule>
  </conditionalFormatting>
  <conditionalFormatting sqref="R4:R118">
    <cfRule type="iconSet" priority="93">
      <iconSet iconSet="3Arrows">
        <cfvo type="percent" val="0"/>
        <cfvo type="num" val="0"/>
        <cfvo type="num" val="0" gte="0"/>
      </iconSet>
    </cfRule>
  </conditionalFormatting>
  <conditionalFormatting sqref="V4:V118">
    <cfRule type="iconSet" priority="92">
      <iconSet iconSet="3Arrows">
        <cfvo type="percent" val="0"/>
        <cfvo type="num" val="0"/>
        <cfvo type="num" val="0" gte="0"/>
      </iconSet>
    </cfRule>
  </conditionalFormatting>
  <conditionalFormatting sqref="X4:X1048576">
    <cfRule type="expression" dxfId="985" priority="1">
      <formula>AND($X4="有库存无销量",$K4&gt;2,OR($V4&gt;=0,$V4="-"))</formula>
    </cfRule>
    <cfRule type="expression" dxfId="985" priority="2">
      <formula>AND($X4="库存过高",$K4&gt;2,OR($V4&gt;=0,$V4="-"))</formula>
    </cfRule>
  </conditionalFormatting>
  <conditionalFormatting sqref="Y4:Y118">
    <cfRule type="expression" dxfId="985" priority="3">
      <formula>AND($Y4&gt;3,$AB4=0)</formula>
    </cfRule>
  </conditionalFormatting>
  <conditionalFormatting sqref="AB4:AB118">
    <cfRule type="expression" dxfId="985" priority="4">
      <formula>AND($AB4&gt;30%,$AD4&gt;0,$AB4&lt;&gt;"-")</formula>
    </cfRule>
  </conditionalFormatting>
  <conditionalFormatting sqref="AD4:AD118">
    <cfRule type="iconSet" priority="91">
      <iconSet iconSet="3Arrows">
        <cfvo type="percent" val="0"/>
        <cfvo type="num" val="0"/>
        <cfvo type="num" val="0" gte="0"/>
      </iconSet>
    </cfRule>
  </conditionalFormatting>
  <conditionalFormatting sqref="AI4:AI118">
    <cfRule type="cellIs" dxfId="986" priority="6" operator="lessThan">
      <formula>25%</formula>
    </cfRule>
  </conditionalFormatting>
  <pageMargins left="0.75" right="0.75" top="1" bottom="1" header="0.5" footer="0.5"/>
  <headerFooter/>
  <extLst>
    <ext xmlns:x14="http://schemas.microsoft.com/office/spreadsheetml/2009/9/main" uri="{78C0D931-6437-407d-A8EE-F0AAD7539E65}">
      <x14:conditionalFormattings>
        <x14:conditionalFormatting xmlns:xm="http://schemas.microsoft.com/office/excel/2006/main">
          <x14:cfRule type="iconSet" priority="7" id="{586b64f6-8c68-4884-bc05-958a5da21e6b}">
            <x14:iconSet iconSet="3Arrows" custom="1">
              <x14:cfvo type="percent">
                <xm:f>0</xm:f>
              </x14:cfvo>
              <x14:cfvo type="num">
                <xm:f>0</xm:f>
              </x14:cfvo>
              <x14:cfvo type="num" gte="0">
                <xm:f>0</xm:f>
              </x14:cfvo>
              <x14:cfIcon iconSet="3Arrows" iconId="0"/>
              <x14:cfIcon iconSet="3Arrows" iconId="1"/>
              <x14:cfIcon iconSet="3Arrows" iconId="2"/>
            </x14:iconSet>
          </x14:cfRule>
          <xm:sqref>W4:W118</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B1:BB154"/>
  <sheetViews>
    <sheetView topLeftCell="Z1" workbookViewId="0">
      <pane ySplit="1" topLeftCell="A2" activePane="bottomLeft" state="frozen"/>
      <selection/>
      <selection pane="bottomLeft" activeCell="W103" sqref="W103"/>
    </sheetView>
  </sheetViews>
  <sheetFormatPr defaultColWidth="9" defaultRowHeight="12.9"/>
  <cols>
    <col min="1" max="1" width="9" style="1"/>
    <col min="2" max="2" width="28.4862385321101" style="1"/>
    <col min="3" max="3" width="13.8256880733945" style="1" customWidth="1"/>
    <col min="4" max="4" width="9" style="1"/>
    <col min="5" max="5" width="28.4862385321101" style="1"/>
    <col min="6" max="6" width="13.8256880733945" style="1" customWidth="1"/>
    <col min="7" max="7" width="9" style="1"/>
    <col min="8" max="8" width="28.4862385321101" style="1"/>
    <col min="9" max="9" width="13.8256880733945" style="1" customWidth="1"/>
    <col min="10" max="10" width="9" style="1"/>
    <col min="11" max="11" width="11.6146788990826" style="1"/>
    <col min="12" max="14" width="14.697247706422" style="1" customWidth="1"/>
    <col min="15" max="15" width="21.1834862385321" style="1" customWidth="1"/>
    <col min="16" max="16" width="19.1834862385321" style="1" customWidth="1"/>
    <col min="17" max="18" width="15.3302752293578" style="2" customWidth="1"/>
    <col min="19" max="19" width="9" style="1"/>
    <col min="20" max="20" width="11.6146788990826" style="1"/>
    <col min="21" max="23" width="13.9449541284404" style="1" customWidth="1"/>
    <col min="24" max="24" width="20.4311926605505" style="1" customWidth="1"/>
    <col min="25" max="25" width="20.9266055045872" style="1" customWidth="1"/>
    <col min="26" max="26" width="20.9266055045872" style="2" customWidth="1"/>
    <col min="27" max="27" width="18.1926605504587" style="2" customWidth="1"/>
    <col min="28" max="28" width="9" style="1"/>
    <col min="29" max="29" width="11.6146788990826" style="1"/>
    <col min="30" max="32" width="14.4495412844037" style="1" customWidth="1"/>
    <col min="33" max="33" width="20.0550458715596" style="1" customWidth="1"/>
    <col min="34" max="34" width="20.3119266055046" style="1" customWidth="1"/>
    <col min="35" max="36" width="17.1926605504587" style="2" customWidth="1"/>
    <col min="37" max="37" width="10.5871559633028" style="2" customWidth="1"/>
    <col min="40" max="40" width="10.5871559633028" style="2" customWidth="1"/>
    <col min="41" max="41" width="9" style="1"/>
    <col min="44" max="44" width="9.6697247706422" style="1"/>
    <col min="45" max="45" width="9" style="1"/>
    <col min="46" max="46" width="13.4495412844037" customWidth="1"/>
    <col min="47" max="47" width="11.9633027522936" customWidth="1"/>
    <col min="49" max="49" width="13.4495412844037" customWidth="1"/>
    <col min="50" max="50" width="11.9633027522936" customWidth="1"/>
    <col min="51" max="51" width="9" style="1"/>
    <col min="52" max="52" width="16.697247706422" style="30" customWidth="1"/>
    <col min="53" max="53" width="10.5045871559633" style="30" customWidth="1"/>
    <col min="54" max="16384" width="9" style="1"/>
  </cols>
  <sheetData>
    <row r="1" s="1" customFormat="1" spans="2:53">
      <c r="B1" t="s">
        <v>408</v>
      </c>
      <c r="C1" t="s">
        <v>409</v>
      </c>
      <c r="E1" t="s">
        <v>408</v>
      </c>
      <c r="F1" t="s">
        <v>409</v>
      </c>
      <c r="H1" t="s">
        <v>408</v>
      </c>
      <c r="I1" t="s">
        <v>409</v>
      </c>
      <c r="K1" t="s">
        <v>410</v>
      </c>
      <c r="L1" t="s">
        <v>411</v>
      </c>
      <c r="M1" t="s">
        <v>412</v>
      </c>
      <c r="N1" t="s">
        <v>413</v>
      </c>
      <c r="O1" t="s">
        <v>414</v>
      </c>
      <c r="P1" t="s">
        <v>415</v>
      </c>
      <c r="Q1" s="31" t="s">
        <v>416</v>
      </c>
      <c r="R1" s="31" t="s">
        <v>417</v>
      </c>
      <c r="T1" t="s">
        <v>410</v>
      </c>
      <c r="U1" t="s">
        <v>411</v>
      </c>
      <c r="V1" t="s">
        <v>412</v>
      </c>
      <c r="W1" t="s">
        <v>413</v>
      </c>
      <c r="X1" t="s">
        <v>414</v>
      </c>
      <c r="Y1" t="s">
        <v>415</v>
      </c>
      <c r="Z1" s="31" t="s">
        <v>418</v>
      </c>
      <c r="AA1" s="31" t="s">
        <v>419</v>
      </c>
      <c r="AC1" t="s">
        <v>410</v>
      </c>
      <c r="AD1" t="s">
        <v>411</v>
      </c>
      <c r="AE1" t="s">
        <v>412</v>
      </c>
      <c r="AF1" t="s">
        <v>413</v>
      </c>
      <c r="AG1" t="s">
        <v>414</v>
      </c>
      <c r="AH1" t="s">
        <v>415</v>
      </c>
      <c r="AI1" s="31" t="s">
        <v>420</v>
      </c>
      <c r="AJ1" s="31" t="s">
        <v>421</v>
      </c>
      <c r="AK1" s="32" t="s">
        <v>422</v>
      </c>
      <c r="AL1" t="s">
        <v>408</v>
      </c>
      <c r="AM1" t="s">
        <v>423</v>
      </c>
      <c r="AO1" s="32" t="s">
        <v>424</v>
      </c>
      <c r="AP1" t="s">
        <v>408</v>
      </c>
      <c r="AQ1" t="s">
        <v>423</v>
      </c>
      <c r="AS1" s="34">
        <v>6.85</v>
      </c>
      <c r="AT1" s="35">
        <v>115</v>
      </c>
      <c r="AU1" s="36"/>
      <c r="AV1" s="35"/>
      <c r="AW1" s="35">
        <v>99</v>
      </c>
      <c r="AX1" s="36"/>
      <c r="AZ1" s="30"/>
      <c r="BA1" s="30"/>
    </row>
    <row r="2" s="1" customFormat="1" spans="2:53">
      <c r="B2" t="s">
        <v>426</v>
      </c>
      <c r="C2"/>
      <c r="E2" t="s">
        <v>426</v>
      </c>
      <c r="F2"/>
      <c r="H2" t="s">
        <v>3336</v>
      </c>
      <c r="I2">
        <v>1</v>
      </c>
      <c r="J2" s="1" t="e">
        <f>VLOOKUP(H:H,'9店'!$B:$B,1,0)</f>
        <v>#N/A</v>
      </c>
      <c r="K2" t="s">
        <v>3060</v>
      </c>
      <c r="L2">
        <v>526</v>
      </c>
      <c r="M2">
        <v>4</v>
      </c>
      <c r="N2">
        <v>1.22</v>
      </c>
      <c r="O2">
        <v>0</v>
      </c>
      <c r="P2">
        <v>0</v>
      </c>
      <c r="Q2" s="31">
        <v>0</v>
      </c>
      <c r="R2" s="31">
        <v>0</v>
      </c>
      <c r="S2" s="1" t="str">
        <f>VLOOKUP(K:K,'9店'!$B:$B,1,0)</f>
        <v>Y93694-BU+Y93712+Y93744</v>
      </c>
      <c r="T2" t="s">
        <v>3060</v>
      </c>
      <c r="U2">
        <v>1264</v>
      </c>
      <c r="V2">
        <v>19</v>
      </c>
      <c r="W2">
        <v>5.86</v>
      </c>
      <c r="X2">
        <v>25.98</v>
      </c>
      <c r="Y2">
        <v>2</v>
      </c>
      <c r="Z2" s="31">
        <v>0.225558121632025</v>
      </c>
      <c r="AA2" s="31">
        <v>0.105263157894737</v>
      </c>
      <c r="AB2" s="1" t="str">
        <f>VLOOKUP(T:T,'9店'!$B:$B,1,0)</f>
        <v>Y93694-BU+Y93712+Y93744</v>
      </c>
      <c r="AC2" t="s">
        <v>3058</v>
      </c>
      <c r="AD2">
        <v>0</v>
      </c>
      <c r="AE2">
        <v>0</v>
      </c>
      <c r="AF2">
        <v>0</v>
      </c>
      <c r="AG2">
        <v>0</v>
      </c>
      <c r="AH2">
        <v>0</v>
      </c>
      <c r="AI2" s="31">
        <v>0</v>
      </c>
      <c r="AJ2" s="31">
        <v>0</v>
      </c>
      <c r="AK2" s="1" t="str">
        <f>VLOOKUP(AC:AC,'9店'!$B:$B,1,0)</f>
        <v>Y93694-BL+Y93712+Y93744</v>
      </c>
      <c r="AL2" t="s">
        <v>3117</v>
      </c>
      <c r="AM2" s="102">
        <v>1251.21</v>
      </c>
      <c r="AN2" s="1">
        <f>AM2*$AS$1</f>
        <v>8570.7885</v>
      </c>
      <c r="AP2" t="s">
        <v>3117</v>
      </c>
      <c r="AQ2" s="102">
        <v>1467.91</v>
      </c>
      <c r="AR2" s="1">
        <f>AQ2*$AS$1</f>
        <v>10055.1835</v>
      </c>
      <c r="AT2" s="37" t="s">
        <v>10</v>
      </c>
      <c r="AU2" s="38" t="s">
        <v>21</v>
      </c>
      <c r="AV2" s="39"/>
      <c r="AW2" s="37" t="s">
        <v>10</v>
      </c>
      <c r="AX2" s="38" t="s">
        <v>21</v>
      </c>
      <c r="AZ2" s="30"/>
      <c r="BA2" s="30"/>
    </row>
    <row r="3" s="1" customFormat="1" spans="2:53">
      <c r="B3" t="s">
        <v>3080</v>
      </c>
      <c r="C3">
        <v>6</v>
      </c>
      <c r="D3" s="1" t="str">
        <f>VLOOKUP(B:B,'9店'!$B:$B,1,0)</f>
        <v>Y93106-OR+Y93109+Y93112</v>
      </c>
      <c r="E3" t="s">
        <v>3076</v>
      </c>
      <c r="F3">
        <v>13</v>
      </c>
      <c r="G3" s="1" t="str">
        <f>VLOOKUP(E:E,'9店'!$B:$B,1,0)</f>
        <v>Y93106-BL+Y93109+Y93112</v>
      </c>
      <c r="H3" t="s">
        <v>426</v>
      </c>
      <c r="I3"/>
      <c r="J3" s="1" t="e">
        <f>VLOOKUP(H:H,'9店'!$B:$B,1,0)</f>
        <v>#N/A</v>
      </c>
      <c r="K3" t="s">
        <v>3056</v>
      </c>
      <c r="L3">
        <v>322</v>
      </c>
      <c r="M3">
        <v>4</v>
      </c>
      <c r="N3">
        <v>1.7</v>
      </c>
      <c r="O3">
        <v>0</v>
      </c>
      <c r="P3">
        <v>0</v>
      </c>
      <c r="Q3" s="31">
        <v>0</v>
      </c>
      <c r="R3" s="31">
        <v>0</v>
      </c>
      <c r="S3" s="1" t="str">
        <f>VLOOKUP(K:K,'9店'!$B:$B,1,0)</f>
        <v>Y93475-DB+Y92615+Y93478</v>
      </c>
      <c r="T3" t="s">
        <v>3056</v>
      </c>
      <c r="U3">
        <v>1046</v>
      </c>
      <c r="V3">
        <v>14</v>
      </c>
      <c r="W3">
        <v>5.01</v>
      </c>
      <c r="X3">
        <v>12.99</v>
      </c>
      <c r="Y3">
        <v>1</v>
      </c>
      <c r="Z3" s="31">
        <v>0.38568129330254</v>
      </c>
      <c r="AA3" s="31">
        <v>0.0714285714285714</v>
      </c>
      <c r="AB3" s="1" t="str">
        <f>VLOOKUP(T:T,'9店'!$B:$B,1,0)</f>
        <v>Y93475-DB+Y92615+Y93478</v>
      </c>
      <c r="AC3" t="s">
        <v>3060</v>
      </c>
      <c r="AD3">
        <v>2587</v>
      </c>
      <c r="AE3">
        <v>33</v>
      </c>
      <c r="AF3">
        <v>10.85</v>
      </c>
      <c r="AG3">
        <v>51.96</v>
      </c>
      <c r="AH3">
        <v>4</v>
      </c>
      <c r="AI3" s="31">
        <v>0.208814472671286</v>
      </c>
      <c r="AJ3" s="31">
        <v>0.121212121212121</v>
      </c>
      <c r="AK3" s="1" t="str">
        <f>VLOOKUP(AC:AC,'9店'!$B:$B,1,0)</f>
        <v>Y93694-BU+Y93712+Y93744</v>
      </c>
      <c r="AL3" t="s">
        <v>3148</v>
      </c>
      <c r="AM3" s="102">
        <v>1014.73</v>
      </c>
      <c r="AN3" s="1">
        <f t="shared" ref="AN3:AN21" si="0">AM3*$AS$1</f>
        <v>6950.9005</v>
      </c>
      <c r="AP3" t="s">
        <v>3151</v>
      </c>
      <c r="AQ3" s="102">
        <v>1006.74</v>
      </c>
      <c r="AR3" s="1">
        <f>AQ3*$AS$1</f>
        <v>6896.169</v>
      </c>
      <c r="AT3" s="40" t="s">
        <v>48</v>
      </c>
      <c r="AU3" s="41">
        <v>170830.487</v>
      </c>
      <c r="AV3" s="42"/>
      <c r="AW3" s="40" t="s">
        <v>48</v>
      </c>
      <c r="AX3" s="41">
        <v>143806.686</v>
      </c>
      <c r="AZ3" s="46" t="s">
        <v>408</v>
      </c>
      <c r="BA3" s="46" t="s">
        <v>3337</v>
      </c>
    </row>
    <row r="4" s="1" customFormat="1" spans="2:54">
      <c r="B4" t="s">
        <v>3078</v>
      </c>
      <c r="C4">
        <v>6</v>
      </c>
      <c r="D4" s="1" t="str">
        <f>VLOOKUP(B:B,'9店'!$B:$B,1,0)</f>
        <v>Y93106-DB+Y93109+Y93112</v>
      </c>
      <c r="E4" t="s">
        <v>3080</v>
      </c>
      <c r="F4">
        <v>10</v>
      </c>
      <c r="G4" s="1" t="str">
        <f>VLOOKUP(E:E,'9店'!$B:$B,1,0)</f>
        <v>Y93106-OR+Y93109+Y93112</v>
      </c>
      <c r="H4" t="s">
        <v>3054</v>
      </c>
      <c r="I4">
        <v>10</v>
      </c>
      <c r="J4" s="1" t="str">
        <f>VLOOKUP(H:H,'9店'!$B:$B,1,0)</f>
        <v>Y92611-DB+Y92614+Y92635</v>
      </c>
      <c r="K4" t="s">
        <v>3097</v>
      </c>
      <c r="L4">
        <v>450</v>
      </c>
      <c r="M4">
        <v>4</v>
      </c>
      <c r="N4">
        <v>1.36</v>
      </c>
      <c r="O4">
        <v>0</v>
      </c>
      <c r="P4">
        <v>0</v>
      </c>
      <c r="Q4" s="31">
        <v>0</v>
      </c>
      <c r="R4" s="31">
        <v>0</v>
      </c>
      <c r="S4" s="1" t="str">
        <f>VLOOKUP(K:K,'9店'!$B:$B,1,0)</f>
        <v>Y9029-DB+Y9030+Y9031</v>
      </c>
      <c r="T4" t="s">
        <v>3097</v>
      </c>
      <c r="U4">
        <v>1220</v>
      </c>
      <c r="V4">
        <v>8</v>
      </c>
      <c r="W4">
        <v>2.87</v>
      </c>
      <c r="X4">
        <v>0</v>
      </c>
      <c r="Y4">
        <v>0</v>
      </c>
      <c r="Z4" s="31">
        <v>0</v>
      </c>
      <c r="AA4" s="31">
        <v>0</v>
      </c>
      <c r="AB4" s="1" t="str">
        <f>VLOOKUP(T:T,'9店'!$B:$B,1,0)</f>
        <v>Y9029-DB+Y9030+Y9031</v>
      </c>
      <c r="AC4" t="s">
        <v>3056</v>
      </c>
      <c r="AD4">
        <v>5236</v>
      </c>
      <c r="AE4">
        <v>49</v>
      </c>
      <c r="AF4">
        <v>17.25</v>
      </c>
      <c r="AG4">
        <v>38.97</v>
      </c>
      <c r="AH4">
        <v>3</v>
      </c>
      <c r="AI4" s="31">
        <v>0.442648190916089</v>
      </c>
      <c r="AJ4" s="31">
        <v>0.0612244897959184</v>
      </c>
      <c r="AK4" s="1" t="str">
        <f>VLOOKUP(AC:AC,'9店'!$B:$B,1,0)</f>
        <v>Y93475-DB+Y92615+Y93478</v>
      </c>
      <c r="AL4" t="s">
        <v>3154</v>
      </c>
      <c r="AM4" s="102">
        <v>223.78</v>
      </c>
      <c r="AN4" s="1">
        <f t="shared" si="0"/>
        <v>1532.893</v>
      </c>
      <c r="AP4" t="s">
        <v>3148</v>
      </c>
      <c r="AQ4" s="102">
        <v>1206.49</v>
      </c>
      <c r="AR4" s="1">
        <f>AQ4*$AS$1</f>
        <v>8264.4565</v>
      </c>
      <c r="AT4" s="43" t="s">
        <v>3045</v>
      </c>
      <c r="AU4" s="44">
        <v>27.8</v>
      </c>
      <c r="AV4" s="35"/>
      <c r="AW4" s="43" t="s">
        <v>3045</v>
      </c>
      <c r="AX4" s="44">
        <v>27.8</v>
      </c>
      <c r="AZ4" s="47" t="s">
        <v>3338</v>
      </c>
      <c r="BA4" s="48">
        <v>1.204</v>
      </c>
      <c r="BB4" s="1" t="s">
        <v>430</v>
      </c>
    </row>
    <row r="5" s="1" customFormat="1" spans="2:54">
      <c r="B5" t="s">
        <v>3090</v>
      </c>
      <c r="C5">
        <v>5</v>
      </c>
      <c r="D5" s="1" t="str">
        <f>VLOOKUP(B:B,'9店'!$B:$B,1,0)</f>
        <v>Y93230-DB+Y903231+Y93240</v>
      </c>
      <c r="E5" t="s">
        <v>3078</v>
      </c>
      <c r="F5">
        <v>15</v>
      </c>
      <c r="G5" s="1" t="str">
        <f>VLOOKUP(E:E,'9店'!$B:$B,1,0)</f>
        <v>Y93106-DB+Y93109+Y93112</v>
      </c>
      <c r="H5" t="s">
        <v>3076</v>
      </c>
      <c r="I5">
        <v>35</v>
      </c>
      <c r="J5" s="1" t="str">
        <f>VLOOKUP(H:H,'9店'!$B:$B,1,0)</f>
        <v>Y93106-BL+Y93109+Y93112</v>
      </c>
      <c r="K5" t="s">
        <v>426</v>
      </c>
      <c r="L5"/>
      <c r="M5"/>
      <c r="N5"/>
      <c r="O5"/>
      <c r="P5"/>
      <c r="Q5" s="31">
        <v>0</v>
      </c>
      <c r="R5" s="31">
        <v>0</v>
      </c>
      <c r="S5" s="1" t="e">
        <f>VLOOKUP(K:K,'9店'!$B:$B,1,0)</f>
        <v>#N/A</v>
      </c>
      <c r="T5" t="s">
        <v>3050</v>
      </c>
      <c r="U5">
        <v>412</v>
      </c>
      <c r="V5">
        <v>5</v>
      </c>
      <c r="W5">
        <v>2.04</v>
      </c>
      <c r="X5">
        <v>0</v>
      </c>
      <c r="Y5">
        <v>0</v>
      </c>
      <c r="Z5" s="31">
        <v>0</v>
      </c>
      <c r="AA5" s="31">
        <v>0</v>
      </c>
      <c r="AB5" s="1" t="str">
        <f>VLOOKUP(T:T,'9店'!$B:$B,1,0)</f>
        <v>Y9002-DB+Y9005</v>
      </c>
      <c r="AC5" t="s">
        <v>3097</v>
      </c>
      <c r="AD5">
        <v>2385</v>
      </c>
      <c r="AE5">
        <v>13</v>
      </c>
      <c r="AF5">
        <v>4.67</v>
      </c>
      <c r="AG5">
        <v>12.99</v>
      </c>
      <c r="AH5">
        <v>1</v>
      </c>
      <c r="AI5" s="31">
        <v>0.359507313317937</v>
      </c>
      <c r="AJ5" s="31">
        <v>0.0769230769230769</v>
      </c>
      <c r="AK5" s="1" t="str">
        <f>VLOOKUP(AC:AC,'9店'!$B:$B,1,0)</f>
        <v>Y9029-DB+Y9030+Y9031</v>
      </c>
      <c r="AL5" t="s">
        <v>3123</v>
      </c>
      <c r="AM5" s="102">
        <v>218.78</v>
      </c>
      <c r="AN5" s="1">
        <f t="shared" si="0"/>
        <v>1498.643</v>
      </c>
      <c r="AP5" t="s">
        <v>3132</v>
      </c>
      <c r="AQ5" s="102">
        <v>1079.2</v>
      </c>
      <c r="AR5" s="1">
        <f>AQ5*$AS$1</f>
        <v>7392.52</v>
      </c>
      <c r="AT5" s="43" t="s">
        <v>3048</v>
      </c>
      <c r="AU5" s="44">
        <v>83.4</v>
      </c>
      <c r="AV5" s="35"/>
      <c r="AW5" s="43" t="s">
        <v>3048</v>
      </c>
      <c r="AX5" s="44">
        <v>97.3</v>
      </c>
      <c r="AZ5" s="47" t="s">
        <v>3339</v>
      </c>
      <c r="BA5" s="48">
        <v>5.109</v>
      </c>
      <c r="BB5" s="1" t="s">
        <v>430</v>
      </c>
    </row>
    <row r="6" s="1" customFormat="1" spans="2:54">
      <c r="B6" t="s">
        <v>3076</v>
      </c>
      <c r="C6">
        <v>4</v>
      </c>
      <c r="D6" s="1" t="str">
        <f>VLOOKUP(B:B,'9店'!$B:$B,1,0)</f>
        <v>Y93106-BL+Y93109+Y93112</v>
      </c>
      <c r="E6" t="s">
        <v>3088</v>
      </c>
      <c r="F6">
        <v>7</v>
      </c>
      <c r="G6" s="1" t="str">
        <f>VLOOKUP(E:E,'9店'!$B:$B,1,0)</f>
        <v>Y93230-BL+Y903231+Y93240</v>
      </c>
      <c r="H6" t="s">
        <v>3080</v>
      </c>
      <c r="I6">
        <v>28</v>
      </c>
      <c r="J6" s="1" t="str">
        <f>VLOOKUP(H:H,'9店'!$B:$B,1,0)</f>
        <v>Y93106-OR+Y93109+Y93112</v>
      </c>
      <c r="K6" t="s">
        <v>3076</v>
      </c>
      <c r="L6">
        <v>1718</v>
      </c>
      <c r="M6">
        <v>13</v>
      </c>
      <c r="N6">
        <v>5.17</v>
      </c>
      <c r="O6">
        <v>38.97</v>
      </c>
      <c r="P6">
        <v>3</v>
      </c>
      <c r="Q6" s="31">
        <v>0.132666153451373</v>
      </c>
      <c r="R6" s="31">
        <v>0.230769230769231</v>
      </c>
      <c r="S6" s="1" t="str">
        <f>VLOOKUP(K:K,'9店'!$B:$B,1,0)</f>
        <v>Y93106-BL+Y93109+Y93112</v>
      </c>
      <c r="T6" t="s">
        <v>426</v>
      </c>
      <c r="U6"/>
      <c r="V6"/>
      <c r="W6"/>
      <c r="X6"/>
      <c r="Y6"/>
      <c r="Z6" s="31">
        <v>0</v>
      </c>
      <c r="AA6" s="31">
        <v>0</v>
      </c>
      <c r="AB6" s="1" t="e">
        <f>VLOOKUP(T:T,'9店'!$B:$B,1,0)</f>
        <v>#N/A</v>
      </c>
      <c r="AC6" t="s">
        <v>3050</v>
      </c>
      <c r="AD6">
        <v>1432</v>
      </c>
      <c r="AE6">
        <v>16</v>
      </c>
      <c r="AF6">
        <v>6.61</v>
      </c>
      <c r="AG6">
        <v>12.99</v>
      </c>
      <c r="AH6">
        <v>1</v>
      </c>
      <c r="AI6" s="31">
        <v>0.508852963818322</v>
      </c>
      <c r="AJ6" s="31">
        <v>0.0625</v>
      </c>
      <c r="AK6" s="1" t="str">
        <f>VLOOKUP(AC:AC,'9店'!$B:$B,1,0)</f>
        <v>Y9002-DB+Y9005</v>
      </c>
      <c r="AL6" t="s">
        <v>3132</v>
      </c>
      <c r="AM6" s="102">
        <v>161.91</v>
      </c>
      <c r="AN6" s="1">
        <f t="shared" si="0"/>
        <v>1109.0835</v>
      </c>
      <c r="AP6" t="s">
        <v>3154</v>
      </c>
      <c r="AQ6" s="102">
        <v>407.64</v>
      </c>
      <c r="AR6" s="1">
        <f>AQ6*$AS$1</f>
        <v>2792.334</v>
      </c>
      <c r="AT6" s="43" t="s">
        <v>3050</v>
      </c>
      <c r="AU6" s="44">
        <v>13.9</v>
      </c>
      <c r="AV6" s="35"/>
      <c r="AW6" s="43" t="s">
        <v>3050</v>
      </c>
      <c r="AX6" s="44">
        <v>69.5</v>
      </c>
      <c r="AZ6" s="47" t="s">
        <v>3340</v>
      </c>
      <c r="BA6" s="48">
        <v>6.133</v>
      </c>
      <c r="BB6" s="1" t="s">
        <v>430</v>
      </c>
    </row>
    <row r="7" s="1" customFormat="1" spans="2:54">
      <c r="B7" t="s">
        <v>3129</v>
      </c>
      <c r="C7">
        <v>6</v>
      </c>
      <c r="D7" s="1" t="str">
        <f>VLOOKUP(B:B,'9店'!$B:$B,1,0)</f>
        <v>Y9001-WH</v>
      </c>
      <c r="E7" t="s">
        <v>3090</v>
      </c>
      <c r="F7">
        <v>8</v>
      </c>
      <c r="G7" s="1" t="str">
        <f>VLOOKUP(E:E,'9店'!$B:$B,1,0)</f>
        <v>Y93230-DB+Y903231+Y93240</v>
      </c>
      <c r="H7" t="s">
        <v>3078</v>
      </c>
      <c r="I7">
        <v>29</v>
      </c>
      <c r="J7" s="1" t="str">
        <f>VLOOKUP(H:H,'9店'!$B:$B,1,0)</f>
        <v>Y93106-DB+Y93109+Y93112</v>
      </c>
      <c r="K7" t="s">
        <v>3078</v>
      </c>
      <c r="L7">
        <v>768</v>
      </c>
      <c r="M7">
        <v>5</v>
      </c>
      <c r="N7">
        <v>2.09</v>
      </c>
      <c r="O7">
        <v>0</v>
      </c>
      <c r="P7">
        <v>0</v>
      </c>
      <c r="Q7" s="31">
        <v>0</v>
      </c>
      <c r="R7" s="31">
        <v>0</v>
      </c>
      <c r="S7" s="1" t="str">
        <f>VLOOKUP(K:K,'9店'!$B:$B,1,0)</f>
        <v>Y93106-DB+Y93109+Y93112</v>
      </c>
      <c r="T7" t="s">
        <v>3076</v>
      </c>
      <c r="U7">
        <v>4079</v>
      </c>
      <c r="V7">
        <v>30</v>
      </c>
      <c r="W7">
        <v>12.71</v>
      </c>
      <c r="X7">
        <v>70.95</v>
      </c>
      <c r="Y7">
        <v>5</v>
      </c>
      <c r="Z7" s="31">
        <v>0.179140239605356</v>
      </c>
      <c r="AA7" s="31">
        <v>0.166666666666667</v>
      </c>
      <c r="AB7" s="1" t="str">
        <f>VLOOKUP(T:T,'9店'!$B:$B,1,0)</f>
        <v>Y93106-BL+Y93109+Y93112</v>
      </c>
      <c r="AC7" t="s">
        <v>3336</v>
      </c>
      <c r="AD7">
        <v>20</v>
      </c>
      <c r="AE7">
        <v>0</v>
      </c>
      <c r="AF7">
        <v>0</v>
      </c>
      <c r="AG7">
        <v>0</v>
      </c>
      <c r="AH7">
        <v>0</v>
      </c>
      <c r="AI7" s="31">
        <v>0</v>
      </c>
      <c r="AJ7" s="31">
        <v>0</v>
      </c>
      <c r="AK7" s="1" t="e">
        <f>VLOOKUP(AC:AC,'9店'!$B:$B,1,0)</f>
        <v>#N/A</v>
      </c>
      <c r="AL7" t="s">
        <v>3120</v>
      </c>
      <c r="AM7" s="102">
        <v>97.93</v>
      </c>
      <c r="AN7" s="1">
        <f t="shared" si="0"/>
        <v>670.8205</v>
      </c>
      <c r="AP7" t="s">
        <v>3145</v>
      </c>
      <c r="AQ7" s="102">
        <v>337.62</v>
      </c>
      <c r="AR7" s="1">
        <f>AQ7*$AS$1</f>
        <v>2312.697</v>
      </c>
      <c r="AT7" s="43" t="s">
        <v>3052</v>
      </c>
      <c r="AU7" s="44">
        <v>55.6</v>
      </c>
      <c r="AV7" s="35"/>
      <c r="AW7" s="43" t="s">
        <v>3052</v>
      </c>
      <c r="AX7" s="44">
        <v>69.5</v>
      </c>
      <c r="AZ7" s="47" t="s">
        <v>3341</v>
      </c>
      <c r="BA7" s="48">
        <v>2.308</v>
      </c>
      <c r="BB7" s="1" t="s">
        <v>430</v>
      </c>
    </row>
    <row r="8" s="1" customFormat="1" spans="2:54">
      <c r="B8" t="s">
        <v>3117</v>
      </c>
      <c r="C8">
        <v>179</v>
      </c>
      <c r="D8" s="1" t="str">
        <f>VLOOKUP(B:B,'9店'!$B:$B,1,0)</f>
        <v>Y9001-BU</v>
      </c>
      <c r="E8" t="s">
        <v>3092</v>
      </c>
      <c r="F8">
        <v>6</v>
      </c>
      <c r="G8" s="1" t="str">
        <f>VLOOKUP(E:E,'9店'!$B:$B,1,0)</f>
        <v>Y93230-OR+Y903231+Y93240</v>
      </c>
      <c r="H8" t="s">
        <v>3088</v>
      </c>
      <c r="I8">
        <v>18</v>
      </c>
      <c r="J8" s="1" t="str">
        <f>VLOOKUP(H:H,'9店'!$B:$B,1,0)</f>
        <v>Y93230-BL+Y903231+Y93240</v>
      </c>
      <c r="K8" t="s">
        <v>3088</v>
      </c>
      <c r="L8">
        <v>81</v>
      </c>
      <c r="M8">
        <v>2</v>
      </c>
      <c r="N8">
        <v>0.47</v>
      </c>
      <c r="O8">
        <v>0</v>
      </c>
      <c r="P8">
        <v>0</v>
      </c>
      <c r="Q8" s="31">
        <v>0</v>
      </c>
      <c r="R8" s="31">
        <v>0</v>
      </c>
      <c r="S8" s="1" t="str">
        <f>VLOOKUP(K:K,'9店'!$B:$B,1,0)</f>
        <v>Y93230-BL+Y903231+Y93240</v>
      </c>
      <c r="T8" t="s">
        <v>3078</v>
      </c>
      <c r="U8">
        <v>1331</v>
      </c>
      <c r="V8">
        <v>7</v>
      </c>
      <c r="W8">
        <v>2.92</v>
      </c>
      <c r="X8">
        <v>0</v>
      </c>
      <c r="Y8">
        <v>0</v>
      </c>
      <c r="Z8" s="31">
        <v>0</v>
      </c>
      <c r="AA8" s="31">
        <v>0</v>
      </c>
      <c r="AB8" s="1" t="str">
        <f>VLOOKUP(T:T,'9店'!$B:$B,1,0)</f>
        <v>Y93106-DB+Y93109+Y93112</v>
      </c>
      <c r="AC8" t="s">
        <v>426</v>
      </c>
      <c r="AD8"/>
      <c r="AE8"/>
      <c r="AF8"/>
      <c r="AG8"/>
      <c r="AH8"/>
      <c r="AI8" s="31">
        <v>0</v>
      </c>
      <c r="AJ8" s="31">
        <v>0</v>
      </c>
      <c r="AK8" s="1" t="e">
        <f>VLOOKUP(AC:AC,'9店'!$B:$B,1,0)</f>
        <v>#N/A</v>
      </c>
      <c r="AL8" t="s">
        <v>3135</v>
      </c>
      <c r="AM8" s="102">
        <v>125.93</v>
      </c>
      <c r="AN8" s="1">
        <f t="shared" si="0"/>
        <v>862.6205</v>
      </c>
      <c r="AP8" t="s">
        <v>3223</v>
      </c>
      <c r="AQ8" s="102">
        <v>440.19</v>
      </c>
      <c r="AR8" s="1">
        <f>AQ8*$AS$1</f>
        <v>3015.3015</v>
      </c>
      <c r="AT8" s="43" t="s">
        <v>3054</v>
      </c>
      <c r="AU8" s="44">
        <v>41.7</v>
      </c>
      <c r="AV8" s="35"/>
      <c r="AW8" s="43" t="s">
        <v>3054</v>
      </c>
      <c r="AX8" s="44">
        <v>166.8</v>
      </c>
      <c r="AZ8" s="47" t="s">
        <v>3342</v>
      </c>
      <c r="BA8" s="48">
        <v>6</v>
      </c>
      <c r="BB8" s="1" t="s">
        <v>430</v>
      </c>
    </row>
    <row r="9" s="1" customFormat="1" spans="2:54">
      <c r="B9" t="s">
        <v>3132</v>
      </c>
      <c r="C9">
        <v>9</v>
      </c>
      <c r="D9" s="1" t="str">
        <f>VLOOKUP(B:B,'9店'!$B:$B,1,0)</f>
        <v>Y9002-BL</v>
      </c>
      <c r="E9" t="s">
        <v>3054</v>
      </c>
      <c r="F9">
        <v>4</v>
      </c>
      <c r="G9" s="1" t="str">
        <f>VLOOKUP(E:E,'9店'!$B:$B,1,0)</f>
        <v>Y92611-DB+Y92614+Y92635</v>
      </c>
      <c r="H9" t="s">
        <v>3090</v>
      </c>
      <c r="I9">
        <v>17</v>
      </c>
      <c r="J9" s="1" t="str">
        <f>VLOOKUP(H:H,'9店'!$B:$B,1,0)</f>
        <v>Y93230-DB+Y903231+Y93240</v>
      </c>
      <c r="K9" t="s">
        <v>3092</v>
      </c>
      <c r="L9">
        <v>1794</v>
      </c>
      <c r="M9">
        <v>25</v>
      </c>
      <c r="N9">
        <v>9.22</v>
      </c>
      <c r="O9">
        <v>51.96</v>
      </c>
      <c r="P9">
        <v>4</v>
      </c>
      <c r="Q9" s="31">
        <v>0.177444187836798</v>
      </c>
      <c r="R9" s="31">
        <v>0.16</v>
      </c>
      <c r="S9" s="1" t="str">
        <f>VLOOKUP(K:K,'9店'!$B:$B,1,0)</f>
        <v>Y93230-OR+Y903231+Y93240</v>
      </c>
      <c r="T9" t="s">
        <v>3088</v>
      </c>
      <c r="U9">
        <v>143</v>
      </c>
      <c r="V9">
        <v>2</v>
      </c>
      <c r="W9">
        <v>0.47</v>
      </c>
      <c r="X9">
        <v>0</v>
      </c>
      <c r="Y9">
        <v>0</v>
      </c>
      <c r="Z9" s="31">
        <v>0</v>
      </c>
      <c r="AA9" s="31">
        <v>0</v>
      </c>
      <c r="AB9" s="1" t="str">
        <f>VLOOKUP(T:T,'9店'!$B:$B,1,0)</f>
        <v>Y93230-BL+Y903231+Y93240</v>
      </c>
      <c r="AC9" t="s">
        <v>3076</v>
      </c>
      <c r="AD9">
        <v>8022</v>
      </c>
      <c r="AE9">
        <v>57</v>
      </c>
      <c r="AF9">
        <v>23.35</v>
      </c>
      <c r="AG9">
        <v>161.88</v>
      </c>
      <c r="AH9">
        <v>12</v>
      </c>
      <c r="AI9" s="31">
        <v>0.14424264887571</v>
      </c>
      <c r="AJ9" s="31">
        <v>0.210526315789474</v>
      </c>
      <c r="AK9" s="1" t="str">
        <f>VLOOKUP(AC:AC,'9店'!$B:$B,1,0)</f>
        <v>Y93106-BL+Y93109+Y93112</v>
      </c>
      <c r="AL9" t="s">
        <v>3143</v>
      </c>
      <c r="AM9" s="102">
        <v>77.61</v>
      </c>
      <c r="AN9" s="1">
        <f t="shared" si="0"/>
        <v>531.6285</v>
      </c>
      <c r="AP9" t="s">
        <v>3123</v>
      </c>
      <c r="AQ9" s="102">
        <v>287.72</v>
      </c>
      <c r="AR9" s="1">
        <f>AQ9*$AS$1</f>
        <v>1970.882</v>
      </c>
      <c r="AT9" s="43" t="s">
        <v>3056</v>
      </c>
      <c r="AU9" s="44">
        <v>55.6</v>
      </c>
      <c r="AV9" s="35"/>
      <c r="AW9" s="43" t="s">
        <v>3056</v>
      </c>
      <c r="AX9" s="44">
        <v>97.3</v>
      </c>
      <c r="AZ9" s="47" t="s">
        <v>3343</v>
      </c>
      <c r="BA9" s="48">
        <v>2.904</v>
      </c>
      <c r="BB9" s="1" t="s">
        <v>430</v>
      </c>
    </row>
    <row r="10" s="1" customFormat="1" spans="2:54">
      <c r="B10" t="s">
        <v>3138</v>
      </c>
      <c r="C10">
        <v>4</v>
      </c>
      <c r="D10" s="1" t="str">
        <f>VLOOKUP(B:B,'9店'!$B:$B,1,0)</f>
        <v>Y9003-1</v>
      </c>
      <c r="E10" t="s">
        <v>3129</v>
      </c>
      <c r="F10">
        <v>13</v>
      </c>
      <c r="G10" s="1" t="str">
        <f>VLOOKUP(E:E,'9店'!$B:$B,1,0)</f>
        <v>Y9001-WH</v>
      </c>
      <c r="H10" t="s">
        <v>3092</v>
      </c>
      <c r="I10">
        <v>12</v>
      </c>
      <c r="J10" s="1" t="str">
        <f>VLOOKUP(H:H,'9店'!$B:$B,1,0)</f>
        <v>Y93230-OR+Y903231+Y93240</v>
      </c>
      <c r="K10" t="s">
        <v>3090</v>
      </c>
      <c r="L10">
        <v>2507</v>
      </c>
      <c r="M10">
        <v>26</v>
      </c>
      <c r="N10">
        <v>9.4</v>
      </c>
      <c r="O10">
        <v>25.98</v>
      </c>
      <c r="P10">
        <v>2</v>
      </c>
      <c r="Q10" s="31">
        <v>0.361816782140108</v>
      </c>
      <c r="R10" s="31">
        <v>0.0769230769230769</v>
      </c>
      <c r="S10" s="1" t="str">
        <f>VLOOKUP(K:K,'9店'!$B:$B,1,0)</f>
        <v>Y93230-DB+Y903231+Y93240</v>
      </c>
      <c r="T10" t="s">
        <v>3092</v>
      </c>
      <c r="U10">
        <v>3807</v>
      </c>
      <c r="V10">
        <v>50</v>
      </c>
      <c r="W10">
        <v>19</v>
      </c>
      <c r="X10">
        <v>86.93</v>
      </c>
      <c r="Y10">
        <v>7</v>
      </c>
      <c r="Z10" s="31">
        <v>0.218566662832164</v>
      </c>
      <c r="AA10" s="31">
        <v>0.14</v>
      </c>
      <c r="AB10" s="1" t="str">
        <f>VLOOKUP(T:T,'9店'!$B:$B,1,0)</f>
        <v>Y93230-OR+Y903231+Y93240</v>
      </c>
      <c r="AC10" t="s">
        <v>3078</v>
      </c>
      <c r="AD10">
        <v>2568</v>
      </c>
      <c r="AE10">
        <v>15</v>
      </c>
      <c r="AF10">
        <v>5.77</v>
      </c>
      <c r="AG10">
        <v>25.98</v>
      </c>
      <c r="AH10">
        <v>2</v>
      </c>
      <c r="AI10" s="31">
        <v>0.222093918398768</v>
      </c>
      <c r="AJ10" s="31">
        <v>0.133333333333333</v>
      </c>
      <c r="AK10" s="1" t="str">
        <f>VLOOKUP(AC:AC,'9店'!$B:$B,1,0)</f>
        <v>Y93106-DB+Y93109+Y93112</v>
      </c>
      <c r="AL10" t="s">
        <v>3078</v>
      </c>
      <c r="AM10" s="102">
        <v>77.94</v>
      </c>
      <c r="AN10" s="1">
        <f t="shared" si="0"/>
        <v>533.889</v>
      </c>
      <c r="AP10" t="s">
        <v>3135</v>
      </c>
      <c r="AQ10" s="102">
        <v>299.82</v>
      </c>
      <c r="AR10" s="1">
        <f>AQ10*$AS$1</f>
        <v>2053.767</v>
      </c>
      <c r="AT10" s="43" t="s">
        <v>3058</v>
      </c>
      <c r="AU10" s="44">
        <v>139</v>
      </c>
      <c r="AV10" s="35"/>
      <c r="AW10" s="43" t="s">
        <v>3058</v>
      </c>
      <c r="AX10" s="44">
        <v>152.9</v>
      </c>
      <c r="AZ10" s="47" t="s">
        <v>3344</v>
      </c>
      <c r="BA10" s="48">
        <v>6.462</v>
      </c>
      <c r="BB10" s="1" t="s">
        <v>430</v>
      </c>
    </row>
    <row r="11" s="1" customFormat="1" spans="2:54">
      <c r="B11" t="s">
        <v>3135</v>
      </c>
      <c r="C11">
        <v>7</v>
      </c>
      <c r="D11" s="1" t="str">
        <f>VLOOKUP(B:B,'9店'!$B:$B,1,0)</f>
        <v>Y9002-BU</v>
      </c>
      <c r="E11" t="s">
        <v>3123</v>
      </c>
      <c r="F11">
        <v>28</v>
      </c>
      <c r="G11" s="1" t="str">
        <f>VLOOKUP(E:E,'9店'!$B:$B,1,0)</f>
        <v>Y9001-PI</v>
      </c>
      <c r="H11" t="s">
        <v>3048</v>
      </c>
      <c r="I11">
        <v>14</v>
      </c>
      <c r="J11" s="1" t="str">
        <f>VLOOKUP(H:H,'9店'!$B:$B,1,0)</f>
        <v>Y9002-BU+Y9005</v>
      </c>
      <c r="K11" t="s">
        <v>3103</v>
      </c>
      <c r="L11">
        <v>192</v>
      </c>
      <c r="M11">
        <v>4</v>
      </c>
      <c r="N11">
        <v>0.45</v>
      </c>
      <c r="O11">
        <v>0</v>
      </c>
      <c r="P11">
        <v>0</v>
      </c>
      <c r="Q11" s="31">
        <v>0</v>
      </c>
      <c r="R11" s="31">
        <v>0</v>
      </c>
      <c r="S11" s="1" t="str">
        <f>VLOOKUP(K:K,'9店'!$B:$B,1,0)</f>
        <v>Y93475-GR+Y92615+Y93478</v>
      </c>
      <c r="T11" t="s">
        <v>3090</v>
      </c>
      <c r="U11">
        <v>6475</v>
      </c>
      <c r="V11">
        <v>54</v>
      </c>
      <c r="W11">
        <v>20.31</v>
      </c>
      <c r="X11">
        <v>51.96</v>
      </c>
      <c r="Y11">
        <v>4</v>
      </c>
      <c r="Z11" s="31">
        <v>0.390877598152425</v>
      </c>
      <c r="AA11" s="31">
        <v>0.0740740740740741</v>
      </c>
      <c r="AB11" s="1" t="str">
        <f>VLOOKUP(T:T,'9店'!$B:$B,1,0)</f>
        <v>Y93230-DB+Y903231+Y93240</v>
      </c>
      <c r="AC11" t="s">
        <v>3088</v>
      </c>
      <c r="AD11">
        <v>186</v>
      </c>
      <c r="AE11">
        <v>4</v>
      </c>
      <c r="AF11">
        <v>0.88</v>
      </c>
      <c r="AG11">
        <v>12.99</v>
      </c>
      <c r="AH11">
        <v>1</v>
      </c>
      <c r="AI11" s="31">
        <v>0.0677444187836798</v>
      </c>
      <c r="AJ11" s="31">
        <v>0.25</v>
      </c>
      <c r="AK11" s="1" t="str">
        <f>VLOOKUP(AC:AC,'9店'!$B:$B,1,0)</f>
        <v>Y93230-BL+Y903231+Y93240</v>
      </c>
      <c r="AL11" t="s">
        <v>3080</v>
      </c>
      <c r="AM11" s="102">
        <v>77.61</v>
      </c>
      <c r="AN11" s="1">
        <f t="shared" si="0"/>
        <v>531.6285</v>
      </c>
      <c r="AP11" t="s">
        <v>3138</v>
      </c>
      <c r="AQ11" s="102">
        <v>853.59</v>
      </c>
      <c r="AR11" s="1">
        <f>AQ11*$AS$1</f>
        <v>5847.0915</v>
      </c>
      <c r="AT11" s="43" t="s">
        <v>3060</v>
      </c>
      <c r="AU11" s="44">
        <v>69.5</v>
      </c>
      <c r="AV11" s="35"/>
      <c r="AW11" s="43" t="s">
        <v>3060</v>
      </c>
      <c r="AX11" s="44">
        <v>125.1</v>
      </c>
      <c r="AZ11" s="47" t="s">
        <v>3345</v>
      </c>
      <c r="BA11" s="48">
        <v>2.579</v>
      </c>
      <c r="BB11" s="1" t="s">
        <v>430</v>
      </c>
    </row>
    <row r="12" s="1" customFormat="1" spans="2:54">
      <c r="B12" t="s">
        <v>3154</v>
      </c>
      <c r="C12">
        <v>22</v>
      </c>
      <c r="D12" s="1" t="str">
        <f>VLOOKUP(B:B,'9店'!$B:$B,1,0)</f>
        <v>Y9005-WH</v>
      </c>
      <c r="E12" t="s">
        <v>3117</v>
      </c>
      <c r="F12">
        <v>209</v>
      </c>
      <c r="G12" s="1" t="str">
        <f>VLOOKUP(E:E,'9店'!$B:$B,1,0)</f>
        <v>Y9001-BU</v>
      </c>
      <c r="H12" t="s">
        <v>3129</v>
      </c>
      <c r="I12">
        <v>18</v>
      </c>
      <c r="J12" s="1" t="str">
        <f>VLOOKUP(H:H,'9店'!$B:$B,1,0)</f>
        <v>Y9001-WH</v>
      </c>
      <c r="K12" t="s">
        <v>3048</v>
      </c>
      <c r="L12">
        <v>1524</v>
      </c>
      <c r="M12">
        <v>13</v>
      </c>
      <c r="N12">
        <v>4.96</v>
      </c>
      <c r="O12">
        <v>0</v>
      </c>
      <c r="P12">
        <v>0</v>
      </c>
      <c r="Q12" s="31">
        <v>0</v>
      </c>
      <c r="R12" s="31">
        <v>0</v>
      </c>
      <c r="S12" s="1" t="str">
        <f>VLOOKUP(K:K,'9店'!$B:$B,1,0)</f>
        <v>Y9002-BU+Y9005</v>
      </c>
      <c r="T12" t="s">
        <v>3103</v>
      </c>
      <c r="U12">
        <v>458</v>
      </c>
      <c r="V12">
        <v>10</v>
      </c>
      <c r="W12">
        <v>1.1</v>
      </c>
      <c r="X12">
        <v>0</v>
      </c>
      <c r="Y12">
        <v>0</v>
      </c>
      <c r="Z12" s="31">
        <v>0</v>
      </c>
      <c r="AA12" s="31">
        <v>0</v>
      </c>
      <c r="AB12" s="1" t="str">
        <f>VLOOKUP(T:T,'9店'!$B:$B,1,0)</f>
        <v>Y93475-GR+Y92615+Y93478</v>
      </c>
      <c r="AC12" t="s">
        <v>3092</v>
      </c>
      <c r="AD12">
        <v>8621</v>
      </c>
      <c r="AE12">
        <v>83</v>
      </c>
      <c r="AF12">
        <v>32.03</v>
      </c>
      <c r="AG12">
        <v>138.89</v>
      </c>
      <c r="AH12">
        <v>11</v>
      </c>
      <c r="AI12" s="31">
        <v>0.230614155086759</v>
      </c>
      <c r="AJ12" s="31">
        <v>0.132530120481928</v>
      </c>
      <c r="AK12" s="1" t="str">
        <f>VLOOKUP(AC:AC,'9店'!$B:$B,1,0)</f>
        <v>Y93230-OR+Y903231+Y93240</v>
      </c>
      <c r="AL12" t="s">
        <v>3145</v>
      </c>
      <c r="AM12" s="102">
        <v>109.82</v>
      </c>
      <c r="AN12" s="1">
        <f t="shared" si="0"/>
        <v>752.267</v>
      </c>
      <c r="AP12" t="s">
        <v>3120</v>
      </c>
      <c r="AQ12" s="102">
        <v>191.32</v>
      </c>
      <c r="AR12" s="1">
        <f>AQ12*$AS$1</f>
        <v>1310.542</v>
      </c>
      <c r="AT12" s="43" t="s">
        <v>3062</v>
      </c>
      <c r="AU12" s="44">
        <v>97.3</v>
      </c>
      <c r="AV12" s="35"/>
      <c r="AW12" s="43" t="s">
        <v>3062</v>
      </c>
      <c r="AX12" s="44">
        <v>97.3</v>
      </c>
      <c r="AZ12" s="47" t="s">
        <v>3346</v>
      </c>
      <c r="BA12" s="48">
        <v>6.756</v>
      </c>
      <c r="BB12" s="1" t="s">
        <v>430</v>
      </c>
    </row>
    <row r="13" s="1" customFormat="1" spans="2:54">
      <c r="B13" t="s">
        <v>3082</v>
      </c>
      <c r="C13">
        <v>3</v>
      </c>
      <c r="D13" s="1" t="str">
        <f>VLOOKUP(B:B,'9店'!$B:$B,1,0)</f>
        <v>Y93134-BL+Y93137+Y93268</v>
      </c>
      <c r="E13" t="s">
        <v>3126</v>
      </c>
      <c r="F13">
        <v>9</v>
      </c>
      <c r="G13" s="1" t="str">
        <f>VLOOKUP(E:E,'9店'!$B:$B,1,0)</f>
        <v>Y9001-PU</v>
      </c>
      <c r="H13" t="s">
        <v>3123</v>
      </c>
      <c r="I13">
        <v>33</v>
      </c>
      <c r="J13" s="1" t="str">
        <f>VLOOKUP(H:H,'9店'!$B:$B,1,0)</f>
        <v>Y9001-PI</v>
      </c>
      <c r="K13" t="s">
        <v>3045</v>
      </c>
      <c r="L13">
        <v>12</v>
      </c>
      <c r="M13">
        <v>0</v>
      </c>
      <c r="N13">
        <v>0</v>
      </c>
      <c r="O13">
        <v>0</v>
      </c>
      <c r="P13">
        <v>0</v>
      </c>
      <c r="Q13" s="31">
        <v>0</v>
      </c>
      <c r="R13" s="31">
        <v>0</v>
      </c>
      <c r="S13" s="1" t="str">
        <f>VLOOKUP(K:K,'9店'!$B:$B,1,0)</f>
        <v>Y9025-OR+Y9026+Y9027</v>
      </c>
      <c r="T13" t="s">
        <v>3048</v>
      </c>
      <c r="U13">
        <v>3924</v>
      </c>
      <c r="V13">
        <v>31</v>
      </c>
      <c r="W13">
        <v>12.09</v>
      </c>
      <c r="X13">
        <v>12.99</v>
      </c>
      <c r="Y13">
        <v>1</v>
      </c>
      <c r="Z13" s="31">
        <v>0.930715935334873</v>
      </c>
      <c r="AA13" s="31">
        <v>0.032258064516129</v>
      </c>
      <c r="AB13" s="1" t="str">
        <f>VLOOKUP(T:T,'9店'!$B:$B,1,0)</f>
        <v>Y9002-BU+Y9005</v>
      </c>
      <c r="AC13" t="s">
        <v>3090</v>
      </c>
      <c r="AD13">
        <v>10568</v>
      </c>
      <c r="AE13">
        <v>97</v>
      </c>
      <c r="AF13">
        <v>36.94</v>
      </c>
      <c r="AG13">
        <v>142.89</v>
      </c>
      <c r="AH13">
        <v>11</v>
      </c>
      <c r="AI13" s="31">
        <v>0.258520540275737</v>
      </c>
      <c r="AJ13" s="31">
        <v>0.11340206185567</v>
      </c>
      <c r="AK13" s="1" t="str">
        <f>VLOOKUP(AC:AC,'9店'!$B:$B,1,0)</f>
        <v>Y93230-DB+Y903231+Y93240</v>
      </c>
      <c r="AL13" t="s">
        <v>3090</v>
      </c>
      <c r="AM13" s="102">
        <v>64.95</v>
      </c>
      <c r="AN13" s="1">
        <f t="shared" si="0"/>
        <v>444.9075</v>
      </c>
      <c r="AP13" t="s">
        <v>3078</v>
      </c>
      <c r="AQ13" s="102">
        <v>194.85</v>
      </c>
      <c r="AR13" s="1">
        <f>AQ13*$AS$1</f>
        <v>1334.7225</v>
      </c>
      <c r="AT13" s="43" t="s">
        <v>3064</v>
      </c>
      <c r="AU13" s="44">
        <v>83.4</v>
      </c>
      <c r="AV13" s="35"/>
      <c r="AW13" s="43" t="s">
        <v>3336</v>
      </c>
      <c r="AX13" s="44">
        <v>27.8</v>
      </c>
      <c r="AZ13" s="47" t="s">
        <v>3347</v>
      </c>
      <c r="BA13" s="48">
        <v>6</v>
      </c>
      <c r="BB13" s="1" t="s">
        <v>430</v>
      </c>
    </row>
    <row r="14" s="1" customFormat="1" spans="2:54">
      <c r="B14" t="s">
        <v>3148</v>
      </c>
      <c r="C14">
        <v>136</v>
      </c>
      <c r="D14" s="1" t="str">
        <f>VLOOKUP(B:B,'9店'!$B:$B,1,0)</f>
        <v>Y9005-BU</v>
      </c>
      <c r="E14" t="s">
        <v>3132</v>
      </c>
      <c r="F14">
        <v>78</v>
      </c>
      <c r="G14" s="1" t="str">
        <f>VLOOKUP(E:E,'9店'!$B:$B,1,0)</f>
        <v>Y9002-BL</v>
      </c>
      <c r="H14" t="s">
        <v>3117</v>
      </c>
      <c r="I14">
        <v>223</v>
      </c>
      <c r="J14" s="1" t="str">
        <f>VLOOKUP(H:H,'9店'!$B:$B,1,0)</f>
        <v>Y9001-BU</v>
      </c>
      <c r="K14" t="s">
        <v>3100</v>
      </c>
      <c r="L14">
        <v>496</v>
      </c>
      <c r="M14">
        <v>1</v>
      </c>
      <c r="N14">
        <v>0.42</v>
      </c>
      <c r="O14">
        <v>12.99</v>
      </c>
      <c r="P14">
        <v>1</v>
      </c>
      <c r="Q14" s="31">
        <v>0.0323325635103926</v>
      </c>
      <c r="R14" s="31">
        <v>1</v>
      </c>
      <c r="S14" s="1" t="str">
        <f>VLOOKUP(K:K,'9店'!$B:$B,1,0)</f>
        <v>Y9029-OR+Y9030+Y9031</v>
      </c>
      <c r="T14" t="s">
        <v>3045</v>
      </c>
      <c r="U14">
        <v>34</v>
      </c>
      <c r="V14">
        <v>0</v>
      </c>
      <c r="W14">
        <v>0</v>
      </c>
      <c r="X14">
        <v>0</v>
      </c>
      <c r="Y14">
        <v>0</v>
      </c>
      <c r="Z14" s="31">
        <v>0</v>
      </c>
      <c r="AA14" s="31">
        <v>0</v>
      </c>
      <c r="AB14" s="1" t="str">
        <f>VLOOKUP(T:T,'9店'!$B:$B,1,0)</f>
        <v>Y9025-OR+Y9026+Y9027</v>
      </c>
      <c r="AC14" t="s">
        <v>3103</v>
      </c>
      <c r="AD14">
        <v>938</v>
      </c>
      <c r="AE14">
        <v>22</v>
      </c>
      <c r="AF14">
        <v>2.21</v>
      </c>
      <c r="AG14">
        <v>0</v>
      </c>
      <c r="AH14">
        <v>0</v>
      </c>
      <c r="AI14" s="31">
        <v>0</v>
      </c>
      <c r="AJ14" s="31">
        <v>0</v>
      </c>
      <c r="AK14" s="1" t="str">
        <f>VLOOKUP(AC:AC,'9店'!$B:$B,1,0)</f>
        <v>Y93475-GR+Y92615+Y93478</v>
      </c>
      <c r="AL14" t="s">
        <v>3129</v>
      </c>
      <c r="AM14" s="102">
        <v>83.94</v>
      </c>
      <c r="AN14" s="1">
        <f t="shared" si="0"/>
        <v>574.989</v>
      </c>
      <c r="AP14" t="s">
        <v>3143</v>
      </c>
      <c r="AQ14" s="102">
        <v>193.53</v>
      </c>
      <c r="AR14" s="1">
        <f>AQ14*$AS$1</f>
        <v>1325.6805</v>
      </c>
      <c r="AT14" s="43" t="s">
        <v>3066</v>
      </c>
      <c r="AU14" s="44">
        <v>97.3</v>
      </c>
      <c r="AV14" s="35"/>
      <c r="AW14" s="43" t="s">
        <v>3064</v>
      </c>
      <c r="AX14" s="44">
        <v>97.3</v>
      </c>
      <c r="AZ14" s="47" t="s">
        <v>3348</v>
      </c>
      <c r="BA14" s="48">
        <v>6</v>
      </c>
      <c r="BB14" s="1" t="s">
        <v>430</v>
      </c>
    </row>
    <row r="15" s="1" customFormat="1" spans="2:54">
      <c r="B15" t="s">
        <v>3143</v>
      </c>
      <c r="C15">
        <v>6</v>
      </c>
      <c r="D15" s="1" t="str">
        <f>VLOOKUP(B:B,'9店'!$B:$B,1,0)</f>
        <v>Y93405-DB+Y93406+Y93397</v>
      </c>
      <c r="E15" t="s">
        <v>3138</v>
      </c>
      <c r="F15">
        <v>30</v>
      </c>
      <c r="G15" s="1" t="str">
        <f>VLOOKUP(E:E,'9店'!$B:$B,1,0)</f>
        <v>Y9003-1</v>
      </c>
      <c r="H15" t="s">
        <v>3050</v>
      </c>
      <c r="I15">
        <v>3</v>
      </c>
      <c r="J15" s="1" t="str">
        <f>VLOOKUP(H:H,'9店'!$B:$B,1,0)</f>
        <v>Y9002-DB+Y9005</v>
      </c>
      <c r="K15" t="s">
        <v>3129</v>
      </c>
      <c r="L15">
        <v>1209</v>
      </c>
      <c r="M15">
        <v>9</v>
      </c>
      <c r="N15">
        <v>3.74</v>
      </c>
      <c r="O15">
        <v>13.99</v>
      </c>
      <c r="P15">
        <v>1</v>
      </c>
      <c r="Q15" s="31">
        <v>0.267333809864189</v>
      </c>
      <c r="R15" s="31">
        <v>0.111111111111111</v>
      </c>
      <c r="S15" s="1" t="str">
        <f>VLOOKUP(K:K,'9店'!$B:$B,1,0)</f>
        <v>Y9001-WH</v>
      </c>
      <c r="T15" t="s">
        <v>3100</v>
      </c>
      <c r="U15">
        <v>1260</v>
      </c>
      <c r="V15">
        <v>7</v>
      </c>
      <c r="W15">
        <v>2.96</v>
      </c>
      <c r="X15">
        <v>12.99</v>
      </c>
      <c r="Y15">
        <v>1</v>
      </c>
      <c r="Z15" s="31">
        <v>0.227867590454196</v>
      </c>
      <c r="AA15" s="31">
        <v>0.142857142857143</v>
      </c>
      <c r="AB15" s="1" t="str">
        <f>VLOOKUP(T:T,'9店'!$B:$B,1,0)</f>
        <v>Y9029-OR+Y9030+Y9031</v>
      </c>
      <c r="AC15" t="s">
        <v>3062</v>
      </c>
      <c r="AD15">
        <v>3059</v>
      </c>
      <c r="AE15">
        <v>14</v>
      </c>
      <c r="AF15">
        <v>5.17</v>
      </c>
      <c r="AG15">
        <v>0</v>
      </c>
      <c r="AH15">
        <v>0</v>
      </c>
      <c r="AI15" s="31">
        <v>0</v>
      </c>
      <c r="AJ15" s="31">
        <v>0</v>
      </c>
      <c r="AK15" s="1" t="str">
        <f>VLOOKUP(AC:AC,'9店'!$B:$B,1,0)</f>
        <v>Y93694-OR+Y93712+Y93744</v>
      </c>
      <c r="AL15" t="s">
        <v>3092</v>
      </c>
      <c r="AM15" s="102">
        <v>51.96</v>
      </c>
      <c r="AN15" s="1">
        <f t="shared" si="0"/>
        <v>355.926</v>
      </c>
      <c r="AP15" t="s">
        <v>3076</v>
      </c>
      <c r="AQ15" s="102">
        <v>168.87</v>
      </c>
      <c r="AR15" s="1">
        <f>AQ15*$AS$1</f>
        <v>1156.7595</v>
      </c>
      <c r="AT15" s="43" t="s">
        <v>3068</v>
      </c>
      <c r="AU15" s="44">
        <v>152.9</v>
      </c>
      <c r="AV15" s="35"/>
      <c r="AW15" s="43" t="s">
        <v>3066</v>
      </c>
      <c r="AX15" s="44">
        <v>139</v>
      </c>
      <c r="AZ15" s="47" t="s">
        <v>3336</v>
      </c>
      <c r="BA15" s="48">
        <v>6.541</v>
      </c>
      <c r="BB15" s="1" t="s">
        <v>430</v>
      </c>
    </row>
    <row r="16" s="1" customFormat="1" spans="2:54">
      <c r="B16" t="s">
        <v>3145</v>
      </c>
      <c r="C16">
        <v>7</v>
      </c>
      <c r="D16" s="1" t="str">
        <f>VLOOKUP(B:B,'9店'!$B:$B,1,0)</f>
        <v>Y9005-BL</v>
      </c>
      <c r="E16" t="s">
        <v>3135</v>
      </c>
      <c r="F16">
        <v>18</v>
      </c>
      <c r="G16" s="1" t="str">
        <f>VLOOKUP(E:E,'9店'!$B:$B,1,0)</f>
        <v>Y9002-BU</v>
      </c>
      <c r="H16" t="s">
        <v>3126</v>
      </c>
      <c r="I16">
        <v>15</v>
      </c>
      <c r="J16" s="1" t="str">
        <f>VLOOKUP(H:H,'9店'!$B:$B,1,0)</f>
        <v>Y9001-PU</v>
      </c>
      <c r="K16" t="s">
        <v>3123</v>
      </c>
      <c r="L16">
        <v>17143</v>
      </c>
      <c r="M16">
        <v>46</v>
      </c>
      <c r="N16">
        <v>24.04</v>
      </c>
      <c r="O16">
        <v>62.93</v>
      </c>
      <c r="P16">
        <v>5</v>
      </c>
      <c r="Q16" s="31">
        <v>0.38201175909741</v>
      </c>
      <c r="R16" s="31">
        <v>0.108695652173913</v>
      </c>
      <c r="S16" s="1" t="str">
        <f>VLOOKUP(K:K,'9店'!$B:$B,1,0)</f>
        <v>Y9001-PI</v>
      </c>
      <c r="T16" t="s">
        <v>3129</v>
      </c>
      <c r="U16">
        <v>3375</v>
      </c>
      <c r="V16">
        <v>12</v>
      </c>
      <c r="W16">
        <v>5.44</v>
      </c>
      <c r="X16">
        <v>20.98</v>
      </c>
      <c r="Y16">
        <v>2</v>
      </c>
      <c r="Z16" s="31">
        <v>0.259294566253575</v>
      </c>
      <c r="AA16" s="31">
        <v>0.166666666666667</v>
      </c>
      <c r="AB16" s="1" t="str">
        <f>VLOOKUP(T:T,'9店'!$B:$B,1,0)</f>
        <v>Y9001-WH</v>
      </c>
      <c r="AC16" t="s">
        <v>3048</v>
      </c>
      <c r="AD16">
        <v>5983</v>
      </c>
      <c r="AE16">
        <v>58</v>
      </c>
      <c r="AF16">
        <v>22.81</v>
      </c>
      <c r="AG16">
        <v>64.95</v>
      </c>
      <c r="AH16">
        <v>5</v>
      </c>
      <c r="AI16" s="31">
        <v>0.351193225558122</v>
      </c>
      <c r="AJ16" s="31">
        <v>0.0862068965517241</v>
      </c>
      <c r="AK16" s="1" t="str">
        <f>VLOOKUP(AC:AC,'9店'!$B:$B,1,0)</f>
        <v>Y9002-BU+Y9005</v>
      </c>
      <c r="AL16" t="s">
        <v>3076</v>
      </c>
      <c r="AM16" s="102">
        <v>51.96</v>
      </c>
      <c r="AN16" s="1">
        <f t="shared" si="0"/>
        <v>355.926</v>
      </c>
      <c r="AP16" t="s">
        <v>3129</v>
      </c>
      <c r="AQ16" s="102">
        <v>166.87</v>
      </c>
      <c r="AR16" s="1">
        <f>AQ16*$AS$1</f>
        <v>1143.0595</v>
      </c>
      <c r="AT16" s="43" t="s">
        <v>3070</v>
      </c>
      <c r="AU16" s="44">
        <v>69.5</v>
      </c>
      <c r="AV16" s="35"/>
      <c r="AW16" s="43" t="s">
        <v>3068</v>
      </c>
      <c r="AX16" s="44">
        <v>152.9</v>
      </c>
      <c r="AZ16" s="47" t="s">
        <v>3048</v>
      </c>
      <c r="BA16" s="48">
        <v>6.633</v>
      </c>
      <c r="BB16" s="1" t="s">
        <v>430</v>
      </c>
    </row>
    <row r="17" s="1" customFormat="1" spans="2:54">
      <c r="B17" t="s">
        <v>3086</v>
      </c>
      <c r="C17">
        <v>1</v>
      </c>
      <c r="D17" s="1" t="str">
        <f>VLOOKUP(B:B,'9店'!$B:$B,1,0)</f>
        <v>Y93134-OR+Y93137+Y93268</v>
      </c>
      <c r="E17" t="s">
        <v>3151</v>
      </c>
      <c r="F17">
        <v>126</v>
      </c>
      <c r="G17" s="1" t="str">
        <f>VLOOKUP(E:E,'9店'!$B:$B,1,0)</f>
        <v>Y9005-PI</v>
      </c>
      <c r="H17" t="s">
        <v>3120</v>
      </c>
      <c r="I17">
        <v>63</v>
      </c>
      <c r="J17" s="1" t="str">
        <f>VLOOKUP(H:H,'9店'!$B:$B,1,0)</f>
        <v>Y9001-GR</v>
      </c>
      <c r="K17" t="s">
        <v>3117</v>
      </c>
      <c r="L17">
        <v>99825</v>
      </c>
      <c r="M17">
        <v>314</v>
      </c>
      <c r="N17">
        <v>175.56</v>
      </c>
      <c r="O17">
        <v>1122.53</v>
      </c>
      <c r="P17">
        <v>73</v>
      </c>
      <c r="Q17" s="31">
        <v>0.156396711001042</v>
      </c>
      <c r="R17" s="31">
        <v>0.232484076433121</v>
      </c>
      <c r="S17" s="1" t="str">
        <f>VLOOKUP(K:K,'9店'!$B:$B,1,0)</f>
        <v>Y9001-BU</v>
      </c>
      <c r="T17" t="s">
        <v>3123</v>
      </c>
      <c r="U17">
        <v>26043</v>
      </c>
      <c r="V17">
        <v>61</v>
      </c>
      <c r="W17">
        <v>31.79</v>
      </c>
      <c r="X17">
        <v>84.91</v>
      </c>
      <c r="Y17">
        <v>7</v>
      </c>
      <c r="Z17" s="31">
        <v>0.374396419738547</v>
      </c>
      <c r="AA17" s="31">
        <v>0.114754098360656</v>
      </c>
      <c r="AB17" s="1" t="str">
        <f>VLOOKUP(T:T,'9店'!$B:$B,1,0)</f>
        <v>Y9001-PI</v>
      </c>
      <c r="AC17" t="s">
        <v>3045</v>
      </c>
      <c r="AD17">
        <v>69</v>
      </c>
      <c r="AE17">
        <v>0</v>
      </c>
      <c r="AF17">
        <v>0</v>
      </c>
      <c r="AG17">
        <v>0</v>
      </c>
      <c r="AH17">
        <v>0</v>
      </c>
      <c r="AI17" s="31">
        <v>0</v>
      </c>
      <c r="AJ17" s="31">
        <v>0</v>
      </c>
      <c r="AK17" s="1" t="str">
        <f>VLOOKUP(AC:AC,'9店'!$B:$B,1,0)</f>
        <v>Y9025-OR+Y9026+Y9027</v>
      </c>
      <c r="AL17" t="s">
        <v>3138</v>
      </c>
      <c r="AM17" s="102">
        <v>131.85</v>
      </c>
      <c r="AN17" s="1">
        <f t="shared" si="0"/>
        <v>903.1725</v>
      </c>
      <c r="AP17" t="s">
        <v>3080</v>
      </c>
      <c r="AQ17" s="102">
        <v>127.57</v>
      </c>
      <c r="AR17" s="1">
        <f>AQ17*$AS$1</f>
        <v>873.8545</v>
      </c>
      <c r="AT17" s="45" t="s">
        <v>3072</v>
      </c>
      <c r="AU17" s="44">
        <v>111.2</v>
      </c>
      <c r="AV17" s="35"/>
      <c r="AW17" s="43" t="s">
        <v>3070</v>
      </c>
      <c r="AX17" s="44">
        <v>69.5</v>
      </c>
      <c r="AZ17" s="47" t="s">
        <v>3050</v>
      </c>
      <c r="BA17" s="48">
        <v>6.599</v>
      </c>
      <c r="BB17" s="1" t="s">
        <v>430</v>
      </c>
    </row>
    <row r="18" s="1" customFormat="1" spans="2:54">
      <c r="B18" t="s">
        <v>3123</v>
      </c>
      <c r="C18">
        <v>22</v>
      </c>
      <c r="D18" s="1" t="str">
        <f>VLOOKUP(B:B,'9店'!$B:$B,1,0)</f>
        <v>Y9001-PI</v>
      </c>
      <c r="E18" t="s">
        <v>3148</v>
      </c>
      <c r="F18">
        <v>160</v>
      </c>
      <c r="G18" s="1" t="str">
        <f>VLOOKUP(E:E,'9店'!$B:$B,1,0)</f>
        <v>Y9005-BU</v>
      </c>
      <c r="H18" t="s">
        <v>3132</v>
      </c>
      <c r="I18">
        <v>103</v>
      </c>
      <c r="J18" s="1" t="str">
        <f>VLOOKUP(H:H,'9店'!$B:$B,1,0)</f>
        <v>Y9002-BL</v>
      </c>
      <c r="K18" t="s">
        <v>3054</v>
      </c>
      <c r="L18">
        <v>3137</v>
      </c>
      <c r="M18">
        <v>22</v>
      </c>
      <c r="N18">
        <v>6.93</v>
      </c>
      <c r="O18">
        <v>18.99</v>
      </c>
      <c r="P18">
        <v>1</v>
      </c>
      <c r="Q18" s="31">
        <v>0.364928909952607</v>
      </c>
      <c r="R18" s="31">
        <v>0.0454545454545455</v>
      </c>
      <c r="S18" s="1" t="str">
        <f>VLOOKUP(K:K,'9店'!$B:$B,1,0)</f>
        <v>Y92611-DB+Y92614+Y92635</v>
      </c>
      <c r="T18" t="s">
        <v>3117</v>
      </c>
      <c r="U18">
        <v>146789</v>
      </c>
      <c r="V18">
        <v>403</v>
      </c>
      <c r="W18">
        <v>230.1</v>
      </c>
      <c r="X18">
        <v>1436.13</v>
      </c>
      <c r="Y18">
        <v>100</v>
      </c>
      <c r="Z18" s="31">
        <v>0.16022226400117</v>
      </c>
      <c r="AA18" s="31">
        <v>0.248138957816377</v>
      </c>
      <c r="AB18" s="1" t="str">
        <f>VLOOKUP(T:T,'9店'!$B:$B,1,0)</f>
        <v>Y9001-BU</v>
      </c>
      <c r="AC18" t="s">
        <v>3100</v>
      </c>
      <c r="AD18">
        <v>2423</v>
      </c>
      <c r="AE18">
        <v>14</v>
      </c>
      <c r="AF18">
        <v>5.71</v>
      </c>
      <c r="AG18">
        <v>25.98</v>
      </c>
      <c r="AH18">
        <v>2</v>
      </c>
      <c r="AI18" s="31">
        <v>0.219784449576597</v>
      </c>
      <c r="AJ18" s="31">
        <v>0.142857142857143</v>
      </c>
      <c r="AK18" s="1" t="str">
        <f>VLOOKUP(AC:AC,'9店'!$B:$B,1,0)</f>
        <v>Y9029-OR+Y9030+Y9031</v>
      </c>
      <c r="AL18" t="s">
        <v>3215</v>
      </c>
      <c r="AM18" s="102">
        <v>51.96</v>
      </c>
      <c r="AN18" s="1">
        <f t="shared" si="0"/>
        <v>355.926</v>
      </c>
      <c r="AP18" t="s">
        <v>3252</v>
      </c>
      <c r="AQ18" s="102">
        <v>402.4</v>
      </c>
      <c r="AR18" s="1">
        <f>AQ18*$AS$1</f>
        <v>2756.44</v>
      </c>
      <c r="AT18" s="45" t="s">
        <v>3074</v>
      </c>
      <c r="AU18" s="44">
        <v>208.5</v>
      </c>
      <c r="AV18" s="35"/>
      <c r="AW18" s="43" t="s">
        <v>3072</v>
      </c>
      <c r="AX18" s="44">
        <v>111.2</v>
      </c>
      <c r="AZ18" s="47" t="s">
        <v>3052</v>
      </c>
      <c r="BA18" s="48">
        <v>6.521</v>
      </c>
      <c r="BB18" s="1" t="s">
        <v>430</v>
      </c>
    </row>
    <row r="19" s="1" customFormat="1" spans="2:54">
      <c r="B19" t="s">
        <v>3126</v>
      </c>
      <c r="C19">
        <v>3</v>
      </c>
      <c r="D19" s="1" t="str">
        <f>VLOOKUP(B:B,'9店'!$B:$B,1,0)</f>
        <v>Y9001-PU</v>
      </c>
      <c r="E19" t="s">
        <v>3143</v>
      </c>
      <c r="F19">
        <v>15</v>
      </c>
      <c r="G19" s="1" t="str">
        <f>VLOOKUP(E:E,'9店'!$B:$B,1,0)</f>
        <v>Y93405-DB+Y93406+Y93397</v>
      </c>
      <c r="H19" t="s">
        <v>3138</v>
      </c>
      <c r="I19">
        <v>42</v>
      </c>
      <c r="J19" s="1" t="str">
        <f>VLOOKUP(H:H,'9店'!$B:$B,1,0)</f>
        <v>Y9003-1</v>
      </c>
      <c r="K19" t="s">
        <v>3126</v>
      </c>
      <c r="L19">
        <v>2219</v>
      </c>
      <c r="M19">
        <v>14</v>
      </c>
      <c r="N19">
        <v>6.16</v>
      </c>
      <c r="O19">
        <v>27.96</v>
      </c>
      <c r="P19">
        <v>4</v>
      </c>
      <c r="Q19" s="31">
        <v>0.220314735336195</v>
      </c>
      <c r="R19" s="31">
        <v>0.285714285714286</v>
      </c>
      <c r="S19" s="1" t="str">
        <f>VLOOKUP(K:K,'9店'!$B:$B,1,0)</f>
        <v>Y9001-PU</v>
      </c>
      <c r="T19" t="s">
        <v>3054</v>
      </c>
      <c r="U19">
        <v>5532</v>
      </c>
      <c r="V19">
        <v>44</v>
      </c>
      <c r="W19">
        <v>14.22</v>
      </c>
      <c r="X19">
        <v>31.98</v>
      </c>
      <c r="Y19">
        <v>2</v>
      </c>
      <c r="Z19" s="31">
        <v>0.444652908067542</v>
      </c>
      <c r="AA19" s="31">
        <v>0.0454545454545455</v>
      </c>
      <c r="AB19" s="1" t="str">
        <f>VLOOKUP(T:T,'9店'!$B:$B,1,0)</f>
        <v>Y92611-DB+Y92614+Y92635</v>
      </c>
      <c r="AC19" t="s">
        <v>3129</v>
      </c>
      <c r="AD19">
        <v>5912</v>
      </c>
      <c r="AE19">
        <v>28</v>
      </c>
      <c r="AF19">
        <v>13.14</v>
      </c>
      <c r="AG19">
        <v>37.96</v>
      </c>
      <c r="AH19">
        <v>4</v>
      </c>
      <c r="AI19" s="31">
        <v>0.346153846153846</v>
      </c>
      <c r="AJ19" s="31">
        <v>0.142857142857143</v>
      </c>
      <c r="AK19" s="1" t="str">
        <f>VLOOKUP(AC:AC,'9店'!$B:$B,1,0)</f>
        <v>Y9001-WH</v>
      </c>
      <c r="AL19" t="s">
        <v>3252</v>
      </c>
      <c r="AM19" s="102">
        <v>149.97</v>
      </c>
      <c r="AN19" s="1">
        <f t="shared" si="0"/>
        <v>1027.2945</v>
      </c>
      <c r="AP19" t="s">
        <v>3056</v>
      </c>
      <c r="AQ19" s="102">
        <v>114.91</v>
      </c>
      <c r="AR19" s="1">
        <f>AQ19*$AS$1</f>
        <v>787.1335</v>
      </c>
      <c r="AT19" s="45" t="s">
        <v>3076</v>
      </c>
      <c r="AU19" s="44">
        <v>333.6</v>
      </c>
      <c r="AV19" s="35"/>
      <c r="AW19" s="43" t="s">
        <v>3074</v>
      </c>
      <c r="AX19" s="44">
        <v>208.5</v>
      </c>
      <c r="AZ19" s="47" t="s">
        <v>3064</v>
      </c>
      <c r="BA19" s="48">
        <v>6.449</v>
      </c>
      <c r="BB19" s="1" t="s">
        <v>430</v>
      </c>
    </row>
    <row r="20" s="1" customFormat="1" spans="2:54">
      <c r="B20" t="s">
        <v>3084</v>
      </c>
      <c r="C20">
        <v>4</v>
      </c>
      <c r="D20" s="1" t="str">
        <f>VLOOKUP(B:B,'9店'!$B:$B,1,0)</f>
        <v>Y93134-DB+Y93137+Y93268</v>
      </c>
      <c r="E20" t="s">
        <v>3154</v>
      </c>
      <c r="F20">
        <v>36</v>
      </c>
      <c r="G20" s="1" t="str">
        <f>VLOOKUP(E:E,'9店'!$B:$B,1,0)</f>
        <v>Y9005-WH</v>
      </c>
      <c r="H20" t="s">
        <v>3135</v>
      </c>
      <c r="I20">
        <v>20</v>
      </c>
      <c r="J20" s="1" t="str">
        <f>VLOOKUP(H:H,'9店'!$B:$B,1,0)</f>
        <v>Y9002-BU</v>
      </c>
      <c r="K20" t="s">
        <v>3120</v>
      </c>
      <c r="L20">
        <v>123</v>
      </c>
      <c r="M20">
        <v>4</v>
      </c>
      <c r="N20">
        <v>0.81</v>
      </c>
      <c r="O20">
        <v>0</v>
      </c>
      <c r="P20">
        <v>0</v>
      </c>
      <c r="Q20" s="31">
        <v>0</v>
      </c>
      <c r="R20" s="31">
        <v>0</v>
      </c>
      <c r="S20" s="1" t="str">
        <f>VLOOKUP(K:K,'9店'!$B:$B,1,0)</f>
        <v>Y9001-GR</v>
      </c>
      <c r="T20" t="s">
        <v>3126</v>
      </c>
      <c r="U20">
        <v>4772</v>
      </c>
      <c r="V20">
        <v>35</v>
      </c>
      <c r="W20">
        <v>17.13</v>
      </c>
      <c r="X20">
        <v>69.92</v>
      </c>
      <c r="Y20">
        <v>7</v>
      </c>
      <c r="Z20" s="31">
        <v>0.244994279176201</v>
      </c>
      <c r="AA20" s="31">
        <v>0.2</v>
      </c>
      <c r="AB20" s="1" t="str">
        <f>VLOOKUP(T:T,'9店'!$B:$B,1,0)</f>
        <v>Y9001-PU</v>
      </c>
      <c r="AC20" t="s">
        <v>3123</v>
      </c>
      <c r="AD20">
        <v>30868</v>
      </c>
      <c r="AE20">
        <v>81</v>
      </c>
      <c r="AF20">
        <v>41.82</v>
      </c>
      <c r="AG20">
        <v>126.88</v>
      </c>
      <c r="AH20">
        <v>10</v>
      </c>
      <c r="AI20" s="31">
        <v>0.329602774274905</v>
      </c>
      <c r="AJ20" s="31">
        <v>0.123456790123457</v>
      </c>
      <c r="AK20" s="1" t="str">
        <f>VLOOKUP(AC:AC,'9店'!$B:$B,1,0)</f>
        <v>Y9001-PI</v>
      </c>
      <c r="AL20" t="s">
        <v>3333</v>
      </c>
      <c r="AM20" s="102">
        <v>194.93</v>
      </c>
      <c r="AN20" s="1">
        <f t="shared" si="0"/>
        <v>1335.2705</v>
      </c>
      <c r="AP20" t="s">
        <v>3086</v>
      </c>
      <c r="AQ20" s="102">
        <v>112.91</v>
      </c>
      <c r="AR20" s="1">
        <f>AQ20*$AS$1</f>
        <v>773.4335</v>
      </c>
      <c r="AT20" s="45" t="s">
        <v>3078</v>
      </c>
      <c r="AU20" s="44">
        <v>319.7</v>
      </c>
      <c r="AV20" s="35"/>
      <c r="AW20" s="43" t="s">
        <v>3076</v>
      </c>
      <c r="AX20" s="44">
        <v>417</v>
      </c>
      <c r="AZ20" s="47" t="s">
        <v>3066</v>
      </c>
      <c r="BA20" s="48">
        <v>6.462</v>
      </c>
      <c r="BB20" s="1" t="s">
        <v>430</v>
      </c>
    </row>
    <row r="21" s="1" customFormat="1" spans="2:54">
      <c r="B21" t="s">
        <v>3213</v>
      </c>
      <c r="C21">
        <v>2</v>
      </c>
      <c r="D21" s="1" t="str">
        <f>VLOOKUP(B:B,'9店'!$B:$B,1,0)</f>
        <v>Y93452-DB-ZH</v>
      </c>
      <c r="E21" t="s">
        <v>3141</v>
      </c>
      <c r="F21">
        <v>3</v>
      </c>
      <c r="G21" s="1" t="str">
        <f>VLOOKUP(E:E,'9店'!$B:$B,1,0)</f>
        <v>Y93405-BL+Y93406+Y93397</v>
      </c>
      <c r="H21" t="s">
        <v>3151</v>
      </c>
      <c r="I21">
        <v>224</v>
      </c>
      <c r="J21" s="1" t="str">
        <f>VLOOKUP(H:H,'9店'!$B:$B,1,0)</f>
        <v>Y9005-PI</v>
      </c>
      <c r="K21" t="s">
        <v>3143</v>
      </c>
      <c r="L21">
        <v>1622</v>
      </c>
      <c r="M21">
        <v>19</v>
      </c>
      <c r="N21">
        <v>6.9</v>
      </c>
      <c r="O21">
        <v>38.97</v>
      </c>
      <c r="P21">
        <v>3</v>
      </c>
      <c r="Q21" s="31">
        <v>0.177059276366436</v>
      </c>
      <c r="R21" s="31">
        <v>0.157894736842105</v>
      </c>
      <c r="S21" s="1" t="str">
        <f>VLOOKUP(K:K,'9店'!$B:$B,1,0)</f>
        <v>Y93405-DB+Y93406+Y93397</v>
      </c>
      <c r="T21" t="s">
        <v>3120</v>
      </c>
      <c r="U21">
        <v>10023</v>
      </c>
      <c r="V21">
        <v>13</v>
      </c>
      <c r="W21">
        <v>3.03</v>
      </c>
      <c r="X21">
        <v>8.49</v>
      </c>
      <c r="Y21">
        <v>1</v>
      </c>
      <c r="Z21" s="31">
        <v>0.356890459363958</v>
      </c>
      <c r="AA21" s="31">
        <v>0.0769230769230769</v>
      </c>
      <c r="AB21" s="1" t="str">
        <f>VLOOKUP(T:T,'9店'!$B:$B,1,0)</f>
        <v>Y9001-GR</v>
      </c>
      <c r="AC21" t="s">
        <v>3117</v>
      </c>
      <c r="AD21">
        <v>176081</v>
      </c>
      <c r="AE21">
        <v>459</v>
      </c>
      <c r="AF21">
        <v>267</v>
      </c>
      <c r="AG21">
        <v>1590.5</v>
      </c>
      <c r="AH21">
        <v>112</v>
      </c>
      <c r="AI21" s="31">
        <v>0.167871738447029</v>
      </c>
      <c r="AJ21" s="31">
        <v>0.24400871459695</v>
      </c>
      <c r="AK21" s="1" t="str">
        <f>VLOOKUP(AC:AC,'9店'!$B:$B,1,0)</f>
        <v>Y9001-BU</v>
      </c>
      <c r="AL21" t="s">
        <v>3201</v>
      </c>
      <c r="AM21" s="102">
        <v>38.97</v>
      </c>
      <c r="AN21" s="1">
        <f>AM21*$AS$1</f>
        <v>266.9445</v>
      </c>
      <c r="AP21" t="s">
        <v>3126</v>
      </c>
      <c r="AQ21" s="102">
        <v>116.91</v>
      </c>
      <c r="AR21" s="1">
        <f>AQ21*$AS$1</f>
        <v>800.8335</v>
      </c>
      <c r="AT21" s="45" t="s">
        <v>3080</v>
      </c>
      <c r="AU21" s="44">
        <v>250.2</v>
      </c>
      <c r="AV21" s="35"/>
      <c r="AW21" s="43" t="s">
        <v>3078</v>
      </c>
      <c r="AX21" s="44">
        <v>444.8</v>
      </c>
      <c r="AZ21" s="47" t="s">
        <v>3068</v>
      </c>
      <c r="BA21" s="48">
        <v>6.406</v>
      </c>
      <c r="BB21" s="1" t="s">
        <v>430</v>
      </c>
    </row>
    <row r="22" s="1" customFormat="1" spans="2:54">
      <c r="B22" t="s">
        <v>3048</v>
      </c>
      <c r="C22">
        <v>1</v>
      </c>
      <c r="D22" s="1" t="str">
        <f>VLOOKUP(B:B,'9店'!$B:$B,1,0)</f>
        <v>Y9002-BU+Y9005</v>
      </c>
      <c r="E22" t="s">
        <v>3082</v>
      </c>
      <c r="F22">
        <v>9</v>
      </c>
      <c r="G22" s="1" t="str">
        <f>VLOOKUP(E:E,'9店'!$B:$B,1,0)</f>
        <v>Y93134-BL+Y93137+Y93268</v>
      </c>
      <c r="H22" t="s">
        <v>3148</v>
      </c>
      <c r="I22">
        <v>165</v>
      </c>
      <c r="J22" s="1" t="str">
        <f>VLOOKUP(H:H,'9店'!$B:$B,1,0)</f>
        <v>Y9005-BU</v>
      </c>
      <c r="K22" t="s">
        <v>3135</v>
      </c>
      <c r="L22">
        <v>1128</v>
      </c>
      <c r="M22">
        <v>5</v>
      </c>
      <c r="N22">
        <v>2.55</v>
      </c>
      <c r="O22">
        <v>0</v>
      </c>
      <c r="P22">
        <v>0</v>
      </c>
      <c r="Q22" s="31">
        <v>0</v>
      </c>
      <c r="R22" s="31">
        <v>0</v>
      </c>
      <c r="S22" s="1" t="str">
        <f>VLOOKUP(K:K,'9店'!$B:$B,1,0)</f>
        <v>Y9002-BU</v>
      </c>
      <c r="T22" t="s">
        <v>3143</v>
      </c>
      <c r="U22">
        <v>4695</v>
      </c>
      <c r="V22">
        <v>49</v>
      </c>
      <c r="W22">
        <v>17.47</v>
      </c>
      <c r="X22">
        <v>75.28</v>
      </c>
      <c r="Y22">
        <v>6</v>
      </c>
      <c r="Z22" s="31">
        <v>0.232066950053135</v>
      </c>
      <c r="AA22" s="31">
        <v>0.122448979591837</v>
      </c>
      <c r="AB22" s="1" t="str">
        <f>VLOOKUP(T:T,'9店'!$B:$B,1,0)</f>
        <v>Y93405-DB+Y93406+Y93397</v>
      </c>
      <c r="AC22" t="s">
        <v>3054</v>
      </c>
      <c r="AD22">
        <v>10336</v>
      </c>
      <c r="AE22">
        <v>83</v>
      </c>
      <c r="AF22">
        <v>28.15</v>
      </c>
      <c r="AG22">
        <v>96.93</v>
      </c>
      <c r="AH22">
        <v>7</v>
      </c>
      <c r="AI22" s="31">
        <v>0.290415763953368</v>
      </c>
      <c r="AJ22" s="31">
        <v>0.0843373493975904</v>
      </c>
      <c r="AK22" s="1" t="str">
        <f>VLOOKUP(AC:AC,'9店'!$B:$B,1,0)</f>
        <v>Y92611-DB+Y92614+Y92635</v>
      </c>
      <c r="AL22" t="s">
        <v>3084</v>
      </c>
      <c r="AM22" s="102">
        <v>51.96</v>
      </c>
      <c r="AN22" s="1">
        <f>AM22*$AS$1</f>
        <v>355.926</v>
      </c>
      <c r="AP22" t="s">
        <v>3090</v>
      </c>
      <c r="AQ22" s="102">
        <v>99.92</v>
      </c>
      <c r="AR22" s="1">
        <f>AQ22*$AS$1</f>
        <v>684.452</v>
      </c>
      <c r="AT22" s="45" t="s">
        <v>3082</v>
      </c>
      <c r="AU22" s="44">
        <v>278</v>
      </c>
      <c r="AV22" s="35"/>
      <c r="AW22" s="43" t="s">
        <v>3080</v>
      </c>
      <c r="AX22" s="44">
        <v>333.6</v>
      </c>
      <c r="AZ22" s="47" t="s">
        <v>3349</v>
      </c>
      <c r="BA22" s="48">
        <v>5.68</v>
      </c>
      <c r="BB22" s="1" t="s">
        <v>430</v>
      </c>
    </row>
    <row r="23" s="1" customFormat="1" spans="2:54">
      <c r="B23" t="s">
        <v>3088</v>
      </c>
      <c r="C23">
        <v>3</v>
      </c>
      <c r="D23" s="1" t="str">
        <f>VLOOKUP(B:B,'9店'!$B:$B,1,0)</f>
        <v>Y93230-BL+Y903231+Y93240</v>
      </c>
      <c r="E23" t="s">
        <v>3048</v>
      </c>
      <c r="F23">
        <v>5</v>
      </c>
      <c r="G23" s="1" t="str">
        <f>VLOOKUP(E:E,'9店'!$B:$B,1,0)</f>
        <v>Y9002-BU+Y9005</v>
      </c>
      <c r="H23" t="s">
        <v>3143</v>
      </c>
      <c r="I23">
        <v>30</v>
      </c>
      <c r="J23" s="1" t="str">
        <f>VLOOKUP(H:H,'9店'!$B:$B,1,0)</f>
        <v>Y93405-DB+Y93406+Y93397</v>
      </c>
      <c r="K23" t="s">
        <v>3132</v>
      </c>
      <c r="L23">
        <v>10390</v>
      </c>
      <c r="M23">
        <v>43</v>
      </c>
      <c r="N23">
        <v>23.72</v>
      </c>
      <c r="O23">
        <v>17.99</v>
      </c>
      <c r="P23">
        <v>1</v>
      </c>
      <c r="Q23" s="31">
        <v>1.31851028349083</v>
      </c>
      <c r="R23" s="31">
        <v>0.0232558139534884</v>
      </c>
      <c r="S23" s="1" t="str">
        <f>VLOOKUP(K:K,'9店'!$B:$B,1,0)</f>
        <v>Y9002-BL</v>
      </c>
      <c r="T23" t="s">
        <v>3135</v>
      </c>
      <c r="U23">
        <v>3018</v>
      </c>
      <c r="V23">
        <v>23</v>
      </c>
      <c r="W23">
        <v>10.41</v>
      </c>
      <c r="X23">
        <v>30.58</v>
      </c>
      <c r="Y23">
        <v>2</v>
      </c>
      <c r="Z23" s="31">
        <v>0.340418574231524</v>
      </c>
      <c r="AA23" s="31">
        <v>0.0869565217391304</v>
      </c>
      <c r="AB23" s="1" t="str">
        <f>VLOOKUP(T:T,'9店'!$B:$B,1,0)</f>
        <v>Y9002-BU</v>
      </c>
      <c r="AC23" t="s">
        <v>3126</v>
      </c>
      <c r="AD23">
        <v>10381</v>
      </c>
      <c r="AE23">
        <v>77</v>
      </c>
      <c r="AF23">
        <v>37.77</v>
      </c>
      <c r="AG23">
        <v>156.83</v>
      </c>
      <c r="AH23">
        <v>13</v>
      </c>
      <c r="AI23" s="31">
        <v>0.240834024102531</v>
      </c>
      <c r="AJ23" s="31">
        <v>0.168831168831169</v>
      </c>
      <c r="AK23" s="1" t="str">
        <f>VLOOKUP(AC:AC,'9店'!$B:$B,1,0)</f>
        <v>Y9001-PU</v>
      </c>
      <c r="AL23" t="s">
        <v>3082</v>
      </c>
      <c r="AM23" s="102">
        <v>38.97</v>
      </c>
      <c r="AN23" s="1">
        <f>AM23*$AS$1</f>
        <v>266.9445</v>
      </c>
      <c r="AP23" t="s">
        <v>3084</v>
      </c>
      <c r="AQ23" s="102">
        <v>131.57</v>
      </c>
      <c r="AR23" s="1">
        <f>AQ23*$AS$1</f>
        <v>901.2545</v>
      </c>
      <c r="AT23" s="45" t="s">
        <v>3084</v>
      </c>
      <c r="AU23" s="44">
        <v>222.4</v>
      </c>
      <c r="AV23" s="35"/>
      <c r="AW23" s="43" t="s">
        <v>3082</v>
      </c>
      <c r="AX23" s="44">
        <v>347.5</v>
      </c>
      <c r="AZ23" s="47" t="s">
        <v>3197</v>
      </c>
      <c r="BA23" s="48">
        <v>6.643</v>
      </c>
      <c r="BB23" s="1" t="s">
        <v>430</v>
      </c>
    </row>
    <row r="24" s="1" customFormat="1" spans="2:54">
      <c r="B24" t="s">
        <v>3215</v>
      </c>
      <c r="C24">
        <v>4</v>
      </c>
      <c r="D24" s="1" t="str">
        <f>VLOOKUP(B:B,'9店'!$B:$B,1,0)</f>
        <v>Y93452-OR-ZH</v>
      </c>
      <c r="E24" t="s">
        <v>3120</v>
      </c>
      <c r="F24">
        <v>18</v>
      </c>
      <c r="G24" s="1" t="str">
        <f>VLOOKUP(E:E,'9店'!$B:$B,1,0)</f>
        <v>Y9001-GR</v>
      </c>
      <c r="H24" t="s">
        <v>3154</v>
      </c>
      <c r="I24">
        <v>52</v>
      </c>
      <c r="J24" s="1" t="str">
        <f>VLOOKUP(H:H,'9店'!$B:$B,1,0)</f>
        <v>Y9005-WH</v>
      </c>
      <c r="K24" t="s">
        <v>3138</v>
      </c>
      <c r="L24">
        <v>2454</v>
      </c>
      <c r="M24">
        <v>6</v>
      </c>
      <c r="N24">
        <v>3.71</v>
      </c>
      <c r="O24">
        <v>0</v>
      </c>
      <c r="P24">
        <v>0</v>
      </c>
      <c r="Q24" s="31">
        <v>0</v>
      </c>
      <c r="R24" s="31">
        <v>0</v>
      </c>
      <c r="S24" s="1" t="str">
        <f>VLOOKUP(K:K,'9店'!$B:$B,1,0)</f>
        <v>Y9003-1</v>
      </c>
      <c r="T24" t="s">
        <v>3132</v>
      </c>
      <c r="U24">
        <v>98982</v>
      </c>
      <c r="V24">
        <v>243</v>
      </c>
      <c r="W24">
        <v>126.64</v>
      </c>
      <c r="X24">
        <v>444.46</v>
      </c>
      <c r="Y24">
        <v>33</v>
      </c>
      <c r="Z24" s="31">
        <v>0.284930027449039</v>
      </c>
      <c r="AA24" s="31">
        <v>0.135802469135802</v>
      </c>
      <c r="AB24" s="1" t="str">
        <f>VLOOKUP(T:T,'9店'!$B:$B,1,0)</f>
        <v>Y9002-BL</v>
      </c>
      <c r="AC24" t="s">
        <v>3120</v>
      </c>
      <c r="AD24">
        <v>17493</v>
      </c>
      <c r="AE24">
        <v>27</v>
      </c>
      <c r="AF24">
        <v>6.17</v>
      </c>
      <c r="AG24">
        <v>39.46</v>
      </c>
      <c r="AH24">
        <v>4</v>
      </c>
      <c r="AI24" s="31">
        <v>0.15636087176888</v>
      </c>
      <c r="AJ24" s="31">
        <v>0.148148148148148</v>
      </c>
      <c r="AK24" s="1" t="str">
        <f>VLOOKUP(AC:AC,'9店'!$B:$B,1,0)</f>
        <v>Y9001-GR</v>
      </c>
      <c r="AL24" t="s">
        <v>3126</v>
      </c>
      <c r="AM24" s="102">
        <v>41.97</v>
      </c>
      <c r="AN24" s="1">
        <f>AM24*$AS$1</f>
        <v>287.4945</v>
      </c>
      <c r="AP24" t="s">
        <v>3082</v>
      </c>
      <c r="AQ24" s="102">
        <v>120.91</v>
      </c>
      <c r="AR24" s="1">
        <f>AQ24*$AS$1</f>
        <v>828.2335</v>
      </c>
      <c r="AT24" s="45" t="s">
        <v>3086</v>
      </c>
      <c r="AU24" s="44">
        <v>180.7</v>
      </c>
      <c r="AV24" s="35"/>
      <c r="AW24" s="43" t="s">
        <v>3084</v>
      </c>
      <c r="AX24" s="44">
        <v>166.8</v>
      </c>
      <c r="AZ24" s="47" t="s">
        <v>3199</v>
      </c>
      <c r="BA24" s="48">
        <v>6.643</v>
      </c>
      <c r="BB24" s="1" t="s">
        <v>430</v>
      </c>
    </row>
    <row r="25" s="1" customFormat="1" spans="2:54">
      <c r="B25" t="s">
        <v>3141</v>
      </c>
      <c r="C25">
        <v>1</v>
      </c>
      <c r="D25" s="1" t="str">
        <f>VLOOKUP(B:B,'9店'!$B:$B,1,0)</f>
        <v>Y93405-BL+Y93406+Y93397</v>
      </c>
      <c r="E25" t="s">
        <v>3084</v>
      </c>
      <c r="F25">
        <v>10</v>
      </c>
      <c r="G25" s="1" t="str">
        <f>VLOOKUP(E:E,'9店'!$B:$B,1,0)</f>
        <v>Y93134-DB+Y93137+Y93268</v>
      </c>
      <c r="H25" t="s">
        <v>3108</v>
      </c>
      <c r="I25">
        <v>5</v>
      </c>
      <c r="J25" s="1" t="str">
        <f>VLOOKUP(H:H,'9店'!$B:$B,1,0)</f>
        <v>Y93758-BU+Y93759+Y93761</v>
      </c>
      <c r="K25" t="s">
        <v>3066</v>
      </c>
      <c r="L25">
        <v>781</v>
      </c>
      <c r="M25">
        <v>8</v>
      </c>
      <c r="N25">
        <v>4.22</v>
      </c>
      <c r="O25">
        <v>12.99</v>
      </c>
      <c r="P25">
        <v>1</v>
      </c>
      <c r="Q25" s="31">
        <v>0.324865280985373</v>
      </c>
      <c r="R25" s="31">
        <v>0.125</v>
      </c>
      <c r="S25" s="1" t="str">
        <f>VLOOKUP(K:K,'9店'!$B:$B,1,0)</f>
        <v>Y9003-BU+Y9006+Y9008</v>
      </c>
      <c r="T25" t="s">
        <v>3138</v>
      </c>
      <c r="U25">
        <v>5119</v>
      </c>
      <c r="V25">
        <v>23</v>
      </c>
      <c r="W25">
        <v>13.61</v>
      </c>
      <c r="X25">
        <v>24.99</v>
      </c>
      <c r="Y25">
        <v>1</v>
      </c>
      <c r="Z25" s="31">
        <v>0.544617847138856</v>
      </c>
      <c r="AA25" s="31">
        <v>0.0434782608695652</v>
      </c>
      <c r="AB25" s="1" t="str">
        <f>VLOOKUP(T:T,'9店'!$B:$B,1,0)</f>
        <v>Y9003-1</v>
      </c>
      <c r="AC25" t="s">
        <v>3141</v>
      </c>
      <c r="AD25">
        <v>2756</v>
      </c>
      <c r="AE25">
        <v>10</v>
      </c>
      <c r="AF25">
        <v>3.92</v>
      </c>
      <c r="AG25">
        <v>0</v>
      </c>
      <c r="AH25">
        <v>0</v>
      </c>
      <c r="AI25" s="31">
        <v>0</v>
      </c>
      <c r="AJ25" s="31">
        <v>0</v>
      </c>
      <c r="AK25" s="1" t="str">
        <f>VLOOKUP(AC:AC,'9店'!$B:$B,1,0)</f>
        <v>Y93405-BL+Y93406+Y93397</v>
      </c>
      <c r="AL25" t="s">
        <v>3195</v>
      </c>
      <c r="AM25" s="102">
        <v>36.31</v>
      </c>
      <c r="AN25" s="1">
        <f>AM25*$AS$1</f>
        <v>248.7235</v>
      </c>
      <c r="AP25" t="s">
        <v>3195</v>
      </c>
      <c r="AQ25" s="102">
        <v>110.25</v>
      </c>
      <c r="AR25" s="1">
        <f>AQ25*$AS$1</f>
        <v>755.2125</v>
      </c>
      <c r="AT25" s="45" t="s">
        <v>3088</v>
      </c>
      <c r="AU25" s="44">
        <v>208.5</v>
      </c>
      <c r="AV25" s="35"/>
      <c r="AW25" s="43" t="s">
        <v>3086</v>
      </c>
      <c r="AX25" s="44">
        <v>208.5</v>
      </c>
      <c r="AZ25" s="47" t="s">
        <v>3192</v>
      </c>
      <c r="BA25" s="48">
        <v>6.76</v>
      </c>
      <c r="BB25" s="1" t="s">
        <v>430</v>
      </c>
    </row>
    <row r="26" s="1" customFormat="1" spans="2:54">
      <c r="B26" t="s">
        <v>3192</v>
      </c>
      <c r="C26">
        <v>2</v>
      </c>
      <c r="D26" s="1" t="str">
        <f>VLOOKUP(B:B,'9店'!$B:$B,1,0)</f>
        <v>Y9009-BL-ZH</v>
      </c>
      <c r="E26" t="s">
        <v>3145</v>
      </c>
      <c r="F26">
        <v>27</v>
      </c>
      <c r="G26" s="1" t="str">
        <f>VLOOKUP(E:E,'9店'!$B:$B,1,0)</f>
        <v>Y9005-BL</v>
      </c>
      <c r="H26" t="s">
        <v>3145</v>
      </c>
      <c r="I26">
        <v>55</v>
      </c>
      <c r="J26" s="1" t="str">
        <f>VLOOKUP(H:H,'9店'!$B:$B,1,0)</f>
        <v>Y9005-BL</v>
      </c>
      <c r="K26" t="s">
        <v>3108</v>
      </c>
      <c r="L26">
        <v>208</v>
      </c>
      <c r="M26">
        <v>2</v>
      </c>
      <c r="N26">
        <v>0.77</v>
      </c>
      <c r="O26">
        <v>0</v>
      </c>
      <c r="P26">
        <v>0</v>
      </c>
      <c r="Q26" s="31">
        <v>0</v>
      </c>
      <c r="R26" s="31">
        <v>0</v>
      </c>
      <c r="S26" s="1" t="str">
        <f>VLOOKUP(K:K,'9店'!$B:$B,1,0)</f>
        <v>Y93758-BU+Y93759+Y93761</v>
      </c>
      <c r="T26" t="s">
        <v>3066</v>
      </c>
      <c r="U26">
        <v>1807</v>
      </c>
      <c r="V26">
        <v>22</v>
      </c>
      <c r="W26">
        <v>10.81</v>
      </c>
      <c r="X26">
        <v>38.97</v>
      </c>
      <c r="Y26">
        <v>3</v>
      </c>
      <c r="Z26" s="31">
        <v>0.277392866307416</v>
      </c>
      <c r="AA26" s="31">
        <v>0.136363636363636</v>
      </c>
      <c r="AB26" s="1" t="str">
        <f>VLOOKUP(T:T,'9店'!$B:$B,1,0)</f>
        <v>Y9003-BU+Y9006+Y9008</v>
      </c>
      <c r="AC26" t="s">
        <v>3143</v>
      </c>
      <c r="AD26">
        <v>9178</v>
      </c>
      <c r="AE26">
        <v>113</v>
      </c>
      <c r="AF26">
        <v>40.07</v>
      </c>
      <c r="AG26">
        <v>269.47</v>
      </c>
      <c r="AH26">
        <v>18</v>
      </c>
      <c r="AI26" s="31">
        <v>0.148699298623223</v>
      </c>
      <c r="AJ26" s="31">
        <v>0.15929203539823</v>
      </c>
      <c r="AK26" s="1" t="str">
        <f>VLOOKUP(AC:AC,'9店'!$B:$B,1,0)</f>
        <v>Y93405-DB+Y93406+Y93397</v>
      </c>
      <c r="AL26" t="s">
        <v>3267</v>
      </c>
      <c r="AM26" s="102">
        <v>104.97</v>
      </c>
      <c r="AN26" s="1">
        <f t="shared" ref="AN26:AN40" si="1">AM26*$AS$1</f>
        <v>719.0445</v>
      </c>
      <c r="AP26" t="s">
        <v>3213</v>
      </c>
      <c r="AQ26" s="102">
        <v>95.92</v>
      </c>
      <c r="AR26" s="1">
        <f t="shared" ref="AR26:AR40" si="2">AQ26*$AS$1</f>
        <v>657.052</v>
      </c>
      <c r="AT26" s="45" t="s">
        <v>3090</v>
      </c>
      <c r="AU26" s="44">
        <v>264.1</v>
      </c>
      <c r="AV26" s="35"/>
      <c r="AW26" s="43" t="s">
        <v>3088</v>
      </c>
      <c r="AX26" s="44">
        <v>194.6</v>
      </c>
      <c r="AZ26" s="47" t="s">
        <v>3195</v>
      </c>
      <c r="BA26" s="48">
        <v>6.683</v>
      </c>
      <c r="BB26" s="1" t="s">
        <v>430</v>
      </c>
    </row>
    <row r="27" s="1" customFormat="1" spans="2:54">
      <c r="B27" t="s">
        <v>3066</v>
      </c>
      <c r="C27">
        <v>1</v>
      </c>
      <c r="D27" s="1" t="str">
        <f>VLOOKUP(B:B,'9店'!$B:$B,1,0)</f>
        <v>Y9003-BU+Y9006+Y9008</v>
      </c>
      <c r="E27" t="s">
        <v>3086</v>
      </c>
      <c r="F27">
        <v>9</v>
      </c>
      <c r="G27" s="1" t="str">
        <f>VLOOKUP(E:E,'9店'!$B:$B,1,0)</f>
        <v>Y93134-OR+Y93137+Y93268</v>
      </c>
      <c r="H27" t="s">
        <v>3141</v>
      </c>
      <c r="I27">
        <v>21</v>
      </c>
      <c r="J27" s="1" t="str">
        <f>VLOOKUP(H:H,'9店'!$B:$B,1,0)</f>
        <v>Y93405-BL+Y93406+Y93397</v>
      </c>
      <c r="K27" t="s">
        <v>3145</v>
      </c>
      <c r="L27">
        <v>4375</v>
      </c>
      <c r="M27">
        <v>21</v>
      </c>
      <c r="N27">
        <v>9.71</v>
      </c>
      <c r="O27">
        <v>61.84</v>
      </c>
      <c r="P27">
        <v>5</v>
      </c>
      <c r="Q27" s="31">
        <v>0.157018111254851</v>
      </c>
      <c r="R27" s="31">
        <v>0.238095238095238</v>
      </c>
      <c r="S27" s="1" t="str">
        <f>VLOOKUP(K:K,'9店'!$B:$B,1,0)</f>
        <v>Y9005-BL</v>
      </c>
      <c r="T27" t="s">
        <v>3108</v>
      </c>
      <c r="U27">
        <v>356</v>
      </c>
      <c r="V27">
        <v>3</v>
      </c>
      <c r="W27">
        <v>1.05</v>
      </c>
      <c r="X27">
        <v>0</v>
      </c>
      <c r="Y27">
        <v>0</v>
      </c>
      <c r="Z27" s="31">
        <v>0</v>
      </c>
      <c r="AA27" s="31">
        <v>0</v>
      </c>
      <c r="AB27" s="1" t="str">
        <f>VLOOKUP(T:T,'9店'!$B:$B,1,0)</f>
        <v>Y93758-BU+Y93759+Y93761</v>
      </c>
      <c r="AC27" t="s">
        <v>3135</v>
      </c>
      <c r="AD27">
        <v>4748</v>
      </c>
      <c r="AE27">
        <v>31</v>
      </c>
      <c r="AF27">
        <v>13.89</v>
      </c>
      <c r="AG27">
        <v>30.58</v>
      </c>
      <c r="AH27">
        <v>2</v>
      </c>
      <c r="AI27" s="31">
        <v>0.454218443427077</v>
      </c>
      <c r="AJ27" s="31">
        <v>0.0645161290322581</v>
      </c>
      <c r="AK27" s="1" t="str">
        <f>VLOOKUP(AC:AC,'9店'!$B:$B,1,0)</f>
        <v>Y9002-BU</v>
      </c>
      <c r="AL27" t="s">
        <v>3273</v>
      </c>
      <c r="AM27" s="102">
        <v>95.96</v>
      </c>
      <c r="AN27" s="1">
        <f t="shared" si="1"/>
        <v>657.326</v>
      </c>
      <c r="AP27" t="s">
        <v>3215</v>
      </c>
      <c r="AQ27" s="102">
        <v>101.92</v>
      </c>
      <c r="AR27" s="1">
        <f t="shared" si="2"/>
        <v>698.152</v>
      </c>
      <c r="AT27" s="45" t="s">
        <v>3092</v>
      </c>
      <c r="AU27" s="44">
        <v>222.4</v>
      </c>
      <c r="AV27" s="35"/>
      <c r="AW27" s="43" t="s">
        <v>3090</v>
      </c>
      <c r="AX27" s="44">
        <v>250.2</v>
      </c>
      <c r="AZ27" s="47" t="s">
        <v>3074</v>
      </c>
      <c r="BA27" s="48">
        <v>6.727</v>
      </c>
      <c r="BB27" s="1" t="s">
        <v>430</v>
      </c>
    </row>
    <row r="28" s="1" customFormat="1" spans="2:54">
      <c r="B28" t="s">
        <v>3105</v>
      </c>
      <c r="C28">
        <v>2</v>
      </c>
      <c r="D28" s="1" t="str">
        <f>VLOOKUP(B:B,'9店'!$B:$B,1,0)</f>
        <v>Y93756-BL+Y93757+Y93760</v>
      </c>
      <c r="E28" t="s">
        <v>3161</v>
      </c>
      <c r="F28">
        <v>1</v>
      </c>
      <c r="G28" s="1" t="str">
        <f>VLOOKUP(E:E,'9店'!$B:$B,1,0)</f>
        <v>Y93821-BL+Y93822+Y93823</v>
      </c>
      <c r="H28" t="s">
        <v>3082</v>
      </c>
      <c r="I28">
        <v>18</v>
      </c>
      <c r="J28" s="1" t="str">
        <f>VLOOKUP(H:H,'9店'!$B:$B,1,0)</f>
        <v>Y93134-BL+Y93137+Y93268</v>
      </c>
      <c r="K28" t="s">
        <v>3154</v>
      </c>
      <c r="L28">
        <v>25170</v>
      </c>
      <c r="M28">
        <v>44</v>
      </c>
      <c r="N28">
        <v>27.13</v>
      </c>
      <c r="O28">
        <v>151.81</v>
      </c>
      <c r="P28">
        <v>9</v>
      </c>
      <c r="Q28" s="31">
        <v>0.178710229892629</v>
      </c>
      <c r="R28" s="31">
        <v>0.204545454545455</v>
      </c>
      <c r="S28" s="1" t="str">
        <f>VLOOKUP(K:K,'9店'!$B:$B,1,0)</f>
        <v>Y9005-WH</v>
      </c>
      <c r="T28" t="s">
        <v>3145</v>
      </c>
      <c r="U28">
        <v>6313</v>
      </c>
      <c r="V28">
        <v>34</v>
      </c>
      <c r="W28">
        <v>15.31</v>
      </c>
      <c r="X28">
        <v>79.82</v>
      </c>
      <c r="Y28">
        <v>7</v>
      </c>
      <c r="Z28" s="31">
        <v>0.191806564770734</v>
      </c>
      <c r="AA28" s="31">
        <v>0.205882352941176</v>
      </c>
      <c r="AB28" s="1" t="str">
        <f>VLOOKUP(T:T,'9店'!$B:$B,1,0)</f>
        <v>Y9005-BL</v>
      </c>
      <c r="AC28" t="s">
        <v>3132</v>
      </c>
      <c r="AD28">
        <v>138077</v>
      </c>
      <c r="AE28">
        <v>304</v>
      </c>
      <c r="AF28">
        <v>156.3</v>
      </c>
      <c r="AG28">
        <v>595.54</v>
      </c>
      <c r="AH28">
        <v>45</v>
      </c>
      <c r="AI28" s="31">
        <v>0.262450884911173</v>
      </c>
      <c r="AJ28" s="31">
        <v>0.148026315789474</v>
      </c>
      <c r="AK28" s="1" t="str">
        <f>VLOOKUP(AC:AC,'9店'!$B:$B,1,0)</f>
        <v>Y9002-BL</v>
      </c>
      <c r="AL28" t="s">
        <v>3105</v>
      </c>
      <c r="AM28" s="102">
        <v>25.65</v>
      </c>
      <c r="AN28" s="1">
        <f t="shared" si="1"/>
        <v>175.7025</v>
      </c>
      <c r="AP28" t="s">
        <v>3276</v>
      </c>
      <c r="AQ28" s="102">
        <v>383.9</v>
      </c>
      <c r="AR28" s="1">
        <f t="shared" si="2"/>
        <v>2629.715</v>
      </c>
      <c r="AT28" s="45" t="s">
        <v>3097</v>
      </c>
      <c r="AU28" s="44">
        <v>27.8</v>
      </c>
      <c r="AV28" s="35"/>
      <c r="AW28" s="43" t="s">
        <v>3092</v>
      </c>
      <c r="AX28" s="44">
        <v>375.3</v>
      </c>
      <c r="AZ28" s="47" t="s">
        <v>3070</v>
      </c>
      <c r="BA28" s="48">
        <v>6.763</v>
      </c>
      <c r="BB28" s="1" t="s">
        <v>430</v>
      </c>
    </row>
    <row r="29" s="1" customFormat="1" spans="2:54">
      <c r="B29" t="s">
        <v>3056</v>
      </c>
      <c r="C29">
        <v>2</v>
      </c>
      <c r="D29" s="1" t="str">
        <f>VLOOKUP(B:B,'9店'!$B:$B,1,0)</f>
        <v>Y93475-DB+Y92615+Y93478</v>
      </c>
      <c r="E29" t="s">
        <v>3215</v>
      </c>
      <c r="F29">
        <v>8</v>
      </c>
      <c r="G29" s="1" t="str">
        <f>VLOOKUP(E:E,'9店'!$B:$B,1,0)</f>
        <v>Y93452-OR-ZH</v>
      </c>
      <c r="H29" t="s">
        <v>3064</v>
      </c>
      <c r="I29">
        <v>1</v>
      </c>
      <c r="J29" s="1" t="str">
        <f>VLOOKUP(H:H,'9店'!$B:$B,1,0)</f>
        <v>Y9003-BL+Y9006+Y9008</v>
      </c>
      <c r="K29" t="s">
        <v>3151</v>
      </c>
      <c r="L29">
        <v>0</v>
      </c>
      <c r="M29">
        <v>0</v>
      </c>
      <c r="N29">
        <v>0</v>
      </c>
      <c r="O29">
        <v>0</v>
      </c>
      <c r="P29">
        <v>0</v>
      </c>
      <c r="Q29" s="31">
        <v>0</v>
      </c>
      <c r="R29" s="31">
        <v>0</v>
      </c>
      <c r="S29" s="1" t="str">
        <f>VLOOKUP(K:K,'9店'!$B:$B,1,0)</f>
        <v>Y9005-PI</v>
      </c>
      <c r="T29" t="s">
        <v>3154</v>
      </c>
      <c r="U29">
        <v>37053</v>
      </c>
      <c r="V29">
        <v>65</v>
      </c>
      <c r="W29">
        <v>39.14</v>
      </c>
      <c r="X29">
        <v>239.73</v>
      </c>
      <c r="Y29">
        <v>17</v>
      </c>
      <c r="Z29" s="31">
        <v>0.163267008718141</v>
      </c>
      <c r="AA29" s="31">
        <v>0.261538461538462</v>
      </c>
      <c r="AB29" s="1" t="str">
        <f>VLOOKUP(T:T,'9店'!$B:$B,1,0)</f>
        <v>Y9005-WH</v>
      </c>
      <c r="AC29" t="s">
        <v>3138</v>
      </c>
      <c r="AD29">
        <v>10723</v>
      </c>
      <c r="AE29">
        <v>56</v>
      </c>
      <c r="AF29">
        <v>29.82</v>
      </c>
      <c r="AG29">
        <v>57.98</v>
      </c>
      <c r="AH29">
        <v>2</v>
      </c>
      <c r="AI29" s="31">
        <v>0.514315281131425</v>
      </c>
      <c r="AJ29" s="31">
        <v>0.0357142857142857</v>
      </c>
      <c r="AK29" s="1" t="str">
        <f>VLOOKUP(AC:AC,'9店'!$B:$B,1,0)</f>
        <v>Y9003-1</v>
      </c>
      <c r="AL29" t="s">
        <v>3056</v>
      </c>
      <c r="AM29" s="102">
        <v>25.98</v>
      </c>
      <c r="AN29" s="1">
        <f t="shared" si="1"/>
        <v>177.963</v>
      </c>
      <c r="AP29" t="s">
        <v>3192</v>
      </c>
      <c r="AQ29" s="102">
        <v>88.93</v>
      </c>
      <c r="AR29" s="1">
        <f t="shared" si="2"/>
        <v>609.1705</v>
      </c>
      <c r="AT29" s="45" t="s">
        <v>3100</v>
      </c>
      <c r="AU29" s="44">
        <v>83.4</v>
      </c>
      <c r="AV29" s="35"/>
      <c r="AW29" s="43" t="s">
        <v>3097</v>
      </c>
      <c r="AX29" s="44">
        <v>41.7</v>
      </c>
      <c r="AZ29" s="47" t="s">
        <v>3072</v>
      </c>
      <c r="BA29" s="48">
        <v>6.763</v>
      </c>
      <c r="BB29" s="1" t="s">
        <v>430</v>
      </c>
    </row>
    <row r="30" s="1" customFormat="1" spans="2:54">
      <c r="B30" t="s">
        <v>3092</v>
      </c>
      <c r="C30">
        <v>4</v>
      </c>
      <c r="D30" s="1" t="str">
        <f>VLOOKUP(B:B,'9店'!$B:$B,1,0)</f>
        <v>Y93230-OR+Y903231+Y93240</v>
      </c>
      <c r="E30" t="s">
        <v>3108</v>
      </c>
      <c r="F30">
        <v>3</v>
      </c>
      <c r="G30" s="1" t="str">
        <f>VLOOKUP(E:E,'9店'!$B:$B,1,0)</f>
        <v>Y93758-BU+Y93759+Y93761</v>
      </c>
      <c r="H30" t="s">
        <v>3084</v>
      </c>
      <c r="I30">
        <v>12</v>
      </c>
      <c r="J30" s="1" t="str">
        <f>VLOOKUP(H:H,'9店'!$B:$B,1,0)</f>
        <v>Y93134-DB+Y93137+Y93268</v>
      </c>
      <c r="K30" t="s">
        <v>3148</v>
      </c>
      <c r="L30">
        <v>90409</v>
      </c>
      <c r="M30">
        <v>216</v>
      </c>
      <c r="N30">
        <v>98.29</v>
      </c>
      <c r="O30">
        <v>619.23</v>
      </c>
      <c r="P30">
        <v>50</v>
      </c>
      <c r="Q30" s="31">
        <v>0.15872938972595</v>
      </c>
      <c r="R30" s="31">
        <v>0.231481481481481</v>
      </c>
      <c r="S30" s="1" t="str">
        <f>VLOOKUP(K:K,'9店'!$B:$B,1,0)</f>
        <v>Y9005-BU</v>
      </c>
      <c r="T30" t="s">
        <v>3151</v>
      </c>
      <c r="U30">
        <v>56160</v>
      </c>
      <c r="V30">
        <v>222</v>
      </c>
      <c r="W30">
        <v>93.85</v>
      </c>
      <c r="X30">
        <v>542.36</v>
      </c>
      <c r="Y30">
        <v>49</v>
      </c>
      <c r="Z30" s="31">
        <v>0.173040047201121</v>
      </c>
      <c r="AA30" s="31">
        <v>0.220720720720721</v>
      </c>
      <c r="AB30" s="1" t="str">
        <f>VLOOKUP(T:T,'9店'!$B:$B,1,0)</f>
        <v>Y9005-PI</v>
      </c>
      <c r="AC30" t="s">
        <v>3068</v>
      </c>
      <c r="AD30">
        <v>18</v>
      </c>
      <c r="AE30">
        <v>0</v>
      </c>
      <c r="AF30">
        <v>0</v>
      </c>
      <c r="AG30">
        <v>0</v>
      </c>
      <c r="AH30">
        <v>0</v>
      </c>
      <c r="AI30" s="31">
        <v>0</v>
      </c>
      <c r="AJ30" s="31">
        <v>0</v>
      </c>
      <c r="AK30" s="1" t="str">
        <f>VLOOKUP(AC:AC,'9店'!$B:$B,1,0)</f>
        <v>Y9003-DB+Y9006+Y9008</v>
      </c>
      <c r="AL30" t="s">
        <v>3171</v>
      </c>
      <c r="AM30" s="102">
        <v>25.98</v>
      </c>
      <c r="AN30" s="1">
        <f t="shared" si="1"/>
        <v>177.963</v>
      </c>
      <c r="AP30" t="s">
        <v>3226</v>
      </c>
      <c r="AQ30" s="102">
        <v>55.91</v>
      </c>
      <c r="AR30" s="1">
        <f t="shared" si="2"/>
        <v>382.9835</v>
      </c>
      <c r="AT30" s="45" t="s">
        <v>3103</v>
      </c>
      <c r="AU30" s="44">
        <v>319.7</v>
      </c>
      <c r="AV30"/>
      <c r="AW30" s="43" t="s">
        <v>3100</v>
      </c>
      <c r="AX30" s="44">
        <v>55.6</v>
      </c>
      <c r="AZ30" s="47" t="s">
        <v>3350</v>
      </c>
      <c r="BA30" s="48">
        <v>2.145</v>
      </c>
      <c r="BB30" s="1" t="s">
        <v>430</v>
      </c>
    </row>
    <row r="31" s="1" customFormat="1" spans="2:54">
      <c r="B31" t="s">
        <v>3195</v>
      </c>
      <c r="C31">
        <v>3</v>
      </c>
      <c r="D31" s="1" t="str">
        <f>VLOOKUP(B:B,'9店'!$B:$B,1,0)</f>
        <v>Y9009-BU-ZH</v>
      </c>
      <c r="E31" t="s">
        <v>3203</v>
      </c>
      <c r="F31">
        <v>2</v>
      </c>
      <c r="G31" s="1" t="str">
        <f>VLOOKUP(E:E,'9店'!$B:$B,1,0)</f>
        <v>Y92000-DB+Y92013+Y92749</v>
      </c>
      <c r="H31" t="s">
        <v>3161</v>
      </c>
      <c r="I31">
        <v>7</v>
      </c>
      <c r="J31" s="1" t="str">
        <f>VLOOKUP(H:H,'9店'!$B:$B,1,0)</f>
        <v>Y93821-BL+Y93822+Y93823</v>
      </c>
      <c r="K31" t="s">
        <v>3074</v>
      </c>
      <c r="L31">
        <v>92</v>
      </c>
      <c r="M31">
        <v>0</v>
      </c>
      <c r="N31">
        <v>0</v>
      </c>
      <c r="O31">
        <v>0</v>
      </c>
      <c r="P31">
        <v>0</v>
      </c>
      <c r="Q31" s="31">
        <v>0</v>
      </c>
      <c r="R31" s="31">
        <v>0</v>
      </c>
      <c r="S31" s="1" t="str">
        <f>VLOOKUP(K:K,'9店'!$B:$B,1,0)</f>
        <v>Y93040-OR+Y93045+Y93043</v>
      </c>
      <c r="T31" t="s">
        <v>3148</v>
      </c>
      <c r="U31">
        <v>115353</v>
      </c>
      <c r="V31">
        <v>241</v>
      </c>
      <c r="W31">
        <v>108.59</v>
      </c>
      <c r="X31">
        <v>649.2</v>
      </c>
      <c r="Y31">
        <v>53</v>
      </c>
      <c r="Z31" s="31">
        <v>0.167267406038201</v>
      </c>
      <c r="AA31" s="31">
        <v>0.219917012448133</v>
      </c>
      <c r="AB31" s="1" t="str">
        <f>VLOOKUP(T:T,'9店'!$B:$B,1,0)</f>
        <v>Y9005-BU</v>
      </c>
      <c r="AC31" t="s">
        <v>3066</v>
      </c>
      <c r="AD31">
        <v>4008</v>
      </c>
      <c r="AE31">
        <v>36</v>
      </c>
      <c r="AF31">
        <v>17.75</v>
      </c>
      <c r="AG31">
        <v>51.96</v>
      </c>
      <c r="AH31">
        <v>4</v>
      </c>
      <c r="AI31" s="31">
        <v>0.341608929946112</v>
      </c>
      <c r="AJ31" s="31">
        <v>0.111111111111111</v>
      </c>
      <c r="AK31" s="1" t="str">
        <f>VLOOKUP(AC:AC,'9店'!$B:$B,1,0)</f>
        <v>Y9003-BU+Y9006+Y9008</v>
      </c>
      <c r="AL31" t="s">
        <v>3088</v>
      </c>
      <c r="AM31" s="102">
        <v>38.97</v>
      </c>
      <c r="AN31" s="1">
        <f t="shared" si="1"/>
        <v>266.9445</v>
      </c>
      <c r="AP31" t="s">
        <v>3229</v>
      </c>
      <c r="AQ31" s="102">
        <v>155.93</v>
      </c>
      <c r="AR31" s="1">
        <f t="shared" si="2"/>
        <v>1068.1205</v>
      </c>
      <c r="AT31" s="45" t="s">
        <v>3105</v>
      </c>
      <c r="AU31" s="44">
        <v>13.9</v>
      </c>
      <c r="AV31"/>
      <c r="AW31" s="43" t="s">
        <v>3103</v>
      </c>
      <c r="AX31" s="44">
        <v>319.7</v>
      </c>
      <c r="AZ31" s="47" t="s">
        <v>3351</v>
      </c>
      <c r="BA31" s="48">
        <v>2.892</v>
      </c>
      <c r="BB31" s="1" t="s">
        <v>430</v>
      </c>
    </row>
    <row r="32" s="1" customFormat="1" spans="2:54">
      <c r="B32" t="s">
        <v>3255</v>
      </c>
      <c r="C32">
        <v>1</v>
      </c>
      <c r="D32" s="1" t="str">
        <f>VLOOKUP(B:B,'9店'!$B:$B,1,0)</f>
        <v>Y9018-GA</v>
      </c>
      <c r="E32" t="s">
        <v>3175</v>
      </c>
      <c r="F32">
        <v>1</v>
      </c>
      <c r="G32" s="1" t="str">
        <f>VLOOKUP(E:E,'9店'!$B:$B,1,0)</f>
        <v>Y92610-DB+Y92613+Y92634</v>
      </c>
      <c r="H32" t="s">
        <v>3086</v>
      </c>
      <c r="I32">
        <v>14</v>
      </c>
      <c r="J32" s="1" t="str">
        <f>VLOOKUP(H:H,'9店'!$B:$B,1,0)</f>
        <v>Y93134-OR+Y93137+Y93268</v>
      </c>
      <c r="K32" t="s">
        <v>3070</v>
      </c>
      <c r="L32">
        <v>291</v>
      </c>
      <c r="M32">
        <v>1</v>
      </c>
      <c r="N32">
        <v>0.34</v>
      </c>
      <c r="O32">
        <v>0</v>
      </c>
      <c r="P32">
        <v>0</v>
      </c>
      <c r="Q32" s="31">
        <v>0</v>
      </c>
      <c r="R32" s="31">
        <v>0</v>
      </c>
      <c r="S32" s="1" t="str">
        <f>VLOOKUP(K:K,'9店'!$B:$B,1,0)</f>
        <v>Y93040-BL+Y93045+Y93043</v>
      </c>
      <c r="T32" t="s">
        <v>3074</v>
      </c>
      <c r="U32">
        <v>330</v>
      </c>
      <c r="V32">
        <v>1</v>
      </c>
      <c r="W32">
        <v>0.35</v>
      </c>
      <c r="X32">
        <v>0</v>
      </c>
      <c r="Y32">
        <v>0</v>
      </c>
      <c r="Z32" s="31">
        <v>0</v>
      </c>
      <c r="AA32" s="31">
        <v>0</v>
      </c>
      <c r="AB32" s="1" t="str">
        <f>VLOOKUP(T:T,'9店'!$B:$B,1,0)</f>
        <v>Y93040-OR+Y93045+Y93043</v>
      </c>
      <c r="AC32" t="s">
        <v>3108</v>
      </c>
      <c r="AD32">
        <v>540</v>
      </c>
      <c r="AE32">
        <v>5</v>
      </c>
      <c r="AF32">
        <v>1.34</v>
      </c>
      <c r="AG32">
        <v>0</v>
      </c>
      <c r="AH32">
        <v>0</v>
      </c>
      <c r="AI32" s="31">
        <v>0</v>
      </c>
      <c r="AJ32" s="31">
        <v>0</v>
      </c>
      <c r="AK32" s="1" t="str">
        <f>VLOOKUP(AC:AC,'9店'!$B:$B,1,0)</f>
        <v>Y93758-BU+Y93759+Y93761</v>
      </c>
      <c r="AL32" t="s">
        <v>3192</v>
      </c>
      <c r="AM32" s="102">
        <v>25.98</v>
      </c>
      <c r="AN32" s="1">
        <f t="shared" si="1"/>
        <v>177.963</v>
      </c>
      <c r="AP32" t="s">
        <v>3088</v>
      </c>
      <c r="AQ32" s="102">
        <v>86.93</v>
      </c>
      <c r="AR32" s="1">
        <f t="shared" si="2"/>
        <v>595.4705</v>
      </c>
      <c r="AT32" s="45" t="s">
        <v>3108</v>
      </c>
      <c r="AU32" s="44">
        <v>125.1</v>
      </c>
      <c r="AV32"/>
      <c r="AW32" s="43" t="s">
        <v>3105</v>
      </c>
      <c r="AX32" s="44">
        <v>69.5</v>
      </c>
      <c r="AZ32" s="47" t="s">
        <v>3352</v>
      </c>
      <c r="BA32" s="48">
        <v>2.664</v>
      </c>
      <c r="BB32" s="1" t="s">
        <v>430</v>
      </c>
    </row>
    <row r="33" s="1" customFormat="1" spans="2:54">
      <c r="B33" t="s">
        <v>3060</v>
      </c>
      <c r="C33">
        <v>1</v>
      </c>
      <c r="D33" s="1" t="str">
        <f>VLOOKUP(B:B,'9店'!$B:$B,1,0)</f>
        <v>Y93694-BU+Y93712+Y93744</v>
      </c>
      <c r="E33" t="s">
        <v>3213</v>
      </c>
      <c r="F33">
        <v>8</v>
      </c>
      <c r="G33" s="1" t="str">
        <f>VLOOKUP(E:E,'9店'!$B:$B,1,0)</f>
        <v>Y93452-DB-ZH</v>
      </c>
      <c r="H33" t="s">
        <v>3060</v>
      </c>
      <c r="I33">
        <v>4</v>
      </c>
      <c r="J33" s="1" t="str">
        <f>VLOOKUP(H:H,'9店'!$B:$B,1,0)</f>
        <v>Y93694-BU+Y93712+Y93744</v>
      </c>
      <c r="K33" t="s">
        <v>3072</v>
      </c>
      <c r="L33">
        <v>208</v>
      </c>
      <c r="M33">
        <v>1</v>
      </c>
      <c r="N33">
        <v>0.1</v>
      </c>
      <c r="O33">
        <v>0</v>
      </c>
      <c r="P33">
        <v>0</v>
      </c>
      <c r="Q33" s="31">
        <v>0</v>
      </c>
      <c r="R33" s="31">
        <v>0</v>
      </c>
      <c r="S33" s="1" t="str">
        <f>VLOOKUP(K:K,'9店'!$B:$B,1,0)</f>
        <v>Y93040-DB+Y93045+Y93043</v>
      </c>
      <c r="T33" t="s">
        <v>3070</v>
      </c>
      <c r="U33">
        <v>576</v>
      </c>
      <c r="V33">
        <v>4</v>
      </c>
      <c r="W33">
        <v>1.14</v>
      </c>
      <c r="X33">
        <v>0</v>
      </c>
      <c r="Y33">
        <v>0</v>
      </c>
      <c r="Z33" s="31">
        <v>0</v>
      </c>
      <c r="AA33" s="31">
        <v>0</v>
      </c>
      <c r="AB33" s="1" t="str">
        <f>VLOOKUP(T:T,'9店'!$B:$B,1,0)</f>
        <v>Y93040-BL+Y93045+Y93043</v>
      </c>
      <c r="AC33" t="s">
        <v>3145</v>
      </c>
      <c r="AD33">
        <v>10516</v>
      </c>
      <c r="AE33">
        <v>59</v>
      </c>
      <c r="AF33">
        <v>24.72</v>
      </c>
      <c r="AG33">
        <v>173.42</v>
      </c>
      <c r="AH33">
        <v>13</v>
      </c>
      <c r="AI33" s="31">
        <v>0.142544112559105</v>
      </c>
      <c r="AJ33" s="31">
        <v>0.220338983050847</v>
      </c>
      <c r="AK33" s="1" t="str">
        <f>VLOOKUP(AC:AC,'9店'!$B:$B,1,0)</f>
        <v>Y9005-BL</v>
      </c>
      <c r="AL33" t="s">
        <v>3197</v>
      </c>
      <c r="AM33" s="102">
        <v>25.98</v>
      </c>
      <c r="AN33" s="1">
        <f t="shared" si="1"/>
        <v>177.963</v>
      </c>
      <c r="AP33" t="s">
        <v>3092</v>
      </c>
      <c r="AQ33" s="102">
        <v>77.94</v>
      </c>
      <c r="AR33" s="1">
        <f t="shared" si="2"/>
        <v>533.889</v>
      </c>
      <c r="AT33" s="45" t="s">
        <v>3111</v>
      </c>
      <c r="AU33" s="44">
        <v>139</v>
      </c>
      <c r="AV33"/>
      <c r="AW33" s="45" t="s">
        <v>3108</v>
      </c>
      <c r="AX33" s="44">
        <v>152.9</v>
      </c>
      <c r="AZ33" s="47" t="s">
        <v>3045</v>
      </c>
      <c r="BA33" s="48">
        <v>2.858</v>
      </c>
      <c r="BB33" s="1" t="s">
        <v>430</v>
      </c>
    </row>
    <row r="34" spans="2:54">
      <c r="B34" t="s">
        <v>3201</v>
      </c>
      <c r="C34">
        <v>3</v>
      </c>
      <c r="D34" s="1" t="str">
        <f>VLOOKUP(B:B,'9店'!$B:$B,1,0)</f>
        <v>Y92000-BL+Y92013+Y92749</v>
      </c>
      <c r="E34" t="s">
        <v>3339</v>
      </c>
      <c r="F34">
        <v>3</v>
      </c>
      <c r="G34" s="1" t="e">
        <f>VLOOKUP(E:E,'9店'!$B:$B,1,0)</f>
        <v>#N/A</v>
      </c>
      <c r="H34" t="s">
        <v>3111</v>
      </c>
      <c r="I34">
        <v>2</v>
      </c>
      <c r="J34" s="1" t="str">
        <f>VLOOKUP(H:H,'9店'!$B:$B,1,0)</f>
        <v>Y93758-DB+Y93759+Y93761</v>
      </c>
      <c r="K34" t="s">
        <v>3086</v>
      </c>
      <c r="L34">
        <v>1878</v>
      </c>
      <c r="M34">
        <v>29</v>
      </c>
      <c r="N34">
        <v>12.44</v>
      </c>
      <c r="O34">
        <v>51.96</v>
      </c>
      <c r="P34">
        <v>3</v>
      </c>
      <c r="Q34" s="31">
        <v>0.23941493456505</v>
      </c>
      <c r="R34" s="31">
        <v>0.103448275862069</v>
      </c>
      <c r="S34" s="1" t="str">
        <f>VLOOKUP(K:K,'9店'!$B:$B,1,0)</f>
        <v>Y93134-OR+Y93137+Y93268</v>
      </c>
      <c r="T34" t="s">
        <v>3072</v>
      </c>
      <c r="U34">
        <v>451</v>
      </c>
      <c r="V34">
        <v>3</v>
      </c>
      <c r="W34">
        <v>0.78</v>
      </c>
      <c r="X34">
        <v>0</v>
      </c>
      <c r="Y34">
        <v>0</v>
      </c>
      <c r="Z34" s="31">
        <v>0</v>
      </c>
      <c r="AA34" s="31">
        <v>0</v>
      </c>
      <c r="AB34" s="1" t="str">
        <f>VLOOKUP(T:T,'9店'!$B:$B,1,0)</f>
        <v>Y93040-DB+Y93045+Y93043</v>
      </c>
      <c r="AC34" t="s">
        <v>3154</v>
      </c>
      <c r="AD34">
        <v>55221</v>
      </c>
      <c r="AE34">
        <v>98</v>
      </c>
      <c r="AF34">
        <v>61.1</v>
      </c>
      <c r="AG34">
        <v>343.64</v>
      </c>
      <c r="AH34">
        <v>25</v>
      </c>
      <c r="AI34" s="31">
        <v>0.17780235129787</v>
      </c>
      <c r="AJ34" s="31">
        <v>0.255102040816327</v>
      </c>
      <c r="AK34" s="1" t="str">
        <f>VLOOKUP(AC:AC,'9店'!$B:$B,1,0)</f>
        <v>Y9005-WH</v>
      </c>
      <c r="AL34" t="s">
        <v>3209</v>
      </c>
      <c r="AM34" s="102">
        <v>25.98</v>
      </c>
      <c r="AN34" s="1">
        <f t="shared" si="1"/>
        <v>177.963</v>
      </c>
      <c r="AP34" t="s">
        <v>3244</v>
      </c>
      <c r="AQ34" s="102">
        <v>269.93</v>
      </c>
      <c r="AR34" s="1">
        <f t="shared" si="2"/>
        <v>1849.0205</v>
      </c>
      <c r="AT34" s="45" t="s">
        <v>3114</v>
      </c>
      <c r="AU34" s="44">
        <v>139</v>
      </c>
      <c r="AW34" s="45" t="s">
        <v>3111</v>
      </c>
      <c r="AX34" s="44">
        <v>139</v>
      </c>
      <c r="AZ34" s="47" t="s">
        <v>3167</v>
      </c>
      <c r="BA34" s="48">
        <v>6.643</v>
      </c>
      <c r="BB34" s="1" t="s">
        <v>430</v>
      </c>
    </row>
    <row r="35" spans="2:54">
      <c r="B35" t="s">
        <v>3339</v>
      </c>
      <c r="C35">
        <v>1</v>
      </c>
      <c r="D35" s="1" t="e">
        <f>VLOOKUP(B:B,'9店'!$B:$B,1,0)</f>
        <v>#N/A</v>
      </c>
      <c r="E35" t="s">
        <v>3173</v>
      </c>
      <c r="F35">
        <v>1</v>
      </c>
      <c r="G35" s="1" t="str">
        <f>VLOOKUP(E:E,'9店'!$B:$B,1,0)</f>
        <v>Y92610-BL+Y92613+Y92634</v>
      </c>
      <c r="H35" t="s">
        <v>3173</v>
      </c>
      <c r="I35">
        <v>2</v>
      </c>
      <c r="J35" s="1" t="str">
        <f>VLOOKUP(H:H,'9店'!$B:$B,1,0)</f>
        <v>Y92610-BL+Y92613+Y92634</v>
      </c>
      <c r="K35" t="s">
        <v>3082</v>
      </c>
      <c r="L35">
        <v>605</v>
      </c>
      <c r="M35">
        <v>0</v>
      </c>
      <c r="N35">
        <v>0</v>
      </c>
      <c r="O35">
        <v>0</v>
      </c>
      <c r="P35">
        <v>0</v>
      </c>
      <c r="Q35" s="31">
        <v>0</v>
      </c>
      <c r="R35" s="31">
        <v>0</v>
      </c>
      <c r="S35" s="1" t="str">
        <f>VLOOKUP(K:K,'9店'!$B:$B,1,0)</f>
        <v>Y93134-BL+Y93137+Y93268</v>
      </c>
      <c r="T35" t="s">
        <v>3086</v>
      </c>
      <c r="U35">
        <v>4690</v>
      </c>
      <c r="V35">
        <v>69</v>
      </c>
      <c r="W35">
        <v>29.94</v>
      </c>
      <c r="X35">
        <v>218.5</v>
      </c>
      <c r="Y35">
        <v>15</v>
      </c>
      <c r="Z35" s="31">
        <v>0.137025171624714</v>
      </c>
      <c r="AA35" s="31">
        <v>0.217391304347826</v>
      </c>
      <c r="AB35" s="1" t="str">
        <f>VLOOKUP(T:T,'9店'!$B:$B,1,0)</f>
        <v>Y93134-OR+Y93137+Y93268</v>
      </c>
      <c r="AC35" t="s">
        <v>3151</v>
      </c>
      <c r="AD35">
        <v>96471</v>
      </c>
      <c r="AE35">
        <v>432</v>
      </c>
      <c r="AF35">
        <v>179.69</v>
      </c>
      <c r="AG35">
        <v>1095.71</v>
      </c>
      <c r="AH35">
        <v>105</v>
      </c>
      <c r="AI35" s="31">
        <v>0.163994122532422</v>
      </c>
      <c r="AJ35" s="31">
        <v>0.243055555555556</v>
      </c>
      <c r="AK35" s="1" t="str">
        <f>VLOOKUP(AC:AC,'9店'!$B:$B,1,0)</f>
        <v>Y9005-PI</v>
      </c>
      <c r="AL35" t="s">
        <v>3213</v>
      </c>
      <c r="AM35" s="102">
        <v>25.98</v>
      </c>
      <c r="AN35" s="1">
        <f t="shared" si="1"/>
        <v>177.963</v>
      </c>
      <c r="AP35" t="s">
        <v>3267</v>
      </c>
      <c r="AQ35" s="102">
        <v>209.94</v>
      </c>
      <c r="AR35" s="1">
        <f t="shared" si="2"/>
        <v>1438.089</v>
      </c>
      <c r="AT35" s="45" t="s">
        <v>3117</v>
      </c>
      <c r="AU35" s="44">
        <v>5092.71</v>
      </c>
      <c r="AW35" s="45" t="s">
        <v>3114</v>
      </c>
      <c r="AX35" s="44">
        <v>139</v>
      </c>
      <c r="AZ35" s="47" t="s">
        <v>3164</v>
      </c>
      <c r="BA35" s="48">
        <v>6.76</v>
      </c>
      <c r="BB35" s="1" t="s">
        <v>430</v>
      </c>
    </row>
    <row r="36" spans="2:54">
      <c r="B36" t="s">
        <v>3226</v>
      </c>
      <c r="C36">
        <v>2</v>
      </c>
      <c r="D36" s="1" t="str">
        <f>VLOOKUP(B:B,'9店'!$B:$B,1,0)</f>
        <v>Y9007-6PC</v>
      </c>
      <c r="E36" t="s">
        <v>3056</v>
      </c>
      <c r="F36">
        <v>9</v>
      </c>
      <c r="G36" s="1" t="str">
        <f>VLOOKUP(E:E,'9店'!$B:$B,1,0)</f>
        <v>Y93475-DB+Y92615+Y93478</v>
      </c>
      <c r="H36" t="s">
        <v>3226</v>
      </c>
      <c r="I36">
        <v>11</v>
      </c>
      <c r="J36" s="1" t="str">
        <f>VLOOKUP(H:H,'9店'!$B:$B,1,0)</f>
        <v>Y9007-6PC</v>
      </c>
      <c r="K36" t="s">
        <v>3084</v>
      </c>
      <c r="L36">
        <v>1525</v>
      </c>
      <c r="M36">
        <v>13</v>
      </c>
      <c r="N36">
        <v>5.98</v>
      </c>
      <c r="O36">
        <v>0</v>
      </c>
      <c r="P36">
        <v>0</v>
      </c>
      <c r="Q36" s="31">
        <v>0</v>
      </c>
      <c r="R36" s="31">
        <v>0</v>
      </c>
      <c r="S36" s="1" t="str">
        <f>VLOOKUP(K:K,'9店'!$B:$B,1,0)</f>
        <v>Y93134-DB+Y93137+Y93268</v>
      </c>
      <c r="T36" t="s">
        <v>3082</v>
      </c>
      <c r="U36">
        <v>1121</v>
      </c>
      <c r="V36">
        <v>1</v>
      </c>
      <c r="W36">
        <v>0.39</v>
      </c>
      <c r="X36">
        <v>0</v>
      </c>
      <c r="Y36">
        <v>0</v>
      </c>
      <c r="Z36" s="31">
        <v>0</v>
      </c>
      <c r="AA36" s="31">
        <v>0</v>
      </c>
      <c r="AB36" s="1" t="str">
        <f>VLOOKUP(T:T,'9店'!$B:$B,1,0)</f>
        <v>Y93134-BL+Y93137+Y93268</v>
      </c>
      <c r="AC36" t="s">
        <v>3148</v>
      </c>
      <c r="AD36">
        <v>118909</v>
      </c>
      <c r="AE36">
        <v>258</v>
      </c>
      <c r="AF36">
        <v>115.1</v>
      </c>
      <c r="AG36">
        <v>721.64</v>
      </c>
      <c r="AH36">
        <v>58</v>
      </c>
      <c r="AI36" s="31">
        <v>0.159497810542653</v>
      </c>
      <c r="AJ36" s="31">
        <v>0.224806201550388</v>
      </c>
      <c r="AK36" s="1" t="str">
        <f>VLOOKUP(AC:AC,'9店'!$B:$B,1,0)</f>
        <v>Y9005-BU</v>
      </c>
      <c r="AL36" t="s">
        <v>3346</v>
      </c>
      <c r="AM36" s="102">
        <v>25.98</v>
      </c>
      <c r="AN36" s="1">
        <f t="shared" si="1"/>
        <v>177.963</v>
      </c>
      <c r="AP36" t="s">
        <v>3171</v>
      </c>
      <c r="AQ36" s="102">
        <v>75.94</v>
      </c>
      <c r="AR36" s="1">
        <f t="shared" si="2"/>
        <v>520.189</v>
      </c>
      <c r="AT36" s="45" t="s">
        <v>3120</v>
      </c>
      <c r="AU36" s="44">
        <v>241.67</v>
      </c>
      <c r="AW36" s="45" t="s">
        <v>3117</v>
      </c>
      <c r="AX36" s="44">
        <v>5432.224</v>
      </c>
      <c r="AZ36" s="47" t="s">
        <v>3171</v>
      </c>
      <c r="BA36" s="48">
        <v>6.723</v>
      </c>
      <c r="BB36" s="1" t="s">
        <v>430</v>
      </c>
    </row>
    <row r="37" spans="2:54">
      <c r="B37" t="s">
        <v>3223</v>
      </c>
      <c r="C37">
        <v>1</v>
      </c>
      <c r="D37" s="1" t="str">
        <f>VLOOKUP(B:B,'9店'!$B:$B,1,0)</f>
        <v>Y9007-30PC</v>
      </c>
      <c r="E37" t="s">
        <v>3229</v>
      </c>
      <c r="F37">
        <v>7</v>
      </c>
      <c r="G37" s="1" t="str">
        <f>VLOOKUP(E:E,'9店'!$B:$B,1,0)</f>
        <v>Y9008</v>
      </c>
      <c r="H37" t="s">
        <v>3175</v>
      </c>
      <c r="I37">
        <v>1</v>
      </c>
      <c r="J37" s="1" t="str">
        <f>VLOOKUP(H:H,'9店'!$B:$B,1,0)</f>
        <v>Y92610-DB+Y92613+Y92634</v>
      </c>
      <c r="K37" t="s">
        <v>3175</v>
      </c>
      <c r="L37">
        <v>508</v>
      </c>
      <c r="M37">
        <v>5</v>
      </c>
      <c r="N37">
        <v>2.14</v>
      </c>
      <c r="O37">
        <v>0</v>
      </c>
      <c r="P37">
        <v>0</v>
      </c>
      <c r="Q37" s="31">
        <v>0</v>
      </c>
      <c r="R37" s="31">
        <v>0</v>
      </c>
      <c r="S37" s="1" t="str">
        <f>VLOOKUP(K:K,'9店'!$B:$B,1,0)</f>
        <v>Y92610-DB+Y92613+Y92634</v>
      </c>
      <c r="T37" t="s">
        <v>3084</v>
      </c>
      <c r="U37">
        <v>2734</v>
      </c>
      <c r="V37">
        <v>29</v>
      </c>
      <c r="W37">
        <v>13.23</v>
      </c>
      <c r="X37">
        <v>55.96</v>
      </c>
      <c r="Y37">
        <v>4</v>
      </c>
      <c r="Z37" s="31">
        <v>0.236418870621873</v>
      </c>
      <c r="AA37" s="31">
        <v>0.137931034482759</v>
      </c>
      <c r="AB37" s="1" t="str">
        <f>VLOOKUP(T:T,'9店'!$B:$B,1,0)</f>
        <v>Y93134-DB+Y93137+Y93268</v>
      </c>
      <c r="AC37" t="s">
        <v>3074</v>
      </c>
      <c r="AD37">
        <v>990</v>
      </c>
      <c r="AE37">
        <v>3</v>
      </c>
      <c r="AF37">
        <v>1.05</v>
      </c>
      <c r="AG37">
        <v>0</v>
      </c>
      <c r="AH37">
        <v>0</v>
      </c>
      <c r="AI37" s="31">
        <v>0</v>
      </c>
      <c r="AJ37" s="31">
        <v>0</v>
      </c>
      <c r="AK37" s="1" t="str">
        <f>VLOOKUP(AC:AC,'9店'!$B:$B,1,0)</f>
        <v>Y93040-OR+Y93045+Y93043</v>
      </c>
      <c r="AL37" t="s">
        <v>3226</v>
      </c>
      <c r="AM37" s="102">
        <v>13.98</v>
      </c>
      <c r="AN37" s="1">
        <f t="shared" ref="AN37:AN77" si="3">AM37*$AS$1</f>
        <v>95.763</v>
      </c>
      <c r="AP37" t="s">
        <v>3201</v>
      </c>
      <c r="AQ37" s="102">
        <v>62.95</v>
      </c>
      <c r="AR37" s="1">
        <f t="shared" si="2"/>
        <v>431.2075</v>
      </c>
      <c r="AT37" s="45" t="s">
        <v>3123</v>
      </c>
      <c r="AU37" s="44">
        <v>4656</v>
      </c>
      <c r="AW37" s="45" t="s">
        <v>3120</v>
      </c>
      <c r="AX37" s="44">
        <v>1619.189</v>
      </c>
      <c r="AZ37" s="47" t="s">
        <v>3169</v>
      </c>
      <c r="BA37" s="48">
        <v>6.699</v>
      </c>
      <c r="BB37" s="1" t="s">
        <v>430</v>
      </c>
    </row>
    <row r="38" spans="2:54">
      <c r="B38" t="s">
        <v>3120</v>
      </c>
      <c r="C38">
        <v>7</v>
      </c>
      <c r="D38" s="1" t="str">
        <f>VLOOKUP(B:B,'9店'!$B:$B,1,0)</f>
        <v>Y9001-GR</v>
      </c>
      <c r="E38" t="s">
        <v>3171</v>
      </c>
      <c r="F38">
        <v>6</v>
      </c>
      <c r="G38" s="1" t="str">
        <f>VLOOKUP(E:E,'9店'!$B:$B,1,0)</f>
        <v>Y92563-OR+Y92564+Y92571</v>
      </c>
      <c r="H38" t="s">
        <v>3213</v>
      </c>
      <c r="I38">
        <v>17</v>
      </c>
      <c r="J38" s="1" t="str">
        <f>VLOOKUP(H:H,'9店'!$B:$B,1,0)</f>
        <v>Y93452-DB-ZH</v>
      </c>
      <c r="K38" t="s">
        <v>3178</v>
      </c>
      <c r="L38">
        <v>2295</v>
      </c>
      <c r="M38">
        <v>16</v>
      </c>
      <c r="N38">
        <v>5.2</v>
      </c>
      <c r="O38">
        <v>12.99</v>
      </c>
      <c r="P38">
        <v>1</v>
      </c>
      <c r="Q38" s="31">
        <v>0.400307929176289</v>
      </c>
      <c r="R38" s="31">
        <v>0.0625</v>
      </c>
      <c r="S38" s="1" t="str">
        <f>VLOOKUP(K:K,'9店'!$B:$B,1,0)</f>
        <v>Y92610-OR+Y92613+Y92634</v>
      </c>
      <c r="T38" t="s">
        <v>3175</v>
      </c>
      <c r="U38">
        <v>1462</v>
      </c>
      <c r="V38">
        <v>7</v>
      </c>
      <c r="W38">
        <v>3.06</v>
      </c>
      <c r="X38">
        <v>21.98</v>
      </c>
      <c r="Y38">
        <v>2</v>
      </c>
      <c r="Z38" s="31">
        <v>0.139217470427662</v>
      </c>
      <c r="AA38" s="31">
        <v>0.285714285714286</v>
      </c>
      <c r="AB38" s="1" t="str">
        <f>VLOOKUP(T:T,'9店'!$B:$B,1,0)</f>
        <v>Y92610-DB+Y92613+Y92634</v>
      </c>
      <c r="AC38" t="s">
        <v>3070</v>
      </c>
      <c r="AD38">
        <v>1260</v>
      </c>
      <c r="AE38">
        <v>8</v>
      </c>
      <c r="AF38">
        <v>2.36</v>
      </c>
      <c r="AG38">
        <v>0</v>
      </c>
      <c r="AH38">
        <v>0</v>
      </c>
      <c r="AI38" s="31">
        <v>0</v>
      </c>
      <c r="AJ38" s="31">
        <v>0</v>
      </c>
      <c r="AK38" s="1" t="str">
        <f>VLOOKUP(AC:AC,'9店'!$B:$B,1,0)</f>
        <v>Y93040-BL+Y93045+Y93043</v>
      </c>
      <c r="AL38" t="s">
        <v>3238</v>
      </c>
      <c r="AM38" s="102">
        <v>99.98</v>
      </c>
      <c r="AN38" s="1">
        <f t="shared" si="3"/>
        <v>684.863</v>
      </c>
      <c r="AP38" t="s">
        <v>3048</v>
      </c>
      <c r="AQ38" s="102">
        <v>64.95</v>
      </c>
      <c r="AR38" s="1">
        <f>AQ38*$AS$1</f>
        <v>444.9075</v>
      </c>
      <c r="AT38" s="45" t="s">
        <v>3126</v>
      </c>
      <c r="AU38" s="44">
        <v>1455.06</v>
      </c>
      <c r="AW38" s="45" t="s">
        <v>3123</v>
      </c>
      <c r="AX38" s="44">
        <v>4850</v>
      </c>
      <c r="AZ38" s="47" t="s">
        <v>3076</v>
      </c>
      <c r="BA38" s="48">
        <v>5.109</v>
      </c>
      <c r="BB38" s="1" t="s">
        <v>430</v>
      </c>
    </row>
    <row r="39" spans="2:54">
      <c r="B39" t="s">
        <v>3252</v>
      </c>
      <c r="C39">
        <v>4</v>
      </c>
      <c r="D39" s="1" t="str">
        <f>VLOOKUP(B:B,'9店'!$B:$B,1,0)</f>
        <v>Y9010-WH</v>
      </c>
      <c r="E39" t="s">
        <v>3205</v>
      </c>
      <c r="F39">
        <v>4</v>
      </c>
      <c r="G39" s="1" t="str">
        <f>VLOOKUP(E:E,'9店'!$B:$B,1,0)</f>
        <v>Y92000-OR+Y92013+Y92749</v>
      </c>
      <c r="H39" t="s">
        <v>3201</v>
      </c>
      <c r="I39">
        <v>7</v>
      </c>
      <c r="J39" s="1" t="str">
        <f>VLOOKUP(H:H,'9店'!$B:$B,1,0)</f>
        <v>Y92000-BL+Y92013+Y92749</v>
      </c>
      <c r="K39" t="s">
        <v>3157</v>
      </c>
      <c r="L39">
        <v>631</v>
      </c>
      <c r="M39">
        <v>5</v>
      </c>
      <c r="N39">
        <v>2.18</v>
      </c>
      <c r="O39">
        <v>0</v>
      </c>
      <c r="P39">
        <v>0</v>
      </c>
      <c r="Q39" s="31">
        <v>0</v>
      </c>
      <c r="R39" s="31">
        <v>0</v>
      </c>
      <c r="S39" s="1" t="str">
        <f>VLOOKUP(K:K,'9店'!$B:$B,1,0)</f>
        <v>Y93821-BU+Y93822+Y93823</v>
      </c>
      <c r="T39" t="s">
        <v>3178</v>
      </c>
      <c r="U39">
        <v>3984</v>
      </c>
      <c r="V39">
        <v>24</v>
      </c>
      <c r="W39">
        <v>8.36</v>
      </c>
      <c r="X39">
        <v>36.97</v>
      </c>
      <c r="Y39">
        <v>3</v>
      </c>
      <c r="Z39" s="31">
        <v>0.22612929402218</v>
      </c>
      <c r="AA39" s="31">
        <v>0.125</v>
      </c>
      <c r="AB39" s="1" t="str">
        <f>VLOOKUP(T:T,'9店'!$B:$B,1,0)</f>
        <v>Y92610-OR+Y92613+Y92634</v>
      </c>
      <c r="AC39" t="s">
        <v>3072</v>
      </c>
      <c r="AD39">
        <v>927</v>
      </c>
      <c r="AE39">
        <v>3</v>
      </c>
      <c r="AF39">
        <v>0.78</v>
      </c>
      <c r="AG39">
        <v>0</v>
      </c>
      <c r="AH39">
        <v>0</v>
      </c>
      <c r="AI39" s="31">
        <v>0</v>
      </c>
      <c r="AJ39" s="31">
        <v>0</v>
      </c>
      <c r="AK39" s="1" t="str">
        <f>VLOOKUP(AC:AC,'9店'!$B:$B,1,0)</f>
        <v>Y93040-DB+Y93045+Y93043</v>
      </c>
      <c r="AL39" t="s">
        <v>3276</v>
      </c>
      <c r="AM39" s="102">
        <v>79.98</v>
      </c>
      <c r="AN39" s="1">
        <f t="shared" si="3"/>
        <v>547.863</v>
      </c>
      <c r="AP39" t="s">
        <v>3261</v>
      </c>
      <c r="AQ39" s="102">
        <v>143.95</v>
      </c>
      <c r="AR39" s="1">
        <f>AQ39*$AS$1</f>
        <v>986.0575</v>
      </c>
      <c r="AT39" s="45" t="s">
        <v>3129</v>
      </c>
      <c r="AU39" s="44">
        <v>3075.305</v>
      </c>
      <c r="AW39" s="45" t="s">
        <v>3126</v>
      </c>
      <c r="AX39" s="44">
        <v>1649.068</v>
      </c>
      <c r="AZ39" s="47" t="s">
        <v>3078</v>
      </c>
      <c r="BA39" s="48">
        <v>6.579</v>
      </c>
      <c r="BB39" s="1" t="s">
        <v>430</v>
      </c>
    </row>
    <row r="40" spans="2:54">
      <c r="B40" t="s">
        <v>3276</v>
      </c>
      <c r="C40">
        <v>2</v>
      </c>
      <c r="D40" s="1" t="str">
        <f>VLOOKUP(B:B,'9店'!$B:$B,1,0)</f>
        <v>Y9022</v>
      </c>
      <c r="E40" t="s">
        <v>3211</v>
      </c>
      <c r="F40">
        <v>3</v>
      </c>
      <c r="G40" s="1" t="str">
        <f>VLOOKUP(E:E,'9店'!$B:$B,1,0)</f>
        <v>Y93135-OR+Y93138+Y93269</v>
      </c>
      <c r="H40" t="s">
        <v>3100</v>
      </c>
      <c r="I40">
        <v>3</v>
      </c>
      <c r="J40" s="1" t="str">
        <f>VLOOKUP(H:H,'9店'!$B:$B,1,0)</f>
        <v>Y9029-OR+Y9030+Y9031</v>
      </c>
      <c r="K40" t="s">
        <v>3161</v>
      </c>
      <c r="L40">
        <v>1396</v>
      </c>
      <c r="M40">
        <v>1</v>
      </c>
      <c r="N40">
        <v>0.38</v>
      </c>
      <c r="O40">
        <v>0</v>
      </c>
      <c r="P40">
        <v>0</v>
      </c>
      <c r="Q40" s="31">
        <v>0</v>
      </c>
      <c r="R40" s="31">
        <v>0</v>
      </c>
      <c r="S40" s="1" t="str">
        <f>VLOOKUP(K:K,'9店'!$B:$B,1,0)</f>
        <v>Y93821-BL+Y93822+Y93823</v>
      </c>
      <c r="T40" t="s">
        <v>3105</v>
      </c>
      <c r="U40">
        <v>1934</v>
      </c>
      <c r="V40">
        <v>20</v>
      </c>
      <c r="W40">
        <v>7.42</v>
      </c>
      <c r="X40">
        <v>23.98</v>
      </c>
      <c r="Y40">
        <v>2</v>
      </c>
      <c r="Z40" s="31">
        <v>0.309424520433695</v>
      </c>
      <c r="AA40" s="31">
        <v>0.1</v>
      </c>
      <c r="AB40" s="1" t="str">
        <f>VLOOKUP(T:T,'9店'!$B:$B,1,0)</f>
        <v>Y93756-BL+Y93757+Y93760</v>
      </c>
      <c r="AC40" t="s">
        <v>3086</v>
      </c>
      <c r="AD40">
        <v>9867</v>
      </c>
      <c r="AE40">
        <v>130</v>
      </c>
      <c r="AF40">
        <v>56.26</v>
      </c>
      <c r="AG40">
        <v>257.47</v>
      </c>
      <c r="AH40">
        <v>18</v>
      </c>
      <c r="AI40" s="31">
        <v>0.218510894473142</v>
      </c>
      <c r="AJ40" s="31">
        <v>0.138461538461538</v>
      </c>
      <c r="AK40" s="1" t="str">
        <f>VLOOKUP(AC:AC,'9店'!$B:$B,1,0)</f>
        <v>Y93134-OR+Y93137+Y93268</v>
      </c>
      <c r="AL40" t="s">
        <v>3258</v>
      </c>
      <c r="AM40" s="102">
        <v>49.98</v>
      </c>
      <c r="AN40" s="1">
        <f t="shared" si="3"/>
        <v>342.363</v>
      </c>
      <c r="AP40" t="s">
        <v>3054</v>
      </c>
      <c r="AQ40" s="102">
        <v>47.96</v>
      </c>
      <c r="AR40" s="1">
        <f>AQ40*$AS$1</f>
        <v>328.526</v>
      </c>
      <c r="AT40" s="45" t="s">
        <v>3132</v>
      </c>
      <c r="AU40" s="44">
        <v>18839.128</v>
      </c>
      <c r="AW40" s="45" t="s">
        <v>3129</v>
      </c>
      <c r="AX40" s="44">
        <v>3220.595</v>
      </c>
      <c r="AZ40" s="47" t="s">
        <v>3080</v>
      </c>
      <c r="BA40" s="48">
        <v>5.631</v>
      </c>
      <c r="BB40" s="1" t="s">
        <v>430</v>
      </c>
    </row>
    <row r="41" spans="2:54">
      <c r="B41" t="s">
        <v>3229</v>
      </c>
      <c r="C41">
        <v>1</v>
      </c>
      <c r="D41" s="1" t="str">
        <f>VLOOKUP(B:B,'9店'!$B:$B,1,0)</f>
        <v>Y9008</v>
      </c>
      <c r="E41" t="s">
        <v>3192</v>
      </c>
      <c r="F41">
        <v>7</v>
      </c>
      <c r="G41" s="1" t="str">
        <f>VLOOKUP(E:E,'9店'!$B:$B,1,0)</f>
        <v>Y9009-BL-ZH</v>
      </c>
      <c r="H41" t="s">
        <v>3188</v>
      </c>
      <c r="I41">
        <v>3</v>
      </c>
      <c r="J41" s="1" t="str">
        <f>VLOOKUP(H:H,'9店'!$B:$B,1,0)</f>
        <v>Y93153-DB+Y93155+Y93169</v>
      </c>
      <c r="K41" t="s">
        <v>3105</v>
      </c>
      <c r="L41">
        <v>859</v>
      </c>
      <c r="M41">
        <v>8</v>
      </c>
      <c r="N41">
        <v>2.74</v>
      </c>
      <c r="O41">
        <v>12.99</v>
      </c>
      <c r="P41">
        <v>1</v>
      </c>
      <c r="Q41" s="31">
        <v>0.210931485758276</v>
      </c>
      <c r="R41" s="31">
        <v>0.125</v>
      </c>
      <c r="S41" s="1" t="str">
        <f>VLOOKUP(K:K,'9店'!$B:$B,1,0)</f>
        <v>Y93756-BL+Y93757+Y93760</v>
      </c>
      <c r="T41" t="s">
        <v>3062</v>
      </c>
      <c r="U41">
        <v>1419</v>
      </c>
      <c r="V41">
        <v>8</v>
      </c>
      <c r="W41">
        <v>2.7</v>
      </c>
      <c r="X41">
        <v>0</v>
      </c>
      <c r="Y41">
        <v>0</v>
      </c>
      <c r="Z41" s="31">
        <v>0</v>
      </c>
      <c r="AA41" s="31">
        <v>0</v>
      </c>
      <c r="AB41" s="1" t="str">
        <f>VLOOKUP(T:T,'9店'!$B:$B,1,0)</f>
        <v>Y93694-OR+Y93712+Y93744</v>
      </c>
      <c r="AC41" t="s">
        <v>3082</v>
      </c>
      <c r="AD41">
        <v>1886</v>
      </c>
      <c r="AE41">
        <v>7</v>
      </c>
      <c r="AF41">
        <v>2.65</v>
      </c>
      <c r="AG41">
        <v>12.99</v>
      </c>
      <c r="AH41">
        <v>1</v>
      </c>
      <c r="AI41" s="31">
        <v>0.204003079291763</v>
      </c>
      <c r="AJ41" s="31">
        <v>0.142857142857143</v>
      </c>
      <c r="AK41" s="1" t="str">
        <f>VLOOKUP(AC:AC,'9店'!$B:$B,1,0)</f>
        <v>Y93134-BL+Y93137+Y93268</v>
      </c>
      <c r="AL41" t="s">
        <v>3261</v>
      </c>
      <c r="AM41" s="102">
        <v>59.98</v>
      </c>
      <c r="AN41" s="1">
        <f t="shared" si="3"/>
        <v>410.863</v>
      </c>
      <c r="AP41" t="s">
        <v>3205</v>
      </c>
      <c r="AQ41" s="102">
        <v>49.96</v>
      </c>
      <c r="AR41" s="1">
        <f>AQ41*$AS$1</f>
        <v>342.226</v>
      </c>
      <c r="AT41" s="45" t="s">
        <v>3135</v>
      </c>
      <c r="AU41" s="44">
        <v>17891.055</v>
      </c>
      <c r="AW41" s="45" t="s">
        <v>3132</v>
      </c>
      <c r="AX41" s="44">
        <v>21408.1</v>
      </c>
      <c r="AZ41" s="47" t="s">
        <v>3058</v>
      </c>
      <c r="BA41" s="48">
        <v>4.911</v>
      </c>
      <c r="BB41" s="1" t="s">
        <v>430</v>
      </c>
    </row>
    <row r="42" spans="2:54">
      <c r="B42" t="s">
        <v>3108</v>
      </c>
      <c r="C42">
        <v>1</v>
      </c>
      <c r="D42" s="1" t="str">
        <f>VLOOKUP(B:B,'9店'!$B:$B,1,0)</f>
        <v>Y93758-BU+Y93759+Y93761</v>
      </c>
      <c r="E42" t="s">
        <v>3184</v>
      </c>
      <c r="F42">
        <v>1</v>
      </c>
      <c r="G42" s="1" t="str">
        <f>VLOOKUP(E:E,'9店'!$B:$B,1,0)</f>
        <v>Y93133-OR+Y93136+Y93267</v>
      </c>
      <c r="H42" t="s">
        <v>3169</v>
      </c>
      <c r="I42">
        <v>2</v>
      </c>
      <c r="J42" s="1" t="str">
        <f>VLOOKUP(H:H,'9店'!$B:$B,1,0)</f>
        <v>Y92563-BL+Y92564+Y92571</v>
      </c>
      <c r="K42" t="s">
        <v>3217</v>
      </c>
      <c r="L42">
        <v>155</v>
      </c>
      <c r="M42">
        <v>1</v>
      </c>
      <c r="N42">
        <v>0.17</v>
      </c>
      <c r="O42">
        <v>0</v>
      </c>
      <c r="P42">
        <v>0</v>
      </c>
      <c r="Q42" s="31">
        <v>0</v>
      </c>
      <c r="R42" s="31">
        <v>0</v>
      </c>
      <c r="S42" s="1" t="str">
        <f>VLOOKUP(K:K,'9店'!$B:$B,1,0)</f>
        <v>Y9007-12PC</v>
      </c>
      <c r="T42" t="s">
        <v>3157</v>
      </c>
      <c r="U42">
        <v>1353</v>
      </c>
      <c r="V42">
        <v>15</v>
      </c>
      <c r="W42">
        <v>6.24</v>
      </c>
      <c r="X42">
        <v>0</v>
      </c>
      <c r="Y42">
        <v>0</v>
      </c>
      <c r="Z42" s="31">
        <v>0</v>
      </c>
      <c r="AA42" s="31">
        <v>0</v>
      </c>
      <c r="AB42" s="1" t="str">
        <f>VLOOKUP(T:T,'9店'!$B:$B,1,0)</f>
        <v>Y93821-BU+Y93822+Y93823</v>
      </c>
      <c r="AC42" t="s">
        <v>3084</v>
      </c>
      <c r="AD42">
        <v>5100</v>
      </c>
      <c r="AE42">
        <v>53</v>
      </c>
      <c r="AF42">
        <v>23</v>
      </c>
      <c r="AG42">
        <v>94.93</v>
      </c>
      <c r="AH42">
        <v>7</v>
      </c>
      <c r="AI42" s="31">
        <v>0.242283788054356</v>
      </c>
      <c r="AJ42" s="31">
        <v>0.132075471698113</v>
      </c>
      <c r="AK42" s="1" t="str">
        <f>VLOOKUP(AC:AC,'9店'!$B:$B,1,0)</f>
        <v>Y93134-DB+Y93137+Y93268</v>
      </c>
      <c r="AL42" t="s">
        <v>3060</v>
      </c>
      <c r="AM42" s="102">
        <v>12.99</v>
      </c>
      <c r="AN42" s="1">
        <f t="shared" si="3"/>
        <v>88.9815</v>
      </c>
      <c r="AP42" t="s">
        <v>3255</v>
      </c>
      <c r="AQ42" s="102">
        <v>84.96</v>
      </c>
      <c r="AR42" s="1">
        <f>AQ42*$AS$1</f>
        <v>581.976</v>
      </c>
      <c r="AT42" s="45" t="s">
        <v>3138</v>
      </c>
      <c r="AU42" s="44">
        <v>27764.9</v>
      </c>
      <c r="AW42" s="45" t="s">
        <v>3135</v>
      </c>
      <c r="AX42" s="44">
        <v>18043.97</v>
      </c>
      <c r="AZ42" s="47" t="s">
        <v>3060</v>
      </c>
      <c r="BA42" s="48">
        <v>3.694</v>
      </c>
      <c r="BB42" s="1" t="s">
        <v>430</v>
      </c>
    </row>
    <row r="43" spans="2:54">
      <c r="B43" t="s">
        <v>3159</v>
      </c>
      <c r="C43">
        <v>1</v>
      </c>
      <c r="D43" s="1" t="str">
        <f>VLOOKUP(B:B,'9店'!$B:$B,1,0)</f>
        <v>Y93821-DB+Y93822+Y93823</v>
      </c>
      <c r="E43" t="s">
        <v>3064</v>
      </c>
      <c r="F43">
        <v>1</v>
      </c>
      <c r="G43" s="1" t="str">
        <f>VLOOKUP(E:E,'9店'!$B:$B,1,0)</f>
        <v>Y9003-BL+Y9006+Y9008</v>
      </c>
      <c r="H43" t="s">
        <v>3215</v>
      </c>
      <c r="I43">
        <v>12</v>
      </c>
      <c r="J43" s="1" t="str">
        <f>VLOOKUP(H:H,'9店'!$B:$B,1,0)</f>
        <v>Y93452-OR-ZH</v>
      </c>
      <c r="K43" t="s">
        <v>3201</v>
      </c>
      <c r="L43">
        <v>469</v>
      </c>
      <c r="M43">
        <v>5</v>
      </c>
      <c r="N43">
        <v>1.8</v>
      </c>
      <c r="O43">
        <v>12.99</v>
      </c>
      <c r="P43">
        <v>1</v>
      </c>
      <c r="Q43" s="31">
        <v>0.138568129330254</v>
      </c>
      <c r="R43" s="31">
        <v>0.2</v>
      </c>
      <c r="S43" s="1" t="str">
        <f>VLOOKUP(K:K,'9店'!$B:$B,1,0)</f>
        <v>Y92000-BL+Y92013+Y92749</v>
      </c>
      <c r="T43" t="s">
        <v>3159</v>
      </c>
      <c r="U43">
        <v>859</v>
      </c>
      <c r="V43">
        <v>18</v>
      </c>
      <c r="W43">
        <v>7.26</v>
      </c>
      <c r="X43">
        <v>25.98</v>
      </c>
      <c r="Y43">
        <v>2</v>
      </c>
      <c r="Z43" s="31">
        <v>0.279445727482679</v>
      </c>
      <c r="AA43" s="31">
        <v>0.111111111111111</v>
      </c>
      <c r="AB43" s="1" t="str">
        <f>VLOOKUP(T:T,'9店'!$B:$B,1,0)</f>
        <v>Y93821-DB+Y93822+Y93823</v>
      </c>
      <c r="AC43" t="s">
        <v>3175</v>
      </c>
      <c r="AD43">
        <v>2693</v>
      </c>
      <c r="AE43">
        <v>11</v>
      </c>
      <c r="AF43">
        <v>4.68</v>
      </c>
      <c r="AG43">
        <v>21.98</v>
      </c>
      <c r="AH43">
        <v>2</v>
      </c>
      <c r="AI43" s="31">
        <v>0.212920837124659</v>
      </c>
      <c r="AJ43" s="31">
        <v>0.181818181818182</v>
      </c>
      <c r="AK43" s="1" t="str">
        <f>VLOOKUP(AC:AC,'9店'!$B:$B,1,0)</f>
        <v>Y92610-DB+Y92613+Y92634</v>
      </c>
      <c r="AL43" t="s">
        <v>3058</v>
      </c>
      <c r="AM43" s="102">
        <v>12.99</v>
      </c>
      <c r="AN43" s="1">
        <f t="shared" si="3"/>
        <v>88.9815</v>
      </c>
      <c r="AP43" t="s">
        <v>3273</v>
      </c>
      <c r="AQ43" s="102">
        <v>120.95</v>
      </c>
      <c r="AR43" s="1">
        <f>AQ43*$AS$1</f>
        <v>828.5075</v>
      </c>
      <c r="AT43" s="45" t="s">
        <v>3141</v>
      </c>
      <c r="AU43" s="44">
        <v>264.1</v>
      </c>
      <c r="AW43" s="45" t="s">
        <v>3138</v>
      </c>
      <c r="AX43" s="44">
        <v>29139.4</v>
      </c>
      <c r="AZ43" s="47" t="s">
        <v>3062</v>
      </c>
      <c r="BA43" s="48">
        <v>2.582</v>
      </c>
      <c r="BB43" s="1" t="s">
        <v>430</v>
      </c>
    </row>
    <row r="44" spans="2:54">
      <c r="B44" t="s">
        <v>3178</v>
      </c>
      <c r="C44">
        <v>1</v>
      </c>
      <c r="D44" s="1" t="str">
        <f>VLOOKUP(B:B,'9店'!$B:$B,1,0)</f>
        <v>Y92610-OR+Y92613+Y92634</v>
      </c>
      <c r="E44" t="s">
        <v>3050</v>
      </c>
      <c r="F44">
        <v>1</v>
      </c>
      <c r="G44" s="1" t="str">
        <f>VLOOKUP(E:E,'9店'!$B:$B,1,0)</f>
        <v>Y9002-DB+Y9005</v>
      </c>
      <c r="H44" t="s">
        <v>3190</v>
      </c>
      <c r="I44">
        <v>4</v>
      </c>
      <c r="J44" s="1" t="str">
        <f>VLOOKUP(H:H,'9店'!$B:$B,1,0)</f>
        <v>Y93153-OR+Y93155+Y93169</v>
      </c>
      <c r="K44" t="s">
        <v>3205</v>
      </c>
      <c r="L44">
        <v>1194</v>
      </c>
      <c r="M44">
        <v>16</v>
      </c>
      <c r="N44">
        <v>6.09</v>
      </c>
      <c r="O44">
        <v>0</v>
      </c>
      <c r="P44">
        <v>0</v>
      </c>
      <c r="Q44" s="31">
        <v>0</v>
      </c>
      <c r="R44" s="31">
        <v>0</v>
      </c>
      <c r="S44" s="1" t="str">
        <f>VLOOKUP(K:K,'9店'!$B:$B,1,0)</f>
        <v>Y92000-OR+Y92013+Y92749</v>
      </c>
      <c r="T44" t="s">
        <v>3161</v>
      </c>
      <c r="U44">
        <v>4670</v>
      </c>
      <c r="V44">
        <v>10</v>
      </c>
      <c r="W44">
        <v>3.48</v>
      </c>
      <c r="X44">
        <v>0</v>
      </c>
      <c r="Y44">
        <v>0</v>
      </c>
      <c r="Z44" s="31">
        <v>0</v>
      </c>
      <c r="AA44" s="31">
        <v>0</v>
      </c>
      <c r="AB44" s="1" t="str">
        <f>VLOOKUP(T:T,'9店'!$B:$B,1,0)</f>
        <v>Y93821-BL+Y93822+Y93823</v>
      </c>
      <c r="AC44" t="s">
        <v>3178</v>
      </c>
      <c r="AD44">
        <v>6650</v>
      </c>
      <c r="AE44">
        <v>37</v>
      </c>
      <c r="AF44">
        <v>12.86</v>
      </c>
      <c r="AG44">
        <v>36.97</v>
      </c>
      <c r="AH44">
        <v>3</v>
      </c>
      <c r="AI44" s="31">
        <v>0.3478496077901</v>
      </c>
      <c r="AJ44" s="31">
        <v>0.0810810810810811</v>
      </c>
      <c r="AK44" s="1" t="str">
        <f>VLOOKUP(AC:AC,'9店'!$B:$B,1,0)</f>
        <v>Y92610-OR+Y92613+Y92634</v>
      </c>
      <c r="AL44" t="s">
        <v>3111</v>
      </c>
      <c r="AM44" s="102">
        <v>12.99</v>
      </c>
      <c r="AN44" s="1">
        <f t="shared" si="3"/>
        <v>88.9815</v>
      </c>
      <c r="AP44" t="s">
        <v>3333</v>
      </c>
      <c r="AQ44" s="102">
        <v>194.93</v>
      </c>
      <c r="AR44" s="1">
        <f>AQ44*$AS$1</f>
        <v>1335.2705</v>
      </c>
      <c r="AT44" s="45" t="s">
        <v>3143</v>
      </c>
      <c r="AU44" s="44">
        <v>264.1</v>
      </c>
      <c r="AW44" s="45" t="s">
        <v>3141</v>
      </c>
      <c r="AX44" s="44">
        <v>236.3</v>
      </c>
      <c r="AZ44" s="47" t="s">
        <v>3088</v>
      </c>
      <c r="BA44" s="48">
        <v>6.54</v>
      </c>
      <c r="BB44" s="1" t="s">
        <v>430</v>
      </c>
    </row>
    <row r="45" spans="2:54">
      <c r="B45" t="s">
        <v>3207</v>
      </c>
      <c r="C45">
        <v>1</v>
      </c>
      <c r="D45" s="1" t="str">
        <f>VLOOKUP(B:B,'9店'!$B:$B,1,0)</f>
        <v>Y93135-BL+Y93138+Y93269-1</v>
      </c>
      <c r="E45" t="s">
        <v>3178</v>
      </c>
      <c r="F45">
        <v>3</v>
      </c>
      <c r="G45" s="1" t="str">
        <f>VLOOKUP(E:E,'9店'!$B:$B,1,0)</f>
        <v>Y92610-OR+Y92613+Y92634</v>
      </c>
      <c r="H45" t="s">
        <v>3353</v>
      </c>
      <c r="I45">
        <v>3</v>
      </c>
      <c r="J45" s="1" t="e">
        <f>VLOOKUP(H:H,'9店'!$B:$B,1,0)</f>
        <v>#N/A</v>
      </c>
      <c r="K45" t="s">
        <v>3203</v>
      </c>
      <c r="L45">
        <v>708</v>
      </c>
      <c r="M45">
        <v>15</v>
      </c>
      <c r="N45">
        <v>5.49</v>
      </c>
      <c r="O45">
        <v>12.99</v>
      </c>
      <c r="P45">
        <v>1</v>
      </c>
      <c r="Q45" s="31">
        <v>0.422632794457275</v>
      </c>
      <c r="R45" s="31">
        <v>0.0666666666666667</v>
      </c>
      <c r="S45" s="1" t="str">
        <f>VLOOKUP(K:K,'9店'!$B:$B,1,0)</f>
        <v>Y92000-DB+Y92013+Y92749</v>
      </c>
      <c r="T45" t="s">
        <v>3217</v>
      </c>
      <c r="U45">
        <v>401</v>
      </c>
      <c r="V45">
        <v>3</v>
      </c>
      <c r="W45">
        <v>2.17</v>
      </c>
      <c r="X45">
        <v>0</v>
      </c>
      <c r="Y45">
        <v>0</v>
      </c>
      <c r="Z45" s="31">
        <v>0</v>
      </c>
      <c r="AA45" s="31">
        <v>0</v>
      </c>
      <c r="AB45" s="1" t="str">
        <f>VLOOKUP(T:T,'9店'!$B:$B,1,0)</f>
        <v>Y9007-12PC</v>
      </c>
      <c r="AC45" t="s">
        <v>3105</v>
      </c>
      <c r="AD45">
        <v>3279</v>
      </c>
      <c r="AE45">
        <v>38</v>
      </c>
      <c r="AF45">
        <v>13.39</v>
      </c>
      <c r="AG45">
        <v>36.97</v>
      </c>
      <c r="AH45">
        <v>3</v>
      </c>
      <c r="AI45" s="31">
        <v>0.3621855558561</v>
      </c>
      <c r="AJ45" s="31">
        <v>0.0789473684210526</v>
      </c>
      <c r="AK45" s="1" t="str">
        <f>VLOOKUP(AC:AC,'9店'!$B:$B,1,0)</f>
        <v>Y93756-BL+Y93757+Y93760</v>
      </c>
      <c r="AL45" t="s">
        <v>3108</v>
      </c>
      <c r="AM45" s="102">
        <v>12.99</v>
      </c>
      <c r="AN45" s="1">
        <f t="shared" si="3"/>
        <v>88.9815</v>
      </c>
      <c r="AP45" t="s">
        <v>3060</v>
      </c>
      <c r="AQ45" s="102">
        <v>38.97</v>
      </c>
      <c r="AR45" s="1">
        <f t="shared" ref="AR45:AR80" si="4">AQ45*$AS$1</f>
        <v>266.9445</v>
      </c>
      <c r="AT45" s="45" t="s">
        <v>3145</v>
      </c>
      <c r="AU45" s="44">
        <v>1574.5</v>
      </c>
      <c r="AW45" s="45" t="s">
        <v>3143</v>
      </c>
      <c r="AX45" s="44">
        <v>250.2</v>
      </c>
      <c r="AZ45" s="47" t="s">
        <v>3090</v>
      </c>
      <c r="BA45" s="48">
        <v>6.605</v>
      </c>
      <c r="BB45" s="1" t="s">
        <v>430</v>
      </c>
    </row>
    <row r="46" spans="2:54">
      <c r="B46" t="s">
        <v>3250</v>
      </c>
      <c r="C46">
        <v>1</v>
      </c>
      <c r="D46" s="1" t="str">
        <f>VLOOKUP(B:B,'9店'!$B:$B,1,0)</f>
        <v>Y9010-PI</v>
      </c>
      <c r="E46" t="s">
        <v>3105</v>
      </c>
      <c r="F46">
        <v>3</v>
      </c>
      <c r="G46" s="1" t="str">
        <f>VLOOKUP(E:E,'9店'!$B:$B,1,0)</f>
        <v>Y93756-BL+Y93757+Y93760</v>
      </c>
      <c r="H46" t="s">
        <v>3203</v>
      </c>
      <c r="I46">
        <v>7</v>
      </c>
      <c r="J46" s="1" t="str">
        <f>VLOOKUP(H:H,'9店'!$B:$B,1,0)</f>
        <v>Y92000-DB+Y92013+Y92749</v>
      </c>
      <c r="K46" t="s">
        <v>3213</v>
      </c>
      <c r="L46">
        <v>4142</v>
      </c>
      <c r="M46">
        <v>33</v>
      </c>
      <c r="N46">
        <v>10.32</v>
      </c>
      <c r="O46">
        <v>25.98</v>
      </c>
      <c r="P46">
        <v>2</v>
      </c>
      <c r="Q46" s="31">
        <v>0.397228637413395</v>
      </c>
      <c r="R46" s="31">
        <v>0.0606060606060606</v>
      </c>
      <c r="S46" s="1" t="str">
        <f>VLOOKUP(K:K,'9店'!$B:$B,1,0)</f>
        <v>Y93452-DB-ZH</v>
      </c>
      <c r="T46" t="s">
        <v>3201</v>
      </c>
      <c r="U46">
        <v>1048</v>
      </c>
      <c r="V46">
        <v>10</v>
      </c>
      <c r="W46">
        <v>3.7</v>
      </c>
      <c r="X46">
        <v>12.99</v>
      </c>
      <c r="Y46">
        <v>1</v>
      </c>
      <c r="Z46" s="31">
        <v>0.284834488067744</v>
      </c>
      <c r="AA46" s="31">
        <v>0.1</v>
      </c>
      <c r="AB46" s="1" t="str">
        <f>VLOOKUP(T:T,'9店'!$B:$B,1,0)</f>
        <v>Y92000-BL+Y92013+Y92749</v>
      </c>
      <c r="AC46" t="s">
        <v>3157</v>
      </c>
      <c r="AD46">
        <v>2619</v>
      </c>
      <c r="AE46">
        <v>28</v>
      </c>
      <c r="AF46">
        <v>11.28</v>
      </c>
      <c r="AG46">
        <v>12.99</v>
      </c>
      <c r="AH46">
        <v>1</v>
      </c>
      <c r="AI46" s="31">
        <v>0.868360277136259</v>
      </c>
      <c r="AJ46" s="31">
        <v>0.0357142857142857</v>
      </c>
      <c r="AK46" s="1" t="str">
        <f>VLOOKUP(AC:AC,'9店'!$B:$B,1,0)</f>
        <v>Y93821-BU+Y93822+Y93823</v>
      </c>
      <c r="AL46" t="s">
        <v>3354</v>
      </c>
      <c r="AM46" s="102">
        <v>12.88</v>
      </c>
      <c r="AN46" s="1">
        <f t="shared" si="3"/>
        <v>88.228</v>
      </c>
      <c r="AP46" t="s">
        <v>3108</v>
      </c>
      <c r="AQ46" s="102">
        <v>34.97</v>
      </c>
      <c r="AR46" s="1">
        <f t="shared" si="4"/>
        <v>239.5445</v>
      </c>
      <c r="AT46" s="45" t="s">
        <v>3148</v>
      </c>
      <c r="AU46" s="44">
        <v>5795.5</v>
      </c>
      <c r="AW46" s="45" t="s">
        <v>3145</v>
      </c>
      <c r="AX46" s="44">
        <v>2881</v>
      </c>
      <c r="AZ46" s="47" t="s">
        <v>3092</v>
      </c>
      <c r="BA46" s="48">
        <v>6.585</v>
      </c>
      <c r="BB46" s="1" t="s">
        <v>430</v>
      </c>
    </row>
    <row r="47" spans="2:54">
      <c r="B47" t="s">
        <v>3267</v>
      </c>
      <c r="C47">
        <v>3</v>
      </c>
      <c r="D47" s="1" t="str">
        <f>VLOOKUP(B:B,'9店'!$B:$B,1,0)</f>
        <v>Y9020-GA</v>
      </c>
      <c r="E47" t="s">
        <v>3169</v>
      </c>
      <c r="F47">
        <v>1</v>
      </c>
      <c r="G47" s="1" t="str">
        <f>VLOOKUP(E:E,'9店'!$B:$B,1,0)</f>
        <v>Y92563-BL+Y92564+Y92571</v>
      </c>
      <c r="H47" t="s">
        <v>3229</v>
      </c>
      <c r="I47">
        <v>7</v>
      </c>
      <c r="J47" s="1" t="str">
        <f>VLOOKUP(H:H,'9店'!$B:$B,1,0)</f>
        <v>Y9008</v>
      </c>
      <c r="K47" t="s">
        <v>3215</v>
      </c>
      <c r="L47">
        <v>3012</v>
      </c>
      <c r="M47">
        <v>36</v>
      </c>
      <c r="N47">
        <v>11.76</v>
      </c>
      <c r="O47">
        <v>38.97</v>
      </c>
      <c r="P47">
        <v>3</v>
      </c>
      <c r="Q47" s="31">
        <v>0.301770592763664</v>
      </c>
      <c r="R47" s="31">
        <v>0.0833333333333333</v>
      </c>
      <c r="S47" s="1" t="str">
        <f>VLOOKUP(K:K,'9店'!$B:$B,1,0)</f>
        <v>Y93452-OR-ZH</v>
      </c>
      <c r="T47" t="s">
        <v>3205</v>
      </c>
      <c r="U47">
        <v>2618</v>
      </c>
      <c r="V47">
        <v>37</v>
      </c>
      <c r="W47">
        <v>14.08</v>
      </c>
      <c r="X47">
        <v>49.96</v>
      </c>
      <c r="Y47">
        <v>4</v>
      </c>
      <c r="Z47" s="31">
        <v>0.281825460368295</v>
      </c>
      <c r="AA47" s="31">
        <v>0.108108108108108</v>
      </c>
      <c r="AB47" s="1" t="str">
        <f>VLOOKUP(T:T,'9店'!$B:$B,1,0)</f>
        <v>Y92000-OR+Y92013+Y92749</v>
      </c>
      <c r="AC47" t="s">
        <v>3159</v>
      </c>
      <c r="AD47">
        <v>1864</v>
      </c>
      <c r="AE47">
        <v>37</v>
      </c>
      <c r="AF47">
        <v>15</v>
      </c>
      <c r="AG47">
        <v>51.63</v>
      </c>
      <c r="AH47">
        <v>4</v>
      </c>
      <c r="AI47" s="31">
        <v>0.290528762347472</v>
      </c>
      <c r="AJ47" s="31">
        <v>0.108108108108108</v>
      </c>
      <c r="AK47" s="1" t="str">
        <f>VLOOKUP(AC:AC,'9店'!$B:$B,1,0)</f>
        <v>Y93821-DB+Y93822+Y93823</v>
      </c>
      <c r="AL47" t="s">
        <v>3159</v>
      </c>
      <c r="AM47" s="102">
        <v>0</v>
      </c>
      <c r="AN47" s="1">
        <f t="shared" si="3"/>
        <v>0</v>
      </c>
      <c r="AP47" t="s">
        <v>3105</v>
      </c>
      <c r="AQ47" s="102">
        <v>36.64</v>
      </c>
      <c r="AR47" s="1">
        <f t="shared" si="4"/>
        <v>250.984</v>
      </c>
      <c r="AT47" s="45" t="s">
        <v>3151</v>
      </c>
      <c r="AU47" s="44">
        <v>167.5</v>
      </c>
      <c r="AW47" s="45" t="s">
        <v>3148</v>
      </c>
      <c r="AX47" s="44">
        <v>5862.5</v>
      </c>
      <c r="AZ47" s="47" t="s">
        <v>3141</v>
      </c>
      <c r="BA47" s="48">
        <v>6.133</v>
      </c>
      <c r="BB47" s="1" t="s">
        <v>430</v>
      </c>
    </row>
    <row r="48" spans="2:54">
      <c r="B48" t="s">
        <v>3261</v>
      </c>
      <c r="C48">
        <v>2</v>
      </c>
      <c r="D48" s="1" t="str">
        <f>VLOOKUP(B:B,'9店'!$B:$B,1,0)</f>
        <v>Y9019-GA</v>
      </c>
      <c r="E48" t="s">
        <v>3066</v>
      </c>
      <c r="F48">
        <v>2</v>
      </c>
      <c r="G48" s="1" t="str">
        <f>VLOOKUP(E:E,'9店'!$B:$B,1,0)</f>
        <v>Y9003-BU+Y9006+Y9008</v>
      </c>
      <c r="H48" t="s">
        <v>3182</v>
      </c>
      <c r="I48">
        <v>1</v>
      </c>
      <c r="J48" s="1" t="str">
        <f>VLOOKUP(H:H,'9店'!$B:$B,1,0)</f>
        <v>Y93133-DB+Y93136+Y93267</v>
      </c>
      <c r="K48" t="s">
        <v>3169</v>
      </c>
      <c r="L48">
        <v>392</v>
      </c>
      <c r="M48">
        <v>7</v>
      </c>
      <c r="N48">
        <v>2.25</v>
      </c>
      <c r="O48">
        <v>12.99</v>
      </c>
      <c r="P48">
        <v>1</v>
      </c>
      <c r="Q48" s="31">
        <v>0.173210161662818</v>
      </c>
      <c r="R48" s="31">
        <v>0.142857142857143</v>
      </c>
      <c r="S48" s="1" t="str">
        <f>VLOOKUP(K:K,'9店'!$B:$B,1,0)</f>
        <v>Y92563-BL+Y92564+Y92571</v>
      </c>
      <c r="T48" t="s">
        <v>3203</v>
      </c>
      <c r="U48">
        <v>1561</v>
      </c>
      <c r="V48">
        <v>30</v>
      </c>
      <c r="W48">
        <v>11.06</v>
      </c>
      <c r="X48">
        <v>23.98</v>
      </c>
      <c r="Y48">
        <v>2</v>
      </c>
      <c r="Z48" s="31">
        <v>0.461217681401168</v>
      </c>
      <c r="AA48" s="31">
        <v>0.0666666666666667</v>
      </c>
      <c r="AB48" s="1" t="str">
        <f>VLOOKUP(T:T,'9店'!$B:$B,1,0)</f>
        <v>Y92000-DB+Y92013+Y92749</v>
      </c>
      <c r="AC48" t="s">
        <v>3161</v>
      </c>
      <c r="AD48">
        <v>7350</v>
      </c>
      <c r="AE48">
        <v>27</v>
      </c>
      <c r="AF48">
        <v>10.45</v>
      </c>
      <c r="AG48">
        <v>25.98</v>
      </c>
      <c r="AH48">
        <v>2</v>
      </c>
      <c r="AI48" s="31">
        <v>0.402232486528099</v>
      </c>
      <c r="AJ48" s="31">
        <v>0.0740740740740741</v>
      </c>
      <c r="AK48" s="1" t="str">
        <f>VLOOKUP(AC:AC,'9店'!$B:$B,1,0)</f>
        <v>Y93821-BL+Y93822+Y93823</v>
      </c>
      <c r="AL48" t="s">
        <v>3355</v>
      </c>
      <c r="AM48" s="102">
        <v>18.99</v>
      </c>
      <c r="AN48" s="1">
        <f t="shared" si="3"/>
        <v>130.0815</v>
      </c>
      <c r="AP48" t="s">
        <v>3159</v>
      </c>
      <c r="AQ48" s="102">
        <v>25.98</v>
      </c>
      <c r="AR48" s="1">
        <f t="shared" si="4"/>
        <v>177.963</v>
      </c>
      <c r="AT48" s="45" t="s">
        <v>3154</v>
      </c>
      <c r="AU48" s="44">
        <v>5293</v>
      </c>
      <c r="AW48" s="45" t="s">
        <v>3151</v>
      </c>
      <c r="AX48" s="44">
        <v>5996.5</v>
      </c>
      <c r="AZ48" s="47" t="s">
        <v>3143</v>
      </c>
      <c r="BA48" s="48">
        <v>6.22</v>
      </c>
      <c r="BB48" s="1" t="s">
        <v>430</v>
      </c>
    </row>
    <row r="49" spans="2:54">
      <c r="B49" t="s">
        <v>3341</v>
      </c>
      <c r="C49">
        <v>1</v>
      </c>
      <c r="D49" s="1" t="e">
        <f>VLOOKUP(B:B,'9店'!$B:$B,1,0)</f>
        <v>#N/A</v>
      </c>
      <c r="E49" t="s">
        <v>3186</v>
      </c>
      <c r="F49">
        <v>1</v>
      </c>
      <c r="G49" s="1" t="str">
        <f>VLOOKUP(E:E,'9店'!$B:$B,1,0)</f>
        <v>Y93153-BL+Y93155+Y93169</v>
      </c>
      <c r="H49" t="s">
        <v>3184</v>
      </c>
      <c r="I49">
        <v>1</v>
      </c>
      <c r="J49" s="1" t="str">
        <f>VLOOKUP(H:H,'9店'!$B:$B,1,0)</f>
        <v>Y93133-OR+Y93136+Y93267</v>
      </c>
      <c r="K49" t="s">
        <v>3171</v>
      </c>
      <c r="L49">
        <v>474</v>
      </c>
      <c r="M49">
        <v>4</v>
      </c>
      <c r="N49">
        <v>1.3</v>
      </c>
      <c r="O49">
        <v>0</v>
      </c>
      <c r="P49">
        <v>0</v>
      </c>
      <c r="Q49" s="31">
        <v>0</v>
      </c>
      <c r="R49" s="31">
        <v>0</v>
      </c>
      <c r="S49" s="1" t="str">
        <f>VLOOKUP(K:K,'9店'!$B:$B,1,0)</f>
        <v>Y92563-OR+Y92564+Y92571</v>
      </c>
      <c r="T49" t="s">
        <v>3213</v>
      </c>
      <c r="U49">
        <v>6563</v>
      </c>
      <c r="V49">
        <v>59</v>
      </c>
      <c r="W49">
        <v>18.51</v>
      </c>
      <c r="X49">
        <v>38.97</v>
      </c>
      <c r="Y49">
        <v>3</v>
      </c>
      <c r="Z49" s="31">
        <v>0.474980754426482</v>
      </c>
      <c r="AA49" s="31">
        <v>0.0508474576271187</v>
      </c>
      <c r="AB49" s="1" t="str">
        <f>VLOOKUP(T:T,'9店'!$B:$B,1,0)</f>
        <v>Y93452-DB-ZH</v>
      </c>
      <c r="AC49" t="s">
        <v>3217</v>
      </c>
      <c r="AD49">
        <v>708</v>
      </c>
      <c r="AE49">
        <v>5</v>
      </c>
      <c r="AF49">
        <v>2.91</v>
      </c>
      <c r="AG49">
        <v>26.98</v>
      </c>
      <c r="AH49">
        <v>2</v>
      </c>
      <c r="AI49" s="31">
        <v>0.107857672349889</v>
      </c>
      <c r="AJ49" s="31">
        <v>0.4</v>
      </c>
      <c r="AK49" s="1" t="str">
        <f>VLOOKUP(AC:AC,'9店'!$B:$B,1,0)</f>
        <v>Y9007-12PC</v>
      </c>
      <c r="AL49" t="s">
        <v>3141</v>
      </c>
      <c r="AM49" s="102">
        <v>12.99</v>
      </c>
      <c r="AN49" s="1">
        <f t="shared" si="3"/>
        <v>88.9815</v>
      </c>
      <c r="AP49" t="s">
        <v>3141</v>
      </c>
      <c r="AQ49" s="102">
        <v>38.97</v>
      </c>
      <c r="AR49" s="1">
        <f t="shared" si="4"/>
        <v>266.9445</v>
      </c>
      <c r="AT49" s="45" t="s">
        <v>3157</v>
      </c>
      <c r="AU49" s="44">
        <v>69.5</v>
      </c>
      <c r="AW49" s="45" t="s">
        <v>3154</v>
      </c>
      <c r="AX49" s="44">
        <v>5996.5</v>
      </c>
      <c r="AZ49" s="47" t="s">
        <v>3356</v>
      </c>
      <c r="BA49" s="48">
        <v>6.757</v>
      </c>
      <c r="BB49" s="1" t="s">
        <v>430</v>
      </c>
    </row>
    <row r="50" spans="2:54">
      <c r="B50" t="s">
        <v>3171</v>
      </c>
      <c r="C50">
        <v>2</v>
      </c>
      <c r="D50" s="1" t="str">
        <f>VLOOKUP(B:B,'9店'!$B:$B,1,0)</f>
        <v>Y92563-OR+Y92564+Y92571</v>
      </c>
      <c r="E50" t="s">
        <v>3195</v>
      </c>
      <c r="F50">
        <v>9</v>
      </c>
      <c r="G50" s="1" t="str">
        <f>VLOOKUP(E:E,'9店'!$B:$B,1,0)</f>
        <v>Y9009-BU-ZH</v>
      </c>
      <c r="H50" t="s">
        <v>3056</v>
      </c>
      <c r="I50">
        <v>17</v>
      </c>
      <c r="J50" s="1" t="str">
        <f>VLOOKUP(H:H,'9店'!$B:$B,1,0)</f>
        <v>Y93475-DB+Y92615+Y93478</v>
      </c>
      <c r="K50" t="s">
        <v>3197</v>
      </c>
      <c r="L50">
        <v>71</v>
      </c>
      <c r="M50">
        <v>5</v>
      </c>
      <c r="N50">
        <v>2.15</v>
      </c>
      <c r="O50">
        <v>12.99</v>
      </c>
      <c r="P50">
        <v>1</v>
      </c>
      <c r="Q50" s="31">
        <v>0.165511932255581</v>
      </c>
      <c r="R50" s="31">
        <v>0.2</v>
      </c>
      <c r="S50" s="1" t="str">
        <f>VLOOKUP(K:K,'9店'!$B:$B,1,0)</f>
        <v>Y9009-DB-ZH</v>
      </c>
      <c r="T50" t="s">
        <v>3215</v>
      </c>
      <c r="U50">
        <v>9593</v>
      </c>
      <c r="V50">
        <v>108</v>
      </c>
      <c r="W50">
        <v>35.29</v>
      </c>
      <c r="X50">
        <v>132.89</v>
      </c>
      <c r="Y50">
        <v>11</v>
      </c>
      <c r="Z50" s="31">
        <v>0.265557980284446</v>
      </c>
      <c r="AA50" s="31">
        <v>0.101851851851852</v>
      </c>
      <c r="AB50" s="1" t="str">
        <f>VLOOKUP(T:T,'9店'!$B:$B,1,0)</f>
        <v>Y93452-OR-ZH</v>
      </c>
      <c r="AC50" t="s">
        <v>3201</v>
      </c>
      <c r="AD50">
        <v>2287</v>
      </c>
      <c r="AE50">
        <v>20</v>
      </c>
      <c r="AF50">
        <v>7.24</v>
      </c>
      <c r="AG50">
        <v>25.98</v>
      </c>
      <c r="AH50">
        <v>2</v>
      </c>
      <c r="AI50" s="31">
        <v>0.278675904541955</v>
      </c>
      <c r="AJ50" s="31">
        <v>0.1</v>
      </c>
      <c r="AK50" s="1" t="str">
        <f>VLOOKUP(AC:AC,'9店'!$B:$B,1,0)</f>
        <v>Y92000-BL+Y92013+Y92749</v>
      </c>
      <c r="AL50" t="s">
        <v>3188</v>
      </c>
      <c r="AM50" s="102">
        <v>12.99</v>
      </c>
      <c r="AN50" s="1">
        <f t="shared" si="3"/>
        <v>88.9815</v>
      </c>
      <c r="AP50" t="s">
        <v>3178</v>
      </c>
      <c r="AQ50" s="102">
        <v>36.97</v>
      </c>
      <c r="AR50" s="1">
        <f t="shared" si="4"/>
        <v>253.2445</v>
      </c>
      <c r="AT50" s="45" t="s">
        <v>3159</v>
      </c>
      <c r="AU50" s="44">
        <v>27.8</v>
      </c>
      <c r="AW50" s="45" t="s">
        <v>3157</v>
      </c>
      <c r="AX50" s="44">
        <v>83.4</v>
      </c>
      <c r="AZ50" s="47" t="s">
        <v>3186</v>
      </c>
      <c r="BA50" s="48">
        <v>6.701</v>
      </c>
      <c r="BB50" s="1" t="s">
        <v>430</v>
      </c>
    </row>
    <row r="51" spans="2:54">
      <c r="B51" t="s">
        <v>3199</v>
      </c>
      <c r="C51">
        <v>1</v>
      </c>
      <c r="D51" s="1" t="str">
        <f>VLOOKUP(B:B,'9店'!$B:$B,1,0)</f>
        <v>Y9009-OR-ZH</v>
      </c>
      <c r="E51" t="s">
        <v>3197</v>
      </c>
      <c r="F51">
        <v>3</v>
      </c>
      <c r="G51" s="1" t="str">
        <f>VLOOKUP(E:E,'9店'!$B:$B,1,0)</f>
        <v>Y9009-DB-ZH</v>
      </c>
      <c r="H51" t="s">
        <v>3207</v>
      </c>
      <c r="I51">
        <v>8</v>
      </c>
      <c r="J51" s="1" t="str">
        <f>VLOOKUP(H:H,'9店'!$B:$B,1,0)</f>
        <v>Y93135-BL+Y93138+Y93269-1</v>
      </c>
      <c r="K51" t="s">
        <v>3199</v>
      </c>
      <c r="L51">
        <v>2677</v>
      </c>
      <c r="M51">
        <v>15</v>
      </c>
      <c r="N51">
        <v>6.02</v>
      </c>
      <c r="O51">
        <v>12.99</v>
      </c>
      <c r="P51">
        <v>1</v>
      </c>
      <c r="Q51" s="31">
        <v>0.463433410315627</v>
      </c>
      <c r="R51" s="31">
        <v>0.0666666666666667</v>
      </c>
      <c r="S51" s="1" t="str">
        <f>VLOOKUP(K:K,'9店'!$B:$B,1,0)</f>
        <v>Y9009-OR-ZH</v>
      </c>
      <c r="T51" t="s">
        <v>3169</v>
      </c>
      <c r="U51">
        <v>750</v>
      </c>
      <c r="V51">
        <v>7</v>
      </c>
      <c r="W51">
        <v>2.25</v>
      </c>
      <c r="X51">
        <v>12.99</v>
      </c>
      <c r="Y51">
        <v>1</v>
      </c>
      <c r="Z51" s="31">
        <v>0.173210161662818</v>
      </c>
      <c r="AA51" s="31">
        <v>0.142857142857143</v>
      </c>
      <c r="AB51" s="1" t="str">
        <f>VLOOKUP(T:T,'9店'!$B:$B,1,0)</f>
        <v>Y92563-BL+Y92564+Y92571</v>
      </c>
      <c r="AC51" t="s">
        <v>3205</v>
      </c>
      <c r="AD51">
        <v>4809</v>
      </c>
      <c r="AE51">
        <v>57</v>
      </c>
      <c r="AF51">
        <v>21.52</v>
      </c>
      <c r="AG51">
        <v>75.94</v>
      </c>
      <c r="AH51">
        <v>6</v>
      </c>
      <c r="AI51" s="31">
        <v>0.283381617066105</v>
      </c>
      <c r="AJ51" s="31">
        <v>0.105263157894737</v>
      </c>
      <c r="AK51" s="1" t="str">
        <f>VLOOKUP(AC:AC,'9店'!$B:$B,1,0)</f>
        <v>Y92000-OR+Y92013+Y92749</v>
      </c>
      <c r="AL51" t="s">
        <v>3186</v>
      </c>
      <c r="AM51" s="102">
        <v>12.99</v>
      </c>
      <c r="AN51" s="1">
        <f t="shared" si="3"/>
        <v>88.9815</v>
      </c>
      <c r="AP51" t="s">
        <v>3197</v>
      </c>
      <c r="AQ51" s="102">
        <v>38.97</v>
      </c>
      <c r="AR51" s="1">
        <f t="shared" si="4"/>
        <v>266.9445</v>
      </c>
      <c r="AT51" s="45" t="s">
        <v>3161</v>
      </c>
      <c r="AU51" s="44">
        <v>97.3</v>
      </c>
      <c r="AW51" s="45" t="s">
        <v>3159</v>
      </c>
      <c r="AX51" s="44">
        <v>83.4</v>
      </c>
      <c r="AZ51" s="47" t="s">
        <v>3190</v>
      </c>
      <c r="BA51" s="48">
        <v>6.651</v>
      </c>
      <c r="BB51" s="1" t="s">
        <v>430</v>
      </c>
    </row>
    <row r="52" spans="2:54">
      <c r="B52" t="s">
        <v>3357</v>
      </c>
      <c r="C52">
        <v>1</v>
      </c>
      <c r="D52" s="1" t="e">
        <f>VLOOKUP(B:B,'9店'!$B:$B,1,0)</f>
        <v>#N/A</v>
      </c>
      <c r="E52" t="s">
        <v>3255</v>
      </c>
      <c r="F52">
        <v>4</v>
      </c>
      <c r="G52" s="1" t="str">
        <f>VLOOKUP(E:E,'9店'!$B:$B,1,0)</f>
        <v>Y9018-GA</v>
      </c>
      <c r="H52" t="s">
        <v>3358</v>
      </c>
      <c r="I52">
        <v>1</v>
      </c>
      <c r="J52" s="1" t="e">
        <f>VLOOKUP(H:H,'9店'!$B:$B,1,0)</f>
        <v>#N/A</v>
      </c>
      <c r="K52" t="s">
        <v>3192</v>
      </c>
      <c r="L52">
        <v>69</v>
      </c>
      <c r="M52">
        <v>1</v>
      </c>
      <c r="N52">
        <v>0.43</v>
      </c>
      <c r="O52">
        <v>11.66</v>
      </c>
      <c r="P52">
        <v>1</v>
      </c>
      <c r="Q52" s="31">
        <v>0.0368782161234991</v>
      </c>
      <c r="R52" s="31">
        <v>1</v>
      </c>
      <c r="S52" s="1" t="str">
        <f>VLOOKUP(K:K,'9店'!$B:$B,1,0)</f>
        <v>Y9009-BL-ZH</v>
      </c>
      <c r="T52" t="s">
        <v>3171</v>
      </c>
      <c r="U52">
        <v>1065</v>
      </c>
      <c r="V52">
        <v>9</v>
      </c>
      <c r="W52">
        <v>2.9</v>
      </c>
      <c r="X52">
        <v>23.98</v>
      </c>
      <c r="Y52">
        <v>2</v>
      </c>
      <c r="Z52" s="31">
        <v>0.1209341117598</v>
      </c>
      <c r="AA52" s="31">
        <v>0.222222222222222</v>
      </c>
      <c r="AB52" s="1" t="str">
        <f>VLOOKUP(T:T,'9店'!$B:$B,1,0)</f>
        <v>Y92563-OR+Y92564+Y92571</v>
      </c>
      <c r="AC52" t="s">
        <v>3203</v>
      </c>
      <c r="AD52">
        <v>3042</v>
      </c>
      <c r="AE52">
        <v>63</v>
      </c>
      <c r="AF52">
        <v>23.62</v>
      </c>
      <c r="AG52">
        <v>88.93</v>
      </c>
      <c r="AH52">
        <v>7</v>
      </c>
      <c r="AI52" s="31">
        <v>0.265602159001462</v>
      </c>
      <c r="AJ52" s="31">
        <v>0.111111111111111</v>
      </c>
      <c r="AK52" s="1" t="str">
        <f>VLOOKUP(AC:AC,'9店'!$B:$B,1,0)</f>
        <v>Y92000-DB+Y92013+Y92749</v>
      </c>
      <c r="AL52" t="s">
        <v>3178</v>
      </c>
      <c r="AM52" s="102">
        <v>12.99</v>
      </c>
      <c r="AN52" s="1">
        <f t="shared" si="3"/>
        <v>88.9815</v>
      </c>
      <c r="AP52" t="s">
        <v>3211</v>
      </c>
      <c r="AQ52" s="102">
        <v>36.97</v>
      </c>
      <c r="AR52" s="1">
        <f t="shared" si="4"/>
        <v>253.2445</v>
      </c>
      <c r="AT52" s="45" t="s">
        <v>3164</v>
      </c>
      <c r="AU52" s="44">
        <v>139</v>
      </c>
      <c r="AW52" s="45" t="s">
        <v>3359</v>
      </c>
      <c r="AX52" s="44">
        <v>13.9</v>
      </c>
      <c r="AZ52" s="47" t="s">
        <v>3188</v>
      </c>
      <c r="BA52" s="48">
        <v>6.76</v>
      </c>
      <c r="BB52" s="1" t="s">
        <v>430</v>
      </c>
    </row>
    <row r="53" spans="2:54">
      <c r="B53" t="s">
        <v>3238</v>
      </c>
      <c r="C53">
        <v>2</v>
      </c>
      <c r="D53" s="1" t="str">
        <f>VLOOKUP(B:B,'9店'!$B:$B,1,0)</f>
        <v>Y9009-KH</v>
      </c>
      <c r="E53" t="s">
        <v>3060</v>
      </c>
      <c r="F53">
        <v>3</v>
      </c>
      <c r="G53" s="1" t="str">
        <f>VLOOKUP(E:E,'9店'!$B:$B,1,0)</f>
        <v>Y93694-BU+Y93712+Y93744</v>
      </c>
      <c r="H53" t="s">
        <v>3195</v>
      </c>
      <c r="I53">
        <v>11</v>
      </c>
      <c r="J53" s="1" t="str">
        <f>VLOOKUP(H:H,'9店'!$B:$B,1,0)</f>
        <v>Y9009-BU-ZH</v>
      </c>
      <c r="K53" t="s">
        <v>3195</v>
      </c>
      <c r="L53">
        <v>353</v>
      </c>
      <c r="M53">
        <v>6</v>
      </c>
      <c r="N53">
        <v>2.45</v>
      </c>
      <c r="O53">
        <v>0</v>
      </c>
      <c r="P53">
        <v>0</v>
      </c>
      <c r="Q53" s="31">
        <v>0</v>
      </c>
      <c r="R53" s="31">
        <v>0</v>
      </c>
      <c r="S53" s="1" t="str">
        <f>VLOOKUP(K:K,'9店'!$B:$B,1,0)</f>
        <v>Y9009-BU-ZH</v>
      </c>
      <c r="T53" t="s">
        <v>3197</v>
      </c>
      <c r="U53">
        <v>526</v>
      </c>
      <c r="V53">
        <v>18</v>
      </c>
      <c r="W53">
        <v>7.59</v>
      </c>
      <c r="X53">
        <v>51.96</v>
      </c>
      <c r="Y53">
        <v>4</v>
      </c>
      <c r="Z53" s="31">
        <v>0.146073903002309</v>
      </c>
      <c r="AA53" s="31">
        <v>0.222222222222222</v>
      </c>
      <c r="AB53" s="1" t="str">
        <f>VLOOKUP(T:T,'9店'!$B:$B,1,0)</f>
        <v>Y9009-DB-ZH</v>
      </c>
      <c r="AC53" t="s">
        <v>3213</v>
      </c>
      <c r="AD53">
        <v>14210</v>
      </c>
      <c r="AE53">
        <v>150</v>
      </c>
      <c r="AF53">
        <v>47.93</v>
      </c>
      <c r="AG53">
        <v>90.93</v>
      </c>
      <c r="AH53">
        <v>7</v>
      </c>
      <c r="AI53" s="31">
        <v>0.527108764984054</v>
      </c>
      <c r="AJ53" s="31">
        <v>0.0466666666666667</v>
      </c>
      <c r="AK53" s="1" t="str">
        <f>VLOOKUP(AC:AC,'9店'!$B:$B,1,0)</f>
        <v>Y93452-DB-ZH</v>
      </c>
      <c r="AL53" t="s">
        <v>3341</v>
      </c>
      <c r="AM53" s="102">
        <v>12.99</v>
      </c>
      <c r="AN53" s="1">
        <f t="shared" si="3"/>
        <v>88.9815</v>
      </c>
      <c r="AP53" t="s">
        <v>3207</v>
      </c>
      <c r="AQ53" s="102">
        <v>36.97</v>
      </c>
      <c r="AR53" s="1">
        <f t="shared" si="4"/>
        <v>253.2445</v>
      </c>
      <c r="AT53" s="45" t="s">
        <v>3167</v>
      </c>
      <c r="AU53" s="44">
        <v>139</v>
      </c>
      <c r="AW53" s="45" t="s">
        <v>3161</v>
      </c>
      <c r="AX53" s="44">
        <v>194.6</v>
      </c>
      <c r="AZ53" s="47" t="s">
        <v>3358</v>
      </c>
      <c r="BA53" s="48">
        <v>6</v>
      </c>
      <c r="BB53" s="1" t="s">
        <v>430</v>
      </c>
    </row>
    <row r="54" spans="2:54">
      <c r="B54" t="s">
        <v>3264</v>
      </c>
      <c r="C54">
        <v>3</v>
      </c>
      <c r="D54" s="1" t="str">
        <f>VLOOKUP(B:B,'9店'!$B:$B,1,0)</f>
        <v>Y9019-GN</v>
      </c>
      <c r="E54" t="s">
        <v>3201</v>
      </c>
      <c r="F54">
        <v>5</v>
      </c>
      <c r="G54" s="1" t="str">
        <f>VLOOKUP(E:E,'9店'!$B:$B,1,0)</f>
        <v>Y92000-BL+Y92013+Y92749</v>
      </c>
      <c r="H54" t="s">
        <v>3211</v>
      </c>
      <c r="I54">
        <v>3</v>
      </c>
      <c r="J54" s="1" t="str">
        <f>VLOOKUP(H:H,'9店'!$B:$B,1,0)</f>
        <v>Y93135-OR+Y93138+Y93269</v>
      </c>
      <c r="K54" t="s">
        <v>3182</v>
      </c>
      <c r="L54">
        <v>125</v>
      </c>
      <c r="M54">
        <v>1</v>
      </c>
      <c r="N54">
        <v>0.19</v>
      </c>
      <c r="O54">
        <v>0</v>
      </c>
      <c r="P54">
        <v>0</v>
      </c>
      <c r="Q54" s="31">
        <v>0</v>
      </c>
      <c r="R54" s="31">
        <v>0</v>
      </c>
      <c r="S54" s="1" t="str">
        <f>VLOOKUP(K:K,'9店'!$B:$B,1,0)</f>
        <v>Y93133-DB+Y93136+Y93267</v>
      </c>
      <c r="T54" t="s">
        <v>3199</v>
      </c>
      <c r="U54">
        <v>4388</v>
      </c>
      <c r="V54">
        <v>34</v>
      </c>
      <c r="W54">
        <v>14.12</v>
      </c>
      <c r="X54">
        <v>47.96</v>
      </c>
      <c r="Y54">
        <v>3</v>
      </c>
      <c r="Z54" s="31">
        <v>0.29441201000834</v>
      </c>
      <c r="AA54" s="31">
        <v>0.0882352941176471</v>
      </c>
      <c r="AB54" s="1" t="str">
        <f>VLOOKUP(T:T,'9店'!$B:$B,1,0)</f>
        <v>Y9009-OR-ZH</v>
      </c>
      <c r="AC54" t="s">
        <v>3215</v>
      </c>
      <c r="AD54">
        <v>14129</v>
      </c>
      <c r="AE54">
        <v>158</v>
      </c>
      <c r="AF54">
        <v>50.07</v>
      </c>
      <c r="AG54">
        <v>184.85</v>
      </c>
      <c r="AH54">
        <v>15</v>
      </c>
      <c r="AI54" s="31">
        <v>0.270868271571545</v>
      </c>
      <c r="AJ54" s="31">
        <v>0.0949367088607595</v>
      </c>
      <c r="AK54" s="1" t="str">
        <f>VLOOKUP(AC:AC,'9店'!$B:$B,1,0)</f>
        <v>Y93452-OR-ZH</v>
      </c>
      <c r="AL54" t="s">
        <v>3048</v>
      </c>
      <c r="AM54" s="102">
        <v>12.99</v>
      </c>
      <c r="AN54" s="1">
        <f t="shared" si="3"/>
        <v>88.9815</v>
      </c>
      <c r="AP54" t="s">
        <v>3238</v>
      </c>
      <c r="AQ54" s="102">
        <v>149.97</v>
      </c>
      <c r="AR54" s="1">
        <f t="shared" si="4"/>
        <v>1027.2945</v>
      </c>
      <c r="AT54" s="45" t="s">
        <v>3169</v>
      </c>
      <c r="AU54" s="44">
        <v>152.9</v>
      </c>
      <c r="AW54" s="45" t="s">
        <v>3164</v>
      </c>
      <c r="AX54" s="44">
        <v>139</v>
      </c>
      <c r="AZ54" s="47" t="s">
        <v>3094</v>
      </c>
      <c r="BA54" s="48">
        <v>6.284</v>
      </c>
      <c r="BB54" s="1" t="s">
        <v>430</v>
      </c>
    </row>
    <row r="55" spans="2:54">
      <c r="B55" t="s">
        <v>3270</v>
      </c>
      <c r="C55">
        <v>1</v>
      </c>
      <c r="D55" s="1" t="str">
        <f>VLOOKUP(B:B,'9店'!$B:$B,1,0)</f>
        <v>Y9020-GN</v>
      </c>
      <c r="E55" t="s">
        <v>3100</v>
      </c>
      <c r="F55">
        <v>1</v>
      </c>
      <c r="G55" s="1" t="str">
        <f>VLOOKUP(E:E,'9店'!$B:$B,1,0)</f>
        <v>Y9029-OR+Y9030+Y9031</v>
      </c>
      <c r="H55" t="s">
        <v>3209</v>
      </c>
      <c r="I55">
        <v>5</v>
      </c>
      <c r="J55" s="1" t="str">
        <f>VLOOKUP(H:H,'9店'!$B:$B,1,0)</f>
        <v>Y93135-DB+Y93138+Y93269</v>
      </c>
      <c r="K55" t="s">
        <v>3184</v>
      </c>
      <c r="L55">
        <v>551</v>
      </c>
      <c r="M55">
        <v>2</v>
      </c>
      <c r="N55">
        <v>0.74</v>
      </c>
      <c r="O55">
        <v>0</v>
      </c>
      <c r="P55">
        <v>0</v>
      </c>
      <c r="Q55" s="31">
        <v>0</v>
      </c>
      <c r="R55" s="31">
        <v>0</v>
      </c>
      <c r="S55" s="1" t="str">
        <f>VLOOKUP(K:K,'9店'!$B:$B,1,0)</f>
        <v>Y93133-OR+Y93136+Y93267</v>
      </c>
      <c r="T55" t="s">
        <v>3192</v>
      </c>
      <c r="U55">
        <v>779</v>
      </c>
      <c r="V55">
        <v>9</v>
      </c>
      <c r="W55">
        <v>3.83</v>
      </c>
      <c r="X55">
        <v>24.65</v>
      </c>
      <c r="Y55">
        <v>2</v>
      </c>
      <c r="Z55" s="31">
        <v>0.155375253549696</v>
      </c>
      <c r="AA55" s="31">
        <v>0.222222222222222</v>
      </c>
      <c r="AB55" s="1" t="str">
        <f>VLOOKUP(T:T,'9店'!$B:$B,1,0)</f>
        <v>Y9009-BL-ZH</v>
      </c>
      <c r="AC55" t="s">
        <v>3169</v>
      </c>
      <c r="AD55">
        <v>1415</v>
      </c>
      <c r="AE55">
        <v>11</v>
      </c>
      <c r="AF55">
        <v>3.39</v>
      </c>
      <c r="AG55">
        <v>38.97</v>
      </c>
      <c r="AH55">
        <v>2</v>
      </c>
      <c r="AI55" s="31">
        <v>0.0869899923017706</v>
      </c>
      <c r="AJ55" s="31">
        <v>0.181818181818182</v>
      </c>
      <c r="AK55" s="1" t="str">
        <f>VLOOKUP(AC:AC,'9店'!$B:$B,1,0)</f>
        <v>Y92563-BL+Y92564+Y92571</v>
      </c>
      <c r="AL55" t="s">
        <v>3050</v>
      </c>
      <c r="AM55" s="102">
        <v>12.99</v>
      </c>
      <c r="AN55" s="1">
        <f t="shared" si="3"/>
        <v>88.9815</v>
      </c>
      <c r="AP55" t="s">
        <v>3250</v>
      </c>
      <c r="AQ55" s="102">
        <v>149.64</v>
      </c>
      <c r="AR55" s="1">
        <f t="shared" si="4"/>
        <v>1025.034</v>
      </c>
      <c r="AT55" s="45" t="s">
        <v>3171</v>
      </c>
      <c r="AU55" s="44">
        <v>83.4</v>
      </c>
      <c r="AW55" s="45" t="s">
        <v>3167</v>
      </c>
      <c r="AX55" s="44">
        <v>139</v>
      </c>
      <c r="AZ55" s="47" t="s">
        <v>3097</v>
      </c>
      <c r="BA55" s="48">
        <v>6.4</v>
      </c>
      <c r="BB55" s="1" t="s">
        <v>430</v>
      </c>
    </row>
    <row r="56" spans="2:54">
      <c r="B56" t="s">
        <v>3258</v>
      </c>
      <c r="C56">
        <v>2</v>
      </c>
      <c r="D56" s="1" t="str">
        <f>VLOOKUP(B:B,'9店'!$B:$B,1,0)</f>
        <v>Y9018-GN</v>
      </c>
      <c r="E56" t="s">
        <v>3226</v>
      </c>
      <c r="F56">
        <v>9</v>
      </c>
      <c r="G56" s="1" t="str">
        <f>VLOOKUP(E:E,'9店'!$B:$B,1,0)</f>
        <v>Y9007-6PC</v>
      </c>
      <c r="H56" t="s">
        <v>3105</v>
      </c>
      <c r="I56">
        <v>4</v>
      </c>
      <c r="J56" s="1" t="str">
        <f>VLOOKUP(H:H,'9店'!$B:$B,1,0)</f>
        <v>Y93756-BL+Y93757+Y93760</v>
      </c>
      <c r="K56" t="s">
        <v>3180</v>
      </c>
      <c r="L56">
        <v>460</v>
      </c>
      <c r="M56">
        <v>4</v>
      </c>
      <c r="N56">
        <v>1.05</v>
      </c>
      <c r="O56">
        <v>0</v>
      </c>
      <c r="P56">
        <v>0</v>
      </c>
      <c r="Q56" s="31">
        <v>0</v>
      </c>
      <c r="R56" s="31">
        <v>0</v>
      </c>
      <c r="S56" s="1" t="str">
        <f>VLOOKUP(K:K,'9店'!$B:$B,1,0)</f>
        <v>Y93133-BL+Y93136+Y93267</v>
      </c>
      <c r="T56" t="s">
        <v>3195</v>
      </c>
      <c r="U56">
        <v>996</v>
      </c>
      <c r="V56">
        <v>22</v>
      </c>
      <c r="W56">
        <v>9.34</v>
      </c>
      <c r="X56">
        <v>10.99</v>
      </c>
      <c r="Y56">
        <v>1</v>
      </c>
      <c r="Z56" s="31">
        <v>0.849863512283895</v>
      </c>
      <c r="AA56" s="31">
        <v>0.0454545454545455</v>
      </c>
      <c r="AB56" s="1" t="str">
        <f>VLOOKUP(T:T,'9店'!$B:$B,1,0)</f>
        <v>Y9009-BU-ZH</v>
      </c>
      <c r="AC56" t="s">
        <v>3171</v>
      </c>
      <c r="AD56">
        <v>2474</v>
      </c>
      <c r="AE56">
        <v>21</v>
      </c>
      <c r="AF56">
        <v>6.74</v>
      </c>
      <c r="AG56">
        <v>23.98</v>
      </c>
      <c r="AH56">
        <v>2</v>
      </c>
      <c r="AI56" s="31">
        <v>0.281067556296914</v>
      </c>
      <c r="AJ56" s="31">
        <v>0.0952380952380952</v>
      </c>
      <c r="AK56" s="1" t="str">
        <f>VLOOKUP(AC:AC,'9店'!$B:$B,1,0)</f>
        <v>Y92563-OR+Y92564+Y92571</v>
      </c>
      <c r="AL56" t="s">
        <v>3339</v>
      </c>
      <c r="AM56" s="102">
        <v>12.99</v>
      </c>
      <c r="AN56" s="1">
        <f t="shared" si="3"/>
        <v>88.9815</v>
      </c>
      <c r="AP56" t="s">
        <v>3258</v>
      </c>
      <c r="AQ56" s="102">
        <v>67.47</v>
      </c>
      <c r="AR56" s="1">
        <f t="shared" si="4"/>
        <v>462.1695</v>
      </c>
      <c r="AT56" s="45" t="s">
        <v>3173</v>
      </c>
      <c r="AU56" s="44">
        <v>55.6</v>
      </c>
      <c r="AW56" s="45" t="s">
        <v>3169</v>
      </c>
      <c r="AX56" s="44">
        <v>152.9</v>
      </c>
      <c r="AZ56" s="47" t="s">
        <v>3100</v>
      </c>
      <c r="BA56" s="48">
        <v>6.49</v>
      </c>
      <c r="BB56" s="1" t="s">
        <v>430</v>
      </c>
    </row>
    <row r="57" spans="2:54">
      <c r="B57" t="s">
        <v>3273</v>
      </c>
      <c r="C57">
        <v>4</v>
      </c>
      <c r="D57" s="1" t="str">
        <f>VLOOKUP(B:B,'9店'!$B:$B,1,0)</f>
        <v>Y9021</v>
      </c>
      <c r="E57" t="s">
        <v>3223</v>
      </c>
      <c r="F57">
        <v>31</v>
      </c>
      <c r="G57" s="1" t="str">
        <f>VLOOKUP(E:E,'9店'!$B:$B,1,0)</f>
        <v>Y9007-30PC</v>
      </c>
      <c r="H57" t="s">
        <v>3171</v>
      </c>
      <c r="I57">
        <v>8</v>
      </c>
      <c r="J57" s="1" t="str">
        <f>VLOOKUP(H:H,'9店'!$B:$B,1,0)</f>
        <v>Y92563-OR+Y92564+Y92571</v>
      </c>
      <c r="K57" t="s">
        <v>3190</v>
      </c>
      <c r="L57">
        <v>792</v>
      </c>
      <c r="M57">
        <v>6</v>
      </c>
      <c r="N57">
        <v>2.01</v>
      </c>
      <c r="O57">
        <v>0</v>
      </c>
      <c r="P57">
        <v>0</v>
      </c>
      <c r="Q57" s="31">
        <v>0</v>
      </c>
      <c r="R57" s="31">
        <v>0</v>
      </c>
      <c r="S57" s="1" t="str">
        <f>VLOOKUP(K:K,'9店'!$B:$B,1,0)</f>
        <v>Y93153-OR+Y93155+Y93169</v>
      </c>
      <c r="T57" t="s">
        <v>3182</v>
      </c>
      <c r="U57">
        <v>326</v>
      </c>
      <c r="V57">
        <v>1</v>
      </c>
      <c r="W57">
        <v>0.19</v>
      </c>
      <c r="X57">
        <v>0</v>
      </c>
      <c r="Y57">
        <v>0</v>
      </c>
      <c r="Z57" s="31">
        <v>0</v>
      </c>
      <c r="AA57" s="31">
        <v>0</v>
      </c>
      <c r="AB57" s="1" t="str">
        <f>VLOOKUP(T:T,'9店'!$B:$B,1,0)</f>
        <v>Y93133-DB+Y93136+Y93267</v>
      </c>
      <c r="AC57" t="s">
        <v>3197</v>
      </c>
      <c r="AD57">
        <v>1021</v>
      </c>
      <c r="AE57">
        <v>27</v>
      </c>
      <c r="AF57">
        <v>11.17</v>
      </c>
      <c r="AG57">
        <v>90.93</v>
      </c>
      <c r="AH57">
        <v>7</v>
      </c>
      <c r="AI57" s="31">
        <v>0.122841746398328</v>
      </c>
      <c r="AJ57" s="31">
        <v>0.259259259259259</v>
      </c>
      <c r="AK57" s="1" t="str">
        <f>VLOOKUP(AC:AC,'9店'!$B:$B,1,0)</f>
        <v>Y9009-DB-ZH</v>
      </c>
      <c r="AL57" t="s">
        <v>3086</v>
      </c>
      <c r="AM57" s="102">
        <v>12.99</v>
      </c>
      <c r="AN57" s="1">
        <f t="shared" si="3"/>
        <v>88.9815</v>
      </c>
      <c r="AP57" t="s">
        <v>3341</v>
      </c>
      <c r="AQ57" s="102">
        <v>25.98</v>
      </c>
      <c r="AR57" s="1">
        <f t="shared" si="4"/>
        <v>177.963</v>
      </c>
      <c r="AT57" s="45" t="s">
        <v>3175</v>
      </c>
      <c r="AU57" s="44">
        <v>111.2</v>
      </c>
      <c r="AW57" s="45" t="s">
        <v>3171</v>
      </c>
      <c r="AX57" s="44">
        <v>152.9</v>
      </c>
      <c r="AZ57" s="47" t="s">
        <v>3360</v>
      </c>
      <c r="BA57" s="48">
        <v>5.007</v>
      </c>
      <c r="BB57" s="1" t="s">
        <v>430</v>
      </c>
    </row>
    <row r="58" spans="2:54">
      <c r="B58" t="s">
        <v>3333</v>
      </c>
      <c r="C58">
        <v>7</v>
      </c>
      <c r="D58" s="1" t="str">
        <f>VLOOKUP(B:B,'9店'!$B:$B,1,0)</f>
        <v>Y9026-6-GA</v>
      </c>
      <c r="E58" t="s">
        <v>3276</v>
      </c>
      <c r="F58">
        <v>10</v>
      </c>
      <c r="G58" s="1" t="str">
        <f>VLOOKUP(E:E,'9店'!$B:$B,1,0)</f>
        <v>Y9022</v>
      </c>
      <c r="H58" t="s">
        <v>3339</v>
      </c>
      <c r="I58">
        <v>6</v>
      </c>
      <c r="J58" s="1" t="e">
        <f>VLOOKUP(H:H,'9店'!$B:$B,1,0)</f>
        <v>#N/A</v>
      </c>
      <c r="K58" t="s">
        <v>3186</v>
      </c>
      <c r="L58">
        <v>136</v>
      </c>
      <c r="M58">
        <v>1</v>
      </c>
      <c r="N58">
        <v>0.17</v>
      </c>
      <c r="O58">
        <v>0</v>
      </c>
      <c r="P58">
        <v>0</v>
      </c>
      <c r="Q58" s="31">
        <v>0</v>
      </c>
      <c r="R58" s="31">
        <v>0</v>
      </c>
      <c r="S58" s="1" t="str">
        <f>VLOOKUP(K:K,'9店'!$B:$B,1,0)</f>
        <v>Y93153-BL+Y93155+Y93169</v>
      </c>
      <c r="T58" t="s">
        <v>3184</v>
      </c>
      <c r="U58">
        <v>1130</v>
      </c>
      <c r="V58">
        <v>9</v>
      </c>
      <c r="W58">
        <v>3.17</v>
      </c>
      <c r="X58">
        <v>12.99</v>
      </c>
      <c r="Y58">
        <v>1</v>
      </c>
      <c r="Z58" s="31">
        <v>0.244033872209392</v>
      </c>
      <c r="AA58" s="31">
        <v>0.111111111111111</v>
      </c>
      <c r="AB58" s="1" t="str">
        <f>VLOOKUP(T:T,'9店'!$B:$B,1,0)</f>
        <v>Y93133-OR+Y93136+Y93267</v>
      </c>
      <c r="AC58" t="s">
        <v>3199</v>
      </c>
      <c r="AD58">
        <v>7458</v>
      </c>
      <c r="AE58">
        <v>59</v>
      </c>
      <c r="AF58">
        <v>24.14</v>
      </c>
      <c r="AG58">
        <v>86.93</v>
      </c>
      <c r="AH58">
        <v>6</v>
      </c>
      <c r="AI58" s="31">
        <v>0.277694696882549</v>
      </c>
      <c r="AJ58" s="31">
        <v>0.101694915254237</v>
      </c>
      <c r="AK58" s="1" t="str">
        <f>VLOOKUP(AC:AC,'9店'!$B:$B,1,0)</f>
        <v>Y9009-OR-ZH</v>
      </c>
      <c r="AL58" t="s">
        <v>3068</v>
      </c>
      <c r="AM58" s="102">
        <v>12.99</v>
      </c>
      <c r="AN58" s="1">
        <f t="shared" si="3"/>
        <v>88.9815</v>
      </c>
      <c r="AP58" t="s">
        <v>3203</v>
      </c>
      <c r="AQ58" s="102">
        <v>23.98</v>
      </c>
      <c r="AR58" s="1">
        <f t="shared" si="4"/>
        <v>164.263</v>
      </c>
      <c r="AT58" s="45" t="s">
        <v>3178</v>
      </c>
      <c r="AU58" s="44">
        <v>13.9</v>
      </c>
      <c r="AW58" s="45" t="s">
        <v>3173</v>
      </c>
      <c r="AX58" s="44">
        <v>55.6</v>
      </c>
      <c r="AZ58" s="47" t="s">
        <v>3361</v>
      </c>
      <c r="BA58" s="48">
        <v>5.021</v>
      </c>
      <c r="BB58" s="1" t="s">
        <v>430</v>
      </c>
    </row>
    <row r="59" spans="2:54">
      <c r="B59" t="s">
        <v>3197</v>
      </c>
      <c r="C59">
        <v>2</v>
      </c>
      <c r="D59" s="1" t="str">
        <f>VLOOKUP(B:B,'9店'!$B:$B,1,0)</f>
        <v>Y9009-DB-ZH</v>
      </c>
      <c r="E59" t="s">
        <v>3244</v>
      </c>
      <c r="F59">
        <v>7</v>
      </c>
      <c r="G59" s="1" t="str">
        <f>VLOOKUP(E:E,'9店'!$B:$B,1,0)</f>
        <v>Y9009-WH</v>
      </c>
      <c r="H59" t="s">
        <v>3159</v>
      </c>
      <c r="I59">
        <v>5</v>
      </c>
      <c r="J59" s="1" t="str">
        <f>VLOOKUP(H:H,'9店'!$B:$B,1,0)</f>
        <v>Y93821-DB+Y93822+Y93823</v>
      </c>
      <c r="K59" t="s">
        <v>3188</v>
      </c>
      <c r="L59">
        <v>27</v>
      </c>
      <c r="M59">
        <v>0</v>
      </c>
      <c r="N59">
        <v>0</v>
      </c>
      <c r="O59">
        <v>0</v>
      </c>
      <c r="P59">
        <v>0</v>
      </c>
      <c r="Q59" s="31">
        <v>0</v>
      </c>
      <c r="R59" s="31">
        <v>0</v>
      </c>
      <c r="S59" s="1" t="str">
        <f>VLOOKUP(K:K,'9店'!$B:$B,1,0)</f>
        <v>Y93153-DB+Y93155+Y93169</v>
      </c>
      <c r="T59" t="s">
        <v>3180</v>
      </c>
      <c r="U59">
        <v>1038</v>
      </c>
      <c r="V59">
        <v>11</v>
      </c>
      <c r="W59">
        <v>3.19</v>
      </c>
      <c r="X59">
        <v>0</v>
      </c>
      <c r="Y59">
        <v>0</v>
      </c>
      <c r="Z59" s="31">
        <v>0</v>
      </c>
      <c r="AA59" s="31">
        <v>0</v>
      </c>
      <c r="AB59" s="1" t="str">
        <f>VLOOKUP(T:T,'9店'!$B:$B,1,0)</f>
        <v>Y93133-BL+Y93136+Y93267</v>
      </c>
      <c r="AC59" t="s">
        <v>3192</v>
      </c>
      <c r="AD59">
        <v>1638</v>
      </c>
      <c r="AE59">
        <v>23</v>
      </c>
      <c r="AF59">
        <v>9.43</v>
      </c>
      <c r="AG59">
        <v>63.62</v>
      </c>
      <c r="AH59">
        <v>5</v>
      </c>
      <c r="AI59" s="31">
        <v>0.148223828984596</v>
      </c>
      <c r="AJ59" s="31">
        <v>0.217391304347826</v>
      </c>
      <c r="AK59" s="1" t="str">
        <f>VLOOKUP(AC:AC,'9店'!$B:$B,1,0)</f>
        <v>Y9009-BL-ZH</v>
      </c>
      <c r="AL59" t="s">
        <v>3066</v>
      </c>
      <c r="AM59" s="102">
        <v>12.99</v>
      </c>
      <c r="AN59" s="1">
        <f t="shared" si="3"/>
        <v>88.9815</v>
      </c>
      <c r="AP59" t="s">
        <v>3339</v>
      </c>
      <c r="AQ59" s="102">
        <v>38.97</v>
      </c>
      <c r="AR59" s="1">
        <f t="shared" si="4"/>
        <v>266.9445</v>
      </c>
      <c r="AT59" s="45" t="s">
        <v>3180</v>
      </c>
      <c r="AU59" s="44">
        <v>139</v>
      </c>
      <c r="AW59" s="45" t="s">
        <v>3175</v>
      </c>
      <c r="AX59" s="44">
        <v>111.2</v>
      </c>
      <c r="AZ59" s="47" t="s">
        <v>3175</v>
      </c>
      <c r="BA59" s="48">
        <v>6.577</v>
      </c>
      <c r="BB59" s="1" t="s">
        <v>430</v>
      </c>
    </row>
    <row r="60" spans="2:54">
      <c r="B60" t="s">
        <v>3209</v>
      </c>
      <c r="C60">
        <v>2</v>
      </c>
      <c r="D60" s="1" t="str">
        <f>VLOOKUP(B:B,'9店'!$B:$B,1,0)</f>
        <v>Y93135-DB+Y93138+Y93269</v>
      </c>
      <c r="E60" t="s">
        <v>3252</v>
      </c>
      <c r="F60">
        <v>11</v>
      </c>
      <c r="G60" s="1" t="str">
        <f>VLOOKUP(E:E,'9店'!$B:$B,1,0)</f>
        <v>Y9010-WH</v>
      </c>
      <c r="H60" t="s">
        <v>3192</v>
      </c>
      <c r="I60">
        <v>12</v>
      </c>
      <c r="J60" s="1" t="str">
        <f>VLOOKUP(H:H,'9店'!$B:$B,1,0)</f>
        <v>Y9009-BL-ZH</v>
      </c>
      <c r="K60" t="s">
        <v>3167</v>
      </c>
      <c r="L60">
        <v>76</v>
      </c>
      <c r="M60">
        <v>0</v>
      </c>
      <c r="N60">
        <v>0</v>
      </c>
      <c r="O60">
        <v>0</v>
      </c>
      <c r="P60">
        <v>0</v>
      </c>
      <c r="Q60" s="31">
        <v>0</v>
      </c>
      <c r="R60" s="31">
        <v>0</v>
      </c>
      <c r="S60" s="1" t="str">
        <f>VLOOKUP(K:K,'9店'!$B:$B,1,0)</f>
        <v>Y92559-OR+Y92560+Y92399</v>
      </c>
      <c r="T60" t="s">
        <v>3190</v>
      </c>
      <c r="U60">
        <v>2745</v>
      </c>
      <c r="V60">
        <v>14</v>
      </c>
      <c r="W60">
        <v>4.69</v>
      </c>
      <c r="X60">
        <v>0</v>
      </c>
      <c r="Y60">
        <v>0</v>
      </c>
      <c r="Z60" s="31">
        <v>0</v>
      </c>
      <c r="AA60" s="31">
        <v>0</v>
      </c>
      <c r="AB60" s="1" t="str">
        <f>VLOOKUP(T:T,'9店'!$B:$B,1,0)</f>
        <v>Y93153-OR+Y93155+Y93169</v>
      </c>
      <c r="AC60" t="s">
        <v>3195</v>
      </c>
      <c r="AD60">
        <v>1658</v>
      </c>
      <c r="AE60">
        <v>40</v>
      </c>
      <c r="AF60">
        <v>16.74</v>
      </c>
      <c r="AG60">
        <v>23.98</v>
      </c>
      <c r="AH60">
        <v>2</v>
      </c>
      <c r="AI60" s="31">
        <v>0.698081734778982</v>
      </c>
      <c r="AJ60" s="31">
        <v>0.05</v>
      </c>
      <c r="AK60" s="1" t="str">
        <f>VLOOKUP(AC:AC,'9店'!$B:$B,1,0)</f>
        <v>Y9009-BU-ZH</v>
      </c>
      <c r="AL60" t="s">
        <v>3100</v>
      </c>
      <c r="AM60" s="102">
        <v>12.99</v>
      </c>
      <c r="AN60" s="1">
        <f>AM60*$AS$1</f>
        <v>88.9815</v>
      </c>
      <c r="AP60" t="s">
        <v>3066</v>
      </c>
      <c r="AQ60" s="102">
        <v>25.98</v>
      </c>
      <c r="AR60" s="1">
        <f t="shared" si="4"/>
        <v>177.963</v>
      </c>
      <c r="AT60" s="45" t="s">
        <v>3182</v>
      </c>
      <c r="AU60" s="44">
        <v>41.7</v>
      </c>
      <c r="AW60" s="45" t="s">
        <v>3178</v>
      </c>
      <c r="AX60" s="44">
        <v>55.6</v>
      </c>
      <c r="AZ60" s="47" t="s">
        <v>3178</v>
      </c>
      <c r="BA60" s="48">
        <v>6.584</v>
      </c>
      <c r="BB60" s="1" t="s">
        <v>430</v>
      </c>
    </row>
    <row r="61" spans="2:54">
      <c r="B61" t="s">
        <v>3346</v>
      </c>
      <c r="C61">
        <v>2</v>
      </c>
      <c r="D61" s="1" t="e">
        <f>VLOOKUP(B:B,'9店'!$B:$B,1,0)</f>
        <v>#N/A</v>
      </c>
      <c r="E61" t="s">
        <v>3159</v>
      </c>
      <c r="F61">
        <v>3</v>
      </c>
      <c r="G61" s="1" t="str">
        <f>VLOOKUP(E:E,'9店'!$B:$B,1,0)</f>
        <v>Y93821-DB+Y93822+Y93823</v>
      </c>
      <c r="H61" t="s">
        <v>3197</v>
      </c>
      <c r="I61">
        <v>6</v>
      </c>
      <c r="J61" s="1" t="str">
        <f>VLOOKUP(H:H,'9店'!$B:$B,1,0)</f>
        <v>Y9009-DB-ZH</v>
      </c>
      <c r="K61" t="s">
        <v>3164</v>
      </c>
      <c r="L61">
        <v>52</v>
      </c>
      <c r="M61">
        <v>0</v>
      </c>
      <c r="N61">
        <v>0</v>
      </c>
      <c r="O61">
        <v>0</v>
      </c>
      <c r="P61">
        <v>0</v>
      </c>
      <c r="Q61" s="31">
        <v>0</v>
      </c>
      <c r="R61" s="31">
        <v>0</v>
      </c>
      <c r="S61" s="1" t="str">
        <f>VLOOKUP(K:K,'9店'!$B:$B,1,0)</f>
        <v>Y92559-BL+Y92560+Y92399</v>
      </c>
      <c r="T61" t="s">
        <v>3186</v>
      </c>
      <c r="U61">
        <v>263</v>
      </c>
      <c r="V61">
        <v>4</v>
      </c>
      <c r="W61">
        <v>0.71</v>
      </c>
      <c r="X61">
        <v>0</v>
      </c>
      <c r="Y61">
        <v>0</v>
      </c>
      <c r="Z61" s="31">
        <v>0</v>
      </c>
      <c r="AA61" s="31">
        <v>0</v>
      </c>
      <c r="AB61" s="1" t="str">
        <f>VLOOKUP(T:T,'9店'!$B:$B,1,0)</f>
        <v>Y93153-BL+Y93155+Y93169</v>
      </c>
      <c r="AC61" t="s">
        <v>3353</v>
      </c>
      <c r="AD61">
        <v>2154</v>
      </c>
      <c r="AE61">
        <v>22</v>
      </c>
      <c r="AF61">
        <v>7.62</v>
      </c>
      <c r="AG61">
        <v>12.99</v>
      </c>
      <c r="AH61">
        <v>1</v>
      </c>
      <c r="AI61" s="31">
        <v>0.586605080831409</v>
      </c>
      <c r="AJ61" s="31">
        <v>0.0454545454545455</v>
      </c>
      <c r="AK61" s="1" t="e">
        <f>VLOOKUP(AC:AC,'9店'!$B:$B,1,0)</f>
        <v>#N/A</v>
      </c>
      <c r="AL61" t="s">
        <v>3199</v>
      </c>
      <c r="AM61" s="102">
        <v>12.99</v>
      </c>
      <c r="AN61" s="1">
        <f t="shared" ref="AN61:AN73" si="5">AM61*$AS$1</f>
        <v>88.9815</v>
      </c>
      <c r="AP61" t="s">
        <v>3199</v>
      </c>
      <c r="AQ61" s="102">
        <v>25.98</v>
      </c>
      <c r="AR61" s="1">
        <f t="shared" si="4"/>
        <v>177.963</v>
      </c>
      <c r="AT61" s="45" t="s">
        <v>3184</v>
      </c>
      <c r="AU61" s="44">
        <v>41.7</v>
      </c>
      <c r="AW61" s="45" t="s">
        <v>3180</v>
      </c>
      <c r="AX61" s="44">
        <v>152.9</v>
      </c>
      <c r="AZ61" s="47" t="s">
        <v>3173</v>
      </c>
      <c r="BA61" s="48">
        <v>6.584</v>
      </c>
      <c r="BB61" s="1" t="s">
        <v>430</v>
      </c>
    </row>
    <row r="62" spans="2:54">
      <c r="B62" t="s">
        <v>3058</v>
      </c>
      <c r="C62">
        <v>1</v>
      </c>
      <c r="D62" s="1" t="str">
        <f>VLOOKUP(B:B,'9店'!$B:$B,1,0)</f>
        <v>Y93694-BL+Y93712+Y93744</v>
      </c>
      <c r="E62" t="s">
        <v>3267</v>
      </c>
      <c r="F62">
        <v>6</v>
      </c>
      <c r="G62" s="1" t="str">
        <f>VLOOKUP(E:E,'9店'!$B:$B,1,0)</f>
        <v>Y9020-GA</v>
      </c>
      <c r="H62" t="s">
        <v>3157</v>
      </c>
      <c r="I62">
        <v>1</v>
      </c>
      <c r="J62" s="1" t="str">
        <f>VLOOKUP(H:H,'9店'!$B:$B,1,0)</f>
        <v>Y93821-BU+Y93822+Y93823</v>
      </c>
      <c r="K62" t="s">
        <v>3207</v>
      </c>
      <c r="L62">
        <v>468</v>
      </c>
      <c r="M62">
        <v>4</v>
      </c>
      <c r="N62">
        <v>1.26</v>
      </c>
      <c r="O62">
        <v>0</v>
      </c>
      <c r="P62">
        <v>0</v>
      </c>
      <c r="Q62" s="31">
        <v>0</v>
      </c>
      <c r="R62" s="31">
        <v>0</v>
      </c>
      <c r="S62" s="1" t="str">
        <f>VLOOKUP(K:K,'9店'!$B:$B,1,0)</f>
        <v>Y93135-BL+Y93138+Y93269-1</v>
      </c>
      <c r="T62" t="s">
        <v>3188</v>
      </c>
      <c r="U62">
        <v>222</v>
      </c>
      <c r="V62">
        <v>0</v>
      </c>
      <c r="W62">
        <v>0</v>
      </c>
      <c r="X62">
        <v>0</v>
      </c>
      <c r="Y62">
        <v>0</v>
      </c>
      <c r="Z62" s="31">
        <v>0</v>
      </c>
      <c r="AA62" s="31">
        <v>0</v>
      </c>
      <c r="AB62" s="1" t="str">
        <f>VLOOKUP(T:T,'9店'!$B:$B,1,0)</f>
        <v>Y93153-DB+Y93155+Y93169</v>
      </c>
      <c r="AC62" t="s">
        <v>3182</v>
      </c>
      <c r="AD62">
        <v>785</v>
      </c>
      <c r="AE62">
        <v>7</v>
      </c>
      <c r="AF62">
        <v>2.07</v>
      </c>
      <c r="AG62">
        <v>0</v>
      </c>
      <c r="AH62">
        <v>0</v>
      </c>
      <c r="AI62" s="31">
        <v>0</v>
      </c>
      <c r="AJ62" s="31">
        <v>0</v>
      </c>
      <c r="AK62" s="1" t="str">
        <f>VLOOKUP(AC:AC,'9店'!$B:$B,1,0)</f>
        <v>Y93133-DB+Y93136+Y93267</v>
      </c>
      <c r="AL62" t="s">
        <v>3207</v>
      </c>
      <c r="AM62" s="102">
        <v>12.99</v>
      </c>
      <c r="AN62" s="1">
        <f t="shared" si="5"/>
        <v>88.9815</v>
      </c>
      <c r="AP62" t="s">
        <v>3209</v>
      </c>
      <c r="AQ62" s="102">
        <v>25.98</v>
      </c>
      <c r="AR62" s="1">
        <f t="shared" si="4"/>
        <v>177.963</v>
      </c>
      <c r="AT62" s="45" t="s">
        <v>3186</v>
      </c>
      <c r="AU62" s="44">
        <v>125.1</v>
      </c>
      <c r="AW62" s="45" t="s">
        <v>3182</v>
      </c>
      <c r="AX62" s="44">
        <v>55.6</v>
      </c>
      <c r="AZ62" s="47" t="s">
        <v>3362</v>
      </c>
      <c r="BA62" s="48">
        <v>3.475</v>
      </c>
      <c r="BB62" s="1" t="s">
        <v>430</v>
      </c>
    </row>
    <row r="63" spans="2:54">
      <c r="B63" t="s">
        <v>3111</v>
      </c>
      <c r="C63">
        <v>1</v>
      </c>
      <c r="D63" s="1" t="str">
        <f>VLOOKUP(B:B,'9店'!$B:$B,1,0)</f>
        <v>Y93758-DB+Y93759+Y93761</v>
      </c>
      <c r="E63" t="s">
        <v>3261</v>
      </c>
      <c r="F63">
        <v>5</v>
      </c>
      <c r="G63" s="1" t="str">
        <f>VLOOKUP(E:E,'9店'!$B:$B,1,0)</f>
        <v>Y9019-GA</v>
      </c>
      <c r="H63" t="s">
        <v>3205</v>
      </c>
      <c r="I63">
        <v>6</v>
      </c>
      <c r="J63" s="1" t="str">
        <f>VLOOKUP(H:H,'9店'!$B:$B,1,0)</f>
        <v>Y92000-OR+Y92013+Y92749</v>
      </c>
      <c r="K63" t="s">
        <v>3211</v>
      </c>
      <c r="L63">
        <v>169</v>
      </c>
      <c r="M63">
        <v>1</v>
      </c>
      <c r="N63">
        <v>0.13</v>
      </c>
      <c r="O63">
        <v>0</v>
      </c>
      <c r="P63">
        <v>0</v>
      </c>
      <c r="Q63" s="31">
        <v>0</v>
      </c>
      <c r="R63" s="31">
        <v>0</v>
      </c>
      <c r="S63" s="1" t="str">
        <f>VLOOKUP(K:K,'9店'!$B:$B,1,0)</f>
        <v>Y93135-OR+Y93138+Y93269</v>
      </c>
      <c r="T63" t="s">
        <v>3167</v>
      </c>
      <c r="U63">
        <v>170</v>
      </c>
      <c r="V63">
        <v>0</v>
      </c>
      <c r="W63">
        <v>0</v>
      </c>
      <c r="X63">
        <v>0</v>
      </c>
      <c r="Y63">
        <v>0</v>
      </c>
      <c r="Z63" s="31">
        <v>0</v>
      </c>
      <c r="AA63" s="31">
        <v>0</v>
      </c>
      <c r="AB63" s="1" t="str">
        <f>VLOOKUP(T:T,'9店'!$B:$B,1,0)</f>
        <v>Y92559-OR+Y92560+Y92399</v>
      </c>
      <c r="AC63" t="s">
        <v>3184</v>
      </c>
      <c r="AD63">
        <v>2335</v>
      </c>
      <c r="AE63">
        <v>12</v>
      </c>
      <c r="AF63">
        <v>4.29</v>
      </c>
      <c r="AG63">
        <v>12.99</v>
      </c>
      <c r="AH63">
        <v>1</v>
      </c>
      <c r="AI63" s="31">
        <v>0.330254041570439</v>
      </c>
      <c r="AJ63" s="31">
        <v>0.0833333333333333</v>
      </c>
      <c r="AK63" s="1" t="str">
        <f>VLOOKUP(AC:AC,'9店'!$B:$B,1,0)</f>
        <v>Y93133-OR+Y93136+Y93267</v>
      </c>
      <c r="AL63" t="s">
        <v>3357</v>
      </c>
      <c r="AM63" s="102">
        <v>12.99</v>
      </c>
      <c r="AN63" s="1">
        <f t="shared" si="5"/>
        <v>88.9815</v>
      </c>
      <c r="AP63" t="s">
        <v>3346</v>
      </c>
      <c r="AQ63" s="102">
        <v>25.98</v>
      </c>
      <c r="AR63" s="1">
        <f t="shared" si="4"/>
        <v>177.963</v>
      </c>
      <c r="AT63" s="45" t="s">
        <v>3188</v>
      </c>
      <c r="AU63" s="44">
        <v>13.9</v>
      </c>
      <c r="AW63" s="45" t="s">
        <v>3184</v>
      </c>
      <c r="AX63" s="44">
        <v>55.6</v>
      </c>
      <c r="AZ63" s="47" t="s">
        <v>3054</v>
      </c>
      <c r="BA63" s="48">
        <v>5.606</v>
      </c>
      <c r="BB63" s="1" t="s">
        <v>430</v>
      </c>
    </row>
    <row r="64" spans="2:54">
      <c r="B64" t="s">
        <v>3354</v>
      </c>
      <c r="C64">
        <v>1</v>
      </c>
      <c r="D64" s="1" t="e">
        <f>VLOOKUP(B:B,'9店'!$B:$B,1,0)</f>
        <v>#N/A</v>
      </c>
      <c r="E64" t="s">
        <v>3199</v>
      </c>
      <c r="F64">
        <v>2</v>
      </c>
      <c r="G64" s="1" t="str">
        <f>VLOOKUP(E:E,'9店'!$B:$B,1,0)</f>
        <v>Y9009-OR-ZH</v>
      </c>
      <c r="H64" t="s">
        <v>3180</v>
      </c>
      <c r="I64">
        <v>1</v>
      </c>
      <c r="J64" s="1" t="str">
        <f>VLOOKUP(H:H,'9店'!$B:$B,1,0)</f>
        <v>Y93133-BL+Y93136+Y93267</v>
      </c>
      <c r="K64" t="s">
        <v>3209</v>
      </c>
      <c r="L64">
        <v>680</v>
      </c>
      <c r="M64">
        <v>2</v>
      </c>
      <c r="N64">
        <v>0.66</v>
      </c>
      <c r="O64">
        <v>0</v>
      </c>
      <c r="P64">
        <v>0</v>
      </c>
      <c r="Q64" s="31">
        <v>0</v>
      </c>
      <c r="R64" s="31">
        <v>0</v>
      </c>
      <c r="S64" s="1" t="str">
        <f>VLOOKUP(K:K,'9店'!$B:$B,1,0)</f>
        <v>Y93135-DB+Y93138+Y93269</v>
      </c>
      <c r="T64" t="s">
        <v>3164</v>
      </c>
      <c r="U64">
        <v>133</v>
      </c>
      <c r="V64">
        <v>0</v>
      </c>
      <c r="W64">
        <v>0</v>
      </c>
      <c r="X64">
        <v>0</v>
      </c>
      <c r="Y64">
        <v>0</v>
      </c>
      <c r="Z64" s="31">
        <v>0</v>
      </c>
      <c r="AA64" s="31">
        <v>0</v>
      </c>
      <c r="AB64" s="1" t="str">
        <f>VLOOKUP(T:T,'9店'!$B:$B,1,0)</f>
        <v>Y92559-BL+Y92560+Y92399</v>
      </c>
      <c r="AC64" t="s">
        <v>3180</v>
      </c>
      <c r="AD64">
        <v>2182</v>
      </c>
      <c r="AE64">
        <v>16</v>
      </c>
      <c r="AF64">
        <v>4.29</v>
      </c>
      <c r="AG64">
        <v>0</v>
      </c>
      <c r="AH64">
        <v>0</v>
      </c>
      <c r="AI64" s="31">
        <v>0</v>
      </c>
      <c r="AJ64" s="31">
        <v>0</v>
      </c>
      <c r="AK64" s="1" t="str">
        <f>VLOOKUP(AC:AC,'9店'!$B:$B,1,0)</f>
        <v>Y93133-BL+Y93136+Y93267</v>
      </c>
      <c r="AL64" t="s">
        <v>3223</v>
      </c>
      <c r="AM64" s="102">
        <v>18.99</v>
      </c>
      <c r="AN64" s="1">
        <f t="shared" si="5"/>
        <v>130.0815</v>
      </c>
      <c r="AP64" t="s">
        <v>3247</v>
      </c>
      <c r="AQ64" s="102">
        <v>71.68</v>
      </c>
      <c r="AR64" s="1">
        <f t="shared" si="4"/>
        <v>491.008</v>
      </c>
      <c r="AT64" s="45" t="s">
        <v>3190</v>
      </c>
      <c r="AU64" s="44">
        <v>55.6</v>
      </c>
      <c r="AW64" s="45" t="s">
        <v>3186</v>
      </c>
      <c r="AX64" s="44">
        <v>139</v>
      </c>
      <c r="AZ64" s="47" t="s">
        <v>3355</v>
      </c>
      <c r="BA64" s="48">
        <v>2.14</v>
      </c>
      <c r="BB64" s="1" t="s">
        <v>430</v>
      </c>
    </row>
    <row r="65" spans="2:54">
      <c r="B65" t="s">
        <v>3355</v>
      </c>
      <c r="C65">
        <v>1</v>
      </c>
      <c r="D65" s="1" t="e">
        <f>VLOOKUP(B:B,'9店'!$B:$B,1,0)</f>
        <v>#N/A</v>
      </c>
      <c r="E65" t="s">
        <v>3207</v>
      </c>
      <c r="F65">
        <v>3</v>
      </c>
      <c r="G65" s="1" t="str">
        <f>VLOOKUP(E:E,'9店'!$B:$B,1,0)</f>
        <v>Y93135-BL+Y93138+Y93269-1</v>
      </c>
      <c r="H65" t="s">
        <v>3341</v>
      </c>
      <c r="I65">
        <v>3</v>
      </c>
      <c r="J65" s="1" t="e">
        <f>VLOOKUP(H:H,'9店'!$B:$B,1,0)</f>
        <v>#N/A</v>
      </c>
      <c r="K65" t="s">
        <v>3062</v>
      </c>
      <c r="L65">
        <v>586</v>
      </c>
      <c r="M65">
        <v>5</v>
      </c>
      <c r="N65">
        <v>1.82</v>
      </c>
      <c r="O65">
        <v>0</v>
      </c>
      <c r="P65">
        <v>0</v>
      </c>
      <c r="Q65" s="31">
        <v>0</v>
      </c>
      <c r="R65" s="31">
        <v>0</v>
      </c>
      <c r="S65" s="1" t="str">
        <f>VLOOKUP(K:K,'9店'!$B:$B,1,0)</f>
        <v>Y93694-OR+Y93712+Y93744</v>
      </c>
      <c r="T65" t="s">
        <v>3207</v>
      </c>
      <c r="U65">
        <v>991</v>
      </c>
      <c r="V65">
        <v>9</v>
      </c>
      <c r="W65">
        <v>3.04</v>
      </c>
      <c r="X65">
        <v>0</v>
      </c>
      <c r="Y65">
        <v>0</v>
      </c>
      <c r="Z65" s="31">
        <v>0</v>
      </c>
      <c r="AA65" s="31">
        <v>0</v>
      </c>
      <c r="AB65" s="1" t="str">
        <f>VLOOKUP(T:T,'9店'!$B:$B,1,0)</f>
        <v>Y93135-BL+Y93138+Y93269-1</v>
      </c>
      <c r="AC65" t="s">
        <v>3190</v>
      </c>
      <c r="AD65">
        <v>4503</v>
      </c>
      <c r="AE65">
        <v>29</v>
      </c>
      <c r="AF65">
        <v>8.69</v>
      </c>
      <c r="AG65">
        <v>38.97</v>
      </c>
      <c r="AH65">
        <v>3</v>
      </c>
      <c r="AI65" s="31">
        <v>0.222992045162946</v>
      </c>
      <c r="AJ65" s="31">
        <v>0.103448275862069</v>
      </c>
      <c r="AK65" s="1" t="str">
        <f>VLOOKUP(AC:AC,'9店'!$B:$B,1,0)</f>
        <v>Y93153-OR+Y93155+Y93169</v>
      </c>
      <c r="AL65" t="s">
        <v>3229</v>
      </c>
      <c r="AM65" s="102">
        <v>29.99</v>
      </c>
      <c r="AN65" s="1">
        <f t="shared" si="5"/>
        <v>205.4315</v>
      </c>
      <c r="AP65" t="s">
        <v>3264</v>
      </c>
      <c r="AQ65" s="102">
        <v>113.96</v>
      </c>
      <c r="AR65" s="1">
        <f>AQ65*$AS$1</f>
        <v>780.626</v>
      </c>
      <c r="AT65" s="45" t="s">
        <v>3192</v>
      </c>
      <c r="AU65" s="44">
        <v>13.9</v>
      </c>
      <c r="AW65" s="45" t="s">
        <v>3188</v>
      </c>
      <c r="AX65" s="44">
        <v>55.6</v>
      </c>
      <c r="AZ65" s="47" t="s">
        <v>3363</v>
      </c>
      <c r="BA65" s="48">
        <v>3.277</v>
      </c>
      <c r="BB65" s="1" t="s">
        <v>430</v>
      </c>
    </row>
    <row r="66" spans="2:54">
      <c r="B66" t="s">
        <v>3188</v>
      </c>
      <c r="C66">
        <v>1</v>
      </c>
      <c r="D66" s="1" t="str">
        <f>VLOOKUP(B:B,'9店'!$B:$B,1,0)</f>
        <v>Y93153-DB+Y93155+Y93169</v>
      </c>
      <c r="E66" t="s">
        <v>3264</v>
      </c>
      <c r="F66">
        <v>4</v>
      </c>
      <c r="G66" s="1" t="str">
        <f>VLOOKUP(E:E,'9店'!$B:$B,1,0)</f>
        <v>Y9019-GN</v>
      </c>
      <c r="H66" t="s">
        <v>3217</v>
      </c>
      <c r="I66">
        <v>1</v>
      </c>
      <c r="J66" s="1" t="str">
        <f>VLOOKUP(H:H,'9店'!$B:$B,1,0)</f>
        <v>Y9007-12PC</v>
      </c>
      <c r="K66" t="s">
        <v>3080</v>
      </c>
      <c r="L66">
        <v>2425</v>
      </c>
      <c r="M66">
        <v>19</v>
      </c>
      <c r="N66">
        <v>8.1</v>
      </c>
      <c r="O66">
        <v>25.98</v>
      </c>
      <c r="P66">
        <v>2</v>
      </c>
      <c r="Q66" s="31">
        <v>0.311778290993072</v>
      </c>
      <c r="R66" s="31">
        <v>0.105263157894737</v>
      </c>
      <c r="S66" s="1" t="str">
        <f>VLOOKUP(K:K,'9店'!$B:$B,1,0)</f>
        <v>Y93106-OR+Y93109+Y93112</v>
      </c>
      <c r="T66" t="s">
        <v>3211</v>
      </c>
      <c r="U66">
        <v>484</v>
      </c>
      <c r="V66">
        <v>5</v>
      </c>
      <c r="W66">
        <v>1.59</v>
      </c>
      <c r="X66">
        <v>12.99</v>
      </c>
      <c r="Y66">
        <v>1</v>
      </c>
      <c r="Z66" s="31">
        <v>0.122401847575058</v>
      </c>
      <c r="AA66" s="31">
        <v>0.2</v>
      </c>
      <c r="AB66" s="1" t="str">
        <f>VLOOKUP(T:T,'9店'!$B:$B,1,0)</f>
        <v>Y93135-OR+Y93138+Y93269</v>
      </c>
      <c r="AC66" t="s">
        <v>3186</v>
      </c>
      <c r="AD66">
        <v>739</v>
      </c>
      <c r="AE66">
        <v>7</v>
      </c>
      <c r="AF66">
        <v>1.52</v>
      </c>
      <c r="AG66">
        <v>0</v>
      </c>
      <c r="AH66">
        <v>0</v>
      </c>
      <c r="AI66" s="31">
        <v>0</v>
      </c>
      <c r="AJ66" s="31">
        <v>0</v>
      </c>
      <c r="AK66" s="1" t="str">
        <f>VLOOKUP(AC:AC,'9店'!$B:$B,1,0)</f>
        <v>Y93153-BL+Y93155+Y93169</v>
      </c>
      <c r="AL66" t="s">
        <v>3250</v>
      </c>
      <c r="AM66" s="102">
        <v>49.99</v>
      </c>
      <c r="AN66" s="1">
        <f t="shared" si="5"/>
        <v>342.4315</v>
      </c>
      <c r="AP66" t="s">
        <v>3270</v>
      </c>
      <c r="AQ66" s="102">
        <v>66.48</v>
      </c>
      <c r="AR66" s="1">
        <f t="shared" ref="AR66:AR90" si="6">AQ66*$AS$1</f>
        <v>455.388</v>
      </c>
      <c r="AT66" s="45" t="s">
        <v>3195</v>
      </c>
      <c r="AU66" s="44">
        <v>69.5</v>
      </c>
      <c r="AW66" s="45" t="s">
        <v>3190</v>
      </c>
      <c r="AX66" s="44">
        <v>111.2</v>
      </c>
      <c r="AZ66" s="47" t="s">
        <v>3056</v>
      </c>
      <c r="BA66" s="48">
        <v>4.698</v>
      </c>
      <c r="BB66" s="1" t="s">
        <v>430</v>
      </c>
    </row>
    <row r="67" spans="2:54">
      <c r="B67" t="s">
        <v>3186</v>
      </c>
      <c r="C67">
        <v>1</v>
      </c>
      <c r="D67" s="1" t="str">
        <f>VLOOKUP(B:B,'9店'!$B:$B,1,0)</f>
        <v>Y93153-BL+Y93155+Y93169</v>
      </c>
      <c r="E67" t="s">
        <v>3273</v>
      </c>
      <c r="F67">
        <v>5</v>
      </c>
      <c r="G67" s="1" t="str">
        <f>VLOOKUP(E:E,'9店'!$B:$B,1,0)</f>
        <v>Y9021</v>
      </c>
      <c r="H67" t="s">
        <v>3223</v>
      </c>
      <c r="I67">
        <v>71</v>
      </c>
      <c r="J67" s="1" t="str">
        <f>VLOOKUP(H:H,'9店'!$B:$B,1,0)</f>
        <v>Y9007-30PC</v>
      </c>
      <c r="K67" t="s">
        <v>3111</v>
      </c>
      <c r="L67">
        <v>770</v>
      </c>
      <c r="M67">
        <v>6</v>
      </c>
      <c r="N67">
        <v>2.34</v>
      </c>
      <c r="O67">
        <v>12.99</v>
      </c>
      <c r="P67">
        <v>1</v>
      </c>
      <c r="Q67" s="31">
        <v>0.18013856812933</v>
      </c>
      <c r="R67" s="31">
        <v>0.166666666666667</v>
      </c>
      <c r="S67" s="1" t="str">
        <f>VLOOKUP(K:K,'9店'!$B:$B,1,0)</f>
        <v>Y93758-DB+Y93759+Y93761</v>
      </c>
      <c r="T67" t="s">
        <v>3209</v>
      </c>
      <c r="U67">
        <v>1341</v>
      </c>
      <c r="V67">
        <v>9</v>
      </c>
      <c r="W67">
        <v>3.12</v>
      </c>
      <c r="X67">
        <v>0</v>
      </c>
      <c r="Y67">
        <v>0</v>
      </c>
      <c r="Z67" s="31">
        <v>0</v>
      </c>
      <c r="AA67" s="31">
        <v>0</v>
      </c>
      <c r="AB67" s="1" t="str">
        <f>VLOOKUP(T:T,'9店'!$B:$B,1,0)</f>
        <v>Y93135-DB+Y93138+Y93269</v>
      </c>
      <c r="AC67" t="s">
        <v>3188</v>
      </c>
      <c r="AD67">
        <v>360</v>
      </c>
      <c r="AE67">
        <v>2</v>
      </c>
      <c r="AF67">
        <v>0.76</v>
      </c>
      <c r="AG67">
        <v>12.99</v>
      </c>
      <c r="AH67">
        <v>1</v>
      </c>
      <c r="AI67" s="31">
        <v>0.0585065434949962</v>
      </c>
      <c r="AJ67" s="31">
        <v>0.5</v>
      </c>
      <c r="AK67" s="1" t="str">
        <f>VLOOKUP(AC:AC,'9店'!$B:$B,1,0)</f>
        <v>Y93153-DB+Y93155+Y93169</v>
      </c>
      <c r="AL67" t="s">
        <v>3264</v>
      </c>
      <c r="AM67" s="102">
        <v>89.97</v>
      </c>
      <c r="AN67" s="1">
        <f t="shared" si="5"/>
        <v>616.2945</v>
      </c>
      <c r="AP67" t="s">
        <v>3058</v>
      </c>
      <c r="AQ67" s="102">
        <v>12.99</v>
      </c>
      <c r="AR67" s="1">
        <f t="shared" si="6"/>
        <v>88.9815</v>
      </c>
      <c r="AT67" s="45" t="s">
        <v>3197</v>
      </c>
      <c r="AU67" s="44">
        <v>41.7</v>
      </c>
      <c r="AW67" s="45" t="s">
        <v>3192</v>
      </c>
      <c r="AX67" s="44">
        <v>152.9</v>
      </c>
      <c r="AZ67" s="47" t="s">
        <v>3103</v>
      </c>
      <c r="BA67" s="48">
        <v>4.715</v>
      </c>
      <c r="BB67" s="1" t="s">
        <v>430</v>
      </c>
    </row>
    <row r="68" spans="2:54">
      <c r="B68" t="s">
        <v>3050</v>
      </c>
      <c r="C68">
        <v>1</v>
      </c>
      <c r="D68" s="1" t="str">
        <f>VLOOKUP(B:B,'9店'!$B:$B,1,0)</f>
        <v>Y9002-DB+Y9005</v>
      </c>
      <c r="E68" t="s">
        <v>3341</v>
      </c>
      <c r="F68">
        <v>2</v>
      </c>
      <c r="G68" s="1" t="e">
        <f>VLOOKUP(E:E,'9店'!$B:$B,1,0)</f>
        <v>#N/A</v>
      </c>
      <c r="H68" t="s">
        <v>3178</v>
      </c>
      <c r="I68">
        <v>4</v>
      </c>
      <c r="J68" s="1" t="str">
        <f>VLOOKUP(H:H,'9店'!$B:$B,1,0)</f>
        <v>Y92610-OR+Y92613+Y92634</v>
      </c>
      <c r="K68" t="s">
        <v>3229</v>
      </c>
      <c r="L68">
        <v>740</v>
      </c>
      <c r="M68">
        <v>1</v>
      </c>
      <c r="N68">
        <v>1.3</v>
      </c>
      <c r="O68">
        <v>29.99</v>
      </c>
      <c r="P68">
        <v>1</v>
      </c>
      <c r="Q68" s="31">
        <v>0.0433477825941981</v>
      </c>
      <c r="R68" s="31">
        <v>1</v>
      </c>
      <c r="S68" s="1" t="str">
        <f>VLOOKUP(K:K,'9店'!$B:$B,1,0)</f>
        <v>Y9008</v>
      </c>
      <c r="T68" t="s">
        <v>3080</v>
      </c>
      <c r="U68">
        <v>7316</v>
      </c>
      <c r="V68">
        <v>63</v>
      </c>
      <c r="W68">
        <v>25.69</v>
      </c>
      <c r="X68">
        <v>79.94</v>
      </c>
      <c r="Y68">
        <v>6</v>
      </c>
      <c r="Z68" s="31">
        <v>0.321366024518389</v>
      </c>
      <c r="AA68" s="31">
        <v>0.0952380952380952</v>
      </c>
      <c r="AB68" s="1" t="str">
        <f>VLOOKUP(T:T,'9店'!$B:$B,1,0)</f>
        <v>Y93106-OR+Y93109+Y93112</v>
      </c>
      <c r="AC68" t="s">
        <v>3167</v>
      </c>
      <c r="AD68">
        <v>398</v>
      </c>
      <c r="AE68">
        <v>3</v>
      </c>
      <c r="AF68">
        <v>0.76</v>
      </c>
      <c r="AG68">
        <v>0</v>
      </c>
      <c r="AH68">
        <v>0</v>
      </c>
      <c r="AI68" s="31">
        <v>0</v>
      </c>
      <c r="AJ68" s="31">
        <v>0</v>
      </c>
      <c r="AK68" s="1" t="str">
        <f>VLOOKUP(AC:AC,'9店'!$B:$B,1,0)</f>
        <v>Y92559-OR+Y92560+Y92399</v>
      </c>
      <c r="AL68" t="s">
        <v>3255</v>
      </c>
      <c r="AM68" s="102">
        <v>24.99</v>
      </c>
      <c r="AN68" s="1">
        <f t="shared" si="5"/>
        <v>171.1815</v>
      </c>
      <c r="AP68" t="s">
        <v>3111</v>
      </c>
      <c r="AQ68" s="102">
        <v>12.99</v>
      </c>
      <c r="AR68" s="1">
        <f t="shared" si="6"/>
        <v>88.9815</v>
      </c>
      <c r="AT68" s="45" t="s">
        <v>3199</v>
      </c>
      <c r="AU68" s="44">
        <v>27.8</v>
      </c>
      <c r="AW68" s="45" t="s">
        <v>3195</v>
      </c>
      <c r="AX68" s="44">
        <v>13.9</v>
      </c>
      <c r="AZ68" s="47" t="s">
        <v>3364</v>
      </c>
      <c r="BA68" s="48">
        <v>5.556</v>
      </c>
      <c r="BB68" s="1" t="s">
        <v>430</v>
      </c>
    </row>
    <row r="69" spans="2:54">
      <c r="B69" t="s">
        <v>3068</v>
      </c>
      <c r="C69">
        <v>1</v>
      </c>
      <c r="D69" s="1" t="str">
        <f>VLOOKUP(B:B,'9店'!$B:$B,1,0)</f>
        <v>Y9003-DB+Y9006+Y9008</v>
      </c>
      <c r="E69" t="s">
        <v>3357</v>
      </c>
      <c r="F69">
        <v>1</v>
      </c>
      <c r="G69" s="1" t="e">
        <f>VLOOKUP(E:E,'9店'!$B:$B,1,0)</f>
        <v>#N/A</v>
      </c>
      <c r="H69" t="s">
        <v>3066</v>
      </c>
      <c r="I69">
        <v>4</v>
      </c>
      <c r="J69" s="1" t="str">
        <f>VLOOKUP(H:H,'9店'!$B:$B,1,0)</f>
        <v>Y9003-BU+Y9006+Y9008</v>
      </c>
      <c r="K69" t="s">
        <v>3223</v>
      </c>
      <c r="L69">
        <v>164</v>
      </c>
      <c r="M69">
        <v>2</v>
      </c>
      <c r="N69">
        <v>0.7</v>
      </c>
      <c r="O69">
        <v>6.99</v>
      </c>
      <c r="P69">
        <v>1</v>
      </c>
      <c r="Q69" s="31">
        <v>0.100143061516452</v>
      </c>
      <c r="R69" s="31">
        <v>0.5</v>
      </c>
      <c r="S69" s="1" t="str">
        <f>VLOOKUP(K:K,'9店'!$B:$B,1,0)</f>
        <v>Y9007-30PC</v>
      </c>
      <c r="T69" t="s">
        <v>3111</v>
      </c>
      <c r="U69">
        <v>1431</v>
      </c>
      <c r="V69">
        <v>13</v>
      </c>
      <c r="W69">
        <v>4.27</v>
      </c>
      <c r="X69">
        <v>12.99</v>
      </c>
      <c r="Y69">
        <v>1</v>
      </c>
      <c r="Z69" s="31">
        <v>0.328714395688991</v>
      </c>
      <c r="AA69" s="31">
        <v>0.0769230769230769</v>
      </c>
      <c r="AB69" s="1" t="str">
        <f>VLOOKUP(T:T,'9店'!$B:$B,1,0)</f>
        <v>Y93758-DB+Y93759+Y93761</v>
      </c>
      <c r="AC69" t="s">
        <v>3164</v>
      </c>
      <c r="AD69">
        <v>330</v>
      </c>
      <c r="AE69">
        <v>1</v>
      </c>
      <c r="AF69">
        <v>0.38</v>
      </c>
      <c r="AG69">
        <v>0</v>
      </c>
      <c r="AH69">
        <v>0</v>
      </c>
      <c r="AI69" s="31">
        <v>0</v>
      </c>
      <c r="AJ69" s="31">
        <v>0</v>
      </c>
      <c r="AK69" s="1" t="str">
        <f>VLOOKUP(AC:AC,'9店'!$B:$B,1,0)</f>
        <v>Y92559-BL+Y92560+Y92399</v>
      </c>
      <c r="AL69" t="s">
        <v>3270</v>
      </c>
      <c r="AM69" s="102">
        <v>34.99</v>
      </c>
      <c r="AN69" s="1">
        <f t="shared" si="5"/>
        <v>239.6815</v>
      </c>
      <c r="AP69" t="s">
        <v>3354</v>
      </c>
      <c r="AQ69" s="102">
        <v>12.88</v>
      </c>
      <c r="AR69" s="1">
        <f t="shared" si="6"/>
        <v>88.228</v>
      </c>
      <c r="AT69" s="45" t="s">
        <v>3201</v>
      </c>
      <c r="AU69" s="44">
        <v>166.8</v>
      </c>
      <c r="AW69" s="45" t="s">
        <v>3197</v>
      </c>
      <c r="AX69" s="44">
        <v>55.6</v>
      </c>
      <c r="AZ69" s="47" t="s">
        <v>3201</v>
      </c>
      <c r="BA69" s="48">
        <v>6.762</v>
      </c>
      <c r="BB69" s="1" t="s">
        <v>430</v>
      </c>
    </row>
    <row r="70" spans="2:54">
      <c r="B70" t="s">
        <v>3100</v>
      </c>
      <c r="C70">
        <v>1</v>
      </c>
      <c r="D70" s="1" t="str">
        <f>VLOOKUP(B:B,'9店'!$B:$B,1,0)</f>
        <v>Y9029-OR+Y9030+Y9031</v>
      </c>
      <c r="E70" t="s">
        <v>3346</v>
      </c>
      <c r="F70">
        <v>2</v>
      </c>
      <c r="G70" s="1" t="e">
        <f>VLOOKUP(E:E,'9店'!$B:$B,1,0)</f>
        <v>#N/A</v>
      </c>
      <c r="H70" t="s">
        <v>3365</v>
      </c>
      <c r="I70">
        <v>1</v>
      </c>
      <c r="J70" s="1" t="e">
        <f>VLOOKUP(H:H,'9店'!$B:$B,1,0)</f>
        <v>#N/A</v>
      </c>
      <c r="K70" t="s">
        <v>3220</v>
      </c>
      <c r="L70">
        <v>319</v>
      </c>
      <c r="M70">
        <v>3</v>
      </c>
      <c r="N70">
        <v>0.72</v>
      </c>
      <c r="O70">
        <v>0</v>
      </c>
      <c r="P70">
        <v>0</v>
      </c>
      <c r="Q70" s="31">
        <v>0</v>
      </c>
      <c r="R70" s="31">
        <v>0</v>
      </c>
      <c r="S70" s="1" t="str">
        <f>VLOOKUP(K:K,'9店'!$B:$B,1,0)</f>
        <v>Y9007-24PC</v>
      </c>
      <c r="T70" t="s">
        <v>3229</v>
      </c>
      <c r="U70">
        <v>102366</v>
      </c>
      <c r="V70">
        <v>30</v>
      </c>
      <c r="W70">
        <v>19.8</v>
      </c>
      <c r="X70">
        <v>95.96</v>
      </c>
      <c r="Y70">
        <v>4</v>
      </c>
      <c r="Z70" s="31">
        <v>0.206335973322218</v>
      </c>
      <c r="AA70" s="31">
        <v>0.133333333333333</v>
      </c>
      <c r="AB70" s="1" t="str">
        <f>VLOOKUP(T:T,'9店'!$B:$B,1,0)</f>
        <v>Y9008</v>
      </c>
      <c r="AC70" t="s">
        <v>3207</v>
      </c>
      <c r="AD70">
        <v>1933</v>
      </c>
      <c r="AE70">
        <v>14</v>
      </c>
      <c r="AF70">
        <v>4.76</v>
      </c>
      <c r="AG70">
        <v>25.98</v>
      </c>
      <c r="AH70">
        <v>1</v>
      </c>
      <c r="AI70" s="31">
        <v>0.183217859892225</v>
      </c>
      <c r="AJ70" s="31">
        <v>0.0714285714285714</v>
      </c>
      <c r="AK70" s="1" t="str">
        <f>VLOOKUP(AC:AC,'9店'!$B:$B,1,0)</f>
        <v>Y93135-BL+Y93138+Y93269-1</v>
      </c>
      <c r="AL70" t="s">
        <v>3330</v>
      </c>
      <c r="AM70" s="102">
        <v>24.99</v>
      </c>
      <c r="AN70" s="1">
        <f t="shared" si="5"/>
        <v>171.1815</v>
      </c>
      <c r="AP70" t="s">
        <v>3161</v>
      </c>
      <c r="AQ70" s="102">
        <v>12.99</v>
      </c>
      <c r="AR70" s="1">
        <f t="shared" si="6"/>
        <v>88.9815</v>
      </c>
      <c r="AT70" s="45" t="s">
        <v>3203</v>
      </c>
      <c r="AU70" s="44">
        <v>69.5</v>
      </c>
      <c r="AW70" s="45" t="s">
        <v>3199</v>
      </c>
      <c r="AX70" s="44">
        <v>97.3</v>
      </c>
      <c r="AZ70" s="47" t="s">
        <v>3205</v>
      </c>
      <c r="BA70" s="48">
        <v>6.76</v>
      </c>
      <c r="BB70" s="1" t="s">
        <v>430</v>
      </c>
    </row>
    <row r="71" spans="2:54">
      <c r="B71" t="s">
        <v>3330</v>
      </c>
      <c r="C71">
        <v>1</v>
      </c>
      <c r="D71" s="1" t="str">
        <f>VLOOKUP(B:B,'9店'!$B:$B,1,0)</f>
        <v>Y9026-6-BL</v>
      </c>
      <c r="E71" t="s">
        <v>3250</v>
      </c>
      <c r="F71">
        <v>3</v>
      </c>
      <c r="G71" s="1" t="str">
        <f>VLOOKUP(E:E,'9店'!$B:$B,1,0)</f>
        <v>Y9010-PI</v>
      </c>
      <c r="H71" t="s">
        <v>3186</v>
      </c>
      <c r="I71">
        <v>2</v>
      </c>
      <c r="J71" s="1" t="str">
        <f>VLOOKUP(H:H,'9店'!$B:$B,1,0)</f>
        <v>Y93153-BL+Y93155+Y93169</v>
      </c>
      <c r="K71" t="s">
        <v>3058</v>
      </c>
      <c r="L71">
        <v>0</v>
      </c>
      <c r="M71">
        <v>0</v>
      </c>
      <c r="N71">
        <v>0</v>
      </c>
      <c r="O71">
        <v>0</v>
      </c>
      <c r="P71">
        <v>0</v>
      </c>
      <c r="Q71" s="31">
        <v>0</v>
      </c>
      <c r="R71" s="31">
        <v>0</v>
      </c>
      <c r="S71" s="1" t="str">
        <f>VLOOKUP(K:K,'9店'!$B:$B,1,0)</f>
        <v>Y93694-BL+Y93712+Y93744</v>
      </c>
      <c r="T71" t="s">
        <v>3058</v>
      </c>
      <c r="U71">
        <v>0</v>
      </c>
      <c r="V71">
        <v>0</v>
      </c>
      <c r="W71">
        <v>0</v>
      </c>
      <c r="X71">
        <v>0</v>
      </c>
      <c r="Y71">
        <v>0</v>
      </c>
      <c r="Z71" s="31">
        <v>0</v>
      </c>
      <c r="AA71" s="31">
        <v>0</v>
      </c>
      <c r="AB71" s="1" t="str">
        <f>VLOOKUP(T:T,'9店'!$B:$B,1,0)</f>
        <v>Y93694-BL+Y93712+Y93744</v>
      </c>
      <c r="AC71" t="s">
        <v>3211</v>
      </c>
      <c r="AD71">
        <v>1018</v>
      </c>
      <c r="AE71">
        <v>7</v>
      </c>
      <c r="AF71">
        <v>2.06</v>
      </c>
      <c r="AG71">
        <v>12.99</v>
      </c>
      <c r="AH71">
        <v>1</v>
      </c>
      <c r="AI71" s="31">
        <v>0.158583525789069</v>
      </c>
      <c r="AJ71" s="31">
        <v>0.142857142857143</v>
      </c>
      <c r="AK71" s="1" t="str">
        <f>VLOOKUP(AC:AC,'9店'!$B:$B,1,0)</f>
        <v>Y93135-OR+Y93138+Y93269</v>
      </c>
      <c r="AN71" s="1">
        <f t="shared" si="5"/>
        <v>0</v>
      </c>
      <c r="AP71" t="s">
        <v>3355</v>
      </c>
      <c r="AQ71" s="102">
        <v>18.99</v>
      </c>
      <c r="AR71" s="1">
        <f t="shared" si="6"/>
        <v>130.0815</v>
      </c>
      <c r="AT71" s="45" t="s">
        <v>3205</v>
      </c>
      <c r="AU71" s="44">
        <v>27.8</v>
      </c>
      <c r="AW71" s="45" t="s">
        <v>3201</v>
      </c>
      <c r="AX71" s="44">
        <v>208.5</v>
      </c>
      <c r="AZ71" s="47" t="s">
        <v>3203</v>
      </c>
      <c r="BA71" s="48">
        <v>6.745</v>
      </c>
      <c r="BB71" s="1" t="s">
        <v>430</v>
      </c>
    </row>
    <row r="72" spans="2:54">
      <c r="B72" t="s">
        <v>439</v>
      </c>
      <c r="C72">
        <v>528</v>
      </c>
      <c r="E72" t="s">
        <v>3247</v>
      </c>
      <c r="F72">
        <v>2</v>
      </c>
      <c r="G72" s="1" t="str">
        <f>VLOOKUP(E:E,'9店'!$B:$B,1,0)</f>
        <v>Y9010-KH</v>
      </c>
      <c r="H72" t="s">
        <v>3097</v>
      </c>
      <c r="I72">
        <v>1</v>
      </c>
      <c r="J72" s="1" t="str">
        <f>VLOOKUP(H:H,'9店'!$B:$B,1,0)</f>
        <v>Y9029-DB+Y9030+Y9031</v>
      </c>
      <c r="K72" t="s">
        <v>3141</v>
      </c>
      <c r="L72">
        <v>844</v>
      </c>
      <c r="M72">
        <v>3</v>
      </c>
      <c r="N72">
        <v>1.12</v>
      </c>
      <c r="O72">
        <v>0</v>
      </c>
      <c r="P72">
        <v>0</v>
      </c>
      <c r="Q72" s="31">
        <v>0</v>
      </c>
      <c r="R72" s="31">
        <v>0</v>
      </c>
      <c r="S72" s="1" t="str">
        <f>VLOOKUP(K:K,'9店'!$B:$B,1,0)</f>
        <v>Y93405-BL+Y93406+Y93397</v>
      </c>
      <c r="T72" t="s">
        <v>3223</v>
      </c>
      <c r="U72">
        <v>6218</v>
      </c>
      <c r="V72">
        <v>9</v>
      </c>
      <c r="W72">
        <v>4.84</v>
      </c>
      <c r="X72">
        <v>20.48</v>
      </c>
      <c r="Y72">
        <v>2</v>
      </c>
      <c r="Z72" s="31">
        <v>0.236328125</v>
      </c>
      <c r="AA72" s="31">
        <v>0.222222222222222</v>
      </c>
      <c r="AB72" s="1" t="str">
        <f>VLOOKUP(T:T,'9店'!$B:$B,1,0)</f>
        <v>Y9007-30PC</v>
      </c>
      <c r="AC72" t="s">
        <v>3209</v>
      </c>
      <c r="AD72">
        <v>2342</v>
      </c>
      <c r="AE72">
        <v>14</v>
      </c>
      <c r="AF72">
        <v>5.04</v>
      </c>
      <c r="AG72">
        <v>12.99</v>
      </c>
      <c r="AH72">
        <v>1</v>
      </c>
      <c r="AI72" s="31">
        <v>0.387990762124711</v>
      </c>
      <c r="AJ72" s="31">
        <v>0.0714285714285714</v>
      </c>
      <c r="AK72" s="1" t="str">
        <f>VLOOKUP(AC:AC,'9店'!$B:$B,1,0)</f>
        <v>Y93135-DB+Y93138+Y93269</v>
      </c>
      <c r="AN72" s="1">
        <f t="shared" si="5"/>
        <v>0</v>
      </c>
      <c r="AP72" t="s">
        <v>3188</v>
      </c>
      <c r="AQ72" s="102">
        <v>12.99</v>
      </c>
      <c r="AR72" s="1">
        <f t="shared" si="6"/>
        <v>88.9815</v>
      </c>
      <c r="AT72" s="45" t="s">
        <v>3207</v>
      </c>
      <c r="AU72" s="44">
        <v>69.5</v>
      </c>
      <c r="AW72" s="45" t="s">
        <v>3203</v>
      </c>
      <c r="AX72" s="44">
        <v>166.8</v>
      </c>
      <c r="AZ72" s="47" t="s">
        <v>3366</v>
      </c>
      <c r="BA72" s="48">
        <v>3.709</v>
      </c>
      <c r="BB72" s="1" t="s">
        <v>430</v>
      </c>
    </row>
    <row r="73" spans="2:54">
      <c r="B73"/>
      <c r="C73"/>
      <c r="E73" t="s">
        <v>3258</v>
      </c>
      <c r="F73">
        <v>3</v>
      </c>
      <c r="G73" s="1" t="str">
        <f>VLOOKUP(E:E,'9店'!$B:$B,1,0)</f>
        <v>Y9018-GN</v>
      </c>
      <c r="H73" t="s">
        <v>3255</v>
      </c>
      <c r="I73">
        <v>13</v>
      </c>
      <c r="J73" s="1" t="str">
        <f>VLOOKUP(H:H,'9店'!$B:$B,1,0)</f>
        <v>Y9018-GA</v>
      </c>
      <c r="K73" t="s">
        <v>3068</v>
      </c>
      <c r="L73">
        <v>3</v>
      </c>
      <c r="M73">
        <v>0</v>
      </c>
      <c r="N73">
        <v>0</v>
      </c>
      <c r="O73">
        <v>0</v>
      </c>
      <c r="P73">
        <v>0</v>
      </c>
      <c r="Q73" s="31">
        <v>0</v>
      </c>
      <c r="R73" s="31">
        <v>0</v>
      </c>
      <c r="S73" s="1" t="str">
        <f>VLOOKUP(K:K,'9店'!$B:$B,1,0)</f>
        <v>Y9003-DB+Y9006+Y9008</v>
      </c>
      <c r="T73" t="s">
        <v>3220</v>
      </c>
      <c r="U73">
        <v>702</v>
      </c>
      <c r="V73">
        <v>6</v>
      </c>
      <c r="W73">
        <v>1.92</v>
      </c>
      <c r="X73">
        <v>0</v>
      </c>
      <c r="Y73">
        <v>0</v>
      </c>
      <c r="Z73" s="31">
        <v>0</v>
      </c>
      <c r="AA73" s="31">
        <v>0</v>
      </c>
      <c r="AB73" s="1" t="str">
        <f>VLOOKUP(T:T,'9店'!$B:$B,1,0)</f>
        <v>Y9007-24PC</v>
      </c>
      <c r="AC73" t="s">
        <v>3080</v>
      </c>
      <c r="AD73">
        <v>15458</v>
      </c>
      <c r="AE73">
        <v>134</v>
      </c>
      <c r="AF73">
        <v>53.46</v>
      </c>
      <c r="AG73">
        <v>183.86</v>
      </c>
      <c r="AH73">
        <v>14</v>
      </c>
      <c r="AI73" s="31">
        <v>0.290764712281083</v>
      </c>
      <c r="AJ73" s="31">
        <v>0.104477611940299</v>
      </c>
      <c r="AK73" s="1" t="str">
        <f>VLOOKUP(AC:AC,'9店'!$B:$B,1,0)</f>
        <v>Y93106-OR+Y93109+Y93112</v>
      </c>
      <c r="AN73" s="1">
        <f t="shared" si="5"/>
        <v>0</v>
      </c>
      <c r="AP73" t="s">
        <v>3184</v>
      </c>
      <c r="AQ73" s="102">
        <v>12.99</v>
      </c>
      <c r="AR73" s="1">
        <f t="shared" si="6"/>
        <v>88.9815</v>
      </c>
      <c r="AT73" s="45" t="s">
        <v>3209</v>
      </c>
      <c r="AU73" s="44">
        <v>13.9</v>
      </c>
      <c r="AW73" s="45" t="s">
        <v>3205</v>
      </c>
      <c r="AX73" s="44">
        <v>111.2</v>
      </c>
      <c r="AZ73" s="47" t="s">
        <v>3367</v>
      </c>
      <c r="BA73" s="48">
        <v>6.76</v>
      </c>
      <c r="BB73" s="1" t="s">
        <v>430</v>
      </c>
    </row>
    <row r="74" spans="2:54">
      <c r="B74"/>
      <c r="C74"/>
      <c r="E74" t="s">
        <v>3188</v>
      </c>
      <c r="F74">
        <v>1</v>
      </c>
      <c r="G74" s="1" t="str">
        <f>VLOOKUP(E:E,'9店'!$B:$B,1,0)</f>
        <v>Y93153-DB+Y93155+Y93169</v>
      </c>
      <c r="H74" t="s">
        <v>3345</v>
      </c>
      <c r="I74">
        <v>1</v>
      </c>
      <c r="J74" s="1" t="e">
        <f>VLOOKUP(H:H,'9店'!$B:$B,1,0)</f>
        <v>#N/A</v>
      </c>
      <c r="K74" t="s">
        <v>3159</v>
      </c>
      <c r="L74">
        <v>311</v>
      </c>
      <c r="M74">
        <v>4</v>
      </c>
      <c r="N74">
        <v>1.22</v>
      </c>
      <c r="O74">
        <v>0</v>
      </c>
      <c r="P74">
        <v>0</v>
      </c>
      <c r="Q74" s="31">
        <v>0</v>
      </c>
      <c r="R74" s="31">
        <v>0</v>
      </c>
      <c r="S74" s="1" t="str">
        <f>VLOOKUP(K:K,'9店'!$B:$B,1,0)</f>
        <v>Y93821-DB+Y93822+Y93823</v>
      </c>
      <c r="T74" t="s">
        <v>3226</v>
      </c>
      <c r="U74">
        <v>63574</v>
      </c>
      <c r="V74">
        <v>9</v>
      </c>
      <c r="W74">
        <v>4.13</v>
      </c>
      <c r="X74">
        <v>0</v>
      </c>
      <c r="Y74">
        <v>0</v>
      </c>
      <c r="Z74" s="31">
        <v>0</v>
      </c>
      <c r="AA74" s="31">
        <v>0</v>
      </c>
      <c r="AB74" s="1" t="str">
        <f>VLOOKUP(T:T,'9店'!$B:$B,1,0)</f>
        <v>Y9007-6PC</v>
      </c>
      <c r="AC74" t="s">
        <v>3111</v>
      </c>
      <c r="AD74">
        <v>2371</v>
      </c>
      <c r="AE74">
        <v>20</v>
      </c>
      <c r="AF74">
        <v>6.56</v>
      </c>
      <c r="AG74">
        <v>12.99</v>
      </c>
      <c r="AH74">
        <v>1</v>
      </c>
      <c r="AI74" s="31">
        <v>0.505003849114704</v>
      </c>
      <c r="AJ74" s="31">
        <v>0.05</v>
      </c>
      <c r="AK74" s="1" t="str">
        <f>VLOOKUP(AC:AC,'9店'!$B:$B,1,0)</f>
        <v>Y93758-DB+Y93759+Y93761</v>
      </c>
      <c r="AN74" s="1">
        <f t="shared" ref="AN70:AN97" si="7">AM74*$AS$1</f>
        <v>0</v>
      </c>
      <c r="AP74" t="s">
        <v>3186</v>
      </c>
      <c r="AQ74" s="102">
        <v>12.99</v>
      </c>
      <c r="AR74" s="1">
        <f t="shared" si="6"/>
        <v>88.9815</v>
      </c>
      <c r="AT74" s="45" t="s">
        <v>3211</v>
      </c>
      <c r="AU74" s="44">
        <v>41.7</v>
      </c>
      <c r="AW74" s="45" t="s">
        <v>3353</v>
      </c>
      <c r="AX74" s="44">
        <v>41.7</v>
      </c>
      <c r="AZ74" s="47" t="s">
        <v>3353</v>
      </c>
      <c r="BA74" s="48">
        <v>4.327</v>
      </c>
      <c r="BB74" s="1" t="s">
        <v>430</v>
      </c>
    </row>
    <row r="75" spans="2:54">
      <c r="B75"/>
      <c r="C75"/>
      <c r="E75" t="s">
        <v>3368</v>
      </c>
      <c r="F75">
        <v>1</v>
      </c>
      <c r="G75" s="1" t="e">
        <f>VLOOKUP(E:E,'9店'!$B:$B,1,0)</f>
        <v>#N/A</v>
      </c>
      <c r="H75" t="s">
        <v>3052</v>
      </c>
      <c r="I75">
        <v>1</v>
      </c>
      <c r="J75" s="1" t="str">
        <f>VLOOKUP(H:H,'9店'!$B:$B,1,0)</f>
        <v>Y9002-OR+Y9005</v>
      </c>
      <c r="K75" t="s">
        <v>3226</v>
      </c>
      <c r="L75">
        <v>1119</v>
      </c>
      <c r="M75">
        <v>0</v>
      </c>
      <c r="N75">
        <v>0</v>
      </c>
      <c r="O75">
        <v>0</v>
      </c>
      <c r="P75">
        <v>0</v>
      </c>
      <c r="Q75" s="31">
        <v>0</v>
      </c>
      <c r="R75" s="31">
        <v>0</v>
      </c>
      <c r="S75" s="1" t="str">
        <f>VLOOKUP(K:K,'9店'!$B:$B,1,0)</f>
        <v>Y9007-6PC</v>
      </c>
      <c r="T75" t="s">
        <v>3141</v>
      </c>
      <c r="U75">
        <v>1768</v>
      </c>
      <c r="V75">
        <v>6</v>
      </c>
      <c r="W75">
        <v>2.31</v>
      </c>
      <c r="X75">
        <v>0</v>
      </c>
      <c r="Y75">
        <v>0</v>
      </c>
      <c r="Z75" s="31">
        <v>0</v>
      </c>
      <c r="AA75" s="31">
        <v>0</v>
      </c>
      <c r="AB75" s="1" t="str">
        <f>VLOOKUP(T:T,'9店'!$B:$B,1,0)</f>
        <v>Y93405-BL+Y93406+Y93397</v>
      </c>
      <c r="AC75" t="s">
        <v>3226</v>
      </c>
      <c r="AD75">
        <v>77291</v>
      </c>
      <c r="AE75">
        <v>12</v>
      </c>
      <c r="AF75">
        <v>5.76</v>
      </c>
      <c r="AG75">
        <v>0</v>
      </c>
      <c r="AH75">
        <v>0</v>
      </c>
      <c r="AI75" s="31">
        <v>0</v>
      </c>
      <c r="AJ75" s="31">
        <v>0</v>
      </c>
      <c r="AK75" s="1" t="str">
        <f>VLOOKUP(AC:AC,'9店'!$B:$B,1,0)</f>
        <v>Y9007-6PC</v>
      </c>
      <c r="AN75" s="1">
        <f t="shared" si="7"/>
        <v>0</v>
      </c>
      <c r="AP75" t="s">
        <v>3368</v>
      </c>
      <c r="AQ75" s="102">
        <v>12.99</v>
      </c>
      <c r="AR75" s="1">
        <f t="shared" si="6"/>
        <v>88.9815</v>
      </c>
      <c r="AT75" s="45" t="s">
        <v>3213</v>
      </c>
      <c r="AU75" s="44">
        <v>333.6</v>
      </c>
      <c r="AW75" s="45" t="s">
        <v>3207</v>
      </c>
      <c r="AX75" s="44">
        <v>139</v>
      </c>
      <c r="AZ75" s="47" t="s">
        <v>3369</v>
      </c>
      <c r="BA75" s="48">
        <v>6</v>
      </c>
      <c r="BB75" s="1" t="s">
        <v>430</v>
      </c>
    </row>
    <row r="76" spans="5:54">
      <c r="E76" t="s">
        <v>3370</v>
      </c>
      <c r="F76">
        <v>1</v>
      </c>
      <c r="G76" s="1" t="e">
        <f>VLOOKUP(E:E,'9店'!$B:$B,1,0)</f>
        <v>#N/A</v>
      </c>
      <c r="H76" t="s">
        <v>3276</v>
      </c>
      <c r="I76">
        <v>42</v>
      </c>
      <c r="J76" s="1" t="str">
        <f>VLOOKUP(H:H,'9店'!$B:$B,1,0)</f>
        <v>Y9022</v>
      </c>
      <c r="K76" t="s">
        <v>3273</v>
      </c>
      <c r="L76">
        <v>5457</v>
      </c>
      <c r="M76">
        <v>43</v>
      </c>
      <c r="N76">
        <v>29.6</v>
      </c>
      <c r="O76">
        <v>95.96</v>
      </c>
      <c r="P76">
        <v>3</v>
      </c>
      <c r="Q76" s="31">
        <v>0.308461859107962</v>
      </c>
      <c r="R76" s="31">
        <v>0.0697674418604651</v>
      </c>
      <c r="S76" s="1" t="str">
        <f>VLOOKUP(K:K,'9店'!$B:$B,1,0)</f>
        <v>Y9021</v>
      </c>
      <c r="T76" t="s">
        <v>3068</v>
      </c>
      <c r="U76">
        <v>4</v>
      </c>
      <c r="V76">
        <v>0</v>
      </c>
      <c r="W76">
        <v>0</v>
      </c>
      <c r="X76">
        <v>0</v>
      </c>
      <c r="Y76">
        <v>0</v>
      </c>
      <c r="Z76" s="31">
        <v>0</v>
      </c>
      <c r="AA76" s="31">
        <v>0</v>
      </c>
      <c r="AB76" s="1" t="str">
        <f>VLOOKUP(T:T,'9店'!$B:$B,1,0)</f>
        <v>Y9003-DB+Y9006+Y9008</v>
      </c>
      <c r="AC76" t="s">
        <v>3229</v>
      </c>
      <c r="AD76">
        <v>161049</v>
      </c>
      <c r="AE76">
        <v>41</v>
      </c>
      <c r="AF76">
        <v>26.36</v>
      </c>
      <c r="AG76">
        <v>95.96</v>
      </c>
      <c r="AH76">
        <v>4</v>
      </c>
      <c r="AI76" s="31">
        <v>0.274697790746144</v>
      </c>
      <c r="AJ76" s="31">
        <v>0.0975609756097561</v>
      </c>
      <c r="AK76" s="1" t="str">
        <f>VLOOKUP(AC:AC,'9店'!$B:$B,1,0)</f>
        <v>Y9008</v>
      </c>
      <c r="AN76" s="1">
        <f t="shared" si="7"/>
        <v>0</v>
      </c>
      <c r="AP76" t="s">
        <v>3173</v>
      </c>
      <c r="AQ76" s="102">
        <v>10.99</v>
      </c>
      <c r="AR76" s="1">
        <f t="shared" si="6"/>
        <v>75.2815</v>
      </c>
      <c r="AT76" s="45" t="s">
        <v>3215</v>
      </c>
      <c r="AU76" s="44">
        <v>41.7</v>
      </c>
      <c r="AW76" s="45" t="s">
        <v>3209</v>
      </c>
      <c r="AX76" s="44">
        <v>55.6</v>
      </c>
      <c r="AZ76" s="47" t="s">
        <v>3371</v>
      </c>
      <c r="BA76" s="48">
        <v>5.902</v>
      </c>
      <c r="BB76" s="1" t="s">
        <v>430</v>
      </c>
    </row>
    <row r="77" spans="5:54">
      <c r="E77" t="s">
        <v>3220</v>
      </c>
      <c r="F77">
        <v>1</v>
      </c>
      <c r="G77" s="1" t="str">
        <f>VLOOKUP(E:E,'9店'!$B:$B,1,0)</f>
        <v>Y9007-24PC</v>
      </c>
      <c r="H77" t="s">
        <v>3244</v>
      </c>
      <c r="I77">
        <v>16</v>
      </c>
      <c r="J77" s="1" t="str">
        <f>VLOOKUP(H:H,'9店'!$B:$B,1,0)</f>
        <v>Y9009-WH</v>
      </c>
      <c r="K77" t="s">
        <v>3276</v>
      </c>
      <c r="L77">
        <v>735</v>
      </c>
      <c r="M77">
        <v>9</v>
      </c>
      <c r="N77">
        <v>6.5</v>
      </c>
      <c r="O77">
        <v>0</v>
      </c>
      <c r="P77">
        <v>0</v>
      </c>
      <c r="Q77" s="31">
        <v>0</v>
      </c>
      <c r="R77" s="31">
        <v>0</v>
      </c>
      <c r="S77" s="1" t="str">
        <f>VLOOKUP(K:K,'9店'!$B:$B,1,0)</f>
        <v>Y9022</v>
      </c>
      <c r="T77" t="s">
        <v>3273</v>
      </c>
      <c r="U77">
        <v>24814</v>
      </c>
      <c r="V77">
        <v>94</v>
      </c>
      <c r="W77">
        <v>73.94</v>
      </c>
      <c r="X77">
        <v>135.95</v>
      </c>
      <c r="Y77">
        <v>4</v>
      </c>
      <c r="Z77" s="31">
        <v>0.543876425156308</v>
      </c>
      <c r="AA77" s="31">
        <v>0.0425531914893617</v>
      </c>
      <c r="AB77" s="1" t="str">
        <f>VLOOKUP(T:T,'9店'!$B:$B,1,0)</f>
        <v>Y9021</v>
      </c>
      <c r="AC77" t="s">
        <v>3223</v>
      </c>
      <c r="AD77">
        <v>18381</v>
      </c>
      <c r="AE77">
        <v>16</v>
      </c>
      <c r="AF77">
        <v>7.63</v>
      </c>
      <c r="AG77">
        <v>33.97</v>
      </c>
      <c r="AH77">
        <v>3</v>
      </c>
      <c r="AI77" s="31">
        <v>0.224609949955843</v>
      </c>
      <c r="AJ77" s="31">
        <v>0.1875</v>
      </c>
      <c r="AK77" s="1" t="str">
        <f>VLOOKUP(AC:AC,'9店'!$B:$B,1,0)</f>
        <v>Y9007-30PC</v>
      </c>
      <c r="AN77" s="1">
        <f t="shared" si="7"/>
        <v>0</v>
      </c>
      <c r="AP77" t="s">
        <v>3175</v>
      </c>
      <c r="AQ77" s="102">
        <v>10.99</v>
      </c>
      <c r="AR77" s="1">
        <f t="shared" si="6"/>
        <v>75.2815</v>
      </c>
      <c r="AT77" s="45" t="s">
        <v>3217</v>
      </c>
      <c r="AU77" s="44">
        <v>1264.184</v>
      </c>
      <c r="AW77" s="45" t="s">
        <v>3211</v>
      </c>
      <c r="AX77" s="44">
        <v>83.4</v>
      </c>
      <c r="AZ77" s="47" t="s">
        <v>3213</v>
      </c>
      <c r="BA77" s="48">
        <v>6.719</v>
      </c>
      <c r="BB77" s="1" t="s">
        <v>430</v>
      </c>
    </row>
    <row r="78" spans="5:54">
      <c r="E78" t="s">
        <v>3365</v>
      </c>
      <c r="F78">
        <v>1</v>
      </c>
      <c r="G78" s="1" t="e">
        <f>VLOOKUP(E:E,'9店'!$B:$B,1,0)</f>
        <v>#N/A</v>
      </c>
      <c r="H78" t="s">
        <v>3252</v>
      </c>
      <c r="I78">
        <v>17</v>
      </c>
      <c r="J78" s="1" t="str">
        <f>VLOOKUP(H:H,'9店'!$B:$B,1,0)</f>
        <v>Y9010-WH</v>
      </c>
      <c r="K78" t="s">
        <v>3255</v>
      </c>
      <c r="L78">
        <v>2388</v>
      </c>
      <c r="M78">
        <v>12</v>
      </c>
      <c r="N78">
        <v>6.77</v>
      </c>
      <c r="O78">
        <v>24.99</v>
      </c>
      <c r="P78">
        <v>1</v>
      </c>
      <c r="Q78" s="31">
        <v>0.270908363345338</v>
      </c>
      <c r="R78" s="31">
        <v>0.0833333333333333</v>
      </c>
      <c r="S78" s="1" t="str">
        <f>VLOOKUP(K:K,'9店'!$B:$B,1,0)</f>
        <v>Y9018-GA</v>
      </c>
      <c r="T78" t="s">
        <v>3276</v>
      </c>
      <c r="U78">
        <v>6991</v>
      </c>
      <c r="V78">
        <v>57</v>
      </c>
      <c r="W78">
        <v>42.32</v>
      </c>
      <c r="X78">
        <v>151.96</v>
      </c>
      <c r="Y78">
        <v>2</v>
      </c>
      <c r="Z78" s="31">
        <v>0.278494340615952</v>
      </c>
      <c r="AA78" s="31">
        <v>0.0350877192982456</v>
      </c>
      <c r="AB78" s="1" t="str">
        <f>VLOOKUP(T:T,'9店'!$B:$B,1,0)</f>
        <v>Y9022</v>
      </c>
      <c r="AC78" t="s">
        <v>3220</v>
      </c>
      <c r="AD78">
        <v>1225</v>
      </c>
      <c r="AE78">
        <v>8</v>
      </c>
      <c r="AF78">
        <v>2.72</v>
      </c>
      <c r="AG78">
        <v>26.98</v>
      </c>
      <c r="AH78">
        <v>2</v>
      </c>
      <c r="AI78" s="31">
        <v>0.100815418828762</v>
      </c>
      <c r="AJ78" s="31">
        <v>0.25</v>
      </c>
      <c r="AK78" s="1" t="str">
        <f>VLOOKUP(AC:AC,'9店'!$B:$B,1,0)</f>
        <v>Y9007-24PC</v>
      </c>
      <c r="AN78" s="1">
        <f t="shared" si="7"/>
        <v>0</v>
      </c>
      <c r="AP78" t="s">
        <v>3169</v>
      </c>
      <c r="AQ78" s="102">
        <v>12.99</v>
      </c>
      <c r="AR78" s="1">
        <f t="shared" si="6"/>
        <v>88.9815</v>
      </c>
      <c r="AT78" s="45" t="s">
        <v>3220</v>
      </c>
      <c r="AU78" s="44">
        <v>2402.25</v>
      </c>
      <c r="AW78" s="45" t="s">
        <v>3213</v>
      </c>
      <c r="AX78" s="44">
        <v>152.9</v>
      </c>
      <c r="AZ78" s="47" t="s">
        <v>3215</v>
      </c>
      <c r="BA78" s="48">
        <v>6.756</v>
      </c>
      <c r="BB78" s="1" t="s">
        <v>430</v>
      </c>
    </row>
    <row r="79" spans="5:54">
      <c r="E79" t="s">
        <v>3238</v>
      </c>
      <c r="F79">
        <v>3</v>
      </c>
      <c r="G79" s="1" t="str">
        <f>VLOOKUP(E:E,'9店'!$B:$B,1,0)</f>
        <v>Y9009-KH</v>
      </c>
      <c r="H79" t="s">
        <v>3346</v>
      </c>
      <c r="I79">
        <v>7</v>
      </c>
      <c r="J79" s="1" t="e">
        <f>VLOOKUP(H:H,'9店'!$B:$B,1,0)</f>
        <v>#N/A</v>
      </c>
      <c r="K79" t="s">
        <v>3258</v>
      </c>
      <c r="L79">
        <v>9811</v>
      </c>
      <c r="M79">
        <v>38</v>
      </c>
      <c r="N79">
        <v>21.91</v>
      </c>
      <c r="O79">
        <v>119.96</v>
      </c>
      <c r="P79">
        <v>4</v>
      </c>
      <c r="Q79" s="31">
        <v>0.182644214738246</v>
      </c>
      <c r="R79" s="31">
        <v>0.105263157894737</v>
      </c>
      <c r="S79" s="1" t="str">
        <f>VLOOKUP(K:K,'9店'!$B:$B,1,0)</f>
        <v>Y9018-GN</v>
      </c>
      <c r="T79" t="s">
        <v>3255</v>
      </c>
      <c r="U79">
        <v>11255</v>
      </c>
      <c r="V79">
        <v>30</v>
      </c>
      <c r="W79">
        <v>22.7</v>
      </c>
      <c r="X79">
        <v>24.99</v>
      </c>
      <c r="Y79">
        <v>1</v>
      </c>
      <c r="Z79" s="31">
        <v>0.908363345338135</v>
      </c>
      <c r="AA79" s="31">
        <v>0.0333333333333333</v>
      </c>
      <c r="AB79" s="1" t="str">
        <f>VLOOKUP(T:T,'9店'!$B:$B,1,0)</f>
        <v>Y9018-GA</v>
      </c>
      <c r="AC79" t="s">
        <v>3273</v>
      </c>
      <c r="AD79">
        <v>66944</v>
      </c>
      <c r="AE79">
        <v>181</v>
      </c>
      <c r="AF79">
        <v>153.26</v>
      </c>
      <c r="AG79">
        <v>225.92</v>
      </c>
      <c r="AH79">
        <v>6</v>
      </c>
      <c r="AI79" s="31">
        <v>0.678381728045326</v>
      </c>
      <c r="AJ79" s="31">
        <v>0.0331491712707182</v>
      </c>
      <c r="AK79" s="1" t="str">
        <f>VLOOKUP(AC:AC,'9店'!$B:$B,1,0)</f>
        <v>Y9021</v>
      </c>
      <c r="AN79" s="1">
        <f t="shared" si="7"/>
        <v>0</v>
      </c>
      <c r="AP79" t="s">
        <v>3064</v>
      </c>
      <c r="AQ79" s="102">
        <v>12.99</v>
      </c>
      <c r="AR79" s="1">
        <f t="shared" si="6"/>
        <v>88.9815</v>
      </c>
      <c r="AT79" s="45" t="s">
        <v>3223</v>
      </c>
      <c r="AU79" s="44">
        <v>698.003</v>
      </c>
      <c r="AW79" s="45" t="s">
        <v>3215</v>
      </c>
      <c r="AX79" s="44">
        <v>0</v>
      </c>
      <c r="AZ79" s="47" t="s">
        <v>3180</v>
      </c>
      <c r="BA79" s="48">
        <v>6.683</v>
      </c>
      <c r="BB79" s="1" t="s">
        <v>430</v>
      </c>
    </row>
    <row r="80" spans="5:54">
      <c r="E80" t="s">
        <v>3270</v>
      </c>
      <c r="F80">
        <v>2</v>
      </c>
      <c r="G80" s="1" t="str">
        <f>VLOOKUP(E:E,'9店'!$B:$B,1,0)</f>
        <v>Y9020-GN</v>
      </c>
      <c r="H80" t="s">
        <v>3267</v>
      </c>
      <c r="I80">
        <v>8</v>
      </c>
      <c r="J80" s="1" t="str">
        <f>VLOOKUP(H:H,'9店'!$B:$B,1,0)</f>
        <v>Y9020-GA</v>
      </c>
      <c r="K80" t="s">
        <v>3250</v>
      </c>
      <c r="L80">
        <v>2400</v>
      </c>
      <c r="M80">
        <v>17</v>
      </c>
      <c r="N80">
        <v>8.05</v>
      </c>
      <c r="O80">
        <v>0</v>
      </c>
      <c r="P80">
        <v>0</v>
      </c>
      <c r="Q80" s="31">
        <v>0</v>
      </c>
      <c r="R80" s="31">
        <v>0</v>
      </c>
      <c r="S80" s="1" t="str">
        <f>VLOOKUP(K:K,'9店'!$B:$B,1,0)</f>
        <v>Y9010-PI</v>
      </c>
      <c r="T80" t="s">
        <v>3258</v>
      </c>
      <c r="U80">
        <v>14951</v>
      </c>
      <c r="V80">
        <v>50</v>
      </c>
      <c r="W80">
        <v>32.59</v>
      </c>
      <c r="X80">
        <v>149.95</v>
      </c>
      <c r="Y80">
        <v>5</v>
      </c>
      <c r="Z80" s="31">
        <v>0.217339113037679</v>
      </c>
      <c r="AA80" s="31">
        <v>0.1</v>
      </c>
      <c r="AB80" s="1" t="str">
        <f>VLOOKUP(T:T,'9店'!$B:$B,1,0)</f>
        <v>Y9018-GN</v>
      </c>
      <c r="AC80" t="s">
        <v>3276</v>
      </c>
      <c r="AD80">
        <v>36021</v>
      </c>
      <c r="AE80">
        <v>248</v>
      </c>
      <c r="AF80">
        <v>195.18</v>
      </c>
      <c r="AG80">
        <v>1293.84</v>
      </c>
      <c r="AH80">
        <v>19</v>
      </c>
      <c r="AI80" s="31">
        <v>0.150853273975144</v>
      </c>
      <c r="AJ80" s="31">
        <v>0.0766129032258065</v>
      </c>
      <c r="AK80" s="1" t="str">
        <f>VLOOKUP(AC:AC,'9店'!$B:$B,1,0)</f>
        <v>Y9022</v>
      </c>
      <c r="AN80" s="1">
        <f t="shared" si="7"/>
        <v>0</v>
      </c>
      <c r="AP80" t="s">
        <v>3370</v>
      </c>
      <c r="AQ80" s="102">
        <v>10.88</v>
      </c>
      <c r="AR80" s="1">
        <f t="shared" si="6"/>
        <v>74.528</v>
      </c>
      <c r="AT80" s="45" t="s">
        <v>3226</v>
      </c>
      <c r="AU80" s="44">
        <v>67.936</v>
      </c>
      <c r="AW80" s="45" t="s">
        <v>3217</v>
      </c>
      <c r="AX80" s="44">
        <v>1264.184</v>
      </c>
      <c r="AZ80" s="47" t="s">
        <v>3182</v>
      </c>
      <c r="BA80" s="48">
        <v>6.76</v>
      </c>
      <c r="BB80" s="1" t="s">
        <v>430</v>
      </c>
    </row>
    <row r="81" spans="5:54">
      <c r="E81" t="s">
        <v>3333</v>
      </c>
      <c r="F81">
        <v>7</v>
      </c>
      <c r="G81" s="1" t="str">
        <f>VLOOKUP(E:E,'9店'!$B:$B,1,0)</f>
        <v>Y9026-6-GA</v>
      </c>
      <c r="H81" t="s">
        <v>3261</v>
      </c>
      <c r="I81">
        <v>7</v>
      </c>
      <c r="J81" s="1" t="str">
        <f>VLOOKUP(H:H,'9店'!$B:$B,1,0)</f>
        <v>Y9019-GA</v>
      </c>
      <c r="K81" t="s">
        <v>3252</v>
      </c>
      <c r="L81">
        <v>0</v>
      </c>
      <c r="M81">
        <v>0</v>
      </c>
      <c r="N81">
        <v>0</v>
      </c>
      <c r="O81">
        <v>0</v>
      </c>
      <c r="P81">
        <v>0</v>
      </c>
      <c r="Q81" s="31">
        <v>0</v>
      </c>
      <c r="R81" s="31">
        <v>0</v>
      </c>
      <c r="S81" s="1" t="str">
        <f>VLOOKUP(K:K,'9店'!$B:$B,1,0)</f>
        <v>Y9010-WH</v>
      </c>
      <c r="T81" t="s">
        <v>3250</v>
      </c>
      <c r="U81">
        <v>7999</v>
      </c>
      <c r="V81">
        <v>76</v>
      </c>
      <c r="W81">
        <v>35.83</v>
      </c>
      <c r="X81">
        <v>49.66</v>
      </c>
      <c r="Y81">
        <v>1</v>
      </c>
      <c r="Z81" s="31">
        <v>0.721506242448651</v>
      </c>
      <c r="AA81" s="31">
        <v>0.0131578947368421</v>
      </c>
      <c r="AB81" s="1" t="str">
        <f>VLOOKUP(T:T,'9店'!$B:$B,1,0)</f>
        <v>Y9010-PI</v>
      </c>
      <c r="AC81" t="s">
        <v>3255</v>
      </c>
      <c r="AD81">
        <v>71682</v>
      </c>
      <c r="AE81">
        <v>102</v>
      </c>
      <c r="AF81">
        <v>99.81</v>
      </c>
      <c r="AG81">
        <v>194.6</v>
      </c>
      <c r="AH81">
        <v>7</v>
      </c>
      <c r="AI81" s="31">
        <v>0.51289825282631</v>
      </c>
      <c r="AJ81" s="31">
        <v>0.0686274509803922</v>
      </c>
      <c r="AK81" s="1" t="str">
        <f>VLOOKUP(AC:AC,'9店'!$B:$B,1,0)</f>
        <v>Y9018-GA</v>
      </c>
      <c r="AN81" s="1">
        <f t="shared" si="7"/>
        <v>0</v>
      </c>
      <c r="AP81" t="s">
        <v>3050</v>
      </c>
      <c r="AQ81" s="102">
        <v>12.99</v>
      </c>
      <c r="AR81" s="1">
        <f t="shared" si="6"/>
        <v>88.9815</v>
      </c>
      <c r="AT81" s="45" t="s">
        <v>3229</v>
      </c>
      <c r="AU81" s="44">
        <v>8305.5</v>
      </c>
      <c r="AW81" s="45" t="s">
        <v>3220</v>
      </c>
      <c r="AX81" s="44">
        <v>2434.28</v>
      </c>
      <c r="AZ81" s="47" t="s">
        <v>3184</v>
      </c>
      <c r="BA81" s="48">
        <v>6.76</v>
      </c>
      <c r="BB81" s="1" t="s">
        <v>430</v>
      </c>
    </row>
    <row r="82" spans="5:54">
      <c r="E82" t="s">
        <v>3209</v>
      </c>
      <c r="F82">
        <v>2</v>
      </c>
      <c r="G82" s="1" t="str">
        <f>VLOOKUP(E:E,'9店'!$B:$B,1,0)</f>
        <v>Y93135-DB+Y93138+Y93269</v>
      </c>
      <c r="H82" t="s">
        <v>3273</v>
      </c>
      <c r="I82">
        <v>12</v>
      </c>
      <c r="J82" s="1" t="str">
        <f>VLOOKUP(H:H,'9店'!$B:$B,1,0)</f>
        <v>Y9021</v>
      </c>
      <c r="K82" t="s">
        <v>3267</v>
      </c>
      <c r="L82">
        <v>9551</v>
      </c>
      <c r="M82">
        <v>21</v>
      </c>
      <c r="N82">
        <v>16.27</v>
      </c>
      <c r="O82">
        <v>34.99</v>
      </c>
      <c r="P82">
        <v>1</v>
      </c>
      <c r="Q82" s="31">
        <v>0.464989997142041</v>
      </c>
      <c r="R82" s="31">
        <v>0.0476190476190476</v>
      </c>
      <c r="S82" s="1" t="str">
        <f>VLOOKUP(K:K,'9店'!$B:$B,1,0)</f>
        <v>Y9020-GA</v>
      </c>
      <c r="T82" t="s">
        <v>3252</v>
      </c>
      <c r="U82">
        <v>8311</v>
      </c>
      <c r="V82">
        <v>72</v>
      </c>
      <c r="W82">
        <v>48.6</v>
      </c>
      <c r="X82">
        <v>138.71</v>
      </c>
      <c r="Y82">
        <v>3</v>
      </c>
      <c r="Z82" s="31">
        <v>0.35037127820633</v>
      </c>
      <c r="AA82" s="31">
        <v>0.0416666666666667</v>
      </c>
      <c r="AB82" s="1" t="str">
        <f>VLOOKUP(T:T,'9店'!$B:$B,1,0)</f>
        <v>Y9010-WH</v>
      </c>
      <c r="AC82" t="s">
        <v>3258</v>
      </c>
      <c r="AD82">
        <v>56194</v>
      </c>
      <c r="AE82">
        <v>112</v>
      </c>
      <c r="AF82">
        <v>96.69</v>
      </c>
      <c r="AG82">
        <v>254.58</v>
      </c>
      <c r="AH82">
        <v>9</v>
      </c>
      <c r="AI82" s="31">
        <v>0.379802026867782</v>
      </c>
      <c r="AJ82" s="31">
        <v>0.0803571428571429</v>
      </c>
      <c r="AK82" s="1" t="str">
        <f>VLOOKUP(AC:AC,'9店'!$B:$B,1,0)</f>
        <v>Y9018-GN</v>
      </c>
      <c r="AN82" s="1">
        <f t="shared" si="7"/>
        <v>0</v>
      </c>
      <c r="AP82" t="s">
        <v>3068</v>
      </c>
      <c r="AQ82" s="102">
        <v>12.99</v>
      </c>
      <c r="AR82" s="1">
        <f t="shared" si="6"/>
        <v>88.9815</v>
      </c>
      <c r="AT82" s="45" t="s">
        <v>3232</v>
      </c>
      <c r="AU82" s="44">
        <v>147</v>
      </c>
      <c r="AW82" s="45" t="s">
        <v>3223</v>
      </c>
      <c r="AX82" s="44">
        <v>3736.369</v>
      </c>
      <c r="AZ82" s="47" t="s">
        <v>3086</v>
      </c>
      <c r="BA82" s="48">
        <v>6.735</v>
      </c>
      <c r="BB82" s="1" t="s">
        <v>430</v>
      </c>
    </row>
    <row r="83" spans="5:54">
      <c r="E83" t="s">
        <v>3058</v>
      </c>
      <c r="F83">
        <v>1</v>
      </c>
      <c r="G83" s="1" t="str">
        <f>VLOOKUP(E:E,'9店'!$B:$B,1,0)</f>
        <v>Y93694-BL+Y93712+Y93744</v>
      </c>
      <c r="H83" t="s">
        <v>3199</v>
      </c>
      <c r="I83">
        <v>5</v>
      </c>
      <c r="J83" s="1" t="str">
        <f>VLOOKUP(H:H,'9店'!$B:$B,1,0)</f>
        <v>Y9009-OR-ZH</v>
      </c>
      <c r="K83" t="s">
        <v>3270</v>
      </c>
      <c r="L83">
        <v>22053</v>
      </c>
      <c r="M83">
        <v>27</v>
      </c>
      <c r="N83">
        <v>23.59</v>
      </c>
      <c r="O83">
        <v>0</v>
      </c>
      <c r="P83">
        <v>0</v>
      </c>
      <c r="Q83" s="31">
        <v>0</v>
      </c>
      <c r="R83" s="31">
        <v>0</v>
      </c>
      <c r="S83" s="1" t="str">
        <f>VLOOKUP(K:K,'9店'!$B:$B,1,0)</f>
        <v>Y9020-GN</v>
      </c>
      <c r="T83" t="s">
        <v>3267</v>
      </c>
      <c r="U83">
        <v>38368</v>
      </c>
      <c r="V83">
        <v>43</v>
      </c>
      <c r="W83">
        <v>35.66</v>
      </c>
      <c r="X83">
        <v>34.99</v>
      </c>
      <c r="Y83">
        <v>1</v>
      </c>
      <c r="Z83" s="31">
        <v>1.01914832809374</v>
      </c>
      <c r="AA83" s="31">
        <v>0.0232558139534884</v>
      </c>
      <c r="AB83" s="1" t="str">
        <f>VLOOKUP(T:T,'9店'!$B:$B,1,0)</f>
        <v>Y9020-GA</v>
      </c>
      <c r="AC83" t="s">
        <v>3250</v>
      </c>
      <c r="AD83">
        <v>17990</v>
      </c>
      <c r="AE83">
        <v>121</v>
      </c>
      <c r="AF83">
        <v>63.75</v>
      </c>
      <c r="AG83">
        <v>149.64</v>
      </c>
      <c r="AH83">
        <v>3</v>
      </c>
      <c r="AI83" s="31">
        <v>0.426022453889334</v>
      </c>
      <c r="AJ83" s="31">
        <v>0.0247933884297521</v>
      </c>
      <c r="AK83" s="1" t="str">
        <f>VLOOKUP(AC:AC,'9店'!$B:$B,1,0)</f>
        <v>Y9010-PI</v>
      </c>
      <c r="AN83" s="1">
        <f t="shared" si="7"/>
        <v>0</v>
      </c>
      <c r="AP83" t="s">
        <v>3100</v>
      </c>
      <c r="AQ83" s="102">
        <v>12.99</v>
      </c>
      <c r="AR83" s="1">
        <f t="shared" si="6"/>
        <v>88.9815</v>
      </c>
      <c r="AT83" s="45" t="s">
        <v>3234</v>
      </c>
      <c r="AU83" s="44">
        <v>147</v>
      </c>
      <c r="AW83" s="45" t="s">
        <v>3226</v>
      </c>
      <c r="AX83" s="44">
        <v>118.888</v>
      </c>
      <c r="AZ83" s="47" t="s">
        <v>3082</v>
      </c>
      <c r="BA83" s="48">
        <v>6.731</v>
      </c>
      <c r="BB83" s="1" t="s">
        <v>430</v>
      </c>
    </row>
    <row r="84" spans="5:54">
      <c r="E84" t="s">
        <v>3111</v>
      </c>
      <c r="F84">
        <v>1</v>
      </c>
      <c r="G84" s="1" t="str">
        <f>VLOOKUP(E:E,'9店'!$B:$B,1,0)</f>
        <v>Y93758-DB+Y93759+Y93761</v>
      </c>
      <c r="H84" t="s">
        <v>3264</v>
      </c>
      <c r="I84">
        <v>7</v>
      </c>
      <c r="J84" s="1" t="str">
        <f>VLOOKUP(H:H,'9店'!$B:$B,1,0)</f>
        <v>Y9019-GN</v>
      </c>
      <c r="K84" t="s">
        <v>3244</v>
      </c>
      <c r="L84">
        <v>0</v>
      </c>
      <c r="M84">
        <v>0</v>
      </c>
      <c r="N84">
        <v>0</v>
      </c>
      <c r="O84">
        <v>0</v>
      </c>
      <c r="P84">
        <v>0</v>
      </c>
      <c r="Q84" s="31">
        <v>0</v>
      </c>
      <c r="R84" s="31">
        <v>0</v>
      </c>
      <c r="S84" s="1" t="str">
        <f>VLOOKUP(K:K,'9店'!$B:$B,1,0)</f>
        <v>Y9009-WH</v>
      </c>
      <c r="T84" t="s">
        <v>3270</v>
      </c>
      <c r="U84">
        <v>68450</v>
      </c>
      <c r="V84">
        <v>64</v>
      </c>
      <c r="W84">
        <v>56.98</v>
      </c>
      <c r="X84">
        <v>69.98</v>
      </c>
      <c r="Y84">
        <v>2</v>
      </c>
      <c r="Z84" s="31">
        <v>0.814232637896542</v>
      </c>
      <c r="AA84" s="31">
        <v>0.03125</v>
      </c>
      <c r="AB84" s="1" t="str">
        <f>VLOOKUP(T:T,'9店'!$B:$B,1,0)</f>
        <v>Y9020-GN</v>
      </c>
      <c r="AC84" t="s">
        <v>3252</v>
      </c>
      <c r="AD84">
        <v>25629</v>
      </c>
      <c r="AE84">
        <v>144</v>
      </c>
      <c r="AF84">
        <v>104.55</v>
      </c>
      <c r="AG84">
        <v>328.67</v>
      </c>
      <c r="AH84">
        <v>8</v>
      </c>
      <c r="AI84" s="31">
        <v>0.318100222107281</v>
      </c>
      <c r="AJ84" s="31">
        <v>0.0555555555555556</v>
      </c>
      <c r="AK84" s="1" t="str">
        <f>VLOOKUP(AC:AC,'9店'!$B:$B,1,0)</f>
        <v>Y9010-WH</v>
      </c>
      <c r="AN84" s="1">
        <f t="shared" si="7"/>
        <v>0</v>
      </c>
      <c r="AP84" t="s">
        <v>3357</v>
      </c>
      <c r="AQ84" s="102">
        <v>12.99</v>
      </c>
      <c r="AR84" s="1">
        <f t="shared" si="6"/>
        <v>88.9815</v>
      </c>
      <c r="AT84" s="45" t="s">
        <v>3365</v>
      </c>
      <c r="AU84" s="44">
        <v>73.5</v>
      </c>
      <c r="AW84" s="45" t="s">
        <v>3229</v>
      </c>
      <c r="AX84" s="44">
        <v>8746.5</v>
      </c>
      <c r="AZ84" s="47" t="s">
        <v>3084</v>
      </c>
      <c r="BA84" s="48">
        <v>4.009</v>
      </c>
      <c r="BB84" s="1" t="s">
        <v>430</v>
      </c>
    </row>
    <row r="85" spans="5:54">
      <c r="E85" t="s">
        <v>3354</v>
      </c>
      <c r="F85">
        <v>1</v>
      </c>
      <c r="G85" s="1" t="e">
        <f>VLOOKUP(E:E,'9店'!$B:$B,1,0)</f>
        <v>#N/A</v>
      </c>
      <c r="H85" t="s">
        <v>3258</v>
      </c>
      <c r="I85">
        <v>6</v>
      </c>
      <c r="J85" s="1" t="str">
        <f>VLOOKUP(H:H,'9店'!$B:$B,1,0)</f>
        <v>Y9018-GN</v>
      </c>
      <c r="K85" t="s">
        <v>3238</v>
      </c>
      <c r="L85">
        <v>7132</v>
      </c>
      <c r="M85">
        <v>63</v>
      </c>
      <c r="N85">
        <v>36.02</v>
      </c>
      <c r="O85">
        <v>149.97</v>
      </c>
      <c r="P85">
        <v>3</v>
      </c>
      <c r="Q85" s="31">
        <v>0.240181369607255</v>
      </c>
      <c r="R85" s="31">
        <v>0.0476190476190476</v>
      </c>
      <c r="S85" s="1" t="str">
        <f>VLOOKUP(K:K,'9店'!$B:$B,1,0)</f>
        <v>Y9009-KH</v>
      </c>
      <c r="T85" t="s">
        <v>3244</v>
      </c>
      <c r="U85">
        <v>3761</v>
      </c>
      <c r="V85">
        <v>55</v>
      </c>
      <c r="W85">
        <v>34.51</v>
      </c>
      <c r="X85">
        <v>92.48</v>
      </c>
      <c r="Y85">
        <v>2</v>
      </c>
      <c r="Z85" s="31">
        <v>0.373161764705882</v>
      </c>
      <c r="AA85" s="31">
        <v>0.0363636363636364</v>
      </c>
      <c r="AB85" s="1" t="str">
        <f>VLOOKUP(T:T,'9店'!$B:$B,1,0)</f>
        <v>Y9009-WH</v>
      </c>
      <c r="AC85" t="s">
        <v>3267</v>
      </c>
      <c r="AD85">
        <v>40084</v>
      </c>
      <c r="AE85">
        <v>46</v>
      </c>
      <c r="AF85">
        <v>37.76</v>
      </c>
      <c r="AG85">
        <v>34.99</v>
      </c>
      <c r="AH85">
        <v>1</v>
      </c>
      <c r="AI85" s="31">
        <v>1.07916547585024</v>
      </c>
      <c r="AJ85" s="31">
        <v>0.0217391304347826</v>
      </c>
      <c r="AK85" s="1" t="str">
        <f>VLOOKUP(AC:AC,'9店'!$B:$B,1,0)</f>
        <v>Y9020-GA</v>
      </c>
      <c r="AN85" s="1">
        <f t="shared" si="7"/>
        <v>0</v>
      </c>
      <c r="AP85" t="s">
        <v>3220</v>
      </c>
      <c r="AQ85" s="102">
        <v>21.99</v>
      </c>
      <c r="AR85" s="1">
        <f t="shared" si="6"/>
        <v>150.6315</v>
      </c>
      <c r="AT85" s="45" t="s">
        <v>3236</v>
      </c>
      <c r="AU85" s="44">
        <v>147</v>
      </c>
      <c r="AW85" s="45" t="s">
        <v>3232</v>
      </c>
      <c r="AX85" s="44">
        <v>147</v>
      </c>
      <c r="AZ85" s="47" t="s">
        <v>3359</v>
      </c>
      <c r="BA85" s="48">
        <v>6.656</v>
      </c>
      <c r="BB85" s="1" t="s">
        <v>430</v>
      </c>
    </row>
    <row r="86" spans="5:54">
      <c r="E86" t="s">
        <v>3355</v>
      </c>
      <c r="F86">
        <v>1</v>
      </c>
      <c r="G86" s="1" t="e">
        <f>VLOOKUP(E:E,'9店'!$B:$B,1,0)</f>
        <v>#N/A</v>
      </c>
      <c r="H86" t="s">
        <v>3238</v>
      </c>
      <c r="I86">
        <v>6</v>
      </c>
      <c r="J86" s="1" t="str">
        <f>VLOOKUP(H:H,'9店'!$B:$B,1,0)</f>
        <v>Y9009-KH</v>
      </c>
      <c r="K86" t="s">
        <v>3264</v>
      </c>
      <c r="L86">
        <v>1224</v>
      </c>
      <c r="M86">
        <v>1</v>
      </c>
      <c r="N86">
        <v>0.64</v>
      </c>
      <c r="O86">
        <v>0</v>
      </c>
      <c r="P86">
        <v>0</v>
      </c>
      <c r="Q86" s="31">
        <v>0</v>
      </c>
      <c r="R86" s="31">
        <v>0</v>
      </c>
      <c r="S86" s="1" t="str">
        <f>VLOOKUP(K:K,'9店'!$B:$B,1,0)</f>
        <v>Y9019-GN</v>
      </c>
      <c r="T86" t="s">
        <v>3238</v>
      </c>
      <c r="U86">
        <v>13029</v>
      </c>
      <c r="V86">
        <v>110</v>
      </c>
      <c r="W86">
        <v>67.66</v>
      </c>
      <c r="X86">
        <v>269.94</v>
      </c>
      <c r="Y86">
        <v>5</v>
      </c>
      <c r="Z86" s="31">
        <v>0.250648292213084</v>
      </c>
      <c r="AA86" s="31">
        <v>0.0454545454545455</v>
      </c>
      <c r="AB86" s="1" t="str">
        <f>VLOOKUP(T:T,'9店'!$B:$B,1,0)</f>
        <v>Y9009-KH</v>
      </c>
      <c r="AC86" t="s">
        <v>3270</v>
      </c>
      <c r="AD86">
        <v>85629</v>
      </c>
      <c r="AE86">
        <v>96</v>
      </c>
      <c r="AF86">
        <v>79.35</v>
      </c>
      <c r="AG86">
        <v>134.96</v>
      </c>
      <c r="AH86">
        <v>4</v>
      </c>
      <c r="AI86" s="31">
        <v>0.587951985773563</v>
      </c>
      <c r="AJ86" s="31">
        <v>0.0416666666666667</v>
      </c>
      <c r="AK86" s="1" t="str">
        <f>VLOOKUP(AC:AC,'9店'!$B:$B,1,0)</f>
        <v>Y9020-GN</v>
      </c>
      <c r="AN86" s="1">
        <f t="shared" si="7"/>
        <v>0</v>
      </c>
      <c r="AP86" t="s">
        <v>3365</v>
      </c>
      <c r="AQ86" s="102">
        <v>23.99</v>
      </c>
      <c r="AR86" s="1">
        <f t="shared" si="6"/>
        <v>164.3315</v>
      </c>
      <c r="AT86" s="45" t="s">
        <v>3238</v>
      </c>
      <c r="AU86" s="44">
        <v>768.4</v>
      </c>
      <c r="AW86" s="45" t="s">
        <v>3234</v>
      </c>
      <c r="AX86" s="44">
        <v>147</v>
      </c>
      <c r="AZ86" s="47" t="s">
        <v>3159</v>
      </c>
      <c r="BA86" s="48">
        <v>6.681</v>
      </c>
      <c r="BB86" s="1" t="s">
        <v>430</v>
      </c>
    </row>
    <row r="87" spans="5:54">
      <c r="E87" t="s">
        <v>3068</v>
      </c>
      <c r="F87">
        <v>1</v>
      </c>
      <c r="G87" s="1" t="str">
        <f>VLOOKUP(E:E,'9店'!$B:$B,1,0)</f>
        <v>Y9003-DB+Y9006+Y9008</v>
      </c>
      <c r="H87" t="s">
        <v>3250</v>
      </c>
      <c r="I87">
        <v>6</v>
      </c>
      <c r="J87" s="1" t="str">
        <f>VLOOKUP(H:H,'9店'!$B:$B,1,0)</f>
        <v>Y9010-PI</v>
      </c>
      <c r="K87" t="s">
        <v>3241</v>
      </c>
      <c r="L87">
        <v>3448</v>
      </c>
      <c r="M87">
        <v>37</v>
      </c>
      <c r="N87">
        <v>19.82</v>
      </c>
      <c r="O87">
        <v>0</v>
      </c>
      <c r="P87">
        <v>0</v>
      </c>
      <c r="Q87" s="31">
        <v>0</v>
      </c>
      <c r="R87" s="31">
        <v>0</v>
      </c>
      <c r="S87" s="1" t="str">
        <f>VLOOKUP(K:K,'9店'!$B:$B,1,0)</f>
        <v>Y9009-PI</v>
      </c>
      <c r="T87" t="s">
        <v>3261</v>
      </c>
      <c r="U87">
        <v>2778</v>
      </c>
      <c r="V87">
        <v>13</v>
      </c>
      <c r="W87">
        <v>7.89</v>
      </c>
      <c r="X87">
        <v>29.99</v>
      </c>
      <c r="Y87">
        <v>1</v>
      </c>
      <c r="Z87" s="31">
        <v>0.263087695898633</v>
      </c>
      <c r="AA87" s="31">
        <v>0.0769230769230769</v>
      </c>
      <c r="AB87" s="1" t="str">
        <f>VLOOKUP(T:T,'9店'!$B:$B,1,0)</f>
        <v>Y9019-GA</v>
      </c>
      <c r="AC87" t="s">
        <v>3244</v>
      </c>
      <c r="AD87">
        <v>7505</v>
      </c>
      <c r="AE87">
        <v>105</v>
      </c>
      <c r="AF87">
        <v>67.93</v>
      </c>
      <c r="AG87">
        <v>342.43</v>
      </c>
      <c r="AH87">
        <v>7</v>
      </c>
      <c r="AI87" s="31">
        <v>0.198376310486815</v>
      </c>
      <c r="AJ87" s="31">
        <v>0.0666666666666667</v>
      </c>
      <c r="AK87" s="1" t="str">
        <f>VLOOKUP(AC:AC,'9店'!$B:$B,1,0)</f>
        <v>Y9009-WH</v>
      </c>
      <c r="AN87" s="1">
        <f t="shared" si="7"/>
        <v>0</v>
      </c>
      <c r="AP87" t="s">
        <v>3330</v>
      </c>
      <c r="AQ87" s="102">
        <v>24.99</v>
      </c>
      <c r="AR87" s="1">
        <f t="shared" si="6"/>
        <v>171.1815</v>
      </c>
      <c r="AT87" s="45" t="s">
        <v>3241</v>
      </c>
      <c r="AU87" s="44">
        <v>813.6</v>
      </c>
      <c r="AW87" s="45" t="s">
        <v>3365</v>
      </c>
      <c r="AX87" s="44">
        <v>73.5</v>
      </c>
      <c r="AZ87" s="47" t="s">
        <v>3161</v>
      </c>
      <c r="BA87" s="48">
        <v>6.723</v>
      </c>
      <c r="BB87" s="1" t="s">
        <v>430</v>
      </c>
    </row>
    <row r="88" spans="5:54">
      <c r="E88" t="s">
        <v>3330</v>
      </c>
      <c r="F88">
        <v>1</v>
      </c>
      <c r="G88" s="1" t="str">
        <f>VLOOKUP(E:E,'9店'!$B:$B,1,0)</f>
        <v>Y9026-6-BL</v>
      </c>
      <c r="H88" t="s">
        <v>3357</v>
      </c>
      <c r="I88">
        <v>2</v>
      </c>
      <c r="J88" s="1" t="e">
        <f>VLOOKUP(H:H,'9店'!$B:$B,1,0)</f>
        <v>#N/A</v>
      </c>
      <c r="K88" t="s">
        <v>3247</v>
      </c>
      <c r="L88">
        <v>2326</v>
      </c>
      <c r="M88">
        <v>16</v>
      </c>
      <c r="N88">
        <v>10.46</v>
      </c>
      <c r="O88">
        <v>0</v>
      </c>
      <c r="P88">
        <v>0</v>
      </c>
      <c r="Q88" s="31">
        <v>0</v>
      </c>
      <c r="R88" s="31">
        <v>0</v>
      </c>
      <c r="S88" s="1" t="str">
        <f>VLOOKUP(K:K,'9店'!$B:$B,1,0)</f>
        <v>Y9010-KH</v>
      </c>
      <c r="T88" t="s">
        <v>3264</v>
      </c>
      <c r="U88">
        <v>6093</v>
      </c>
      <c r="V88">
        <v>16</v>
      </c>
      <c r="W88">
        <v>9.39</v>
      </c>
      <c r="X88">
        <v>66.48</v>
      </c>
      <c r="Y88">
        <v>2</v>
      </c>
      <c r="Z88" s="31">
        <v>0.141245487364621</v>
      </c>
      <c r="AA88" s="31">
        <v>0.125</v>
      </c>
      <c r="AB88" s="1" t="str">
        <f>VLOOKUP(T:T,'9店'!$B:$B,1,0)</f>
        <v>Y9019-GN</v>
      </c>
      <c r="AC88" t="s">
        <v>3238</v>
      </c>
      <c r="AD88">
        <v>20271</v>
      </c>
      <c r="AE88">
        <v>168</v>
      </c>
      <c r="AF88">
        <v>109.15</v>
      </c>
      <c r="AG88">
        <v>569.88</v>
      </c>
      <c r="AH88">
        <v>11</v>
      </c>
      <c r="AI88" s="31">
        <v>0.19153155050186</v>
      </c>
      <c r="AJ88" s="31">
        <v>0.0654761904761905</v>
      </c>
      <c r="AK88" s="1" t="str">
        <f>VLOOKUP(AC:AC,'9店'!$B:$B,1,0)</f>
        <v>Y9009-KH</v>
      </c>
      <c r="AN88" s="1">
        <f t="shared" si="7"/>
        <v>0</v>
      </c>
      <c r="AR88" s="1">
        <f t="shared" si="6"/>
        <v>0</v>
      </c>
      <c r="AT88" s="45" t="s">
        <v>3244</v>
      </c>
      <c r="AU88" s="44">
        <v>271.2</v>
      </c>
      <c r="AW88" s="45" t="s">
        <v>3236</v>
      </c>
      <c r="AX88" s="44">
        <v>147</v>
      </c>
      <c r="AZ88" s="47" t="s">
        <v>3157</v>
      </c>
      <c r="BA88" s="48">
        <v>6.656</v>
      </c>
      <c r="BB88" s="1" t="s">
        <v>430</v>
      </c>
    </row>
    <row r="89" spans="5:54">
      <c r="E89" t="s">
        <v>439</v>
      </c>
      <c r="F89">
        <v>1101</v>
      </c>
      <c r="H89" t="s">
        <v>3247</v>
      </c>
      <c r="I89">
        <v>3</v>
      </c>
      <c r="J89" s="1" t="str">
        <f>VLOOKUP(H:H,'9店'!$B:$B,1,0)</f>
        <v>Y9010-KH</v>
      </c>
      <c r="K89" t="s">
        <v>3333</v>
      </c>
      <c r="L89">
        <v>18450</v>
      </c>
      <c r="M89">
        <v>44</v>
      </c>
      <c r="N89">
        <v>36.64</v>
      </c>
      <c r="O89">
        <v>84.97</v>
      </c>
      <c r="P89">
        <v>2</v>
      </c>
      <c r="Q89" s="31">
        <v>0.431211015652583</v>
      </c>
      <c r="R89" s="31">
        <v>0.0454545454545455</v>
      </c>
      <c r="S89" s="1" t="str">
        <f>VLOOKUP(K:K,'9店'!$B:$B,1,0)</f>
        <v>Y9026-6-GA</v>
      </c>
      <c r="T89" t="s">
        <v>3241</v>
      </c>
      <c r="U89">
        <v>4082</v>
      </c>
      <c r="V89">
        <v>43</v>
      </c>
      <c r="W89">
        <v>22.15</v>
      </c>
      <c r="X89">
        <v>0</v>
      </c>
      <c r="Y89">
        <v>0</v>
      </c>
      <c r="Z89" s="31">
        <v>0</v>
      </c>
      <c r="AA89" s="31">
        <v>0</v>
      </c>
      <c r="AB89" s="1" t="str">
        <f>VLOOKUP(T:T,'9店'!$B:$B,1,0)</f>
        <v>Y9009-PI</v>
      </c>
      <c r="AC89" t="s">
        <v>3261</v>
      </c>
      <c r="AD89">
        <v>9175</v>
      </c>
      <c r="AE89">
        <v>33</v>
      </c>
      <c r="AF89">
        <v>20.28</v>
      </c>
      <c r="AG89">
        <v>79.97</v>
      </c>
      <c r="AH89">
        <v>3</v>
      </c>
      <c r="AI89" s="31">
        <v>0.253595098161811</v>
      </c>
      <c r="AJ89" s="31">
        <v>0.0909090909090909</v>
      </c>
      <c r="AK89" s="1" t="str">
        <f>VLOOKUP(AC:AC,'9店'!$B:$B,1,0)</f>
        <v>Y9019-GA</v>
      </c>
      <c r="AN89" s="1">
        <f t="shared" si="7"/>
        <v>0</v>
      </c>
      <c r="AR89" s="1">
        <f t="shared" si="6"/>
        <v>0</v>
      </c>
      <c r="AT89" s="45" t="s">
        <v>3247</v>
      </c>
      <c r="AU89" s="44">
        <v>855</v>
      </c>
      <c r="AW89" s="45" t="s">
        <v>3238</v>
      </c>
      <c r="AX89" s="44">
        <v>813.6</v>
      </c>
      <c r="AZ89" s="47" t="s">
        <v>3209</v>
      </c>
      <c r="BA89" s="48">
        <v>6.643</v>
      </c>
      <c r="BB89" s="1" t="s">
        <v>430</v>
      </c>
    </row>
    <row r="90" spans="8:54">
      <c r="H90" t="s">
        <v>3270</v>
      </c>
      <c r="I90">
        <v>3</v>
      </c>
      <c r="J90" s="1" t="str">
        <f>VLOOKUP(H:H,'9店'!$B:$B,1,0)</f>
        <v>Y9020-GN</v>
      </c>
      <c r="K90" t="s">
        <v>3330</v>
      </c>
      <c r="L90">
        <v>46440</v>
      </c>
      <c r="M90">
        <v>43</v>
      </c>
      <c r="N90">
        <v>33.7</v>
      </c>
      <c r="O90">
        <v>24.99</v>
      </c>
      <c r="P90">
        <v>1</v>
      </c>
      <c r="Q90" s="31">
        <v>1.34853941576631</v>
      </c>
      <c r="R90" s="31">
        <v>0.0232558139534884</v>
      </c>
      <c r="S90" s="1" t="str">
        <f>VLOOKUP(K:K,'9店'!$B:$B,1,0)</f>
        <v>Y9026-6-BL</v>
      </c>
      <c r="T90" t="s">
        <v>3247</v>
      </c>
      <c r="U90">
        <v>2422</v>
      </c>
      <c r="V90">
        <v>17</v>
      </c>
      <c r="W90">
        <v>10.93</v>
      </c>
      <c r="X90">
        <v>0</v>
      </c>
      <c r="Y90">
        <v>0</v>
      </c>
      <c r="Z90" s="31">
        <v>0</v>
      </c>
      <c r="AA90" s="31">
        <v>0</v>
      </c>
      <c r="AB90" s="1" t="str">
        <f>VLOOKUP(T:T,'9店'!$B:$B,1,0)</f>
        <v>Y9010-KH</v>
      </c>
      <c r="AC90" t="s">
        <v>3264</v>
      </c>
      <c r="AD90">
        <v>16705</v>
      </c>
      <c r="AE90">
        <v>33</v>
      </c>
      <c r="AF90">
        <v>19.82</v>
      </c>
      <c r="AG90">
        <v>66.48</v>
      </c>
      <c r="AH90">
        <v>2</v>
      </c>
      <c r="AI90" s="31">
        <v>0.298134777376655</v>
      </c>
      <c r="AJ90" s="31">
        <v>0.0606060606060606</v>
      </c>
      <c r="AK90" s="1" t="str">
        <f>VLOOKUP(AC:AC,'9店'!$B:$B,1,0)</f>
        <v>Y9019-GN</v>
      </c>
      <c r="AN90" s="1">
        <f t="shared" si="7"/>
        <v>0</v>
      </c>
      <c r="AR90" s="1">
        <f t="shared" si="6"/>
        <v>0</v>
      </c>
      <c r="AT90" s="45" t="s">
        <v>3250</v>
      </c>
      <c r="AU90" s="44">
        <v>675</v>
      </c>
      <c r="AW90" s="45" t="s">
        <v>3241</v>
      </c>
      <c r="AX90" s="44">
        <v>858.8</v>
      </c>
      <c r="AZ90" s="47" t="s">
        <v>3211</v>
      </c>
      <c r="BA90" s="48">
        <v>6.643</v>
      </c>
      <c r="BB90" s="1" t="s">
        <v>430</v>
      </c>
    </row>
    <row r="91" spans="8:54">
      <c r="H91" t="s">
        <v>3368</v>
      </c>
      <c r="I91">
        <v>1</v>
      </c>
      <c r="J91" s="1" t="e">
        <f>VLOOKUP(H:H,'9店'!$B:$B,1,0)</f>
        <v>#N/A</v>
      </c>
      <c r="K91" t="s">
        <v>3050</v>
      </c>
      <c r="L91">
        <v>412</v>
      </c>
      <c r="M91">
        <v>5</v>
      </c>
      <c r="N91">
        <v>2.04</v>
      </c>
      <c r="O91">
        <v>0</v>
      </c>
      <c r="P91">
        <v>0</v>
      </c>
      <c r="Q91" s="31">
        <v>0</v>
      </c>
      <c r="R91" s="31">
        <v>0</v>
      </c>
      <c r="S91" s="1" t="str">
        <f>VLOOKUP(K:K,'9店'!$B:$B,1,0)</f>
        <v>Y9002-DB+Y9005</v>
      </c>
      <c r="T91" t="s">
        <v>3333</v>
      </c>
      <c r="U91">
        <v>49172</v>
      </c>
      <c r="V91">
        <v>61</v>
      </c>
      <c r="W91">
        <v>48.64</v>
      </c>
      <c r="X91">
        <v>84.97</v>
      </c>
      <c r="Y91">
        <v>2</v>
      </c>
      <c r="Z91" s="31">
        <v>0.572437330822643</v>
      </c>
      <c r="AA91" s="31">
        <v>0.0327868852459016</v>
      </c>
      <c r="AB91" s="1" t="str">
        <f>VLOOKUP(T:T,'9店'!$B:$B,1,0)</f>
        <v>Y9026-6-GA</v>
      </c>
      <c r="AC91" t="s">
        <v>3241</v>
      </c>
      <c r="AD91">
        <v>4082</v>
      </c>
      <c r="AE91">
        <v>43</v>
      </c>
      <c r="AF91">
        <v>22.15</v>
      </c>
      <c r="AG91">
        <v>0</v>
      </c>
      <c r="AH91">
        <v>0</v>
      </c>
      <c r="AI91" s="31">
        <v>0</v>
      </c>
      <c r="AJ91" s="31">
        <v>0</v>
      </c>
      <c r="AK91" s="1" t="str">
        <f>VLOOKUP(AC:AC,'9店'!$B:$B,1,0)</f>
        <v>Y9009-PI</v>
      </c>
      <c r="AN91" s="1">
        <f t="shared" si="7"/>
        <v>0</v>
      </c>
      <c r="AR91" s="1">
        <f>AQ91*$AS$1</f>
        <v>0</v>
      </c>
      <c r="AT91" s="45" t="s">
        <v>3252</v>
      </c>
      <c r="AU91" s="44">
        <v>720</v>
      </c>
      <c r="AW91" s="45" t="s">
        <v>3244</v>
      </c>
      <c r="AX91" s="44">
        <v>994.4</v>
      </c>
      <c r="AZ91" s="47" t="s">
        <v>3372</v>
      </c>
      <c r="BA91" s="48">
        <v>6.76</v>
      </c>
      <c r="BB91" s="1" t="s">
        <v>430</v>
      </c>
    </row>
    <row r="92" spans="8:54">
      <c r="H92" t="s">
        <v>3370</v>
      </c>
      <c r="I92">
        <v>1</v>
      </c>
      <c r="J92" s="1" t="e">
        <f>VLOOKUP(H:H,'9店'!$B:$B,1,0)</f>
        <v>#N/A</v>
      </c>
      <c r="K92" t="s">
        <v>3294</v>
      </c>
      <c r="L92">
        <v>248</v>
      </c>
      <c r="M92">
        <v>2</v>
      </c>
      <c r="N92">
        <v>1.48</v>
      </c>
      <c r="O92">
        <v>0</v>
      </c>
      <c r="P92">
        <v>0</v>
      </c>
      <c r="Q92" s="31">
        <v>0</v>
      </c>
      <c r="R92" s="31">
        <v>0</v>
      </c>
      <c r="S92" s="1" t="str">
        <f>VLOOKUP(K:K,'9店'!$B:$B,1,0)</f>
        <v>Y9023-WH-25</v>
      </c>
      <c r="T92" t="s">
        <v>3330</v>
      </c>
      <c r="U92">
        <v>50764</v>
      </c>
      <c r="V92">
        <v>51</v>
      </c>
      <c r="W92">
        <v>38.21</v>
      </c>
      <c r="X92">
        <v>24.99</v>
      </c>
      <c r="Y92">
        <v>1</v>
      </c>
      <c r="Z92" s="31">
        <v>1.52901160464186</v>
      </c>
      <c r="AA92" s="31">
        <v>0.0196078431372549</v>
      </c>
      <c r="AB92" s="1" t="str">
        <f>VLOOKUP(T:T,'9店'!$B:$B,1,0)</f>
        <v>Y9026-6-BL</v>
      </c>
      <c r="AC92" t="s">
        <v>3247</v>
      </c>
      <c r="AD92">
        <v>2422</v>
      </c>
      <c r="AE92">
        <v>17</v>
      </c>
      <c r="AF92">
        <v>10.93</v>
      </c>
      <c r="AG92">
        <v>0</v>
      </c>
      <c r="AH92">
        <v>0</v>
      </c>
      <c r="AI92" s="31">
        <v>0</v>
      </c>
      <c r="AJ92" s="31">
        <v>0</v>
      </c>
      <c r="AK92" s="1" t="str">
        <f>VLOOKUP(AC:AC,'9店'!$B:$B,1,0)</f>
        <v>Y9010-KH</v>
      </c>
      <c r="AN92" s="1">
        <f t="shared" si="7"/>
        <v>0</v>
      </c>
      <c r="AR92" s="1">
        <f>AQ92*$AS$1</f>
        <v>0</v>
      </c>
      <c r="AT92" s="45" t="s">
        <v>3255</v>
      </c>
      <c r="AU92" s="44">
        <v>1130</v>
      </c>
      <c r="AW92" s="45" t="s">
        <v>3247</v>
      </c>
      <c r="AX92" s="44">
        <v>900</v>
      </c>
      <c r="AZ92" s="47" t="s">
        <v>3105</v>
      </c>
      <c r="BA92" s="48">
        <v>4.388</v>
      </c>
      <c r="BB92" s="1" t="s">
        <v>430</v>
      </c>
    </row>
    <row r="93" spans="8:54">
      <c r="H93" t="s">
        <v>3373</v>
      </c>
      <c r="I93">
        <v>1</v>
      </c>
      <c r="J93" s="1" t="e">
        <f>VLOOKUP(H:H,'9店'!$B:$B,1,0)</f>
        <v>#N/A</v>
      </c>
      <c r="K93" t="s">
        <v>3291</v>
      </c>
      <c r="L93">
        <v>543</v>
      </c>
      <c r="M93">
        <v>5</v>
      </c>
      <c r="N93">
        <v>3.24</v>
      </c>
      <c r="O93">
        <v>0</v>
      </c>
      <c r="P93">
        <v>0</v>
      </c>
      <c r="Q93" s="31">
        <v>0</v>
      </c>
      <c r="R93" s="31">
        <v>0</v>
      </c>
      <c r="S93" s="1" t="str">
        <f>VLOOKUP(K:K,'9店'!$B:$B,1,0)</f>
        <v>Y9023-WH-20</v>
      </c>
      <c r="T93" t="s">
        <v>3294</v>
      </c>
      <c r="U93">
        <v>248</v>
      </c>
      <c r="V93">
        <v>2</v>
      </c>
      <c r="W93">
        <v>1.48</v>
      </c>
      <c r="X93">
        <v>0</v>
      </c>
      <c r="Y93">
        <v>0</v>
      </c>
      <c r="Z93" s="31">
        <v>0</v>
      </c>
      <c r="AA93" s="31">
        <v>0</v>
      </c>
      <c r="AB93" s="1" t="str">
        <f>VLOOKUP(T:T,'9店'!$B:$B,1,0)</f>
        <v>Y9023-WH-25</v>
      </c>
      <c r="AC93" t="s">
        <v>3333</v>
      </c>
      <c r="AD93">
        <v>49172</v>
      </c>
      <c r="AE93">
        <v>61</v>
      </c>
      <c r="AF93">
        <v>48.64</v>
      </c>
      <c r="AG93">
        <v>84.97</v>
      </c>
      <c r="AH93">
        <v>2</v>
      </c>
      <c r="AI93" s="31">
        <v>0.572437330822643</v>
      </c>
      <c r="AJ93" s="31">
        <v>0.0327868852459016</v>
      </c>
      <c r="AK93" s="1" t="str">
        <f>VLOOKUP(AC:AC,'9店'!$B:$B,1,0)</f>
        <v>Y9026-6-GA</v>
      </c>
      <c r="AN93" s="1">
        <f t="shared" si="7"/>
        <v>0</v>
      </c>
      <c r="AR93" s="1">
        <f>AQ93*$AS$1</f>
        <v>0</v>
      </c>
      <c r="AT93" s="45" t="s">
        <v>3258</v>
      </c>
      <c r="AU93" s="44">
        <v>1327.75</v>
      </c>
      <c r="AW93" s="45" t="s">
        <v>3250</v>
      </c>
      <c r="AX93" s="44">
        <v>900</v>
      </c>
      <c r="AZ93" s="47" t="s">
        <v>3374</v>
      </c>
      <c r="BA93" s="48">
        <v>3.279</v>
      </c>
      <c r="BB93" s="1" t="s">
        <v>430</v>
      </c>
    </row>
    <row r="94" spans="8:54">
      <c r="H94" t="s">
        <v>3220</v>
      </c>
      <c r="I94">
        <v>1</v>
      </c>
      <c r="J94" s="1" t="str">
        <f>VLOOKUP(H:H,'9店'!$B:$B,1,0)</f>
        <v>Y9007-24PC</v>
      </c>
      <c r="K94" t="s">
        <v>3288</v>
      </c>
      <c r="L94">
        <v>10472</v>
      </c>
      <c r="M94">
        <v>50</v>
      </c>
      <c r="N94">
        <v>45.34</v>
      </c>
      <c r="O94">
        <v>0</v>
      </c>
      <c r="P94">
        <v>0</v>
      </c>
      <c r="Q94" s="31">
        <v>0</v>
      </c>
      <c r="R94" s="31">
        <v>0</v>
      </c>
      <c r="S94" s="1" t="str">
        <f>VLOOKUP(K:K,'9店'!$B:$B,1,0)</f>
        <v>Y9023-WH-15</v>
      </c>
      <c r="T94" t="s">
        <v>3291</v>
      </c>
      <c r="U94">
        <v>543</v>
      </c>
      <c r="V94">
        <v>5</v>
      </c>
      <c r="W94">
        <v>3.24</v>
      </c>
      <c r="X94">
        <v>0</v>
      </c>
      <c r="Y94">
        <v>0</v>
      </c>
      <c r="Z94" s="31">
        <v>0</v>
      </c>
      <c r="AA94" s="31">
        <v>0</v>
      </c>
      <c r="AB94" s="1" t="str">
        <f>VLOOKUP(T:T,'9店'!$B:$B,1,0)</f>
        <v>Y9023-WH-20</v>
      </c>
      <c r="AC94" t="s">
        <v>3330</v>
      </c>
      <c r="AD94">
        <v>50764</v>
      </c>
      <c r="AE94">
        <v>51</v>
      </c>
      <c r="AF94">
        <v>38.21</v>
      </c>
      <c r="AG94">
        <v>24.99</v>
      </c>
      <c r="AH94">
        <v>1</v>
      </c>
      <c r="AI94" s="31">
        <v>1.52901160464186</v>
      </c>
      <c r="AJ94" s="31">
        <v>0.0196078431372549</v>
      </c>
      <c r="AK94" s="1" t="str">
        <f>VLOOKUP(AC:AC,'9店'!$B:$B,1,0)</f>
        <v>Y9026-6-BL</v>
      </c>
      <c r="AN94" s="1">
        <f t="shared" si="7"/>
        <v>0</v>
      </c>
      <c r="AR94" s="1">
        <f>AQ94*$AS$1</f>
        <v>0</v>
      </c>
      <c r="AT94" s="45" t="s">
        <v>3261</v>
      </c>
      <c r="AU94" s="44">
        <v>1552.5</v>
      </c>
      <c r="AW94" s="45" t="s">
        <v>3252</v>
      </c>
      <c r="AX94" s="44">
        <v>900</v>
      </c>
      <c r="AZ94" s="47" t="s">
        <v>3375</v>
      </c>
      <c r="BA94" s="48">
        <v>6.382</v>
      </c>
      <c r="BB94" s="1" t="s">
        <v>430</v>
      </c>
    </row>
    <row r="95" spans="8:54">
      <c r="H95" t="s">
        <v>3241</v>
      </c>
      <c r="I95">
        <v>1</v>
      </c>
      <c r="J95" s="1" t="str">
        <f>VLOOKUP(H:H,'9店'!$B:$B,1,0)</f>
        <v>Y9009-PI</v>
      </c>
      <c r="K95" t="s">
        <v>3285</v>
      </c>
      <c r="L95">
        <v>681</v>
      </c>
      <c r="M95">
        <v>1</v>
      </c>
      <c r="N95">
        <v>1.16</v>
      </c>
      <c r="O95">
        <v>0</v>
      </c>
      <c r="P95">
        <v>0</v>
      </c>
      <c r="Q95" s="31">
        <v>0</v>
      </c>
      <c r="R95" s="31">
        <v>0</v>
      </c>
      <c r="S95" s="1" t="str">
        <f>VLOOKUP(K:K,'9店'!$B:$B,1,0)</f>
        <v>Y9023-BR-25</v>
      </c>
      <c r="T95" t="s">
        <v>3288</v>
      </c>
      <c r="U95">
        <v>10472</v>
      </c>
      <c r="V95">
        <v>50</v>
      </c>
      <c r="W95">
        <v>45.34</v>
      </c>
      <c r="X95">
        <v>0</v>
      </c>
      <c r="Y95">
        <v>0</v>
      </c>
      <c r="Z95" s="31">
        <v>0</v>
      </c>
      <c r="AA95" s="31">
        <v>0</v>
      </c>
      <c r="AB95" s="1" t="str">
        <f>VLOOKUP(T:T,'9店'!$B:$B,1,0)</f>
        <v>Y9023-WH-15</v>
      </c>
      <c r="AC95" t="s">
        <v>3294</v>
      </c>
      <c r="AD95">
        <v>248</v>
      </c>
      <c r="AE95">
        <v>2</v>
      </c>
      <c r="AF95">
        <v>1.48</v>
      </c>
      <c r="AG95">
        <v>0</v>
      </c>
      <c r="AH95">
        <v>0</v>
      </c>
      <c r="AI95" s="31">
        <v>0</v>
      </c>
      <c r="AJ95" s="31">
        <v>0</v>
      </c>
      <c r="AK95" s="1" t="str">
        <f>VLOOKUP(AC:AC,'9店'!$B:$B,1,0)</f>
        <v>Y9023-WH-25</v>
      </c>
      <c r="AN95" s="1">
        <f t="shared" si="7"/>
        <v>0</v>
      </c>
      <c r="AR95" s="1">
        <f>AQ95*$AS$1</f>
        <v>0</v>
      </c>
      <c r="AT95" s="45" t="s">
        <v>3264</v>
      </c>
      <c r="AU95" s="44">
        <v>1586.25</v>
      </c>
      <c r="AW95" s="45" t="s">
        <v>3255</v>
      </c>
      <c r="AX95" s="44">
        <v>508.5</v>
      </c>
      <c r="AZ95" s="47" t="s">
        <v>3108</v>
      </c>
      <c r="BA95" s="48">
        <v>6.548</v>
      </c>
      <c r="BB95" s="1" t="s">
        <v>430</v>
      </c>
    </row>
    <row r="96" spans="8:54">
      <c r="H96" t="s">
        <v>3333</v>
      </c>
      <c r="I96">
        <v>7</v>
      </c>
      <c r="J96" s="1" t="str">
        <f>VLOOKUP(H:H,'9店'!$B:$B,1,0)</f>
        <v>Y9026-6-GA</v>
      </c>
      <c r="K96" t="s">
        <v>3282</v>
      </c>
      <c r="L96">
        <v>2528</v>
      </c>
      <c r="M96">
        <v>6</v>
      </c>
      <c r="N96">
        <v>5.89</v>
      </c>
      <c r="O96">
        <v>0</v>
      </c>
      <c r="P96">
        <v>0</v>
      </c>
      <c r="Q96" s="31">
        <v>0</v>
      </c>
      <c r="R96" s="31">
        <v>0</v>
      </c>
      <c r="S96" s="1" t="str">
        <f>VLOOKUP(K:K,'9店'!$B:$B,1,0)</f>
        <v>Y9023-BR-20</v>
      </c>
      <c r="T96" t="s">
        <v>3285</v>
      </c>
      <c r="U96">
        <v>681</v>
      </c>
      <c r="V96">
        <v>1</v>
      </c>
      <c r="W96">
        <v>1.16</v>
      </c>
      <c r="X96">
        <v>0</v>
      </c>
      <c r="Y96">
        <v>0</v>
      </c>
      <c r="Z96" s="31">
        <v>0</v>
      </c>
      <c r="AA96" s="31">
        <v>0</v>
      </c>
      <c r="AB96" s="1" t="str">
        <f>VLOOKUP(T:T,'9店'!$B:$B,1,0)</f>
        <v>Y9023-BR-25</v>
      </c>
      <c r="AC96" t="s">
        <v>3291</v>
      </c>
      <c r="AD96">
        <v>543</v>
      </c>
      <c r="AE96">
        <v>5</v>
      </c>
      <c r="AF96">
        <v>3.24</v>
      </c>
      <c r="AG96">
        <v>0</v>
      </c>
      <c r="AH96">
        <v>0</v>
      </c>
      <c r="AI96" s="31">
        <v>0</v>
      </c>
      <c r="AJ96" s="31">
        <v>0</v>
      </c>
      <c r="AK96" s="1" t="str">
        <f>VLOOKUP(AC:AC,'9店'!$B:$B,1,0)</f>
        <v>Y9023-WH-20</v>
      </c>
      <c r="AN96" s="1">
        <f t="shared" si="7"/>
        <v>0</v>
      </c>
      <c r="AR96" s="1">
        <f>AQ96*$AS$1</f>
        <v>0</v>
      </c>
      <c r="AT96" s="45" t="s">
        <v>3267</v>
      </c>
      <c r="AU96" s="44">
        <v>1880.375</v>
      </c>
      <c r="AW96" s="45" t="s">
        <v>3258</v>
      </c>
      <c r="AX96" s="44">
        <v>480.25</v>
      </c>
      <c r="AZ96" s="47" t="s">
        <v>3111</v>
      </c>
      <c r="BA96" s="48">
        <v>4.955</v>
      </c>
      <c r="BB96" s="1" t="s">
        <v>430</v>
      </c>
    </row>
    <row r="97" spans="8:54">
      <c r="H97" t="s">
        <v>3058</v>
      </c>
      <c r="I97">
        <v>1</v>
      </c>
      <c r="J97" s="1" t="str">
        <f>VLOOKUP(H:H,'9店'!$B:$B,1,0)</f>
        <v>Y93694-BL+Y93712+Y93744</v>
      </c>
      <c r="K97" t="s">
        <v>3279</v>
      </c>
      <c r="L97">
        <v>5029</v>
      </c>
      <c r="M97">
        <v>16</v>
      </c>
      <c r="N97">
        <v>14.7</v>
      </c>
      <c r="O97">
        <v>0</v>
      </c>
      <c r="P97">
        <v>0</v>
      </c>
      <c r="Q97" s="31">
        <v>0</v>
      </c>
      <c r="R97" s="31">
        <v>0</v>
      </c>
      <c r="S97" s="1" t="str">
        <f>VLOOKUP(K:K,'9店'!$B:$B,1,0)</f>
        <v>Y9023-BR-15</v>
      </c>
      <c r="T97" t="s">
        <v>3282</v>
      </c>
      <c r="U97">
        <v>2528</v>
      </c>
      <c r="V97">
        <v>6</v>
      </c>
      <c r="W97">
        <v>5.89</v>
      </c>
      <c r="X97">
        <v>0</v>
      </c>
      <c r="Y97">
        <v>0</v>
      </c>
      <c r="Z97" s="31">
        <v>0</v>
      </c>
      <c r="AA97" s="31">
        <v>0</v>
      </c>
      <c r="AB97" s="1" t="str">
        <f>VLOOKUP(T:T,'9店'!$B:$B,1,0)</f>
        <v>Y9023-BR-20</v>
      </c>
      <c r="AC97" t="s">
        <v>3288</v>
      </c>
      <c r="AD97">
        <v>10472</v>
      </c>
      <c r="AE97">
        <v>50</v>
      </c>
      <c r="AF97">
        <v>45.34</v>
      </c>
      <c r="AG97">
        <v>0</v>
      </c>
      <c r="AH97">
        <v>0</v>
      </c>
      <c r="AI97" s="31">
        <v>0</v>
      </c>
      <c r="AJ97" s="31">
        <v>0</v>
      </c>
      <c r="AK97" s="1" t="str">
        <f>VLOOKUP(AC:AC,'9店'!$B:$B,1,0)</f>
        <v>Y9023-WH-15</v>
      </c>
      <c r="AN97" s="1">
        <f t="shared" si="7"/>
        <v>0</v>
      </c>
      <c r="AR97" s="1">
        <f>AQ97*$AS$1</f>
        <v>0</v>
      </c>
      <c r="AT97" s="45" t="s">
        <v>3270</v>
      </c>
      <c r="AU97" s="44">
        <v>2225.75</v>
      </c>
      <c r="AW97" s="45" t="s">
        <v>3261</v>
      </c>
      <c r="AX97" s="44">
        <v>675</v>
      </c>
      <c r="AZ97" s="47" t="s">
        <v>3376</v>
      </c>
      <c r="BA97" s="48">
        <v>4.996</v>
      </c>
      <c r="BB97" s="1" t="s">
        <v>430</v>
      </c>
    </row>
    <row r="98" spans="8:54">
      <c r="H98" t="s">
        <v>3354</v>
      </c>
      <c r="I98">
        <v>1</v>
      </c>
      <c r="J98" s="1" t="e">
        <f>VLOOKUP(H:H,'9店'!$B:$B,1,0)</f>
        <v>#N/A</v>
      </c>
      <c r="K98" t="s">
        <v>3297</v>
      </c>
      <c r="L98">
        <v>242</v>
      </c>
      <c r="M98">
        <v>0</v>
      </c>
      <c r="N98">
        <v>0</v>
      </c>
      <c r="O98">
        <v>0</v>
      </c>
      <c r="P98">
        <v>0</v>
      </c>
      <c r="Q98" s="31">
        <v>0</v>
      </c>
      <c r="R98" s="31">
        <v>0</v>
      </c>
      <c r="S98" s="1" t="str">
        <f>VLOOKUP(K:K,'9店'!$B:$B,1,0)</f>
        <v>Y9024-50-3</v>
      </c>
      <c r="T98" t="s">
        <v>3279</v>
      </c>
      <c r="U98">
        <v>5029</v>
      </c>
      <c r="V98">
        <v>16</v>
      </c>
      <c r="W98">
        <v>14.7</v>
      </c>
      <c r="X98">
        <v>0</v>
      </c>
      <c r="Y98">
        <v>0</v>
      </c>
      <c r="Z98" s="31">
        <v>0</v>
      </c>
      <c r="AA98" s="31">
        <v>0</v>
      </c>
      <c r="AB98" s="1" t="str">
        <f>VLOOKUP(T:T,'9店'!$B:$B,1,0)</f>
        <v>Y9023-BR-15</v>
      </c>
      <c r="AC98" t="s">
        <v>3285</v>
      </c>
      <c r="AD98">
        <v>681</v>
      </c>
      <c r="AE98">
        <v>1</v>
      </c>
      <c r="AF98">
        <v>1.16</v>
      </c>
      <c r="AG98">
        <v>0</v>
      </c>
      <c r="AH98">
        <v>0</v>
      </c>
      <c r="AI98" s="31">
        <v>0</v>
      </c>
      <c r="AJ98" s="31">
        <v>0</v>
      </c>
      <c r="AK98" s="1" t="str">
        <f>VLOOKUP(AC:AC,'9店'!$B:$B,1,0)</f>
        <v>Y9023-BR-25</v>
      </c>
      <c r="AR98" s="1">
        <f>AQ98*$AS$1</f>
        <v>0</v>
      </c>
      <c r="AT98" s="45" t="s">
        <v>3273</v>
      </c>
      <c r="AU98" s="44">
        <v>1585.281</v>
      </c>
      <c r="AW98" s="45" t="s">
        <v>3264</v>
      </c>
      <c r="AX98" s="44">
        <v>742.5</v>
      </c>
      <c r="AZ98" s="47" t="s">
        <v>3117</v>
      </c>
      <c r="BA98" s="48">
        <v>3.468</v>
      </c>
      <c r="BB98" s="1" t="s">
        <v>430</v>
      </c>
    </row>
    <row r="99" spans="8:54">
      <c r="H99" t="s">
        <v>3355</v>
      </c>
      <c r="I99">
        <v>1</v>
      </c>
      <c r="J99" s="1" t="e">
        <f>VLOOKUP(H:H,'9店'!$B:$B,1,0)</f>
        <v>#N/A</v>
      </c>
      <c r="K99" t="s">
        <v>3300</v>
      </c>
      <c r="L99">
        <v>921</v>
      </c>
      <c r="M99">
        <v>4</v>
      </c>
      <c r="N99">
        <v>4.61</v>
      </c>
      <c r="O99">
        <v>0</v>
      </c>
      <c r="P99">
        <v>0</v>
      </c>
      <c r="Q99" s="31">
        <v>0</v>
      </c>
      <c r="R99" s="31">
        <v>0</v>
      </c>
      <c r="S99" s="1" t="str">
        <f>VLOOKUP(K:K,'9店'!$B:$B,1,0)</f>
        <v>Y9024-50-4</v>
      </c>
      <c r="T99" t="s">
        <v>3297</v>
      </c>
      <c r="U99">
        <v>242</v>
      </c>
      <c r="V99">
        <v>0</v>
      </c>
      <c r="W99">
        <v>0</v>
      </c>
      <c r="X99">
        <v>0</v>
      </c>
      <c r="Y99">
        <v>0</v>
      </c>
      <c r="Z99" s="31">
        <v>0</v>
      </c>
      <c r="AA99" s="31">
        <v>0</v>
      </c>
      <c r="AB99" s="1" t="str">
        <f>VLOOKUP(T:T,'9店'!$B:$B,1,0)</f>
        <v>Y9024-50-3</v>
      </c>
      <c r="AC99" t="s">
        <v>3282</v>
      </c>
      <c r="AD99">
        <v>2528</v>
      </c>
      <c r="AE99">
        <v>6</v>
      </c>
      <c r="AF99">
        <v>5.89</v>
      </c>
      <c r="AG99">
        <v>0</v>
      </c>
      <c r="AH99">
        <v>0</v>
      </c>
      <c r="AI99" s="31">
        <v>0</v>
      </c>
      <c r="AJ99" s="31">
        <v>0</v>
      </c>
      <c r="AK99" s="1" t="str">
        <f>VLOOKUP(AC:AC,'9店'!$B:$B,1,0)</f>
        <v>Y9023-BR-20</v>
      </c>
      <c r="AT99" s="45" t="s">
        <v>3276</v>
      </c>
      <c r="AU99" s="44">
        <v>609.003</v>
      </c>
      <c r="AW99" s="45" t="s">
        <v>3267</v>
      </c>
      <c r="AX99" s="44">
        <v>652.375</v>
      </c>
      <c r="AZ99" s="47" t="s">
        <v>3123</v>
      </c>
      <c r="BA99" s="48">
        <v>3.139</v>
      </c>
      <c r="BB99" s="1" t="s">
        <v>430</v>
      </c>
    </row>
    <row r="100" spans="8:54">
      <c r="H100" t="s">
        <v>3068</v>
      </c>
      <c r="I100">
        <v>1</v>
      </c>
      <c r="J100" s="1" t="str">
        <f>VLOOKUP(H:H,'9店'!$B:$B,1,0)</f>
        <v>Y9003-DB+Y9006+Y9008</v>
      </c>
      <c r="K100" t="s">
        <v>3327</v>
      </c>
      <c r="L100">
        <v>7566</v>
      </c>
      <c r="M100">
        <v>1</v>
      </c>
      <c r="N100">
        <v>1.29</v>
      </c>
      <c r="O100">
        <v>0</v>
      </c>
      <c r="P100">
        <v>0</v>
      </c>
      <c r="Q100" s="31">
        <v>0</v>
      </c>
      <c r="R100" s="31">
        <v>0</v>
      </c>
      <c r="S100" s="1" t="str">
        <f>VLOOKUP(K:K,'9店'!$B:$B,1,0)</f>
        <v>Y9016-GN</v>
      </c>
      <c r="T100" t="s">
        <v>3300</v>
      </c>
      <c r="U100">
        <v>921</v>
      </c>
      <c r="V100">
        <v>4</v>
      </c>
      <c r="W100">
        <v>4.61</v>
      </c>
      <c r="X100">
        <v>0</v>
      </c>
      <c r="Y100">
        <v>0</v>
      </c>
      <c r="Z100" s="31">
        <v>0</v>
      </c>
      <c r="AA100" s="31">
        <v>0</v>
      </c>
      <c r="AB100" s="1" t="str">
        <f>VLOOKUP(T:T,'9店'!$B:$B,1,0)</f>
        <v>Y9024-50-4</v>
      </c>
      <c r="AC100" t="s">
        <v>3279</v>
      </c>
      <c r="AD100">
        <v>5029</v>
      </c>
      <c r="AE100">
        <v>16</v>
      </c>
      <c r="AF100">
        <v>14.7</v>
      </c>
      <c r="AG100">
        <v>0</v>
      </c>
      <c r="AH100">
        <v>0</v>
      </c>
      <c r="AI100" s="31">
        <v>0</v>
      </c>
      <c r="AJ100" s="31">
        <v>0</v>
      </c>
      <c r="AK100" s="1" t="str">
        <f>VLOOKUP(AC:AC,'9店'!$B:$B,1,0)</f>
        <v>Y9023-BR-15</v>
      </c>
      <c r="AT100" s="45" t="s">
        <v>3279</v>
      </c>
      <c r="AU100" s="44">
        <v>1395</v>
      </c>
      <c r="AW100" s="45" t="s">
        <v>3270</v>
      </c>
      <c r="AX100" s="44">
        <v>652.375</v>
      </c>
      <c r="AZ100" s="47" t="s">
        <v>3129</v>
      </c>
      <c r="BA100" s="48">
        <v>3.341</v>
      </c>
      <c r="BB100" s="1" t="s">
        <v>430</v>
      </c>
    </row>
    <row r="101" spans="8:54">
      <c r="H101" t="s">
        <v>3330</v>
      </c>
      <c r="I101">
        <v>1</v>
      </c>
      <c r="J101" s="1" t="str">
        <f>VLOOKUP(H:H,'9店'!$B:$B,1,0)</f>
        <v>Y9026-6-BL</v>
      </c>
      <c r="K101" t="s">
        <v>3324</v>
      </c>
      <c r="L101">
        <v>15692</v>
      </c>
      <c r="M101">
        <v>10</v>
      </c>
      <c r="N101">
        <v>10.02</v>
      </c>
      <c r="O101">
        <v>0</v>
      </c>
      <c r="P101">
        <v>0</v>
      </c>
      <c r="Q101" s="31">
        <v>0</v>
      </c>
      <c r="R101" s="31">
        <v>0</v>
      </c>
      <c r="S101" s="1" t="str">
        <f>VLOOKUP(K:K,'9店'!$B:$B,1,0)</f>
        <v>Y9016-BR</v>
      </c>
      <c r="T101" t="s">
        <v>3327</v>
      </c>
      <c r="U101">
        <v>7566</v>
      </c>
      <c r="V101">
        <v>1</v>
      </c>
      <c r="W101">
        <v>1.29</v>
      </c>
      <c r="X101">
        <v>0</v>
      </c>
      <c r="Y101">
        <v>0</v>
      </c>
      <c r="Z101" s="31">
        <v>0</v>
      </c>
      <c r="AA101" s="31">
        <v>0</v>
      </c>
      <c r="AB101" s="1" t="str">
        <f>VLOOKUP(T:T,'9店'!$B:$B,1,0)</f>
        <v>Y9016-GN</v>
      </c>
      <c r="AC101" t="s">
        <v>3297</v>
      </c>
      <c r="AD101">
        <v>242</v>
      </c>
      <c r="AE101">
        <v>0</v>
      </c>
      <c r="AF101">
        <v>0</v>
      </c>
      <c r="AG101">
        <v>0</v>
      </c>
      <c r="AH101">
        <v>0</v>
      </c>
      <c r="AI101" s="31">
        <v>0</v>
      </c>
      <c r="AJ101" s="31">
        <v>0</v>
      </c>
      <c r="AK101" s="1" t="str">
        <f>VLOOKUP(AC:AC,'9店'!$B:$B,1,0)</f>
        <v>Y9024-50-3</v>
      </c>
      <c r="AT101" s="45" t="s">
        <v>3282</v>
      </c>
      <c r="AU101" s="44">
        <v>1575</v>
      </c>
      <c r="AW101" s="45" t="s">
        <v>3273</v>
      </c>
      <c r="AX101" s="44">
        <v>1106.01</v>
      </c>
      <c r="AZ101" s="47" t="s">
        <v>3126</v>
      </c>
      <c r="BA101" s="48">
        <v>2.677</v>
      </c>
      <c r="BB101" s="1" t="s">
        <v>430</v>
      </c>
    </row>
    <row r="102" spans="8:54">
      <c r="H102" t="s">
        <v>439</v>
      </c>
      <c r="I102">
        <v>1735</v>
      </c>
      <c r="K102" t="s">
        <v>3318</v>
      </c>
      <c r="L102">
        <v>1152</v>
      </c>
      <c r="M102">
        <v>1</v>
      </c>
      <c r="N102">
        <v>1.27</v>
      </c>
      <c r="O102">
        <v>0</v>
      </c>
      <c r="P102">
        <v>0</v>
      </c>
      <c r="Q102" s="31">
        <v>0</v>
      </c>
      <c r="R102" s="31">
        <v>0</v>
      </c>
      <c r="S102" s="1" t="str">
        <f>VLOOKUP(K:K,'9店'!$B:$B,1,0)</f>
        <v>Y9015-BR</v>
      </c>
      <c r="T102" t="s">
        <v>3324</v>
      </c>
      <c r="U102">
        <v>15692</v>
      </c>
      <c r="V102">
        <v>10</v>
      </c>
      <c r="W102">
        <v>10.02</v>
      </c>
      <c r="X102">
        <v>0</v>
      </c>
      <c r="Y102">
        <v>0</v>
      </c>
      <c r="Z102" s="31">
        <v>0</v>
      </c>
      <c r="AA102" s="31">
        <v>0</v>
      </c>
      <c r="AB102" s="1" t="str">
        <f>VLOOKUP(T:T,'9店'!$B:$B,1,0)</f>
        <v>Y9016-BR</v>
      </c>
      <c r="AC102" t="s">
        <v>3300</v>
      </c>
      <c r="AD102">
        <v>921</v>
      </c>
      <c r="AE102">
        <v>4</v>
      </c>
      <c r="AF102">
        <v>4.61</v>
      </c>
      <c r="AG102">
        <v>0</v>
      </c>
      <c r="AH102">
        <v>0</v>
      </c>
      <c r="AI102" s="31">
        <v>0</v>
      </c>
      <c r="AJ102" s="31">
        <v>0</v>
      </c>
      <c r="AK102" s="1" t="str">
        <f>VLOOKUP(AC:AC,'9店'!$B:$B,1,0)</f>
        <v>Y9024-50-4</v>
      </c>
      <c r="AT102" s="45" t="s">
        <v>3285</v>
      </c>
      <c r="AU102" s="44">
        <v>1725</v>
      </c>
      <c r="AW102" s="45" t="s">
        <v>3276</v>
      </c>
      <c r="AX102" s="44">
        <v>1827.009</v>
      </c>
      <c r="AZ102" s="47" t="s">
        <v>3120</v>
      </c>
      <c r="BA102" s="48">
        <v>2.473</v>
      </c>
      <c r="BB102" s="1" t="s">
        <v>430</v>
      </c>
    </row>
    <row r="103" spans="8:54">
      <c r="H103"/>
      <c r="I103"/>
      <c r="K103" t="s">
        <v>3321</v>
      </c>
      <c r="L103">
        <v>480</v>
      </c>
      <c r="M103">
        <v>0</v>
      </c>
      <c r="N103">
        <v>0</v>
      </c>
      <c r="O103">
        <v>0</v>
      </c>
      <c r="P103">
        <v>0</v>
      </c>
      <c r="Q103" s="31">
        <v>0</v>
      </c>
      <c r="R103" s="31">
        <v>0</v>
      </c>
      <c r="S103" s="1" t="str">
        <f>VLOOKUP(K:K,'9店'!$B:$B,1,0)</f>
        <v>Y9015-GN</v>
      </c>
      <c r="T103" t="s">
        <v>3318</v>
      </c>
      <c r="U103">
        <v>1152</v>
      </c>
      <c r="V103">
        <v>1</v>
      </c>
      <c r="W103">
        <v>1.27</v>
      </c>
      <c r="X103">
        <v>0</v>
      </c>
      <c r="Y103">
        <v>0</v>
      </c>
      <c r="Z103" s="31">
        <v>0</v>
      </c>
      <c r="AA103" s="31">
        <v>0</v>
      </c>
      <c r="AB103" s="1" t="str">
        <f>VLOOKUP(T:T,'9店'!$B:$B,1,0)</f>
        <v>Y9015-BR</v>
      </c>
      <c r="AC103" t="s">
        <v>3327</v>
      </c>
      <c r="AD103">
        <v>7566</v>
      </c>
      <c r="AE103">
        <v>1</v>
      </c>
      <c r="AF103">
        <v>1.29</v>
      </c>
      <c r="AG103">
        <v>0</v>
      </c>
      <c r="AH103">
        <v>0</v>
      </c>
      <c r="AI103" s="31">
        <v>0</v>
      </c>
      <c r="AJ103" s="31">
        <v>0</v>
      </c>
      <c r="AK103" s="1" t="str">
        <f>VLOOKUP(AC:AC,'9店'!$B:$B,1,0)</f>
        <v>Y9016-GN</v>
      </c>
      <c r="AT103" s="45" t="s">
        <v>3288</v>
      </c>
      <c r="AU103" s="44">
        <v>1395</v>
      </c>
      <c r="AZ103" s="47" t="s">
        <v>3135</v>
      </c>
      <c r="BA103" s="48">
        <v>5.887</v>
      </c>
      <c r="BB103" s="1" t="s">
        <v>430</v>
      </c>
    </row>
    <row r="104" spans="11:54">
      <c r="K104" t="s">
        <v>3315</v>
      </c>
      <c r="L104">
        <v>6082</v>
      </c>
      <c r="M104">
        <v>2</v>
      </c>
      <c r="N104">
        <v>2.28</v>
      </c>
      <c r="O104">
        <v>0</v>
      </c>
      <c r="P104">
        <v>0</v>
      </c>
      <c r="Q104" s="31">
        <v>0</v>
      </c>
      <c r="R104" s="31">
        <v>0</v>
      </c>
      <c r="S104" s="1" t="str">
        <f>VLOOKUP(K:K,'9店'!$B:$B,1,0)</f>
        <v>Y9014-GN</v>
      </c>
      <c r="T104" t="s">
        <v>3321</v>
      </c>
      <c r="U104">
        <v>480</v>
      </c>
      <c r="V104">
        <v>0</v>
      </c>
      <c r="W104">
        <v>0</v>
      </c>
      <c r="X104">
        <v>0</v>
      </c>
      <c r="Y104">
        <v>0</v>
      </c>
      <c r="Z104" s="31">
        <v>0</v>
      </c>
      <c r="AA104" s="31">
        <v>0</v>
      </c>
      <c r="AB104" s="1" t="str">
        <f>VLOOKUP(T:T,'9店'!$B:$B,1,0)</f>
        <v>Y9015-GN</v>
      </c>
      <c r="AC104" t="s">
        <v>3324</v>
      </c>
      <c r="AD104">
        <v>15692</v>
      </c>
      <c r="AE104">
        <v>10</v>
      </c>
      <c r="AF104">
        <v>10.02</v>
      </c>
      <c r="AG104">
        <v>0</v>
      </c>
      <c r="AH104">
        <v>0</v>
      </c>
      <c r="AI104" s="31">
        <v>0</v>
      </c>
      <c r="AJ104" s="31">
        <v>0</v>
      </c>
      <c r="AK104" s="1" t="str">
        <f>VLOOKUP(AC:AC,'9店'!$B:$B,1,0)</f>
        <v>Y9016-BR</v>
      </c>
      <c r="AT104" s="45" t="s">
        <v>3291</v>
      </c>
      <c r="AU104" s="44">
        <v>1575</v>
      </c>
      <c r="AZ104" s="47" t="s">
        <v>3132</v>
      </c>
      <c r="BA104" s="48">
        <v>5.976</v>
      </c>
      <c r="BB104" s="1" t="s">
        <v>430</v>
      </c>
    </row>
    <row r="105" spans="11:54">
      <c r="K105" t="s">
        <v>3312</v>
      </c>
      <c r="L105">
        <v>34555</v>
      </c>
      <c r="M105">
        <v>7</v>
      </c>
      <c r="N105">
        <v>8.63</v>
      </c>
      <c r="O105">
        <v>0</v>
      </c>
      <c r="P105">
        <v>0</v>
      </c>
      <c r="Q105" s="31">
        <v>0</v>
      </c>
      <c r="R105" s="31">
        <v>0</v>
      </c>
      <c r="S105" s="1" t="str">
        <f>VLOOKUP(K:K,'9店'!$B:$B,1,0)</f>
        <v>Y9014-BR</v>
      </c>
      <c r="T105" t="s">
        <v>3315</v>
      </c>
      <c r="U105">
        <v>6082</v>
      </c>
      <c r="V105">
        <v>2</v>
      </c>
      <c r="W105">
        <v>2.28</v>
      </c>
      <c r="X105">
        <v>0</v>
      </c>
      <c r="Y105">
        <v>0</v>
      </c>
      <c r="Z105" s="31">
        <v>0</v>
      </c>
      <c r="AA105" s="31">
        <v>0</v>
      </c>
      <c r="AB105" s="1" t="str">
        <f>VLOOKUP(T:T,'9店'!$B:$B,1,0)</f>
        <v>Y9014-GN</v>
      </c>
      <c r="AC105" t="s">
        <v>3318</v>
      </c>
      <c r="AD105">
        <v>1152</v>
      </c>
      <c r="AE105">
        <v>1</v>
      </c>
      <c r="AF105">
        <v>1.27</v>
      </c>
      <c r="AG105">
        <v>0</v>
      </c>
      <c r="AH105">
        <v>0</v>
      </c>
      <c r="AI105" s="31">
        <v>0</v>
      </c>
      <c r="AJ105" s="31">
        <v>0</v>
      </c>
      <c r="AK105" s="1" t="str">
        <f>VLOOKUP(AC:AC,'9店'!$B:$B,1,0)</f>
        <v>Y9015-BR</v>
      </c>
      <c r="AT105" s="45" t="s">
        <v>3294</v>
      </c>
      <c r="AU105" s="44">
        <v>1725</v>
      </c>
      <c r="AZ105" s="47" t="s">
        <v>3377</v>
      </c>
      <c r="BA105" s="48">
        <v>6.494</v>
      </c>
      <c r="BB105" s="1" t="s">
        <v>430</v>
      </c>
    </row>
    <row r="106" spans="11:54">
      <c r="K106" t="s">
        <v>439</v>
      </c>
      <c r="L106">
        <v>523422</v>
      </c>
      <c r="M106">
        <v>1642</v>
      </c>
      <c r="N106">
        <v>887.88</v>
      </c>
      <c r="O106">
        <v>3110.41</v>
      </c>
      <c r="P106">
        <v>199</v>
      </c>
      <c r="Q106" s="31">
        <v>0.285454329172038</v>
      </c>
      <c r="R106" s="31">
        <v>0.121193666260658</v>
      </c>
      <c r="T106" t="s">
        <v>3312</v>
      </c>
      <c r="U106">
        <v>34555</v>
      </c>
      <c r="V106">
        <v>7</v>
      </c>
      <c r="W106">
        <v>8.63</v>
      </c>
      <c r="X106">
        <v>0</v>
      </c>
      <c r="Y106">
        <v>0</v>
      </c>
      <c r="Z106" s="31">
        <v>0</v>
      </c>
      <c r="AA106" s="31">
        <v>0</v>
      </c>
      <c r="AB106" s="1" t="str">
        <f>VLOOKUP(T:T,'9店'!$B:$B,1,0)</f>
        <v>Y9014-BR</v>
      </c>
      <c r="AC106" t="s">
        <v>3321</v>
      </c>
      <c r="AD106">
        <v>480</v>
      </c>
      <c r="AE106">
        <v>0</v>
      </c>
      <c r="AF106">
        <v>0</v>
      </c>
      <c r="AG106">
        <v>0</v>
      </c>
      <c r="AH106">
        <v>0</v>
      </c>
      <c r="AI106" s="31">
        <v>0</v>
      </c>
      <c r="AJ106" s="31">
        <v>0</v>
      </c>
      <c r="AK106" s="1" t="str">
        <f>VLOOKUP(AC:AC,'9店'!$B:$B,1,0)</f>
        <v>Y9015-GN</v>
      </c>
      <c r="AT106" s="45" t="s">
        <v>3297</v>
      </c>
      <c r="AU106" s="44">
        <v>2809.44</v>
      </c>
      <c r="AZ106" s="47" t="s">
        <v>3154</v>
      </c>
      <c r="BA106" s="48">
        <v>4.771</v>
      </c>
      <c r="BB106" s="1" t="s">
        <v>430</v>
      </c>
    </row>
    <row r="107" spans="20:54">
      <c r="T107" t="s">
        <v>439</v>
      </c>
      <c r="U107">
        <v>1198367</v>
      </c>
      <c r="V107">
        <v>3440</v>
      </c>
      <c r="W107">
        <v>1805.69</v>
      </c>
      <c r="X107">
        <v>6427.66999999999</v>
      </c>
      <c r="Y107">
        <v>420</v>
      </c>
      <c r="Z107" s="31">
        <v>0.280924502969195</v>
      </c>
      <c r="AA107" s="31">
        <v>0.122093023255814</v>
      </c>
      <c r="AC107" t="s">
        <v>3315</v>
      </c>
      <c r="AD107">
        <v>6082</v>
      </c>
      <c r="AE107">
        <v>2</v>
      </c>
      <c r="AF107">
        <v>2.28</v>
      </c>
      <c r="AG107">
        <v>0</v>
      </c>
      <c r="AH107">
        <v>0</v>
      </c>
      <c r="AI107" s="31">
        <v>0</v>
      </c>
      <c r="AJ107" s="31">
        <v>0</v>
      </c>
      <c r="AK107" s="1" t="str">
        <f>VLOOKUP(AC:AC,'9店'!$B:$B,1,0)</f>
        <v>Y9014-GN</v>
      </c>
      <c r="AT107" s="45" t="s">
        <v>3300</v>
      </c>
      <c r="AU107" s="44">
        <v>3585.18</v>
      </c>
      <c r="AZ107" s="47" t="s">
        <v>3148</v>
      </c>
      <c r="BA107" s="48">
        <v>5.46</v>
      </c>
      <c r="BB107" s="1" t="s">
        <v>430</v>
      </c>
    </row>
    <row r="108" spans="29:54">
      <c r="AC108" t="s">
        <v>3312</v>
      </c>
      <c r="AD108">
        <v>34555</v>
      </c>
      <c r="AE108">
        <v>7</v>
      </c>
      <c r="AF108">
        <v>8.63</v>
      </c>
      <c r="AG108">
        <v>0</v>
      </c>
      <c r="AH108">
        <v>0</v>
      </c>
      <c r="AI108" s="31">
        <v>0</v>
      </c>
      <c r="AJ108" s="31">
        <v>0</v>
      </c>
      <c r="AK108" s="1" t="str">
        <f>VLOOKUP(AC:AC,'9店'!$B:$B,1,0)</f>
        <v>Y9014-BR</v>
      </c>
      <c r="AT108" s="45" t="s">
        <v>3303</v>
      </c>
      <c r="AU108" s="44">
        <v>2300.01</v>
      </c>
      <c r="AZ108" s="47" t="s">
        <v>3151</v>
      </c>
      <c r="BA108" s="48">
        <v>4.702</v>
      </c>
      <c r="BB108" s="1" t="s">
        <v>430</v>
      </c>
    </row>
    <row r="109" spans="29:54">
      <c r="AC109" t="s">
        <v>439</v>
      </c>
      <c r="AD109">
        <v>1796981</v>
      </c>
      <c r="AE109">
        <v>5679</v>
      </c>
      <c r="AF109">
        <v>3002.76</v>
      </c>
      <c r="AG109">
        <v>11722.48</v>
      </c>
      <c r="AH109">
        <v>695</v>
      </c>
      <c r="AI109" s="31">
        <v>0.256153987893347</v>
      </c>
      <c r="AJ109" s="31">
        <v>0.12238070082761</v>
      </c>
      <c r="AT109" s="45" t="s">
        <v>3306</v>
      </c>
      <c r="AU109" s="44">
        <v>3200.01</v>
      </c>
      <c r="AZ109" s="47" t="s">
        <v>3145</v>
      </c>
      <c r="BA109" s="48">
        <v>4.286</v>
      </c>
      <c r="BB109" s="1" t="s">
        <v>430</v>
      </c>
    </row>
    <row r="110" spans="46:54">
      <c r="AT110" s="45" t="s">
        <v>3309</v>
      </c>
      <c r="AU110" s="44">
        <v>3200.01</v>
      </c>
      <c r="AZ110" s="47" t="s">
        <v>3226</v>
      </c>
      <c r="BA110" s="48">
        <v>12.274</v>
      </c>
      <c r="BB110" s="1" t="s">
        <v>430</v>
      </c>
    </row>
    <row r="111" spans="11:54">
      <c r="K111" t="s">
        <v>410</v>
      </c>
      <c r="L111" t="s">
        <v>411</v>
      </c>
      <c r="M111" t="s">
        <v>412</v>
      </c>
      <c r="N111" t="s">
        <v>413</v>
      </c>
      <c r="O111" t="s">
        <v>448</v>
      </c>
      <c r="P111" t="s">
        <v>449</v>
      </c>
      <c r="Q111" t="s">
        <v>450</v>
      </c>
      <c r="R111" t="s">
        <v>451</v>
      </c>
      <c r="T111" t="s">
        <v>410</v>
      </c>
      <c r="U111" t="s">
        <v>411</v>
      </c>
      <c r="V111" t="s">
        <v>412</v>
      </c>
      <c r="W111" t="s">
        <v>413</v>
      </c>
      <c r="X111" t="s">
        <v>448</v>
      </c>
      <c r="Y111" t="s">
        <v>449</v>
      </c>
      <c r="Z111" t="s">
        <v>450</v>
      </c>
      <c r="AA111" t="s">
        <v>451</v>
      </c>
      <c r="AC111" t="s">
        <v>410</v>
      </c>
      <c r="AD111" t="s">
        <v>411</v>
      </c>
      <c r="AE111" t="s">
        <v>412</v>
      </c>
      <c r="AF111" t="s">
        <v>413</v>
      </c>
      <c r="AG111" t="s">
        <v>448</v>
      </c>
      <c r="AH111" t="s">
        <v>449</v>
      </c>
      <c r="AI111" t="s">
        <v>450</v>
      </c>
      <c r="AJ111" t="s">
        <v>451</v>
      </c>
      <c r="AT111" s="45" t="s">
        <v>3312</v>
      </c>
      <c r="AU111" s="44">
        <v>1353.677</v>
      </c>
      <c r="AZ111" s="47" t="s">
        <v>3217</v>
      </c>
      <c r="BA111" s="48">
        <v>24.547</v>
      </c>
      <c r="BB111" s="1" t="s">
        <v>430</v>
      </c>
    </row>
    <row r="112" spans="11:54">
      <c r="K112" t="s">
        <v>3117</v>
      </c>
      <c r="L112">
        <v>0</v>
      </c>
      <c r="M112">
        <v>0</v>
      </c>
      <c r="N112" s="103">
        <v>0</v>
      </c>
      <c r="O112" s="103">
        <v>0</v>
      </c>
      <c r="P112" s="103">
        <v>0</v>
      </c>
      <c r="Q112" s="31"/>
      <c r="R112" s="31"/>
      <c r="S112" s="1" t="str">
        <f>VLOOKUP(K:K,'9店'!$B:$B,1,0)</f>
        <v>Y9001-BU</v>
      </c>
      <c r="T112" t="s">
        <v>3117</v>
      </c>
      <c r="U112">
        <v>0</v>
      </c>
      <c r="V112">
        <v>0</v>
      </c>
      <c r="W112" s="103">
        <v>0</v>
      </c>
      <c r="X112" s="103">
        <v>0</v>
      </c>
      <c r="Y112">
        <v>0</v>
      </c>
      <c r="Z112" s="31"/>
      <c r="AA112" s="31"/>
      <c r="AB112" s="1" t="str">
        <f>VLOOKUP(T:T,'9店'!$B:$B,1,0)</f>
        <v>Y9001-BU</v>
      </c>
      <c r="AC112" t="s">
        <v>3117</v>
      </c>
      <c r="AD112">
        <v>0</v>
      </c>
      <c r="AE112">
        <v>0</v>
      </c>
      <c r="AF112" s="103">
        <v>0</v>
      </c>
      <c r="AG112">
        <v>0</v>
      </c>
      <c r="AH112">
        <v>0</v>
      </c>
      <c r="AI112" s="31"/>
      <c r="AJ112" s="31"/>
      <c r="AK112" s="1" t="str">
        <f>VLOOKUP(AC:AC,'9店'!$B:$B,1,0)</f>
        <v>Y9001-BU</v>
      </c>
      <c r="AT112" s="45" t="s">
        <v>3315</v>
      </c>
      <c r="AU112" s="44">
        <v>1310.01</v>
      </c>
      <c r="AZ112" s="47" t="s">
        <v>3220</v>
      </c>
      <c r="BA112" s="48">
        <v>13.388</v>
      </c>
      <c r="BB112" s="1" t="s">
        <v>430</v>
      </c>
    </row>
    <row r="113" spans="11:54">
      <c r="K113" t="s">
        <v>3120</v>
      </c>
      <c r="L113">
        <v>0</v>
      </c>
      <c r="M113">
        <v>0</v>
      </c>
      <c r="N113" s="103">
        <v>0</v>
      </c>
      <c r="O113" s="103">
        <v>0</v>
      </c>
      <c r="P113" s="103">
        <v>0</v>
      </c>
      <c r="Q113" s="31"/>
      <c r="R113" s="31"/>
      <c r="S113" s="1" t="str">
        <f>VLOOKUP(K:K,'9店'!$B:$B,1,0)</f>
        <v>Y9001-GR</v>
      </c>
      <c r="T113" t="s">
        <v>3120</v>
      </c>
      <c r="U113">
        <v>0</v>
      </c>
      <c r="V113">
        <v>0</v>
      </c>
      <c r="W113" s="103">
        <v>0</v>
      </c>
      <c r="X113" s="103">
        <v>0</v>
      </c>
      <c r="Y113">
        <v>0</v>
      </c>
      <c r="Z113" s="31"/>
      <c r="AA113" s="31"/>
      <c r="AB113" s="1" t="str">
        <f>VLOOKUP(T:T,'9店'!$B:$B,1,0)</f>
        <v>Y9001-GR</v>
      </c>
      <c r="AC113" t="s">
        <v>3120</v>
      </c>
      <c r="AD113">
        <v>0</v>
      </c>
      <c r="AE113">
        <v>0</v>
      </c>
      <c r="AF113" s="103">
        <v>0</v>
      </c>
      <c r="AG113">
        <v>0</v>
      </c>
      <c r="AH113">
        <v>0</v>
      </c>
      <c r="AI113" s="31"/>
      <c r="AJ113" s="31"/>
      <c r="AK113" s="1" t="str">
        <f>VLOOKUP(AC:AC,'9店'!$B:$B,1,0)</f>
        <v>Y9001-GR</v>
      </c>
      <c r="AT113" s="45" t="s">
        <v>3318</v>
      </c>
      <c r="AU113" s="44">
        <v>2480.01</v>
      </c>
      <c r="AZ113" s="47" t="s">
        <v>3223</v>
      </c>
      <c r="BA113" s="48">
        <v>13.99</v>
      </c>
      <c r="BB113" s="1" t="s">
        <v>430</v>
      </c>
    </row>
    <row r="114" spans="11:54">
      <c r="K114" t="s">
        <v>3123</v>
      </c>
      <c r="L114">
        <v>0</v>
      </c>
      <c r="M114">
        <v>0</v>
      </c>
      <c r="N114" s="103">
        <v>0</v>
      </c>
      <c r="O114" s="103">
        <v>0</v>
      </c>
      <c r="P114" s="103">
        <v>0</v>
      </c>
      <c r="Q114" s="31"/>
      <c r="R114" s="31"/>
      <c r="S114" s="1" t="str">
        <f>VLOOKUP(K:K,'9店'!$B:$B,1,0)</f>
        <v>Y9001-PI</v>
      </c>
      <c r="T114" t="s">
        <v>3123</v>
      </c>
      <c r="U114">
        <v>0</v>
      </c>
      <c r="V114">
        <v>0</v>
      </c>
      <c r="W114" s="103">
        <v>0</v>
      </c>
      <c r="X114" s="103">
        <v>0</v>
      </c>
      <c r="Y114">
        <v>0</v>
      </c>
      <c r="Z114" s="31"/>
      <c r="AA114" s="31"/>
      <c r="AB114" s="1" t="str">
        <f>VLOOKUP(T:T,'9店'!$B:$B,1,0)</f>
        <v>Y9001-PI</v>
      </c>
      <c r="AC114" t="s">
        <v>3123</v>
      </c>
      <c r="AD114">
        <v>0</v>
      </c>
      <c r="AE114">
        <v>0</v>
      </c>
      <c r="AF114" s="103">
        <v>0</v>
      </c>
      <c r="AG114">
        <v>0</v>
      </c>
      <c r="AH114">
        <v>0</v>
      </c>
      <c r="AI114" s="31"/>
      <c r="AJ114" s="31"/>
      <c r="AK114" s="1" t="str">
        <f>VLOOKUP(AC:AC,'9店'!$B:$B,1,0)</f>
        <v>Y9001-PI</v>
      </c>
      <c r="AT114" s="45" t="s">
        <v>3321</v>
      </c>
      <c r="AU114" s="44">
        <v>2480.01</v>
      </c>
      <c r="AZ114" s="47" t="s">
        <v>3229</v>
      </c>
      <c r="BA114" s="48">
        <v>21.75</v>
      </c>
      <c r="BB114" s="1" t="s">
        <v>430</v>
      </c>
    </row>
    <row r="115" spans="11:54">
      <c r="K115" t="s">
        <v>3126</v>
      </c>
      <c r="L115">
        <v>0</v>
      </c>
      <c r="M115">
        <v>0</v>
      </c>
      <c r="N115" s="103">
        <v>0</v>
      </c>
      <c r="O115" s="103">
        <v>0</v>
      </c>
      <c r="P115" s="103">
        <v>0</v>
      </c>
      <c r="Q115" s="31"/>
      <c r="R115" s="31"/>
      <c r="S115" s="1" t="str">
        <f>VLOOKUP(K:K,'9店'!$B:$B,1,0)</f>
        <v>Y9001-PU</v>
      </c>
      <c r="T115" t="s">
        <v>3126</v>
      </c>
      <c r="U115">
        <v>0</v>
      </c>
      <c r="V115">
        <v>0</v>
      </c>
      <c r="W115" s="103">
        <v>0</v>
      </c>
      <c r="X115" s="103">
        <v>0</v>
      </c>
      <c r="Y115">
        <v>0</v>
      </c>
      <c r="Z115" s="31"/>
      <c r="AA115" s="31"/>
      <c r="AB115" s="1" t="str">
        <f>VLOOKUP(T:T,'9店'!$B:$B,1,0)</f>
        <v>Y9001-PU</v>
      </c>
      <c r="AC115" t="s">
        <v>3126</v>
      </c>
      <c r="AD115">
        <v>0</v>
      </c>
      <c r="AE115">
        <v>0</v>
      </c>
      <c r="AF115" s="103">
        <v>0</v>
      </c>
      <c r="AG115">
        <v>0</v>
      </c>
      <c r="AH115">
        <v>0</v>
      </c>
      <c r="AI115" s="31"/>
      <c r="AJ115" s="31"/>
      <c r="AK115" s="1" t="str">
        <f>VLOOKUP(AC:AC,'9店'!$B:$B,1,0)</f>
        <v>Y9001-PU</v>
      </c>
      <c r="AT115" s="45" t="s">
        <v>3324</v>
      </c>
      <c r="AU115" s="44">
        <v>3350.01</v>
      </c>
      <c r="AZ115" s="47" t="s">
        <v>3238</v>
      </c>
      <c r="BA115" s="48">
        <v>25.266</v>
      </c>
      <c r="BB115" s="1" t="s">
        <v>430</v>
      </c>
    </row>
    <row r="116" spans="11:54">
      <c r="K116" t="s">
        <v>3129</v>
      </c>
      <c r="L116">
        <v>0</v>
      </c>
      <c r="M116">
        <v>0</v>
      </c>
      <c r="N116" s="103">
        <v>0</v>
      </c>
      <c r="O116" s="103">
        <v>0</v>
      </c>
      <c r="P116" s="103">
        <v>0</v>
      </c>
      <c r="Q116" s="31"/>
      <c r="R116" s="31"/>
      <c r="S116" s="1" t="str">
        <f>VLOOKUP(K:K,'9店'!$B:$B,1,0)</f>
        <v>Y9001-WH</v>
      </c>
      <c r="T116" t="s">
        <v>3129</v>
      </c>
      <c r="U116">
        <v>0</v>
      </c>
      <c r="V116">
        <v>0</v>
      </c>
      <c r="W116" s="103">
        <v>0</v>
      </c>
      <c r="X116" s="103">
        <v>0</v>
      </c>
      <c r="Y116">
        <v>0</v>
      </c>
      <c r="Z116" s="31"/>
      <c r="AA116" s="31"/>
      <c r="AB116" s="1" t="str">
        <f>VLOOKUP(T:T,'9店'!$B:$B,1,0)</f>
        <v>Y9001-WH</v>
      </c>
      <c r="AC116" t="s">
        <v>3129</v>
      </c>
      <c r="AD116">
        <v>0</v>
      </c>
      <c r="AE116">
        <v>0</v>
      </c>
      <c r="AF116" s="103">
        <v>0</v>
      </c>
      <c r="AG116">
        <v>0</v>
      </c>
      <c r="AH116">
        <v>0</v>
      </c>
      <c r="AI116" s="31"/>
      <c r="AJ116" s="31"/>
      <c r="AK116" s="1" t="str">
        <f>VLOOKUP(AC:AC,'9店'!$B:$B,1,0)</f>
        <v>Y9001-WH</v>
      </c>
      <c r="AT116" s="45" t="s">
        <v>3327</v>
      </c>
      <c r="AU116" s="44">
        <v>3350.01</v>
      </c>
      <c r="AZ116" s="47" t="s">
        <v>3244</v>
      </c>
      <c r="BA116" s="48">
        <v>25.266</v>
      </c>
      <c r="BB116" s="1" t="s">
        <v>430</v>
      </c>
    </row>
    <row r="117" spans="11:54">
      <c r="K117" t="s">
        <v>3132</v>
      </c>
      <c r="L117">
        <v>2960</v>
      </c>
      <c r="M117">
        <v>11</v>
      </c>
      <c r="N117" s="103">
        <v>5.98</v>
      </c>
      <c r="O117" s="103">
        <v>17.99</v>
      </c>
      <c r="P117" s="103">
        <v>1</v>
      </c>
      <c r="Q117" s="31">
        <v>0.122846025569761</v>
      </c>
      <c r="R117" s="31">
        <v>8.14027149321267</v>
      </c>
      <c r="S117" s="1" t="str">
        <f>VLOOKUP(K:K,'9店'!$B:$B,1,0)</f>
        <v>Y9002-BL</v>
      </c>
      <c r="T117" t="s">
        <v>3132</v>
      </c>
      <c r="U117">
        <v>8079</v>
      </c>
      <c r="V117">
        <v>27</v>
      </c>
      <c r="W117" s="103">
        <v>14.08</v>
      </c>
      <c r="X117" s="103">
        <v>44.57</v>
      </c>
      <c r="Y117">
        <v>3</v>
      </c>
      <c r="Z117" s="31">
        <v>0.43522907734729</v>
      </c>
      <c r="AA117" s="31">
        <v>10.9196645002088</v>
      </c>
      <c r="AB117" s="1" t="str">
        <f>VLOOKUP(T:T,'9店'!$B:$B,1,0)</f>
        <v>Y9002-BL</v>
      </c>
      <c r="AC117" t="s">
        <v>3132</v>
      </c>
      <c r="AD117">
        <v>12929</v>
      </c>
      <c r="AE117">
        <v>56</v>
      </c>
      <c r="AF117" s="103">
        <v>23.79</v>
      </c>
      <c r="AG117">
        <v>57.16</v>
      </c>
      <c r="AH117">
        <v>4</v>
      </c>
      <c r="AI117" s="31">
        <v>1.5519884101511</v>
      </c>
      <c r="AJ117" s="31">
        <v>10.6384786801853</v>
      </c>
      <c r="AK117" s="1" t="str">
        <f>VLOOKUP(AC:AC,'9店'!$B:$B,1,0)</f>
        <v>Y9002-BL</v>
      </c>
      <c r="AT117" s="45" t="s">
        <v>3330</v>
      </c>
      <c r="AU117" s="44">
        <v>1813</v>
      </c>
      <c r="AZ117" s="47" t="s">
        <v>3252</v>
      </c>
      <c r="BA117" s="48">
        <v>25.266</v>
      </c>
      <c r="BB117" s="1" t="s">
        <v>430</v>
      </c>
    </row>
    <row r="118" spans="11:54">
      <c r="K118" t="s">
        <v>3135</v>
      </c>
      <c r="L118">
        <v>4048</v>
      </c>
      <c r="M118">
        <v>22</v>
      </c>
      <c r="N118" s="103">
        <v>13.72</v>
      </c>
      <c r="O118" s="103">
        <v>71.96</v>
      </c>
      <c r="P118" s="103">
        <v>4</v>
      </c>
      <c r="Q118" s="31">
        <v>0.386881600889383</v>
      </c>
      <c r="R118" s="31">
        <v>10.3476248719051</v>
      </c>
      <c r="S118" s="1" t="str">
        <f>VLOOKUP(K:K,'9店'!$B:$B,1,0)</f>
        <v>Y9002-BU</v>
      </c>
      <c r="T118" t="s">
        <v>3135</v>
      </c>
      <c r="U118">
        <v>8991</v>
      </c>
      <c r="V118">
        <v>48</v>
      </c>
      <c r="W118" s="103">
        <v>26.98</v>
      </c>
      <c r="X118" s="103">
        <v>138.52</v>
      </c>
      <c r="Y118">
        <v>8</v>
      </c>
      <c r="Z118" s="31">
        <v>0.37385530893206</v>
      </c>
      <c r="AA118" s="31">
        <v>10.7244700512975</v>
      </c>
      <c r="AB118" s="1" t="str">
        <f>VLOOKUP(T:T,'9店'!$B:$B,1,0)</f>
        <v>Y9002-BU</v>
      </c>
      <c r="AC118" t="s">
        <v>3135</v>
      </c>
      <c r="AD118">
        <v>15387</v>
      </c>
      <c r="AE118">
        <v>67</v>
      </c>
      <c r="AF118" s="103">
        <v>36.76</v>
      </c>
      <c r="AG118">
        <v>169.1</v>
      </c>
      <c r="AH118">
        <v>10</v>
      </c>
      <c r="AI118" s="31">
        <v>0.764737594551357</v>
      </c>
      <c r="AJ118" s="31">
        <v>12.8902809559249</v>
      </c>
      <c r="AK118" s="1" t="str">
        <f>VLOOKUP(AC:AC,'9店'!$B:$B,1,0)</f>
        <v>Y9002-BU</v>
      </c>
      <c r="AT118" s="45" t="s">
        <v>3333</v>
      </c>
      <c r="AU118" s="44">
        <v>1924</v>
      </c>
      <c r="AZ118" s="47" t="s">
        <v>3247</v>
      </c>
      <c r="BA118" s="48">
        <v>25.266</v>
      </c>
      <c r="BB118" s="1" t="s">
        <v>430</v>
      </c>
    </row>
    <row r="119" spans="11:54">
      <c r="K119" t="s">
        <v>3138</v>
      </c>
      <c r="L119">
        <v>9693</v>
      </c>
      <c r="M119">
        <v>37</v>
      </c>
      <c r="N119" s="103">
        <v>27.10464</v>
      </c>
      <c r="O119" s="103">
        <v>0</v>
      </c>
      <c r="P119" s="103">
        <v>0</v>
      </c>
      <c r="Q119" s="31"/>
      <c r="R119" s="31">
        <v>0</v>
      </c>
      <c r="S119" s="1" t="str">
        <f>VLOOKUP(K:K,'9店'!$B:$B,1,0)</f>
        <v>Y9003-1</v>
      </c>
      <c r="T119" t="s">
        <v>3138</v>
      </c>
      <c r="U119">
        <v>31562</v>
      </c>
      <c r="V119">
        <v>129</v>
      </c>
      <c r="W119" s="103">
        <v>102.82623</v>
      </c>
      <c r="X119" s="103">
        <v>539.8</v>
      </c>
      <c r="Y119">
        <v>9</v>
      </c>
      <c r="Z119" s="31">
        <v>0.186161541311597</v>
      </c>
      <c r="AA119" s="31">
        <v>5.37167877400737</v>
      </c>
      <c r="AB119" s="1" t="str">
        <f>VLOOKUP(T:T,'9店'!$B:$B,1,0)</f>
        <v>Y9003-1</v>
      </c>
      <c r="AC119" t="s">
        <v>3138</v>
      </c>
      <c r="AD119">
        <v>78671</v>
      </c>
      <c r="AE119">
        <v>314</v>
      </c>
      <c r="AF119" s="103">
        <v>238.66909</v>
      </c>
      <c r="AG119">
        <v>704.75</v>
      </c>
      <c r="AH119">
        <v>14</v>
      </c>
      <c r="AI119" s="31">
        <v>0.334615111741752</v>
      </c>
      <c r="AJ119" s="31">
        <v>2.98850818420829</v>
      </c>
      <c r="AK119" s="1" t="str">
        <f>VLOOKUP(AC:AC,'9店'!$B:$B,1,0)</f>
        <v>Y9003-1</v>
      </c>
      <c r="AZ119" s="47" t="s">
        <v>3250</v>
      </c>
      <c r="BA119" s="48">
        <v>25.266</v>
      </c>
      <c r="BB119" s="1" t="s">
        <v>430</v>
      </c>
    </row>
    <row r="120" spans="11:54">
      <c r="K120" t="s">
        <v>3145</v>
      </c>
      <c r="L120">
        <v>0</v>
      </c>
      <c r="M120">
        <v>0</v>
      </c>
      <c r="N120" s="103">
        <v>0</v>
      </c>
      <c r="O120" s="103">
        <v>0</v>
      </c>
      <c r="P120" s="103">
        <v>0</v>
      </c>
      <c r="Q120" s="31"/>
      <c r="R120" s="31"/>
      <c r="S120" s="1" t="str">
        <f>VLOOKUP(K:K,'9店'!$B:$B,1,0)</f>
        <v>Y9005-BL</v>
      </c>
      <c r="T120" t="s">
        <v>3378</v>
      </c>
      <c r="U120">
        <v>0</v>
      </c>
      <c r="V120">
        <v>0</v>
      </c>
      <c r="W120" s="103">
        <v>0</v>
      </c>
      <c r="X120" s="103">
        <v>0</v>
      </c>
      <c r="Y120">
        <v>0</v>
      </c>
      <c r="Z120" s="31"/>
      <c r="AA120" s="31"/>
      <c r="AB120" s="1" t="e">
        <f>VLOOKUP(T:T,'9店'!$B:$B,1,0)</f>
        <v>#N/A</v>
      </c>
      <c r="AC120" t="s">
        <v>3378</v>
      </c>
      <c r="AD120">
        <v>0</v>
      </c>
      <c r="AE120">
        <v>0</v>
      </c>
      <c r="AF120" s="103">
        <v>0</v>
      </c>
      <c r="AG120">
        <v>0</v>
      </c>
      <c r="AH120">
        <v>0</v>
      </c>
      <c r="AI120" s="31"/>
      <c r="AJ120" s="31"/>
      <c r="AK120" s="1" t="e">
        <f>VLOOKUP(AC:AC,'9店'!$B:$B,1,0)</f>
        <v>#N/A</v>
      </c>
      <c r="AZ120" s="47" t="s">
        <v>3255</v>
      </c>
      <c r="BA120" s="48">
        <v>15.409</v>
      </c>
      <c r="BB120" s="1" t="s">
        <v>430</v>
      </c>
    </row>
    <row r="121" spans="11:54">
      <c r="K121" t="s">
        <v>3148</v>
      </c>
      <c r="L121">
        <v>0</v>
      </c>
      <c r="M121">
        <v>0</v>
      </c>
      <c r="N121" s="103">
        <v>0</v>
      </c>
      <c r="O121" s="103">
        <v>0</v>
      </c>
      <c r="P121" s="103">
        <v>0</v>
      </c>
      <c r="Q121" s="31"/>
      <c r="R121" s="31"/>
      <c r="S121" s="1" t="str">
        <f>VLOOKUP(K:K,'9店'!$B:$B,1,0)</f>
        <v>Y9005-BU</v>
      </c>
      <c r="T121" t="s">
        <v>3145</v>
      </c>
      <c r="U121">
        <v>0</v>
      </c>
      <c r="V121">
        <v>0</v>
      </c>
      <c r="W121" s="103">
        <v>0</v>
      </c>
      <c r="X121" s="103">
        <v>0</v>
      </c>
      <c r="Y121">
        <v>0</v>
      </c>
      <c r="Z121" s="31"/>
      <c r="AA121" s="31"/>
      <c r="AB121" s="1" t="str">
        <f>VLOOKUP(T:T,'9店'!$B:$B,1,0)</f>
        <v>Y9005-BL</v>
      </c>
      <c r="AC121" t="s">
        <v>3145</v>
      </c>
      <c r="AD121">
        <v>0</v>
      </c>
      <c r="AE121">
        <v>0</v>
      </c>
      <c r="AF121" s="103">
        <v>0</v>
      </c>
      <c r="AG121">
        <v>0</v>
      </c>
      <c r="AH121">
        <v>0</v>
      </c>
      <c r="AI121" s="31"/>
      <c r="AJ121" s="31"/>
      <c r="AK121" s="1" t="str">
        <f>VLOOKUP(AC:AC,'9店'!$B:$B,1,0)</f>
        <v>Y9005-BL</v>
      </c>
      <c r="AZ121" s="47" t="s">
        <v>3264</v>
      </c>
      <c r="BA121" s="48">
        <v>18.71</v>
      </c>
      <c r="BB121" s="1" t="s">
        <v>430</v>
      </c>
    </row>
    <row r="122" spans="11:54">
      <c r="K122" t="s">
        <v>3151</v>
      </c>
      <c r="L122">
        <v>0</v>
      </c>
      <c r="M122">
        <v>0</v>
      </c>
      <c r="N122" s="103">
        <v>0</v>
      </c>
      <c r="O122" s="103">
        <v>0</v>
      </c>
      <c r="P122" s="103">
        <v>0</v>
      </c>
      <c r="Q122" s="31"/>
      <c r="R122" s="31"/>
      <c r="S122" s="1" t="str">
        <f>VLOOKUP(K:K,'9店'!$B:$B,1,0)</f>
        <v>Y9005-PI</v>
      </c>
      <c r="T122" t="s">
        <v>3148</v>
      </c>
      <c r="U122">
        <v>0</v>
      </c>
      <c r="V122">
        <v>0</v>
      </c>
      <c r="W122" s="103">
        <v>0</v>
      </c>
      <c r="X122" s="103">
        <v>0</v>
      </c>
      <c r="Y122">
        <v>0</v>
      </c>
      <c r="Z122" s="31"/>
      <c r="AA122" s="31"/>
      <c r="AB122" s="1" t="str">
        <f>VLOOKUP(T:T,'9店'!$B:$B,1,0)</f>
        <v>Y9005-BU</v>
      </c>
      <c r="AC122" t="s">
        <v>3148</v>
      </c>
      <c r="AD122">
        <v>0</v>
      </c>
      <c r="AE122">
        <v>0</v>
      </c>
      <c r="AF122" s="103">
        <v>0</v>
      </c>
      <c r="AG122">
        <v>0</v>
      </c>
      <c r="AH122">
        <v>0</v>
      </c>
      <c r="AI122" s="31"/>
      <c r="AJ122" s="31"/>
      <c r="AK122" s="1" t="str">
        <f>VLOOKUP(AC:AC,'9店'!$B:$B,1,0)</f>
        <v>Y9005-BU</v>
      </c>
      <c r="AZ122" s="47" t="s">
        <v>3267</v>
      </c>
      <c r="BA122" s="48">
        <v>20.834</v>
      </c>
      <c r="BB122" s="1" t="s">
        <v>430</v>
      </c>
    </row>
    <row r="123" spans="11:54">
      <c r="K123" t="s">
        <v>3154</v>
      </c>
      <c r="L123">
        <v>0</v>
      </c>
      <c r="M123">
        <v>0</v>
      </c>
      <c r="N123" s="103">
        <v>0</v>
      </c>
      <c r="O123" s="103">
        <v>0</v>
      </c>
      <c r="P123" s="103">
        <v>0</v>
      </c>
      <c r="Q123" s="31"/>
      <c r="R123" s="31"/>
      <c r="S123" s="1" t="str">
        <f>VLOOKUP(K:K,'9店'!$B:$B,1,0)</f>
        <v>Y9005-WH</v>
      </c>
      <c r="T123" t="s">
        <v>3151</v>
      </c>
      <c r="U123">
        <v>0</v>
      </c>
      <c r="V123">
        <v>0</v>
      </c>
      <c r="W123" s="103">
        <v>0</v>
      </c>
      <c r="X123" s="103">
        <v>0</v>
      </c>
      <c r="Y123">
        <v>0</v>
      </c>
      <c r="Z123" s="31"/>
      <c r="AA123" s="31"/>
      <c r="AB123" s="1" t="str">
        <f>VLOOKUP(T:T,'9店'!$B:$B,1,0)</f>
        <v>Y9005-PI</v>
      </c>
      <c r="AC123" t="s">
        <v>3151</v>
      </c>
      <c r="AD123">
        <v>0</v>
      </c>
      <c r="AE123">
        <v>0</v>
      </c>
      <c r="AF123" s="103">
        <v>0</v>
      </c>
      <c r="AG123">
        <v>0</v>
      </c>
      <c r="AH123">
        <v>0</v>
      </c>
      <c r="AI123" s="31"/>
      <c r="AJ123" s="31"/>
      <c r="AK123" s="1" t="str">
        <f>VLOOKUP(AC:AC,'9店'!$B:$B,1,0)</f>
        <v>Y9005-PI</v>
      </c>
      <c r="AZ123" s="47" t="s">
        <v>3258</v>
      </c>
      <c r="BA123" s="48">
        <v>15.443</v>
      </c>
      <c r="BB123" s="1" t="s">
        <v>430</v>
      </c>
    </row>
    <row r="124" spans="11:54">
      <c r="K124" t="s">
        <v>426</v>
      </c>
      <c r="L124"/>
      <c r="M124"/>
      <c r="N124" s="103"/>
      <c r="O124" s="103"/>
      <c r="P124" s="103"/>
      <c r="Q124" s="31"/>
      <c r="R124" s="31"/>
      <c r="S124" s="1" t="e">
        <f>VLOOKUP(K:K,'9店'!$B:$B,1,0)</f>
        <v>#N/A</v>
      </c>
      <c r="T124" t="s">
        <v>3154</v>
      </c>
      <c r="U124">
        <v>0</v>
      </c>
      <c r="V124">
        <v>0</v>
      </c>
      <c r="W124" s="103">
        <v>0</v>
      </c>
      <c r="X124" s="103">
        <v>0</v>
      </c>
      <c r="Y124">
        <v>0</v>
      </c>
      <c r="Z124" s="31"/>
      <c r="AA124" s="31"/>
      <c r="AB124" s="1" t="str">
        <f>VLOOKUP(T:T,'9店'!$B:$B,1,0)</f>
        <v>Y9005-WH</v>
      </c>
      <c r="AC124" t="s">
        <v>3154</v>
      </c>
      <c r="AD124">
        <v>0</v>
      </c>
      <c r="AE124">
        <v>0</v>
      </c>
      <c r="AF124" s="103">
        <v>0</v>
      </c>
      <c r="AG124">
        <v>0</v>
      </c>
      <c r="AH124">
        <v>0</v>
      </c>
      <c r="AI124" s="31"/>
      <c r="AJ124" s="31"/>
      <c r="AK124" s="1" t="str">
        <f>VLOOKUP(AC:AC,'9店'!$B:$B,1,0)</f>
        <v>Y9005-WH</v>
      </c>
      <c r="AZ124" s="47" t="s">
        <v>3261</v>
      </c>
      <c r="BA124" s="48">
        <v>18.71</v>
      </c>
      <c r="BB124" s="1" t="s">
        <v>430</v>
      </c>
    </row>
    <row r="125" spans="11:54">
      <c r="K125" t="s">
        <v>3217</v>
      </c>
      <c r="L125">
        <v>20</v>
      </c>
      <c r="M125">
        <v>0</v>
      </c>
      <c r="N125" s="103">
        <v>0</v>
      </c>
      <c r="O125" s="103">
        <v>0</v>
      </c>
      <c r="P125" s="103">
        <v>0</v>
      </c>
      <c r="Q125" s="31"/>
      <c r="R125" s="31"/>
      <c r="S125" s="1" t="str">
        <f>VLOOKUP(K:K,'9店'!$B:$B,1,0)</f>
        <v>Y9007-12PC</v>
      </c>
      <c r="T125" t="s">
        <v>426</v>
      </c>
      <c r="U125">
        <v>0</v>
      </c>
      <c r="V125">
        <v>0</v>
      </c>
      <c r="W125" s="103">
        <v>0</v>
      </c>
      <c r="X125" s="103">
        <v>0</v>
      </c>
      <c r="Y125">
        <v>0</v>
      </c>
      <c r="Z125" s="31"/>
      <c r="AA125" s="31"/>
      <c r="AB125" s="1" t="e">
        <f>VLOOKUP(T:T,'9店'!$B:$B,1,0)</f>
        <v>#N/A</v>
      </c>
      <c r="AC125" t="s">
        <v>426</v>
      </c>
      <c r="AD125">
        <v>0</v>
      </c>
      <c r="AE125">
        <v>0</v>
      </c>
      <c r="AF125" s="103">
        <v>0</v>
      </c>
      <c r="AG125">
        <v>0</v>
      </c>
      <c r="AH125">
        <v>0</v>
      </c>
      <c r="AI125" s="31"/>
      <c r="AJ125" s="31"/>
      <c r="AK125" s="1" t="e">
        <f>VLOOKUP(AC:AC,'9店'!$B:$B,1,0)</f>
        <v>#N/A</v>
      </c>
      <c r="AZ125" s="47" t="s">
        <v>3270</v>
      </c>
      <c r="BA125" s="48">
        <v>20.789</v>
      </c>
      <c r="BB125" s="1" t="s">
        <v>430</v>
      </c>
    </row>
    <row r="126" spans="11:54">
      <c r="K126" t="s">
        <v>3226</v>
      </c>
      <c r="L126">
        <v>65</v>
      </c>
      <c r="M126">
        <v>0</v>
      </c>
      <c r="N126" s="103">
        <v>0</v>
      </c>
      <c r="O126" s="103">
        <v>0</v>
      </c>
      <c r="P126" s="103">
        <v>0</v>
      </c>
      <c r="Q126" s="31"/>
      <c r="R126" s="31"/>
      <c r="S126" s="1" t="str">
        <f>VLOOKUP(K:K,'9店'!$B:$B,1,0)</f>
        <v>Y9007-6PC</v>
      </c>
      <c r="T126" t="s">
        <v>3217</v>
      </c>
      <c r="U126">
        <v>60</v>
      </c>
      <c r="V126">
        <v>0</v>
      </c>
      <c r="W126" s="103">
        <v>0</v>
      </c>
      <c r="X126" s="103">
        <v>0</v>
      </c>
      <c r="Y126">
        <v>0</v>
      </c>
      <c r="Z126" s="31"/>
      <c r="AA126" s="31"/>
      <c r="AB126" s="1" t="str">
        <f>VLOOKUP(T:T,'9店'!$B:$B,1,0)</f>
        <v>Y9007-12PC</v>
      </c>
      <c r="AC126" t="s">
        <v>3217</v>
      </c>
      <c r="AD126">
        <v>236</v>
      </c>
      <c r="AE126">
        <v>1</v>
      </c>
      <c r="AF126" s="103">
        <v>0.16</v>
      </c>
      <c r="AG126">
        <v>0</v>
      </c>
      <c r="AH126">
        <v>0</v>
      </c>
      <c r="AI126" s="31"/>
      <c r="AJ126" s="31">
        <v>0</v>
      </c>
      <c r="AK126" s="1" t="str">
        <f>VLOOKUP(AC:AC,'9店'!$B:$B,1,0)</f>
        <v>Y9007-12PC</v>
      </c>
      <c r="AZ126" s="47" t="s">
        <v>3273</v>
      </c>
      <c r="BA126" s="48">
        <v>21.549</v>
      </c>
      <c r="BB126" s="1" t="s">
        <v>430</v>
      </c>
    </row>
    <row r="127" spans="11:54">
      <c r="K127" t="s">
        <v>3229</v>
      </c>
      <c r="L127">
        <v>770</v>
      </c>
      <c r="M127">
        <v>0</v>
      </c>
      <c r="N127" s="103">
        <v>0</v>
      </c>
      <c r="O127" s="103">
        <v>0</v>
      </c>
      <c r="P127" s="103">
        <v>0</v>
      </c>
      <c r="Q127" s="31"/>
      <c r="R127" s="31"/>
      <c r="S127" s="1" t="str">
        <f>VLOOKUP(K:K,'9店'!$B:$B,1,0)</f>
        <v>Y9008</v>
      </c>
      <c r="T127" t="s">
        <v>3226</v>
      </c>
      <c r="U127">
        <v>196</v>
      </c>
      <c r="V127">
        <v>1</v>
      </c>
      <c r="W127" s="103">
        <v>0.35</v>
      </c>
      <c r="X127" s="103">
        <v>0</v>
      </c>
      <c r="Y127">
        <v>0</v>
      </c>
      <c r="Z127" s="31"/>
      <c r="AA127" s="31">
        <v>0</v>
      </c>
      <c r="AB127" s="1" t="str">
        <f>VLOOKUP(T:T,'9店'!$B:$B,1,0)</f>
        <v>Y9007-6PC</v>
      </c>
      <c r="AC127" t="s">
        <v>3226</v>
      </c>
      <c r="AD127">
        <v>325</v>
      </c>
      <c r="AE127">
        <v>1</v>
      </c>
      <c r="AF127" s="103">
        <v>0.35</v>
      </c>
      <c r="AG127">
        <v>0</v>
      </c>
      <c r="AH127">
        <v>0</v>
      </c>
      <c r="AI127" s="31"/>
      <c r="AJ127" s="31">
        <v>0</v>
      </c>
      <c r="AK127" s="1" t="str">
        <f>VLOOKUP(AC:AC,'9店'!$B:$B,1,0)</f>
        <v>Y9007-6PC</v>
      </c>
      <c r="AZ127" s="47" t="s">
        <v>3276</v>
      </c>
      <c r="BA127" s="48">
        <v>34.757</v>
      </c>
      <c r="BB127" s="1" t="s">
        <v>430</v>
      </c>
    </row>
    <row r="128" spans="11:54">
      <c r="K128" t="s">
        <v>3223</v>
      </c>
      <c r="L128">
        <v>81</v>
      </c>
      <c r="M128">
        <v>0</v>
      </c>
      <c r="N128" s="103">
        <v>0</v>
      </c>
      <c r="O128" s="103">
        <v>0</v>
      </c>
      <c r="P128" s="103">
        <v>0</v>
      </c>
      <c r="Q128" s="31"/>
      <c r="R128" s="31"/>
      <c r="S128" s="1" t="str">
        <f>VLOOKUP(K:K,'9店'!$B:$B,1,0)</f>
        <v>Y9007-30PC</v>
      </c>
      <c r="T128" t="s">
        <v>3229</v>
      </c>
      <c r="U128">
        <v>3417</v>
      </c>
      <c r="V128">
        <v>8</v>
      </c>
      <c r="W128" s="103">
        <v>9.57</v>
      </c>
      <c r="X128" s="103">
        <v>62.97</v>
      </c>
      <c r="Y128">
        <v>3</v>
      </c>
      <c r="Z128" s="31">
        <v>0.151977131967604</v>
      </c>
      <c r="AA128" s="31">
        <v>6.57993730407523</v>
      </c>
      <c r="AB128" s="1" t="str">
        <f>VLOOKUP(T:T,'9店'!$B:$B,1,0)</f>
        <v>Y9008</v>
      </c>
      <c r="AC128" t="s">
        <v>3229</v>
      </c>
      <c r="AD128">
        <v>4812</v>
      </c>
      <c r="AE128">
        <v>12</v>
      </c>
      <c r="AF128" s="103">
        <v>15.49</v>
      </c>
      <c r="AG128">
        <v>62.97</v>
      </c>
      <c r="AH128">
        <v>3</v>
      </c>
      <c r="AI128" s="31">
        <v>0.245990154041607</v>
      </c>
      <c r="AJ128" s="31">
        <v>4.06520335700452</v>
      </c>
      <c r="AK128" s="1" t="str">
        <f>VLOOKUP(AC:AC,'9店'!$B:$B,1,0)</f>
        <v>Y9008</v>
      </c>
      <c r="AZ128" s="104" t="s">
        <v>3279</v>
      </c>
      <c r="BA128" s="104">
        <v>50.712</v>
      </c>
      <c r="BB128" s="1" t="s">
        <v>430</v>
      </c>
    </row>
    <row r="129" spans="11:54">
      <c r="K129" t="s">
        <v>3220</v>
      </c>
      <c r="L129">
        <v>23</v>
      </c>
      <c r="M129">
        <v>0</v>
      </c>
      <c r="N129" s="103">
        <v>0</v>
      </c>
      <c r="O129" s="103">
        <v>0</v>
      </c>
      <c r="P129" s="103">
        <v>0</v>
      </c>
      <c r="Q129" s="31"/>
      <c r="R129" s="31"/>
      <c r="S129" s="1" t="str">
        <f>VLOOKUP(K:K,'9店'!$B:$B,1,0)</f>
        <v>Y9007-24PC</v>
      </c>
      <c r="T129" t="s">
        <v>3223</v>
      </c>
      <c r="U129">
        <v>290</v>
      </c>
      <c r="V129">
        <v>0</v>
      </c>
      <c r="W129" s="103">
        <v>0</v>
      </c>
      <c r="X129" s="103">
        <v>0</v>
      </c>
      <c r="Y129">
        <v>0</v>
      </c>
      <c r="Z129" s="31"/>
      <c r="AA129" s="31"/>
      <c r="AB129" s="1" t="str">
        <f>VLOOKUP(T:T,'9店'!$B:$B,1,0)</f>
        <v>Y9007-30PC</v>
      </c>
      <c r="AC129" t="s">
        <v>3223</v>
      </c>
      <c r="AD129">
        <v>658</v>
      </c>
      <c r="AE129">
        <v>1</v>
      </c>
      <c r="AF129" s="103">
        <v>0.41</v>
      </c>
      <c r="AG129">
        <v>0</v>
      </c>
      <c r="AH129">
        <v>0</v>
      </c>
      <c r="AI129" s="31"/>
      <c r="AJ129" s="31">
        <v>0</v>
      </c>
      <c r="AK129" s="1" t="str">
        <f>VLOOKUP(AC:AC,'9店'!$B:$B,1,0)</f>
        <v>Y9007-30PC</v>
      </c>
      <c r="AZ129" s="104" t="s">
        <v>3282</v>
      </c>
      <c r="BA129" s="104">
        <v>50.712</v>
      </c>
      <c r="BB129" s="1" t="s">
        <v>430</v>
      </c>
    </row>
    <row r="130" spans="11:54">
      <c r="K130" t="s">
        <v>439</v>
      </c>
      <c r="L130">
        <v>17660</v>
      </c>
      <c r="M130">
        <v>70</v>
      </c>
      <c r="N130" s="103">
        <v>46.80464</v>
      </c>
      <c r="O130" s="103">
        <v>89.95</v>
      </c>
      <c r="P130" s="103">
        <v>5</v>
      </c>
      <c r="Q130" s="31">
        <v>0.509727626459144</v>
      </c>
      <c r="R130" s="31">
        <v>18.4878963651177</v>
      </c>
      <c r="S130" s="1" t="e">
        <f>VLOOKUP(K:K,'9店'!$B:$B,1,0)</f>
        <v>#N/A</v>
      </c>
      <c r="T130" t="s">
        <v>3220</v>
      </c>
      <c r="U130">
        <v>61</v>
      </c>
      <c r="V130">
        <v>0</v>
      </c>
      <c r="W130" s="103">
        <v>0</v>
      </c>
      <c r="X130" s="103">
        <v>0</v>
      </c>
      <c r="Y130">
        <v>0</v>
      </c>
      <c r="Z130" s="31"/>
      <c r="AA130" s="31"/>
      <c r="AB130" s="1" t="str">
        <f>VLOOKUP(T:T,'9店'!$B:$B,1,0)</f>
        <v>Y9007-24PC</v>
      </c>
      <c r="AC130" t="s">
        <v>3220</v>
      </c>
      <c r="AD130">
        <v>141</v>
      </c>
      <c r="AE130">
        <v>0</v>
      </c>
      <c r="AF130" s="103">
        <v>0</v>
      </c>
      <c r="AG130">
        <v>0</v>
      </c>
      <c r="AH130">
        <v>0</v>
      </c>
      <c r="AI130" s="31"/>
      <c r="AJ130" s="31"/>
      <c r="AK130" s="1" t="str">
        <f>VLOOKUP(AC:AC,'9店'!$B:$B,1,0)</f>
        <v>Y9007-24PC</v>
      </c>
      <c r="AZ130" s="104" t="s">
        <v>3285</v>
      </c>
      <c r="BA130" s="104">
        <v>50.712</v>
      </c>
      <c r="BB130" s="1" t="s">
        <v>430</v>
      </c>
    </row>
    <row r="131" spans="11:54">
      <c r="K131"/>
      <c r="L131"/>
      <c r="M131"/>
      <c r="N131"/>
      <c r="O131"/>
      <c r="P131"/>
      <c r="Q131"/>
      <c r="R131"/>
      <c r="T131" t="s">
        <v>439</v>
      </c>
      <c r="U131">
        <v>52656</v>
      </c>
      <c r="V131">
        <v>213</v>
      </c>
      <c r="W131" s="103">
        <v>153.80623</v>
      </c>
      <c r="X131" s="103">
        <v>785.86</v>
      </c>
      <c r="Y131">
        <v>23</v>
      </c>
      <c r="Z131" s="31">
        <v>1.14722305955855</v>
      </c>
      <c r="AA131" s="31">
        <v>33.5957506295889</v>
      </c>
      <c r="AC131" t="s">
        <v>439</v>
      </c>
      <c r="AD131">
        <v>113159</v>
      </c>
      <c r="AE131">
        <v>452</v>
      </c>
      <c r="AF131" s="103">
        <v>315.62909</v>
      </c>
      <c r="AG131">
        <v>993.98</v>
      </c>
      <c r="AH131">
        <v>31</v>
      </c>
      <c r="AI131" s="31">
        <v>2.89733127048582</v>
      </c>
      <c r="AJ131" s="31">
        <v>30.5824711773231</v>
      </c>
      <c r="AZ131" s="104" t="s">
        <v>3288</v>
      </c>
      <c r="BA131" s="104">
        <v>50.712</v>
      </c>
      <c r="BB131" s="1" t="s">
        <v>430</v>
      </c>
    </row>
    <row r="132" spans="52:54">
      <c r="AZ132" s="104" t="s">
        <v>3291</v>
      </c>
      <c r="BA132" s="104">
        <v>50.712</v>
      </c>
      <c r="BB132" s="1" t="s">
        <v>430</v>
      </c>
    </row>
    <row r="133" spans="52:54">
      <c r="AZ133" s="104" t="s">
        <v>3294</v>
      </c>
      <c r="BA133" s="104">
        <v>50.712</v>
      </c>
      <c r="BB133" s="1" t="s">
        <v>430</v>
      </c>
    </row>
    <row r="134" spans="52:54">
      <c r="AZ134" s="104" t="s">
        <v>3297</v>
      </c>
      <c r="BA134" s="104">
        <v>122.295</v>
      </c>
      <c r="BB134" s="1" t="s">
        <v>430</v>
      </c>
    </row>
    <row r="135" spans="52:54">
      <c r="AZ135" s="104" t="s">
        <v>3300</v>
      </c>
      <c r="BA135" s="104">
        <v>133.607</v>
      </c>
      <c r="BB135" s="1" t="s">
        <v>430</v>
      </c>
    </row>
    <row r="136" spans="52:54">
      <c r="AZ136" s="104" t="s">
        <v>3303</v>
      </c>
      <c r="BA136" s="104">
        <v>68.267</v>
      </c>
      <c r="BB136" s="1" t="s">
        <v>430</v>
      </c>
    </row>
    <row r="137" spans="52:54">
      <c r="AZ137" s="104" t="s">
        <v>3306</v>
      </c>
      <c r="BA137" s="104">
        <v>93.623</v>
      </c>
      <c r="BB137" s="1" t="s">
        <v>430</v>
      </c>
    </row>
    <row r="138" spans="52:54">
      <c r="AZ138" s="104" t="s">
        <v>3309</v>
      </c>
      <c r="BA138" s="104">
        <v>93.623</v>
      </c>
      <c r="BB138" s="1" t="s">
        <v>430</v>
      </c>
    </row>
    <row r="139" spans="52:54">
      <c r="AZ139" s="104" t="s">
        <v>3312</v>
      </c>
      <c r="BA139" s="104">
        <v>41.545</v>
      </c>
      <c r="BB139" s="1" t="s">
        <v>430</v>
      </c>
    </row>
    <row r="140" spans="52:54">
      <c r="AZ140" s="104" t="s">
        <v>3315</v>
      </c>
      <c r="BA140" s="104">
        <v>41.545</v>
      </c>
      <c r="BB140" s="1" t="s">
        <v>430</v>
      </c>
    </row>
    <row r="141" spans="52:54">
      <c r="AZ141" s="104" t="s">
        <v>3318</v>
      </c>
      <c r="BA141" s="104">
        <v>79.189</v>
      </c>
      <c r="BB141" s="1" t="s">
        <v>430</v>
      </c>
    </row>
    <row r="142" spans="52:54">
      <c r="AZ142" s="104" t="s">
        <v>3321</v>
      </c>
      <c r="BA142" s="104">
        <v>79.189</v>
      </c>
      <c r="BB142" s="1" t="s">
        <v>430</v>
      </c>
    </row>
    <row r="143" spans="52:54">
      <c r="AZ143" s="104" t="s">
        <v>3324</v>
      </c>
      <c r="BA143" s="104">
        <v>112.347</v>
      </c>
      <c r="BB143" s="1" t="s">
        <v>430</v>
      </c>
    </row>
    <row r="144" spans="52:54">
      <c r="AZ144" s="104" t="s">
        <v>3327</v>
      </c>
      <c r="BA144" s="104">
        <v>112.347</v>
      </c>
      <c r="BB144" s="1" t="s">
        <v>430</v>
      </c>
    </row>
    <row r="145" spans="52:54">
      <c r="AZ145" s="104" t="s">
        <v>3330</v>
      </c>
      <c r="BA145" s="104">
        <v>14.223</v>
      </c>
      <c r="BB145" s="1" t="s">
        <v>430</v>
      </c>
    </row>
    <row r="146" spans="52:54">
      <c r="AZ146" s="104" t="s">
        <v>3333</v>
      </c>
      <c r="BA146" s="104">
        <v>14.223</v>
      </c>
      <c r="BB146" s="1" t="s">
        <v>430</v>
      </c>
    </row>
    <row r="147" spans="52:54">
      <c r="AZ147" s="105" t="s">
        <v>3114</v>
      </c>
      <c r="BA147" s="30">
        <v>2.034</v>
      </c>
      <c r="BB147" s="1" t="s">
        <v>430</v>
      </c>
    </row>
    <row r="148" spans="52:54">
      <c r="AZ148" s="105" t="s">
        <v>3138</v>
      </c>
      <c r="BA148" s="30">
        <v>6.498</v>
      </c>
      <c r="BB148" s="1" t="s">
        <v>430</v>
      </c>
    </row>
    <row r="149" spans="52:54">
      <c r="AZ149" s="105" t="s">
        <v>3207</v>
      </c>
      <c r="BA149" s="30">
        <v>6.76</v>
      </c>
      <c r="BB149" s="1" t="s">
        <v>430</v>
      </c>
    </row>
    <row r="150" spans="52:54">
      <c r="AZ150" s="105" t="s">
        <v>3232</v>
      </c>
      <c r="BA150" s="30">
        <v>21.75</v>
      </c>
      <c r="BB150" s="1" t="s">
        <v>430</v>
      </c>
    </row>
    <row r="151" spans="52:54">
      <c r="AZ151" s="105" t="s">
        <v>3234</v>
      </c>
      <c r="BA151" s="30">
        <v>21.75</v>
      </c>
      <c r="BB151" s="1" t="s">
        <v>430</v>
      </c>
    </row>
    <row r="152" spans="52:54">
      <c r="AZ152" s="105" t="s">
        <v>3365</v>
      </c>
      <c r="BA152" s="30">
        <v>21.75</v>
      </c>
      <c r="BB152" s="1" t="s">
        <v>430</v>
      </c>
    </row>
    <row r="153" spans="52:54">
      <c r="AZ153" s="105" t="s">
        <v>3236</v>
      </c>
      <c r="BA153" s="30">
        <v>21.75</v>
      </c>
      <c r="BB153" s="1" t="s">
        <v>430</v>
      </c>
    </row>
    <row r="154" spans="52:54">
      <c r="AZ154" s="105" t="s">
        <v>3241</v>
      </c>
      <c r="BA154" s="30">
        <v>25.266</v>
      </c>
      <c r="BB154" s="1" t="s">
        <v>430</v>
      </c>
    </row>
  </sheetData>
  <autoFilter ref="B1:BC154">
    <extLst/>
  </autoFilter>
  <conditionalFormatting sqref="AT3">
    <cfRule type="duplicateValues" dxfId="984" priority="1"/>
  </conditionalFormatting>
  <conditionalFormatting sqref="AW3">
    <cfRule type="duplicateValues" dxfId="984" priority="2"/>
  </conditionalFormatting>
  <conditionalFormatting sqref="AZ52:AZ53">
    <cfRule type="duplicateValues" dxfId="984" priority="75"/>
  </conditionalFormatting>
  <pageMargins left="0.75" right="0.75" top="1" bottom="1" header="0.5" footer="0.5"/>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N39"/>
  <sheetViews>
    <sheetView workbookViewId="0">
      <pane ySplit="3" topLeftCell="A4" activePane="bottomLeft" state="frozen"/>
      <selection/>
      <selection pane="bottomLeft" activeCell="W103" sqref="W103"/>
    </sheetView>
  </sheetViews>
  <sheetFormatPr defaultColWidth="9" defaultRowHeight="21" customHeight="1"/>
  <cols>
    <col min="1" max="1" width="4.85321100917431" customWidth="1"/>
    <col min="2" max="2" width="13.4495412844037" customWidth="1"/>
    <col min="3" max="3" width="15.4495412844037" customWidth="1"/>
    <col min="4" max="4" width="11.6146788990826" style="50"/>
    <col min="5" max="5" width="11.5045871559633" customWidth="1"/>
    <col min="6" max="10" width="9" hidden="1" customWidth="1"/>
    <col min="12" max="12" width="8.44036697247706" customWidth="1"/>
    <col min="13" max="13" width="11.9633027522936" customWidth="1"/>
    <col min="16" max="16" width="8.55963302752294" customWidth="1"/>
    <col min="17" max="17" width="8.22018348623853" customWidth="1"/>
    <col min="18" max="18" width="9" customWidth="1"/>
    <col min="21" max="21" width="9" customWidth="1"/>
    <col min="22" max="22" width="9.22018348623853" customWidth="1"/>
    <col min="23" max="23" width="12.3302752293578" customWidth="1"/>
    <col min="24" max="24" width="12.8807339449541" customWidth="1"/>
    <col min="25" max="25" width="9.3302752293578"/>
    <col min="26" max="27" width="10.4495412844037"/>
    <col min="29" max="29" width="9" customWidth="1"/>
    <col min="30" max="30" width="11.4403669724771" customWidth="1"/>
    <col min="31" max="32" width="9.4954128440367"/>
    <col min="35" max="36" width="10.4954128440367"/>
    <col min="37" max="37" width="12.3761467889908" customWidth="1"/>
    <col min="38" max="38" width="11.6880733944954"/>
    <col min="39" max="39" width="10.4954128440367"/>
  </cols>
  <sheetData>
    <row r="1" s="1" customFormat="1" ht="152" customHeight="1" spans="2:37">
      <c r="B1" s="35">
        <f>COUNTA(B4:B1046173)</f>
        <v>36</v>
      </c>
      <c r="C1" s="51" t="s">
        <v>0</v>
      </c>
      <c r="D1" s="52"/>
      <c r="K1" s="35">
        <f>SUM(K4:K1046446)</f>
        <v>953</v>
      </c>
      <c r="M1" s="36"/>
      <c r="N1" s="36"/>
      <c r="O1" s="36"/>
      <c r="P1" s="36"/>
      <c r="Q1" s="36"/>
      <c r="R1" s="36"/>
      <c r="T1" s="66" t="s">
        <v>1</v>
      </c>
      <c r="W1" s="67" t="s">
        <v>2</v>
      </c>
      <c r="X1" s="68" t="s">
        <v>3</v>
      </c>
      <c r="Y1" s="84" t="s">
        <v>4</v>
      </c>
      <c r="Z1" s="85"/>
      <c r="AA1" s="85"/>
      <c r="AB1" s="85"/>
      <c r="AC1" s="85"/>
      <c r="AD1" s="86"/>
      <c r="AE1" s="85"/>
      <c r="AF1" s="85"/>
      <c r="AG1" s="93" t="s">
        <v>587</v>
      </c>
      <c r="AH1" s="93"/>
      <c r="AI1" s="94" t="s">
        <v>6</v>
      </c>
      <c r="AJ1" s="94" t="s">
        <v>7</v>
      </c>
      <c r="AK1" s="95" t="s">
        <v>8</v>
      </c>
    </row>
    <row r="2" s="1" customFormat="1" ht="51.6" spans="1:40">
      <c r="A2" s="37" t="s">
        <v>9</v>
      </c>
      <c r="B2" s="37" t="s">
        <v>10</v>
      </c>
      <c r="C2" s="37" t="s">
        <v>11</v>
      </c>
      <c r="D2" s="53" t="s">
        <v>12</v>
      </c>
      <c r="E2" s="37" t="s">
        <v>13</v>
      </c>
      <c r="F2" s="37" t="s">
        <v>14</v>
      </c>
      <c r="G2" s="37" t="s">
        <v>15</v>
      </c>
      <c r="H2" s="37" t="s">
        <v>16</v>
      </c>
      <c r="I2" s="37" t="s">
        <v>17</v>
      </c>
      <c r="J2" s="37" t="s">
        <v>18</v>
      </c>
      <c r="K2" s="60" t="s">
        <v>19</v>
      </c>
      <c r="L2" s="37" t="s">
        <v>20</v>
      </c>
      <c r="M2" s="38" t="s">
        <v>21</v>
      </c>
      <c r="N2" s="61" t="s">
        <v>22</v>
      </c>
      <c r="O2" s="62" t="s">
        <v>23</v>
      </c>
      <c r="P2" s="62" t="s">
        <v>24</v>
      </c>
      <c r="Q2" s="69" t="s">
        <v>25</v>
      </c>
      <c r="R2" s="69" t="s">
        <v>26</v>
      </c>
      <c r="S2" s="70" t="s">
        <v>27</v>
      </c>
      <c r="T2" s="38" t="s">
        <v>28</v>
      </c>
      <c r="U2" s="71" t="s">
        <v>29</v>
      </c>
      <c r="V2" s="72" t="s">
        <v>30</v>
      </c>
      <c r="W2" s="73" t="s">
        <v>458</v>
      </c>
      <c r="X2" s="74" t="s">
        <v>32</v>
      </c>
      <c r="Y2" s="38" t="s">
        <v>33</v>
      </c>
      <c r="Z2" s="38" t="s">
        <v>34</v>
      </c>
      <c r="AA2" s="38" t="s">
        <v>35</v>
      </c>
      <c r="AB2" s="87" t="s">
        <v>36</v>
      </c>
      <c r="AC2" s="88" t="s">
        <v>37</v>
      </c>
      <c r="AD2" s="88" t="s">
        <v>38</v>
      </c>
      <c r="AE2" s="38" t="s">
        <v>39</v>
      </c>
      <c r="AF2" s="38" t="s">
        <v>40</v>
      </c>
      <c r="AG2" s="96" t="s">
        <v>41</v>
      </c>
      <c r="AH2" s="96" t="s">
        <v>42</v>
      </c>
      <c r="AI2" s="97" t="s">
        <v>43</v>
      </c>
      <c r="AJ2" s="97" t="s">
        <v>44</v>
      </c>
      <c r="AK2" s="38" t="s">
        <v>45</v>
      </c>
      <c r="AL2" s="38" t="s">
        <v>46</v>
      </c>
      <c r="AM2" s="24">
        <v>45200</v>
      </c>
      <c r="AN2" s="24" t="s">
        <v>47</v>
      </c>
    </row>
    <row r="3" s="49" customFormat="1" ht="20" customHeight="1" spans="2:38">
      <c r="B3" s="40" t="s">
        <v>48</v>
      </c>
      <c r="C3" s="54"/>
      <c r="D3" s="55"/>
      <c r="E3" s="56"/>
      <c r="F3" s="57"/>
      <c r="G3" s="57"/>
      <c r="H3" s="57"/>
      <c r="I3" s="57"/>
      <c r="J3" s="57"/>
      <c r="K3" s="57">
        <f t="shared" ref="K3:R3" si="0">SUM(K4:K1046403)</f>
        <v>953</v>
      </c>
      <c r="L3" s="41"/>
      <c r="M3" s="41">
        <f t="shared" si="0"/>
        <v>64172.3</v>
      </c>
      <c r="N3" s="57">
        <f t="shared" si="0"/>
        <v>11</v>
      </c>
      <c r="O3" s="57">
        <f t="shared" si="0"/>
        <v>16</v>
      </c>
      <c r="P3" s="57">
        <f t="shared" si="0"/>
        <v>16</v>
      </c>
      <c r="Q3" s="57">
        <f t="shared" si="0"/>
        <v>5</v>
      </c>
      <c r="R3" s="57">
        <f t="shared" si="0"/>
        <v>6</v>
      </c>
      <c r="S3" s="75"/>
      <c r="T3" s="76"/>
      <c r="U3" s="77"/>
      <c r="V3" s="78"/>
      <c r="W3" s="76"/>
      <c r="X3" s="76"/>
      <c r="Y3" s="41">
        <f>SUM(Y4:Y1046403)</f>
        <v>47.72</v>
      </c>
      <c r="Z3" s="41">
        <f>SUM(Z4:Z1046403)</f>
        <v>67.6</v>
      </c>
      <c r="AA3" s="41">
        <f>SUM(AA4:AA1046403)</f>
        <v>72.48</v>
      </c>
      <c r="AB3" s="89"/>
      <c r="AC3" s="89"/>
      <c r="AD3" s="90"/>
      <c r="AE3" s="89"/>
      <c r="AF3" s="89"/>
      <c r="AG3" s="89"/>
      <c r="AH3" s="98"/>
      <c r="AI3" s="98"/>
      <c r="AJ3" s="89"/>
      <c r="AK3" s="41">
        <f>SUM(AK4:AK1045189)</f>
        <v>161.8</v>
      </c>
      <c r="AL3" s="41">
        <f>SUM(AL4:AL1046403)</f>
        <v>231.3</v>
      </c>
    </row>
    <row r="4" customHeight="1" spans="1:40">
      <c r="A4" s="58" t="s">
        <v>3379</v>
      </c>
      <c r="B4" s="43" t="s">
        <v>3380</v>
      </c>
      <c r="C4" s="43" t="s">
        <v>3239</v>
      </c>
      <c r="D4" s="59">
        <v>45219</v>
      </c>
      <c r="E4" s="43" t="s">
        <v>3381</v>
      </c>
      <c r="F4" s="43">
        <v>13</v>
      </c>
      <c r="G4" s="43">
        <v>0</v>
      </c>
      <c r="H4" s="43">
        <v>0</v>
      </c>
      <c r="I4" s="43">
        <v>0</v>
      </c>
      <c r="J4" s="43">
        <v>17</v>
      </c>
      <c r="K4" s="63">
        <f t="shared" ref="K4:K46" si="1">F4+G4+H4+I4+J4</f>
        <v>30</v>
      </c>
      <c r="L4" s="64">
        <v>41</v>
      </c>
      <c r="M4" s="44">
        <f>K4*L4</f>
        <v>1230</v>
      </c>
      <c r="N4" s="65">
        <f>IFERROR(VLOOKUP(B:B,'10店辅助表'!B:C,2,FALSE),0)</f>
        <v>0</v>
      </c>
      <c r="O4" s="65">
        <f>IFERROR(VLOOKUP(B:B,'10店辅助表'!E:F,2,FALSE),0)</f>
        <v>0</v>
      </c>
      <c r="P4" s="65">
        <f>IFERROR(VLOOKUP(B:B,'10店辅助表'!H:I,2,FALSE),0)</f>
        <v>0</v>
      </c>
      <c r="Q4" s="65">
        <f>IFERROR(VLOOKUP(B:B,'[1]10店'!$B:$N,13,FALSE),0)</f>
        <v>0</v>
      </c>
      <c r="R4" s="79">
        <f t="shared" ref="R4:R18" si="2">N4-Q4</f>
        <v>0</v>
      </c>
      <c r="S4" s="80" t="str">
        <f>IFERROR(K4/((N4/7+O4/15+P4/30)/3),"-")</f>
        <v>-</v>
      </c>
      <c r="T4" s="44" t="str">
        <f>IFERROR(S4/30,"-")</f>
        <v>-</v>
      </c>
      <c r="U4" s="44" t="str">
        <f>IFERROR(VLOOKUP(B:B,'[1]10店'!$B:$T,19,0),"-")</f>
        <v>-</v>
      </c>
      <c r="V4" s="81" t="str">
        <f t="shared" ref="V4:V18" si="3">IFERROR(T4-U4,"-")</f>
        <v>-</v>
      </c>
      <c r="W4" s="82" t="str">
        <f>_xlfn.IFS(AND(D4&lt;&gt;0,D4-$AM$2&gt;=0,B4&gt;0,D4&lt;&gt;0),"本月刚到货",AND(IFERROR((K4/(N4/7))/30,"-")="-",K4&gt;0),"有库存无销量",AND(IFERROR((K4/(N4/7))/30,"-")="-",K4=0),"无库存无销量",AND(IFERROR((K4/(N4/7))/30,"-")&lt;=0.5,K4=0),"无库存有销量",IFERROR((K4/(N4/7))/30,"-")&lt;=0.5,"库存过低",IFERROR((K4/(N4/7))/30,"-")&lt;=1.5,"正常",IFERROR((K4/(N4/7))/30,"-")&gt;1.5,"库存过高")</f>
        <v>本月刚到货</v>
      </c>
      <c r="X4" s="83" t="str">
        <f>_xlfn.IFS(AND(D4&lt;&gt;0,D4-$AM$2&gt;=0,K4&gt;0,D4&lt;&gt;0),"本月刚到货",AND(T4="-",K4&gt;0),"有库存无销量",AND(T4="-",K4=0),"无库存无销量",AND(T4&lt;=0.5,K4=0),"无库存有销量",T4&lt;=0.5,"库存过低",T4&lt;=1.5,"正常",T4&gt;1.5,"库存过高")</f>
        <v>本月刚到货</v>
      </c>
      <c r="Y4" s="44">
        <f>IFERROR(SUMIF('10店辅助表'!K:K,B:B,'10店辅助表'!N:N),0)</f>
        <v>0</v>
      </c>
      <c r="Z4" s="44">
        <f>IFERROR(SUMIF('10店辅助表'!T:T,B:B,'10店辅助表'!W:W),0)</f>
        <v>0</v>
      </c>
      <c r="AA4" s="44">
        <f>IFERROR(SUMIF('10店辅助表'!AC:AC,B:B,'10店辅助表'!AF:AF),0)</f>
        <v>0</v>
      </c>
      <c r="AB4" s="91" t="str">
        <f>IFERROR(SUMIF('10店辅助表'!K:K,B:B,'10店辅助表'!N:N)/SUMIF('10店辅助表'!K:K,B:B,'10店辅助表'!O:O),"-")</f>
        <v>-</v>
      </c>
      <c r="AC4" s="91" t="str">
        <f>IFERROR(VLOOKUP(B:B,'[1]10店'!$B:$AB,27,FALSE),"-")</f>
        <v>-</v>
      </c>
      <c r="AD4" s="92" t="str">
        <f>IFERROR(AB4-AC4,"-")</f>
        <v>-</v>
      </c>
      <c r="AE4" s="91" t="str">
        <f>IFERROR(SUMIF('10店辅助表'!T:T,B:B,'10店辅助表'!W:W)/SUMIF('10店辅助表'!T:T,B:B,'10店辅助表'!X:X),"-")</f>
        <v>-</v>
      </c>
      <c r="AF4" s="91" t="str">
        <f>IFERROR(SUMIF('10店辅助表'!AC:AC,B:B,'10店辅助表'!AF:AF)/SUMIF('10店辅助表'!AC:AC,B:B,'10店辅助表'!AG:AG),"-")</f>
        <v>-</v>
      </c>
      <c r="AG4" s="99">
        <f>IFERROR(AK4/((SUMIF('10店辅助表'!AT:AT,B:B,'10店辅助表'!AU:AU)+M4)/2),"-")</f>
        <v>0</v>
      </c>
      <c r="AH4" s="99">
        <f>IFERROR(AL4/((SUMIF('10店辅助表'!AW:AW,B:B,'10店辅助表'!AX:AX)+M4)/2),"-")</f>
        <v>0</v>
      </c>
      <c r="AI4" s="100" t="str">
        <f>IFERROR((SUMIF('10店辅助表'!AP:AP,B:B,'10店辅助表'!AR:AR)-SUMIF('10店辅助表'!AP:AP,B:B,'10店辅助表'!AR:AR)*0.15-(L4+IFERROR(VLOOKUP(B:B,'10店辅助表'!AZ:BA,2,0),0))*O4-IF(AN:AN="US",6.85,4.9)*(Z4+7.81*O4))/SUMIF('10店辅助表'!AP:AP,B:B,'10店辅助表'!AR:AR),"-")</f>
        <v>-</v>
      </c>
      <c r="AJ4" s="100" t="str">
        <f t="shared" ref="AJ4:AJ18" si="4">IFERROR(AH4*AI4,"-")</f>
        <v>-</v>
      </c>
      <c r="AK4" s="101">
        <f t="shared" ref="AK4:AK46" si="5">N4*$L4</f>
        <v>0</v>
      </c>
      <c r="AL4" s="101">
        <f t="shared" ref="AL4:AL46" si="6">O4*$L4</f>
        <v>0</v>
      </c>
      <c r="AM4" s="1" t="str">
        <f>VLOOKUP(B:B,'10店辅助表'!AZ:AZ,1,FALSE)</f>
        <v>Y10009-KH</v>
      </c>
      <c r="AN4" t="str">
        <f>VLOOKUP(B:B,'10店辅助表'!AZ:BB,3,FALSE)</f>
        <v>us</v>
      </c>
    </row>
    <row r="5" customHeight="1" spans="1:40">
      <c r="A5" s="58" t="s">
        <v>3379</v>
      </c>
      <c r="B5" s="43" t="s">
        <v>3382</v>
      </c>
      <c r="C5" s="43" t="s">
        <v>3242</v>
      </c>
      <c r="D5" s="59">
        <v>45219</v>
      </c>
      <c r="E5" s="43" t="s">
        <v>3383</v>
      </c>
      <c r="F5" s="43">
        <v>23</v>
      </c>
      <c r="G5" s="43">
        <v>0</v>
      </c>
      <c r="H5" s="43">
        <v>0</v>
      </c>
      <c r="I5" s="43">
        <v>0</v>
      </c>
      <c r="J5" s="43">
        <v>6</v>
      </c>
      <c r="K5" s="63">
        <f t="shared" si="1"/>
        <v>29</v>
      </c>
      <c r="L5" s="64">
        <v>41</v>
      </c>
      <c r="M5" s="44">
        <f t="shared" ref="M5:M39" si="7">K5*L5</f>
        <v>1189</v>
      </c>
      <c r="N5" s="65">
        <f>IFERROR(VLOOKUP(B:B,'10店辅助表'!B:C,2,FALSE),0)</f>
        <v>0</v>
      </c>
      <c r="O5" s="65">
        <f>IFERROR(VLOOKUP(B:B,'10店辅助表'!E:F,2,FALSE),0)</f>
        <v>0</v>
      </c>
      <c r="P5" s="65">
        <f>IFERROR(VLOOKUP(B:B,'10店辅助表'!H:I,2,FALSE),0)</f>
        <v>0</v>
      </c>
      <c r="Q5" s="65">
        <f>IFERROR(VLOOKUP(B:B,'[1]10店'!$B:$N,13,FALSE),0)</f>
        <v>0</v>
      </c>
      <c r="R5" s="79">
        <f t="shared" si="2"/>
        <v>0</v>
      </c>
      <c r="S5" s="80" t="str">
        <f t="shared" ref="S4:S18" si="8">IFERROR(K5/((N5/7+O5/15+P5/30)/3),"-")</f>
        <v>-</v>
      </c>
      <c r="T5" s="44" t="str">
        <f t="shared" ref="T4:T18" si="9">IFERROR(S5/30,"-")</f>
        <v>-</v>
      </c>
      <c r="U5" s="44" t="str">
        <f>IFERROR(VLOOKUP(B:B,'[1]10店'!$B:$T,19,0),"-")</f>
        <v>-</v>
      </c>
      <c r="V5" s="81" t="str">
        <f t="shared" si="3"/>
        <v>-</v>
      </c>
      <c r="W5" s="82" t="str">
        <f>_xlfn.IFS(AND(D5&lt;&gt;0,D5-$AM$2&gt;=0,B5&gt;0,D5&lt;&gt;0),"本月刚到货",AND(IFERROR((K5/(N5/7))/30,"-")="-",K5&gt;0),"有库存无销量",AND(IFERROR((K5/(N5/7))/30,"-")="-",K5=0),"无库存无销量",AND(IFERROR((K5/(N5/7))/30,"-")&lt;=0.5,K5=0),"无库存有销量",IFERROR((K5/(N5/7))/30,"-")&lt;=0.5,"库存过低",IFERROR((K5/(N5/7))/30,"-")&lt;=1.5,"正常",IFERROR((K5/(N5/7))/30,"-")&gt;1.5,"库存过高")</f>
        <v>本月刚到货</v>
      </c>
      <c r="X5" s="83" t="str">
        <f>_xlfn.IFS(AND(D5&lt;&gt;0,D5-$AM$2&gt;=0,K5&gt;0,D5&lt;&gt;0),"本月刚到货",AND(T5="-",K5&gt;0),"有库存无销量",AND(T5="-",K5=0),"无库存无销量",AND(T5&lt;=0.5,K5=0),"无库存有销量",T5&lt;=0.5,"库存过低",T5&lt;=1.5,"正常",T5&gt;1.5,"库存过高")</f>
        <v>本月刚到货</v>
      </c>
      <c r="Y5" s="44">
        <f>IFERROR(SUMIF('10店辅助表'!K:K,B:B,'10店辅助表'!N:N),0)</f>
        <v>0</v>
      </c>
      <c r="Z5" s="44">
        <f>IFERROR(SUMIF('10店辅助表'!T:T,B:B,'10店辅助表'!W:W),0)</f>
        <v>0</v>
      </c>
      <c r="AA5" s="44">
        <f>IFERROR(SUMIF('10店辅助表'!AC:AC,B:B,'10店辅助表'!AF:AF),0)</f>
        <v>0</v>
      </c>
      <c r="AB5" s="91" t="str">
        <f>IFERROR(SUMIF('10店辅助表'!K:K,B:B,'10店辅助表'!N:N)/SUMIF('10店辅助表'!K:K,B:B,'10店辅助表'!O:O),"-")</f>
        <v>-</v>
      </c>
      <c r="AC5" s="91" t="str">
        <f>IFERROR(VLOOKUP(B:B,'[1]10店'!$B:$AB,27,FALSE),"-")</f>
        <v>-</v>
      </c>
      <c r="AD5" s="92" t="str">
        <f t="shared" ref="AD5:AD18" si="10">IFERROR(AB5-AC5,"-")</f>
        <v>-</v>
      </c>
      <c r="AE5" s="91" t="str">
        <f>IFERROR(SUMIF('10店辅助表'!T:T,B:B,'10店辅助表'!W:W)/SUMIF('10店辅助表'!T:T,B:B,'10店辅助表'!X:X),"-")</f>
        <v>-</v>
      </c>
      <c r="AF5" s="91" t="str">
        <f>IFERROR(SUMIF('10店辅助表'!AC:AC,B:B,'10店辅助表'!AF:AF)/SUMIF('10店辅助表'!AC:AC,B:B,'10店辅助表'!AG:AG),"-")</f>
        <v>-</v>
      </c>
      <c r="AG5" s="99">
        <f>IFERROR(AK5/((SUMIF('10店辅助表'!AT:AT,B:B,'10店辅助表'!AU:AU)+M5)/2),"-")</f>
        <v>0</v>
      </c>
      <c r="AH5" s="99">
        <f>IFERROR(AL5/((SUMIF('10店辅助表'!AW:AW,B:B,'10店辅助表'!AX:AX)+M5)/2),"-")</f>
        <v>0</v>
      </c>
      <c r="AI5" s="100" t="str">
        <f>IFERROR((SUMIF('10店辅助表'!AP:AP,B:B,'10店辅助表'!AR:AR)-SUMIF('10店辅助表'!AP:AP,B:B,'10店辅助表'!AR:AR)*0.15-(L5+IFERROR(VLOOKUP(B:B,'10店辅助表'!AZ:BA,2,0),0))*O5-IF(AN:AN="US",6.85,4.9)*(Z5+7.81*O5))/SUMIF('10店辅助表'!AP:AP,B:B,'10店辅助表'!AR:AR),"-")</f>
        <v>-</v>
      </c>
      <c r="AJ5" s="100" t="str">
        <f t="shared" si="4"/>
        <v>-</v>
      </c>
      <c r="AK5" s="101">
        <f t="shared" si="5"/>
        <v>0</v>
      </c>
      <c r="AL5" s="101">
        <f t="shared" si="6"/>
        <v>0</v>
      </c>
      <c r="AM5" s="1" t="str">
        <f>VLOOKUP(B:B,'10店辅助表'!AZ:AZ,1,FALSE)</f>
        <v>Y10009-PI</v>
      </c>
      <c r="AN5" t="str">
        <f>VLOOKUP(B:B,'10店辅助表'!AZ:BB,3,FALSE)</f>
        <v>us</v>
      </c>
    </row>
    <row r="6" customHeight="1" spans="1:40">
      <c r="A6" s="58" t="s">
        <v>3379</v>
      </c>
      <c r="B6" s="43" t="s">
        <v>3384</v>
      </c>
      <c r="C6" s="43" t="s">
        <v>3245</v>
      </c>
      <c r="D6" s="59">
        <v>45219</v>
      </c>
      <c r="E6" s="43" t="s">
        <v>3385</v>
      </c>
      <c r="F6" s="43">
        <v>5</v>
      </c>
      <c r="G6" s="43">
        <v>0</v>
      </c>
      <c r="H6" s="43">
        <v>0</v>
      </c>
      <c r="I6" s="43">
        <v>0</v>
      </c>
      <c r="J6" s="43">
        <v>25</v>
      </c>
      <c r="K6" s="63">
        <f t="shared" si="1"/>
        <v>30</v>
      </c>
      <c r="L6" s="64">
        <v>41</v>
      </c>
      <c r="M6" s="44">
        <f t="shared" si="7"/>
        <v>1230</v>
      </c>
      <c r="N6" s="65">
        <f>IFERROR(VLOOKUP(B:B,'10店辅助表'!B:C,2,FALSE),0)</f>
        <v>0</v>
      </c>
      <c r="O6" s="65">
        <f>IFERROR(VLOOKUP(B:B,'10店辅助表'!E:F,2,FALSE),0)</f>
        <v>0</v>
      </c>
      <c r="P6" s="65">
        <f>IFERROR(VLOOKUP(B:B,'10店辅助表'!H:I,2,FALSE),0)</f>
        <v>0</v>
      </c>
      <c r="Q6" s="65">
        <f>IFERROR(VLOOKUP(B:B,'[1]10店'!$B:$N,13,FALSE),0)</f>
        <v>0</v>
      </c>
      <c r="R6" s="79">
        <f t="shared" si="2"/>
        <v>0</v>
      </c>
      <c r="S6" s="80" t="str">
        <f t="shared" si="8"/>
        <v>-</v>
      </c>
      <c r="T6" s="44" t="str">
        <f t="shared" si="9"/>
        <v>-</v>
      </c>
      <c r="U6" s="44" t="str">
        <f>IFERROR(VLOOKUP(B:B,'[1]10店'!$B:$T,19,0),"-")</f>
        <v>-</v>
      </c>
      <c r="V6" s="81" t="str">
        <f t="shared" si="3"/>
        <v>-</v>
      </c>
      <c r="W6" s="82" t="str">
        <f>_xlfn.IFS(AND(D6&lt;&gt;0,D6-$AM$2&gt;=0,B6&gt;0,D6&lt;&gt;0),"本月刚到货",AND(IFERROR((K6/(N6/7))/30,"-")="-",K6&gt;0),"有库存无销量",AND(IFERROR((K6/(N6/7))/30,"-")="-",K6=0),"无库存无销量",AND(IFERROR((K6/(N6/7))/30,"-")&lt;=0.5,K6=0),"无库存有销量",IFERROR((K6/(N6/7))/30,"-")&lt;=0.5,"库存过低",IFERROR((K6/(N6/7))/30,"-")&lt;=1.5,"正常",IFERROR((K6/(N6/7))/30,"-")&gt;1.5,"库存过高")</f>
        <v>本月刚到货</v>
      </c>
      <c r="X6" s="83" t="str">
        <f>_xlfn.IFS(AND(D6&lt;&gt;0,D6-$AM$2&gt;=0,K6&gt;0,D6&lt;&gt;0),"本月刚到货",AND(T6="-",K6&gt;0),"有库存无销量",AND(T6="-",K6=0),"无库存无销量",AND(T6&lt;=0.5,K6=0),"无库存有销量",T6&lt;=0.5,"库存过低",T6&lt;=1.5,"正常",T6&gt;1.5,"库存过高")</f>
        <v>本月刚到货</v>
      </c>
      <c r="Y6" s="44">
        <f>IFERROR(SUMIF('10店辅助表'!K:K,B:B,'10店辅助表'!N:N),0)</f>
        <v>0</v>
      </c>
      <c r="Z6" s="44">
        <f>IFERROR(SUMIF('10店辅助表'!T:T,B:B,'10店辅助表'!W:W),0)</f>
        <v>0</v>
      </c>
      <c r="AA6" s="44">
        <f>IFERROR(SUMIF('10店辅助表'!AC:AC,B:B,'10店辅助表'!AF:AF),0)</f>
        <v>0</v>
      </c>
      <c r="AB6" s="91" t="str">
        <f>IFERROR(SUMIF('10店辅助表'!K:K,B:B,'10店辅助表'!N:N)/SUMIF('10店辅助表'!K:K,B:B,'10店辅助表'!O:O),"-")</f>
        <v>-</v>
      </c>
      <c r="AC6" s="91" t="str">
        <f>IFERROR(VLOOKUP(B:B,'[1]10店'!$B:$AB,27,FALSE),"-")</f>
        <v>-</v>
      </c>
      <c r="AD6" s="92" t="str">
        <f t="shared" si="10"/>
        <v>-</v>
      </c>
      <c r="AE6" s="91" t="str">
        <f>IFERROR(SUMIF('10店辅助表'!T:T,B:B,'10店辅助表'!W:W)/SUMIF('10店辅助表'!T:T,B:B,'10店辅助表'!X:X),"-")</f>
        <v>-</v>
      </c>
      <c r="AF6" s="91" t="str">
        <f>IFERROR(SUMIF('10店辅助表'!AC:AC,B:B,'10店辅助表'!AF:AF)/SUMIF('10店辅助表'!AC:AC,B:B,'10店辅助表'!AG:AG),"-")</f>
        <v>-</v>
      </c>
      <c r="AG6" s="99">
        <f>IFERROR(AK6/((SUMIF('10店辅助表'!AT:AT,B:B,'10店辅助表'!AU:AU)+M6)/2),"-")</f>
        <v>0</v>
      </c>
      <c r="AH6" s="99">
        <f>IFERROR(AL6/((SUMIF('10店辅助表'!AW:AW,B:B,'10店辅助表'!AX:AX)+M6)/2),"-")</f>
        <v>0</v>
      </c>
      <c r="AI6" s="100" t="str">
        <f>IFERROR((SUMIF('10店辅助表'!AP:AP,B:B,'10店辅助表'!AR:AR)-SUMIF('10店辅助表'!AP:AP,B:B,'10店辅助表'!AR:AR)*0.15-(L6+IFERROR(VLOOKUP(B:B,'10店辅助表'!AZ:BA,2,0),0))*O6-IF(AN:AN="US",6.85,4.9)*(Z6+7.81*O6))/SUMIF('10店辅助表'!AP:AP,B:B,'10店辅助表'!AR:AR),"-")</f>
        <v>-</v>
      </c>
      <c r="AJ6" s="100" t="str">
        <f t="shared" si="4"/>
        <v>-</v>
      </c>
      <c r="AK6" s="101">
        <f t="shared" si="5"/>
        <v>0</v>
      </c>
      <c r="AL6" s="101">
        <f t="shared" si="6"/>
        <v>0</v>
      </c>
      <c r="AM6" s="1" t="str">
        <f>VLOOKUP(B:B,'10店辅助表'!AZ:AZ,1,FALSE)</f>
        <v>Y10009-WH</v>
      </c>
      <c r="AN6" t="str">
        <f>VLOOKUP(B:B,'10店辅助表'!AZ:BB,3,FALSE)</f>
        <v>us</v>
      </c>
    </row>
    <row r="7" customHeight="1" spans="1:40">
      <c r="A7" s="58" t="s">
        <v>3379</v>
      </c>
      <c r="B7" s="43" t="s">
        <v>3386</v>
      </c>
      <c r="C7" s="43" t="s">
        <v>3248</v>
      </c>
      <c r="D7" s="59">
        <v>45219</v>
      </c>
      <c r="E7" s="43" t="s">
        <v>3387</v>
      </c>
      <c r="F7" s="43">
        <v>26</v>
      </c>
      <c r="G7" s="43">
        <v>0</v>
      </c>
      <c r="H7" s="43">
        <v>0</v>
      </c>
      <c r="I7" s="43">
        <v>0</v>
      </c>
      <c r="J7" s="43">
        <v>4</v>
      </c>
      <c r="K7" s="63">
        <f t="shared" si="1"/>
        <v>30</v>
      </c>
      <c r="L7" s="64">
        <v>42</v>
      </c>
      <c r="M7" s="44">
        <f t="shared" si="7"/>
        <v>1260</v>
      </c>
      <c r="N7" s="65">
        <f>IFERROR(VLOOKUP(B:B,'10店辅助表'!B:C,2,FALSE),0)</f>
        <v>0</v>
      </c>
      <c r="O7" s="65">
        <f>IFERROR(VLOOKUP(B:B,'10店辅助表'!E:F,2,FALSE),0)</f>
        <v>0</v>
      </c>
      <c r="P7" s="65">
        <f>IFERROR(VLOOKUP(B:B,'10店辅助表'!H:I,2,FALSE),0)</f>
        <v>0</v>
      </c>
      <c r="Q7" s="65">
        <f>IFERROR(VLOOKUP(B:B,'[1]10店'!$B:$N,13,FALSE),0)</f>
        <v>0</v>
      </c>
      <c r="R7" s="79">
        <f t="shared" si="2"/>
        <v>0</v>
      </c>
      <c r="S7" s="80" t="str">
        <f t="shared" si="8"/>
        <v>-</v>
      </c>
      <c r="T7" s="44" t="str">
        <f t="shared" si="9"/>
        <v>-</v>
      </c>
      <c r="U7" s="44" t="str">
        <f>IFERROR(VLOOKUP(B:B,'[1]10店'!$B:$T,19,0),"-")</f>
        <v>-</v>
      </c>
      <c r="V7" s="81" t="str">
        <f t="shared" si="3"/>
        <v>-</v>
      </c>
      <c r="W7" s="82" t="str">
        <f>_xlfn.IFS(AND(D7&lt;&gt;0,D7-$AM$2&gt;=0,B7&gt;0,D7&lt;&gt;0),"本月刚到货",AND(IFERROR((K7/(N7/7))/30,"-")="-",K7&gt;0),"有库存无销量",AND(IFERROR((K7/(N7/7))/30,"-")="-",K7=0),"无库存无销量",AND(IFERROR((K7/(N7/7))/30,"-")&lt;=0.5,K7=0),"无库存有销量",IFERROR((K7/(N7/7))/30,"-")&lt;=0.5,"库存过低",IFERROR((K7/(N7/7))/30,"-")&lt;=1.5,"正常",IFERROR((K7/(N7/7))/30,"-")&gt;1.5,"库存过高")</f>
        <v>本月刚到货</v>
      </c>
      <c r="X7" s="83" t="str">
        <f>_xlfn.IFS(AND(D7&lt;&gt;0,D7-$AM$2&gt;=0,K7&gt;0,D7&lt;&gt;0),"本月刚到货",AND(T7="-",K7&gt;0),"有库存无销量",AND(T7="-",K7=0),"无库存无销量",AND(T7&lt;=0.5,K7=0),"无库存有销量",T7&lt;=0.5,"库存过低",T7&lt;=1.5,"正常",T7&gt;1.5,"库存过高")</f>
        <v>本月刚到货</v>
      </c>
      <c r="Y7" s="44">
        <f>IFERROR(SUMIF('10店辅助表'!K:K,B:B,'10店辅助表'!N:N),0)</f>
        <v>0</v>
      </c>
      <c r="Z7" s="44">
        <f>IFERROR(SUMIF('10店辅助表'!T:T,B:B,'10店辅助表'!W:W),0)</f>
        <v>0</v>
      </c>
      <c r="AA7" s="44">
        <f>IFERROR(SUMIF('10店辅助表'!AC:AC,B:B,'10店辅助表'!AF:AF),0)</f>
        <v>0</v>
      </c>
      <c r="AB7" s="91" t="str">
        <f>IFERROR(SUMIF('10店辅助表'!K:K,B:B,'10店辅助表'!N:N)/SUMIF('10店辅助表'!K:K,B:B,'10店辅助表'!O:O),"-")</f>
        <v>-</v>
      </c>
      <c r="AC7" s="91" t="str">
        <f>IFERROR(VLOOKUP(B:B,'[1]10店'!$B:$AB,27,FALSE),"-")</f>
        <v>-</v>
      </c>
      <c r="AD7" s="92" t="str">
        <f t="shared" si="10"/>
        <v>-</v>
      </c>
      <c r="AE7" s="91" t="str">
        <f>IFERROR(SUMIF('10店辅助表'!T:T,B:B,'10店辅助表'!W:W)/SUMIF('10店辅助表'!T:T,B:B,'10店辅助表'!X:X),"-")</f>
        <v>-</v>
      </c>
      <c r="AF7" s="91" t="str">
        <f>IFERROR(SUMIF('10店辅助表'!AC:AC,B:B,'10店辅助表'!AF:AF)/SUMIF('10店辅助表'!AC:AC,B:B,'10店辅助表'!AG:AG),"-")</f>
        <v>-</v>
      </c>
      <c r="AG7" s="99">
        <f>IFERROR(AK7/((SUMIF('10店辅助表'!AT:AT,B:B,'10店辅助表'!AU:AU)+M7)/2),"-")</f>
        <v>0</v>
      </c>
      <c r="AH7" s="99">
        <f>IFERROR(AL7/((SUMIF('10店辅助表'!AW:AW,B:B,'10店辅助表'!AX:AX)+M7)/2),"-")</f>
        <v>0</v>
      </c>
      <c r="AI7" s="100" t="str">
        <f>IFERROR((SUMIF('10店辅助表'!AP:AP,B:B,'10店辅助表'!AR:AR)-SUMIF('10店辅助表'!AP:AP,B:B,'10店辅助表'!AR:AR)*0.15-(L7+IFERROR(VLOOKUP(B:B,'10店辅助表'!AZ:BA,2,0),0))*O7-IF(AN:AN="US",6.85,4.9)*(Z7+7.81*O7))/SUMIF('10店辅助表'!AP:AP,B:B,'10店辅助表'!AR:AR),"-")</f>
        <v>-</v>
      </c>
      <c r="AJ7" s="100" t="str">
        <f t="shared" si="4"/>
        <v>-</v>
      </c>
      <c r="AK7" s="101">
        <f t="shared" si="5"/>
        <v>0</v>
      </c>
      <c r="AL7" s="101">
        <f t="shared" si="6"/>
        <v>0</v>
      </c>
      <c r="AM7" s="1" t="str">
        <f>VLOOKUP(B:B,'10店辅助表'!AZ:AZ,1,FALSE)</f>
        <v>Y10010-KH</v>
      </c>
      <c r="AN7" t="str">
        <f>VLOOKUP(B:B,'10店辅助表'!AZ:BB,3,FALSE)</f>
        <v>us</v>
      </c>
    </row>
    <row r="8" customHeight="1" spans="1:40">
      <c r="A8" s="58" t="s">
        <v>3379</v>
      </c>
      <c r="B8" s="43" t="s">
        <v>3388</v>
      </c>
      <c r="C8" s="43" t="s">
        <v>3242</v>
      </c>
      <c r="D8" s="59">
        <v>45219</v>
      </c>
      <c r="E8" s="43" t="s">
        <v>3389</v>
      </c>
      <c r="F8" s="43">
        <v>29</v>
      </c>
      <c r="G8" s="43">
        <v>0</v>
      </c>
      <c r="H8" s="43">
        <v>0</v>
      </c>
      <c r="I8" s="43">
        <v>0</v>
      </c>
      <c r="J8" s="43">
        <v>0</v>
      </c>
      <c r="K8" s="63">
        <f t="shared" si="1"/>
        <v>29</v>
      </c>
      <c r="L8" s="64">
        <v>42</v>
      </c>
      <c r="M8" s="44">
        <f t="shared" si="7"/>
        <v>1218</v>
      </c>
      <c r="N8" s="65">
        <f>IFERROR(VLOOKUP(B:B,'10店辅助表'!B:C,2,FALSE),0)</f>
        <v>0</v>
      </c>
      <c r="O8" s="65">
        <f>IFERROR(VLOOKUP(B:B,'10店辅助表'!E:F,2,FALSE),0)</f>
        <v>0</v>
      </c>
      <c r="P8" s="65">
        <f>IFERROR(VLOOKUP(B:B,'10店辅助表'!H:I,2,FALSE),0)</f>
        <v>0</v>
      </c>
      <c r="Q8" s="65">
        <f>IFERROR(VLOOKUP(B:B,'[1]10店'!$B:$N,13,FALSE),0)</f>
        <v>0</v>
      </c>
      <c r="R8" s="79">
        <f t="shared" si="2"/>
        <v>0</v>
      </c>
      <c r="S8" s="80" t="str">
        <f t="shared" si="8"/>
        <v>-</v>
      </c>
      <c r="T8" s="44" t="str">
        <f t="shared" si="9"/>
        <v>-</v>
      </c>
      <c r="U8" s="44" t="str">
        <f>IFERROR(VLOOKUP(B:B,'[1]10店'!$B:$T,19,0),"-")</f>
        <v>-</v>
      </c>
      <c r="V8" s="81" t="str">
        <f t="shared" si="3"/>
        <v>-</v>
      </c>
      <c r="W8" s="82" t="str">
        <f>_xlfn.IFS(AND(D8&lt;&gt;0,D8-$AM$2&gt;=0,B8&gt;0,D8&lt;&gt;0),"本月刚到货",AND(IFERROR((K8/(N8/7))/30,"-")="-",K8&gt;0),"有库存无销量",AND(IFERROR((K8/(N8/7))/30,"-")="-",K8=0),"无库存无销量",AND(IFERROR((K8/(N8/7))/30,"-")&lt;=0.5,K8=0),"无库存有销量",IFERROR((K8/(N8/7))/30,"-")&lt;=0.5,"库存过低",IFERROR((K8/(N8/7))/30,"-")&lt;=1.5,"正常",IFERROR((K8/(N8/7))/30,"-")&gt;1.5,"库存过高")</f>
        <v>本月刚到货</v>
      </c>
      <c r="X8" s="83" t="str">
        <f>_xlfn.IFS(AND(D8&lt;&gt;0,D8-$AM$2&gt;=0,K8&gt;0,D8&lt;&gt;0),"本月刚到货",AND(T8="-",K8&gt;0),"有库存无销量",AND(T8="-",K8=0),"无库存无销量",AND(T8&lt;=0.5,K8=0),"无库存有销量",T8&lt;=0.5,"库存过低",T8&lt;=1.5,"正常",T8&gt;1.5,"库存过高")</f>
        <v>本月刚到货</v>
      </c>
      <c r="Y8" s="44">
        <f>IFERROR(SUMIF('10店辅助表'!K:K,B:B,'10店辅助表'!N:N),0)</f>
        <v>0</v>
      </c>
      <c r="Z8" s="44">
        <f>IFERROR(SUMIF('10店辅助表'!T:T,B:B,'10店辅助表'!W:W),0)</f>
        <v>0</v>
      </c>
      <c r="AA8" s="44">
        <f>IFERROR(SUMIF('10店辅助表'!AC:AC,B:B,'10店辅助表'!AF:AF),0)</f>
        <v>0</v>
      </c>
      <c r="AB8" s="91" t="str">
        <f>IFERROR(SUMIF('10店辅助表'!K:K,B:B,'10店辅助表'!N:N)/SUMIF('10店辅助表'!K:K,B:B,'10店辅助表'!O:O),"-")</f>
        <v>-</v>
      </c>
      <c r="AC8" s="91" t="str">
        <f>IFERROR(VLOOKUP(B:B,'[1]10店'!$B:$AB,27,FALSE),"-")</f>
        <v>-</v>
      </c>
      <c r="AD8" s="92" t="str">
        <f t="shared" si="10"/>
        <v>-</v>
      </c>
      <c r="AE8" s="91" t="str">
        <f>IFERROR(SUMIF('10店辅助表'!T:T,B:B,'10店辅助表'!W:W)/SUMIF('10店辅助表'!T:T,B:B,'10店辅助表'!X:X),"-")</f>
        <v>-</v>
      </c>
      <c r="AF8" s="91" t="str">
        <f>IFERROR(SUMIF('10店辅助表'!AC:AC,B:B,'10店辅助表'!AF:AF)/SUMIF('10店辅助表'!AC:AC,B:B,'10店辅助表'!AG:AG),"-")</f>
        <v>-</v>
      </c>
      <c r="AG8" s="99">
        <f>IFERROR(AK8/((SUMIF('10店辅助表'!AT:AT,B:B,'10店辅助表'!AU:AU)+M8)/2),"-")</f>
        <v>0</v>
      </c>
      <c r="AH8" s="99">
        <f>IFERROR(AL8/((SUMIF('10店辅助表'!AW:AW,B:B,'10店辅助表'!AX:AX)+M8)/2),"-")</f>
        <v>0</v>
      </c>
      <c r="AI8" s="100" t="str">
        <f>IFERROR((SUMIF('10店辅助表'!AP:AP,B:B,'10店辅助表'!AR:AR)-SUMIF('10店辅助表'!AP:AP,B:B,'10店辅助表'!AR:AR)*0.15-(L8+IFERROR(VLOOKUP(B:B,'10店辅助表'!AZ:BA,2,0),0))*O8-IF(AN:AN="US",6.85,4.9)*(Z8+7.81*O8))/SUMIF('10店辅助表'!AP:AP,B:B,'10店辅助表'!AR:AR),"-")</f>
        <v>-</v>
      </c>
      <c r="AJ8" s="100" t="str">
        <f t="shared" si="4"/>
        <v>-</v>
      </c>
      <c r="AK8" s="101">
        <f t="shared" si="5"/>
        <v>0</v>
      </c>
      <c r="AL8" s="101">
        <f t="shared" si="6"/>
        <v>0</v>
      </c>
      <c r="AM8" s="1" t="str">
        <f>VLOOKUP(B:B,'10店辅助表'!AZ:AZ,1,FALSE)</f>
        <v>Y10010-PI</v>
      </c>
      <c r="AN8" t="str">
        <f>VLOOKUP(B:B,'10店辅助表'!AZ:BB,3,FALSE)</f>
        <v>us</v>
      </c>
    </row>
    <row r="9" customHeight="1" spans="1:40">
      <c r="A9" s="58" t="s">
        <v>3379</v>
      </c>
      <c r="B9" s="43" t="s">
        <v>3390</v>
      </c>
      <c r="C9" s="43" t="s">
        <v>3253</v>
      </c>
      <c r="D9" s="59">
        <v>45219</v>
      </c>
      <c r="E9" s="43" t="s">
        <v>3391</v>
      </c>
      <c r="F9" s="43">
        <v>29</v>
      </c>
      <c r="G9" s="43">
        <v>0</v>
      </c>
      <c r="H9" s="43">
        <v>0</v>
      </c>
      <c r="I9" s="43">
        <v>0</v>
      </c>
      <c r="J9" s="43">
        <v>1</v>
      </c>
      <c r="K9" s="63">
        <f t="shared" si="1"/>
        <v>30</v>
      </c>
      <c r="L9" s="64">
        <v>42</v>
      </c>
      <c r="M9" s="44">
        <f t="shared" si="7"/>
        <v>1260</v>
      </c>
      <c r="N9" s="65">
        <f>IFERROR(VLOOKUP(B:B,'10店辅助表'!B:C,2,FALSE),0)</f>
        <v>0</v>
      </c>
      <c r="O9" s="65">
        <f>IFERROR(VLOOKUP(B:B,'10店辅助表'!E:F,2,FALSE),0)</f>
        <v>0</v>
      </c>
      <c r="P9" s="65">
        <f>IFERROR(VLOOKUP(B:B,'10店辅助表'!H:I,2,FALSE),0)</f>
        <v>0</v>
      </c>
      <c r="Q9" s="65">
        <f>IFERROR(VLOOKUP(B:B,'[1]10店'!$B:$N,13,FALSE),0)</f>
        <v>0</v>
      </c>
      <c r="R9" s="79">
        <f t="shared" si="2"/>
        <v>0</v>
      </c>
      <c r="S9" s="80" t="str">
        <f t="shared" si="8"/>
        <v>-</v>
      </c>
      <c r="T9" s="44" t="str">
        <f t="shared" si="9"/>
        <v>-</v>
      </c>
      <c r="U9" s="44" t="str">
        <f>IFERROR(VLOOKUP(B:B,'[1]10店'!$B:$T,19,0),"-")</f>
        <v>-</v>
      </c>
      <c r="V9" s="81" t="str">
        <f t="shared" si="3"/>
        <v>-</v>
      </c>
      <c r="W9" s="82" t="str">
        <f>_xlfn.IFS(AND(D9&lt;&gt;0,D9-$AM$2&gt;=0,B9&gt;0,D9&lt;&gt;0),"本月刚到货",AND(IFERROR((K9/(N9/7))/30,"-")="-",K9&gt;0),"有库存无销量",AND(IFERROR((K9/(N9/7))/30,"-")="-",K9=0),"无库存无销量",AND(IFERROR((K9/(N9/7))/30,"-")&lt;=0.5,K9=0),"无库存有销量",IFERROR((K9/(N9/7))/30,"-")&lt;=0.5,"库存过低",IFERROR((K9/(N9/7))/30,"-")&lt;=1.5,"正常",IFERROR((K9/(N9/7))/30,"-")&gt;1.5,"库存过高")</f>
        <v>本月刚到货</v>
      </c>
      <c r="X9" s="83" t="str">
        <f>_xlfn.IFS(AND(D9&lt;&gt;0,D9-$AM$2&gt;=0,K9&gt;0,D9&lt;&gt;0),"本月刚到货",AND(T9="-",K9&gt;0),"有库存无销量",AND(T9="-",K9=0),"无库存无销量",AND(T9&lt;=0.5,K9=0),"无库存有销量",T9&lt;=0.5,"库存过低",T9&lt;=1.5,"正常",T9&gt;1.5,"库存过高")</f>
        <v>本月刚到货</v>
      </c>
      <c r="Y9" s="44">
        <f>IFERROR(SUMIF('10店辅助表'!K:K,B:B,'10店辅助表'!N:N),0)</f>
        <v>0</v>
      </c>
      <c r="Z9" s="44">
        <f>IFERROR(SUMIF('10店辅助表'!T:T,B:B,'10店辅助表'!W:W),0)</f>
        <v>0</v>
      </c>
      <c r="AA9" s="44">
        <f>IFERROR(SUMIF('10店辅助表'!AC:AC,B:B,'10店辅助表'!AF:AF),0)</f>
        <v>0</v>
      </c>
      <c r="AB9" s="91" t="str">
        <f>IFERROR(SUMIF('10店辅助表'!K:K,B:B,'10店辅助表'!N:N)/SUMIF('10店辅助表'!K:K,B:B,'10店辅助表'!O:O),"-")</f>
        <v>-</v>
      </c>
      <c r="AC9" s="91" t="str">
        <f>IFERROR(VLOOKUP(B:B,'[1]10店'!$B:$AB,27,FALSE),"-")</f>
        <v>-</v>
      </c>
      <c r="AD9" s="92" t="str">
        <f t="shared" si="10"/>
        <v>-</v>
      </c>
      <c r="AE9" s="91" t="str">
        <f>IFERROR(SUMIF('10店辅助表'!T:T,B:B,'10店辅助表'!W:W)/SUMIF('10店辅助表'!T:T,B:B,'10店辅助表'!X:X),"-")</f>
        <v>-</v>
      </c>
      <c r="AF9" s="91" t="str">
        <f>IFERROR(SUMIF('10店辅助表'!AC:AC,B:B,'10店辅助表'!AF:AF)/SUMIF('10店辅助表'!AC:AC,B:B,'10店辅助表'!AG:AG),"-")</f>
        <v>-</v>
      </c>
      <c r="AG9" s="99">
        <f>IFERROR(AK9/((SUMIF('10店辅助表'!AT:AT,B:B,'10店辅助表'!AU:AU)+M9)/2),"-")</f>
        <v>0</v>
      </c>
      <c r="AH9" s="99">
        <f>IFERROR(AL9/((SUMIF('10店辅助表'!AW:AW,B:B,'10店辅助表'!AX:AX)+M9)/2),"-")</f>
        <v>0</v>
      </c>
      <c r="AI9" s="100" t="str">
        <f>IFERROR((SUMIF('10店辅助表'!AP:AP,B:B,'10店辅助表'!AR:AR)-SUMIF('10店辅助表'!AP:AP,B:B,'10店辅助表'!AR:AR)*0.15-(L9+IFERROR(VLOOKUP(B:B,'10店辅助表'!AZ:BA,2,0),0))*O9-IF(AN:AN="US",6.85,4.9)*(Z9+7.81*O9))/SUMIF('10店辅助表'!AP:AP,B:B,'10店辅助表'!AR:AR),"-")</f>
        <v>-</v>
      </c>
      <c r="AJ9" s="100" t="str">
        <f t="shared" si="4"/>
        <v>-</v>
      </c>
      <c r="AK9" s="101">
        <f t="shared" si="5"/>
        <v>0</v>
      </c>
      <c r="AL9" s="101">
        <f t="shared" si="6"/>
        <v>0</v>
      </c>
      <c r="AM9" s="1" t="str">
        <f>VLOOKUP(B:B,'10店辅助表'!AZ:AZ,1,FALSE)</f>
        <v>Y10010-WH</v>
      </c>
      <c r="AN9" t="str">
        <f>VLOOKUP(B:B,'10店辅助表'!AZ:BB,3,FALSE)</f>
        <v>us</v>
      </c>
    </row>
    <row r="10" customHeight="1" spans="1:40">
      <c r="A10" s="58" t="s">
        <v>3379</v>
      </c>
      <c r="B10" s="43" t="s">
        <v>3392</v>
      </c>
      <c r="C10" s="43" t="s">
        <v>3393</v>
      </c>
      <c r="D10" s="59">
        <v>45219</v>
      </c>
      <c r="E10" s="43" t="s">
        <v>3394</v>
      </c>
      <c r="F10" s="43">
        <v>24</v>
      </c>
      <c r="G10" s="43">
        <v>0</v>
      </c>
      <c r="H10" s="43">
        <v>0</v>
      </c>
      <c r="I10" s="43">
        <v>0</v>
      </c>
      <c r="J10" s="43">
        <v>6</v>
      </c>
      <c r="K10" s="63">
        <f t="shared" si="1"/>
        <v>30</v>
      </c>
      <c r="L10" s="64">
        <v>70</v>
      </c>
      <c r="M10" s="44">
        <f t="shared" si="7"/>
        <v>2100</v>
      </c>
      <c r="N10" s="65">
        <f>IFERROR(VLOOKUP(B:B,'10店辅助表'!B:C,2,FALSE),0)</f>
        <v>0</v>
      </c>
      <c r="O10" s="65">
        <f>IFERROR(VLOOKUP(B:B,'10店辅助表'!E:F,2,FALSE),0)</f>
        <v>0</v>
      </c>
      <c r="P10" s="65">
        <f>IFERROR(VLOOKUP(B:B,'10店辅助表'!H:I,2,FALSE),0)</f>
        <v>0</v>
      </c>
      <c r="Q10" s="65">
        <f>IFERROR(VLOOKUP(B:B,'[1]10店'!$B:$N,13,FALSE),0)</f>
        <v>0</v>
      </c>
      <c r="R10" s="79">
        <f t="shared" si="2"/>
        <v>0</v>
      </c>
      <c r="S10" s="80" t="str">
        <f t="shared" si="8"/>
        <v>-</v>
      </c>
      <c r="T10" s="44" t="str">
        <f t="shared" si="9"/>
        <v>-</v>
      </c>
      <c r="U10" s="44" t="str">
        <f>IFERROR(VLOOKUP(B:B,'[1]10店'!$B:$T,19,0),"-")</f>
        <v>-</v>
      </c>
      <c r="V10" s="81" t="str">
        <f t="shared" si="3"/>
        <v>-</v>
      </c>
      <c r="W10" s="82" t="str">
        <f>_xlfn.IFS(AND(D10&lt;&gt;0,D10-$AM$2&gt;=0,B10&gt;0,D10&lt;&gt;0),"本月刚到货",AND(IFERROR((K10/(N10/7))/30,"-")="-",K10&gt;0),"有库存无销量",AND(IFERROR((K10/(N10/7))/30,"-")="-",K10=0),"无库存无销量",AND(IFERROR((K10/(N10/7))/30,"-")&lt;=0.5,K10=0),"无库存有销量",IFERROR((K10/(N10/7))/30,"-")&lt;=0.5,"库存过低",IFERROR((K10/(N10/7))/30,"-")&lt;=1.5,"正常",IFERROR((K10/(N10/7))/30,"-")&gt;1.5,"库存过高")</f>
        <v>本月刚到货</v>
      </c>
      <c r="X10" s="83" t="str">
        <f>_xlfn.IFS(AND(D10&lt;&gt;0,D10-$AM$2&gt;=0,K10&gt;0,D10&lt;&gt;0),"本月刚到货",AND(T10="-",K10&gt;0),"有库存无销量",AND(T10="-",K10=0),"无库存无销量",AND(T10&lt;=0.5,K10=0),"无库存有销量",T10&lt;=0.5,"库存过低",T10&lt;=1.5,"正常",T10&gt;1.5,"库存过高")</f>
        <v>本月刚到货</v>
      </c>
      <c r="Y10" s="44">
        <f>IFERROR(SUMIF('10店辅助表'!K:K,B:B,'10店辅助表'!N:N),0)</f>
        <v>0</v>
      </c>
      <c r="Z10" s="44">
        <f>IFERROR(SUMIF('10店辅助表'!T:T,B:B,'10店辅助表'!W:W),0)</f>
        <v>0</v>
      </c>
      <c r="AA10" s="44">
        <f>IFERROR(SUMIF('10店辅助表'!AC:AC,B:B,'10店辅助表'!AF:AF),0)</f>
        <v>0</v>
      </c>
      <c r="AB10" s="91" t="str">
        <f>IFERROR(SUMIF('10店辅助表'!K:K,B:B,'10店辅助表'!N:N)/SUMIF('10店辅助表'!K:K,B:B,'10店辅助表'!O:O),"-")</f>
        <v>-</v>
      </c>
      <c r="AC10" s="91" t="str">
        <f>IFERROR(VLOOKUP(B:B,'[1]10店'!$B:$AB,27,FALSE),"-")</f>
        <v>-</v>
      </c>
      <c r="AD10" s="92" t="str">
        <f t="shared" si="10"/>
        <v>-</v>
      </c>
      <c r="AE10" s="91" t="str">
        <f>IFERROR(SUMIF('10店辅助表'!T:T,B:B,'10店辅助表'!W:W)/SUMIF('10店辅助表'!T:T,B:B,'10店辅助表'!X:X),"-")</f>
        <v>-</v>
      </c>
      <c r="AF10" s="91" t="str">
        <f>IFERROR(SUMIF('10店辅助表'!AC:AC,B:B,'10店辅助表'!AF:AF)/SUMIF('10店辅助表'!AC:AC,B:B,'10店辅助表'!AG:AG),"-")</f>
        <v>-</v>
      </c>
      <c r="AG10" s="99">
        <f>IFERROR(AK10/((SUMIF('10店辅助表'!AT:AT,B:B,'10店辅助表'!AU:AU)+M10)/2),"-")</f>
        <v>0</v>
      </c>
      <c r="AH10" s="99">
        <f>IFERROR(AL10/((SUMIF('10店辅助表'!AW:AW,B:B,'10店辅助表'!AX:AX)+M10)/2),"-")</f>
        <v>0</v>
      </c>
      <c r="AI10" s="100" t="str">
        <f>IFERROR((SUMIF('10店辅助表'!AP:AP,B:B,'10店辅助表'!AR:AR)-SUMIF('10店辅助表'!AP:AP,B:B,'10店辅助表'!AR:AR)*0.15-(L10+IFERROR(VLOOKUP(B:B,'10店辅助表'!AZ:BA,2,0),0))*O10-IF(AN:AN="US",6.85,4.9)*(Z10+7.81*O10))/SUMIF('10店辅助表'!AP:AP,B:B,'10店辅助表'!AR:AR),"-")</f>
        <v>-</v>
      </c>
      <c r="AJ10" s="100" t="str">
        <f t="shared" si="4"/>
        <v>-</v>
      </c>
      <c r="AK10" s="101">
        <f t="shared" si="5"/>
        <v>0</v>
      </c>
      <c r="AL10" s="101">
        <f t="shared" si="6"/>
        <v>0</v>
      </c>
      <c r="AM10" s="1" t="str">
        <f>VLOOKUP(B:B,'10店辅助表'!AZ:AZ,1,FALSE)</f>
        <v>Y10011-BU</v>
      </c>
      <c r="AN10" t="str">
        <f>VLOOKUP(B:B,'10店辅助表'!AZ:BB,3,FALSE)</f>
        <v>us</v>
      </c>
    </row>
    <row r="11" customHeight="1" spans="1:40">
      <c r="A11" s="58" t="s">
        <v>3379</v>
      </c>
      <c r="B11" s="43" t="s">
        <v>3395</v>
      </c>
      <c r="C11" s="43" t="s">
        <v>3396</v>
      </c>
      <c r="D11" s="59">
        <v>45219</v>
      </c>
      <c r="E11" s="43" t="s">
        <v>3397</v>
      </c>
      <c r="F11" s="43">
        <v>9</v>
      </c>
      <c r="G11" s="43">
        <v>0</v>
      </c>
      <c r="H11" s="43">
        <v>0</v>
      </c>
      <c r="I11" s="43">
        <v>0</v>
      </c>
      <c r="J11" s="43">
        <v>20</v>
      </c>
      <c r="K11" s="63">
        <f t="shared" si="1"/>
        <v>29</v>
      </c>
      <c r="L11" s="64">
        <v>130</v>
      </c>
      <c r="M11" s="44">
        <f t="shared" si="7"/>
        <v>3770</v>
      </c>
      <c r="N11" s="65">
        <f>IFERROR(VLOOKUP(B:B,'10店辅助表'!B:C,2,FALSE),0)</f>
        <v>0</v>
      </c>
      <c r="O11" s="65">
        <f>IFERROR(VLOOKUP(B:B,'10店辅助表'!E:F,2,FALSE),0)</f>
        <v>0</v>
      </c>
      <c r="P11" s="65">
        <f>IFERROR(VLOOKUP(B:B,'10店辅助表'!H:I,2,FALSE),0)</f>
        <v>0</v>
      </c>
      <c r="Q11" s="65">
        <f>IFERROR(VLOOKUP(B:B,'[1]10店'!$B:$N,13,FALSE),0)</f>
        <v>0</v>
      </c>
      <c r="R11" s="79">
        <f t="shared" si="2"/>
        <v>0</v>
      </c>
      <c r="S11" s="80" t="str">
        <f t="shared" si="8"/>
        <v>-</v>
      </c>
      <c r="T11" s="44" t="str">
        <f t="shared" si="9"/>
        <v>-</v>
      </c>
      <c r="U11" s="44" t="str">
        <f>IFERROR(VLOOKUP(B:B,'[1]10店'!$B:$T,19,0),"-")</f>
        <v>-</v>
      </c>
      <c r="V11" s="81" t="str">
        <f t="shared" si="3"/>
        <v>-</v>
      </c>
      <c r="W11" s="82" t="str">
        <f>_xlfn.IFS(AND(D11&lt;&gt;0,D11-$AM$2&gt;=0,B11&gt;0,D11&lt;&gt;0),"本月刚到货",AND(IFERROR((K11/(N11/7))/30,"-")="-",K11&gt;0),"有库存无销量",AND(IFERROR((K11/(N11/7))/30,"-")="-",K11=0),"无库存无销量",AND(IFERROR((K11/(N11/7))/30,"-")&lt;=0.5,K11=0),"无库存有销量",IFERROR((K11/(N11/7))/30,"-")&lt;=0.5,"库存过低",IFERROR((K11/(N11/7))/30,"-")&lt;=1.5,"正常",IFERROR((K11/(N11/7))/30,"-")&gt;1.5,"库存过高")</f>
        <v>本月刚到货</v>
      </c>
      <c r="X11" s="83" t="str">
        <f>_xlfn.IFS(AND(D11&lt;&gt;0,D11-$AM$2&gt;=0,K11&gt;0,D11&lt;&gt;0),"本月刚到货",AND(T11="-",K11&gt;0),"有库存无销量",AND(T11="-",K11=0),"无库存无销量",AND(T11&lt;=0.5,K11=0),"无库存有销量",T11&lt;=0.5,"库存过低",T11&lt;=1.5,"正常",T11&gt;1.5,"库存过高")</f>
        <v>本月刚到货</v>
      </c>
      <c r="Y11" s="44">
        <f>IFERROR(SUMIF('10店辅助表'!K:K,B:B,'10店辅助表'!N:N),0)</f>
        <v>0</v>
      </c>
      <c r="Z11" s="44">
        <f>IFERROR(SUMIF('10店辅助表'!T:T,B:B,'10店辅助表'!W:W),0)</f>
        <v>0</v>
      </c>
      <c r="AA11" s="44">
        <f>IFERROR(SUMIF('10店辅助表'!AC:AC,B:B,'10店辅助表'!AF:AF),0)</f>
        <v>0</v>
      </c>
      <c r="AB11" s="91" t="str">
        <f>IFERROR(SUMIF('10店辅助表'!K:K,B:B,'10店辅助表'!N:N)/SUMIF('10店辅助表'!K:K,B:B,'10店辅助表'!O:O),"-")</f>
        <v>-</v>
      </c>
      <c r="AC11" s="91" t="str">
        <f>IFERROR(VLOOKUP(B:B,'[1]10店'!$B:$AB,27,FALSE),"-")</f>
        <v>-</v>
      </c>
      <c r="AD11" s="92" t="str">
        <f t="shared" si="10"/>
        <v>-</v>
      </c>
      <c r="AE11" s="91" t="str">
        <f>IFERROR(SUMIF('10店辅助表'!T:T,B:B,'10店辅助表'!W:W)/SUMIF('10店辅助表'!T:T,B:B,'10店辅助表'!X:X),"-")</f>
        <v>-</v>
      </c>
      <c r="AF11" s="91" t="str">
        <f>IFERROR(SUMIF('10店辅助表'!AC:AC,B:B,'10店辅助表'!AF:AF)/SUMIF('10店辅助表'!AC:AC,B:B,'10店辅助表'!AG:AG),"-")</f>
        <v>-</v>
      </c>
      <c r="AG11" s="99">
        <f>IFERROR(AK11/((SUMIF('10店辅助表'!AT:AT,B:B,'10店辅助表'!AU:AU)+M11)/2),"-")</f>
        <v>0</v>
      </c>
      <c r="AH11" s="99">
        <f>IFERROR(AL11/((SUMIF('10店辅助表'!AW:AW,B:B,'10店辅助表'!AX:AX)+M11)/2),"-")</f>
        <v>0</v>
      </c>
      <c r="AI11" s="100" t="str">
        <f>IFERROR((SUMIF('10店辅助表'!AP:AP,B:B,'10店辅助表'!AR:AR)-SUMIF('10店辅助表'!AP:AP,B:B,'10店辅助表'!AR:AR)*0.15-(L11+IFERROR(VLOOKUP(B:B,'10店辅助表'!AZ:BA,2,0),0))*O11-IF(AN:AN="US",6.85,4.9)*(Z11+7.81*O11))/SUMIF('10店辅助表'!AP:AP,B:B,'10店辅助表'!AR:AR),"-")</f>
        <v>-</v>
      </c>
      <c r="AJ11" s="100" t="str">
        <f t="shared" si="4"/>
        <v>-</v>
      </c>
      <c r="AK11" s="101">
        <f t="shared" si="5"/>
        <v>0</v>
      </c>
      <c r="AL11" s="101">
        <f t="shared" si="6"/>
        <v>0</v>
      </c>
      <c r="AM11" s="1" t="str">
        <f>VLOOKUP(B:B,'10店辅助表'!AZ:AZ,1,FALSE)</f>
        <v>Y10013-BU</v>
      </c>
      <c r="AN11" t="str">
        <f>VLOOKUP(B:B,'10店辅助表'!AZ:BB,3,FALSE)</f>
        <v>us</v>
      </c>
    </row>
    <row r="12" customHeight="1" spans="1:40">
      <c r="A12" s="58" t="s">
        <v>3379</v>
      </c>
      <c r="B12" s="45" t="s">
        <v>3398</v>
      </c>
      <c r="C12" s="45" t="s">
        <v>3399</v>
      </c>
      <c r="D12" s="59">
        <v>45219</v>
      </c>
      <c r="E12" s="45" t="s">
        <v>3400</v>
      </c>
      <c r="F12" s="45">
        <v>12</v>
      </c>
      <c r="G12" s="45">
        <v>0</v>
      </c>
      <c r="H12" s="45">
        <v>0</v>
      </c>
      <c r="I12" s="45">
        <v>0</v>
      </c>
      <c r="J12" s="45">
        <v>18</v>
      </c>
      <c r="K12" s="63">
        <f t="shared" si="1"/>
        <v>30</v>
      </c>
      <c r="L12" s="64">
        <v>130</v>
      </c>
      <c r="M12" s="44">
        <f t="shared" si="7"/>
        <v>3900</v>
      </c>
      <c r="N12" s="65">
        <f>IFERROR(VLOOKUP(B:B,'10店辅助表'!B:C,2,FALSE),0)</f>
        <v>0</v>
      </c>
      <c r="O12" s="65">
        <f>IFERROR(VLOOKUP(B:B,'10店辅助表'!E:F,2,FALSE),0)</f>
        <v>0</v>
      </c>
      <c r="P12" s="65">
        <f>IFERROR(VLOOKUP(B:B,'10店辅助表'!H:I,2,FALSE),0)</f>
        <v>0</v>
      </c>
      <c r="Q12" s="65">
        <f>IFERROR(VLOOKUP(B:B,'[1]10店'!$B:$N,13,FALSE),0)</f>
        <v>0</v>
      </c>
      <c r="R12" s="79">
        <f t="shared" si="2"/>
        <v>0</v>
      </c>
      <c r="S12" s="80" t="str">
        <f t="shared" si="8"/>
        <v>-</v>
      </c>
      <c r="T12" s="44" t="str">
        <f t="shared" si="9"/>
        <v>-</v>
      </c>
      <c r="U12" s="44" t="str">
        <f>IFERROR(VLOOKUP(B:B,'[1]10店'!$B:$T,19,0),"-")</f>
        <v>-</v>
      </c>
      <c r="V12" s="81" t="str">
        <f t="shared" si="3"/>
        <v>-</v>
      </c>
      <c r="W12" s="82" t="str">
        <f>_xlfn.IFS(AND(D12&lt;&gt;0,D12-$AM$2&gt;=0,B12&gt;0,D12&lt;&gt;0),"本月刚到货",AND(IFERROR((K12/(N12/7))/30,"-")="-",K12&gt;0),"有库存无销量",AND(IFERROR((K12/(N12/7))/30,"-")="-",K12=0),"无库存无销量",AND(IFERROR((K12/(N12/7))/30,"-")&lt;=0.5,K12=0),"无库存有销量",IFERROR((K12/(N12/7))/30,"-")&lt;=0.5,"库存过低",IFERROR((K12/(N12/7))/30,"-")&lt;=1.5,"正常",IFERROR((K12/(N12/7))/30,"-")&gt;1.5,"库存过高")</f>
        <v>本月刚到货</v>
      </c>
      <c r="X12" s="83" t="str">
        <f>_xlfn.IFS(AND(D12&lt;&gt;0,D12-$AM$2&gt;=0,K12&gt;0,D12&lt;&gt;0),"本月刚到货",AND(T12="-",K12&gt;0),"有库存无销量",AND(T12="-",K12=0),"无库存无销量",AND(T12&lt;=0.5,K12=0),"无库存有销量",T12&lt;=0.5,"库存过低",T12&lt;=1.5,"正常",T12&gt;1.5,"库存过高")</f>
        <v>本月刚到货</v>
      </c>
      <c r="Y12" s="44">
        <f>IFERROR(SUMIF('10店辅助表'!K:K,B:B,'10店辅助表'!N:N),0)</f>
        <v>0</v>
      </c>
      <c r="Z12" s="44">
        <f>IFERROR(SUMIF('10店辅助表'!T:T,B:B,'10店辅助表'!W:W),0)</f>
        <v>0</v>
      </c>
      <c r="AA12" s="44">
        <f>IFERROR(SUMIF('10店辅助表'!AC:AC,B:B,'10店辅助表'!AF:AF),0)</f>
        <v>0</v>
      </c>
      <c r="AB12" s="91" t="str">
        <f>IFERROR(SUMIF('10店辅助表'!K:K,B:B,'10店辅助表'!N:N)/SUMIF('10店辅助表'!K:K,B:B,'10店辅助表'!O:O),"-")</f>
        <v>-</v>
      </c>
      <c r="AC12" s="91" t="str">
        <f>IFERROR(VLOOKUP(B:B,'[1]10店'!$B:$AB,27,FALSE),"-")</f>
        <v>-</v>
      </c>
      <c r="AD12" s="92" t="str">
        <f t="shared" si="10"/>
        <v>-</v>
      </c>
      <c r="AE12" s="91" t="str">
        <f>IFERROR(SUMIF('10店辅助表'!T:T,B:B,'10店辅助表'!W:W)/SUMIF('10店辅助表'!T:T,B:B,'10店辅助表'!X:X),"-")</f>
        <v>-</v>
      </c>
      <c r="AF12" s="91" t="str">
        <f>IFERROR(SUMIF('10店辅助表'!AC:AC,B:B,'10店辅助表'!AF:AF)/SUMIF('10店辅助表'!AC:AC,B:B,'10店辅助表'!AG:AG),"-")</f>
        <v>-</v>
      </c>
      <c r="AG12" s="99">
        <f>IFERROR(AK12/((SUMIF('10店辅助表'!AT:AT,B:B,'10店辅助表'!AU:AU)+M12)/2),"-")</f>
        <v>0</v>
      </c>
      <c r="AH12" s="99">
        <f>IFERROR(AL12/((SUMIF('10店辅助表'!AW:AW,B:B,'10店辅助表'!AX:AX)+M12)/2),"-")</f>
        <v>0</v>
      </c>
      <c r="AI12" s="100" t="str">
        <f>IFERROR((SUMIF('10店辅助表'!AP:AP,B:B,'10店辅助表'!AR:AR)-SUMIF('10店辅助表'!AP:AP,B:B,'10店辅助表'!AR:AR)*0.15-(L12+IFERROR(VLOOKUP(B:B,'10店辅助表'!AZ:BA,2,0),0))*O12-IF(AN:AN="US",6.85,4.9)*(Z12+7.81*O12))/SUMIF('10店辅助表'!AP:AP,B:B,'10店辅助表'!AR:AR),"-")</f>
        <v>-</v>
      </c>
      <c r="AJ12" s="100" t="str">
        <f t="shared" si="4"/>
        <v>-</v>
      </c>
      <c r="AK12" s="101">
        <f t="shared" si="5"/>
        <v>0</v>
      </c>
      <c r="AL12" s="101">
        <f t="shared" si="6"/>
        <v>0</v>
      </c>
      <c r="AM12" s="1" t="str">
        <f>VLOOKUP(B:B,'10店辅助表'!AZ:AZ,1,FALSE)</f>
        <v>Y10013-KH</v>
      </c>
      <c r="AN12" t="str">
        <f>VLOOKUP(B:B,'10店辅助表'!AZ:BB,3,FALSE)</f>
        <v>us</v>
      </c>
    </row>
    <row r="13" customHeight="1" spans="1:40">
      <c r="A13" s="58" t="s">
        <v>3379</v>
      </c>
      <c r="B13" s="45" t="s">
        <v>3401</v>
      </c>
      <c r="C13" s="45" t="s">
        <v>3402</v>
      </c>
      <c r="D13" s="59">
        <v>45219</v>
      </c>
      <c r="E13" s="45" t="s">
        <v>3403</v>
      </c>
      <c r="F13" s="45">
        <v>23</v>
      </c>
      <c r="G13" s="45">
        <v>0</v>
      </c>
      <c r="H13" s="45">
        <v>0</v>
      </c>
      <c r="I13" s="45">
        <v>0</v>
      </c>
      <c r="J13" s="45">
        <v>7</v>
      </c>
      <c r="K13" s="63">
        <f t="shared" si="1"/>
        <v>30</v>
      </c>
      <c r="L13" s="64">
        <v>136</v>
      </c>
      <c r="M13" s="44">
        <f t="shared" si="7"/>
        <v>4080</v>
      </c>
      <c r="N13" s="65">
        <f>IFERROR(VLOOKUP(B:B,'10店辅助表'!B:C,2,FALSE),0)</f>
        <v>0</v>
      </c>
      <c r="O13" s="65">
        <f>IFERROR(VLOOKUP(B:B,'10店辅助表'!E:F,2,FALSE),0)</f>
        <v>0</v>
      </c>
      <c r="P13" s="65">
        <f>IFERROR(VLOOKUP(B:B,'10店辅助表'!H:I,2,FALSE),0)</f>
        <v>0</v>
      </c>
      <c r="Q13" s="65">
        <f>IFERROR(VLOOKUP(B:B,'[1]10店'!$B:$N,13,FALSE),0)</f>
        <v>0</v>
      </c>
      <c r="R13" s="79">
        <f t="shared" si="2"/>
        <v>0</v>
      </c>
      <c r="S13" s="80" t="str">
        <f t="shared" si="8"/>
        <v>-</v>
      </c>
      <c r="T13" s="44" t="str">
        <f t="shared" si="9"/>
        <v>-</v>
      </c>
      <c r="U13" s="44" t="str">
        <f>IFERROR(VLOOKUP(B:B,'[1]10店'!$B:$T,19,0),"-")</f>
        <v>-</v>
      </c>
      <c r="V13" s="81" t="str">
        <f t="shared" si="3"/>
        <v>-</v>
      </c>
      <c r="W13" s="82" t="str">
        <f>_xlfn.IFS(AND(D13&lt;&gt;0,D13-$AM$2&gt;=0,B13&gt;0,D13&lt;&gt;0),"本月刚到货",AND(IFERROR((K13/(N13/7))/30,"-")="-",K13&gt;0),"有库存无销量",AND(IFERROR((K13/(N13/7))/30,"-")="-",K13=0),"无库存无销量",AND(IFERROR((K13/(N13/7))/30,"-")&lt;=0.5,K13=0),"无库存有销量",IFERROR((K13/(N13/7))/30,"-")&lt;=0.5,"库存过低",IFERROR((K13/(N13/7))/30,"-")&lt;=1.5,"正常",IFERROR((K13/(N13/7))/30,"-")&gt;1.5,"库存过高")</f>
        <v>本月刚到货</v>
      </c>
      <c r="X13" s="83" t="str">
        <f>_xlfn.IFS(AND(D13&lt;&gt;0,D13-$AM$2&gt;=0,K13&gt;0,D13&lt;&gt;0),"本月刚到货",AND(T13="-",K13&gt;0),"有库存无销量",AND(T13="-",K13=0),"无库存无销量",AND(T13&lt;=0.5,K13=0),"无库存有销量",T13&lt;=0.5,"库存过低",T13&lt;=1.5,"正常",T13&gt;1.5,"库存过高")</f>
        <v>本月刚到货</v>
      </c>
      <c r="Y13" s="44">
        <f>IFERROR(SUMIF('10店辅助表'!K:K,B:B,'10店辅助表'!N:N),0)</f>
        <v>0</v>
      </c>
      <c r="Z13" s="44">
        <f>IFERROR(SUMIF('10店辅助表'!T:T,B:B,'10店辅助表'!W:W),0)</f>
        <v>0</v>
      </c>
      <c r="AA13" s="44">
        <f>IFERROR(SUMIF('10店辅助表'!AC:AC,B:B,'10店辅助表'!AF:AF),0)</f>
        <v>0</v>
      </c>
      <c r="AB13" s="91" t="str">
        <f>IFERROR(SUMIF('10店辅助表'!K:K,B:B,'10店辅助表'!N:N)/SUMIF('10店辅助表'!K:K,B:B,'10店辅助表'!O:O),"-")</f>
        <v>-</v>
      </c>
      <c r="AC13" s="91" t="str">
        <f>IFERROR(VLOOKUP(B:B,'[1]10店'!$B:$AB,27,FALSE),"-")</f>
        <v>-</v>
      </c>
      <c r="AD13" s="92" t="str">
        <f t="shared" si="10"/>
        <v>-</v>
      </c>
      <c r="AE13" s="91" t="str">
        <f>IFERROR(SUMIF('10店辅助表'!T:T,B:B,'10店辅助表'!W:W)/SUMIF('10店辅助表'!T:T,B:B,'10店辅助表'!X:X),"-")</f>
        <v>-</v>
      </c>
      <c r="AF13" s="91" t="str">
        <f>IFERROR(SUMIF('10店辅助表'!AC:AC,B:B,'10店辅助表'!AF:AF)/SUMIF('10店辅助表'!AC:AC,B:B,'10店辅助表'!AG:AG),"-")</f>
        <v>-</v>
      </c>
      <c r="AG13" s="99">
        <f>IFERROR(AK13/((SUMIF('10店辅助表'!AT:AT,B:B,'10店辅助表'!AU:AU)+M13)/2),"-")</f>
        <v>0</v>
      </c>
      <c r="AH13" s="99">
        <f>IFERROR(AL13/((SUMIF('10店辅助表'!AW:AW,B:B,'10店辅助表'!AX:AX)+M13)/2),"-")</f>
        <v>0</v>
      </c>
      <c r="AI13" s="100" t="str">
        <f>IFERROR((SUMIF('10店辅助表'!AP:AP,B:B,'10店辅助表'!AR:AR)-SUMIF('10店辅助表'!AP:AP,B:B,'10店辅助表'!AR:AR)*0.15-(L13+IFERROR(VLOOKUP(B:B,'10店辅助表'!AZ:BA,2,0),0))*O13-IF(AN:AN="US",6.85,4.9)*(Z13+7.81*O13))/SUMIF('10店辅助表'!AP:AP,B:B,'10店辅助表'!AR:AR),"-")</f>
        <v>-</v>
      </c>
      <c r="AJ13" s="100" t="str">
        <f t="shared" si="4"/>
        <v>-</v>
      </c>
      <c r="AK13" s="101">
        <f t="shared" si="5"/>
        <v>0</v>
      </c>
      <c r="AL13" s="101">
        <f t="shared" si="6"/>
        <v>0</v>
      </c>
      <c r="AM13" s="1" t="str">
        <f>VLOOKUP(B:B,'10店辅助表'!AZ:AZ,1,FALSE)</f>
        <v>Y10017-BR</v>
      </c>
      <c r="AN13" t="str">
        <f>VLOOKUP(B:B,'10店辅助表'!AZ:BB,3,FALSE)</f>
        <v>us</v>
      </c>
    </row>
    <row r="14" customHeight="1" spans="1:40">
      <c r="A14" s="58" t="s">
        <v>3379</v>
      </c>
      <c r="B14" s="45" t="s">
        <v>3404</v>
      </c>
      <c r="C14" s="45" t="s">
        <v>3405</v>
      </c>
      <c r="D14" s="59">
        <v>45219</v>
      </c>
      <c r="E14" s="45" t="s">
        <v>3406</v>
      </c>
      <c r="F14" s="45">
        <v>8</v>
      </c>
      <c r="G14" s="45">
        <v>0</v>
      </c>
      <c r="H14" s="45">
        <v>0</v>
      </c>
      <c r="I14" s="45">
        <v>0</v>
      </c>
      <c r="J14" s="45">
        <v>21</v>
      </c>
      <c r="K14" s="63">
        <f t="shared" si="1"/>
        <v>29</v>
      </c>
      <c r="L14" s="64">
        <v>136</v>
      </c>
      <c r="M14" s="44">
        <f t="shared" si="7"/>
        <v>3944</v>
      </c>
      <c r="N14" s="65">
        <f>IFERROR(VLOOKUP(B:B,'10店辅助表'!B:C,2,FALSE),0)</f>
        <v>0</v>
      </c>
      <c r="O14" s="65">
        <f>IFERROR(VLOOKUP(B:B,'10店辅助表'!E:F,2,FALSE),0)</f>
        <v>0</v>
      </c>
      <c r="P14" s="65">
        <f>IFERROR(VLOOKUP(B:B,'10店辅助表'!H:I,2,FALSE),0)</f>
        <v>0</v>
      </c>
      <c r="Q14" s="65">
        <f>IFERROR(VLOOKUP(B:B,'[1]10店'!$B:$N,13,FALSE),0)</f>
        <v>0</v>
      </c>
      <c r="R14" s="79">
        <f t="shared" si="2"/>
        <v>0</v>
      </c>
      <c r="S14" s="80" t="str">
        <f t="shared" si="8"/>
        <v>-</v>
      </c>
      <c r="T14" s="44" t="str">
        <f t="shared" si="9"/>
        <v>-</v>
      </c>
      <c r="U14" s="44" t="str">
        <f>IFERROR(VLOOKUP(B:B,'[1]10店'!$B:$T,19,0),"-")</f>
        <v>-</v>
      </c>
      <c r="V14" s="81" t="str">
        <f t="shared" si="3"/>
        <v>-</v>
      </c>
      <c r="W14" s="82" t="str">
        <f>_xlfn.IFS(AND(D14&lt;&gt;0,D14-$AM$2&gt;=0,B14&gt;0,D14&lt;&gt;0),"本月刚到货",AND(IFERROR((K14/(N14/7))/30,"-")="-",K14&gt;0),"有库存无销量",AND(IFERROR((K14/(N14/7))/30,"-")="-",K14=0),"无库存无销量",AND(IFERROR((K14/(N14/7))/30,"-")&lt;=0.5,K14=0),"无库存有销量",IFERROR((K14/(N14/7))/30,"-")&lt;=0.5,"库存过低",IFERROR((K14/(N14/7))/30,"-")&lt;=1.5,"正常",IFERROR((K14/(N14/7))/30,"-")&gt;1.5,"库存过高")</f>
        <v>本月刚到货</v>
      </c>
      <c r="X14" s="83" t="str">
        <f>_xlfn.IFS(AND(D14&lt;&gt;0,D14-$AM$2&gt;=0,K14&gt;0,D14&lt;&gt;0),"本月刚到货",AND(T14="-",K14&gt;0),"有库存无销量",AND(T14="-",K14=0),"无库存无销量",AND(T14&lt;=0.5,K14=0),"无库存有销量",T14&lt;=0.5,"库存过低",T14&lt;=1.5,"正常",T14&gt;1.5,"库存过高")</f>
        <v>本月刚到货</v>
      </c>
      <c r="Y14" s="44">
        <f>IFERROR(SUMIF('10店辅助表'!K:K,B:B,'10店辅助表'!N:N),0)</f>
        <v>0</v>
      </c>
      <c r="Z14" s="44">
        <f>IFERROR(SUMIF('10店辅助表'!T:T,B:B,'10店辅助表'!W:W),0)</f>
        <v>0</v>
      </c>
      <c r="AA14" s="44">
        <f>IFERROR(SUMIF('10店辅助表'!AC:AC,B:B,'10店辅助表'!AF:AF),0)</f>
        <v>0</v>
      </c>
      <c r="AB14" s="91" t="str">
        <f>IFERROR(SUMIF('10店辅助表'!K:K,B:B,'10店辅助表'!N:N)/SUMIF('10店辅助表'!K:K,B:B,'10店辅助表'!O:O),"-")</f>
        <v>-</v>
      </c>
      <c r="AC14" s="91" t="str">
        <f>IFERROR(VLOOKUP(B:B,'[1]10店'!$B:$AB,27,FALSE),"-")</f>
        <v>-</v>
      </c>
      <c r="AD14" s="92" t="str">
        <f t="shared" si="10"/>
        <v>-</v>
      </c>
      <c r="AE14" s="91" t="str">
        <f>IFERROR(SUMIF('10店辅助表'!T:T,B:B,'10店辅助表'!W:W)/SUMIF('10店辅助表'!T:T,B:B,'10店辅助表'!X:X),"-")</f>
        <v>-</v>
      </c>
      <c r="AF14" s="91" t="str">
        <f>IFERROR(SUMIF('10店辅助表'!AC:AC,B:B,'10店辅助表'!AF:AF)/SUMIF('10店辅助表'!AC:AC,B:B,'10店辅助表'!AG:AG),"-")</f>
        <v>-</v>
      </c>
      <c r="AG14" s="99">
        <f>IFERROR(AK14/((SUMIF('10店辅助表'!AT:AT,B:B,'10店辅助表'!AU:AU)+M14)/2),"-")</f>
        <v>0</v>
      </c>
      <c r="AH14" s="99">
        <f>IFERROR(AL14/((SUMIF('10店辅助表'!AW:AW,B:B,'10店辅助表'!AX:AX)+M14)/2),"-")</f>
        <v>0</v>
      </c>
      <c r="AI14" s="100" t="str">
        <f>IFERROR((SUMIF('10店辅助表'!AP:AP,B:B,'10店辅助表'!AR:AR)-SUMIF('10店辅助表'!AP:AP,B:B,'10店辅助表'!AR:AR)*0.15-(L14+IFERROR(VLOOKUP(B:B,'10店辅助表'!AZ:BA,2,0),0))*O14-IF(AN:AN="US",6.85,4.9)*(Z14+7.81*O14))/SUMIF('10店辅助表'!AP:AP,B:B,'10店辅助表'!AR:AR),"-")</f>
        <v>-</v>
      </c>
      <c r="AJ14" s="100" t="str">
        <f t="shared" si="4"/>
        <v>-</v>
      </c>
      <c r="AK14" s="101">
        <f t="shared" si="5"/>
        <v>0</v>
      </c>
      <c r="AL14" s="101">
        <f t="shared" si="6"/>
        <v>0</v>
      </c>
      <c r="AM14" s="1" t="str">
        <f>VLOOKUP(B:B,'10店辅助表'!AZ:AZ,1,FALSE)</f>
        <v>Y10017-GN</v>
      </c>
      <c r="AN14" t="str">
        <f>VLOOKUP(B:B,'10店辅助表'!AZ:BB,3,FALSE)</f>
        <v>us</v>
      </c>
    </row>
    <row r="15" customHeight="1" spans="1:40">
      <c r="A15" s="58" t="s">
        <v>3379</v>
      </c>
      <c r="B15" s="45" t="s">
        <v>3407</v>
      </c>
      <c r="C15" s="45" t="s">
        <v>3408</v>
      </c>
      <c r="D15" s="59">
        <v>45219</v>
      </c>
      <c r="E15" s="45" t="s">
        <v>3409</v>
      </c>
      <c r="F15" s="45">
        <v>17</v>
      </c>
      <c r="G15" s="45">
        <v>0</v>
      </c>
      <c r="H15" s="45">
        <v>0</v>
      </c>
      <c r="I15" s="45">
        <v>0</v>
      </c>
      <c r="J15" s="45">
        <v>13</v>
      </c>
      <c r="K15" s="63">
        <f t="shared" si="1"/>
        <v>30</v>
      </c>
      <c r="L15" s="64">
        <v>133.8</v>
      </c>
      <c r="M15" s="44">
        <f t="shared" si="7"/>
        <v>4014</v>
      </c>
      <c r="N15" s="65">
        <f>IFERROR(VLOOKUP(B:B,'10店辅助表'!B:C,2,FALSE),0)</f>
        <v>0</v>
      </c>
      <c r="O15" s="65">
        <f>IFERROR(VLOOKUP(B:B,'10店辅助表'!E:F,2,FALSE),0)</f>
        <v>0</v>
      </c>
      <c r="P15" s="65">
        <f>IFERROR(VLOOKUP(B:B,'10店辅助表'!H:I,2,FALSE),0)</f>
        <v>0</v>
      </c>
      <c r="Q15" s="65">
        <f>IFERROR(VLOOKUP(B:B,'[1]10店'!$B:$N,13,FALSE),0)</f>
        <v>0</v>
      </c>
      <c r="R15" s="79">
        <f t="shared" si="2"/>
        <v>0</v>
      </c>
      <c r="S15" s="80" t="str">
        <f t="shared" si="8"/>
        <v>-</v>
      </c>
      <c r="T15" s="44" t="str">
        <f t="shared" si="9"/>
        <v>-</v>
      </c>
      <c r="U15" s="44" t="str">
        <f>IFERROR(VLOOKUP(B:B,'[1]10店'!$B:$T,19,0),"-")</f>
        <v>-</v>
      </c>
      <c r="V15" s="81" t="str">
        <f t="shared" si="3"/>
        <v>-</v>
      </c>
      <c r="W15" s="82" t="str">
        <f>_xlfn.IFS(AND(D15&lt;&gt;0,D15-$AM$2&gt;=0,B15&gt;0,D15&lt;&gt;0),"本月刚到货",AND(IFERROR((K15/(N15/7))/30,"-")="-",K15&gt;0),"有库存无销量",AND(IFERROR((K15/(N15/7))/30,"-")="-",K15=0),"无库存无销量",AND(IFERROR((K15/(N15/7))/30,"-")&lt;=0.5,K15=0),"无库存有销量",IFERROR((K15/(N15/7))/30,"-")&lt;=0.5,"库存过低",IFERROR((K15/(N15/7))/30,"-")&lt;=1.5,"正常",IFERROR((K15/(N15/7))/30,"-")&gt;1.5,"库存过高")</f>
        <v>本月刚到货</v>
      </c>
      <c r="X15" s="83" t="str">
        <f>_xlfn.IFS(AND(D15&lt;&gt;0,D15-$AM$2&gt;=0,K15&gt;0,D15&lt;&gt;0),"本月刚到货",AND(T15="-",K15&gt;0),"有库存无销量",AND(T15="-",K15=0),"无库存无销量",AND(T15&lt;=0.5,K15=0),"无库存有销量",T15&lt;=0.5,"库存过低",T15&lt;=1.5,"正常",T15&gt;1.5,"库存过高")</f>
        <v>本月刚到货</v>
      </c>
      <c r="Y15" s="44">
        <f>IFERROR(SUMIF('10店辅助表'!K:K,B:B,'10店辅助表'!N:N),0)</f>
        <v>0</v>
      </c>
      <c r="Z15" s="44">
        <f>IFERROR(SUMIF('10店辅助表'!T:T,B:B,'10店辅助表'!W:W),0)</f>
        <v>0</v>
      </c>
      <c r="AA15" s="44">
        <f>IFERROR(SUMIF('10店辅助表'!AC:AC,B:B,'10店辅助表'!AF:AF),0)</f>
        <v>0</v>
      </c>
      <c r="AB15" s="91" t="str">
        <f>IFERROR(SUMIF('10店辅助表'!K:K,B:B,'10店辅助表'!N:N)/SUMIF('10店辅助表'!K:K,B:B,'10店辅助表'!O:O),"-")</f>
        <v>-</v>
      </c>
      <c r="AC15" s="91" t="str">
        <f>IFERROR(VLOOKUP(B:B,'[1]10店'!$B:$AB,27,FALSE),"-")</f>
        <v>-</v>
      </c>
      <c r="AD15" s="92" t="str">
        <f t="shared" si="10"/>
        <v>-</v>
      </c>
      <c r="AE15" s="91" t="str">
        <f>IFERROR(SUMIF('10店辅助表'!T:T,B:B,'10店辅助表'!W:W)/SUMIF('10店辅助表'!T:T,B:B,'10店辅助表'!X:X),"-")</f>
        <v>-</v>
      </c>
      <c r="AF15" s="91" t="str">
        <f>IFERROR(SUMIF('10店辅助表'!AC:AC,B:B,'10店辅助表'!AF:AF)/SUMIF('10店辅助表'!AC:AC,B:B,'10店辅助表'!AG:AG),"-")</f>
        <v>-</v>
      </c>
      <c r="AG15" s="99">
        <f>IFERROR(AK15/((SUMIF('10店辅助表'!AT:AT,B:B,'10店辅助表'!AU:AU)+M15)/2),"-")</f>
        <v>0</v>
      </c>
      <c r="AH15" s="99">
        <f>IFERROR(AL15/((SUMIF('10店辅助表'!AW:AW,B:B,'10店辅助表'!AX:AX)+M15)/2),"-")</f>
        <v>0</v>
      </c>
      <c r="AI15" s="100" t="str">
        <f>IFERROR((SUMIF('10店辅助表'!AP:AP,B:B,'10店辅助表'!AR:AR)-SUMIF('10店辅助表'!AP:AP,B:B,'10店辅助表'!AR:AR)*0.15-(L15+IFERROR(VLOOKUP(B:B,'10店辅助表'!AZ:BA,2,0),0))*O15-IF(AN:AN="US",6.85,4.9)*(Z15+7.81*O15))/SUMIF('10店辅助表'!AP:AP,B:B,'10店辅助表'!AR:AR),"-")</f>
        <v>-</v>
      </c>
      <c r="AJ15" s="100" t="str">
        <f t="shared" si="4"/>
        <v>-</v>
      </c>
      <c r="AK15" s="101">
        <f t="shared" si="5"/>
        <v>0</v>
      </c>
      <c r="AL15" s="101">
        <f t="shared" si="6"/>
        <v>0</v>
      </c>
      <c r="AM15" s="1" t="str">
        <f>VLOOKUP(B:B,'10店辅助表'!AZ:AZ,1,FALSE)</f>
        <v>Y10024-65-3</v>
      </c>
      <c r="AN15" t="str">
        <f>VLOOKUP(B:B,'10店辅助表'!AZ:BB,3,FALSE)</f>
        <v>us</v>
      </c>
    </row>
    <row r="16" customHeight="1" spans="1:40">
      <c r="A16" s="58" t="s">
        <v>3379</v>
      </c>
      <c r="B16" s="45" t="s">
        <v>3410</v>
      </c>
      <c r="C16" s="45" t="s">
        <v>3411</v>
      </c>
      <c r="D16" s="59">
        <v>45219</v>
      </c>
      <c r="E16" s="45" t="s">
        <v>3412</v>
      </c>
      <c r="F16" s="45">
        <v>7</v>
      </c>
      <c r="G16" s="45">
        <v>0</v>
      </c>
      <c r="H16" s="45">
        <v>0</v>
      </c>
      <c r="I16" s="45">
        <v>0</v>
      </c>
      <c r="J16" s="45">
        <v>23</v>
      </c>
      <c r="K16" s="63">
        <f t="shared" si="1"/>
        <v>30</v>
      </c>
      <c r="L16" s="64">
        <v>173</v>
      </c>
      <c r="M16" s="44">
        <f t="shared" si="7"/>
        <v>5190</v>
      </c>
      <c r="N16" s="65">
        <f>IFERROR(VLOOKUP(B:B,'10店辅助表'!B:C,2,FALSE),0)</f>
        <v>0</v>
      </c>
      <c r="O16" s="65">
        <f>IFERROR(VLOOKUP(B:B,'10店辅助表'!E:F,2,FALSE),0)</f>
        <v>0</v>
      </c>
      <c r="P16" s="65">
        <f>IFERROR(VLOOKUP(B:B,'10店辅助表'!H:I,2,FALSE),0)</f>
        <v>0</v>
      </c>
      <c r="Q16" s="65">
        <f>IFERROR(VLOOKUP(B:B,'[1]10店'!$B:$N,13,FALSE),0)</f>
        <v>0</v>
      </c>
      <c r="R16" s="79">
        <f t="shared" si="2"/>
        <v>0</v>
      </c>
      <c r="S16" s="80" t="str">
        <f t="shared" si="8"/>
        <v>-</v>
      </c>
      <c r="T16" s="44" t="str">
        <f t="shared" si="9"/>
        <v>-</v>
      </c>
      <c r="U16" s="44" t="str">
        <f>IFERROR(VLOOKUP(B:B,'[1]10店'!$B:$T,19,0),"-")</f>
        <v>-</v>
      </c>
      <c r="V16" s="81" t="str">
        <f t="shared" si="3"/>
        <v>-</v>
      </c>
      <c r="W16" s="82" t="str">
        <f>_xlfn.IFS(AND(D16&lt;&gt;0,D16-$AM$2&gt;=0,B16&gt;0,D16&lt;&gt;0),"本月刚到货",AND(IFERROR((K16/(N16/7))/30,"-")="-",K16&gt;0),"有库存无销量",AND(IFERROR((K16/(N16/7))/30,"-")="-",K16=0),"无库存无销量",AND(IFERROR((K16/(N16/7))/30,"-")&lt;=0.5,K16=0),"无库存有销量",IFERROR((K16/(N16/7))/30,"-")&lt;=0.5,"库存过低",IFERROR((K16/(N16/7))/30,"-")&lt;=1.5,"正常",IFERROR((K16/(N16/7))/30,"-")&gt;1.5,"库存过高")</f>
        <v>本月刚到货</v>
      </c>
      <c r="X16" s="83" t="str">
        <f>_xlfn.IFS(AND(D16&lt;&gt;0,D16-$AM$2&gt;=0,K16&gt;0,D16&lt;&gt;0),"本月刚到货",AND(T16="-",K16&gt;0),"有库存无销量",AND(T16="-",K16=0),"无库存无销量",AND(T16&lt;=0.5,K16=0),"无库存有销量",T16&lt;=0.5,"库存过低",T16&lt;=1.5,"正常",T16&gt;1.5,"库存过高")</f>
        <v>本月刚到货</v>
      </c>
      <c r="Y16" s="44">
        <f>IFERROR(SUMIF('10店辅助表'!K:K,B:B,'10店辅助表'!N:N),0)</f>
        <v>0</v>
      </c>
      <c r="Z16" s="44">
        <f>IFERROR(SUMIF('10店辅助表'!T:T,B:B,'10店辅助表'!W:W),0)</f>
        <v>0</v>
      </c>
      <c r="AA16" s="44">
        <f>IFERROR(SUMIF('10店辅助表'!AC:AC,B:B,'10店辅助表'!AF:AF),0)</f>
        <v>0</v>
      </c>
      <c r="AB16" s="91" t="str">
        <f>IFERROR(SUMIF('10店辅助表'!K:K,B:B,'10店辅助表'!N:N)/SUMIF('10店辅助表'!K:K,B:B,'10店辅助表'!O:O),"-")</f>
        <v>-</v>
      </c>
      <c r="AC16" s="91" t="str">
        <f>IFERROR(VLOOKUP(B:B,'[1]10店'!$B:$AB,27,FALSE),"-")</f>
        <v>-</v>
      </c>
      <c r="AD16" s="92" t="str">
        <f t="shared" si="10"/>
        <v>-</v>
      </c>
      <c r="AE16" s="91" t="str">
        <f>IFERROR(SUMIF('10店辅助表'!T:T,B:B,'10店辅助表'!W:W)/SUMIF('10店辅助表'!T:T,B:B,'10店辅助表'!X:X),"-")</f>
        <v>-</v>
      </c>
      <c r="AF16" s="91" t="str">
        <f>IFERROR(SUMIF('10店辅助表'!AC:AC,B:B,'10店辅助表'!AF:AF)/SUMIF('10店辅助表'!AC:AC,B:B,'10店辅助表'!AG:AG),"-")</f>
        <v>-</v>
      </c>
      <c r="AG16" s="99">
        <f>IFERROR(AK16/((SUMIF('10店辅助表'!AT:AT,B:B,'10店辅助表'!AU:AU)+M16)/2),"-")</f>
        <v>0</v>
      </c>
      <c r="AH16" s="99">
        <f>IFERROR(AL16/((SUMIF('10店辅助表'!AW:AW,B:B,'10店辅助表'!AX:AX)+M16)/2),"-")</f>
        <v>0</v>
      </c>
      <c r="AI16" s="100" t="str">
        <f>IFERROR((SUMIF('10店辅助表'!AP:AP,B:B,'10店辅助表'!AR:AR)-SUMIF('10店辅助表'!AP:AP,B:B,'10店辅助表'!AR:AR)*0.15-(L16+IFERROR(VLOOKUP(B:B,'10店辅助表'!AZ:BA,2,0),0))*O16-IF(AN:AN="US",6.85,4.9)*(Z16+7.81*O16))/SUMIF('10店辅助表'!AP:AP,B:B,'10店辅助表'!AR:AR),"-")</f>
        <v>-</v>
      </c>
      <c r="AJ16" s="100" t="str">
        <f t="shared" si="4"/>
        <v>-</v>
      </c>
      <c r="AK16" s="101">
        <f t="shared" si="5"/>
        <v>0</v>
      </c>
      <c r="AL16" s="101">
        <f t="shared" si="6"/>
        <v>0</v>
      </c>
      <c r="AM16" s="1" t="str">
        <f>VLOOKUP(B:B,'10店辅助表'!AZ:AZ,1,FALSE)</f>
        <v>Y10024-65-4</v>
      </c>
      <c r="AN16" t="str">
        <f>VLOOKUP(B:B,'10店辅助表'!AZ:BB,3,FALSE)</f>
        <v>us</v>
      </c>
    </row>
    <row r="17" customHeight="1" spans="1:40">
      <c r="A17" s="58" t="s">
        <v>3379</v>
      </c>
      <c r="B17" s="45" t="s">
        <v>3413</v>
      </c>
      <c r="C17" s="45" t="s">
        <v>3414</v>
      </c>
      <c r="D17" s="59">
        <v>45219</v>
      </c>
      <c r="E17" s="45" t="s">
        <v>3415</v>
      </c>
      <c r="F17" s="45">
        <v>10</v>
      </c>
      <c r="G17" s="45">
        <v>0</v>
      </c>
      <c r="H17" s="45">
        <v>0</v>
      </c>
      <c r="I17" s="45">
        <v>0</v>
      </c>
      <c r="J17" s="45">
        <v>20</v>
      </c>
      <c r="K17" s="63">
        <f t="shared" si="1"/>
        <v>30</v>
      </c>
      <c r="L17" s="64">
        <v>150</v>
      </c>
      <c r="M17" s="44">
        <f t="shared" si="7"/>
        <v>4500</v>
      </c>
      <c r="N17" s="65">
        <f>IFERROR(VLOOKUP(B:B,'10店辅助表'!B:C,2,FALSE),0)</f>
        <v>0</v>
      </c>
      <c r="O17" s="65">
        <f>IFERROR(VLOOKUP(B:B,'10店辅助表'!E:F,2,FALSE),0)</f>
        <v>0</v>
      </c>
      <c r="P17" s="65">
        <f>IFERROR(VLOOKUP(B:B,'10店辅助表'!H:I,2,FALSE),0)</f>
        <v>0</v>
      </c>
      <c r="Q17" s="65">
        <f>IFERROR(VLOOKUP(B:B,'[1]10店'!$B:$N,13,FALSE),0)</f>
        <v>0</v>
      </c>
      <c r="R17" s="79">
        <f t="shared" si="2"/>
        <v>0</v>
      </c>
      <c r="S17" s="80" t="str">
        <f t="shared" si="8"/>
        <v>-</v>
      </c>
      <c r="T17" s="44" t="str">
        <f t="shared" si="9"/>
        <v>-</v>
      </c>
      <c r="U17" s="44" t="str">
        <f>IFERROR(VLOOKUP(B:B,'[1]10店'!$B:$T,19,0),"-")</f>
        <v>-</v>
      </c>
      <c r="V17" s="81" t="str">
        <f t="shared" si="3"/>
        <v>-</v>
      </c>
      <c r="W17" s="82" t="str">
        <f>_xlfn.IFS(AND(D17&lt;&gt;0,D17-$AM$2&gt;=0,B17&gt;0,D17&lt;&gt;0),"本月刚到货",AND(IFERROR((K17/(N17/7))/30,"-")="-",K17&gt;0),"有库存无销量",AND(IFERROR((K17/(N17/7))/30,"-")="-",K17=0),"无库存无销量",AND(IFERROR((K17/(N17/7))/30,"-")&lt;=0.5,K17=0),"无库存有销量",IFERROR((K17/(N17/7))/30,"-")&lt;=0.5,"库存过低",IFERROR((K17/(N17/7))/30,"-")&lt;=1.5,"正常",IFERROR((K17/(N17/7))/30,"-")&gt;1.5,"库存过高")</f>
        <v>本月刚到货</v>
      </c>
      <c r="X17" s="83" t="str">
        <f>_xlfn.IFS(AND(D17&lt;&gt;0,D17-$AM$2&gt;=0,K17&gt;0,D17&lt;&gt;0),"本月刚到货",AND(T17="-",K17&gt;0),"有库存无销量",AND(T17="-",K17=0),"无库存无销量",AND(T17&lt;=0.5,K17=0),"无库存有销量",T17&lt;=0.5,"库存过低",T17&lt;=1.5,"正常",T17&gt;1.5,"库存过高")</f>
        <v>本月刚到货</v>
      </c>
      <c r="Y17" s="44">
        <f>IFERROR(SUMIF('10店辅助表'!K:K,B:B,'10店辅助表'!N:N),0)</f>
        <v>0</v>
      </c>
      <c r="Z17" s="44">
        <f>IFERROR(SUMIF('10店辅助表'!T:T,B:B,'10店辅助表'!W:W),0)</f>
        <v>0</v>
      </c>
      <c r="AA17" s="44">
        <f>IFERROR(SUMIF('10店辅助表'!AC:AC,B:B,'10店辅助表'!AF:AF),0)</f>
        <v>0</v>
      </c>
      <c r="AB17" s="91" t="str">
        <f>IFERROR(SUMIF('10店辅助表'!K:K,B:B,'10店辅助表'!N:N)/SUMIF('10店辅助表'!K:K,B:B,'10店辅助表'!O:O),"-")</f>
        <v>-</v>
      </c>
      <c r="AC17" s="91" t="str">
        <f>IFERROR(VLOOKUP(B:B,'[1]10店'!$B:$AB,27,FALSE),"-")</f>
        <v>-</v>
      </c>
      <c r="AD17" s="92" t="str">
        <f t="shared" si="10"/>
        <v>-</v>
      </c>
      <c r="AE17" s="91" t="str">
        <f>IFERROR(SUMIF('10店辅助表'!T:T,B:B,'10店辅助表'!W:W)/SUMIF('10店辅助表'!T:T,B:B,'10店辅助表'!X:X),"-")</f>
        <v>-</v>
      </c>
      <c r="AF17" s="91" t="str">
        <f>IFERROR(SUMIF('10店辅助表'!AC:AC,B:B,'10店辅助表'!AF:AF)/SUMIF('10店辅助表'!AC:AC,B:B,'10店辅助表'!AG:AG),"-")</f>
        <v>-</v>
      </c>
      <c r="AG17" s="99">
        <f>IFERROR(AK17/((SUMIF('10店辅助表'!AT:AT,B:B,'10店辅助表'!AU:AU)+M17)/2),"-")</f>
        <v>0</v>
      </c>
      <c r="AH17" s="99">
        <f>IFERROR(AL17/((SUMIF('10店辅助表'!AW:AW,B:B,'10店辅助表'!AX:AX)+M17)/2),"-")</f>
        <v>0</v>
      </c>
      <c r="AI17" s="100" t="str">
        <f>IFERROR((SUMIF('10店辅助表'!AP:AP,B:B,'10店辅助表'!AR:AR)-SUMIF('10店辅助表'!AP:AP,B:B,'10店辅助表'!AR:AR)*0.15-(L17+IFERROR(VLOOKUP(B:B,'10店辅助表'!AZ:BA,2,0),0))*O17-IF(AN:AN="US",6.85,4.9)*(Z17+7.81*O17))/SUMIF('10店辅助表'!AP:AP,B:B,'10店辅助表'!AR:AR),"-")</f>
        <v>-</v>
      </c>
      <c r="AJ17" s="100" t="str">
        <f t="shared" si="4"/>
        <v>-</v>
      </c>
      <c r="AK17" s="101">
        <f t="shared" si="5"/>
        <v>0</v>
      </c>
      <c r="AL17" s="101">
        <f t="shared" si="6"/>
        <v>0</v>
      </c>
      <c r="AM17" s="1" t="str">
        <f>VLOOKUP(B:B,'10店辅助表'!AZ:AZ,1,FALSE)</f>
        <v>Y10024-70-3</v>
      </c>
      <c r="AN17" t="str">
        <f>VLOOKUP(B:B,'10店辅助表'!AZ:BB,3,FALSE)</f>
        <v>us</v>
      </c>
    </row>
    <row r="18" customHeight="1" spans="1:40">
      <c r="A18" s="58" t="s">
        <v>3379</v>
      </c>
      <c r="B18" s="45" t="s">
        <v>3416</v>
      </c>
      <c r="C18" s="45" t="s">
        <v>3417</v>
      </c>
      <c r="D18" s="59">
        <v>45219</v>
      </c>
      <c r="E18" s="45" t="s">
        <v>3418</v>
      </c>
      <c r="F18" s="45">
        <v>7</v>
      </c>
      <c r="G18" s="45">
        <v>0</v>
      </c>
      <c r="H18" s="45">
        <v>0</v>
      </c>
      <c r="I18" s="45">
        <v>0</v>
      </c>
      <c r="J18" s="45">
        <v>23</v>
      </c>
      <c r="K18" s="63">
        <f t="shared" si="1"/>
        <v>30</v>
      </c>
      <c r="L18" s="64">
        <v>196</v>
      </c>
      <c r="M18" s="44">
        <f t="shared" si="7"/>
        <v>5880</v>
      </c>
      <c r="N18" s="65">
        <f>IFERROR(VLOOKUP(B:B,'10店辅助表'!B:C,2,FALSE),0)</f>
        <v>0</v>
      </c>
      <c r="O18" s="65">
        <f>IFERROR(VLOOKUP(B:B,'10店辅助表'!E:F,2,FALSE),0)</f>
        <v>0</v>
      </c>
      <c r="P18" s="65">
        <f>IFERROR(VLOOKUP(B:B,'10店辅助表'!H:I,2,FALSE),0)</f>
        <v>0</v>
      </c>
      <c r="Q18" s="65">
        <f>IFERROR(VLOOKUP(B:B,'[1]10店'!$B:$N,13,FALSE),0)</f>
        <v>0</v>
      </c>
      <c r="R18" s="79">
        <f t="shared" si="2"/>
        <v>0</v>
      </c>
      <c r="S18" s="80" t="str">
        <f t="shared" si="8"/>
        <v>-</v>
      </c>
      <c r="T18" s="44" t="str">
        <f t="shared" si="9"/>
        <v>-</v>
      </c>
      <c r="U18" s="44" t="str">
        <f>IFERROR(VLOOKUP(B:B,'[1]10店'!$B:$T,19,0),"-")</f>
        <v>-</v>
      </c>
      <c r="V18" s="81" t="str">
        <f t="shared" si="3"/>
        <v>-</v>
      </c>
      <c r="W18" s="82" t="str">
        <f>_xlfn.IFS(AND(D18&lt;&gt;0,D18-$AM$2&gt;=0,B18&gt;0,D18&lt;&gt;0),"本月刚到货",AND(IFERROR((K18/(N18/7))/30,"-")="-",K18&gt;0),"有库存无销量",AND(IFERROR((K18/(N18/7))/30,"-")="-",K18=0),"无库存无销量",AND(IFERROR((K18/(N18/7))/30,"-")&lt;=0.5,K18=0),"无库存有销量",IFERROR((K18/(N18/7))/30,"-")&lt;=0.5,"库存过低",IFERROR((K18/(N18/7))/30,"-")&lt;=1.5,"正常",IFERROR((K18/(N18/7))/30,"-")&gt;1.5,"库存过高")</f>
        <v>本月刚到货</v>
      </c>
      <c r="X18" s="83" t="str">
        <f>_xlfn.IFS(AND(D18&lt;&gt;0,D18-$AM$2&gt;=0,K18&gt;0,D18&lt;&gt;0),"本月刚到货",AND(T18="-",K18&gt;0),"有库存无销量",AND(T18="-",K18=0),"无库存无销量",AND(T18&lt;=0.5,K18=0),"无库存有销量",T18&lt;=0.5,"库存过低",T18&lt;=1.5,"正常",T18&gt;1.5,"库存过高")</f>
        <v>本月刚到货</v>
      </c>
      <c r="Y18" s="44">
        <f>IFERROR(SUMIF('10店辅助表'!K:K,B:B,'10店辅助表'!N:N),0)</f>
        <v>0</v>
      </c>
      <c r="Z18" s="44">
        <f>IFERROR(SUMIF('10店辅助表'!T:T,B:B,'10店辅助表'!W:W),0)</f>
        <v>0</v>
      </c>
      <c r="AA18" s="44">
        <f>IFERROR(SUMIF('10店辅助表'!AC:AC,B:B,'10店辅助表'!AF:AF),0)</f>
        <v>0</v>
      </c>
      <c r="AB18" s="91" t="str">
        <f>IFERROR(SUMIF('10店辅助表'!K:K,B:B,'10店辅助表'!N:N)/SUMIF('10店辅助表'!K:K,B:B,'10店辅助表'!O:O),"-")</f>
        <v>-</v>
      </c>
      <c r="AC18" s="91" t="str">
        <f>IFERROR(VLOOKUP(B:B,'[1]10店'!$B:$AB,27,FALSE),"-")</f>
        <v>-</v>
      </c>
      <c r="AD18" s="92" t="str">
        <f t="shared" si="10"/>
        <v>-</v>
      </c>
      <c r="AE18" s="91" t="str">
        <f>IFERROR(SUMIF('10店辅助表'!T:T,B:B,'10店辅助表'!W:W)/SUMIF('10店辅助表'!T:T,B:B,'10店辅助表'!X:X),"-")</f>
        <v>-</v>
      </c>
      <c r="AF18" s="91" t="str">
        <f>IFERROR(SUMIF('10店辅助表'!AC:AC,B:B,'10店辅助表'!AF:AF)/SUMIF('10店辅助表'!AC:AC,B:B,'10店辅助表'!AG:AG),"-")</f>
        <v>-</v>
      </c>
      <c r="AG18" s="99">
        <f>IFERROR(AK18/((SUMIF('10店辅助表'!AT:AT,B:B,'10店辅助表'!AU:AU)+M18)/2),"-")</f>
        <v>0</v>
      </c>
      <c r="AH18" s="99">
        <f>IFERROR(AL18/((SUMIF('10店辅助表'!AW:AW,B:B,'10店辅助表'!AX:AX)+M18)/2),"-")</f>
        <v>0</v>
      </c>
      <c r="AI18" s="100" t="str">
        <f>IFERROR((SUMIF('10店辅助表'!AP:AP,B:B,'10店辅助表'!AR:AR)-SUMIF('10店辅助表'!AP:AP,B:B,'10店辅助表'!AR:AR)*0.15-(L18+IFERROR(VLOOKUP(B:B,'10店辅助表'!AZ:BA,2,0),0))*O18-IF(AN:AN="US",6.85,4.9)*(Z18+7.81*O18))/SUMIF('10店辅助表'!AP:AP,B:B,'10店辅助表'!AR:AR),"-")</f>
        <v>-</v>
      </c>
      <c r="AJ18" s="100" t="str">
        <f t="shared" si="4"/>
        <v>-</v>
      </c>
      <c r="AK18" s="101">
        <f t="shared" si="5"/>
        <v>0</v>
      </c>
      <c r="AL18" s="101">
        <f t="shared" si="6"/>
        <v>0</v>
      </c>
      <c r="AM18" s="1" t="str">
        <f>VLOOKUP(B:B,'10店辅助表'!AZ:AZ,1,FALSE)</f>
        <v>Y10024-70-4</v>
      </c>
      <c r="AN18" t="str">
        <f>VLOOKUP(B:B,'10店辅助表'!AZ:BB,3,FALSE)</f>
        <v>us</v>
      </c>
    </row>
    <row r="19" customHeight="1" spans="1:40">
      <c r="A19" s="58" t="s">
        <v>3379</v>
      </c>
      <c r="B19" s="45" t="s">
        <v>3419</v>
      </c>
      <c r="C19" s="45" t="s">
        <v>3420</v>
      </c>
      <c r="D19" s="59">
        <v>45219</v>
      </c>
      <c r="E19" s="45" t="s">
        <v>3421</v>
      </c>
      <c r="F19" s="45">
        <v>43</v>
      </c>
      <c r="G19" s="45">
        <v>0</v>
      </c>
      <c r="H19" s="45">
        <v>0</v>
      </c>
      <c r="I19" s="45">
        <v>0</v>
      </c>
      <c r="J19" s="45">
        <v>7</v>
      </c>
      <c r="K19" s="63">
        <f t="shared" ref="K19:K39" si="11">F19+G19+H19+I19+J19</f>
        <v>50</v>
      </c>
      <c r="L19" s="64">
        <v>65</v>
      </c>
      <c r="M19" s="44">
        <f t="shared" si="7"/>
        <v>3250</v>
      </c>
      <c r="N19" s="65">
        <f>IFERROR(VLOOKUP(B:B,'10店辅助表'!B:C,2,FALSE),0)</f>
        <v>0</v>
      </c>
      <c r="O19" s="65">
        <f>IFERROR(VLOOKUP(B:B,'10店辅助表'!E:F,2,FALSE),0)</f>
        <v>0</v>
      </c>
      <c r="P19" s="65">
        <f>IFERROR(VLOOKUP(B:B,'10店辅助表'!H:I,2,FALSE),0)</f>
        <v>0</v>
      </c>
      <c r="Q19" s="65">
        <f>IFERROR(VLOOKUP(B:B,'[1]10店'!$B:$N,13,FALSE),0)</f>
        <v>0</v>
      </c>
      <c r="R19" s="79">
        <f t="shared" ref="R19:R39" si="12">N19-Q19</f>
        <v>0</v>
      </c>
      <c r="S19" s="80" t="str">
        <f t="shared" ref="S19:S39" si="13">IFERROR(K19/((N19/7+O19/15+P19/30)/3),"-")</f>
        <v>-</v>
      </c>
      <c r="T19" s="44" t="str">
        <f t="shared" ref="T19:T39" si="14">IFERROR(S19/30,"-")</f>
        <v>-</v>
      </c>
      <c r="U19" s="44" t="str">
        <f>IFERROR(VLOOKUP(B:B,'[1]10店'!$B:$T,19,0),"-")</f>
        <v>-</v>
      </c>
      <c r="V19" s="81" t="str">
        <f t="shared" ref="V19:V39" si="15">IFERROR(T19-U19,"-")</f>
        <v>-</v>
      </c>
      <c r="W19" s="82" t="str">
        <f t="shared" ref="W19:W39" si="16">_xlfn.IFS(AND(D19&lt;&gt;0,D19-$AM$2&gt;=0,B19&gt;0,D19&lt;&gt;0),"本月刚到货",AND(IFERROR((K19/(N19/7))/30,"-")="-",K19&gt;0),"有库存无销量",AND(IFERROR((K19/(N19/7))/30,"-")="-",K19=0),"无库存无销量",AND(IFERROR((K19/(N19/7))/30,"-")&lt;=0.5,K19=0),"无库存有销量",IFERROR((K19/(N19/7))/30,"-")&lt;=0.5,"库存过低",IFERROR((K19/(N19/7))/30,"-")&lt;=1.5,"正常",IFERROR((K19/(N19/7))/30,"-")&gt;1.5,"库存过高")</f>
        <v>本月刚到货</v>
      </c>
      <c r="X19" s="83" t="str">
        <f t="shared" ref="X19:X39" si="17">_xlfn.IFS(AND(D19&lt;&gt;0,D19-$AM$2&gt;=0,K19&gt;0,D19&lt;&gt;0),"本月刚到货",AND(T19="-",K19&gt;0),"有库存无销量",AND(T19="-",K19=0),"无库存无销量",AND(T19&lt;=0.5,K19=0),"无库存有销量",T19&lt;=0.5,"库存过低",T19&lt;=1.5,"正常",T19&gt;1.5,"库存过高")</f>
        <v>本月刚到货</v>
      </c>
      <c r="Y19" s="44">
        <f>IFERROR(SUMIF('10店辅助表'!K:K,B:B,'10店辅助表'!N:N),0)</f>
        <v>0</v>
      </c>
      <c r="Z19" s="44">
        <f>IFERROR(SUMIF('10店辅助表'!T:T,B:B,'10店辅助表'!W:W),0)</f>
        <v>0</v>
      </c>
      <c r="AA19" s="44">
        <f>IFERROR(SUMIF('10店辅助表'!AC:AC,B:B,'10店辅助表'!AF:AF),0)</f>
        <v>0</v>
      </c>
      <c r="AB19" s="91" t="str">
        <f>IFERROR(SUMIF('10店辅助表'!K:K,B:B,'10店辅助表'!N:N)/SUMIF('10店辅助表'!K:K,B:B,'10店辅助表'!O:O),"-")</f>
        <v>-</v>
      </c>
      <c r="AC19" s="91" t="str">
        <f>IFERROR(VLOOKUP(B:B,'[1]10店'!$B:$AB,27,FALSE),"-")</f>
        <v>-</v>
      </c>
      <c r="AD19" s="92" t="str">
        <f t="shared" ref="AD19:AD39" si="18">IFERROR(AB19-AC19,"-")</f>
        <v>-</v>
      </c>
      <c r="AE19" s="91" t="str">
        <f>IFERROR(SUMIF('10店辅助表'!T:T,B:B,'10店辅助表'!W:W)/SUMIF('10店辅助表'!T:T,B:B,'10店辅助表'!X:X),"-")</f>
        <v>-</v>
      </c>
      <c r="AF19" s="91" t="str">
        <f>IFERROR(SUMIF('10店辅助表'!AC:AC,B:B,'10店辅助表'!AF:AF)/SUMIF('10店辅助表'!AC:AC,B:B,'10店辅助表'!AG:AG),"-")</f>
        <v>-</v>
      </c>
      <c r="AG19" s="99">
        <f>IFERROR(AK19/((SUMIF('10店辅助表'!AT:AT,B:B,'10店辅助表'!AU:AU)+M19)/2),"-")</f>
        <v>0</v>
      </c>
      <c r="AH19" s="99">
        <f>IFERROR(AL19/((SUMIF('10店辅助表'!AW:AW,B:B,'10店辅助表'!AX:AX)+M19)/2),"-")</f>
        <v>0</v>
      </c>
      <c r="AI19" s="100" t="str">
        <f>IFERROR((SUMIF('10店辅助表'!AP:AP,B:B,'10店辅助表'!AR:AR)-SUMIF('10店辅助表'!AP:AP,B:B,'10店辅助表'!AR:AR)*0.15-(L19+IFERROR(VLOOKUP(B:B,'10店辅助表'!AZ:BA,2,0),0))*O19-IF(AN:AN="US",6.85,4.9)*(Z19+7.81*O19))/SUMIF('10店辅助表'!AP:AP,B:B,'10店辅助表'!AR:AR),"-")</f>
        <v>-</v>
      </c>
      <c r="AJ19" s="100" t="str">
        <f t="shared" ref="AJ19:AJ39" si="19">IFERROR(AH19*AI19,"-")</f>
        <v>-</v>
      </c>
      <c r="AK19" s="101">
        <f t="shared" ref="AK19:AK39" si="20">N19*$L19</f>
        <v>0</v>
      </c>
      <c r="AL19" s="101">
        <f t="shared" ref="AL19:AL39" si="21">O19*$L19</f>
        <v>0</v>
      </c>
      <c r="AM19" s="1" t="str">
        <f>VLOOKUP(B:B,'10店辅助表'!AZ:AZ,1,FALSE)</f>
        <v>Y10030-WH-3</v>
      </c>
      <c r="AN19" t="str">
        <f>VLOOKUP(B:B,'10店辅助表'!AZ:BB,3,FALSE)</f>
        <v>us</v>
      </c>
    </row>
    <row r="20" customHeight="1" spans="1:40">
      <c r="A20" s="58" t="s">
        <v>3379</v>
      </c>
      <c r="B20" s="45" t="s">
        <v>3422</v>
      </c>
      <c r="C20" s="45" t="s">
        <v>3423</v>
      </c>
      <c r="D20" s="59">
        <v>45219</v>
      </c>
      <c r="E20" s="45" t="s">
        <v>3424</v>
      </c>
      <c r="F20" s="45">
        <v>46</v>
      </c>
      <c r="G20" s="45">
        <v>0</v>
      </c>
      <c r="H20" s="45">
        <v>0</v>
      </c>
      <c r="I20" s="45">
        <v>0</v>
      </c>
      <c r="J20" s="45">
        <v>4</v>
      </c>
      <c r="K20" s="63">
        <f t="shared" si="11"/>
        <v>50</v>
      </c>
      <c r="L20" s="64">
        <v>80</v>
      </c>
      <c r="M20" s="44">
        <f t="shared" si="7"/>
        <v>4000</v>
      </c>
      <c r="N20" s="65">
        <f>IFERROR(VLOOKUP(B:B,'10店辅助表'!B:C,2,FALSE),0)</f>
        <v>0</v>
      </c>
      <c r="O20" s="65">
        <f>IFERROR(VLOOKUP(B:B,'10店辅助表'!E:F,2,FALSE),0)</f>
        <v>0</v>
      </c>
      <c r="P20" s="65">
        <f>IFERROR(VLOOKUP(B:B,'10店辅助表'!H:I,2,FALSE),0)</f>
        <v>0</v>
      </c>
      <c r="Q20" s="65">
        <f>IFERROR(VLOOKUP(B:B,'[1]10店'!$B:$N,13,FALSE),0)</f>
        <v>0</v>
      </c>
      <c r="R20" s="79">
        <f t="shared" si="12"/>
        <v>0</v>
      </c>
      <c r="S20" s="80" t="str">
        <f t="shared" si="13"/>
        <v>-</v>
      </c>
      <c r="T20" s="44" t="str">
        <f t="shared" si="14"/>
        <v>-</v>
      </c>
      <c r="U20" s="44" t="str">
        <f>IFERROR(VLOOKUP(B:B,'[1]10店'!$B:$T,19,0),"-")</f>
        <v>-</v>
      </c>
      <c r="V20" s="81" t="str">
        <f t="shared" si="15"/>
        <v>-</v>
      </c>
      <c r="W20" s="82" t="str">
        <f t="shared" si="16"/>
        <v>本月刚到货</v>
      </c>
      <c r="X20" s="83" t="str">
        <f t="shared" si="17"/>
        <v>本月刚到货</v>
      </c>
      <c r="Y20" s="44">
        <f>IFERROR(SUMIF('10店辅助表'!K:K,B:B,'10店辅助表'!N:N),0)</f>
        <v>0</v>
      </c>
      <c r="Z20" s="44">
        <f>IFERROR(SUMIF('10店辅助表'!T:T,B:B,'10店辅助表'!W:W),0)</f>
        <v>0</v>
      </c>
      <c r="AA20" s="44">
        <f>IFERROR(SUMIF('10店辅助表'!AC:AC,B:B,'10店辅助表'!AF:AF),0)</f>
        <v>0</v>
      </c>
      <c r="AB20" s="91" t="str">
        <f>IFERROR(SUMIF('10店辅助表'!K:K,B:B,'10店辅助表'!N:N)/SUMIF('10店辅助表'!K:K,B:B,'10店辅助表'!O:O),"-")</f>
        <v>-</v>
      </c>
      <c r="AC20" s="91" t="str">
        <f>IFERROR(VLOOKUP(B:B,'[1]10店'!$B:$AB,27,FALSE),"-")</f>
        <v>-</v>
      </c>
      <c r="AD20" s="92" t="str">
        <f t="shared" si="18"/>
        <v>-</v>
      </c>
      <c r="AE20" s="91" t="str">
        <f>IFERROR(SUMIF('10店辅助表'!T:T,B:B,'10店辅助表'!W:W)/SUMIF('10店辅助表'!T:T,B:B,'10店辅助表'!X:X),"-")</f>
        <v>-</v>
      </c>
      <c r="AF20" s="91" t="str">
        <f>IFERROR(SUMIF('10店辅助表'!AC:AC,B:B,'10店辅助表'!AF:AF)/SUMIF('10店辅助表'!AC:AC,B:B,'10店辅助表'!AG:AG),"-")</f>
        <v>-</v>
      </c>
      <c r="AG20" s="99">
        <f>IFERROR(AK20/((SUMIF('10店辅助表'!AT:AT,B:B,'10店辅助表'!AU:AU)+M20)/2),"-")</f>
        <v>0</v>
      </c>
      <c r="AH20" s="99">
        <f>IFERROR(AL20/((SUMIF('10店辅助表'!AW:AW,B:B,'10店辅助表'!AX:AX)+M20)/2),"-")</f>
        <v>0</v>
      </c>
      <c r="AI20" s="100" t="str">
        <f>IFERROR((SUMIF('10店辅助表'!AP:AP,B:B,'10店辅助表'!AR:AR)-SUMIF('10店辅助表'!AP:AP,B:B,'10店辅助表'!AR:AR)*0.15-(L20+IFERROR(VLOOKUP(B:B,'10店辅助表'!AZ:BA,2,0),0))*O20-IF(AN:AN="US",6.85,4.9)*(Z20+7.81*O20))/SUMIF('10店辅助表'!AP:AP,B:B,'10店辅助表'!AR:AR),"-")</f>
        <v>-</v>
      </c>
      <c r="AJ20" s="100" t="str">
        <f t="shared" si="19"/>
        <v>-</v>
      </c>
      <c r="AK20" s="101">
        <f t="shared" si="20"/>
        <v>0</v>
      </c>
      <c r="AL20" s="101">
        <f t="shared" si="21"/>
        <v>0</v>
      </c>
      <c r="AM20" s="1" t="str">
        <f>VLOOKUP(B:B,'10店辅助表'!AZ:AZ,1,FALSE)</f>
        <v>Y10030-WH-4</v>
      </c>
      <c r="AN20" t="str">
        <f>VLOOKUP(B:B,'10店辅助表'!AZ:BB,3,FALSE)</f>
        <v>us</v>
      </c>
    </row>
    <row r="21" customHeight="1" spans="1:40">
      <c r="A21" s="58" t="s">
        <v>3379</v>
      </c>
      <c r="B21" s="45" t="s">
        <v>3425</v>
      </c>
      <c r="C21" s="45" t="s">
        <v>3426</v>
      </c>
      <c r="D21" s="59">
        <v>45216</v>
      </c>
      <c r="E21" s="45" t="s">
        <v>3427</v>
      </c>
      <c r="F21" s="45">
        <v>9</v>
      </c>
      <c r="G21" s="45">
        <v>0</v>
      </c>
      <c r="H21" s="45">
        <v>41</v>
      </c>
      <c r="I21" s="45">
        <v>0</v>
      </c>
      <c r="J21" s="45">
        <v>0</v>
      </c>
      <c r="K21" s="63">
        <f t="shared" si="11"/>
        <v>50</v>
      </c>
      <c r="L21" s="64">
        <v>22.8</v>
      </c>
      <c r="M21" s="44">
        <f t="shared" si="7"/>
        <v>1140</v>
      </c>
      <c r="N21" s="65">
        <f>IFERROR(VLOOKUP(B:B,'10店辅助表'!B:C,2,FALSE),0)</f>
        <v>0</v>
      </c>
      <c r="O21" s="65">
        <f>IFERROR(VLOOKUP(B:B,'10店辅助表'!E:F,2,FALSE),0)</f>
        <v>0</v>
      </c>
      <c r="P21" s="65">
        <f>IFERROR(VLOOKUP(B:B,'10店辅助表'!H:I,2,FALSE),0)</f>
        <v>0</v>
      </c>
      <c r="Q21" s="65">
        <f>IFERROR(VLOOKUP(B:B,'[1]10店'!$B:$N,13,FALSE),0)</f>
        <v>0</v>
      </c>
      <c r="R21" s="79">
        <f t="shared" si="12"/>
        <v>0</v>
      </c>
      <c r="S21" s="80" t="str">
        <f t="shared" si="13"/>
        <v>-</v>
      </c>
      <c r="T21" s="44" t="str">
        <f t="shared" si="14"/>
        <v>-</v>
      </c>
      <c r="U21" s="44" t="str">
        <f>IFERROR(VLOOKUP(B:B,'[1]10店'!$B:$T,19,0),"-")</f>
        <v>-</v>
      </c>
      <c r="V21" s="81" t="str">
        <f t="shared" si="15"/>
        <v>-</v>
      </c>
      <c r="W21" s="82" t="str">
        <f t="shared" si="16"/>
        <v>本月刚到货</v>
      </c>
      <c r="X21" s="83" t="str">
        <f t="shared" si="17"/>
        <v>本月刚到货</v>
      </c>
      <c r="Y21" s="44">
        <f>IFERROR(SUMIF('10店辅助表'!K:K,B:B,'10店辅助表'!N:N),0)</f>
        <v>1.13</v>
      </c>
      <c r="Z21" s="44">
        <f>IFERROR(SUMIF('10店辅助表'!T:T,B:B,'10店辅助表'!W:W),0)</f>
        <v>1.13</v>
      </c>
      <c r="AA21" s="44">
        <f>IFERROR(SUMIF('10店辅助表'!AC:AC,B:B,'10店辅助表'!AF:AF),0)</f>
        <v>1.13</v>
      </c>
      <c r="AB21" s="91" t="str">
        <f>IFERROR(SUMIF('10店辅助表'!K:K,B:B,'10店辅助表'!N:N)/SUMIF('10店辅助表'!K:K,B:B,'10店辅助表'!O:O),"-")</f>
        <v>-</v>
      </c>
      <c r="AC21" s="91" t="str">
        <f>IFERROR(VLOOKUP(B:B,'[1]10店'!$B:$AB,27,FALSE),"-")</f>
        <v>-</v>
      </c>
      <c r="AD21" s="92" t="str">
        <f t="shared" si="18"/>
        <v>-</v>
      </c>
      <c r="AE21" s="91" t="str">
        <f>IFERROR(SUMIF('10店辅助表'!T:T,B:B,'10店辅助表'!W:W)/SUMIF('10店辅助表'!T:T,B:B,'10店辅助表'!X:X),"-")</f>
        <v>-</v>
      </c>
      <c r="AF21" s="91" t="str">
        <f>IFERROR(SUMIF('10店辅助表'!AC:AC,B:B,'10店辅助表'!AF:AF)/SUMIF('10店辅助表'!AC:AC,B:B,'10店辅助表'!AG:AG),"-")</f>
        <v>-</v>
      </c>
      <c r="AG21" s="99">
        <f>IFERROR(AK21/((SUMIF('10店辅助表'!AT:AT,B:B,'10店辅助表'!AU:AU)+M21)/2),"-")</f>
        <v>0</v>
      </c>
      <c r="AH21" s="99">
        <f>IFERROR(AL21/((SUMIF('10店辅助表'!AW:AW,B:B,'10店辅助表'!AX:AX)+M21)/2),"-")</f>
        <v>0</v>
      </c>
      <c r="AI21" s="100" t="str">
        <f>IFERROR((SUMIF('10店辅助表'!AP:AP,B:B,'10店辅助表'!AR:AR)-SUMIF('10店辅助表'!AP:AP,B:B,'10店辅助表'!AR:AR)*0.15-(L21+IFERROR(VLOOKUP(B:B,'10店辅助表'!AZ:BA,2,0),0))*O21-IF(AN:AN="US",6.85,4.9)*(Z21+7.81*O21))/SUMIF('10店辅助表'!AP:AP,B:B,'10店辅助表'!AR:AR),"-")</f>
        <v>-</v>
      </c>
      <c r="AJ21" s="100" t="str">
        <f t="shared" si="19"/>
        <v>-</v>
      </c>
      <c r="AK21" s="101">
        <f t="shared" si="20"/>
        <v>0</v>
      </c>
      <c r="AL21" s="101">
        <f t="shared" si="21"/>
        <v>0</v>
      </c>
      <c r="AM21" s="1" t="str">
        <f>VLOOKUP(B:B,'10店辅助表'!AZ:AZ,1,FALSE)</f>
        <v>Y10025-BL</v>
      </c>
      <c r="AN21" t="str">
        <f>VLOOKUP(B:B,'10店辅助表'!AZ:BB,3,FALSE)</f>
        <v>us</v>
      </c>
    </row>
    <row r="22" customHeight="1" spans="1:40">
      <c r="A22" s="58" t="s">
        <v>3379</v>
      </c>
      <c r="B22" s="45" t="s">
        <v>3428</v>
      </c>
      <c r="C22" s="45" t="s">
        <v>3429</v>
      </c>
      <c r="D22" s="59">
        <v>45216</v>
      </c>
      <c r="E22" s="45" t="s">
        <v>3430</v>
      </c>
      <c r="F22" s="45">
        <v>9</v>
      </c>
      <c r="G22" s="45">
        <v>0</v>
      </c>
      <c r="H22" s="45">
        <v>41</v>
      </c>
      <c r="I22" s="45">
        <v>0</v>
      </c>
      <c r="J22" s="45">
        <v>0</v>
      </c>
      <c r="K22" s="63">
        <f t="shared" si="11"/>
        <v>50</v>
      </c>
      <c r="L22" s="64">
        <v>22.8</v>
      </c>
      <c r="M22" s="44">
        <f t="shared" si="7"/>
        <v>1140</v>
      </c>
      <c r="N22" s="65">
        <f>IFERROR(VLOOKUP(B:B,'10店辅助表'!B:C,2,FALSE),0)</f>
        <v>1</v>
      </c>
      <c r="O22" s="65">
        <f>IFERROR(VLOOKUP(B:B,'10店辅助表'!E:F,2,FALSE),0)</f>
        <v>1</v>
      </c>
      <c r="P22" s="65">
        <f>IFERROR(VLOOKUP(B:B,'10店辅助表'!H:I,2,FALSE),0)</f>
        <v>1</v>
      </c>
      <c r="Q22" s="65">
        <f>IFERROR(VLOOKUP(B:B,'[1]10店'!$B:$N,13,FALSE),0)</f>
        <v>0</v>
      </c>
      <c r="R22" s="79">
        <f t="shared" si="12"/>
        <v>1</v>
      </c>
      <c r="S22" s="80">
        <f t="shared" si="13"/>
        <v>617.64705882353</v>
      </c>
      <c r="T22" s="44">
        <f t="shared" si="14"/>
        <v>20.5882352941176</v>
      </c>
      <c r="U22" s="44" t="str">
        <f>IFERROR(VLOOKUP(B:B,'[1]10店'!$B:$T,19,0),"-")</f>
        <v>-</v>
      </c>
      <c r="V22" s="81" t="str">
        <f t="shared" si="15"/>
        <v>-</v>
      </c>
      <c r="W22" s="82" t="str">
        <f t="shared" si="16"/>
        <v>本月刚到货</v>
      </c>
      <c r="X22" s="83" t="str">
        <f t="shared" si="17"/>
        <v>本月刚到货</v>
      </c>
      <c r="Y22" s="44">
        <f>IFERROR(SUMIF('10店辅助表'!K:K,B:B,'10店辅助表'!N:N),0)</f>
        <v>6.17</v>
      </c>
      <c r="Z22" s="44">
        <f>IFERROR(SUMIF('10店辅助表'!T:T,B:B,'10店辅助表'!W:W),0)</f>
        <v>6.17</v>
      </c>
      <c r="AA22" s="44">
        <f>IFERROR(SUMIF('10店辅助表'!AC:AC,B:B,'10店辅助表'!AF:AF),0)</f>
        <v>6.17</v>
      </c>
      <c r="AB22" s="91">
        <f>IFERROR(SUMIF('10店辅助表'!K:K,B:B,'10店辅助表'!N:N)/SUMIF('10店辅助表'!K:K,B:B,'10店辅助表'!O:O),"-")</f>
        <v>0.308654327163582</v>
      </c>
      <c r="AC22" s="91" t="str">
        <f>IFERROR(VLOOKUP(B:B,'[1]10店'!$B:$AB,27,FALSE),"-")</f>
        <v>-</v>
      </c>
      <c r="AD22" s="92" t="str">
        <f t="shared" si="18"/>
        <v>-</v>
      </c>
      <c r="AE22" s="91">
        <f>IFERROR(SUMIF('10店辅助表'!T:T,B:B,'10店辅助表'!W:W)/SUMIF('10店辅助表'!T:T,B:B,'10店辅助表'!X:X),"-")</f>
        <v>0.308654327163582</v>
      </c>
      <c r="AF22" s="91">
        <f>IFERROR(SUMIF('10店辅助表'!AC:AC,B:B,'10店辅助表'!AF:AF)/SUMIF('10店辅助表'!AC:AC,B:B,'10店辅助表'!AG:AG),"-")</f>
        <v>0.308654327163582</v>
      </c>
      <c r="AG22" s="99">
        <f>IFERROR(AK22/((SUMIF('10店辅助表'!AT:AT,B:B,'10店辅助表'!AU:AU)+M22)/2),"-")</f>
        <v>0.04</v>
      </c>
      <c r="AH22" s="99">
        <f>IFERROR(AL22/((SUMIF('10店辅助表'!AW:AW,B:B,'10店辅助表'!AX:AX)+M22)/2),"-")</f>
        <v>0.04</v>
      </c>
      <c r="AI22" s="100">
        <f>IFERROR((SUMIF('10店辅助表'!AP:AP,B:B,'10店辅助表'!AR:AR)-SUMIF('10店辅助表'!AP:AP,B:B,'10店辅助表'!AR:AR)*0.15-(L22+IFERROR(VLOOKUP(B:B,'10店辅助表'!AZ:BA,2,0),0))*O22-IF(AN:AN="US",6.85,4.9)*(Z22+7.81*O22))/SUMIF('10店辅助表'!AP:AP,B:B,'10店辅助表'!AR:AR),"-")</f>
        <v>-0.0542258355455101</v>
      </c>
      <c r="AJ22" s="100">
        <f t="shared" si="19"/>
        <v>-0.0021690334218204</v>
      </c>
      <c r="AK22" s="101">
        <f t="shared" si="20"/>
        <v>22.8</v>
      </c>
      <c r="AL22" s="101">
        <f t="shared" si="21"/>
        <v>22.8</v>
      </c>
      <c r="AM22" s="1" t="str">
        <f>VLOOKUP(B:B,'10店辅助表'!AZ:AZ,1,FALSE)</f>
        <v>Y10025-WH</v>
      </c>
      <c r="AN22" t="str">
        <f>VLOOKUP(B:B,'10店辅助表'!AZ:BB,3,FALSE)</f>
        <v>us</v>
      </c>
    </row>
    <row r="23" customHeight="1" spans="1:40">
      <c r="A23" s="58" t="s">
        <v>3379</v>
      </c>
      <c r="B23" s="45" t="s">
        <v>3431</v>
      </c>
      <c r="C23" s="45" t="s">
        <v>3432</v>
      </c>
      <c r="D23" s="59">
        <v>45217</v>
      </c>
      <c r="E23" s="45" t="s">
        <v>3433</v>
      </c>
      <c r="F23" s="45">
        <v>7</v>
      </c>
      <c r="G23" s="45">
        <v>0</v>
      </c>
      <c r="H23" s="45">
        <v>43</v>
      </c>
      <c r="I23" s="45">
        <v>0</v>
      </c>
      <c r="J23" s="45">
        <v>0</v>
      </c>
      <c r="K23" s="63">
        <f t="shared" si="11"/>
        <v>50</v>
      </c>
      <c r="L23" s="64">
        <v>49.799</v>
      </c>
      <c r="M23" s="44">
        <f t="shared" si="7"/>
        <v>2489.95</v>
      </c>
      <c r="N23" s="65">
        <f>IFERROR(VLOOKUP(B:B,'10店辅助表'!B:C,2,FALSE),0)</f>
        <v>0</v>
      </c>
      <c r="O23" s="65">
        <f>IFERROR(VLOOKUP(B:B,'10店辅助表'!E:F,2,FALSE),0)</f>
        <v>0</v>
      </c>
      <c r="P23" s="65">
        <f>IFERROR(VLOOKUP(B:B,'10店辅助表'!H:I,2,FALSE),0)</f>
        <v>0</v>
      </c>
      <c r="Q23" s="65">
        <f>IFERROR(VLOOKUP(B:B,'[1]10店'!$B:$N,13,FALSE),0)</f>
        <v>0</v>
      </c>
      <c r="R23" s="79">
        <f t="shared" si="12"/>
        <v>0</v>
      </c>
      <c r="S23" s="80" t="str">
        <f t="shared" si="13"/>
        <v>-</v>
      </c>
      <c r="T23" s="44" t="str">
        <f t="shared" si="14"/>
        <v>-</v>
      </c>
      <c r="U23" s="44" t="str">
        <f>IFERROR(VLOOKUP(B:B,'[1]10店'!$B:$T,19,0),"-")</f>
        <v>-</v>
      </c>
      <c r="V23" s="81" t="str">
        <f t="shared" si="15"/>
        <v>-</v>
      </c>
      <c r="W23" s="82" t="str">
        <f t="shared" si="16"/>
        <v>本月刚到货</v>
      </c>
      <c r="X23" s="83" t="str">
        <f t="shared" si="17"/>
        <v>本月刚到货</v>
      </c>
      <c r="Y23" s="44">
        <f>IFERROR(SUMIF('10店辅助表'!K:K,B:B,'10店辅助表'!N:N),0)</f>
        <v>0</v>
      </c>
      <c r="Z23" s="44">
        <f>IFERROR(SUMIF('10店辅助表'!T:T,B:B,'10店辅助表'!W:W),0)</f>
        <v>0</v>
      </c>
      <c r="AA23" s="44">
        <f>IFERROR(SUMIF('10店辅助表'!AC:AC,B:B,'10店辅助表'!AF:AF),0)</f>
        <v>0</v>
      </c>
      <c r="AB23" s="91" t="str">
        <f>IFERROR(SUMIF('10店辅助表'!K:K,B:B,'10店辅助表'!N:N)/SUMIF('10店辅助表'!K:K,B:B,'10店辅助表'!O:O),"-")</f>
        <v>-</v>
      </c>
      <c r="AC23" s="91" t="str">
        <f>IFERROR(VLOOKUP(B:B,'[1]10店'!$B:$AB,27,FALSE),"-")</f>
        <v>-</v>
      </c>
      <c r="AD23" s="92" t="str">
        <f t="shared" si="18"/>
        <v>-</v>
      </c>
      <c r="AE23" s="91" t="str">
        <f>IFERROR(SUMIF('10店辅助表'!T:T,B:B,'10店辅助表'!W:W)/SUMIF('10店辅助表'!T:T,B:B,'10店辅助表'!X:X),"-")</f>
        <v>-</v>
      </c>
      <c r="AF23" s="91" t="str">
        <f>IFERROR(SUMIF('10店辅助表'!AC:AC,B:B,'10店辅助表'!AF:AF)/SUMIF('10店辅助表'!AC:AC,B:B,'10店辅助表'!AG:AG),"-")</f>
        <v>-</v>
      </c>
      <c r="AG23" s="99">
        <f>IFERROR(AK23/((SUMIF('10店辅助表'!AT:AT,B:B,'10店辅助表'!AU:AU)+M23)/2),"-")</f>
        <v>0</v>
      </c>
      <c r="AH23" s="99">
        <f>IFERROR(AL23/((SUMIF('10店辅助表'!AW:AW,B:B,'10店辅助表'!AX:AX)+M23)/2),"-")</f>
        <v>0</v>
      </c>
      <c r="AI23" s="100" t="str">
        <f>IFERROR((SUMIF('10店辅助表'!AP:AP,B:B,'10店辅助表'!AR:AR)-SUMIF('10店辅助表'!AP:AP,B:B,'10店辅助表'!AR:AR)*0.15-(L23+IFERROR(VLOOKUP(B:B,'10店辅助表'!AZ:BA,2,0),0))*O23-IF(AN:AN="US",6.85,4.9)*(Z23+7.81*O23))/SUMIF('10店辅助表'!AP:AP,B:B,'10店辅助表'!AR:AR),"-")</f>
        <v>-</v>
      </c>
      <c r="AJ23" s="100" t="str">
        <f t="shared" si="19"/>
        <v>-</v>
      </c>
      <c r="AK23" s="101">
        <f t="shared" si="20"/>
        <v>0</v>
      </c>
      <c r="AL23" s="101">
        <f t="shared" si="21"/>
        <v>0</v>
      </c>
      <c r="AM23" s="1" t="str">
        <f>VLOOKUP(B:B,'10店辅助表'!AZ:AZ,1,FALSE)</f>
        <v>Y10027-3</v>
      </c>
      <c r="AN23" t="str">
        <f>VLOOKUP(B:B,'10店辅助表'!AZ:BB,3,FALSE)</f>
        <v>us</v>
      </c>
    </row>
    <row r="24" customHeight="1" spans="1:40">
      <c r="A24" s="58" t="s">
        <v>3379</v>
      </c>
      <c r="B24" s="45" t="s">
        <v>3434</v>
      </c>
      <c r="C24" s="45" t="s">
        <v>3435</v>
      </c>
      <c r="D24" s="59">
        <v>45217</v>
      </c>
      <c r="E24" s="45" t="s">
        <v>3436</v>
      </c>
      <c r="F24" s="45">
        <v>7</v>
      </c>
      <c r="G24" s="45">
        <v>0</v>
      </c>
      <c r="H24" s="45">
        <v>42</v>
      </c>
      <c r="I24" s="45">
        <v>0</v>
      </c>
      <c r="J24" s="45">
        <v>1</v>
      </c>
      <c r="K24" s="63">
        <f t="shared" si="11"/>
        <v>50</v>
      </c>
      <c r="L24" s="64">
        <v>90.201</v>
      </c>
      <c r="M24" s="44">
        <f t="shared" si="7"/>
        <v>4510.05</v>
      </c>
      <c r="N24" s="65">
        <f>IFERROR(VLOOKUP(B:B,'10店辅助表'!B:C,2,FALSE),0)</f>
        <v>0</v>
      </c>
      <c r="O24" s="65">
        <f>IFERROR(VLOOKUP(B:B,'10店辅助表'!E:F,2,FALSE),0)</f>
        <v>0</v>
      </c>
      <c r="P24" s="65">
        <f>IFERROR(VLOOKUP(B:B,'10店辅助表'!H:I,2,FALSE),0)</f>
        <v>0</v>
      </c>
      <c r="Q24" s="65">
        <f>IFERROR(VLOOKUP(B:B,'[1]10店'!$B:$N,13,FALSE),0)</f>
        <v>0</v>
      </c>
      <c r="R24" s="79">
        <f t="shared" si="12"/>
        <v>0</v>
      </c>
      <c r="S24" s="80" t="str">
        <f t="shared" si="13"/>
        <v>-</v>
      </c>
      <c r="T24" s="44" t="str">
        <f t="shared" si="14"/>
        <v>-</v>
      </c>
      <c r="U24" s="44" t="str">
        <f>IFERROR(VLOOKUP(B:B,'[1]10店'!$B:$T,19,0),"-")</f>
        <v>-</v>
      </c>
      <c r="V24" s="81" t="str">
        <f t="shared" si="15"/>
        <v>-</v>
      </c>
      <c r="W24" s="82" t="str">
        <f t="shared" si="16"/>
        <v>本月刚到货</v>
      </c>
      <c r="X24" s="83" t="str">
        <f t="shared" si="17"/>
        <v>本月刚到货</v>
      </c>
      <c r="Y24" s="44">
        <f>IFERROR(SUMIF('10店辅助表'!K:K,B:B,'10店辅助表'!N:N),0)</f>
        <v>1.25</v>
      </c>
      <c r="Z24" s="44">
        <f>IFERROR(SUMIF('10店辅助表'!T:T,B:B,'10店辅助表'!W:W),0)</f>
        <v>1.25</v>
      </c>
      <c r="AA24" s="44">
        <f>IFERROR(SUMIF('10店辅助表'!AC:AC,B:B,'10店辅助表'!AF:AF),0)</f>
        <v>1.25</v>
      </c>
      <c r="AB24" s="91" t="str">
        <f>IFERROR(SUMIF('10店辅助表'!K:K,B:B,'10店辅助表'!N:N)/SUMIF('10店辅助表'!K:K,B:B,'10店辅助表'!O:O),"-")</f>
        <v>-</v>
      </c>
      <c r="AC24" s="91" t="str">
        <f>IFERROR(VLOOKUP(B:B,'[1]10店'!$B:$AB,27,FALSE),"-")</f>
        <v>-</v>
      </c>
      <c r="AD24" s="92" t="str">
        <f t="shared" si="18"/>
        <v>-</v>
      </c>
      <c r="AE24" s="91" t="str">
        <f>IFERROR(SUMIF('10店辅助表'!T:T,B:B,'10店辅助表'!W:W)/SUMIF('10店辅助表'!T:T,B:B,'10店辅助表'!X:X),"-")</f>
        <v>-</v>
      </c>
      <c r="AF24" s="91" t="str">
        <f>IFERROR(SUMIF('10店辅助表'!AC:AC,B:B,'10店辅助表'!AF:AF)/SUMIF('10店辅助表'!AC:AC,B:B,'10店辅助表'!AG:AG),"-")</f>
        <v>-</v>
      </c>
      <c r="AG24" s="99">
        <f>IFERROR(AK24/((SUMIF('10店辅助表'!AT:AT,B:B,'10店辅助表'!AU:AU)+M24)/2),"-")</f>
        <v>0</v>
      </c>
      <c r="AH24" s="99">
        <f>IFERROR(AL24/((SUMIF('10店辅助表'!AW:AW,B:B,'10店辅助表'!AX:AX)+M24)/2),"-")</f>
        <v>0</v>
      </c>
      <c r="AI24" s="100" t="str">
        <f>IFERROR((SUMIF('10店辅助表'!AP:AP,B:B,'10店辅助表'!AR:AR)-SUMIF('10店辅助表'!AP:AP,B:B,'10店辅助表'!AR:AR)*0.15-(L24+IFERROR(VLOOKUP(B:B,'10店辅助表'!AZ:BA,2,0),0))*O24-IF(AN:AN="US",6.85,4.9)*(Z24+7.81*O24))/SUMIF('10店辅助表'!AP:AP,B:B,'10店辅助表'!AR:AR),"-")</f>
        <v>-</v>
      </c>
      <c r="AJ24" s="100" t="str">
        <f t="shared" si="19"/>
        <v>-</v>
      </c>
      <c r="AK24" s="101">
        <f t="shared" si="20"/>
        <v>0</v>
      </c>
      <c r="AL24" s="101">
        <f t="shared" si="21"/>
        <v>0</v>
      </c>
      <c r="AM24" s="1" t="str">
        <f>VLOOKUP(B:B,'10店辅助表'!AZ:AZ,1,FALSE)</f>
        <v>Y10027-6</v>
      </c>
      <c r="AN24" t="str">
        <f>VLOOKUP(B:B,'10店辅助表'!AZ:BB,3,FALSE)</f>
        <v>us</v>
      </c>
    </row>
    <row r="25" customHeight="1" spans="1:40">
      <c r="A25" s="58" t="s">
        <v>1431</v>
      </c>
      <c r="B25" s="45" t="s">
        <v>3437</v>
      </c>
      <c r="C25" s="45" t="s">
        <v>50</v>
      </c>
      <c r="D25" s="59">
        <f>VLOOKUP(B:B,'[1]10店'!$B:$L,3,0)</f>
        <v>45180</v>
      </c>
      <c r="E25" s="45" t="s">
        <v>3438</v>
      </c>
      <c r="F25" s="45">
        <v>10</v>
      </c>
      <c r="G25" s="45">
        <v>0</v>
      </c>
      <c r="H25" s="45">
        <v>0</v>
      </c>
      <c r="I25" s="45">
        <v>0</v>
      </c>
      <c r="J25" s="45">
        <v>0</v>
      </c>
      <c r="K25" s="63">
        <f t="shared" si="11"/>
        <v>10</v>
      </c>
      <c r="L25" s="64">
        <f>IFERROR(VLOOKUP($B:$B,'[1]10店'!$B:$L,11,0),0)</f>
        <v>13.9</v>
      </c>
      <c r="M25" s="44">
        <f t="shared" si="7"/>
        <v>139</v>
      </c>
      <c r="N25" s="65">
        <f>IFERROR(VLOOKUP(B:B,'10店辅助表'!B:C,2,FALSE),0)</f>
        <v>1</v>
      </c>
      <c r="O25" s="65">
        <f>IFERROR(VLOOKUP(B:B,'10店辅助表'!E:F,2,FALSE),0)</f>
        <v>1</v>
      </c>
      <c r="P25" s="65">
        <f>IFERROR(VLOOKUP(B:B,'10店辅助表'!H:I,2,FALSE),0)</f>
        <v>1</v>
      </c>
      <c r="Q25" s="65">
        <f>IFERROR(VLOOKUP(B:B,'[1]10店'!$B:$N,13,FALSE),0)</f>
        <v>0</v>
      </c>
      <c r="R25" s="79">
        <f t="shared" si="12"/>
        <v>1</v>
      </c>
      <c r="S25" s="80">
        <f t="shared" si="13"/>
        <v>123.529411764706</v>
      </c>
      <c r="T25" s="44">
        <f t="shared" si="14"/>
        <v>4.11764705882353</v>
      </c>
      <c r="U25" s="44" t="str">
        <f>IFERROR(VLOOKUP(B:B,'[1]10店'!$B:$T,19,0),"-")</f>
        <v>-</v>
      </c>
      <c r="V25" s="81" t="str">
        <f t="shared" si="15"/>
        <v>-</v>
      </c>
      <c r="W25" s="82" t="str">
        <f t="shared" si="16"/>
        <v>库存过高</v>
      </c>
      <c r="X25" s="83" t="str">
        <f t="shared" si="17"/>
        <v>库存过高</v>
      </c>
      <c r="Y25" s="44">
        <f>IFERROR(SUMIF('10店辅助表'!K:K,B:B,'10店辅助表'!N:N),0)</f>
        <v>3.51</v>
      </c>
      <c r="Z25" s="44">
        <f>IFERROR(SUMIF('10店辅助表'!T:T,B:B,'10店辅助表'!W:W),0)</f>
        <v>6.63</v>
      </c>
      <c r="AA25" s="44">
        <f>IFERROR(SUMIF('10店辅助表'!AC:AC,B:B,'10店辅助表'!AF:AF),0)</f>
        <v>6.63</v>
      </c>
      <c r="AB25" s="91">
        <f>IFERROR(SUMIF('10店辅助表'!K:K,B:B,'10店辅助表'!N:N)/SUMIF('10店辅助表'!K:K,B:B,'10店辅助表'!O:O),"-")</f>
        <v>0.292743953294412</v>
      </c>
      <c r="AC25" s="91" t="str">
        <f>IFERROR(VLOOKUP(B:B,'[1]10店'!$B:$AB,27,FALSE),"-")</f>
        <v>-</v>
      </c>
      <c r="AD25" s="92" t="str">
        <f t="shared" si="18"/>
        <v>-</v>
      </c>
      <c r="AE25" s="91">
        <f>IFERROR(SUMIF('10店辅助表'!T:T,B:B,'10店辅助表'!W:W)/SUMIF('10店辅助表'!T:T,B:B,'10店辅助表'!X:X),"-")</f>
        <v>0.552960800667223</v>
      </c>
      <c r="AF25" s="91">
        <f>IFERROR(SUMIF('10店辅助表'!AC:AC,B:B,'10店辅助表'!AF:AF)/SUMIF('10店辅助表'!AC:AC,B:B,'10店辅助表'!AG:AG),"-")</f>
        <v>0.552960800667223</v>
      </c>
      <c r="AG25" s="99">
        <f>IFERROR(AK25/((SUMIF('10店辅助表'!AT:AT,B:B,'10店辅助表'!AU:AU)+M25)/2),"-")</f>
        <v>0.0952380952380952</v>
      </c>
      <c r="AH25" s="99">
        <f>IFERROR(AL25/((SUMIF('10店辅助表'!AW:AW,B:B,'10店辅助表'!AX:AX)+M25)/2),"-")</f>
        <v>0.2</v>
      </c>
      <c r="AI25" s="100">
        <f>IFERROR((SUMIF('10店辅助表'!AP:AP,B:B,'10店辅助表'!AR:AR)-SUMIF('10店辅助表'!AP:AP,B:B,'10店辅助表'!AR:AR)*0.15-(L25+IFERROR(VLOOKUP(B:B,'10店辅助表'!AZ:BA,2,0),0))*O25-IF(AN:AN="US",6.85,4.9)*(Z25+4.27*O25))/SUMIF('10店辅助表'!AP:AP,B:B,'10店辅助表'!AR:AR),"-")</f>
        <v>-0.154411029258891</v>
      </c>
      <c r="AJ25" s="100">
        <f t="shared" si="19"/>
        <v>-0.0308822058517782</v>
      </c>
      <c r="AK25" s="101">
        <f t="shared" si="20"/>
        <v>13.9</v>
      </c>
      <c r="AL25" s="101">
        <f t="shared" si="21"/>
        <v>13.9</v>
      </c>
      <c r="AM25" s="1" t="str">
        <f>VLOOKUP(B:B,'10店辅助表'!AZ:AZ,1,FALSE)</f>
        <v>Y102000-BL+Y102013+Y102749</v>
      </c>
      <c r="AN25" t="str">
        <f>VLOOKUP(B:B,'10店辅助表'!AZ:BB,3,FALSE)</f>
        <v>us</v>
      </c>
    </row>
    <row r="26" customHeight="1" spans="1:40">
      <c r="A26" s="58" t="s">
        <v>1431</v>
      </c>
      <c r="B26" s="45" t="s">
        <v>3439</v>
      </c>
      <c r="C26" s="45" t="s">
        <v>2431</v>
      </c>
      <c r="D26" s="59">
        <f>VLOOKUP(B:B,'[1]10店'!$B:$L,3,0)</f>
        <v>45180</v>
      </c>
      <c r="E26" s="45" t="s">
        <v>3440</v>
      </c>
      <c r="F26" s="45">
        <v>12</v>
      </c>
      <c r="G26" s="45">
        <v>0</v>
      </c>
      <c r="H26" s="45">
        <v>0</v>
      </c>
      <c r="I26" s="45">
        <v>0</v>
      </c>
      <c r="J26" s="45">
        <v>0</v>
      </c>
      <c r="K26" s="63">
        <f t="shared" si="11"/>
        <v>12</v>
      </c>
      <c r="L26" s="64">
        <f>IFERROR(VLOOKUP($B:$B,'[1]10店'!$B:$L,11,0),0)</f>
        <v>13.9</v>
      </c>
      <c r="M26" s="44">
        <f t="shared" si="7"/>
        <v>166.8</v>
      </c>
      <c r="N26" s="65">
        <f>IFERROR(VLOOKUP(B:B,'10店辅助表'!B:C,2,FALSE),0)</f>
        <v>3</v>
      </c>
      <c r="O26" s="65">
        <f>IFERROR(VLOOKUP(B:B,'10店辅助表'!E:F,2,FALSE),0)</f>
        <v>3</v>
      </c>
      <c r="P26" s="65">
        <f>IFERROR(VLOOKUP(B:B,'10店辅助表'!H:I,2,FALSE),0)</f>
        <v>3</v>
      </c>
      <c r="Q26" s="65">
        <f>IFERROR(VLOOKUP(B:B,'[1]10店'!$B:$N,13,FALSE),0)</f>
        <v>0</v>
      </c>
      <c r="R26" s="79">
        <f t="shared" si="12"/>
        <v>3</v>
      </c>
      <c r="S26" s="80">
        <f t="shared" si="13"/>
        <v>49.4117647058824</v>
      </c>
      <c r="T26" s="44">
        <f t="shared" si="14"/>
        <v>1.64705882352941</v>
      </c>
      <c r="U26" s="44" t="str">
        <f>IFERROR(VLOOKUP(B:B,'[1]10店'!$B:$T,19,0),"-")</f>
        <v>-</v>
      </c>
      <c r="V26" s="81" t="str">
        <f t="shared" si="15"/>
        <v>-</v>
      </c>
      <c r="W26" s="82" t="str">
        <f t="shared" si="16"/>
        <v>正常</v>
      </c>
      <c r="X26" s="83" t="str">
        <f t="shared" si="17"/>
        <v>库存过高</v>
      </c>
      <c r="Y26" s="44">
        <f>IFERROR(SUMIF('10店辅助表'!K:K,B:B,'10店辅助表'!N:N),0)</f>
        <v>4.85</v>
      </c>
      <c r="Z26" s="44">
        <f>IFERROR(SUMIF('10店辅助表'!T:T,B:B,'10店辅助表'!W:W),0)</f>
        <v>6.18</v>
      </c>
      <c r="AA26" s="44">
        <f>IFERROR(SUMIF('10店辅助表'!AC:AC,B:B,'10店辅助表'!AF:AF),0)</f>
        <v>6.18</v>
      </c>
      <c r="AB26" s="91">
        <f>IFERROR(SUMIF('10店辅助表'!K:K,B:B,'10店辅助表'!N:N)/SUMIF('10店辅助表'!K:K,B:B,'10店辅助表'!O:O),"-")</f>
        <v>0.373364126250962</v>
      </c>
      <c r="AC26" s="91" t="str">
        <f>IFERROR(VLOOKUP(B:B,'[1]10店'!$B:$AB,27,FALSE),"-")</f>
        <v>-</v>
      </c>
      <c r="AD26" s="92" t="str">
        <f t="shared" si="18"/>
        <v>-</v>
      </c>
      <c r="AE26" s="91">
        <f>IFERROR(SUMIF('10店辅助表'!T:T,B:B,'10店辅助表'!W:W)/SUMIF('10店辅助表'!T:T,B:B,'10店辅助表'!X:X),"-")</f>
        <v>0.475750577367205</v>
      </c>
      <c r="AF26" s="91">
        <f>IFERROR(SUMIF('10店辅助表'!AC:AC,B:B,'10店辅助表'!AF:AF)/SUMIF('10店辅助表'!AC:AC,B:B,'10店辅助表'!AG:AG),"-")</f>
        <v>0.475750577367205</v>
      </c>
      <c r="AG26" s="99">
        <f>IFERROR(AK26/((SUMIF('10店辅助表'!AT:AT,B:B,'10店辅助表'!AU:AU)+M26)/2),"-")</f>
        <v>0.222222222222222</v>
      </c>
      <c r="AH26" s="99">
        <f>IFERROR(AL26/((SUMIF('10店辅助表'!AW:AW,B:B,'10店辅助表'!AX:AX)+M26)/2),"-")</f>
        <v>0.5</v>
      </c>
      <c r="AI26" s="100">
        <f>IFERROR((SUMIF('10店辅助表'!AP:AP,B:B,'10店辅助表'!AR:AR)-SUMIF('10店辅助表'!AP:AP,B:B,'10店辅助表'!AR:AR)*0.15-(L26+IFERROR(VLOOKUP(B:B,'10店辅助表'!AZ:BA,2,0),0))*O26-IF(AN:AN="US",6.85,4.9)*(Z26+4.27*O26))/SUMIF('10店辅助表'!AP:AP,B:B,'10店辅助表'!AR:AR),"-")</f>
        <v>0.19739805465181</v>
      </c>
      <c r="AJ26" s="100">
        <f t="shared" si="19"/>
        <v>0.0986990273259049</v>
      </c>
      <c r="AK26" s="101">
        <f t="shared" si="20"/>
        <v>41.7</v>
      </c>
      <c r="AL26" s="101">
        <f t="shared" si="21"/>
        <v>41.7</v>
      </c>
      <c r="AM26" s="1" t="str">
        <f>VLOOKUP(B:B,'10店辅助表'!AZ:AZ,1,FALSE)</f>
        <v>Y102000-DB+Y102013+Y102749</v>
      </c>
      <c r="AN26" t="str">
        <f>VLOOKUP(B:B,'10店辅助表'!AZ:BB,3,FALSE)</f>
        <v>us</v>
      </c>
    </row>
    <row r="27" customHeight="1" spans="1:40">
      <c r="A27" s="58" t="s">
        <v>1431</v>
      </c>
      <c r="B27" s="45" t="s">
        <v>3441</v>
      </c>
      <c r="C27" s="45" t="s">
        <v>2434</v>
      </c>
      <c r="D27" s="59">
        <f>VLOOKUP(B:B,'[1]10店'!$B:$L,3,0)</f>
        <v>45180</v>
      </c>
      <c r="E27" s="45" t="s">
        <v>3442</v>
      </c>
      <c r="F27" s="45">
        <v>15</v>
      </c>
      <c r="G27" s="45">
        <v>0</v>
      </c>
      <c r="H27" s="45">
        <v>0</v>
      </c>
      <c r="I27" s="45">
        <v>0</v>
      </c>
      <c r="J27" s="45">
        <v>0</v>
      </c>
      <c r="K27" s="63">
        <f t="shared" si="11"/>
        <v>15</v>
      </c>
      <c r="L27" s="64">
        <f>IFERROR(VLOOKUP($B:$B,'[1]10店'!$B:$L,11,0),0)</f>
        <v>13.9</v>
      </c>
      <c r="M27" s="44">
        <f t="shared" si="7"/>
        <v>208.5</v>
      </c>
      <c r="N27" s="65">
        <f>IFERROR(VLOOKUP(B:B,'10店辅助表'!B:C,2,FALSE),0)</f>
        <v>1</v>
      </c>
      <c r="O27" s="65">
        <f>IFERROR(VLOOKUP(B:B,'10店辅助表'!E:F,2,FALSE),0)</f>
        <v>1</v>
      </c>
      <c r="P27" s="65">
        <f>IFERROR(VLOOKUP(B:B,'10店辅助表'!H:I,2,FALSE),0)</f>
        <v>1</v>
      </c>
      <c r="Q27" s="65">
        <f>IFERROR(VLOOKUP(B:B,'[1]10店'!$B:$N,13,FALSE),0)</f>
        <v>0</v>
      </c>
      <c r="R27" s="79">
        <f t="shared" si="12"/>
        <v>1</v>
      </c>
      <c r="S27" s="80">
        <f t="shared" si="13"/>
        <v>185.294117647059</v>
      </c>
      <c r="T27" s="44">
        <f t="shared" si="14"/>
        <v>6.17647058823529</v>
      </c>
      <c r="U27" s="44" t="str">
        <f>IFERROR(VLOOKUP(B:B,'[1]10店'!$B:$T,19,0),"-")</f>
        <v>-</v>
      </c>
      <c r="V27" s="81" t="str">
        <f t="shared" si="15"/>
        <v>-</v>
      </c>
      <c r="W27" s="82" t="str">
        <f t="shared" si="16"/>
        <v>库存过高</v>
      </c>
      <c r="X27" s="83" t="str">
        <f t="shared" si="17"/>
        <v>库存过高</v>
      </c>
      <c r="Y27" s="44">
        <f>IFERROR(SUMIF('10店辅助表'!K:K,B:B,'10店辅助表'!N:N),0)</f>
        <v>2.5</v>
      </c>
      <c r="Z27" s="44">
        <f>IFERROR(SUMIF('10店辅助表'!T:T,B:B,'10店辅助表'!W:W),0)</f>
        <v>2.98</v>
      </c>
      <c r="AA27" s="44">
        <f>IFERROR(SUMIF('10店辅助表'!AC:AC,B:B,'10店辅助表'!AF:AF),0)</f>
        <v>3.41</v>
      </c>
      <c r="AB27" s="91" t="str">
        <f>IFERROR(SUMIF('10店辅助表'!K:K,B:B,'10店辅助表'!N:N)/SUMIF('10店辅助表'!K:K,B:B,'10店辅助表'!O:O),"-")</f>
        <v>-</v>
      </c>
      <c r="AC27" s="91" t="str">
        <f>IFERROR(VLOOKUP(B:B,'[1]10店'!$B:$AB,27,FALSE),"-")</f>
        <v>-</v>
      </c>
      <c r="AD27" s="92" t="str">
        <f t="shared" si="18"/>
        <v>-</v>
      </c>
      <c r="AE27" s="91" t="str">
        <f>IFERROR(SUMIF('10店辅助表'!T:T,B:B,'10店辅助表'!W:W)/SUMIF('10店辅助表'!T:T,B:B,'10店辅助表'!X:X),"-")</f>
        <v>-</v>
      </c>
      <c r="AF27" s="91" t="str">
        <f>IFERROR(SUMIF('10店辅助表'!AC:AC,B:B,'10店辅助表'!AF:AF)/SUMIF('10店辅助表'!AC:AC,B:B,'10店辅助表'!AG:AG),"-")</f>
        <v>-</v>
      </c>
      <c r="AG27" s="99">
        <f>IFERROR(AK27/((SUMIF('10店辅助表'!AT:AT,B:B,'10店辅助表'!AU:AU)+M27)/2),"-")</f>
        <v>0.0666666666666667</v>
      </c>
      <c r="AH27" s="99">
        <f>IFERROR(AL27/((SUMIF('10店辅助表'!AW:AW,B:B,'10店辅助表'!AX:AX)+M27)/2),"-")</f>
        <v>0.133333333333333</v>
      </c>
      <c r="AI27" s="100">
        <f>IFERROR((SUMIF('10店辅助表'!AP:AP,B:B,'10店辅助表'!AR:AR)-SUMIF('10店辅助表'!AP:AP,B:B,'10店辅助表'!AR:AR)*0.15-(L27+IFERROR(VLOOKUP(B:B,'10店辅助表'!AZ:BA,2,0),0))*O27-IF(AN:AN="US",6.85,4.9)*(Z27+4.27*O27))/SUMIF('10店辅助表'!AP:AP,B:B,'10店辅助表'!AR:AR),"-")</f>
        <v>0.066238592988074</v>
      </c>
      <c r="AJ27" s="100">
        <f t="shared" si="19"/>
        <v>0.00883181239840987</v>
      </c>
      <c r="AK27" s="101">
        <f t="shared" si="20"/>
        <v>13.9</v>
      </c>
      <c r="AL27" s="101">
        <f t="shared" si="21"/>
        <v>13.9</v>
      </c>
      <c r="AM27" s="1" t="str">
        <f>VLOOKUP(B:B,'10店辅助表'!AZ:AZ,1,FALSE)</f>
        <v>Y102000-OR+Y102013+Y102749</v>
      </c>
      <c r="AN27" t="str">
        <f>VLOOKUP(B:B,'10店辅助表'!AZ:BB,3,FALSE)</f>
        <v>us</v>
      </c>
    </row>
    <row r="28" customHeight="1" spans="1:40">
      <c r="A28" s="58" t="s">
        <v>1431</v>
      </c>
      <c r="B28" s="45" t="s">
        <v>3443</v>
      </c>
      <c r="C28" s="45" t="s">
        <v>2218</v>
      </c>
      <c r="D28" s="59">
        <f>VLOOKUP(B:B,'[1]10店'!$B:$L,3,0)</f>
        <v>45180</v>
      </c>
      <c r="E28" s="45" t="s">
        <v>3444</v>
      </c>
      <c r="F28" s="45">
        <v>14</v>
      </c>
      <c r="G28" s="45">
        <v>0</v>
      </c>
      <c r="H28" s="45">
        <v>0</v>
      </c>
      <c r="I28" s="45">
        <v>0</v>
      </c>
      <c r="J28" s="45">
        <v>0</v>
      </c>
      <c r="K28" s="63">
        <f t="shared" si="11"/>
        <v>14</v>
      </c>
      <c r="L28" s="64">
        <f>IFERROR(VLOOKUP($B:$B,'[1]10店'!$B:$L,11,0),0)</f>
        <v>13.9</v>
      </c>
      <c r="M28" s="44">
        <f t="shared" si="7"/>
        <v>194.6</v>
      </c>
      <c r="N28" s="65">
        <f>IFERROR(VLOOKUP(B:B,'10店辅助表'!B:C,2,FALSE),0)</f>
        <v>0</v>
      </c>
      <c r="O28" s="65">
        <f>IFERROR(VLOOKUP(B:B,'10店辅助表'!E:F,2,FALSE),0)</f>
        <v>1</v>
      </c>
      <c r="P28" s="65">
        <f>IFERROR(VLOOKUP(B:B,'10店辅助表'!H:I,2,FALSE),0)</f>
        <v>1</v>
      </c>
      <c r="Q28" s="65">
        <f>IFERROR(VLOOKUP(B:B,'[1]10店'!$B:$N,13,FALSE),0)</f>
        <v>1</v>
      </c>
      <c r="R28" s="79">
        <f t="shared" si="12"/>
        <v>-1</v>
      </c>
      <c r="S28" s="80">
        <f t="shared" si="13"/>
        <v>420</v>
      </c>
      <c r="T28" s="44">
        <f t="shared" si="14"/>
        <v>14</v>
      </c>
      <c r="U28" s="44">
        <f>IFERROR(VLOOKUP(B:B,'[1]10店'!$B:$T,19,0),"-")</f>
        <v>5.76470588235294</v>
      </c>
      <c r="V28" s="81">
        <f t="shared" si="15"/>
        <v>8.23529411764706</v>
      </c>
      <c r="W28" s="82" t="str">
        <f t="shared" si="16"/>
        <v>有库存无销量</v>
      </c>
      <c r="X28" s="83" t="str">
        <f t="shared" si="17"/>
        <v>库存过高</v>
      </c>
      <c r="Y28" s="44">
        <f>IFERROR(SUMIF('10店辅助表'!K:K,B:B,'10店辅助表'!N:N),0)</f>
        <v>0</v>
      </c>
      <c r="Z28" s="44">
        <f>IFERROR(SUMIF('10店辅助表'!T:T,B:B,'10店辅助表'!W:W),0)</f>
        <v>0.98</v>
      </c>
      <c r="AA28" s="44">
        <f>IFERROR(SUMIF('10店辅助表'!AC:AC,B:B,'10店辅助表'!AF:AF),0)</f>
        <v>1.44</v>
      </c>
      <c r="AB28" s="91" t="str">
        <f>IFERROR(SUMIF('10店辅助表'!K:K,B:B,'10店辅助表'!N:N)/SUMIF('10店辅助表'!K:K,B:B,'10店辅助表'!O:O),"-")</f>
        <v>-</v>
      </c>
      <c r="AC28" s="91">
        <f>IFERROR(VLOOKUP(B:B,'[1]10店'!$B:$AB,27,FALSE),"-")</f>
        <v>0.0754426481909161</v>
      </c>
      <c r="AD28" s="92" t="str">
        <f t="shared" si="18"/>
        <v>-</v>
      </c>
      <c r="AE28" s="91">
        <f>IFERROR(SUMIF('10店辅助表'!T:T,B:B,'10店辅助表'!W:W)/SUMIF('10店辅助表'!T:T,B:B,'10店辅助表'!X:X),"-")</f>
        <v>0.0754426481909161</v>
      </c>
      <c r="AF28" s="91">
        <f>IFERROR(SUMIF('10店辅助表'!AC:AC,B:B,'10店辅助表'!AF:AF)/SUMIF('10店辅助表'!AC:AC,B:B,'10店辅助表'!AG:AG),"-")</f>
        <v>0.110854503464203</v>
      </c>
      <c r="AG28" s="99">
        <f>IFERROR(AK28/((SUMIF('10店辅助表'!AT:AT,B:B,'10店辅助表'!AU:AU)+M28)/2),"-")</f>
        <v>0</v>
      </c>
      <c r="AH28" s="99">
        <f>IFERROR(AL28/((SUMIF('10店辅助表'!AW:AW,B:B,'10店辅助表'!AX:AX)+M28)/2),"-")</f>
        <v>0.142857142857143</v>
      </c>
      <c r="AI28" s="100">
        <f>IFERROR((SUMIF('10店辅助表'!AP:AP,B:B,'10店辅助表'!AR:AR)-SUMIF('10店辅助表'!AP:AP,B:B,'10店辅助表'!AR:AR)*0.15-(L28+IFERROR(VLOOKUP(B:B,'10店辅助表'!AZ:BA,2,0),0))*O28-IF(AN:AN="US",6.85,4.9)*(Z28+4.27*O28))/SUMIF('10店辅助表'!AP:AP,B:B,'10店辅助表'!AR:AR),"-")</f>
        <v>0.280538932249962</v>
      </c>
      <c r="AJ28" s="100">
        <f t="shared" si="19"/>
        <v>0.0400769903214232</v>
      </c>
      <c r="AK28" s="101">
        <f t="shared" si="20"/>
        <v>0</v>
      </c>
      <c r="AL28" s="101">
        <f t="shared" si="21"/>
        <v>13.9</v>
      </c>
      <c r="AM28" s="1" t="str">
        <f>VLOOKUP(B:B,'10店辅助表'!AZ:AZ,1,FALSE)</f>
        <v>Y103040-BL+Y103045+Y103043</v>
      </c>
      <c r="AN28" t="str">
        <f>VLOOKUP(B:B,'10店辅助表'!AZ:BB,3,FALSE)</f>
        <v>us</v>
      </c>
    </row>
    <row r="29" customHeight="1" spans="1:40">
      <c r="A29" s="58" t="s">
        <v>1431</v>
      </c>
      <c r="B29" s="45" t="s">
        <v>3445</v>
      </c>
      <c r="C29" s="45" t="s">
        <v>2221</v>
      </c>
      <c r="D29" s="59">
        <f>VLOOKUP(B:B,'[1]10店'!$B:$L,3,0)</f>
        <v>45180</v>
      </c>
      <c r="E29" s="45" t="s">
        <v>3446</v>
      </c>
      <c r="F29" s="45">
        <v>15</v>
      </c>
      <c r="G29" s="45">
        <v>0</v>
      </c>
      <c r="H29" s="45">
        <v>0</v>
      </c>
      <c r="I29" s="45">
        <v>0</v>
      </c>
      <c r="J29" s="45">
        <v>0</v>
      </c>
      <c r="K29" s="63">
        <f t="shared" si="11"/>
        <v>15</v>
      </c>
      <c r="L29" s="64">
        <f>IFERROR(VLOOKUP($B:$B,'[1]10店'!$B:$L,11,0),0)</f>
        <v>13.9</v>
      </c>
      <c r="M29" s="44">
        <f t="shared" si="7"/>
        <v>208.5</v>
      </c>
      <c r="N29" s="65">
        <f>IFERROR(VLOOKUP(B:B,'10店辅助表'!B:C,2,FALSE),0)</f>
        <v>0</v>
      </c>
      <c r="O29" s="65">
        <f>IFERROR(VLOOKUP(B:B,'10店辅助表'!E:F,2,FALSE),0)</f>
        <v>0</v>
      </c>
      <c r="P29" s="65">
        <f>IFERROR(VLOOKUP(B:B,'10店辅助表'!H:I,2,FALSE),0)</f>
        <v>0</v>
      </c>
      <c r="Q29" s="65">
        <f>IFERROR(VLOOKUP(B:B,'[1]10店'!$B:$N,13,FALSE),0)</f>
        <v>0</v>
      </c>
      <c r="R29" s="79">
        <f t="shared" si="12"/>
        <v>0</v>
      </c>
      <c r="S29" s="80" t="str">
        <f t="shared" si="13"/>
        <v>-</v>
      </c>
      <c r="T29" s="44" t="str">
        <f t="shared" si="14"/>
        <v>-</v>
      </c>
      <c r="U29" s="44" t="str">
        <f>IFERROR(VLOOKUP(B:B,'[1]10店'!$B:$T,19,0),"-")</f>
        <v>-</v>
      </c>
      <c r="V29" s="81" t="str">
        <f t="shared" si="15"/>
        <v>-</v>
      </c>
      <c r="W29" s="82" t="str">
        <f t="shared" si="16"/>
        <v>有库存无销量</v>
      </c>
      <c r="X29" s="83" t="str">
        <f t="shared" si="17"/>
        <v>有库存无销量</v>
      </c>
      <c r="Y29" s="44">
        <f>IFERROR(SUMIF('10店辅助表'!K:K,B:B,'10店辅助表'!N:N),0)</f>
        <v>0.51</v>
      </c>
      <c r="Z29" s="44">
        <f>IFERROR(SUMIF('10店辅助表'!T:T,B:B,'10店辅助表'!W:W),0)</f>
        <v>1.49</v>
      </c>
      <c r="AA29" s="44">
        <f>IFERROR(SUMIF('10店辅助表'!AC:AC,B:B,'10店辅助表'!AF:AF),0)</f>
        <v>1.49</v>
      </c>
      <c r="AB29" s="91" t="str">
        <f>IFERROR(SUMIF('10店辅助表'!K:K,B:B,'10店辅助表'!N:N)/SUMIF('10店辅助表'!K:K,B:B,'10店辅助表'!O:O),"-")</f>
        <v>-</v>
      </c>
      <c r="AC29" s="91" t="str">
        <f>IFERROR(VLOOKUP(B:B,'[1]10店'!$B:$AB,27,FALSE),"-")</f>
        <v>-</v>
      </c>
      <c r="AD29" s="92" t="str">
        <f t="shared" si="18"/>
        <v>-</v>
      </c>
      <c r="AE29" s="91" t="str">
        <f>IFERROR(SUMIF('10店辅助表'!T:T,B:B,'10店辅助表'!W:W)/SUMIF('10店辅助表'!T:T,B:B,'10店辅助表'!X:X),"-")</f>
        <v>-</v>
      </c>
      <c r="AF29" s="91" t="str">
        <f>IFERROR(SUMIF('10店辅助表'!AC:AC,B:B,'10店辅助表'!AF:AF)/SUMIF('10店辅助表'!AC:AC,B:B,'10店辅助表'!AG:AG),"-")</f>
        <v>-</v>
      </c>
      <c r="AG29" s="99">
        <f>IFERROR(AK29/((SUMIF('10店辅助表'!AT:AT,B:B,'10店辅助表'!AU:AU)+M29)/2),"-")</f>
        <v>0</v>
      </c>
      <c r="AH29" s="99">
        <f>IFERROR(AL29/((SUMIF('10店辅助表'!AW:AW,B:B,'10店辅助表'!AX:AX)+M29)/2),"-")</f>
        <v>0</v>
      </c>
      <c r="AI29" s="100" t="str">
        <f>IFERROR((SUMIF('10店辅助表'!AP:AP,B:B,'10店辅助表'!AR:AR)-SUMIF('10店辅助表'!AP:AP,B:B,'10店辅助表'!AR:AR)*0.15-(L29+IFERROR(VLOOKUP(B:B,'10店辅助表'!AZ:BA,2,0),0))*O29-IF(AN:AN="US",6.85,4.9)*(Z29+4.27*O29))/SUMIF('10店辅助表'!AP:AP,B:B,'10店辅助表'!AR:AR),"-")</f>
        <v>-</v>
      </c>
      <c r="AJ29" s="100" t="str">
        <f t="shared" si="19"/>
        <v>-</v>
      </c>
      <c r="AK29" s="101">
        <f t="shared" si="20"/>
        <v>0</v>
      </c>
      <c r="AL29" s="101">
        <f t="shared" si="21"/>
        <v>0</v>
      </c>
      <c r="AM29" s="1" t="str">
        <f>VLOOKUP(B:B,'10店辅助表'!AZ:AZ,1,FALSE)</f>
        <v>Y103040-DB+Y103045+Y103043</v>
      </c>
      <c r="AN29" t="str">
        <f>VLOOKUP(B:B,'10店辅助表'!AZ:BB,3,FALSE)</f>
        <v>us</v>
      </c>
    </row>
    <row r="30" customHeight="1" spans="1:40">
      <c r="A30" s="58" t="s">
        <v>1431</v>
      </c>
      <c r="B30" s="45" t="s">
        <v>3447</v>
      </c>
      <c r="C30" s="45" t="s">
        <v>83</v>
      </c>
      <c r="D30" s="59">
        <f>VLOOKUP(B:B,'[1]10店'!$B:$L,3,0)</f>
        <v>45180</v>
      </c>
      <c r="E30" s="45" t="s">
        <v>3448</v>
      </c>
      <c r="F30" s="45">
        <v>15</v>
      </c>
      <c r="G30" s="45">
        <v>0</v>
      </c>
      <c r="H30" s="45">
        <v>0</v>
      </c>
      <c r="I30" s="45">
        <v>0</v>
      </c>
      <c r="J30" s="45">
        <v>0</v>
      </c>
      <c r="K30" s="63">
        <f t="shared" si="11"/>
        <v>15</v>
      </c>
      <c r="L30" s="64">
        <f>IFERROR(VLOOKUP($B:$B,'[1]10店'!$B:$L,11,0),0)</f>
        <v>13.9</v>
      </c>
      <c r="M30" s="44">
        <f t="shared" si="7"/>
        <v>208.5</v>
      </c>
      <c r="N30" s="65">
        <f>IFERROR(VLOOKUP(B:B,'10店辅助表'!B:C,2,FALSE),0)</f>
        <v>0</v>
      </c>
      <c r="O30" s="65">
        <f>IFERROR(VLOOKUP(B:B,'10店辅助表'!E:F,2,FALSE),0)</f>
        <v>0</v>
      </c>
      <c r="P30" s="65">
        <f>IFERROR(VLOOKUP(B:B,'10店辅助表'!H:I,2,FALSE),0)</f>
        <v>0</v>
      </c>
      <c r="Q30" s="65">
        <f>IFERROR(VLOOKUP(B:B,'[1]10店'!$B:$N,13,FALSE),0)</f>
        <v>0</v>
      </c>
      <c r="R30" s="79">
        <f t="shared" si="12"/>
        <v>0</v>
      </c>
      <c r="S30" s="80" t="str">
        <f t="shared" si="13"/>
        <v>-</v>
      </c>
      <c r="T30" s="44" t="str">
        <f t="shared" si="14"/>
        <v>-</v>
      </c>
      <c r="U30" s="44" t="str">
        <f>IFERROR(VLOOKUP(B:B,'[1]10店'!$B:$T,19,0),"-")</f>
        <v>-</v>
      </c>
      <c r="V30" s="81" t="str">
        <f t="shared" si="15"/>
        <v>-</v>
      </c>
      <c r="W30" s="82" t="str">
        <f t="shared" si="16"/>
        <v>有库存无销量</v>
      </c>
      <c r="X30" s="83" t="str">
        <f t="shared" si="17"/>
        <v>有库存无销量</v>
      </c>
      <c r="Y30" s="44">
        <f>IFERROR(SUMIF('10店辅助表'!K:K,B:B,'10店辅助表'!N:N),0)</f>
        <v>0.85</v>
      </c>
      <c r="Z30" s="44">
        <f>IFERROR(SUMIF('10店辅助表'!T:T,B:B,'10店辅助表'!W:W),0)</f>
        <v>1.98</v>
      </c>
      <c r="AA30" s="44">
        <f>IFERROR(SUMIF('10店辅助表'!AC:AC,B:B,'10店辅助表'!AF:AF),0)</f>
        <v>2.47</v>
      </c>
      <c r="AB30" s="91" t="str">
        <f>IFERROR(SUMIF('10店辅助表'!K:K,B:B,'10店辅助表'!N:N)/SUMIF('10店辅助表'!K:K,B:B,'10店辅助表'!O:O),"-")</f>
        <v>-</v>
      </c>
      <c r="AC30" s="91" t="str">
        <f>IFERROR(VLOOKUP(B:B,'[1]10店'!$B:$AB,27,FALSE),"-")</f>
        <v>-</v>
      </c>
      <c r="AD30" s="92" t="str">
        <f t="shared" si="18"/>
        <v>-</v>
      </c>
      <c r="AE30" s="91" t="str">
        <f>IFERROR(SUMIF('10店辅助表'!T:T,B:B,'10店辅助表'!W:W)/SUMIF('10店辅助表'!T:T,B:B,'10店辅助表'!X:X),"-")</f>
        <v>-</v>
      </c>
      <c r="AF30" s="91" t="str">
        <f>IFERROR(SUMIF('10店辅助表'!AC:AC,B:B,'10店辅助表'!AF:AF)/SUMIF('10店辅助表'!AC:AC,B:B,'10店辅助表'!AG:AG),"-")</f>
        <v>-</v>
      </c>
      <c r="AG30" s="99">
        <f>IFERROR(AK30/((SUMIF('10店辅助表'!AT:AT,B:B,'10店辅助表'!AU:AU)+M30)/2),"-")</f>
        <v>0</v>
      </c>
      <c r="AH30" s="99">
        <f>IFERROR(AL30/((SUMIF('10店辅助表'!AW:AW,B:B,'10店辅助表'!AX:AX)+M30)/2),"-")</f>
        <v>0</v>
      </c>
      <c r="AI30" s="100" t="str">
        <f>IFERROR((SUMIF('10店辅助表'!AP:AP,B:B,'10店辅助表'!AR:AR)-SUMIF('10店辅助表'!AP:AP,B:B,'10店辅助表'!AR:AR)*0.15-(L30+IFERROR(VLOOKUP(B:B,'10店辅助表'!AZ:BA,2,0),0))*O30-IF(AN:AN="US",6.85,4.9)*(Z30+4.27*O30))/SUMIF('10店辅助表'!AP:AP,B:B,'10店辅助表'!AR:AR),"-")</f>
        <v>-</v>
      </c>
      <c r="AJ30" s="100" t="str">
        <f t="shared" si="19"/>
        <v>-</v>
      </c>
      <c r="AK30" s="101">
        <f t="shared" si="20"/>
        <v>0</v>
      </c>
      <c r="AL30" s="101">
        <f t="shared" si="21"/>
        <v>0</v>
      </c>
      <c r="AM30" s="1" t="str">
        <f>VLOOKUP(B:B,'10店辅助表'!AZ:AZ,1,FALSE)</f>
        <v>Y103040-OR+Y103045+Y103043</v>
      </c>
      <c r="AN30" t="str">
        <f>VLOOKUP(B:B,'10店辅助表'!AZ:BB,3,FALSE)</f>
        <v>us</v>
      </c>
    </row>
    <row r="31" customHeight="1" spans="1:40">
      <c r="A31" s="58" t="s">
        <v>1431</v>
      </c>
      <c r="B31" s="45" t="s">
        <v>3449</v>
      </c>
      <c r="C31" s="45" t="s">
        <v>2201</v>
      </c>
      <c r="D31" s="59">
        <f>VLOOKUP(B:B,'[1]10店'!$B:$L,3,0)</f>
        <v>45180</v>
      </c>
      <c r="E31" s="45" t="s">
        <v>3450</v>
      </c>
      <c r="F31" s="45">
        <v>14</v>
      </c>
      <c r="G31" s="45">
        <v>0</v>
      </c>
      <c r="H31" s="45">
        <v>0</v>
      </c>
      <c r="I31" s="45">
        <v>0</v>
      </c>
      <c r="J31" s="45">
        <v>0</v>
      </c>
      <c r="K31" s="63">
        <f t="shared" si="11"/>
        <v>14</v>
      </c>
      <c r="L31" s="64">
        <f>IFERROR(VLOOKUP($B:$B,'[1]10店'!$B:$L,11,0),0)</f>
        <v>13.9</v>
      </c>
      <c r="M31" s="44">
        <f t="shared" si="7"/>
        <v>194.6</v>
      </c>
      <c r="N31" s="65">
        <f>IFERROR(VLOOKUP(B:B,'10店辅助表'!B:C,2,FALSE),0)</f>
        <v>1</v>
      </c>
      <c r="O31" s="65">
        <f>IFERROR(VLOOKUP(B:B,'10店辅助表'!E:F,2,FALSE),0)</f>
        <v>1</v>
      </c>
      <c r="P31" s="65">
        <f>IFERROR(VLOOKUP(B:B,'10店辅助表'!H:I,2,FALSE),0)</f>
        <v>1</v>
      </c>
      <c r="Q31" s="65">
        <f>IFERROR(VLOOKUP(B:B,'[1]10店'!$B:$N,13,FALSE),0)</f>
        <v>0</v>
      </c>
      <c r="R31" s="79">
        <f t="shared" si="12"/>
        <v>1</v>
      </c>
      <c r="S31" s="80">
        <f t="shared" si="13"/>
        <v>172.941176470588</v>
      </c>
      <c r="T31" s="44">
        <f t="shared" si="14"/>
        <v>5.76470588235294</v>
      </c>
      <c r="U31" s="44" t="str">
        <f>IFERROR(VLOOKUP(B:B,'[1]10店'!$B:$T,19,0),"-")</f>
        <v>-</v>
      </c>
      <c r="V31" s="81" t="str">
        <f t="shared" si="15"/>
        <v>-</v>
      </c>
      <c r="W31" s="82" t="str">
        <f t="shared" si="16"/>
        <v>库存过高</v>
      </c>
      <c r="X31" s="83" t="str">
        <f t="shared" si="17"/>
        <v>库存过高</v>
      </c>
      <c r="Y31" s="44">
        <f>IFERROR(SUMIF('10店辅助表'!K:K,B:B,'10店辅助表'!N:N),0)</f>
        <v>3.31</v>
      </c>
      <c r="Z31" s="44">
        <f>IFERROR(SUMIF('10店辅助表'!T:T,B:B,'10店辅助表'!W:W),0)</f>
        <v>4.68</v>
      </c>
      <c r="AA31" s="44">
        <f>IFERROR(SUMIF('10店辅助表'!AC:AC,B:B,'10店辅助表'!AF:AF),0)</f>
        <v>5.8</v>
      </c>
      <c r="AB31" s="91">
        <f>IFERROR(SUMIF('10店辅助表'!K:K,B:B,'10店辅助表'!N:N)/SUMIF('10店辅助表'!K:K,B:B,'10店辅助表'!O:O),"-")</f>
        <v>0.254811393379523</v>
      </c>
      <c r="AC31" s="91" t="str">
        <f>IFERROR(VLOOKUP(B:B,'[1]10店'!$B:$AB,27,FALSE),"-")</f>
        <v>-</v>
      </c>
      <c r="AD31" s="92" t="str">
        <f t="shared" si="18"/>
        <v>-</v>
      </c>
      <c r="AE31" s="91">
        <f>IFERROR(SUMIF('10店辅助表'!T:T,B:B,'10店辅助表'!W:W)/SUMIF('10店辅助表'!T:T,B:B,'10店辅助表'!X:X),"-")</f>
        <v>0.36027713625866</v>
      </c>
      <c r="AF31" s="91">
        <f>IFERROR(SUMIF('10店辅助表'!AC:AC,B:B,'10店辅助表'!AF:AF)/SUMIF('10店辅助表'!AC:AC,B:B,'10店辅助表'!AG:AG),"-")</f>
        <v>0.446497305619707</v>
      </c>
      <c r="AG31" s="99">
        <f>IFERROR(AK31/((SUMIF('10店辅助表'!AT:AT,B:B,'10店辅助表'!AU:AU)+M31)/2),"-")</f>
        <v>0.0689655172413793</v>
      </c>
      <c r="AH31" s="99">
        <f>IFERROR(AL31/((SUMIF('10店辅助表'!AW:AW,B:B,'10店辅助表'!AX:AX)+M31)/2),"-")</f>
        <v>0.142857142857143</v>
      </c>
      <c r="AI31" s="100">
        <f>IFERROR((SUMIF('10店辅助表'!AP:AP,B:B,'10店辅助表'!AR:AR)-SUMIF('10店辅助表'!AP:AP,B:B,'10店辅助表'!AR:AR)*0.15-(L31+IFERROR(VLOOKUP(B:B,'10店辅助表'!AZ:BA,2,0),0))*O31-IF(AN:AN="US",6.85,4.9)*(Z31+4.27*O31))/SUMIF('10店辅助表'!AP:AP,B:B,'10店辅助表'!AR:AR),"-")</f>
        <v>-0.00429555581778225</v>
      </c>
      <c r="AJ31" s="100">
        <f t="shared" si="19"/>
        <v>-0.00061365083111175</v>
      </c>
      <c r="AK31" s="101">
        <f t="shared" si="20"/>
        <v>13.9</v>
      </c>
      <c r="AL31" s="101">
        <f t="shared" si="21"/>
        <v>13.9</v>
      </c>
      <c r="AM31" s="1" t="str">
        <f>VLOOKUP(B:B,'10店辅助表'!AZ:AZ,1,FALSE)</f>
        <v>Y103106-BL+Y103109+Y103112</v>
      </c>
      <c r="AN31" t="str">
        <f>VLOOKUP(B:B,'10店辅助表'!AZ:BB,3,FALSE)</f>
        <v>us</v>
      </c>
    </row>
    <row r="32" customHeight="1" spans="1:40">
      <c r="A32" s="58" t="s">
        <v>1431</v>
      </c>
      <c r="B32" s="45" t="s">
        <v>3451</v>
      </c>
      <c r="C32" s="45" t="s">
        <v>2204</v>
      </c>
      <c r="D32" s="59">
        <f>VLOOKUP(B:B,'[1]10店'!$B:$L,3,0)</f>
        <v>45180</v>
      </c>
      <c r="E32" s="45" t="s">
        <v>3452</v>
      </c>
      <c r="F32" s="45">
        <v>13</v>
      </c>
      <c r="G32" s="45">
        <v>0</v>
      </c>
      <c r="H32" s="45">
        <v>0</v>
      </c>
      <c r="I32" s="45">
        <v>0</v>
      </c>
      <c r="J32" s="45">
        <v>0</v>
      </c>
      <c r="K32" s="63">
        <f t="shared" si="11"/>
        <v>13</v>
      </c>
      <c r="L32" s="64">
        <f>IFERROR(VLOOKUP($B:$B,'[1]10店'!$B:$L,11,0),0)</f>
        <v>13.9</v>
      </c>
      <c r="M32" s="44">
        <f t="shared" si="7"/>
        <v>180.7</v>
      </c>
      <c r="N32" s="65">
        <f>IFERROR(VLOOKUP(B:B,'10店辅助表'!B:C,2,FALSE),0)</f>
        <v>1</v>
      </c>
      <c r="O32" s="65">
        <f>IFERROR(VLOOKUP(B:B,'10店辅助表'!E:F,2,FALSE),0)</f>
        <v>2</v>
      </c>
      <c r="P32" s="65">
        <f>IFERROR(VLOOKUP(B:B,'10店辅助表'!H:I,2,FALSE),0)</f>
        <v>2</v>
      </c>
      <c r="Q32" s="65">
        <f>IFERROR(VLOOKUP(B:B,'[1]10店'!$B:$N,13,FALSE),0)</f>
        <v>1</v>
      </c>
      <c r="R32" s="79">
        <f t="shared" si="12"/>
        <v>0</v>
      </c>
      <c r="S32" s="80">
        <f t="shared" si="13"/>
        <v>113.75</v>
      </c>
      <c r="T32" s="44">
        <f t="shared" si="14"/>
        <v>3.79166666666667</v>
      </c>
      <c r="U32" s="44">
        <f>IFERROR(VLOOKUP(B:B,'[1]10店'!$B:$T,19,0),"-")</f>
        <v>5.76470588235294</v>
      </c>
      <c r="V32" s="81">
        <f t="shared" si="15"/>
        <v>-1.97303921568627</v>
      </c>
      <c r="W32" s="82" t="str">
        <f t="shared" si="16"/>
        <v>库存过高</v>
      </c>
      <c r="X32" s="83" t="str">
        <f t="shared" si="17"/>
        <v>库存过高</v>
      </c>
      <c r="Y32" s="44">
        <f>IFERROR(SUMIF('10店辅助表'!K:K,B:B,'10店辅助表'!N:N),0)</f>
        <v>1.32</v>
      </c>
      <c r="Z32" s="44">
        <f>IFERROR(SUMIF('10店辅助表'!T:T,B:B,'10店辅助表'!W:W),0)</f>
        <v>2.23</v>
      </c>
      <c r="AA32" s="44">
        <f>IFERROR(SUMIF('10店辅助表'!AC:AC,B:B,'10店辅助表'!AF:AF),0)</f>
        <v>2.68</v>
      </c>
      <c r="AB32" s="91" t="str">
        <f>IFERROR(SUMIF('10店辅助表'!K:K,B:B,'10店辅助表'!N:N)/SUMIF('10店辅助表'!K:K,B:B,'10店辅助表'!O:O),"-")</f>
        <v>-</v>
      </c>
      <c r="AC32" s="91">
        <f>IFERROR(VLOOKUP(B:B,'[1]10店'!$B:$AB,27,FALSE),"-")</f>
        <v>0.0346420323325635</v>
      </c>
      <c r="AD32" s="92" t="str">
        <f t="shared" si="18"/>
        <v>-</v>
      </c>
      <c r="AE32" s="91">
        <f>IFERROR(SUMIF('10店辅助表'!T:T,B:B,'10店辅助表'!W:W)/SUMIF('10店辅助表'!T:T,B:B,'10店辅助表'!X:X),"-")</f>
        <v>0.17167051578137</v>
      </c>
      <c r="AF32" s="91">
        <f>IFERROR(SUMIF('10店辅助表'!AC:AC,B:B,'10店辅助表'!AF:AF)/SUMIF('10店辅助表'!AC:AC,B:B,'10店辅助表'!AG:AG),"-")</f>
        <v>0.206312548113934</v>
      </c>
      <c r="AG32" s="99">
        <f>IFERROR(AK32/((SUMIF('10店辅助表'!AT:AT,B:B,'10店辅助表'!AU:AU)+M32)/2),"-")</f>
        <v>0.0740740740740741</v>
      </c>
      <c r="AH32" s="99">
        <f>IFERROR(AL32/((SUMIF('10店辅助表'!AW:AW,B:B,'10店辅助表'!AX:AX)+M32)/2),"-")</f>
        <v>0.307692307692308</v>
      </c>
      <c r="AI32" s="100">
        <f>IFERROR((SUMIF('10店辅助表'!AP:AP,B:B,'10店辅助表'!AR:AR)-SUMIF('10店辅助表'!AP:AP,B:B,'10店辅助表'!AR:AR)*0.15-(L32+IFERROR(VLOOKUP(B:B,'10店辅助表'!AZ:BA,2,0),0))*O32-IF(AN:AN="US",6.85,4.9)*(Z32+4.27*O32))/SUMIF('10店辅助表'!AP:AP,B:B,'10店辅助表'!AR:AR),"-")</f>
        <v>0.246933605278383</v>
      </c>
      <c r="AJ32" s="100">
        <f t="shared" si="19"/>
        <v>0.0759795708548872</v>
      </c>
      <c r="AK32" s="101">
        <f t="shared" si="20"/>
        <v>13.9</v>
      </c>
      <c r="AL32" s="101">
        <f t="shared" si="21"/>
        <v>27.8</v>
      </c>
      <c r="AM32" s="1" t="str">
        <f>VLOOKUP(B:B,'10店辅助表'!AZ:AZ,1,FALSE)</f>
        <v>Y103106-DB+Y103109+Y103112</v>
      </c>
      <c r="AN32" t="str">
        <f>VLOOKUP(B:B,'10店辅助表'!AZ:BB,3,FALSE)</f>
        <v>us</v>
      </c>
    </row>
    <row r="33" customHeight="1" spans="1:40">
      <c r="A33" s="58" t="s">
        <v>1431</v>
      </c>
      <c r="B33" s="45" t="s">
        <v>3453</v>
      </c>
      <c r="C33" s="45" t="s">
        <v>2207</v>
      </c>
      <c r="D33" s="59">
        <f>VLOOKUP(B:B,'[1]10店'!$B:$L,3,0)</f>
        <v>45180</v>
      </c>
      <c r="E33" s="45" t="s">
        <v>3454</v>
      </c>
      <c r="F33" s="45">
        <v>14</v>
      </c>
      <c r="G33" s="45">
        <v>0</v>
      </c>
      <c r="H33" s="45">
        <v>0</v>
      </c>
      <c r="I33" s="45">
        <v>0</v>
      </c>
      <c r="J33" s="45">
        <v>0</v>
      </c>
      <c r="K33" s="63">
        <f t="shared" si="11"/>
        <v>14</v>
      </c>
      <c r="L33" s="64">
        <f>IFERROR(VLOOKUP($B:$B,'[1]10店'!$B:$L,11,0),0)</f>
        <v>13.9</v>
      </c>
      <c r="M33" s="44">
        <f t="shared" si="7"/>
        <v>194.6</v>
      </c>
      <c r="N33" s="65">
        <f>IFERROR(VLOOKUP(B:B,'10店辅助表'!B:C,2,FALSE),0)</f>
        <v>1</v>
      </c>
      <c r="O33" s="65">
        <f>IFERROR(VLOOKUP(B:B,'10店辅助表'!E:F,2,FALSE),0)</f>
        <v>1</v>
      </c>
      <c r="P33" s="65">
        <f>IFERROR(VLOOKUP(B:B,'10店辅助表'!H:I,2,FALSE),0)</f>
        <v>1</v>
      </c>
      <c r="Q33" s="65">
        <f>IFERROR(VLOOKUP(B:B,'[1]10店'!$B:$N,13,FALSE),0)</f>
        <v>0</v>
      </c>
      <c r="R33" s="79">
        <f t="shared" si="12"/>
        <v>1</v>
      </c>
      <c r="S33" s="80">
        <f t="shared" si="13"/>
        <v>172.941176470588</v>
      </c>
      <c r="T33" s="44">
        <f t="shared" si="14"/>
        <v>5.76470588235294</v>
      </c>
      <c r="U33" s="44" t="str">
        <f>IFERROR(VLOOKUP(B:B,'[1]10店'!$B:$T,19,0),"-")</f>
        <v>-</v>
      </c>
      <c r="V33" s="81" t="str">
        <f t="shared" si="15"/>
        <v>-</v>
      </c>
      <c r="W33" s="82" t="str">
        <f t="shared" si="16"/>
        <v>库存过高</v>
      </c>
      <c r="X33" s="83" t="str">
        <f t="shared" si="17"/>
        <v>库存过高</v>
      </c>
      <c r="Y33" s="44">
        <f>IFERROR(SUMIF('10店辅助表'!K:K,B:B,'10店辅助表'!N:N),0)</f>
        <v>0.95</v>
      </c>
      <c r="Z33" s="44">
        <f>IFERROR(SUMIF('10店辅助表'!T:T,B:B,'10店辅助表'!W:W),0)</f>
        <v>2.6</v>
      </c>
      <c r="AA33" s="44">
        <f>IFERROR(SUMIF('10店辅助表'!AC:AC,B:B,'10店辅助表'!AF:AF),0)</f>
        <v>3.05</v>
      </c>
      <c r="AB33" s="91">
        <f>IFERROR(SUMIF('10店辅助表'!K:K,B:B,'10店辅助表'!N:N)/SUMIF('10店辅助表'!K:K,B:B,'10店辅助表'!O:O),"-")</f>
        <v>0.0380304243394716</v>
      </c>
      <c r="AC33" s="91" t="str">
        <f>IFERROR(VLOOKUP(B:B,'[1]10店'!$B:$AB,27,FALSE),"-")</f>
        <v>-</v>
      </c>
      <c r="AD33" s="92" t="str">
        <f t="shared" si="18"/>
        <v>-</v>
      </c>
      <c r="AE33" s="91">
        <f>IFERROR(SUMIF('10店辅助表'!T:T,B:B,'10店辅助表'!W:W)/SUMIF('10店辅助表'!T:T,B:B,'10店辅助表'!X:X),"-")</f>
        <v>0.104083266613291</v>
      </c>
      <c r="AF33" s="91">
        <f>IFERROR(SUMIF('10店辅助表'!AC:AC,B:B,'10店辅助表'!AF:AF)/SUMIF('10店辅助表'!AC:AC,B:B,'10店辅助表'!AG:AG),"-")</f>
        <v>0.122097678142514</v>
      </c>
      <c r="AG33" s="99">
        <f>IFERROR(AK33/((SUMIF('10店辅助表'!AT:AT,B:B,'10店辅助表'!AU:AU)+M33)/2),"-")</f>
        <v>0.0689655172413793</v>
      </c>
      <c r="AH33" s="99">
        <f>IFERROR(AL33/((SUMIF('10店辅助表'!AW:AW,B:B,'10店辅助表'!AX:AX)+M33)/2),"-")</f>
        <v>0.142857142857143</v>
      </c>
      <c r="AI33" s="100">
        <f>IFERROR((SUMIF('10店辅助表'!AP:AP,B:B,'10店辅助表'!AR:AR)-SUMIF('10店辅助表'!AP:AP,B:B,'10店辅助表'!AR:AR)*0.15-(L33+IFERROR(VLOOKUP(B:B,'10店辅助表'!AZ:BA,2,0),0))*O33-IF(AN:AN="US",6.85,4.9)*(Z33+4.27*O33))/SUMIF('10店辅助表'!AP:AP,B:B,'10店辅助表'!AR:AR),"-")</f>
        <v>0.155827615852733</v>
      </c>
      <c r="AJ33" s="100">
        <f t="shared" si="19"/>
        <v>0.0222610879789619</v>
      </c>
      <c r="AK33" s="101">
        <f t="shared" si="20"/>
        <v>13.9</v>
      </c>
      <c r="AL33" s="101">
        <f t="shared" si="21"/>
        <v>13.9</v>
      </c>
      <c r="AM33" s="1" t="str">
        <f>VLOOKUP(B:B,'10店辅助表'!AZ:AZ,1,FALSE)</f>
        <v>Y103106-OR+Y103109+Y103112</v>
      </c>
      <c r="AN33" t="str">
        <f>VLOOKUP(B:B,'10店辅助表'!AZ:BB,3,FALSE)</f>
        <v>us</v>
      </c>
    </row>
    <row r="34" customHeight="1" spans="1:40">
      <c r="A34" s="58" t="s">
        <v>1431</v>
      </c>
      <c r="B34" s="45" t="s">
        <v>3455</v>
      </c>
      <c r="C34" s="45" t="s">
        <v>86</v>
      </c>
      <c r="D34" s="59">
        <f>VLOOKUP(B:B,'[1]10店'!$B:$L,3,0)</f>
        <v>45180</v>
      </c>
      <c r="E34" s="45" t="s">
        <v>3456</v>
      </c>
      <c r="F34" s="45">
        <v>15</v>
      </c>
      <c r="G34" s="45">
        <v>0</v>
      </c>
      <c r="H34" s="45">
        <v>0</v>
      </c>
      <c r="I34" s="45">
        <v>0</v>
      </c>
      <c r="J34" s="45">
        <v>0</v>
      </c>
      <c r="K34" s="63">
        <f t="shared" si="11"/>
        <v>15</v>
      </c>
      <c r="L34" s="64">
        <f>IFERROR(VLOOKUP($B:$B,'[1]10店'!$B:$L,11,0),0)</f>
        <v>13.9</v>
      </c>
      <c r="M34" s="44">
        <f t="shared" si="7"/>
        <v>208.5</v>
      </c>
      <c r="N34" s="65">
        <f>IFERROR(VLOOKUP(B:B,'10店辅助表'!B:C,2,FALSE),0)</f>
        <v>0</v>
      </c>
      <c r="O34" s="65">
        <f>IFERROR(VLOOKUP(B:B,'10店辅助表'!E:F,2,FALSE),0)</f>
        <v>0</v>
      </c>
      <c r="P34" s="65">
        <f>IFERROR(VLOOKUP(B:B,'10店辅助表'!H:I,2,FALSE),0)</f>
        <v>0</v>
      </c>
      <c r="Q34" s="65">
        <f>IFERROR(VLOOKUP(B:B,'[1]10店'!$B:$N,13,FALSE),0)</f>
        <v>0</v>
      </c>
      <c r="R34" s="79">
        <f t="shared" si="12"/>
        <v>0</v>
      </c>
      <c r="S34" s="80" t="str">
        <f t="shared" si="13"/>
        <v>-</v>
      </c>
      <c r="T34" s="44" t="str">
        <f t="shared" si="14"/>
        <v>-</v>
      </c>
      <c r="U34" s="44" t="str">
        <f>IFERROR(VLOOKUP(B:B,'[1]10店'!$B:$T,19,0),"-")</f>
        <v>-</v>
      </c>
      <c r="V34" s="81" t="str">
        <f t="shared" si="15"/>
        <v>-</v>
      </c>
      <c r="W34" s="82" t="str">
        <f t="shared" si="16"/>
        <v>有库存无销量</v>
      </c>
      <c r="X34" s="83" t="str">
        <f t="shared" si="17"/>
        <v>有库存无销量</v>
      </c>
      <c r="Y34" s="44">
        <f>IFERROR(SUMIF('10店辅助表'!K:K,B:B,'10店辅助表'!N:N),0)</f>
        <v>2.44</v>
      </c>
      <c r="Z34" s="44">
        <f>IFERROR(SUMIF('10店辅助表'!T:T,B:B,'10店辅助表'!W:W),0)</f>
        <v>2.44</v>
      </c>
      <c r="AA34" s="44">
        <f>IFERROR(SUMIF('10店辅助表'!AC:AC,B:B,'10店辅助表'!AF:AF),0)</f>
        <v>2.44</v>
      </c>
      <c r="AB34" s="91" t="str">
        <f>IFERROR(SUMIF('10店辅助表'!K:K,B:B,'10店辅助表'!N:N)/SUMIF('10店辅助表'!K:K,B:B,'10店辅助表'!O:O),"-")</f>
        <v>-</v>
      </c>
      <c r="AC34" s="91" t="str">
        <f>IFERROR(VLOOKUP(B:B,'[1]10店'!$B:$AB,27,FALSE),"-")</f>
        <v>-</v>
      </c>
      <c r="AD34" s="92" t="str">
        <f t="shared" si="18"/>
        <v>-</v>
      </c>
      <c r="AE34" s="91" t="str">
        <f>IFERROR(SUMIF('10店辅助表'!T:T,B:B,'10店辅助表'!W:W)/SUMIF('10店辅助表'!T:T,B:B,'10店辅助表'!X:X),"-")</f>
        <v>-</v>
      </c>
      <c r="AF34" s="91" t="str">
        <f>IFERROR(SUMIF('10店辅助表'!AC:AC,B:B,'10店辅助表'!AF:AF)/SUMIF('10店辅助表'!AC:AC,B:B,'10店辅助表'!AG:AG),"-")</f>
        <v>-</v>
      </c>
      <c r="AG34" s="99">
        <f>IFERROR(AK34/((SUMIF('10店辅助表'!AT:AT,B:B,'10店辅助表'!AU:AU)+M34)/2),"-")</f>
        <v>0</v>
      </c>
      <c r="AH34" s="99">
        <f>IFERROR(AL34/((SUMIF('10店辅助表'!AW:AW,B:B,'10店辅助表'!AX:AX)+M34)/2),"-")</f>
        <v>0</v>
      </c>
      <c r="AI34" s="100" t="str">
        <f>IFERROR((SUMIF('10店辅助表'!AP:AP,B:B,'10店辅助表'!AR:AR)-SUMIF('10店辅助表'!AP:AP,B:B,'10店辅助表'!AR:AR)*0.15-(L34+IFERROR(VLOOKUP(B:B,'10店辅助表'!AZ:BA,2,0),0))*O34-IF(AN:AN="US",6.85,4.9)*(Z34+4.27*O34))/SUMIF('10店辅助表'!AP:AP,B:B,'10店辅助表'!AR:AR),"-")</f>
        <v>-</v>
      </c>
      <c r="AJ34" s="100" t="str">
        <f t="shared" si="19"/>
        <v>-</v>
      </c>
      <c r="AK34" s="101">
        <f t="shared" si="20"/>
        <v>0</v>
      </c>
      <c r="AL34" s="101">
        <f t="shared" si="21"/>
        <v>0</v>
      </c>
      <c r="AM34" s="1" t="str">
        <f>VLOOKUP(B:B,'10店辅助表'!AZ:AZ,1,FALSE)</f>
        <v>Y103134-BL+Y103137+Y103268</v>
      </c>
      <c r="AN34" t="str">
        <f>VLOOKUP(B:B,'10店辅助表'!AZ:BB,3,FALSE)</f>
        <v>us</v>
      </c>
    </row>
    <row r="35" customHeight="1" spans="1:40">
      <c r="A35" s="58" t="s">
        <v>1431</v>
      </c>
      <c r="B35" s="45" t="s">
        <v>3457</v>
      </c>
      <c r="C35" s="45" t="s">
        <v>2421</v>
      </c>
      <c r="D35" s="59">
        <f>VLOOKUP(B:B,'[1]10店'!$B:$L,3,0)</f>
        <v>45180</v>
      </c>
      <c r="E35" s="45" t="s">
        <v>3458</v>
      </c>
      <c r="F35" s="45">
        <v>15</v>
      </c>
      <c r="G35" s="45">
        <v>0</v>
      </c>
      <c r="H35" s="45">
        <v>0</v>
      </c>
      <c r="I35" s="45">
        <v>0</v>
      </c>
      <c r="J35" s="45">
        <v>0</v>
      </c>
      <c r="K35" s="63">
        <f t="shared" si="11"/>
        <v>15</v>
      </c>
      <c r="L35" s="64">
        <f>IFERROR(VLOOKUP($B:$B,'[1]10店'!$B:$L,11,0),0)</f>
        <v>13.9</v>
      </c>
      <c r="M35" s="44">
        <f t="shared" si="7"/>
        <v>208.5</v>
      </c>
      <c r="N35" s="65">
        <f>IFERROR(VLOOKUP(B:B,'10店辅助表'!B:C,2,FALSE),0)</f>
        <v>0</v>
      </c>
      <c r="O35" s="65">
        <f>IFERROR(VLOOKUP(B:B,'10店辅助表'!E:F,2,FALSE),0)</f>
        <v>0</v>
      </c>
      <c r="P35" s="65">
        <f>IFERROR(VLOOKUP(B:B,'10店辅助表'!H:I,2,FALSE),0)</f>
        <v>0</v>
      </c>
      <c r="Q35" s="65">
        <f>IFERROR(VLOOKUP(B:B,'[1]10店'!$B:$N,13,FALSE),0)</f>
        <v>0</v>
      </c>
      <c r="R35" s="79">
        <f t="shared" si="12"/>
        <v>0</v>
      </c>
      <c r="S35" s="80" t="str">
        <f t="shared" si="13"/>
        <v>-</v>
      </c>
      <c r="T35" s="44" t="str">
        <f t="shared" si="14"/>
        <v>-</v>
      </c>
      <c r="U35" s="44" t="str">
        <f>IFERROR(VLOOKUP(B:B,'[1]10店'!$B:$T,19,0),"-")</f>
        <v>-</v>
      </c>
      <c r="V35" s="81" t="str">
        <f t="shared" si="15"/>
        <v>-</v>
      </c>
      <c r="W35" s="82" t="str">
        <f t="shared" si="16"/>
        <v>有库存无销量</v>
      </c>
      <c r="X35" s="83" t="str">
        <f t="shared" si="17"/>
        <v>有库存无销量</v>
      </c>
      <c r="Y35" s="44">
        <f>IFERROR(SUMIF('10店辅助表'!K:K,B:B,'10店辅助表'!N:N),0)</f>
        <v>0.91</v>
      </c>
      <c r="Z35" s="44">
        <f>IFERROR(SUMIF('10店辅助表'!T:T,B:B,'10店辅助表'!W:W),0)</f>
        <v>1.37</v>
      </c>
      <c r="AA35" s="44">
        <f>IFERROR(SUMIF('10店辅助表'!AC:AC,B:B,'10店辅助表'!AF:AF),0)</f>
        <v>1.37</v>
      </c>
      <c r="AB35" s="91" t="str">
        <f>IFERROR(SUMIF('10店辅助表'!K:K,B:B,'10店辅助表'!N:N)/SUMIF('10店辅助表'!K:K,B:B,'10店辅助表'!O:O),"-")</f>
        <v>-</v>
      </c>
      <c r="AC35" s="91" t="str">
        <f>IFERROR(VLOOKUP(B:B,'[1]10店'!$B:$AB,27,FALSE),"-")</f>
        <v>-</v>
      </c>
      <c r="AD35" s="92" t="str">
        <f t="shared" si="18"/>
        <v>-</v>
      </c>
      <c r="AE35" s="91" t="str">
        <f>IFERROR(SUMIF('10店辅助表'!T:T,B:B,'10店辅助表'!W:W)/SUMIF('10店辅助表'!T:T,B:B,'10店辅助表'!X:X),"-")</f>
        <v>-</v>
      </c>
      <c r="AF35" s="91" t="str">
        <f>IFERROR(SUMIF('10店辅助表'!AC:AC,B:B,'10店辅助表'!AF:AF)/SUMIF('10店辅助表'!AC:AC,B:B,'10店辅助表'!AG:AG),"-")</f>
        <v>-</v>
      </c>
      <c r="AG35" s="99">
        <f>IFERROR(AK35/((SUMIF('10店辅助表'!AT:AT,B:B,'10店辅助表'!AU:AU)+M35)/2),"-")</f>
        <v>0</v>
      </c>
      <c r="AH35" s="99">
        <f>IFERROR(AL35/((SUMIF('10店辅助表'!AW:AW,B:B,'10店辅助表'!AX:AX)+M35)/2),"-")</f>
        <v>0</v>
      </c>
      <c r="AI35" s="100" t="str">
        <f>IFERROR((SUMIF('10店辅助表'!AP:AP,B:B,'10店辅助表'!AR:AR)-SUMIF('10店辅助表'!AP:AP,B:B,'10店辅助表'!AR:AR)*0.15-(L35+IFERROR(VLOOKUP(B:B,'10店辅助表'!AZ:BA,2,0),0))*O35-IF(AN:AN="US",6.85,4.9)*(Z35+4.27*O35))/SUMIF('10店辅助表'!AP:AP,B:B,'10店辅助表'!AR:AR),"-")</f>
        <v>-</v>
      </c>
      <c r="AJ35" s="100" t="str">
        <f t="shared" si="19"/>
        <v>-</v>
      </c>
      <c r="AK35" s="101">
        <f t="shared" si="20"/>
        <v>0</v>
      </c>
      <c r="AL35" s="101">
        <f t="shared" si="21"/>
        <v>0</v>
      </c>
      <c r="AM35" s="1" t="str">
        <f>VLOOKUP(B:B,'10店辅助表'!AZ:AZ,1,FALSE)</f>
        <v>Y103134-DB+Y103137+Y103268</v>
      </c>
      <c r="AN35" t="str">
        <f>VLOOKUP(B:B,'10店辅助表'!AZ:BB,3,FALSE)</f>
        <v>us</v>
      </c>
    </row>
    <row r="36" customHeight="1" spans="1:40">
      <c r="A36" s="58" t="s">
        <v>1431</v>
      </c>
      <c r="B36" s="45" t="s">
        <v>3459</v>
      </c>
      <c r="C36" s="45" t="s">
        <v>89</v>
      </c>
      <c r="D36" s="59">
        <f>VLOOKUP(B:B,'[1]10店'!$B:$L,3,0)</f>
        <v>45180</v>
      </c>
      <c r="E36" s="45" t="s">
        <v>3460</v>
      </c>
      <c r="F36" s="45">
        <v>15</v>
      </c>
      <c r="G36" s="45">
        <v>0</v>
      </c>
      <c r="H36" s="45">
        <v>0</v>
      </c>
      <c r="I36" s="45">
        <v>0</v>
      </c>
      <c r="J36" s="45">
        <v>0</v>
      </c>
      <c r="K36" s="63">
        <f t="shared" si="11"/>
        <v>15</v>
      </c>
      <c r="L36" s="64">
        <f>IFERROR(VLOOKUP($B:$B,'[1]10店'!$B:$L,11,0),0)</f>
        <v>13.9</v>
      </c>
      <c r="M36" s="44">
        <f t="shared" si="7"/>
        <v>208.5</v>
      </c>
      <c r="N36" s="65">
        <f>IFERROR(VLOOKUP(B:B,'10店辅助表'!B:C,2,FALSE),0)</f>
        <v>0</v>
      </c>
      <c r="O36" s="65">
        <f>IFERROR(VLOOKUP(B:B,'10店辅助表'!E:F,2,FALSE),0)</f>
        <v>0</v>
      </c>
      <c r="P36" s="65">
        <f>IFERROR(VLOOKUP(B:B,'10店辅助表'!H:I,2,FALSE),0)</f>
        <v>0</v>
      </c>
      <c r="Q36" s="65">
        <f>IFERROR(VLOOKUP(B:B,'[1]10店'!$B:$N,13,FALSE),0)</f>
        <v>0</v>
      </c>
      <c r="R36" s="79">
        <f t="shared" si="12"/>
        <v>0</v>
      </c>
      <c r="S36" s="80" t="str">
        <f t="shared" si="13"/>
        <v>-</v>
      </c>
      <c r="T36" s="44" t="str">
        <f t="shared" si="14"/>
        <v>-</v>
      </c>
      <c r="U36" s="44" t="str">
        <f>IFERROR(VLOOKUP(B:B,'[1]10店'!$B:$T,19,0),"-")</f>
        <v>-</v>
      </c>
      <c r="V36" s="81" t="str">
        <f t="shared" si="15"/>
        <v>-</v>
      </c>
      <c r="W36" s="82" t="str">
        <f t="shared" si="16"/>
        <v>有库存无销量</v>
      </c>
      <c r="X36" s="83" t="str">
        <f t="shared" si="17"/>
        <v>有库存无销量</v>
      </c>
      <c r="Y36" s="44">
        <f>IFERROR(SUMIF('10店辅助表'!K:K,B:B,'10店辅助表'!N:N),0)</f>
        <v>0.9</v>
      </c>
      <c r="Z36" s="44">
        <f>IFERROR(SUMIF('10店辅助表'!T:T,B:B,'10店辅助表'!W:W),0)</f>
        <v>0.9</v>
      </c>
      <c r="AA36" s="44">
        <f>IFERROR(SUMIF('10店辅助表'!AC:AC,B:B,'10店辅助表'!AF:AF),0)</f>
        <v>0.99</v>
      </c>
      <c r="AB36" s="91" t="str">
        <f>IFERROR(SUMIF('10店辅助表'!K:K,B:B,'10店辅助表'!N:N)/SUMIF('10店辅助表'!K:K,B:B,'10店辅助表'!O:O),"-")</f>
        <v>-</v>
      </c>
      <c r="AC36" s="91" t="str">
        <f>IFERROR(VLOOKUP(B:B,'[1]10店'!$B:$AB,27,FALSE),"-")</f>
        <v>-</v>
      </c>
      <c r="AD36" s="92" t="str">
        <f t="shared" si="18"/>
        <v>-</v>
      </c>
      <c r="AE36" s="91" t="str">
        <f>IFERROR(SUMIF('10店辅助表'!T:T,B:B,'10店辅助表'!W:W)/SUMIF('10店辅助表'!T:T,B:B,'10店辅助表'!X:X),"-")</f>
        <v>-</v>
      </c>
      <c r="AF36" s="91" t="str">
        <f>IFERROR(SUMIF('10店辅助表'!AC:AC,B:B,'10店辅助表'!AF:AF)/SUMIF('10店辅助表'!AC:AC,B:B,'10店辅助表'!AG:AG),"-")</f>
        <v>-</v>
      </c>
      <c r="AG36" s="99">
        <f>IFERROR(AK36/((SUMIF('10店辅助表'!AT:AT,B:B,'10店辅助表'!AU:AU)+M36)/2),"-")</f>
        <v>0</v>
      </c>
      <c r="AH36" s="99">
        <f>IFERROR(AL36/((SUMIF('10店辅助表'!AW:AW,B:B,'10店辅助表'!AX:AX)+M36)/2),"-")</f>
        <v>0</v>
      </c>
      <c r="AI36" s="100" t="str">
        <f>IFERROR((SUMIF('10店辅助表'!AP:AP,B:B,'10店辅助表'!AR:AR)-SUMIF('10店辅助表'!AP:AP,B:B,'10店辅助表'!AR:AR)*0.15-(L36+IFERROR(VLOOKUP(B:B,'10店辅助表'!AZ:BA,2,0),0))*O36-IF(AN:AN="US",6.85,4.9)*(Z36+4.27*O36))/SUMIF('10店辅助表'!AP:AP,B:B,'10店辅助表'!AR:AR),"-")</f>
        <v>-</v>
      </c>
      <c r="AJ36" s="100" t="str">
        <f t="shared" si="19"/>
        <v>-</v>
      </c>
      <c r="AK36" s="101">
        <f t="shared" si="20"/>
        <v>0</v>
      </c>
      <c r="AL36" s="101">
        <f t="shared" si="21"/>
        <v>0</v>
      </c>
      <c r="AM36" s="1" t="str">
        <f>VLOOKUP(B:B,'10店辅助表'!AZ:AZ,1,FALSE)</f>
        <v>Y103134-OR+Y103137+Y103268</v>
      </c>
      <c r="AN36" t="str">
        <f>VLOOKUP(B:B,'10店辅助表'!AZ:BB,3,FALSE)</f>
        <v>us</v>
      </c>
    </row>
    <row r="37" customHeight="1" spans="1:40">
      <c r="A37" s="58" t="s">
        <v>1431</v>
      </c>
      <c r="B37" s="45" t="s">
        <v>3461</v>
      </c>
      <c r="C37" s="45" t="s">
        <v>92</v>
      </c>
      <c r="D37" s="59">
        <f>VLOOKUP(B:B,'[1]10店'!$B:$L,3,0)</f>
        <v>45180</v>
      </c>
      <c r="E37" s="45" t="s">
        <v>3462</v>
      </c>
      <c r="F37" s="45">
        <v>13</v>
      </c>
      <c r="G37" s="45">
        <v>0</v>
      </c>
      <c r="H37" s="45">
        <v>0</v>
      </c>
      <c r="I37" s="45">
        <v>0</v>
      </c>
      <c r="J37" s="45">
        <v>0</v>
      </c>
      <c r="K37" s="63">
        <f t="shared" si="11"/>
        <v>13</v>
      </c>
      <c r="L37" s="64">
        <f>IFERROR(VLOOKUP($B:$B,'[1]10店'!$B:$L,11,0),0)</f>
        <v>13.9</v>
      </c>
      <c r="M37" s="44">
        <f t="shared" si="7"/>
        <v>180.7</v>
      </c>
      <c r="N37" s="65">
        <f>IFERROR(VLOOKUP(B:B,'10店辅助表'!B:C,2,FALSE),0)</f>
        <v>1</v>
      </c>
      <c r="O37" s="65">
        <f>IFERROR(VLOOKUP(B:B,'10店辅助表'!E:F,2,FALSE),0)</f>
        <v>2</v>
      </c>
      <c r="P37" s="65">
        <f>IFERROR(VLOOKUP(B:B,'10店辅助表'!H:I,2,FALSE),0)</f>
        <v>2</v>
      </c>
      <c r="Q37" s="65">
        <f>IFERROR(VLOOKUP(B:B,'[1]10店'!$B:$N,13,FALSE),0)</f>
        <v>1</v>
      </c>
      <c r="R37" s="79">
        <f t="shared" si="12"/>
        <v>0</v>
      </c>
      <c r="S37" s="80">
        <f t="shared" si="13"/>
        <v>113.75</v>
      </c>
      <c r="T37" s="44">
        <f t="shared" si="14"/>
        <v>3.79166666666667</v>
      </c>
      <c r="U37" s="44">
        <f>IFERROR(VLOOKUP(B:B,'[1]10店'!$B:$T,19,0),"-")</f>
        <v>6.17647058823529</v>
      </c>
      <c r="V37" s="81">
        <f t="shared" si="15"/>
        <v>-2.38480392156862</v>
      </c>
      <c r="W37" s="82" t="str">
        <f t="shared" si="16"/>
        <v>库存过高</v>
      </c>
      <c r="X37" s="83" t="str">
        <f t="shared" si="17"/>
        <v>库存过高</v>
      </c>
      <c r="Y37" s="44">
        <f>IFERROR(SUMIF('10店辅助表'!K:K,B:B,'10店辅助表'!N:N),0)</f>
        <v>2.57</v>
      </c>
      <c r="Z37" s="44">
        <f>IFERROR(SUMIF('10店辅助表'!T:T,B:B,'10店辅助表'!W:W),0)</f>
        <v>4.45</v>
      </c>
      <c r="AA37" s="44">
        <f>IFERROR(SUMIF('10店辅助表'!AC:AC,B:B,'10店辅助表'!AF:AF),0)</f>
        <v>5.39</v>
      </c>
      <c r="AB37" s="91" t="str">
        <f>IFERROR(SUMIF('10店辅助表'!K:K,B:B,'10店辅助表'!N:N)/SUMIF('10店辅助表'!K:K,B:B,'10店辅助表'!O:O),"-")</f>
        <v>-</v>
      </c>
      <c r="AC37" s="91">
        <f>IFERROR(VLOOKUP(B:B,'[1]10店'!$B:$AB,27,FALSE),"-")</f>
        <v>0.144726712856043</v>
      </c>
      <c r="AD37" s="92" t="str">
        <f t="shared" si="18"/>
        <v>-</v>
      </c>
      <c r="AE37" s="91">
        <f>IFERROR(SUMIF('10店辅助表'!T:T,B:B,'10店辅助表'!W:W)/SUMIF('10店辅助表'!T:T,B:B,'10店辅助表'!X:X),"-")</f>
        <v>0.342571208622017</v>
      </c>
      <c r="AF37" s="91">
        <f>IFERROR(SUMIF('10店辅助表'!AC:AC,B:B,'10店辅助表'!AF:AF)/SUMIF('10店辅助表'!AC:AC,B:B,'10店辅助表'!AG:AG),"-")</f>
        <v>0.414934565050038</v>
      </c>
      <c r="AG37" s="99">
        <f>IFERROR(AK37/((SUMIF('10店辅助表'!AT:AT,B:B,'10店辅助表'!AU:AU)+M37)/2),"-")</f>
        <v>0.0714285714285714</v>
      </c>
      <c r="AH37" s="99">
        <f>IFERROR(AL37/((SUMIF('10店辅助表'!AW:AW,B:B,'10店辅助表'!AX:AX)+M37)/2),"-")</f>
        <v>0.307692307692308</v>
      </c>
      <c r="AI37" s="100">
        <f>IFERROR((SUMIF('10店辅助表'!AP:AP,B:B,'10店辅助表'!AR:AR)-SUMIF('10店辅助表'!AP:AP,B:B,'10店辅助表'!AR:AR)*0.15-(L37+IFERROR(VLOOKUP(B:B,'10店辅助表'!AZ:BA,2,0),0))*O37-IF(AN:AN="US",6.85,4.9)*(Z37+4.27*O37))/SUMIF('10店辅助表'!AP:AP,B:B,'10店辅助表'!AR:AR),"-")</f>
        <v>0.18469597612987</v>
      </c>
      <c r="AJ37" s="100">
        <f t="shared" si="19"/>
        <v>0.056829531116883</v>
      </c>
      <c r="AK37" s="101">
        <f t="shared" si="20"/>
        <v>13.9</v>
      </c>
      <c r="AL37" s="101">
        <f t="shared" si="21"/>
        <v>27.8</v>
      </c>
      <c r="AM37" s="1" t="str">
        <f>VLOOKUP(B:B,'10店辅助表'!AZ:AZ,1,FALSE)</f>
        <v>Y103230-BL+Y1003231+Y1003240</v>
      </c>
      <c r="AN37" t="str">
        <f>VLOOKUP(B:B,'10店辅助表'!AZ:BB,3,FALSE)</f>
        <v>us</v>
      </c>
    </row>
    <row r="38" customHeight="1" spans="1:40">
      <c r="A38" s="58" t="s">
        <v>1431</v>
      </c>
      <c r="B38" s="45" t="s">
        <v>3463</v>
      </c>
      <c r="C38" s="45" t="s">
        <v>2212</v>
      </c>
      <c r="D38" s="59">
        <f>VLOOKUP(B:B,'[1]10店'!$B:$L,3,0)</f>
        <v>45180</v>
      </c>
      <c r="E38" s="45" t="s">
        <v>3464</v>
      </c>
      <c r="F38" s="45">
        <v>13</v>
      </c>
      <c r="G38" s="45">
        <v>0</v>
      </c>
      <c r="H38" s="45">
        <v>0</v>
      </c>
      <c r="I38" s="45">
        <v>0</v>
      </c>
      <c r="J38" s="45">
        <v>0</v>
      </c>
      <c r="K38" s="63">
        <f t="shared" si="11"/>
        <v>13</v>
      </c>
      <c r="L38" s="64">
        <f>IFERROR(VLOOKUP($B:$B,'[1]10店'!$B:$L,11,0),0)</f>
        <v>13.9</v>
      </c>
      <c r="M38" s="44">
        <f t="shared" si="7"/>
        <v>180.7</v>
      </c>
      <c r="N38" s="65">
        <f>IFERROR(VLOOKUP(B:B,'10店辅助表'!B:C,2,FALSE),0)</f>
        <v>0</v>
      </c>
      <c r="O38" s="65">
        <f>IFERROR(VLOOKUP(B:B,'10店辅助表'!E:F,2,FALSE),0)</f>
        <v>2</v>
      </c>
      <c r="P38" s="65">
        <f>IFERROR(VLOOKUP(B:B,'10店辅助表'!H:I,2,FALSE),0)</f>
        <v>2</v>
      </c>
      <c r="Q38" s="65">
        <f>IFERROR(VLOOKUP(B:B,'[1]10店'!$B:$N,13,FALSE),0)</f>
        <v>2</v>
      </c>
      <c r="R38" s="79">
        <f t="shared" si="12"/>
        <v>-2</v>
      </c>
      <c r="S38" s="80">
        <f t="shared" si="13"/>
        <v>195</v>
      </c>
      <c r="T38" s="44">
        <f t="shared" si="14"/>
        <v>6.5</v>
      </c>
      <c r="U38" s="44">
        <f>IFERROR(VLOOKUP(B:B,'[1]10店'!$B:$T,19,0),"-")</f>
        <v>2.88235294117647</v>
      </c>
      <c r="V38" s="81">
        <f t="shared" si="15"/>
        <v>3.61764705882353</v>
      </c>
      <c r="W38" s="82" t="str">
        <f t="shared" si="16"/>
        <v>有库存无销量</v>
      </c>
      <c r="X38" s="83" t="str">
        <f t="shared" si="17"/>
        <v>库存过高</v>
      </c>
      <c r="Y38" s="44">
        <f>IFERROR(SUMIF('10店辅助表'!K:K,B:B,'10店辅助表'!N:N),0)</f>
        <v>6.57</v>
      </c>
      <c r="Z38" s="44">
        <f>IFERROR(SUMIF('10店辅助表'!T:T,B:B,'10店辅助表'!W:W),0)</f>
        <v>9.86</v>
      </c>
      <c r="AA38" s="44">
        <f>IFERROR(SUMIF('10店辅助表'!AC:AC,B:B,'10店辅助表'!AF:AF),0)</f>
        <v>9.86</v>
      </c>
      <c r="AB38" s="91" t="str">
        <f>IFERROR(SUMIF('10店辅助表'!K:K,B:B,'10店辅助表'!N:N)/SUMIF('10店辅助表'!K:K,B:B,'10店辅助表'!O:O),"-")</f>
        <v>-</v>
      </c>
      <c r="AC38" s="91" t="str">
        <f>IFERROR(VLOOKUP(B:B,'[1]10店'!$B:$AB,27,FALSE),"-")</f>
        <v>-</v>
      </c>
      <c r="AD38" s="92" t="str">
        <f t="shared" si="18"/>
        <v>-</v>
      </c>
      <c r="AE38" s="91" t="str">
        <f>IFERROR(SUMIF('10店辅助表'!T:T,B:B,'10店辅助表'!W:W)/SUMIF('10店辅助表'!T:T,B:B,'10店辅助表'!X:X),"-")</f>
        <v>-</v>
      </c>
      <c r="AF38" s="91" t="str">
        <f>IFERROR(SUMIF('10店辅助表'!AC:AC,B:B,'10店辅助表'!AF:AF)/SUMIF('10店辅助表'!AC:AC,B:B,'10店辅助表'!AG:AG),"-")</f>
        <v>-</v>
      </c>
      <c r="AG38" s="99">
        <f>IFERROR(AK38/((SUMIF('10店辅助表'!AT:AT,B:B,'10店辅助表'!AU:AU)+M38)/2),"-")</f>
        <v>0</v>
      </c>
      <c r="AH38" s="99">
        <f>IFERROR(AL38/((SUMIF('10店辅助表'!AW:AW,B:B,'10店辅助表'!AX:AX)+M38)/2),"-")</f>
        <v>0.307692307692308</v>
      </c>
      <c r="AI38" s="100">
        <f>IFERROR((SUMIF('10店辅助表'!AP:AP,B:B,'10店辅助表'!AR:AR)-SUMIF('10店辅助表'!AP:AP,B:B,'10店辅助表'!AR:AR)*0.15-(L38+IFERROR(VLOOKUP(B:B,'10店辅助表'!AZ:BA,2,0),0))*O38-IF(AN:AN="US",6.85,4.9)*(Z38+4.27*O38))/SUMIF('10店辅助表'!AP:AP,B:B,'10店辅助表'!AR:AR),"-")</f>
        <v>-0.0235411293358731</v>
      </c>
      <c r="AJ38" s="100">
        <f t="shared" si="19"/>
        <v>-0.00724342441103787</v>
      </c>
      <c r="AK38" s="101">
        <f t="shared" si="20"/>
        <v>0</v>
      </c>
      <c r="AL38" s="101">
        <f t="shared" si="21"/>
        <v>27.8</v>
      </c>
      <c r="AM38" s="1" t="str">
        <f>VLOOKUP(B:B,'10店辅助表'!AZ:AZ,1,FALSE)</f>
        <v>Y103230-DB+Y1003231+Y1003240</v>
      </c>
      <c r="AN38" t="str">
        <f>VLOOKUP(B:B,'10店辅助表'!AZ:BB,3,FALSE)</f>
        <v>us</v>
      </c>
    </row>
    <row r="39" customHeight="1" spans="1:40">
      <c r="A39" s="58" t="s">
        <v>1431</v>
      </c>
      <c r="B39" s="45" t="s">
        <v>3465</v>
      </c>
      <c r="C39" s="45" t="s">
        <v>2215</v>
      </c>
      <c r="D39" s="59">
        <f>VLOOKUP(B:B,'[1]10店'!$B:$L,3,0)</f>
        <v>45180</v>
      </c>
      <c r="E39" s="45" t="s">
        <v>3466</v>
      </c>
      <c r="F39" s="45">
        <v>14</v>
      </c>
      <c r="G39" s="45">
        <v>0</v>
      </c>
      <c r="H39" s="45">
        <v>0</v>
      </c>
      <c r="I39" s="45">
        <v>0</v>
      </c>
      <c r="J39" s="45">
        <v>0</v>
      </c>
      <c r="K39" s="63">
        <f t="shared" si="11"/>
        <v>14</v>
      </c>
      <c r="L39" s="64">
        <f>IFERROR(VLOOKUP($B:$B,'[1]10店'!$B:$L,11,0),0)</f>
        <v>13.9</v>
      </c>
      <c r="M39" s="44">
        <f t="shared" si="7"/>
        <v>194.6</v>
      </c>
      <c r="N39" s="65">
        <f>IFERROR(VLOOKUP(B:B,'10店辅助表'!B:C,2,FALSE),0)</f>
        <v>1</v>
      </c>
      <c r="O39" s="65">
        <f>IFERROR(VLOOKUP(B:B,'10店辅助表'!E:F,2,FALSE),0)</f>
        <v>1</v>
      </c>
      <c r="P39" s="65">
        <f>IFERROR(VLOOKUP(B:B,'10店辅助表'!H:I,2,FALSE),0)</f>
        <v>1</v>
      </c>
      <c r="Q39" s="65">
        <f>IFERROR(VLOOKUP(B:B,'[1]10店'!$B:$N,13,FALSE),0)</f>
        <v>0</v>
      </c>
      <c r="R39" s="79">
        <f t="shared" si="12"/>
        <v>1</v>
      </c>
      <c r="S39" s="80">
        <f t="shared" si="13"/>
        <v>172.941176470588</v>
      </c>
      <c r="T39" s="44">
        <f t="shared" si="14"/>
        <v>5.76470588235294</v>
      </c>
      <c r="U39" s="44" t="str">
        <f>IFERROR(VLOOKUP(B:B,'[1]10店'!$B:$T,19,0),"-")</f>
        <v>-</v>
      </c>
      <c r="V39" s="81" t="str">
        <f t="shared" si="15"/>
        <v>-</v>
      </c>
      <c r="W39" s="82" t="str">
        <f t="shared" si="16"/>
        <v>库存过高</v>
      </c>
      <c r="X39" s="83" t="str">
        <f t="shared" si="17"/>
        <v>库存过高</v>
      </c>
      <c r="Y39" s="44">
        <f>IFERROR(SUMIF('10店辅助表'!K:K,B:B,'10店辅助表'!N:N),0)</f>
        <v>7.98</v>
      </c>
      <c r="Z39" s="44">
        <f>IFERROR(SUMIF('10店辅助表'!T:T,B:B,'10店辅助表'!W:W),0)</f>
        <v>10.28</v>
      </c>
      <c r="AA39" s="44">
        <f>IFERROR(SUMIF('10店辅助表'!AC:AC,B:B,'10店辅助表'!AF:AF),0)</f>
        <v>10.73</v>
      </c>
      <c r="AB39" s="91">
        <f>IFERROR(SUMIF('10店辅助表'!K:K,B:B,'10店辅助表'!N:N)/SUMIF('10店辅助表'!K:K,B:B,'10店辅助表'!O:O),"-")</f>
        <v>0.319455564451561</v>
      </c>
      <c r="AC39" s="91">
        <f>IFERROR(VLOOKUP(B:B,'[1]10店'!$B:$AB,27,FALSE),"-")</f>
        <v>0.177059276366436</v>
      </c>
      <c r="AD39" s="92">
        <f t="shared" si="18"/>
        <v>0.142396288085125</v>
      </c>
      <c r="AE39" s="91">
        <f>IFERROR(SUMIF('10店辅助表'!T:T,B:B,'10店辅助表'!W:W)/SUMIF('10店辅助表'!T:T,B:B,'10店辅助表'!X:X),"-")</f>
        <v>0.270740057940479</v>
      </c>
      <c r="AF39" s="91">
        <f>IFERROR(SUMIF('10店辅助表'!AC:AC,B:B,'10店辅助表'!AF:AF)/SUMIF('10店辅助表'!AC:AC,B:B,'10店辅助表'!AG:AG),"-")</f>
        <v>0.282591519620753</v>
      </c>
      <c r="AG39" s="99">
        <f>IFERROR(AK39/((SUMIF('10店辅助表'!AT:AT,B:B,'10店辅助表'!AU:AU)+M39)/2),"-")</f>
        <v>0.0689655172413793</v>
      </c>
      <c r="AH39" s="99">
        <f>IFERROR(AL39/((SUMIF('10店辅助表'!AW:AW,B:B,'10店辅助表'!AX:AX)+M39)/2),"-")</f>
        <v>0.142857142857143</v>
      </c>
      <c r="AI39" s="100">
        <f>IFERROR((SUMIF('10店辅助表'!AP:AP,B:B,'10店辅助表'!AR:AR)-SUMIF('10店辅助表'!AP:AP,B:B,'10店辅助表'!AR:AR)*0.15-(L39+IFERROR(VLOOKUP(B:B,'10店辅助表'!AZ:BA,2,0),0))*O39-IF(AN:AN="US",6.85,4.9)*(Z39+4.27*O39))/SUMIF('10店辅助表'!AP:AP,B:B,'10店辅助表'!AR:AR),"-")</f>
        <v>-0.542602107595746</v>
      </c>
      <c r="AJ39" s="100">
        <f t="shared" si="19"/>
        <v>-0.0775145867993923</v>
      </c>
      <c r="AK39" s="101">
        <f t="shared" si="20"/>
        <v>13.9</v>
      </c>
      <c r="AL39" s="101">
        <f t="shared" si="21"/>
        <v>13.9</v>
      </c>
      <c r="AM39" s="1" t="str">
        <f>VLOOKUP(B:B,'10店辅助表'!AZ:AZ,1,FALSE)</f>
        <v>Y103230-OR+Y1003231+Y1003240</v>
      </c>
      <c r="AN39" t="str">
        <f>VLOOKUP(B:B,'10店辅助表'!AZ:BB,3,FALSE)</f>
        <v>us</v>
      </c>
    </row>
  </sheetData>
  <autoFilter ref="A2:AP39">
    <extLst>
      <etc:autoFilterAnalysis etc:version="v1" etc:showPane="0">
        <etc:analysisCharts>
          <etc:chart etc:type="pie">
            <etc:category etc:colId="0"/>
            <etc:seriesCollections etc:count="1">
              <etc:series etc:colId="0" etc:subtotal="count"/>
            </etc:seriesCollections>
          </etc:chart>
        </etc:analysisCharts>
      </etc:autoFilterAnalysis>
    </extLst>
  </autoFilter>
  <mergeCells count="3">
    <mergeCell ref="Y1:AF1"/>
    <mergeCell ref="AG1:AH1"/>
    <mergeCell ref="B3:E3"/>
  </mergeCells>
  <conditionalFormatting sqref="D2">
    <cfRule type="expression" dxfId="987" priority="7">
      <formula>(TODAY()-$D2)&lt;30</formula>
    </cfRule>
  </conditionalFormatting>
  <conditionalFormatting sqref="E2">
    <cfRule type="duplicateValues" dxfId="984" priority="8"/>
  </conditionalFormatting>
  <conditionalFormatting sqref="B3">
    <cfRule type="duplicateValues" dxfId="984" priority="11"/>
  </conditionalFormatting>
  <conditionalFormatting sqref="E3">
    <cfRule type="duplicateValues" dxfId="984" priority="10"/>
  </conditionalFormatting>
  <conditionalFormatting sqref="V3">
    <cfRule type="iconSet" priority="13">
      <iconSet iconSet="3Arrows">
        <cfvo type="percent" val="0"/>
        <cfvo type="num" val="0"/>
        <cfvo type="num" val="0" gte="0"/>
      </iconSet>
    </cfRule>
  </conditionalFormatting>
  <conditionalFormatting sqref="AD3">
    <cfRule type="iconSet" priority="12">
      <iconSet iconSet="3Arrows">
        <cfvo type="percent" val="0"/>
        <cfvo type="num" val="0"/>
        <cfvo type="num" val="0" gte="0"/>
      </iconSet>
    </cfRule>
  </conditionalFormatting>
  <conditionalFormatting sqref="AI3:AJ3">
    <cfRule type="cellIs" dxfId="986" priority="9" operator="lessThan">
      <formula>0</formula>
    </cfRule>
  </conditionalFormatting>
  <conditionalFormatting sqref="R4:R39">
    <cfRule type="iconSet" priority="16">
      <iconSet iconSet="3Arrows">
        <cfvo type="percent" val="0"/>
        <cfvo type="num" val="0"/>
        <cfvo type="num" val="0" gte="0"/>
      </iconSet>
    </cfRule>
  </conditionalFormatting>
  <conditionalFormatting sqref="V4:V39">
    <cfRule type="iconSet" priority="15">
      <iconSet iconSet="3Arrows">
        <cfvo type="percent" val="0"/>
        <cfvo type="num" val="0"/>
        <cfvo type="num" val="0" gte="0"/>
      </iconSet>
    </cfRule>
  </conditionalFormatting>
  <conditionalFormatting sqref="X4:X1048576">
    <cfRule type="expression" dxfId="985" priority="1">
      <formula>AND($X4="有库存无销量",$K4&gt;2,OR($V4&gt;=0,$V4="-"))</formula>
    </cfRule>
    <cfRule type="expression" dxfId="985" priority="2">
      <formula>AND($X4="库存过高",$K4&gt;2,OR($V4&gt;=0,$V4="-"))</formula>
    </cfRule>
  </conditionalFormatting>
  <conditionalFormatting sqref="Y4:Y39">
    <cfRule type="expression" dxfId="985" priority="3">
      <formula>AND($Y4&gt;3,$AB4=0)</formula>
    </cfRule>
  </conditionalFormatting>
  <conditionalFormatting sqref="AB4:AB39">
    <cfRule type="expression" dxfId="985" priority="4">
      <formula>AND($AB4&gt;30%,$AD4&gt;0,$AB4&lt;&gt;"-")</formula>
    </cfRule>
  </conditionalFormatting>
  <conditionalFormatting sqref="AD4:AD39">
    <cfRule type="iconSet" priority="14">
      <iconSet iconSet="3Arrows">
        <cfvo type="percent" val="0"/>
        <cfvo type="num" val="0"/>
        <cfvo type="num" val="0" gte="0"/>
      </iconSet>
    </cfRule>
  </conditionalFormatting>
  <conditionalFormatting sqref="AI4:AI39">
    <cfRule type="cellIs" dxfId="986" priority="5" operator="lessThan">
      <formula>25%</formula>
    </cfRule>
  </conditionalFormatting>
  <pageMargins left="0.75" right="0.75" top="1" bottom="1" header="0.5" footer="0.5"/>
  <headerFooter/>
  <extLst>
    <ext xmlns:x14="http://schemas.microsoft.com/office/spreadsheetml/2009/9/main" uri="{78C0D931-6437-407d-A8EE-F0AAD7539E65}">
      <x14:conditionalFormattings>
        <x14:conditionalFormatting xmlns:xm="http://schemas.microsoft.com/office/excel/2006/main">
          <x14:cfRule type="iconSet" priority="6" id="{5e4684d9-cccb-47ee-baaa-a038fefdf2ea}">
            <x14:iconSet iconSet="3Arrows" custom="1">
              <x14:cfvo type="percent">
                <xm:f>0</xm:f>
              </x14:cfvo>
              <x14:cfvo type="num">
                <xm:f>0</xm:f>
              </x14:cfvo>
              <x14:cfvo type="num" gte="0">
                <xm:f>0</xm:f>
              </x14:cfvo>
              <x14:cfIcon iconSet="3Arrows" iconId="0"/>
              <x14:cfIcon iconSet="3Arrows" iconId="1"/>
              <x14:cfIcon iconSet="3Arrows" iconId="2"/>
            </x14:iconSet>
          </x14:cfRule>
          <xm:sqref>W4:W39</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B146"/>
  <sheetViews>
    <sheetView topLeftCell="AG1" workbookViewId="0">
      <pane ySplit="1" topLeftCell="A2" activePane="bottomLeft" state="frozen"/>
      <selection/>
      <selection pane="bottomLeft" activeCell="W103" sqref="W103"/>
    </sheetView>
  </sheetViews>
  <sheetFormatPr defaultColWidth="9" defaultRowHeight="12.9"/>
  <cols>
    <col min="1" max="1" width="9" style="1"/>
    <col min="2" max="2" width="31.8623853211009" style="1"/>
    <col min="3" max="3" width="12.2110091743119" style="1" customWidth="1"/>
    <col min="4" max="4" width="9" style="1"/>
    <col min="5" max="5" width="31.8623853211009" style="1"/>
    <col min="6" max="6" width="12.2110091743119" style="1" customWidth="1"/>
    <col min="7" max="7" width="9" style="1"/>
    <col min="8" max="8" width="31.8623853211009" style="1"/>
    <col min="9" max="9" width="12.2110091743119" style="1" customWidth="1"/>
    <col min="10" max="10" width="9" style="1"/>
    <col min="11" max="11" width="31.8623853211009" style="1"/>
    <col min="12" max="14" width="14.4587155963303" style="1" customWidth="1"/>
    <col min="15" max="15" width="18.1926605504587" style="1" customWidth="1"/>
    <col min="16" max="16" width="23.9174311926606" style="1"/>
    <col min="17" max="18" width="15.3211009174312" style="2" customWidth="1"/>
    <col min="19" max="19" width="9" style="1"/>
    <col min="20" max="20" width="31.8623853211009" style="1"/>
    <col min="21" max="23" width="13.8348623853211" style="1" customWidth="1"/>
    <col min="24" max="24" width="19.4403669724771" style="1" customWidth="1"/>
    <col min="25" max="25" width="19.0642201834862" style="1" customWidth="1"/>
    <col min="26" max="27" width="16.3211009174312" style="2" customWidth="1"/>
    <col min="28" max="28" width="9" style="1"/>
    <col min="29" max="29" width="31.8623853211009" style="1"/>
    <col min="30" max="32" width="13.8256880733945" style="1" customWidth="1"/>
    <col min="33" max="33" width="20.4403669724771" style="1" customWidth="1"/>
    <col min="34" max="34" width="23.9174311926606" style="1"/>
    <col min="35" max="36" width="15.8256880733945" style="2" customWidth="1"/>
    <col min="37" max="37" width="10.5871559633028" style="2" customWidth="1"/>
    <col min="38" max="39" width="9" style="29"/>
    <col min="40" max="40" width="10.5871559633028" style="2" customWidth="1"/>
    <col min="41" max="41" width="9" style="1"/>
    <col min="42" max="43" width="9" style="29"/>
    <col min="44" max="44" width="9.6697247706422" style="1"/>
    <col min="45" max="45" width="9" style="1"/>
    <col min="46" max="46" width="13.4495412844037" customWidth="1"/>
    <col min="47" max="47" width="11.9633027522936" customWidth="1"/>
    <col min="49" max="49" width="13.4495412844037" customWidth="1"/>
    <col min="50" max="50" width="11.9633027522936" customWidth="1"/>
    <col min="51" max="51" width="9" style="1"/>
    <col min="52" max="52" width="16.697247706422" style="30" customWidth="1"/>
    <col min="53" max="53" width="10.5045871559633" style="30" customWidth="1"/>
    <col min="54" max="16384" width="9" style="1"/>
  </cols>
  <sheetData>
    <row r="1" s="1" customFormat="1" spans="2:53">
      <c r="B1" t="s">
        <v>408</v>
      </c>
      <c r="C1" t="s">
        <v>409</v>
      </c>
      <c r="E1" t="s">
        <v>408</v>
      </c>
      <c r="F1" t="s">
        <v>409</v>
      </c>
      <c r="H1" t="s">
        <v>408</v>
      </c>
      <c r="I1" t="s">
        <v>409</v>
      </c>
      <c r="K1" t="s">
        <v>410</v>
      </c>
      <c r="L1" t="s">
        <v>411</v>
      </c>
      <c r="M1" t="s">
        <v>412</v>
      </c>
      <c r="N1" t="s">
        <v>413</v>
      </c>
      <c r="O1" t="s">
        <v>414</v>
      </c>
      <c r="P1" t="s">
        <v>415</v>
      </c>
      <c r="Q1" s="31" t="s">
        <v>416</v>
      </c>
      <c r="R1" s="31" t="s">
        <v>417</v>
      </c>
      <c r="T1" t="s">
        <v>410</v>
      </c>
      <c r="U1" t="s">
        <v>411</v>
      </c>
      <c r="V1" t="s">
        <v>412</v>
      </c>
      <c r="W1" t="s">
        <v>413</v>
      </c>
      <c r="X1" t="s">
        <v>414</v>
      </c>
      <c r="Y1" t="s">
        <v>415</v>
      </c>
      <c r="Z1" s="31" t="s">
        <v>418</v>
      </c>
      <c r="AA1" s="31" t="s">
        <v>419</v>
      </c>
      <c r="AC1" t="s">
        <v>410</v>
      </c>
      <c r="AD1" t="s">
        <v>411</v>
      </c>
      <c r="AE1" t="s">
        <v>412</v>
      </c>
      <c r="AF1" t="s">
        <v>413</v>
      </c>
      <c r="AG1" t="s">
        <v>414</v>
      </c>
      <c r="AH1" t="s">
        <v>415</v>
      </c>
      <c r="AI1" s="31" t="s">
        <v>420</v>
      </c>
      <c r="AJ1" s="31" t="s">
        <v>421</v>
      </c>
      <c r="AK1" s="32" t="s">
        <v>422</v>
      </c>
      <c r="AL1" s="29" t="s">
        <v>408</v>
      </c>
      <c r="AM1" s="29" t="s">
        <v>423</v>
      </c>
      <c r="AO1" s="32" t="s">
        <v>424</v>
      </c>
      <c r="AP1" s="29" t="s">
        <v>408</v>
      </c>
      <c r="AQ1" s="29" t="s">
        <v>423</v>
      </c>
      <c r="AS1" s="34">
        <v>6.85</v>
      </c>
      <c r="AT1" s="35">
        <v>15</v>
      </c>
      <c r="AU1" s="36"/>
      <c r="AV1" s="35"/>
      <c r="AW1" s="35"/>
      <c r="AX1" s="36"/>
      <c r="AZ1" s="30"/>
      <c r="BA1" s="30"/>
    </row>
    <row r="2" s="1" customFormat="1" spans="2:53">
      <c r="B2" t="s">
        <v>426</v>
      </c>
      <c r="C2"/>
      <c r="E2" t="s">
        <v>426</v>
      </c>
      <c r="F2"/>
      <c r="H2" t="s">
        <v>426</v>
      </c>
      <c r="I2"/>
      <c r="K2" t="s">
        <v>426</v>
      </c>
      <c r="L2"/>
      <c r="M2"/>
      <c r="N2"/>
      <c r="O2"/>
      <c r="P2"/>
      <c r="Q2" s="31">
        <v>0</v>
      </c>
      <c r="R2" s="31">
        <v>0</v>
      </c>
      <c r="S2" s="1" t="e">
        <f>VLOOKUP(K:K,'10店'!$B:$B,1,0)</f>
        <v>#N/A</v>
      </c>
      <c r="T2" t="s">
        <v>426</v>
      </c>
      <c r="U2"/>
      <c r="V2"/>
      <c r="W2"/>
      <c r="X2"/>
      <c r="Y2"/>
      <c r="Z2" s="31">
        <v>0</v>
      </c>
      <c r="AA2" s="31">
        <v>0</v>
      </c>
      <c r="AB2" s="1" t="e">
        <f>VLOOKUP(T:T,'10店'!$B:$B,1,0)</f>
        <v>#N/A</v>
      </c>
      <c r="AC2" t="s">
        <v>426</v>
      </c>
      <c r="AD2"/>
      <c r="AE2"/>
      <c r="AF2"/>
      <c r="AG2"/>
      <c r="AH2"/>
      <c r="AI2" s="31">
        <v>0</v>
      </c>
      <c r="AJ2" s="31">
        <v>0</v>
      </c>
      <c r="AK2" s="1" t="e">
        <f>VLOOKUP(AC:AC,'10店'!$B:$B,1,0)</f>
        <v>#N/A</v>
      </c>
      <c r="AL2" s="29" t="s">
        <v>3439</v>
      </c>
      <c r="AM2" s="33">
        <v>38.97</v>
      </c>
      <c r="AN2" s="1">
        <f>AM2*$AS$1</f>
        <v>266.9445</v>
      </c>
      <c r="AP2" s="29" t="s">
        <v>3439</v>
      </c>
      <c r="AQ2" s="33">
        <v>38.97</v>
      </c>
      <c r="AR2" s="1">
        <f>AQ2*$AS$1</f>
        <v>266.9445</v>
      </c>
      <c r="AT2" s="37" t="s">
        <v>10</v>
      </c>
      <c r="AU2" s="38" t="s">
        <v>21</v>
      </c>
      <c r="AV2" s="39"/>
      <c r="AW2" s="37"/>
      <c r="AX2" s="38"/>
      <c r="AZ2" s="30"/>
      <c r="BA2" s="30"/>
    </row>
    <row r="3" s="1" customFormat="1" spans="2:53">
      <c r="B3" t="s">
        <v>3451</v>
      </c>
      <c r="C3">
        <v>1</v>
      </c>
      <c r="D3" s="1" t="str">
        <f>VLOOKUP(B:B,'10店'!$B:$B,1,0)</f>
        <v>Y103106-DB+Y103109+Y103112</v>
      </c>
      <c r="E3" t="s">
        <v>3463</v>
      </c>
      <c r="F3">
        <v>2</v>
      </c>
      <c r="G3" s="1" t="str">
        <f>VLOOKUP(E:E,'10店'!$B:$B,1,0)</f>
        <v>Y103230-DB+Y1003231+Y1003240</v>
      </c>
      <c r="H3" t="s">
        <v>3463</v>
      </c>
      <c r="I3">
        <v>2</v>
      </c>
      <c r="J3" s="1" t="str">
        <f>VLOOKUP(H:H,'10店'!$B:$B,1,0)</f>
        <v>Y103230-DB+Y1003231+Y1003240</v>
      </c>
      <c r="K3" t="s">
        <v>3465</v>
      </c>
      <c r="L3">
        <v>2565</v>
      </c>
      <c r="M3">
        <v>17</v>
      </c>
      <c r="N3">
        <v>7.98</v>
      </c>
      <c r="O3">
        <v>24.98</v>
      </c>
      <c r="P3">
        <v>2</v>
      </c>
      <c r="Q3" s="31">
        <v>0.319455564451561</v>
      </c>
      <c r="R3" s="31">
        <v>0.117647058823529</v>
      </c>
      <c r="S3" s="1" t="str">
        <f>VLOOKUP(K:K,'10店'!$B:$B,1,0)</f>
        <v>Y103230-OR+Y1003231+Y1003240</v>
      </c>
      <c r="T3" t="s">
        <v>3465</v>
      </c>
      <c r="U3">
        <v>3621</v>
      </c>
      <c r="V3">
        <v>22</v>
      </c>
      <c r="W3">
        <v>10.28</v>
      </c>
      <c r="X3">
        <v>37.97</v>
      </c>
      <c r="Y3">
        <v>3</v>
      </c>
      <c r="Z3" s="31">
        <v>0.270740057940479</v>
      </c>
      <c r="AA3" s="31">
        <v>0.136363636363636</v>
      </c>
      <c r="AB3" s="1" t="str">
        <f>VLOOKUP(T:T,'10店'!$B:$B,1,0)</f>
        <v>Y103230-OR+Y1003231+Y1003240</v>
      </c>
      <c r="AC3" t="s">
        <v>3465</v>
      </c>
      <c r="AD3">
        <v>3782</v>
      </c>
      <c r="AE3">
        <v>23</v>
      </c>
      <c r="AF3">
        <v>10.73</v>
      </c>
      <c r="AG3">
        <v>37.97</v>
      </c>
      <c r="AH3">
        <v>3</v>
      </c>
      <c r="AI3" s="31">
        <v>0.282591519620753</v>
      </c>
      <c r="AJ3" s="31">
        <v>0.130434782608696</v>
      </c>
      <c r="AK3" s="1" t="str">
        <f>VLOOKUP(AC:AC,'10店'!$B:$B,1,0)</f>
        <v>Y103230-OR+Y1003231+Y1003240</v>
      </c>
      <c r="AL3" s="29" t="s">
        <v>3428</v>
      </c>
      <c r="AM3" s="33">
        <v>19.99</v>
      </c>
      <c r="AN3" s="1">
        <f t="shared" ref="AN3:AN34" si="0">AM3*$AS$1</f>
        <v>136.9315</v>
      </c>
      <c r="AP3" s="29" t="s">
        <v>3451</v>
      </c>
      <c r="AQ3" s="33">
        <v>24.98</v>
      </c>
      <c r="AR3" s="1">
        <f t="shared" ref="AR3:AR34" si="1">AQ3*$AS$1</f>
        <v>171.113</v>
      </c>
      <c r="AT3" s="40" t="s">
        <v>48</v>
      </c>
      <c r="AU3" s="41">
        <v>3030.2</v>
      </c>
      <c r="AV3" s="42"/>
      <c r="AW3" s="40"/>
      <c r="AX3" s="41"/>
      <c r="AZ3" s="46"/>
      <c r="BA3" s="46"/>
    </row>
    <row r="4" s="1" customFormat="1" spans="2:54">
      <c r="B4" t="s">
        <v>3461</v>
      </c>
      <c r="C4">
        <v>1</v>
      </c>
      <c r="D4" s="1" t="str">
        <f>VLOOKUP(B:B,'10店'!$B:$B,1,0)</f>
        <v>Y103230-BL+Y1003231+Y1003240</v>
      </c>
      <c r="E4" t="s">
        <v>3443</v>
      </c>
      <c r="F4">
        <v>1</v>
      </c>
      <c r="G4" s="1" t="str">
        <f>VLOOKUP(E:E,'10店'!$B:$B,1,0)</f>
        <v>Y103040-BL+Y103045+Y103043</v>
      </c>
      <c r="H4" t="s">
        <v>3443</v>
      </c>
      <c r="I4">
        <v>1</v>
      </c>
      <c r="J4" s="1" t="str">
        <f>VLOOKUP(H:H,'10店'!$B:$B,1,0)</f>
        <v>Y103040-BL+Y103045+Y103043</v>
      </c>
      <c r="K4" t="s">
        <v>3463</v>
      </c>
      <c r="L4">
        <v>1780</v>
      </c>
      <c r="M4">
        <v>14</v>
      </c>
      <c r="N4">
        <v>6.57</v>
      </c>
      <c r="O4">
        <v>0</v>
      </c>
      <c r="P4">
        <v>0</v>
      </c>
      <c r="Q4" s="31">
        <v>0</v>
      </c>
      <c r="R4" s="31">
        <v>0</v>
      </c>
      <c r="S4" s="1" t="str">
        <f>VLOOKUP(K:K,'10店'!$B:$B,1,0)</f>
        <v>Y103230-DB+Y1003231+Y1003240</v>
      </c>
      <c r="T4" t="s">
        <v>3463</v>
      </c>
      <c r="U4">
        <v>2214</v>
      </c>
      <c r="V4">
        <v>21</v>
      </c>
      <c r="W4">
        <v>9.86</v>
      </c>
      <c r="X4">
        <v>0</v>
      </c>
      <c r="Y4">
        <v>0</v>
      </c>
      <c r="Z4" s="31">
        <v>0</v>
      </c>
      <c r="AA4" s="31">
        <v>0</v>
      </c>
      <c r="AB4" s="1" t="str">
        <f>VLOOKUP(T:T,'10店'!$B:$B,1,0)</f>
        <v>Y103230-DB+Y1003231+Y1003240</v>
      </c>
      <c r="AC4" t="s">
        <v>3463</v>
      </c>
      <c r="AD4">
        <v>2343</v>
      </c>
      <c r="AE4">
        <v>21</v>
      </c>
      <c r="AF4">
        <v>9.86</v>
      </c>
      <c r="AG4">
        <v>0</v>
      </c>
      <c r="AH4">
        <v>0</v>
      </c>
      <c r="AI4" s="31">
        <v>0</v>
      </c>
      <c r="AJ4" s="31">
        <v>0</v>
      </c>
      <c r="AK4" s="1" t="str">
        <f>VLOOKUP(AC:AC,'10店'!$B:$B,1,0)</f>
        <v>Y103230-DB+Y1003231+Y1003240</v>
      </c>
      <c r="AL4" s="29" t="s">
        <v>3437</v>
      </c>
      <c r="AM4" s="33">
        <v>12.99</v>
      </c>
      <c r="AN4" s="1">
        <f t="shared" si="0"/>
        <v>88.9815</v>
      </c>
      <c r="AP4" s="29" t="s">
        <v>3463</v>
      </c>
      <c r="AQ4" s="33">
        <v>25.98</v>
      </c>
      <c r="AR4" s="1">
        <f t="shared" si="1"/>
        <v>177.963</v>
      </c>
      <c r="AT4" s="43" t="s">
        <v>3437</v>
      </c>
      <c r="AU4" s="44">
        <v>152.9</v>
      </c>
      <c r="AV4" s="35"/>
      <c r="AW4" s="43"/>
      <c r="AX4" s="44"/>
      <c r="AZ4" s="47" t="s">
        <v>3437</v>
      </c>
      <c r="BA4" s="48">
        <v>0.809</v>
      </c>
      <c r="BB4" s="1" t="s">
        <v>3467</v>
      </c>
    </row>
    <row r="5" s="1" customFormat="1" spans="2:54">
      <c r="B5" t="s">
        <v>3439</v>
      </c>
      <c r="C5">
        <v>3</v>
      </c>
      <c r="D5" s="1" t="str">
        <f>VLOOKUP(B:B,'10店'!$B:$B,1,0)</f>
        <v>Y102000-DB+Y102013+Y102749</v>
      </c>
      <c r="E5" t="s">
        <v>3451</v>
      </c>
      <c r="F5">
        <v>2</v>
      </c>
      <c r="G5" s="1" t="str">
        <f>VLOOKUP(E:E,'10店'!$B:$B,1,0)</f>
        <v>Y103106-DB+Y103109+Y103112</v>
      </c>
      <c r="H5" t="s">
        <v>3451</v>
      </c>
      <c r="I5">
        <v>2</v>
      </c>
      <c r="J5" s="1" t="str">
        <f>VLOOKUP(H:H,'10店'!$B:$B,1,0)</f>
        <v>Y103106-DB+Y103109+Y103112</v>
      </c>
      <c r="K5" t="s">
        <v>3461</v>
      </c>
      <c r="L5">
        <v>1907</v>
      </c>
      <c r="M5">
        <v>6</v>
      </c>
      <c r="N5">
        <v>2.57</v>
      </c>
      <c r="O5">
        <v>0</v>
      </c>
      <c r="P5">
        <v>0</v>
      </c>
      <c r="Q5" s="31">
        <v>0</v>
      </c>
      <c r="R5" s="31">
        <v>0</v>
      </c>
      <c r="S5" s="1" t="str">
        <f>VLOOKUP(K:K,'10店'!$B:$B,1,0)</f>
        <v>Y103230-BL+Y1003231+Y1003240</v>
      </c>
      <c r="T5" t="s">
        <v>3461</v>
      </c>
      <c r="U5">
        <v>3270</v>
      </c>
      <c r="V5">
        <v>10</v>
      </c>
      <c r="W5">
        <v>4.45</v>
      </c>
      <c r="X5">
        <v>12.99</v>
      </c>
      <c r="Y5">
        <v>1</v>
      </c>
      <c r="Z5" s="31">
        <v>0.342571208622017</v>
      </c>
      <c r="AA5" s="31">
        <v>0.1</v>
      </c>
      <c r="AB5" s="1" t="str">
        <f>VLOOKUP(T:T,'10店'!$B:$B,1,0)</f>
        <v>Y103230-BL+Y1003231+Y1003240</v>
      </c>
      <c r="AC5" t="s">
        <v>3461</v>
      </c>
      <c r="AD5">
        <v>3757</v>
      </c>
      <c r="AE5">
        <v>12</v>
      </c>
      <c r="AF5">
        <v>5.39</v>
      </c>
      <c r="AG5">
        <v>12.99</v>
      </c>
      <c r="AH5">
        <v>1</v>
      </c>
      <c r="AI5" s="31">
        <v>0.414934565050038</v>
      </c>
      <c r="AJ5" s="31">
        <v>0.0833333333333333</v>
      </c>
      <c r="AK5" s="1" t="str">
        <f>VLOOKUP(AC:AC,'10店'!$B:$B,1,0)</f>
        <v>Y103230-BL+Y1003231+Y1003240</v>
      </c>
      <c r="AL5" s="29" t="s">
        <v>3441</v>
      </c>
      <c r="AM5" s="33">
        <v>11.99</v>
      </c>
      <c r="AN5" s="1">
        <f t="shared" si="0"/>
        <v>82.1315</v>
      </c>
      <c r="AP5" s="29" t="s">
        <v>3461</v>
      </c>
      <c r="AQ5" s="33">
        <v>25.98</v>
      </c>
      <c r="AR5" s="1">
        <f t="shared" si="1"/>
        <v>177.963</v>
      </c>
      <c r="AT5" s="43" t="s">
        <v>3439</v>
      </c>
      <c r="AU5" s="44">
        <v>208.5</v>
      </c>
      <c r="AV5" s="35"/>
      <c r="AW5" s="43"/>
      <c r="AX5" s="44"/>
      <c r="AZ5" s="47" t="s">
        <v>3439</v>
      </c>
      <c r="BA5" s="48">
        <v>0.809</v>
      </c>
      <c r="BB5" s="1" t="s">
        <v>3467</v>
      </c>
    </row>
    <row r="6" s="1" customFormat="1" spans="2:54">
      <c r="B6" t="s">
        <v>3428</v>
      </c>
      <c r="C6">
        <v>1</v>
      </c>
      <c r="D6" s="1" t="str">
        <f>VLOOKUP(B:B,'10店'!$B:$B,1,0)</f>
        <v>Y10025-WH</v>
      </c>
      <c r="E6" t="s">
        <v>3461</v>
      </c>
      <c r="F6">
        <v>2</v>
      </c>
      <c r="G6" s="1" t="str">
        <f>VLOOKUP(E:E,'10店'!$B:$B,1,0)</f>
        <v>Y103230-BL+Y1003231+Y1003240</v>
      </c>
      <c r="H6" t="s">
        <v>3461</v>
      </c>
      <c r="I6">
        <v>2</v>
      </c>
      <c r="J6" s="1" t="str">
        <f>VLOOKUP(H:H,'10店'!$B:$B,1,0)</f>
        <v>Y103230-BL+Y1003231+Y1003240</v>
      </c>
      <c r="K6" t="s">
        <v>3447</v>
      </c>
      <c r="L6">
        <v>680</v>
      </c>
      <c r="M6">
        <v>2</v>
      </c>
      <c r="N6">
        <v>0.85</v>
      </c>
      <c r="O6">
        <v>0</v>
      </c>
      <c r="P6">
        <v>0</v>
      </c>
      <c r="Q6" s="31">
        <v>0</v>
      </c>
      <c r="R6" s="31">
        <v>0</v>
      </c>
      <c r="S6" s="1" t="str">
        <f>VLOOKUP(K:K,'10店'!$B:$B,1,0)</f>
        <v>Y103040-OR+Y103045+Y103043</v>
      </c>
      <c r="T6" t="s">
        <v>3447</v>
      </c>
      <c r="U6">
        <v>1096</v>
      </c>
      <c r="V6">
        <v>5</v>
      </c>
      <c r="W6">
        <v>1.98</v>
      </c>
      <c r="X6">
        <v>0</v>
      </c>
      <c r="Y6">
        <v>0</v>
      </c>
      <c r="Z6" s="31">
        <v>0</v>
      </c>
      <c r="AA6" s="31">
        <v>0</v>
      </c>
      <c r="AB6" s="1" t="str">
        <f>VLOOKUP(T:T,'10店'!$B:$B,1,0)</f>
        <v>Y103040-OR+Y103045+Y103043</v>
      </c>
      <c r="AC6" t="s">
        <v>3447</v>
      </c>
      <c r="AD6">
        <v>1218</v>
      </c>
      <c r="AE6">
        <v>6</v>
      </c>
      <c r="AF6">
        <v>2.47</v>
      </c>
      <c r="AG6">
        <v>0</v>
      </c>
      <c r="AH6">
        <v>0</v>
      </c>
      <c r="AI6" s="31">
        <v>0</v>
      </c>
      <c r="AJ6" s="31">
        <v>0</v>
      </c>
      <c r="AK6" s="1" t="str">
        <f>VLOOKUP(AC:AC,'10店'!$B:$B,1,0)</f>
        <v>Y103040-OR+Y103045+Y103043</v>
      </c>
      <c r="AL6" s="29" t="s">
        <v>3451</v>
      </c>
      <c r="AM6" s="33">
        <v>11.99</v>
      </c>
      <c r="AN6" s="1">
        <f t="shared" si="0"/>
        <v>82.1315</v>
      </c>
      <c r="AP6" s="29" t="s">
        <v>3428</v>
      </c>
      <c r="AQ6" s="33">
        <v>19.99</v>
      </c>
      <c r="AR6" s="1">
        <f t="shared" si="1"/>
        <v>136.9315</v>
      </c>
      <c r="AT6" s="43" t="s">
        <v>3441</v>
      </c>
      <c r="AU6" s="44">
        <v>208.5</v>
      </c>
      <c r="AV6" s="35"/>
      <c r="AW6" s="43"/>
      <c r="AX6" s="44"/>
      <c r="AZ6" s="47" t="s">
        <v>3441</v>
      </c>
      <c r="BA6" s="48">
        <v>0.809</v>
      </c>
      <c r="BB6" s="1" t="s">
        <v>3467</v>
      </c>
    </row>
    <row r="7" s="1" customFormat="1" spans="2:54">
      <c r="B7" t="s">
        <v>3437</v>
      </c>
      <c r="C7">
        <v>1</v>
      </c>
      <c r="D7" s="1" t="str">
        <f>VLOOKUP(B:B,'10店'!$B:$B,1,0)</f>
        <v>Y102000-BL+Y102013+Y102749</v>
      </c>
      <c r="E7" t="s">
        <v>3439</v>
      </c>
      <c r="F7">
        <v>3</v>
      </c>
      <c r="G7" s="1" t="str">
        <f>VLOOKUP(E:E,'10店'!$B:$B,1,0)</f>
        <v>Y102000-DB+Y102013+Y102749</v>
      </c>
      <c r="H7" t="s">
        <v>3439</v>
      </c>
      <c r="I7">
        <v>3</v>
      </c>
      <c r="J7" s="1" t="str">
        <f>VLOOKUP(H:H,'10店'!$B:$B,1,0)</f>
        <v>Y102000-DB+Y102013+Y102749</v>
      </c>
      <c r="K7" t="s">
        <v>3443</v>
      </c>
      <c r="L7">
        <v>680</v>
      </c>
      <c r="M7">
        <v>0</v>
      </c>
      <c r="N7">
        <v>0</v>
      </c>
      <c r="O7">
        <v>0</v>
      </c>
      <c r="P7">
        <v>0</v>
      </c>
      <c r="Q7" s="31">
        <v>0</v>
      </c>
      <c r="R7" s="31">
        <v>0</v>
      </c>
      <c r="S7" s="1" t="str">
        <f>VLOOKUP(K:K,'10店'!$B:$B,1,0)</f>
        <v>Y103040-BL+Y103045+Y103043</v>
      </c>
      <c r="T7" t="s">
        <v>3443</v>
      </c>
      <c r="U7">
        <v>1242</v>
      </c>
      <c r="V7">
        <v>2</v>
      </c>
      <c r="W7">
        <v>0.98</v>
      </c>
      <c r="X7">
        <v>12.99</v>
      </c>
      <c r="Y7">
        <v>1</v>
      </c>
      <c r="Z7" s="31">
        <v>0.0754426481909161</v>
      </c>
      <c r="AA7" s="31">
        <v>0.5</v>
      </c>
      <c r="AB7" s="1" t="str">
        <f>VLOOKUP(T:T,'10店'!$B:$B,1,0)</f>
        <v>Y103040-BL+Y103045+Y103043</v>
      </c>
      <c r="AC7" t="s">
        <v>3443</v>
      </c>
      <c r="AD7">
        <v>1400</v>
      </c>
      <c r="AE7">
        <v>3</v>
      </c>
      <c r="AF7">
        <v>1.44</v>
      </c>
      <c r="AG7">
        <v>12.99</v>
      </c>
      <c r="AH7">
        <v>1</v>
      </c>
      <c r="AI7" s="31">
        <v>0.110854503464203</v>
      </c>
      <c r="AJ7" s="31">
        <v>0.333333333333333</v>
      </c>
      <c r="AK7" s="1" t="str">
        <f>VLOOKUP(AC:AC,'10店'!$B:$B,1,0)</f>
        <v>Y103040-BL+Y103045+Y103043</v>
      </c>
      <c r="AL7" s="29" t="s">
        <v>3453</v>
      </c>
      <c r="AM7" s="33">
        <v>12.99</v>
      </c>
      <c r="AN7" s="1">
        <f t="shared" si="0"/>
        <v>88.9815</v>
      </c>
      <c r="AP7" s="29" t="s">
        <v>3437</v>
      </c>
      <c r="AQ7" s="33">
        <v>12.99</v>
      </c>
      <c r="AR7" s="1">
        <f t="shared" si="1"/>
        <v>88.9815</v>
      </c>
      <c r="AT7" s="43" t="s">
        <v>3443</v>
      </c>
      <c r="AU7" s="44">
        <v>194.6</v>
      </c>
      <c r="AV7" s="35"/>
      <c r="AW7" s="43"/>
      <c r="AX7" s="44"/>
      <c r="AZ7" s="47" t="s">
        <v>3443</v>
      </c>
      <c r="BA7" s="48">
        <v>0.809</v>
      </c>
      <c r="BB7" s="1" t="s">
        <v>3467</v>
      </c>
    </row>
    <row r="8" s="1" customFormat="1" spans="2:54">
      <c r="B8" t="s">
        <v>3441</v>
      </c>
      <c r="C8">
        <v>1</v>
      </c>
      <c r="D8" s="1" t="str">
        <f>VLOOKUP(B:B,'10店'!$B:$B,1,0)</f>
        <v>Y102000-OR+Y102013+Y102749</v>
      </c>
      <c r="E8" t="s">
        <v>3428</v>
      </c>
      <c r="F8">
        <v>1</v>
      </c>
      <c r="G8" s="1" t="str">
        <f>VLOOKUP(E:E,'10店'!$B:$B,1,0)</f>
        <v>Y10025-WH</v>
      </c>
      <c r="H8" t="s">
        <v>3428</v>
      </c>
      <c r="I8">
        <v>1</v>
      </c>
      <c r="J8" s="1" t="str">
        <f>VLOOKUP(H:H,'10店'!$B:$B,1,0)</f>
        <v>Y10025-WH</v>
      </c>
      <c r="K8" t="s">
        <v>3445</v>
      </c>
      <c r="L8">
        <v>576</v>
      </c>
      <c r="M8">
        <v>1</v>
      </c>
      <c r="N8">
        <v>0.51</v>
      </c>
      <c r="O8">
        <v>0</v>
      </c>
      <c r="P8">
        <v>0</v>
      </c>
      <c r="Q8" s="31">
        <v>0</v>
      </c>
      <c r="R8" s="31">
        <v>0</v>
      </c>
      <c r="S8" s="1" t="str">
        <f>VLOOKUP(K:K,'10店'!$B:$B,1,0)</f>
        <v>Y103040-DB+Y103045+Y103043</v>
      </c>
      <c r="T8" t="s">
        <v>3445</v>
      </c>
      <c r="U8">
        <v>814</v>
      </c>
      <c r="V8">
        <v>3</v>
      </c>
      <c r="W8">
        <v>1.49</v>
      </c>
      <c r="X8">
        <v>0</v>
      </c>
      <c r="Y8">
        <v>0</v>
      </c>
      <c r="Z8" s="31">
        <v>0</v>
      </c>
      <c r="AA8" s="31">
        <v>0</v>
      </c>
      <c r="AB8" s="1" t="str">
        <f>VLOOKUP(T:T,'10店'!$B:$B,1,0)</f>
        <v>Y103040-DB+Y103045+Y103043</v>
      </c>
      <c r="AC8" t="s">
        <v>3445</v>
      </c>
      <c r="AD8">
        <v>867</v>
      </c>
      <c r="AE8">
        <v>3</v>
      </c>
      <c r="AF8">
        <v>1.49</v>
      </c>
      <c r="AG8">
        <v>0</v>
      </c>
      <c r="AH8">
        <v>0</v>
      </c>
      <c r="AI8" s="31">
        <v>0</v>
      </c>
      <c r="AJ8" s="31">
        <v>0</v>
      </c>
      <c r="AK8" s="1" t="str">
        <f>VLOOKUP(AC:AC,'10店'!$B:$B,1,0)</f>
        <v>Y103040-DB+Y103045+Y103043</v>
      </c>
      <c r="AL8" s="29" t="s">
        <v>3449</v>
      </c>
      <c r="AM8" s="33">
        <v>12.99</v>
      </c>
      <c r="AN8" s="1">
        <f t="shared" si="0"/>
        <v>88.9815</v>
      </c>
      <c r="AP8" s="29" t="s">
        <v>3441</v>
      </c>
      <c r="AQ8" s="33">
        <v>11.99</v>
      </c>
      <c r="AR8" s="1">
        <f t="shared" si="1"/>
        <v>82.1315</v>
      </c>
      <c r="AT8" s="43" t="s">
        <v>3445</v>
      </c>
      <c r="AU8" s="44">
        <v>208.5</v>
      </c>
      <c r="AV8" s="35"/>
      <c r="AW8" s="43"/>
      <c r="AX8" s="44"/>
      <c r="AZ8" s="47" t="s">
        <v>3445</v>
      </c>
      <c r="BA8" s="48">
        <v>0.809</v>
      </c>
      <c r="BB8" s="1" t="s">
        <v>3467</v>
      </c>
    </row>
    <row r="9" s="1" customFormat="1" spans="2:54">
      <c r="B9" t="s">
        <v>3453</v>
      </c>
      <c r="C9">
        <v>1</v>
      </c>
      <c r="D9" s="1" t="str">
        <f>VLOOKUP(B:B,'10店'!$B:$B,1,0)</f>
        <v>Y103106-OR+Y103109+Y103112</v>
      </c>
      <c r="E9" t="s">
        <v>3437</v>
      </c>
      <c r="F9">
        <v>1</v>
      </c>
      <c r="G9" s="1" t="str">
        <f>VLOOKUP(E:E,'10店'!$B:$B,1,0)</f>
        <v>Y102000-BL+Y102013+Y102749</v>
      </c>
      <c r="H9" t="s">
        <v>3437</v>
      </c>
      <c r="I9">
        <v>1</v>
      </c>
      <c r="J9" s="1" t="str">
        <f>VLOOKUP(H:H,'10店'!$B:$B,1,0)</f>
        <v>Y102000-BL+Y102013+Y102749</v>
      </c>
      <c r="K9" t="s">
        <v>3455</v>
      </c>
      <c r="L9">
        <v>1144</v>
      </c>
      <c r="M9">
        <v>6</v>
      </c>
      <c r="N9">
        <v>2.44</v>
      </c>
      <c r="O9">
        <v>0</v>
      </c>
      <c r="P9">
        <v>0</v>
      </c>
      <c r="Q9" s="31">
        <v>0</v>
      </c>
      <c r="R9" s="31">
        <v>0</v>
      </c>
      <c r="S9" s="1" t="str">
        <f>VLOOKUP(K:K,'10店'!$B:$B,1,0)</f>
        <v>Y103134-BL+Y103137+Y103268</v>
      </c>
      <c r="T9" t="s">
        <v>3455</v>
      </c>
      <c r="U9">
        <v>1893</v>
      </c>
      <c r="V9">
        <v>6</v>
      </c>
      <c r="W9">
        <v>2.44</v>
      </c>
      <c r="X9">
        <v>0</v>
      </c>
      <c r="Y9">
        <v>0</v>
      </c>
      <c r="Z9" s="31">
        <v>0</v>
      </c>
      <c r="AA9" s="31">
        <v>0</v>
      </c>
      <c r="AB9" s="1" t="str">
        <f>VLOOKUP(T:T,'10店'!$B:$B,1,0)</f>
        <v>Y103134-BL+Y103137+Y103268</v>
      </c>
      <c r="AC9" t="s">
        <v>3455</v>
      </c>
      <c r="AD9">
        <v>2305</v>
      </c>
      <c r="AE9">
        <v>6</v>
      </c>
      <c r="AF9">
        <v>2.44</v>
      </c>
      <c r="AG9">
        <v>0</v>
      </c>
      <c r="AH9">
        <v>0</v>
      </c>
      <c r="AI9" s="31">
        <v>0</v>
      </c>
      <c r="AJ9" s="31">
        <v>0</v>
      </c>
      <c r="AK9" s="1" t="str">
        <f>VLOOKUP(AC:AC,'10店'!$B:$B,1,0)</f>
        <v>Y103134-BL+Y103137+Y103268</v>
      </c>
      <c r="AL9" s="29" t="s">
        <v>3461</v>
      </c>
      <c r="AM9" s="33">
        <v>12.99</v>
      </c>
      <c r="AN9" s="1">
        <f t="shared" si="0"/>
        <v>88.9815</v>
      </c>
      <c r="AP9" s="29" t="s">
        <v>3443</v>
      </c>
      <c r="AQ9" s="33">
        <v>12.99</v>
      </c>
      <c r="AR9" s="1">
        <f t="shared" si="1"/>
        <v>88.9815</v>
      </c>
      <c r="AT9" s="43" t="s">
        <v>3447</v>
      </c>
      <c r="AU9" s="44">
        <v>208.5</v>
      </c>
      <c r="AV9" s="35"/>
      <c r="AW9" s="43"/>
      <c r="AX9" s="44"/>
      <c r="AZ9" s="47" t="s">
        <v>3447</v>
      </c>
      <c r="BA9" s="48">
        <v>0.809</v>
      </c>
      <c r="BB9" s="1" t="s">
        <v>3467</v>
      </c>
    </row>
    <row r="10" s="1" customFormat="1" spans="2:54">
      <c r="B10" t="s">
        <v>3449</v>
      </c>
      <c r="C10">
        <v>1</v>
      </c>
      <c r="D10" s="1" t="str">
        <f>VLOOKUP(B:B,'10店'!$B:$B,1,0)</f>
        <v>Y103106-BL+Y103109+Y103112</v>
      </c>
      <c r="E10" t="s">
        <v>3441</v>
      </c>
      <c r="F10">
        <v>1</v>
      </c>
      <c r="G10" s="1" t="str">
        <f>VLOOKUP(E:E,'10店'!$B:$B,1,0)</f>
        <v>Y102000-OR+Y102013+Y102749</v>
      </c>
      <c r="H10" t="s">
        <v>3441</v>
      </c>
      <c r="I10">
        <v>1</v>
      </c>
      <c r="J10" s="1" t="str">
        <f>VLOOKUP(H:H,'10店'!$B:$B,1,0)</f>
        <v>Y102000-OR+Y102013+Y102749</v>
      </c>
      <c r="K10" t="s">
        <v>3457</v>
      </c>
      <c r="L10">
        <v>337</v>
      </c>
      <c r="M10">
        <v>2</v>
      </c>
      <c r="N10">
        <v>0.91</v>
      </c>
      <c r="O10">
        <v>0</v>
      </c>
      <c r="P10">
        <v>0</v>
      </c>
      <c r="Q10" s="31">
        <v>0</v>
      </c>
      <c r="R10" s="31">
        <v>0</v>
      </c>
      <c r="S10" s="1" t="str">
        <f>VLOOKUP(K:K,'10店'!$B:$B,1,0)</f>
        <v>Y103134-DB+Y103137+Y103268</v>
      </c>
      <c r="T10" t="s">
        <v>3457</v>
      </c>
      <c r="U10">
        <v>595</v>
      </c>
      <c r="V10">
        <v>3</v>
      </c>
      <c r="W10">
        <v>1.37</v>
      </c>
      <c r="X10">
        <v>0</v>
      </c>
      <c r="Y10">
        <v>0</v>
      </c>
      <c r="Z10" s="31">
        <v>0</v>
      </c>
      <c r="AA10" s="31">
        <v>0</v>
      </c>
      <c r="AB10" s="1" t="str">
        <f>VLOOKUP(T:T,'10店'!$B:$B,1,0)</f>
        <v>Y103134-DB+Y103137+Y103268</v>
      </c>
      <c r="AC10" t="s">
        <v>3457</v>
      </c>
      <c r="AD10">
        <v>636</v>
      </c>
      <c r="AE10">
        <v>3</v>
      </c>
      <c r="AF10">
        <v>1.37</v>
      </c>
      <c r="AG10">
        <v>0</v>
      </c>
      <c r="AH10">
        <v>0</v>
      </c>
      <c r="AI10" s="31">
        <v>0</v>
      </c>
      <c r="AJ10" s="31">
        <v>0</v>
      </c>
      <c r="AK10" s="1" t="str">
        <f>VLOOKUP(AC:AC,'10店'!$B:$B,1,0)</f>
        <v>Y103134-DB+Y103137+Y103268</v>
      </c>
      <c r="AL10" s="29" t="s">
        <v>3465</v>
      </c>
      <c r="AM10" s="33">
        <v>11.99</v>
      </c>
      <c r="AN10" s="1">
        <f t="shared" si="0"/>
        <v>82.1315</v>
      </c>
      <c r="AP10" s="29" t="s">
        <v>3453</v>
      </c>
      <c r="AQ10" s="33">
        <v>12.99</v>
      </c>
      <c r="AR10" s="1">
        <f t="shared" si="1"/>
        <v>88.9815</v>
      </c>
      <c r="AT10" s="43" t="s">
        <v>3449</v>
      </c>
      <c r="AU10" s="44">
        <v>208.5</v>
      </c>
      <c r="AV10" s="35"/>
      <c r="AW10" s="43"/>
      <c r="AX10" s="44"/>
      <c r="AZ10" s="47" t="s">
        <v>3449</v>
      </c>
      <c r="BA10" s="48">
        <v>0.809</v>
      </c>
      <c r="BB10" s="1" t="s">
        <v>3467</v>
      </c>
    </row>
    <row r="11" s="1" customFormat="1" spans="2:54">
      <c r="B11" t="s">
        <v>3465</v>
      </c>
      <c r="C11">
        <v>1</v>
      </c>
      <c r="D11" s="1" t="str">
        <f>VLOOKUP(B:B,'10店'!$B:$B,1,0)</f>
        <v>Y103230-OR+Y1003231+Y1003240</v>
      </c>
      <c r="E11" t="s">
        <v>3453</v>
      </c>
      <c r="F11">
        <v>1</v>
      </c>
      <c r="G11" s="1" t="str">
        <f>VLOOKUP(E:E,'10店'!$B:$B,1,0)</f>
        <v>Y103106-OR+Y103109+Y103112</v>
      </c>
      <c r="H11" t="s">
        <v>3453</v>
      </c>
      <c r="I11">
        <v>1</v>
      </c>
      <c r="J11" s="1" t="str">
        <f>VLOOKUP(H:H,'10店'!$B:$B,1,0)</f>
        <v>Y103106-OR+Y103109+Y103112</v>
      </c>
      <c r="K11" t="s">
        <v>3459</v>
      </c>
      <c r="L11">
        <v>504</v>
      </c>
      <c r="M11">
        <v>2</v>
      </c>
      <c r="N11">
        <v>0.9</v>
      </c>
      <c r="O11">
        <v>0</v>
      </c>
      <c r="P11">
        <v>0</v>
      </c>
      <c r="Q11" s="31">
        <v>0</v>
      </c>
      <c r="R11" s="31">
        <v>0</v>
      </c>
      <c r="S11" s="1" t="str">
        <f>VLOOKUP(K:K,'10店'!$B:$B,1,0)</f>
        <v>Y103134-OR+Y103137+Y103268</v>
      </c>
      <c r="T11" t="s">
        <v>3459</v>
      </c>
      <c r="U11">
        <v>892</v>
      </c>
      <c r="V11">
        <v>2</v>
      </c>
      <c r="W11">
        <v>0.9</v>
      </c>
      <c r="X11">
        <v>0</v>
      </c>
      <c r="Y11">
        <v>0</v>
      </c>
      <c r="Z11" s="31">
        <v>0</v>
      </c>
      <c r="AA11" s="31">
        <v>0</v>
      </c>
      <c r="AB11" s="1" t="str">
        <f>VLOOKUP(T:T,'10店'!$B:$B,1,0)</f>
        <v>Y103134-OR+Y103137+Y103268</v>
      </c>
      <c r="AC11" t="s">
        <v>3459</v>
      </c>
      <c r="AD11">
        <v>1001</v>
      </c>
      <c r="AE11">
        <v>3</v>
      </c>
      <c r="AF11">
        <v>0.99</v>
      </c>
      <c r="AG11">
        <v>0</v>
      </c>
      <c r="AH11">
        <v>0</v>
      </c>
      <c r="AI11" s="31">
        <v>0</v>
      </c>
      <c r="AJ11" s="31">
        <v>0</v>
      </c>
      <c r="AK11" s="1" t="str">
        <f>VLOOKUP(AC:AC,'10店'!$B:$B,1,0)</f>
        <v>Y103134-OR+Y103137+Y103268</v>
      </c>
      <c r="AL11" s="29"/>
      <c r="AM11" s="29"/>
      <c r="AN11" s="1">
        <f t="shared" si="0"/>
        <v>0</v>
      </c>
      <c r="AP11" s="29" t="s">
        <v>3449</v>
      </c>
      <c r="AQ11" s="33">
        <v>12.99</v>
      </c>
      <c r="AR11" s="1">
        <f t="shared" si="1"/>
        <v>88.9815</v>
      </c>
      <c r="AT11" s="43" t="s">
        <v>3451</v>
      </c>
      <c r="AU11" s="44">
        <v>194.6</v>
      </c>
      <c r="AV11" s="35"/>
      <c r="AW11" s="43"/>
      <c r="AX11" s="44"/>
      <c r="AZ11" s="47" t="s">
        <v>3451</v>
      </c>
      <c r="BA11" s="48">
        <v>0.809</v>
      </c>
      <c r="BB11" s="1" t="s">
        <v>3467</v>
      </c>
    </row>
    <row r="12" s="1" customFormat="1" spans="2:54">
      <c r="B12" t="s">
        <v>439</v>
      </c>
      <c r="C12">
        <v>11</v>
      </c>
      <c r="E12" t="s">
        <v>3449</v>
      </c>
      <c r="F12">
        <v>1</v>
      </c>
      <c r="G12" s="1" t="str">
        <f>VLOOKUP(E:E,'10店'!$B:$B,1,0)</f>
        <v>Y103106-BL+Y103109+Y103112</v>
      </c>
      <c r="H12" t="s">
        <v>3449</v>
      </c>
      <c r="I12">
        <v>1</v>
      </c>
      <c r="J12" s="1" t="str">
        <f>VLOOKUP(H:H,'10店'!$B:$B,1,0)</f>
        <v>Y103106-BL+Y103109+Y103112</v>
      </c>
      <c r="K12" t="s">
        <v>3437</v>
      </c>
      <c r="L12">
        <v>1285</v>
      </c>
      <c r="M12">
        <v>8</v>
      </c>
      <c r="N12">
        <v>3.51</v>
      </c>
      <c r="O12">
        <v>11.99</v>
      </c>
      <c r="P12">
        <v>1</v>
      </c>
      <c r="Q12" s="31">
        <v>0.292743953294412</v>
      </c>
      <c r="R12" s="31">
        <v>0.125</v>
      </c>
      <c r="S12" s="1" t="str">
        <f>VLOOKUP(K:K,'10店'!$B:$B,1,0)</f>
        <v>Y102000-BL+Y102013+Y102749</v>
      </c>
      <c r="T12" t="s">
        <v>3437</v>
      </c>
      <c r="U12">
        <v>2062</v>
      </c>
      <c r="V12">
        <v>15</v>
      </c>
      <c r="W12">
        <v>6.63</v>
      </c>
      <c r="X12">
        <v>11.99</v>
      </c>
      <c r="Y12">
        <v>1</v>
      </c>
      <c r="Z12" s="31">
        <v>0.552960800667223</v>
      </c>
      <c r="AA12" s="31">
        <v>0.0666666666666667</v>
      </c>
      <c r="AB12" s="1" t="str">
        <f>VLOOKUP(T:T,'10店'!$B:$B,1,0)</f>
        <v>Y102000-BL+Y102013+Y102749</v>
      </c>
      <c r="AC12" t="s">
        <v>3437</v>
      </c>
      <c r="AD12">
        <v>2431</v>
      </c>
      <c r="AE12">
        <v>15</v>
      </c>
      <c r="AF12">
        <v>6.63</v>
      </c>
      <c r="AG12">
        <v>11.99</v>
      </c>
      <c r="AH12">
        <v>1</v>
      </c>
      <c r="AI12" s="31">
        <v>0.552960800667223</v>
      </c>
      <c r="AJ12" s="31">
        <v>0.0666666666666667</v>
      </c>
      <c r="AK12" s="1" t="str">
        <f>VLOOKUP(AC:AC,'10店'!$B:$B,1,0)</f>
        <v>Y102000-BL+Y102013+Y102749</v>
      </c>
      <c r="AL12" s="29"/>
      <c r="AM12" s="29"/>
      <c r="AN12" s="1">
        <f t="shared" si="0"/>
        <v>0</v>
      </c>
      <c r="AP12" s="29" t="s">
        <v>3465</v>
      </c>
      <c r="AQ12" s="33">
        <v>11.99</v>
      </c>
      <c r="AR12" s="1">
        <f t="shared" si="1"/>
        <v>82.1315</v>
      </c>
      <c r="AT12" s="45" t="s">
        <v>3453</v>
      </c>
      <c r="AU12" s="44">
        <v>208.5</v>
      </c>
      <c r="AV12" s="35"/>
      <c r="AW12" s="43"/>
      <c r="AX12" s="44"/>
      <c r="AZ12" s="47" t="s">
        <v>3453</v>
      </c>
      <c r="BA12" s="48">
        <v>0.809</v>
      </c>
      <c r="BB12" s="1" t="s">
        <v>3467</v>
      </c>
    </row>
    <row r="13" s="1" customFormat="1" spans="2:54">
      <c r="B13"/>
      <c r="C13"/>
      <c r="E13" t="s">
        <v>3465</v>
      </c>
      <c r="F13">
        <v>1</v>
      </c>
      <c r="G13" s="1" t="str">
        <f>VLOOKUP(E:E,'10店'!$B:$B,1,0)</f>
        <v>Y103230-OR+Y1003231+Y1003240</v>
      </c>
      <c r="H13" t="s">
        <v>3465</v>
      </c>
      <c r="I13">
        <v>1</v>
      </c>
      <c r="J13" s="1" t="str">
        <f>VLOOKUP(H:H,'10店'!$B:$B,1,0)</f>
        <v>Y103230-OR+Y1003231+Y1003240</v>
      </c>
      <c r="K13" t="s">
        <v>3441</v>
      </c>
      <c r="L13">
        <v>786</v>
      </c>
      <c r="M13">
        <v>6</v>
      </c>
      <c r="N13">
        <v>2.5</v>
      </c>
      <c r="O13">
        <v>0</v>
      </c>
      <c r="P13">
        <v>0</v>
      </c>
      <c r="Q13" s="31">
        <v>0</v>
      </c>
      <c r="R13" s="31">
        <v>0</v>
      </c>
      <c r="S13" s="1" t="str">
        <f>VLOOKUP(K:K,'10店'!$B:$B,1,0)</f>
        <v>Y102000-OR+Y102013+Y102749</v>
      </c>
      <c r="T13" t="s">
        <v>3441</v>
      </c>
      <c r="U13">
        <v>1353</v>
      </c>
      <c r="V13">
        <v>7</v>
      </c>
      <c r="W13">
        <v>2.98</v>
      </c>
      <c r="X13">
        <v>0</v>
      </c>
      <c r="Y13">
        <v>0</v>
      </c>
      <c r="Z13" s="31">
        <v>0</v>
      </c>
      <c r="AA13" s="31">
        <v>0</v>
      </c>
      <c r="AB13" s="1" t="str">
        <f>VLOOKUP(T:T,'10店'!$B:$B,1,0)</f>
        <v>Y102000-OR+Y102013+Y102749</v>
      </c>
      <c r="AC13" t="s">
        <v>3441</v>
      </c>
      <c r="AD13">
        <v>1502</v>
      </c>
      <c r="AE13">
        <v>8</v>
      </c>
      <c r="AF13">
        <v>3.41</v>
      </c>
      <c r="AG13">
        <v>0</v>
      </c>
      <c r="AH13">
        <v>0</v>
      </c>
      <c r="AI13" s="31">
        <v>0</v>
      </c>
      <c r="AJ13" s="31">
        <v>0</v>
      </c>
      <c r="AK13" s="1" t="str">
        <f>VLOOKUP(AC:AC,'10店'!$B:$B,1,0)</f>
        <v>Y102000-OR+Y102013+Y102749</v>
      </c>
      <c r="AL13" s="29"/>
      <c r="AM13" s="29"/>
      <c r="AN13" s="1">
        <f t="shared" si="0"/>
        <v>0</v>
      </c>
      <c r="AP13" s="29"/>
      <c r="AQ13" s="29"/>
      <c r="AR13" s="1">
        <f t="shared" si="1"/>
        <v>0</v>
      </c>
      <c r="AT13" s="45" t="s">
        <v>3455</v>
      </c>
      <c r="AU13" s="44">
        <v>208.5</v>
      </c>
      <c r="AV13" s="35"/>
      <c r="AW13" s="43"/>
      <c r="AX13" s="44"/>
      <c r="AZ13" s="47" t="s">
        <v>3455</v>
      </c>
      <c r="BA13" s="48">
        <v>0.809</v>
      </c>
      <c r="BB13" s="1" t="s">
        <v>3467</v>
      </c>
    </row>
    <row r="14" s="1" customFormat="1" spans="2:54">
      <c r="B14"/>
      <c r="C14"/>
      <c r="E14" t="s">
        <v>439</v>
      </c>
      <c r="F14">
        <v>16</v>
      </c>
      <c r="H14" t="s">
        <v>439</v>
      </c>
      <c r="I14">
        <v>16</v>
      </c>
      <c r="K14" t="s">
        <v>3439</v>
      </c>
      <c r="L14">
        <v>887</v>
      </c>
      <c r="M14">
        <v>11</v>
      </c>
      <c r="N14">
        <v>4.85</v>
      </c>
      <c r="O14">
        <v>12.99</v>
      </c>
      <c r="P14">
        <v>1</v>
      </c>
      <c r="Q14" s="31">
        <v>0.373364126250962</v>
      </c>
      <c r="R14" s="31">
        <v>0.0909090909090909</v>
      </c>
      <c r="S14" s="1" t="str">
        <f>VLOOKUP(K:K,'10店'!$B:$B,1,0)</f>
        <v>Y102000-DB+Y102013+Y102749</v>
      </c>
      <c r="T14" t="s">
        <v>3439</v>
      </c>
      <c r="U14">
        <v>1267</v>
      </c>
      <c r="V14">
        <v>14</v>
      </c>
      <c r="W14">
        <v>6.18</v>
      </c>
      <c r="X14">
        <v>12.99</v>
      </c>
      <c r="Y14">
        <v>1</v>
      </c>
      <c r="Z14" s="31">
        <v>0.475750577367206</v>
      </c>
      <c r="AA14" s="31">
        <v>0.0714285714285714</v>
      </c>
      <c r="AB14" s="1" t="str">
        <f>VLOOKUP(T:T,'10店'!$B:$B,1,0)</f>
        <v>Y102000-DB+Y102013+Y102749</v>
      </c>
      <c r="AC14" t="s">
        <v>3439</v>
      </c>
      <c r="AD14">
        <v>1366</v>
      </c>
      <c r="AE14">
        <v>14</v>
      </c>
      <c r="AF14">
        <v>6.18</v>
      </c>
      <c r="AG14">
        <v>12.99</v>
      </c>
      <c r="AH14">
        <v>1</v>
      </c>
      <c r="AI14" s="31">
        <v>0.475750577367206</v>
      </c>
      <c r="AJ14" s="31">
        <v>0.0714285714285714</v>
      </c>
      <c r="AK14" s="1" t="str">
        <f>VLOOKUP(AC:AC,'10店'!$B:$B,1,0)</f>
        <v>Y102000-DB+Y102013+Y102749</v>
      </c>
      <c r="AL14" s="29"/>
      <c r="AM14" s="29"/>
      <c r="AN14" s="1">
        <f t="shared" si="0"/>
        <v>0</v>
      </c>
      <c r="AP14" s="29"/>
      <c r="AQ14" s="29"/>
      <c r="AR14" s="1">
        <f t="shared" si="1"/>
        <v>0</v>
      </c>
      <c r="AT14" s="45" t="s">
        <v>3457</v>
      </c>
      <c r="AU14" s="44">
        <v>208.5</v>
      </c>
      <c r="AV14" s="35"/>
      <c r="AW14" s="43"/>
      <c r="AX14" s="44"/>
      <c r="AZ14" s="47" t="s">
        <v>3457</v>
      </c>
      <c r="BA14" s="48">
        <v>0.809</v>
      </c>
      <c r="BB14" s="1" t="s">
        <v>3467</v>
      </c>
    </row>
    <row r="15" s="1" customFormat="1" spans="2:54">
      <c r="B15"/>
      <c r="C15"/>
      <c r="E15"/>
      <c r="F15"/>
      <c r="H15"/>
      <c r="I15"/>
      <c r="K15" t="s">
        <v>3449</v>
      </c>
      <c r="L15">
        <v>1475</v>
      </c>
      <c r="M15">
        <v>7</v>
      </c>
      <c r="N15">
        <v>3.31</v>
      </c>
      <c r="O15">
        <v>12.99</v>
      </c>
      <c r="P15">
        <v>1</v>
      </c>
      <c r="Q15" s="31">
        <v>0.254811393379523</v>
      </c>
      <c r="R15" s="31">
        <v>0.142857142857143</v>
      </c>
      <c r="S15" s="1" t="str">
        <f>VLOOKUP(K:K,'10店'!$B:$B,1,0)</f>
        <v>Y103106-BL+Y103109+Y103112</v>
      </c>
      <c r="T15" t="s">
        <v>3449</v>
      </c>
      <c r="U15">
        <v>1823</v>
      </c>
      <c r="V15">
        <v>10</v>
      </c>
      <c r="W15">
        <v>4.68</v>
      </c>
      <c r="X15">
        <v>12.99</v>
      </c>
      <c r="Y15">
        <v>1</v>
      </c>
      <c r="Z15" s="31">
        <v>0.360277136258661</v>
      </c>
      <c r="AA15" s="31">
        <v>0.1</v>
      </c>
      <c r="AB15" s="1" t="str">
        <f>VLOOKUP(T:T,'10店'!$B:$B,1,0)</f>
        <v>Y103106-BL+Y103109+Y103112</v>
      </c>
      <c r="AC15" t="s">
        <v>3449</v>
      </c>
      <c r="AD15">
        <v>1964</v>
      </c>
      <c r="AE15">
        <v>13</v>
      </c>
      <c r="AF15">
        <v>5.8</v>
      </c>
      <c r="AG15">
        <v>12.99</v>
      </c>
      <c r="AH15">
        <v>1</v>
      </c>
      <c r="AI15" s="31">
        <v>0.446497305619707</v>
      </c>
      <c r="AJ15" s="31">
        <v>0.0769230769230769</v>
      </c>
      <c r="AK15" s="1" t="str">
        <f>VLOOKUP(AC:AC,'10店'!$B:$B,1,0)</f>
        <v>Y103106-BL+Y103109+Y103112</v>
      </c>
      <c r="AL15" s="29"/>
      <c r="AM15" s="29"/>
      <c r="AN15" s="1">
        <f t="shared" si="0"/>
        <v>0</v>
      </c>
      <c r="AP15" s="29"/>
      <c r="AQ15" s="29"/>
      <c r="AR15" s="1">
        <f t="shared" si="1"/>
        <v>0</v>
      </c>
      <c r="AT15" s="45" t="s">
        <v>3459</v>
      </c>
      <c r="AU15" s="44">
        <v>208.5</v>
      </c>
      <c r="AV15" s="35"/>
      <c r="AW15" s="43"/>
      <c r="AX15" s="44"/>
      <c r="AZ15" s="47" t="s">
        <v>3459</v>
      </c>
      <c r="BA15" s="48">
        <v>0.809</v>
      </c>
      <c r="BB15" s="1" t="s">
        <v>3467</v>
      </c>
    </row>
    <row r="16" s="1" customFormat="1" spans="2:54">
      <c r="B16"/>
      <c r="C16"/>
      <c r="E16"/>
      <c r="F16"/>
      <c r="H16"/>
      <c r="I16"/>
      <c r="K16" t="s">
        <v>3453</v>
      </c>
      <c r="L16">
        <v>1333</v>
      </c>
      <c r="M16">
        <v>2</v>
      </c>
      <c r="N16">
        <v>0.95</v>
      </c>
      <c r="O16">
        <v>24.98</v>
      </c>
      <c r="P16">
        <v>2</v>
      </c>
      <c r="Q16" s="31">
        <v>0.0380304243394716</v>
      </c>
      <c r="R16" s="31">
        <v>1</v>
      </c>
      <c r="S16" s="1" t="str">
        <f>VLOOKUP(K:K,'10店'!$B:$B,1,0)</f>
        <v>Y103106-OR+Y103109+Y103112</v>
      </c>
      <c r="T16" t="s">
        <v>3453</v>
      </c>
      <c r="U16">
        <v>1628</v>
      </c>
      <c r="V16">
        <v>6</v>
      </c>
      <c r="W16">
        <v>2.6</v>
      </c>
      <c r="X16">
        <v>24.98</v>
      </c>
      <c r="Y16">
        <v>2</v>
      </c>
      <c r="Z16" s="31">
        <v>0.104083266613291</v>
      </c>
      <c r="AA16" s="31">
        <v>0.333333333333333</v>
      </c>
      <c r="AB16" s="1" t="str">
        <f>VLOOKUP(T:T,'10店'!$B:$B,1,0)</f>
        <v>Y103106-OR+Y103109+Y103112</v>
      </c>
      <c r="AC16" t="s">
        <v>3453</v>
      </c>
      <c r="AD16">
        <v>1736</v>
      </c>
      <c r="AE16">
        <v>7</v>
      </c>
      <c r="AF16">
        <v>3.05</v>
      </c>
      <c r="AG16">
        <v>24.98</v>
      </c>
      <c r="AH16">
        <v>2</v>
      </c>
      <c r="AI16" s="31">
        <v>0.122097678142514</v>
      </c>
      <c r="AJ16" s="31">
        <v>0.285714285714286</v>
      </c>
      <c r="AK16" s="1" t="str">
        <f>VLOOKUP(AC:AC,'10店'!$B:$B,1,0)</f>
        <v>Y103106-OR+Y103109+Y103112</v>
      </c>
      <c r="AL16" s="29"/>
      <c r="AM16" s="29"/>
      <c r="AN16" s="1">
        <f t="shared" si="0"/>
        <v>0</v>
      </c>
      <c r="AP16" s="29"/>
      <c r="AQ16" s="29"/>
      <c r="AR16" s="1">
        <f t="shared" si="1"/>
        <v>0</v>
      </c>
      <c r="AT16" s="45" t="s">
        <v>3461</v>
      </c>
      <c r="AU16" s="44">
        <v>208.5</v>
      </c>
      <c r="AV16" s="35"/>
      <c r="AW16" s="43"/>
      <c r="AX16" s="44"/>
      <c r="AZ16" s="47" t="s">
        <v>3461</v>
      </c>
      <c r="BA16" s="48">
        <v>0.809</v>
      </c>
      <c r="BB16" s="1" t="s">
        <v>3467</v>
      </c>
    </row>
    <row r="17" s="1" customFormat="1" spans="2:54">
      <c r="B17"/>
      <c r="C17"/>
      <c r="E17"/>
      <c r="F17"/>
      <c r="H17"/>
      <c r="I17"/>
      <c r="K17" t="s">
        <v>3451</v>
      </c>
      <c r="L17">
        <v>433</v>
      </c>
      <c r="M17">
        <v>3</v>
      </c>
      <c r="N17">
        <v>1.32</v>
      </c>
      <c r="O17">
        <v>0</v>
      </c>
      <c r="P17">
        <v>0</v>
      </c>
      <c r="Q17" s="31">
        <v>0</v>
      </c>
      <c r="R17" s="31">
        <v>0</v>
      </c>
      <c r="S17" s="1" t="str">
        <f>VLOOKUP(K:K,'10店'!$B:$B,1,0)</f>
        <v>Y103106-DB+Y103109+Y103112</v>
      </c>
      <c r="T17" t="s">
        <v>3451</v>
      </c>
      <c r="U17">
        <v>616</v>
      </c>
      <c r="V17">
        <v>5</v>
      </c>
      <c r="W17">
        <v>2.23</v>
      </c>
      <c r="X17">
        <v>12.99</v>
      </c>
      <c r="Y17">
        <v>1</v>
      </c>
      <c r="Z17" s="31">
        <v>0.17167051578137</v>
      </c>
      <c r="AA17" s="31">
        <v>0.2</v>
      </c>
      <c r="AB17" s="1" t="str">
        <f>VLOOKUP(T:T,'10店'!$B:$B,1,0)</f>
        <v>Y103106-DB+Y103109+Y103112</v>
      </c>
      <c r="AC17" t="s">
        <v>3451</v>
      </c>
      <c r="AD17">
        <v>675</v>
      </c>
      <c r="AE17">
        <v>6</v>
      </c>
      <c r="AF17">
        <v>2.68</v>
      </c>
      <c r="AG17">
        <v>12.99</v>
      </c>
      <c r="AH17">
        <v>1</v>
      </c>
      <c r="AI17" s="31">
        <v>0.206312548113934</v>
      </c>
      <c r="AJ17" s="31">
        <v>0.166666666666667</v>
      </c>
      <c r="AK17" s="1" t="str">
        <f>VLOOKUP(AC:AC,'10店'!$B:$B,1,0)</f>
        <v>Y103106-DB+Y103109+Y103112</v>
      </c>
      <c r="AL17" s="29"/>
      <c r="AM17" s="29"/>
      <c r="AN17" s="1">
        <f t="shared" si="0"/>
        <v>0</v>
      </c>
      <c r="AP17" s="29"/>
      <c r="AQ17" s="29"/>
      <c r="AR17" s="1">
        <f t="shared" si="1"/>
        <v>0</v>
      </c>
      <c r="AT17" s="45" t="s">
        <v>3463</v>
      </c>
      <c r="AU17" s="44">
        <v>194.6</v>
      </c>
      <c r="AV17" s="35"/>
      <c r="AW17" s="43"/>
      <c r="AX17" s="44"/>
      <c r="AZ17" s="47" t="s">
        <v>3463</v>
      </c>
      <c r="BA17" s="48">
        <v>0.809</v>
      </c>
      <c r="BB17" s="1" t="s">
        <v>3467</v>
      </c>
    </row>
    <row r="18" s="1" customFormat="1" spans="2:54">
      <c r="B18"/>
      <c r="C18"/>
      <c r="E18"/>
      <c r="F18"/>
      <c r="H18"/>
      <c r="I18"/>
      <c r="K18" t="s">
        <v>3425</v>
      </c>
      <c r="L18">
        <v>549</v>
      </c>
      <c r="M18">
        <v>1</v>
      </c>
      <c r="N18">
        <v>1.13</v>
      </c>
      <c r="O18">
        <v>0</v>
      </c>
      <c r="P18">
        <v>0</v>
      </c>
      <c r="Q18" s="31">
        <v>0</v>
      </c>
      <c r="R18" s="31">
        <v>0</v>
      </c>
      <c r="S18" s="1" t="str">
        <f>VLOOKUP(K:K,'10店'!$B:$B,1,0)</f>
        <v>Y10025-BL</v>
      </c>
      <c r="T18" t="s">
        <v>3425</v>
      </c>
      <c r="U18">
        <v>549</v>
      </c>
      <c r="V18">
        <v>1</v>
      </c>
      <c r="W18">
        <v>1.13</v>
      </c>
      <c r="X18">
        <v>0</v>
      </c>
      <c r="Y18">
        <v>0</v>
      </c>
      <c r="Z18" s="31">
        <v>0</v>
      </c>
      <c r="AA18" s="31">
        <v>0</v>
      </c>
      <c r="AB18" s="1" t="str">
        <f>VLOOKUP(T:T,'10店'!$B:$B,1,0)</f>
        <v>Y10025-BL</v>
      </c>
      <c r="AC18" t="s">
        <v>3425</v>
      </c>
      <c r="AD18">
        <v>549</v>
      </c>
      <c r="AE18">
        <v>1</v>
      </c>
      <c r="AF18">
        <v>1.13</v>
      </c>
      <c r="AG18">
        <v>0</v>
      </c>
      <c r="AH18">
        <v>0</v>
      </c>
      <c r="AI18" s="31">
        <v>0</v>
      </c>
      <c r="AJ18" s="31">
        <v>0</v>
      </c>
      <c r="AK18" s="1" t="str">
        <f>VLOOKUP(AC:AC,'10店'!$B:$B,1,0)</f>
        <v>Y10025-BL</v>
      </c>
      <c r="AL18" s="29"/>
      <c r="AM18" s="29"/>
      <c r="AN18" s="1">
        <f t="shared" si="0"/>
        <v>0</v>
      </c>
      <c r="AP18" s="29"/>
      <c r="AQ18" s="29"/>
      <c r="AR18" s="1">
        <f t="shared" si="1"/>
        <v>0</v>
      </c>
      <c r="AT18" s="45" t="s">
        <v>3465</v>
      </c>
      <c r="AU18" s="44">
        <v>208.5</v>
      </c>
      <c r="AV18" s="35"/>
      <c r="AW18" s="43"/>
      <c r="AX18" s="44"/>
      <c r="AZ18" s="47" t="s">
        <v>3465</v>
      </c>
      <c r="BA18" s="48">
        <v>0.809</v>
      </c>
      <c r="BB18" s="1" t="s">
        <v>3467</v>
      </c>
    </row>
    <row r="19" s="1" customFormat="1" spans="2:54">
      <c r="B19"/>
      <c r="C19"/>
      <c r="E19"/>
      <c r="F19"/>
      <c r="H19"/>
      <c r="I19"/>
      <c r="K19" t="s">
        <v>3428</v>
      </c>
      <c r="L19">
        <v>1810</v>
      </c>
      <c r="M19">
        <v>7</v>
      </c>
      <c r="N19">
        <v>6.17</v>
      </c>
      <c r="O19">
        <v>19.99</v>
      </c>
      <c r="P19">
        <v>1</v>
      </c>
      <c r="Q19" s="31">
        <v>0.308654327163582</v>
      </c>
      <c r="R19" s="31">
        <v>0.142857142857143</v>
      </c>
      <c r="S19" s="1" t="str">
        <f>VLOOKUP(K:K,'10店'!$B:$B,1,0)</f>
        <v>Y10025-WH</v>
      </c>
      <c r="T19" t="s">
        <v>3428</v>
      </c>
      <c r="U19">
        <v>1810</v>
      </c>
      <c r="V19">
        <v>7</v>
      </c>
      <c r="W19">
        <v>6.17</v>
      </c>
      <c r="X19">
        <v>19.99</v>
      </c>
      <c r="Y19">
        <v>1</v>
      </c>
      <c r="Z19" s="31">
        <v>0.308654327163582</v>
      </c>
      <c r="AA19" s="31">
        <v>0.142857142857143</v>
      </c>
      <c r="AB19" s="1" t="str">
        <f>VLOOKUP(T:T,'10店'!$B:$B,1,0)</f>
        <v>Y10025-WH</v>
      </c>
      <c r="AC19" t="s">
        <v>3428</v>
      </c>
      <c r="AD19">
        <v>1810</v>
      </c>
      <c r="AE19">
        <v>7</v>
      </c>
      <c r="AF19">
        <v>6.17</v>
      </c>
      <c r="AG19">
        <v>19.99</v>
      </c>
      <c r="AH19">
        <v>1</v>
      </c>
      <c r="AI19" s="31">
        <v>0.308654327163582</v>
      </c>
      <c r="AJ19" s="31">
        <v>0.142857142857143</v>
      </c>
      <c r="AK19" s="1" t="str">
        <f>VLOOKUP(AC:AC,'10店'!$B:$B,1,0)</f>
        <v>Y10025-WH</v>
      </c>
      <c r="AL19" s="29"/>
      <c r="AM19" s="29"/>
      <c r="AN19" s="1">
        <f t="shared" si="0"/>
        <v>0</v>
      </c>
      <c r="AP19" s="29"/>
      <c r="AQ19" s="29"/>
      <c r="AR19" s="1">
        <f t="shared" si="1"/>
        <v>0</v>
      </c>
      <c r="AT19"/>
      <c r="AU19"/>
      <c r="AV19" s="35"/>
      <c r="AW19" s="43"/>
      <c r="AX19" s="44"/>
      <c r="AZ19" s="47" t="s">
        <v>3380</v>
      </c>
      <c r="BA19" s="48">
        <v>43.336</v>
      </c>
      <c r="BB19" s="1" t="s">
        <v>3467</v>
      </c>
    </row>
    <row r="20" s="1" customFormat="1" spans="2:54">
      <c r="B20"/>
      <c r="C20"/>
      <c r="E20"/>
      <c r="F20"/>
      <c r="H20"/>
      <c r="I20"/>
      <c r="K20" t="s">
        <v>3431</v>
      </c>
      <c r="L20">
        <v>891</v>
      </c>
      <c r="M20">
        <v>0</v>
      </c>
      <c r="N20">
        <v>0</v>
      </c>
      <c r="O20">
        <v>0</v>
      </c>
      <c r="P20">
        <v>0</v>
      </c>
      <c r="Q20" s="31">
        <v>0</v>
      </c>
      <c r="R20" s="31">
        <v>0</v>
      </c>
      <c r="S20" s="1" t="str">
        <f>VLOOKUP(K:K,'10店'!$B:$B,1,0)</f>
        <v>Y10027-3</v>
      </c>
      <c r="T20" t="s">
        <v>3431</v>
      </c>
      <c r="U20">
        <v>891</v>
      </c>
      <c r="V20">
        <v>0</v>
      </c>
      <c r="W20">
        <v>0</v>
      </c>
      <c r="X20">
        <v>0</v>
      </c>
      <c r="Y20">
        <v>0</v>
      </c>
      <c r="Z20" s="31">
        <v>0</v>
      </c>
      <c r="AA20" s="31">
        <v>0</v>
      </c>
      <c r="AB20" s="1" t="str">
        <f>VLOOKUP(T:T,'10店'!$B:$B,1,0)</f>
        <v>Y10027-3</v>
      </c>
      <c r="AC20" t="s">
        <v>3431</v>
      </c>
      <c r="AD20">
        <v>891</v>
      </c>
      <c r="AE20">
        <v>0</v>
      </c>
      <c r="AF20">
        <v>0</v>
      </c>
      <c r="AG20">
        <v>0</v>
      </c>
      <c r="AH20">
        <v>0</v>
      </c>
      <c r="AI20" s="31">
        <v>0</v>
      </c>
      <c r="AJ20" s="31">
        <v>0</v>
      </c>
      <c r="AK20" s="1" t="str">
        <f>VLOOKUP(AC:AC,'10店'!$B:$B,1,0)</f>
        <v>Y10027-3</v>
      </c>
      <c r="AL20" s="29"/>
      <c r="AM20" s="29"/>
      <c r="AN20" s="1">
        <f t="shared" si="0"/>
        <v>0</v>
      </c>
      <c r="AP20" s="29"/>
      <c r="AQ20" s="29"/>
      <c r="AR20" s="1">
        <f t="shared" si="1"/>
        <v>0</v>
      </c>
      <c r="AT20"/>
      <c r="AU20"/>
      <c r="AV20" s="35"/>
      <c r="AW20" s="43"/>
      <c r="AX20" s="44"/>
      <c r="AZ20" s="47" t="s">
        <v>3382</v>
      </c>
      <c r="BA20" s="48">
        <v>43.336</v>
      </c>
      <c r="BB20" s="1" t="s">
        <v>3467</v>
      </c>
    </row>
    <row r="21" s="1" customFormat="1" spans="2:54">
      <c r="B21"/>
      <c r="C21"/>
      <c r="E21"/>
      <c r="F21"/>
      <c r="H21"/>
      <c r="I21"/>
      <c r="K21" t="s">
        <v>3434</v>
      </c>
      <c r="L21">
        <v>1199</v>
      </c>
      <c r="M21">
        <v>1</v>
      </c>
      <c r="N21">
        <v>1.25</v>
      </c>
      <c r="O21">
        <v>0</v>
      </c>
      <c r="P21">
        <v>0</v>
      </c>
      <c r="Q21" s="31">
        <v>0</v>
      </c>
      <c r="R21" s="31">
        <v>0</v>
      </c>
      <c r="S21" s="1" t="str">
        <f>VLOOKUP(K:K,'10店'!$B:$B,1,0)</f>
        <v>Y10027-6</v>
      </c>
      <c r="T21" t="s">
        <v>3434</v>
      </c>
      <c r="U21">
        <v>1199</v>
      </c>
      <c r="V21">
        <v>1</v>
      </c>
      <c r="W21">
        <v>1.25</v>
      </c>
      <c r="X21">
        <v>0</v>
      </c>
      <c r="Y21">
        <v>0</v>
      </c>
      <c r="Z21" s="31">
        <v>0</v>
      </c>
      <c r="AA21" s="31">
        <v>0</v>
      </c>
      <c r="AB21" s="1" t="str">
        <f>VLOOKUP(T:T,'10店'!$B:$B,1,0)</f>
        <v>Y10027-6</v>
      </c>
      <c r="AC21" t="s">
        <v>3434</v>
      </c>
      <c r="AD21">
        <v>1199</v>
      </c>
      <c r="AE21">
        <v>1</v>
      </c>
      <c r="AF21">
        <v>1.25</v>
      </c>
      <c r="AG21">
        <v>0</v>
      </c>
      <c r="AH21">
        <v>0</v>
      </c>
      <c r="AI21" s="31">
        <v>0</v>
      </c>
      <c r="AJ21" s="31">
        <v>0</v>
      </c>
      <c r="AK21" s="1" t="str">
        <f>VLOOKUP(AC:AC,'10店'!$B:$B,1,0)</f>
        <v>Y10027-6</v>
      </c>
      <c r="AL21" s="29"/>
      <c r="AM21" s="29"/>
      <c r="AN21" s="1">
        <f t="shared" si="0"/>
        <v>0</v>
      </c>
      <c r="AP21" s="29"/>
      <c r="AQ21" s="29"/>
      <c r="AR21" s="1">
        <f t="shared" si="1"/>
        <v>0</v>
      </c>
      <c r="AT21"/>
      <c r="AU21"/>
      <c r="AV21" s="35"/>
      <c r="AW21" s="43"/>
      <c r="AX21" s="44"/>
      <c r="AZ21" s="47" t="s">
        <v>3384</v>
      </c>
      <c r="BA21" s="48">
        <v>43.336</v>
      </c>
      <c r="BB21" s="1" t="s">
        <v>3467</v>
      </c>
    </row>
    <row r="22" s="1" customFormat="1" spans="2:54">
      <c r="B22"/>
      <c r="C22"/>
      <c r="E22"/>
      <c r="F22"/>
      <c r="H22"/>
      <c r="I22"/>
      <c r="K22" t="s">
        <v>439</v>
      </c>
      <c r="L22">
        <v>20821</v>
      </c>
      <c r="M22">
        <v>96</v>
      </c>
      <c r="N22">
        <v>47.72</v>
      </c>
      <c r="O22">
        <v>107.92</v>
      </c>
      <c r="P22">
        <v>8</v>
      </c>
      <c r="Q22" s="31">
        <v>0.442179392142328</v>
      </c>
      <c r="R22" s="31">
        <v>0.0833333333333333</v>
      </c>
      <c r="T22" t="s">
        <v>439</v>
      </c>
      <c r="U22">
        <v>28835</v>
      </c>
      <c r="V22">
        <v>140</v>
      </c>
      <c r="W22">
        <v>67.6</v>
      </c>
      <c r="X22">
        <v>159.88</v>
      </c>
      <c r="Y22">
        <v>12</v>
      </c>
      <c r="Z22" s="31">
        <v>0.422817112834626</v>
      </c>
      <c r="AA22" s="31">
        <v>0.0857142857142857</v>
      </c>
      <c r="AC22" t="s">
        <v>439</v>
      </c>
      <c r="AD22">
        <v>31432</v>
      </c>
      <c r="AE22">
        <v>152</v>
      </c>
      <c r="AF22">
        <v>72.48</v>
      </c>
      <c r="AG22">
        <v>159.88</v>
      </c>
      <c r="AH22">
        <v>12</v>
      </c>
      <c r="AI22" s="31">
        <v>0.453340005003753</v>
      </c>
      <c r="AJ22" s="31">
        <v>0.0789473684210526</v>
      </c>
      <c r="AL22" s="29"/>
      <c r="AM22" s="29"/>
      <c r="AN22" s="1">
        <f t="shared" si="0"/>
        <v>0</v>
      </c>
      <c r="AP22" s="29"/>
      <c r="AQ22" s="29"/>
      <c r="AR22" s="1">
        <f t="shared" si="1"/>
        <v>0</v>
      </c>
      <c r="AT22"/>
      <c r="AU22"/>
      <c r="AV22" s="35"/>
      <c r="AW22" s="43"/>
      <c r="AX22" s="44"/>
      <c r="AZ22" s="47" t="s">
        <v>3386</v>
      </c>
      <c r="BA22" s="48">
        <v>44.185</v>
      </c>
      <c r="BB22" s="1" t="s">
        <v>3467</v>
      </c>
    </row>
    <row r="23" s="1" customFormat="1" spans="2:54">
      <c r="B23"/>
      <c r="C23"/>
      <c r="E23"/>
      <c r="F23"/>
      <c r="H23"/>
      <c r="I23"/>
      <c r="K23"/>
      <c r="L23"/>
      <c r="M23"/>
      <c r="N23"/>
      <c r="O23"/>
      <c r="P23"/>
      <c r="Q23"/>
      <c r="R23"/>
      <c r="T23"/>
      <c r="U23"/>
      <c r="V23"/>
      <c r="W23"/>
      <c r="X23"/>
      <c r="Y23"/>
      <c r="Z23"/>
      <c r="AA23"/>
      <c r="AC23"/>
      <c r="AD23"/>
      <c r="AE23"/>
      <c r="AF23"/>
      <c r="AG23"/>
      <c r="AH23"/>
      <c r="AI23"/>
      <c r="AJ23"/>
      <c r="AL23" s="29"/>
      <c r="AM23" s="29"/>
      <c r="AN23" s="1">
        <f t="shared" si="0"/>
        <v>0</v>
      </c>
      <c r="AP23" s="29"/>
      <c r="AQ23" s="29"/>
      <c r="AR23" s="1">
        <f t="shared" si="1"/>
        <v>0</v>
      </c>
      <c r="AT23"/>
      <c r="AU23"/>
      <c r="AV23" s="35"/>
      <c r="AW23" s="43"/>
      <c r="AX23" s="44"/>
      <c r="AZ23" s="47" t="s">
        <v>3388</v>
      </c>
      <c r="BA23" s="48">
        <v>44.185</v>
      </c>
      <c r="BB23" s="1" t="s">
        <v>3467</v>
      </c>
    </row>
    <row r="24" s="1" customFormat="1" spans="2:54">
      <c r="B24"/>
      <c r="C24"/>
      <c r="E24"/>
      <c r="F24"/>
      <c r="H24"/>
      <c r="I24"/>
      <c r="K24"/>
      <c r="L24"/>
      <c r="M24"/>
      <c r="N24"/>
      <c r="O24"/>
      <c r="P24"/>
      <c r="Q24"/>
      <c r="R24"/>
      <c r="T24"/>
      <c r="U24"/>
      <c r="V24"/>
      <c r="W24"/>
      <c r="X24"/>
      <c r="Y24"/>
      <c r="Z24"/>
      <c r="AA24"/>
      <c r="AC24"/>
      <c r="AD24"/>
      <c r="AE24"/>
      <c r="AF24"/>
      <c r="AG24"/>
      <c r="AH24"/>
      <c r="AI24"/>
      <c r="AJ24"/>
      <c r="AL24" s="29"/>
      <c r="AM24" s="29"/>
      <c r="AN24" s="1">
        <f t="shared" si="0"/>
        <v>0</v>
      </c>
      <c r="AP24" s="29"/>
      <c r="AQ24" s="29"/>
      <c r="AR24" s="1">
        <f t="shared" si="1"/>
        <v>0</v>
      </c>
      <c r="AT24"/>
      <c r="AU24"/>
      <c r="AV24" s="35"/>
      <c r="AW24" s="43"/>
      <c r="AX24" s="44"/>
      <c r="AZ24" s="47" t="s">
        <v>3390</v>
      </c>
      <c r="BA24" s="48">
        <v>44.185</v>
      </c>
      <c r="BB24" s="1" t="s">
        <v>3467</v>
      </c>
    </row>
    <row r="25" s="1" customFormat="1" spans="2:54">
      <c r="B25"/>
      <c r="C25"/>
      <c r="E25"/>
      <c r="F25"/>
      <c r="H25"/>
      <c r="I25"/>
      <c r="K25"/>
      <c r="L25"/>
      <c r="M25"/>
      <c r="N25"/>
      <c r="O25"/>
      <c r="P25"/>
      <c r="Q25"/>
      <c r="R25"/>
      <c r="T25"/>
      <c r="U25"/>
      <c r="V25"/>
      <c r="W25"/>
      <c r="X25"/>
      <c r="Y25"/>
      <c r="Z25"/>
      <c r="AA25"/>
      <c r="AC25"/>
      <c r="AD25"/>
      <c r="AE25"/>
      <c r="AF25"/>
      <c r="AG25"/>
      <c r="AH25"/>
      <c r="AI25"/>
      <c r="AJ25"/>
      <c r="AL25" s="29"/>
      <c r="AM25" s="29"/>
      <c r="AN25" s="1">
        <f t="shared" si="0"/>
        <v>0</v>
      </c>
      <c r="AP25" s="29"/>
      <c r="AQ25" s="29"/>
      <c r="AR25" s="1">
        <f t="shared" si="1"/>
        <v>0</v>
      </c>
      <c r="AT25"/>
      <c r="AU25"/>
      <c r="AV25" s="35"/>
      <c r="AW25" s="43"/>
      <c r="AX25" s="44"/>
      <c r="AZ25" s="47" t="s">
        <v>3392</v>
      </c>
      <c r="BA25" s="48">
        <v>82.423</v>
      </c>
      <c r="BB25" s="1" t="s">
        <v>3467</v>
      </c>
    </row>
    <row r="26" s="1" customFormat="1" spans="2:54">
      <c r="B26"/>
      <c r="C26"/>
      <c r="E26"/>
      <c r="F26"/>
      <c r="H26"/>
      <c r="I26"/>
      <c r="K26"/>
      <c r="L26"/>
      <c r="M26"/>
      <c r="N26"/>
      <c r="O26"/>
      <c r="P26"/>
      <c r="Q26"/>
      <c r="R26"/>
      <c r="T26"/>
      <c r="U26"/>
      <c r="V26"/>
      <c r="W26"/>
      <c r="X26"/>
      <c r="Y26"/>
      <c r="Z26"/>
      <c r="AA26"/>
      <c r="AC26"/>
      <c r="AD26"/>
      <c r="AE26"/>
      <c r="AF26"/>
      <c r="AG26"/>
      <c r="AH26"/>
      <c r="AI26"/>
      <c r="AJ26"/>
      <c r="AL26" s="29"/>
      <c r="AM26" s="29"/>
      <c r="AN26" s="1">
        <f t="shared" si="0"/>
        <v>0</v>
      </c>
      <c r="AP26" s="29"/>
      <c r="AQ26" s="29"/>
      <c r="AR26" s="1">
        <f t="shared" si="1"/>
        <v>0</v>
      </c>
      <c r="AT26"/>
      <c r="AU26"/>
      <c r="AV26" s="35"/>
      <c r="AW26" s="43"/>
      <c r="AX26" s="44"/>
      <c r="AZ26" s="47" t="s">
        <v>3395</v>
      </c>
      <c r="BA26" s="48">
        <v>152.95</v>
      </c>
      <c r="BB26" s="1" t="s">
        <v>3467</v>
      </c>
    </row>
    <row r="27" s="1" customFormat="1" spans="2:54">
      <c r="B27"/>
      <c r="C27"/>
      <c r="E27"/>
      <c r="F27"/>
      <c r="H27"/>
      <c r="I27"/>
      <c r="K27"/>
      <c r="L27"/>
      <c r="M27"/>
      <c r="N27"/>
      <c r="O27"/>
      <c r="P27"/>
      <c r="Q27"/>
      <c r="R27"/>
      <c r="T27"/>
      <c r="U27"/>
      <c r="V27"/>
      <c r="W27"/>
      <c r="X27"/>
      <c r="Y27"/>
      <c r="Z27"/>
      <c r="AA27"/>
      <c r="AC27"/>
      <c r="AD27"/>
      <c r="AE27"/>
      <c r="AF27"/>
      <c r="AG27"/>
      <c r="AH27"/>
      <c r="AI27"/>
      <c r="AJ27"/>
      <c r="AL27" s="29"/>
      <c r="AM27" s="29"/>
      <c r="AN27" s="1">
        <f t="shared" si="0"/>
        <v>0</v>
      </c>
      <c r="AP27" s="29"/>
      <c r="AQ27" s="29"/>
      <c r="AR27" s="1">
        <f t="shared" si="1"/>
        <v>0</v>
      </c>
      <c r="AT27"/>
      <c r="AU27"/>
      <c r="AV27" s="35"/>
      <c r="AW27" s="43"/>
      <c r="AX27" s="44"/>
      <c r="AZ27" s="47" t="s">
        <v>3398</v>
      </c>
      <c r="BA27" s="48">
        <v>152.95</v>
      </c>
      <c r="BB27" s="1" t="s">
        <v>3467</v>
      </c>
    </row>
    <row r="28" s="1" customFormat="1" spans="2:54">
      <c r="B28"/>
      <c r="C28"/>
      <c r="E28"/>
      <c r="F28"/>
      <c r="H28"/>
      <c r="I28"/>
      <c r="K28"/>
      <c r="L28"/>
      <c r="M28"/>
      <c r="N28"/>
      <c r="O28"/>
      <c r="P28"/>
      <c r="Q28"/>
      <c r="R28"/>
      <c r="T28"/>
      <c r="U28"/>
      <c r="V28"/>
      <c r="W28"/>
      <c r="X28"/>
      <c r="Y28"/>
      <c r="Z28"/>
      <c r="AA28"/>
      <c r="AC28"/>
      <c r="AD28"/>
      <c r="AE28"/>
      <c r="AF28"/>
      <c r="AG28"/>
      <c r="AH28"/>
      <c r="AI28"/>
      <c r="AJ28"/>
      <c r="AL28" s="29"/>
      <c r="AM28" s="29"/>
      <c r="AN28" s="1">
        <f t="shared" si="0"/>
        <v>0</v>
      </c>
      <c r="AP28" s="29"/>
      <c r="AQ28" s="29"/>
      <c r="AR28" s="1">
        <f t="shared" si="1"/>
        <v>0</v>
      </c>
      <c r="AT28"/>
      <c r="AU28"/>
      <c r="AV28" s="35"/>
      <c r="AW28" s="43"/>
      <c r="AX28" s="44"/>
      <c r="AZ28" s="47" t="s">
        <v>3401</v>
      </c>
      <c r="BA28" s="48">
        <v>156.349</v>
      </c>
      <c r="BB28" s="1" t="s">
        <v>3467</v>
      </c>
    </row>
    <row r="29" s="1" customFormat="1" spans="2:54">
      <c r="B29"/>
      <c r="C29"/>
      <c r="E29"/>
      <c r="F29"/>
      <c r="H29"/>
      <c r="I29"/>
      <c r="K29"/>
      <c r="L29"/>
      <c r="M29"/>
      <c r="N29"/>
      <c r="O29"/>
      <c r="P29"/>
      <c r="Q29"/>
      <c r="R29"/>
      <c r="T29"/>
      <c r="U29"/>
      <c r="V29"/>
      <c r="W29"/>
      <c r="X29"/>
      <c r="Y29"/>
      <c r="Z29"/>
      <c r="AA29"/>
      <c r="AC29"/>
      <c r="AD29"/>
      <c r="AE29"/>
      <c r="AF29"/>
      <c r="AG29"/>
      <c r="AH29"/>
      <c r="AI29"/>
      <c r="AJ29"/>
      <c r="AL29" s="29"/>
      <c r="AM29" s="29"/>
      <c r="AN29" s="1">
        <f t="shared" si="0"/>
        <v>0</v>
      </c>
      <c r="AP29" s="29"/>
      <c r="AQ29" s="29"/>
      <c r="AR29" s="1">
        <f t="shared" si="1"/>
        <v>0</v>
      </c>
      <c r="AT29"/>
      <c r="AU29"/>
      <c r="AV29" s="35"/>
      <c r="AW29" s="43"/>
      <c r="AX29" s="44"/>
      <c r="AZ29" s="47" t="s">
        <v>3404</v>
      </c>
      <c r="BA29" s="48">
        <v>156.349</v>
      </c>
      <c r="BB29" s="1" t="s">
        <v>3467</v>
      </c>
    </row>
    <row r="30" s="1" customFormat="1" spans="2:54">
      <c r="B30"/>
      <c r="C30"/>
      <c r="E30"/>
      <c r="F30"/>
      <c r="H30"/>
      <c r="I30"/>
      <c r="K30"/>
      <c r="L30"/>
      <c r="M30"/>
      <c r="N30"/>
      <c r="O30"/>
      <c r="P30"/>
      <c r="Q30"/>
      <c r="R30"/>
      <c r="T30"/>
      <c r="U30"/>
      <c r="V30"/>
      <c r="W30"/>
      <c r="X30"/>
      <c r="Y30"/>
      <c r="Z30"/>
      <c r="AA30"/>
      <c r="AC30"/>
      <c r="AD30"/>
      <c r="AE30"/>
      <c r="AF30"/>
      <c r="AG30"/>
      <c r="AH30"/>
      <c r="AI30"/>
      <c r="AJ30"/>
      <c r="AL30" s="29"/>
      <c r="AM30" s="29"/>
      <c r="AN30" s="1">
        <f t="shared" si="0"/>
        <v>0</v>
      </c>
      <c r="AP30" s="29"/>
      <c r="AQ30" s="29"/>
      <c r="AR30" s="1">
        <f t="shared" si="1"/>
        <v>0</v>
      </c>
      <c r="AT30"/>
      <c r="AU30"/>
      <c r="AV30"/>
      <c r="AW30" s="43"/>
      <c r="AX30" s="44"/>
      <c r="AZ30" s="47" t="s">
        <v>3407</v>
      </c>
      <c r="BA30" s="48">
        <v>142.753</v>
      </c>
      <c r="BB30" s="1" t="s">
        <v>3467</v>
      </c>
    </row>
    <row r="31" s="1" customFormat="1" spans="2:54">
      <c r="B31"/>
      <c r="C31"/>
      <c r="E31"/>
      <c r="F31"/>
      <c r="H31"/>
      <c r="I31"/>
      <c r="K31"/>
      <c r="L31"/>
      <c r="M31"/>
      <c r="N31"/>
      <c r="O31"/>
      <c r="P31"/>
      <c r="Q31"/>
      <c r="R31"/>
      <c r="T31"/>
      <c r="U31"/>
      <c r="V31"/>
      <c r="W31"/>
      <c r="X31"/>
      <c r="Y31"/>
      <c r="Z31"/>
      <c r="AA31"/>
      <c r="AC31"/>
      <c r="AD31"/>
      <c r="AE31"/>
      <c r="AF31"/>
      <c r="AG31"/>
      <c r="AH31"/>
      <c r="AI31"/>
      <c r="AJ31"/>
      <c r="AL31" s="29"/>
      <c r="AM31" s="29"/>
      <c r="AN31" s="1">
        <f t="shared" si="0"/>
        <v>0</v>
      </c>
      <c r="AP31" s="29"/>
      <c r="AQ31" s="29"/>
      <c r="AR31" s="1">
        <f t="shared" si="1"/>
        <v>0</v>
      </c>
      <c r="AT31"/>
      <c r="AU31"/>
      <c r="AV31"/>
      <c r="AW31" s="43"/>
      <c r="AX31" s="44"/>
      <c r="AZ31" s="47" t="s">
        <v>3410</v>
      </c>
      <c r="BA31" s="48">
        <v>184.389</v>
      </c>
      <c r="BB31" s="1" t="s">
        <v>3467</v>
      </c>
    </row>
    <row r="32" s="1" customFormat="1" spans="2:54">
      <c r="B32"/>
      <c r="C32"/>
      <c r="E32"/>
      <c r="F32"/>
      <c r="H32"/>
      <c r="I32"/>
      <c r="K32"/>
      <c r="L32"/>
      <c r="M32"/>
      <c r="N32"/>
      <c r="O32"/>
      <c r="P32"/>
      <c r="Q32"/>
      <c r="R32"/>
      <c r="T32"/>
      <c r="U32"/>
      <c r="V32"/>
      <c r="W32"/>
      <c r="X32"/>
      <c r="Y32"/>
      <c r="Z32"/>
      <c r="AA32"/>
      <c r="AC32"/>
      <c r="AD32"/>
      <c r="AE32"/>
      <c r="AF32"/>
      <c r="AG32"/>
      <c r="AH32"/>
      <c r="AI32"/>
      <c r="AJ32"/>
      <c r="AL32" s="29"/>
      <c r="AM32" s="29"/>
      <c r="AN32" s="1">
        <f t="shared" si="0"/>
        <v>0</v>
      </c>
      <c r="AP32" s="29"/>
      <c r="AQ32" s="29"/>
      <c r="AR32" s="1">
        <f t="shared" si="1"/>
        <v>0</v>
      </c>
      <c r="AT32"/>
      <c r="AU32"/>
      <c r="AV32"/>
      <c r="AW32" s="43"/>
      <c r="AX32" s="44"/>
      <c r="AZ32" s="47" t="s">
        <v>3413</v>
      </c>
      <c r="BA32" s="48">
        <v>163.146</v>
      </c>
      <c r="BB32" s="1" t="s">
        <v>3467</v>
      </c>
    </row>
    <row r="33" s="1" customFormat="1" spans="2:54">
      <c r="B33"/>
      <c r="C33"/>
      <c r="E33"/>
      <c r="F33"/>
      <c r="H33"/>
      <c r="I33"/>
      <c r="K33"/>
      <c r="L33"/>
      <c r="M33"/>
      <c r="N33"/>
      <c r="O33"/>
      <c r="P33"/>
      <c r="Q33"/>
      <c r="R33"/>
      <c r="T33"/>
      <c r="U33"/>
      <c r="V33"/>
      <c r="W33"/>
      <c r="X33"/>
      <c r="Y33"/>
      <c r="Z33"/>
      <c r="AA33"/>
      <c r="AC33"/>
      <c r="AD33"/>
      <c r="AE33"/>
      <c r="AF33"/>
      <c r="AG33"/>
      <c r="AH33"/>
      <c r="AI33"/>
      <c r="AJ33"/>
      <c r="AL33" s="29"/>
      <c r="AM33" s="29"/>
      <c r="AN33" s="1">
        <f t="shared" si="0"/>
        <v>0</v>
      </c>
      <c r="AP33" s="29"/>
      <c r="AQ33" s="29"/>
      <c r="AR33" s="1">
        <f t="shared" si="1"/>
        <v>0</v>
      </c>
      <c r="AT33"/>
      <c r="AU33"/>
      <c r="AV33"/>
      <c r="AW33" s="43"/>
      <c r="AX33" s="44"/>
      <c r="AZ33" s="47" t="s">
        <v>3416</v>
      </c>
      <c r="BA33" s="48">
        <v>209.881</v>
      </c>
      <c r="BB33" s="1" t="s">
        <v>3467</v>
      </c>
    </row>
    <row r="34" spans="2:54">
      <c r="B34"/>
      <c r="C34"/>
      <c r="E34"/>
      <c r="F34"/>
      <c r="H34"/>
      <c r="I34"/>
      <c r="K34"/>
      <c r="L34"/>
      <c r="M34"/>
      <c r="N34"/>
      <c r="O34"/>
      <c r="P34"/>
      <c r="Q34"/>
      <c r="R34"/>
      <c r="T34"/>
      <c r="U34"/>
      <c r="V34"/>
      <c r="W34"/>
      <c r="X34"/>
      <c r="Y34"/>
      <c r="Z34"/>
      <c r="AA34"/>
      <c r="AC34"/>
      <c r="AD34"/>
      <c r="AE34"/>
      <c r="AF34"/>
      <c r="AG34"/>
      <c r="AH34"/>
      <c r="AI34"/>
      <c r="AJ34"/>
      <c r="AK34" s="1"/>
      <c r="AN34" s="1">
        <f t="shared" si="0"/>
        <v>0</v>
      </c>
      <c r="AR34" s="1">
        <f t="shared" si="1"/>
        <v>0</v>
      </c>
      <c r="AW34" s="43"/>
      <c r="AX34" s="44"/>
      <c r="AZ34" s="47" t="s">
        <v>3419</v>
      </c>
      <c r="BA34" s="48">
        <v>55.232</v>
      </c>
      <c r="BB34" s="1" t="s">
        <v>3467</v>
      </c>
    </row>
    <row r="35" spans="2:54">
      <c r="B35"/>
      <c r="C35"/>
      <c r="E35"/>
      <c r="F35"/>
      <c r="H35"/>
      <c r="I35"/>
      <c r="K35"/>
      <c r="L35"/>
      <c r="M35"/>
      <c r="N35"/>
      <c r="O35"/>
      <c r="P35"/>
      <c r="Q35"/>
      <c r="R35"/>
      <c r="T35"/>
      <c r="U35"/>
      <c r="V35"/>
      <c r="W35"/>
      <c r="X35"/>
      <c r="Y35"/>
      <c r="Z35"/>
      <c r="AA35"/>
      <c r="AC35"/>
      <c r="AD35"/>
      <c r="AE35"/>
      <c r="AF35"/>
      <c r="AG35"/>
      <c r="AH35"/>
      <c r="AI35"/>
      <c r="AJ35"/>
      <c r="AK35" s="1"/>
      <c r="AN35" s="1">
        <f t="shared" ref="AN35:AN66" si="2">AM35*$AS$1</f>
        <v>0</v>
      </c>
      <c r="AR35" s="1">
        <f t="shared" ref="AR35:AR66" si="3">AQ35*$AS$1</f>
        <v>0</v>
      </c>
      <c r="AW35" s="43"/>
      <c r="AX35" s="44"/>
      <c r="AZ35" s="47" t="s">
        <v>3422</v>
      </c>
      <c r="BA35" s="48">
        <v>69.677</v>
      </c>
      <c r="BB35" s="1" t="s">
        <v>3467</v>
      </c>
    </row>
    <row r="36" spans="2:54">
      <c r="B36"/>
      <c r="C36"/>
      <c r="E36"/>
      <c r="F36"/>
      <c r="H36"/>
      <c r="I36"/>
      <c r="K36"/>
      <c r="L36"/>
      <c r="M36"/>
      <c r="N36"/>
      <c r="O36"/>
      <c r="P36"/>
      <c r="Q36"/>
      <c r="R36"/>
      <c r="T36"/>
      <c r="U36"/>
      <c r="V36"/>
      <c r="W36"/>
      <c r="X36"/>
      <c r="Y36"/>
      <c r="Z36"/>
      <c r="AA36"/>
      <c r="AC36"/>
      <c r="AD36"/>
      <c r="AE36"/>
      <c r="AF36"/>
      <c r="AG36"/>
      <c r="AH36"/>
      <c r="AI36"/>
      <c r="AJ36"/>
      <c r="AK36" s="1"/>
      <c r="AN36" s="1">
        <f t="shared" si="2"/>
        <v>0</v>
      </c>
      <c r="AR36" s="1">
        <f t="shared" si="3"/>
        <v>0</v>
      </c>
      <c r="AW36" s="43"/>
      <c r="AX36" s="44"/>
      <c r="AZ36" s="47" t="s">
        <v>3425</v>
      </c>
      <c r="BA36" s="48">
        <v>5.254</v>
      </c>
      <c r="BB36" s="1" t="s">
        <v>3467</v>
      </c>
    </row>
    <row r="37" spans="2:54">
      <c r="B37"/>
      <c r="C37"/>
      <c r="E37"/>
      <c r="F37"/>
      <c r="H37"/>
      <c r="I37"/>
      <c r="K37"/>
      <c r="L37"/>
      <c r="M37"/>
      <c r="N37"/>
      <c r="O37"/>
      <c r="P37"/>
      <c r="Q37"/>
      <c r="R37"/>
      <c r="T37"/>
      <c r="U37"/>
      <c r="V37"/>
      <c r="W37"/>
      <c r="X37"/>
      <c r="Y37"/>
      <c r="Z37"/>
      <c r="AA37"/>
      <c r="AC37"/>
      <c r="AD37"/>
      <c r="AE37"/>
      <c r="AF37"/>
      <c r="AG37"/>
      <c r="AH37"/>
      <c r="AI37"/>
      <c r="AJ37"/>
      <c r="AK37" s="1"/>
      <c r="AN37" s="1">
        <f t="shared" si="2"/>
        <v>0</v>
      </c>
      <c r="AR37" s="1">
        <f t="shared" si="3"/>
        <v>0</v>
      </c>
      <c r="AW37" s="43"/>
      <c r="AX37" s="44"/>
      <c r="AZ37" s="47" t="s">
        <v>3428</v>
      </c>
      <c r="BA37" s="48">
        <v>5.254</v>
      </c>
      <c r="BB37" s="1" t="s">
        <v>3467</v>
      </c>
    </row>
    <row r="38" spans="2:54">
      <c r="B38"/>
      <c r="C38"/>
      <c r="E38"/>
      <c r="F38"/>
      <c r="H38"/>
      <c r="I38"/>
      <c r="K38"/>
      <c r="L38"/>
      <c r="M38"/>
      <c r="N38"/>
      <c r="O38"/>
      <c r="P38"/>
      <c r="Q38"/>
      <c r="R38"/>
      <c r="T38"/>
      <c r="U38"/>
      <c r="V38"/>
      <c r="W38"/>
      <c r="X38"/>
      <c r="Y38"/>
      <c r="Z38"/>
      <c r="AA38"/>
      <c r="AC38"/>
      <c r="AD38"/>
      <c r="AE38"/>
      <c r="AF38"/>
      <c r="AG38"/>
      <c r="AH38"/>
      <c r="AI38"/>
      <c r="AJ38"/>
      <c r="AK38" s="1"/>
      <c r="AN38" s="1">
        <f t="shared" si="2"/>
        <v>0</v>
      </c>
      <c r="AR38" s="1">
        <f t="shared" si="3"/>
        <v>0</v>
      </c>
      <c r="AW38" s="43"/>
      <c r="AX38" s="44"/>
      <c r="AZ38" s="47" t="s">
        <v>3431</v>
      </c>
      <c r="BA38" s="48">
        <v>13.924</v>
      </c>
      <c r="BB38" s="1" t="s">
        <v>3467</v>
      </c>
    </row>
    <row r="39" spans="2:54">
      <c r="B39"/>
      <c r="C39"/>
      <c r="E39"/>
      <c r="F39"/>
      <c r="H39"/>
      <c r="I39"/>
      <c r="K39"/>
      <c r="L39"/>
      <c r="M39"/>
      <c r="N39"/>
      <c r="O39"/>
      <c r="P39"/>
      <c r="Q39"/>
      <c r="R39"/>
      <c r="T39"/>
      <c r="U39"/>
      <c r="V39"/>
      <c r="W39"/>
      <c r="X39"/>
      <c r="Y39"/>
      <c r="Z39"/>
      <c r="AA39"/>
      <c r="AC39"/>
      <c r="AD39"/>
      <c r="AE39"/>
      <c r="AF39"/>
      <c r="AG39"/>
      <c r="AH39"/>
      <c r="AI39"/>
      <c r="AJ39"/>
      <c r="AK39" s="1"/>
      <c r="AN39" s="1">
        <f t="shared" si="2"/>
        <v>0</v>
      </c>
      <c r="AR39" s="1">
        <f t="shared" si="3"/>
        <v>0</v>
      </c>
      <c r="AW39" s="43"/>
      <c r="AX39" s="44"/>
      <c r="AZ39" s="47" t="s">
        <v>3434</v>
      </c>
      <c r="BA39" s="48">
        <v>26.008</v>
      </c>
      <c r="BB39" s="1" t="s">
        <v>3467</v>
      </c>
    </row>
    <row r="40" spans="2:53">
      <c r="B40"/>
      <c r="C40"/>
      <c r="E40"/>
      <c r="F40"/>
      <c r="H40"/>
      <c r="I40"/>
      <c r="K40"/>
      <c r="L40"/>
      <c r="M40"/>
      <c r="N40"/>
      <c r="O40"/>
      <c r="P40"/>
      <c r="Q40"/>
      <c r="R40"/>
      <c r="T40"/>
      <c r="U40"/>
      <c r="V40"/>
      <c r="W40"/>
      <c r="X40"/>
      <c r="Y40"/>
      <c r="Z40"/>
      <c r="AA40"/>
      <c r="AC40"/>
      <c r="AD40"/>
      <c r="AE40"/>
      <c r="AF40"/>
      <c r="AG40"/>
      <c r="AH40"/>
      <c r="AI40"/>
      <c r="AJ40"/>
      <c r="AK40" s="1"/>
      <c r="AN40" s="1">
        <f t="shared" si="2"/>
        <v>0</v>
      </c>
      <c r="AR40" s="1">
        <f t="shared" si="3"/>
        <v>0</v>
      </c>
      <c r="AW40" s="43"/>
      <c r="AX40" s="44"/>
      <c r="AZ40" s="47"/>
      <c r="BA40" s="48"/>
    </row>
    <row r="41" spans="2:53">
      <c r="B41"/>
      <c r="C41"/>
      <c r="E41"/>
      <c r="F41"/>
      <c r="H41"/>
      <c r="I41"/>
      <c r="K41"/>
      <c r="L41"/>
      <c r="M41"/>
      <c r="N41"/>
      <c r="O41"/>
      <c r="P41"/>
      <c r="Q41"/>
      <c r="R41"/>
      <c r="T41"/>
      <c r="U41"/>
      <c r="V41"/>
      <c r="W41"/>
      <c r="X41"/>
      <c r="Y41"/>
      <c r="Z41"/>
      <c r="AA41"/>
      <c r="AC41"/>
      <c r="AD41"/>
      <c r="AE41"/>
      <c r="AF41"/>
      <c r="AG41"/>
      <c r="AH41"/>
      <c r="AI41"/>
      <c r="AJ41"/>
      <c r="AK41" s="1"/>
      <c r="AN41" s="1">
        <f t="shared" si="2"/>
        <v>0</v>
      </c>
      <c r="AR41" s="1">
        <f t="shared" si="3"/>
        <v>0</v>
      </c>
      <c r="AW41" s="43"/>
      <c r="AX41" s="44"/>
      <c r="AZ41" s="47"/>
      <c r="BA41" s="48"/>
    </row>
    <row r="42" spans="2:53">
      <c r="B42"/>
      <c r="C42"/>
      <c r="E42"/>
      <c r="F42"/>
      <c r="H42"/>
      <c r="I42"/>
      <c r="K42"/>
      <c r="L42"/>
      <c r="M42"/>
      <c r="N42"/>
      <c r="O42"/>
      <c r="P42"/>
      <c r="Q42"/>
      <c r="R42"/>
      <c r="T42"/>
      <c r="U42"/>
      <c r="V42"/>
      <c r="W42"/>
      <c r="X42"/>
      <c r="Y42"/>
      <c r="Z42"/>
      <c r="AA42"/>
      <c r="AC42"/>
      <c r="AD42"/>
      <c r="AE42"/>
      <c r="AF42"/>
      <c r="AG42"/>
      <c r="AH42"/>
      <c r="AI42"/>
      <c r="AJ42"/>
      <c r="AK42" s="1"/>
      <c r="AN42" s="1">
        <f t="shared" si="2"/>
        <v>0</v>
      </c>
      <c r="AR42" s="1">
        <f t="shared" si="3"/>
        <v>0</v>
      </c>
      <c r="AW42" s="43"/>
      <c r="AX42" s="44"/>
      <c r="AZ42" s="47"/>
      <c r="BA42" s="48"/>
    </row>
    <row r="43" spans="2:53">
      <c r="B43"/>
      <c r="C43"/>
      <c r="E43"/>
      <c r="F43"/>
      <c r="H43"/>
      <c r="I43"/>
      <c r="K43"/>
      <c r="L43"/>
      <c r="M43"/>
      <c r="N43"/>
      <c r="O43"/>
      <c r="P43"/>
      <c r="Q43"/>
      <c r="R43"/>
      <c r="T43"/>
      <c r="U43"/>
      <c r="V43"/>
      <c r="W43"/>
      <c r="X43"/>
      <c r="Y43"/>
      <c r="Z43"/>
      <c r="AA43"/>
      <c r="AC43"/>
      <c r="AD43"/>
      <c r="AE43"/>
      <c r="AF43"/>
      <c r="AG43"/>
      <c r="AH43"/>
      <c r="AI43"/>
      <c r="AJ43"/>
      <c r="AK43" s="1"/>
      <c r="AN43" s="1">
        <f t="shared" si="2"/>
        <v>0</v>
      </c>
      <c r="AR43" s="1">
        <f t="shared" si="3"/>
        <v>0</v>
      </c>
      <c r="AW43" s="43"/>
      <c r="AX43" s="44"/>
      <c r="AZ43" s="47"/>
      <c r="BA43" s="48"/>
    </row>
    <row r="44" spans="2:53">
      <c r="B44"/>
      <c r="C44"/>
      <c r="E44"/>
      <c r="F44"/>
      <c r="H44"/>
      <c r="I44"/>
      <c r="K44"/>
      <c r="L44"/>
      <c r="M44"/>
      <c r="N44"/>
      <c r="O44"/>
      <c r="P44"/>
      <c r="Q44"/>
      <c r="R44"/>
      <c r="T44"/>
      <c r="U44"/>
      <c r="V44"/>
      <c r="W44"/>
      <c r="X44"/>
      <c r="Y44"/>
      <c r="Z44"/>
      <c r="AA44"/>
      <c r="AC44"/>
      <c r="AD44"/>
      <c r="AE44"/>
      <c r="AF44"/>
      <c r="AG44"/>
      <c r="AH44"/>
      <c r="AI44"/>
      <c r="AJ44"/>
      <c r="AK44" s="1"/>
      <c r="AN44" s="1">
        <f t="shared" si="2"/>
        <v>0</v>
      </c>
      <c r="AR44" s="1">
        <f t="shared" si="3"/>
        <v>0</v>
      </c>
      <c r="AW44" s="43"/>
      <c r="AX44" s="44"/>
      <c r="AZ44" s="47"/>
      <c r="BA44" s="48"/>
    </row>
    <row r="45" spans="2:53">
      <c r="B45"/>
      <c r="C45"/>
      <c r="E45"/>
      <c r="F45"/>
      <c r="H45"/>
      <c r="I45"/>
      <c r="K45"/>
      <c r="L45"/>
      <c r="M45"/>
      <c r="N45"/>
      <c r="O45"/>
      <c r="P45"/>
      <c r="Q45"/>
      <c r="R45"/>
      <c r="T45"/>
      <c r="U45"/>
      <c r="V45"/>
      <c r="W45"/>
      <c r="X45"/>
      <c r="Y45"/>
      <c r="Z45"/>
      <c r="AA45"/>
      <c r="AC45"/>
      <c r="AD45"/>
      <c r="AE45"/>
      <c r="AF45"/>
      <c r="AG45"/>
      <c r="AH45"/>
      <c r="AI45"/>
      <c r="AJ45"/>
      <c r="AK45" s="1"/>
      <c r="AN45" s="1">
        <f t="shared" si="2"/>
        <v>0</v>
      </c>
      <c r="AR45" s="1">
        <f t="shared" si="3"/>
        <v>0</v>
      </c>
      <c r="AW45" s="43"/>
      <c r="AX45" s="44"/>
      <c r="AZ45" s="47"/>
      <c r="BA45" s="48"/>
    </row>
    <row r="46" spans="2:53">
      <c r="B46"/>
      <c r="C46"/>
      <c r="E46"/>
      <c r="F46"/>
      <c r="H46"/>
      <c r="I46"/>
      <c r="K46"/>
      <c r="L46"/>
      <c r="M46"/>
      <c r="N46"/>
      <c r="O46"/>
      <c r="P46"/>
      <c r="Q46"/>
      <c r="R46"/>
      <c r="T46"/>
      <c r="U46"/>
      <c r="V46"/>
      <c r="W46"/>
      <c r="X46"/>
      <c r="Y46"/>
      <c r="Z46"/>
      <c r="AA46"/>
      <c r="AC46"/>
      <c r="AD46"/>
      <c r="AE46"/>
      <c r="AF46"/>
      <c r="AG46"/>
      <c r="AH46"/>
      <c r="AI46"/>
      <c r="AJ46"/>
      <c r="AK46" s="1"/>
      <c r="AN46" s="1">
        <f t="shared" si="2"/>
        <v>0</v>
      </c>
      <c r="AR46" s="1">
        <f t="shared" si="3"/>
        <v>0</v>
      </c>
      <c r="AW46" s="43"/>
      <c r="AX46" s="44"/>
      <c r="AZ46" s="47"/>
      <c r="BA46" s="48"/>
    </row>
    <row r="47" spans="2:53">
      <c r="B47"/>
      <c r="C47"/>
      <c r="E47"/>
      <c r="F47"/>
      <c r="H47"/>
      <c r="I47"/>
      <c r="K47"/>
      <c r="L47"/>
      <c r="M47"/>
      <c r="N47"/>
      <c r="O47"/>
      <c r="P47"/>
      <c r="Q47"/>
      <c r="R47"/>
      <c r="T47"/>
      <c r="U47"/>
      <c r="V47"/>
      <c r="W47"/>
      <c r="X47"/>
      <c r="Y47"/>
      <c r="Z47"/>
      <c r="AA47"/>
      <c r="AC47"/>
      <c r="AD47"/>
      <c r="AE47"/>
      <c r="AF47"/>
      <c r="AG47"/>
      <c r="AH47"/>
      <c r="AI47"/>
      <c r="AJ47"/>
      <c r="AK47" s="1"/>
      <c r="AN47" s="1">
        <f t="shared" si="2"/>
        <v>0</v>
      </c>
      <c r="AR47" s="1">
        <f t="shared" si="3"/>
        <v>0</v>
      </c>
      <c r="AW47" s="43"/>
      <c r="AX47" s="44"/>
      <c r="AZ47" s="47"/>
      <c r="BA47" s="48"/>
    </row>
    <row r="48" spans="2:53">
      <c r="B48"/>
      <c r="C48"/>
      <c r="E48"/>
      <c r="F48"/>
      <c r="H48"/>
      <c r="I48"/>
      <c r="K48"/>
      <c r="L48"/>
      <c r="M48"/>
      <c r="N48"/>
      <c r="O48"/>
      <c r="P48"/>
      <c r="Q48"/>
      <c r="R48"/>
      <c r="T48"/>
      <c r="U48"/>
      <c r="V48"/>
      <c r="W48"/>
      <c r="X48"/>
      <c r="Y48"/>
      <c r="Z48"/>
      <c r="AA48"/>
      <c r="AC48"/>
      <c r="AD48"/>
      <c r="AE48"/>
      <c r="AF48"/>
      <c r="AG48"/>
      <c r="AH48"/>
      <c r="AI48"/>
      <c r="AJ48"/>
      <c r="AK48" s="1"/>
      <c r="AN48" s="1">
        <f t="shared" si="2"/>
        <v>0</v>
      </c>
      <c r="AR48" s="1">
        <f t="shared" si="3"/>
        <v>0</v>
      </c>
      <c r="AW48" s="43"/>
      <c r="AX48" s="44"/>
      <c r="AZ48" s="47"/>
      <c r="BA48" s="48"/>
    </row>
    <row r="49" spans="2:53">
      <c r="B49"/>
      <c r="C49"/>
      <c r="E49"/>
      <c r="F49"/>
      <c r="H49"/>
      <c r="I49"/>
      <c r="K49"/>
      <c r="L49"/>
      <c r="M49"/>
      <c r="N49"/>
      <c r="O49"/>
      <c r="P49"/>
      <c r="Q49"/>
      <c r="R49"/>
      <c r="T49"/>
      <c r="U49"/>
      <c r="V49"/>
      <c r="W49"/>
      <c r="X49"/>
      <c r="Y49"/>
      <c r="Z49"/>
      <c r="AA49"/>
      <c r="AC49"/>
      <c r="AD49"/>
      <c r="AE49"/>
      <c r="AF49"/>
      <c r="AG49"/>
      <c r="AH49"/>
      <c r="AI49"/>
      <c r="AJ49"/>
      <c r="AK49" s="1"/>
      <c r="AN49" s="1">
        <f t="shared" si="2"/>
        <v>0</v>
      </c>
      <c r="AR49" s="1">
        <f t="shared" si="3"/>
        <v>0</v>
      </c>
      <c r="AW49" s="43"/>
      <c r="AX49" s="44"/>
      <c r="AZ49" s="47"/>
      <c r="BA49" s="48"/>
    </row>
    <row r="50" spans="2:53">
      <c r="B50"/>
      <c r="C50"/>
      <c r="E50"/>
      <c r="F50"/>
      <c r="H50"/>
      <c r="I50"/>
      <c r="K50"/>
      <c r="L50"/>
      <c r="M50"/>
      <c r="N50"/>
      <c r="O50"/>
      <c r="P50"/>
      <c r="Q50"/>
      <c r="R50"/>
      <c r="T50"/>
      <c r="U50"/>
      <c r="V50"/>
      <c r="W50"/>
      <c r="X50"/>
      <c r="Y50"/>
      <c r="Z50"/>
      <c r="AA50"/>
      <c r="AC50"/>
      <c r="AD50"/>
      <c r="AE50"/>
      <c r="AF50"/>
      <c r="AG50"/>
      <c r="AH50"/>
      <c r="AI50"/>
      <c r="AJ50"/>
      <c r="AK50" s="1"/>
      <c r="AN50" s="1">
        <f t="shared" si="2"/>
        <v>0</v>
      </c>
      <c r="AR50" s="1">
        <f t="shared" si="3"/>
        <v>0</v>
      </c>
      <c r="AW50" s="43"/>
      <c r="AX50" s="44"/>
      <c r="AZ50" s="47"/>
      <c r="BA50" s="48"/>
    </row>
    <row r="51" spans="2:53">
      <c r="B51"/>
      <c r="C51"/>
      <c r="E51"/>
      <c r="F51"/>
      <c r="H51"/>
      <c r="I51"/>
      <c r="K51"/>
      <c r="L51"/>
      <c r="M51"/>
      <c r="N51"/>
      <c r="O51"/>
      <c r="P51"/>
      <c r="Q51"/>
      <c r="R51"/>
      <c r="T51"/>
      <c r="U51"/>
      <c r="V51"/>
      <c r="W51"/>
      <c r="X51"/>
      <c r="Y51"/>
      <c r="Z51"/>
      <c r="AA51"/>
      <c r="AC51"/>
      <c r="AD51"/>
      <c r="AE51"/>
      <c r="AF51"/>
      <c r="AG51"/>
      <c r="AH51"/>
      <c r="AI51"/>
      <c r="AJ51"/>
      <c r="AK51" s="1"/>
      <c r="AN51" s="1">
        <f t="shared" si="2"/>
        <v>0</v>
      </c>
      <c r="AR51" s="1">
        <f t="shared" si="3"/>
        <v>0</v>
      </c>
      <c r="AW51" s="43"/>
      <c r="AX51" s="44"/>
      <c r="AZ51" s="47"/>
      <c r="BA51" s="48"/>
    </row>
    <row r="52" spans="2:53">
      <c r="B52"/>
      <c r="C52"/>
      <c r="E52"/>
      <c r="F52"/>
      <c r="H52"/>
      <c r="I52"/>
      <c r="K52"/>
      <c r="L52"/>
      <c r="M52"/>
      <c r="N52"/>
      <c r="O52"/>
      <c r="P52"/>
      <c r="Q52"/>
      <c r="R52"/>
      <c r="T52"/>
      <c r="U52"/>
      <c r="V52"/>
      <c r="W52"/>
      <c r="X52"/>
      <c r="Y52"/>
      <c r="Z52"/>
      <c r="AA52"/>
      <c r="AC52"/>
      <c r="AD52"/>
      <c r="AE52"/>
      <c r="AF52"/>
      <c r="AG52"/>
      <c r="AH52"/>
      <c r="AI52"/>
      <c r="AJ52"/>
      <c r="AK52" s="1"/>
      <c r="AN52" s="1">
        <f t="shared" si="2"/>
        <v>0</v>
      </c>
      <c r="AR52" s="1">
        <f t="shared" si="3"/>
        <v>0</v>
      </c>
      <c r="AW52" s="43"/>
      <c r="AX52" s="44"/>
      <c r="AZ52" s="47"/>
      <c r="BA52" s="48"/>
    </row>
    <row r="53" spans="2:53">
      <c r="B53"/>
      <c r="C53"/>
      <c r="E53"/>
      <c r="F53"/>
      <c r="H53"/>
      <c r="I53"/>
      <c r="K53"/>
      <c r="L53"/>
      <c r="M53"/>
      <c r="N53"/>
      <c r="O53"/>
      <c r="P53"/>
      <c r="Q53"/>
      <c r="R53"/>
      <c r="T53"/>
      <c r="U53"/>
      <c r="V53"/>
      <c r="W53"/>
      <c r="X53"/>
      <c r="Y53"/>
      <c r="Z53"/>
      <c r="AA53"/>
      <c r="AC53"/>
      <c r="AD53"/>
      <c r="AE53"/>
      <c r="AF53"/>
      <c r="AG53"/>
      <c r="AH53"/>
      <c r="AI53"/>
      <c r="AJ53"/>
      <c r="AK53" s="1"/>
      <c r="AN53" s="1">
        <f t="shared" si="2"/>
        <v>0</v>
      </c>
      <c r="AR53" s="1">
        <f t="shared" si="3"/>
        <v>0</v>
      </c>
      <c r="AW53" s="43"/>
      <c r="AX53" s="44"/>
      <c r="AZ53" s="47"/>
      <c r="BA53" s="48"/>
    </row>
    <row r="54" spans="2:53">
      <c r="B54"/>
      <c r="C54"/>
      <c r="E54"/>
      <c r="F54"/>
      <c r="H54"/>
      <c r="I54"/>
      <c r="K54"/>
      <c r="L54"/>
      <c r="M54"/>
      <c r="N54"/>
      <c r="O54"/>
      <c r="P54"/>
      <c r="Q54"/>
      <c r="R54"/>
      <c r="T54"/>
      <c r="U54"/>
      <c r="V54"/>
      <c r="W54"/>
      <c r="X54"/>
      <c r="Y54"/>
      <c r="Z54"/>
      <c r="AA54"/>
      <c r="AC54"/>
      <c r="AD54"/>
      <c r="AE54"/>
      <c r="AF54"/>
      <c r="AG54"/>
      <c r="AH54"/>
      <c r="AI54"/>
      <c r="AJ54"/>
      <c r="AK54" s="1"/>
      <c r="AN54" s="1">
        <f t="shared" si="2"/>
        <v>0</v>
      </c>
      <c r="AR54" s="1">
        <f t="shared" si="3"/>
        <v>0</v>
      </c>
      <c r="AW54" s="45"/>
      <c r="AX54" s="44"/>
      <c r="AZ54" s="47"/>
      <c r="BA54" s="48"/>
    </row>
    <row r="55" spans="2:53">
      <c r="B55"/>
      <c r="C55"/>
      <c r="E55"/>
      <c r="F55"/>
      <c r="H55"/>
      <c r="I55"/>
      <c r="K55"/>
      <c r="L55"/>
      <c r="M55"/>
      <c r="N55"/>
      <c r="O55"/>
      <c r="P55"/>
      <c r="Q55"/>
      <c r="R55"/>
      <c r="T55"/>
      <c r="U55"/>
      <c r="V55"/>
      <c r="W55"/>
      <c r="X55"/>
      <c r="Y55"/>
      <c r="Z55"/>
      <c r="AA55"/>
      <c r="AC55"/>
      <c r="AD55"/>
      <c r="AE55"/>
      <c r="AF55"/>
      <c r="AG55"/>
      <c r="AH55"/>
      <c r="AI55"/>
      <c r="AJ55"/>
      <c r="AK55" s="1"/>
      <c r="AN55" s="1">
        <f t="shared" si="2"/>
        <v>0</v>
      </c>
      <c r="AR55" s="1">
        <f t="shared" si="3"/>
        <v>0</v>
      </c>
      <c r="AW55" s="45"/>
      <c r="AX55" s="44"/>
      <c r="AZ55" s="47"/>
      <c r="BA55" s="48"/>
    </row>
    <row r="56" spans="2:53">
      <c r="B56"/>
      <c r="C56"/>
      <c r="E56"/>
      <c r="F56"/>
      <c r="H56"/>
      <c r="I56"/>
      <c r="K56"/>
      <c r="L56"/>
      <c r="M56"/>
      <c r="N56"/>
      <c r="O56"/>
      <c r="P56"/>
      <c r="Q56"/>
      <c r="R56"/>
      <c r="T56"/>
      <c r="U56"/>
      <c r="V56"/>
      <c r="W56"/>
      <c r="X56"/>
      <c r="Y56"/>
      <c r="Z56"/>
      <c r="AA56"/>
      <c r="AC56"/>
      <c r="AD56"/>
      <c r="AE56"/>
      <c r="AF56"/>
      <c r="AG56"/>
      <c r="AH56"/>
      <c r="AI56"/>
      <c r="AJ56"/>
      <c r="AK56" s="1"/>
      <c r="AN56" s="1">
        <f t="shared" si="2"/>
        <v>0</v>
      </c>
      <c r="AR56" s="1">
        <f t="shared" si="3"/>
        <v>0</v>
      </c>
      <c r="AW56" s="45"/>
      <c r="AX56" s="44"/>
      <c r="AZ56" s="47"/>
      <c r="BA56" s="48"/>
    </row>
    <row r="57" spans="2:53">
      <c r="B57"/>
      <c r="C57"/>
      <c r="E57"/>
      <c r="F57"/>
      <c r="H57"/>
      <c r="I57"/>
      <c r="K57"/>
      <c r="L57"/>
      <c r="M57"/>
      <c r="N57"/>
      <c r="O57"/>
      <c r="P57"/>
      <c r="Q57"/>
      <c r="R57"/>
      <c r="T57"/>
      <c r="U57"/>
      <c r="V57"/>
      <c r="W57"/>
      <c r="X57"/>
      <c r="Y57"/>
      <c r="Z57"/>
      <c r="AA57"/>
      <c r="AC57"/>
      <c r="AD57"/>
      <c r="AE57"/>
      <c r="AF57"/>
      <c r="AG57"/>
      <c r="AH57"/>
      <c r="AI57"/>
      <c r="AJ57"/>
      <c r="AK57" s="1"/>
      <c r="AN57" s="1">
        <f t="shared" si="2"/>
        <v>0</v>
      </c>
      <c r="AR57" s="1">
        <f t="shared" si="3"/>
        <v>0</v>
      </c>
      <c r="AW57" s="45"/>
      <c r="AX57" s="44"/>
      <c r="AZ57" s="47"/>
      <c r="BA57" s="48"/>
    </row>
    <row r="58" spans="2:53">
      <c r="B58"/>
      <c r="C58"/>
      <c r="E58"/>
      <c r="F58"/>
      <c r="H58"/>
      <c r="I58"/>
      <c r="K58"/>
      <c r="L58"/>
      <c r="M58"/>
      <c r="N58"/>
      <c r="O58"/>
      <c r="P58"/>
      <c r="Q58"/>
      <c r="R58"/>
      <c r="T58"/>
      <c r="U58"/>
      <c r="V58"/>
      <c r="W58"/>
      <c r="X58"/>
      <c r="Y58"/>
      <c r="Z58"/>
      <c r="AA58"/>
      <c r="AC58"/>
      <c r="AD58"/>
      <c r="AE58"/>
      <c r="AF58"/>
      <c r="AG58"/>
      <c r="AH58"/>
      <c r="AI58"/>
      <c r="AJ58"/>
      <c r="AK58" s="1"/>
      <c r="AN58" s="1">
        <f t="shared" si="2"/>
        <v>0</v>
      </c>
      <c r="AR58" s="1">
        <f t="shared" si="3"/>
        <v>0</v>
      </c>
      <c r="AW58" s="45"/>
      <c r="AX58" s="44"/>
      <c r="AZ58" s="47"/>
      <c r="BA58" s="48"/>
    </row>
    <row r="59" spans="2:53">
      <c r="B59"/>
      <c r="C59"/>
      <c r="E59"/>
      <c r="F59"/>
      <c r="H59"/>
      <c r="I59"/>
      <c r="K59"/>
      <c r="L59"/>
      <c r="M59"/>
      <c r="N59"/>
      <c r="O59"/>
      <c r="P59"/>
      <c r="Q59"/>
      <c r="R59"/>
      <c r="T59"/>
      <c r="U59"/>
      <c r="V59"/>
      <c r="W59"/>
      <c r="X59"/>
      <c r="Y59"/>
      <c r="Z59"/>
      <c r="AA59"/>
      <c r="AC59"/>
      <c r="AD59"/>
      <c r="AE59"/>
      <c r="AF59"/>
      <c r="AG59"/>
      <c r="AH59"/>
      <c r="AI59"/>
      <c r="AJ59"/>
      <c r="AK59" s="1"/>
      <c r="AN59" s="1">
        <f t="shared" si="2"/>
        <v>0</v>
      </c>
      <c r="AR59" s="1">
        <f t="shared" si="3"/>
        <v>0</v>
      </c>
      <c r="AW59" s="45"/>
      <c r="AX59" s="44"/>
      <c r="AZ59" s="47"/>
      <c r="BA59" s="48"/>
    </row>
    <row r="60" spans="2:53">
      <c r="B60"/>
      <c r="C60"/>
      <c r="E60"/>
      <c r="F60"/>
      <c r="H60"/>
      <c r="I60"/>
      <c r="K60"/>
      <c r="L60"/>
      <c r="M60"/>
      <c r="N60"/>
      <c r="O60"/>
      <c r="P60"/>
      <c r="Q60"/>
      <c r="R60"/>
      <c r="T60"/>
      <c r="U60"/>
      <c r="V60"/>
      <c r="W60"/>
      <c r="X60"/>
      <c r="Y60"/>
      <c r="Z60"/>
      <c r="AA60"/>
      <c r="AC60"/>
      <c r="AD60"/>
      <c r="AE60"/>
      <c r="AF60"/>
      <c r="AG60"/>
      <c r="AH60"/>
      <c r="AI60"/>
      <c r="AJ60"/>
      <c r="AK60" s="1"/>
      <c r="AN60" s="1">
        <f t="shared" si="2"/>
        <v>0</v>
      </c>
      <c r="AR60" s="1">
        <f t="shared" si="3"/>
        <v>0</v>
      </c>
      <c r="AW60" s="45"/>
      <c r="AX60" s="44"/>
      <c r="AZ60" s="47"/>
      <c r="BA60" s="48"/>
    </row>
    <row r="61" spans="2:53">
      <c r="B61"/>
      <c r="C61"/>
      <c r="E61"/>
      <c r="F61"/>
      <c r="H61"/>
      <c r="I61"/>
      <c r="K61"/>
      <c r="L61"/>
      <c r="M61"/>
      <c r="N61"/>
      <c r="O61"/>
      <c r="P61"/>
      <c r="Q61"/>
      <c r="R61"/>
      <c r="T61"/>
      <c r="U61"/>
      <c r="V61"/>
      <c r="W61"/>
      <c r="X61"/>
      <c r="Y61"/>
      <c r="Z61"/>
      <c r="AA61"/>
      <c r="AC61"/>
      <c r="AD61"/>
      <c r="AE61"/>
      <c r="AF61"/>
      <c r="AG61"/>
      <c r="AH61"/>
      <c r="AI61"/>
      <c r="AJ61"/>
      <c r="AK61" s="1"/>
      <c r="AN61" s="1">
        <f t="shared" si="2"/>
        <v>0</v>
      </c>
      <c r="AR61" s="1">
        <f t="shared" si="3"/>
        <v>0</v>
      </c>
      <c r="AW61" s="45"/>
      <c r="AX61" s="44"/>
      <c r="AZ61" s="47"/>
      <c r="BA61" s="48"/>
    </row>
    <row r="62" spans="2:53">
      <c r="B62"/>
      <c r="C62"/>
      <c r="E62"/>
      <c r="F62"/>
      <c r="H62"/>
      <c r="I62"/>
      <c r="K62"/>
      <c r="L62"/>
      <c r="M62"/>
      <c r="N62"/>
      <c r="O62"/>
      <c r="P62"/>
      <c r="Q62"/>
      <c r="R62"/>
      <c r="T62"/>
      <c r="U62"/>
      <c r="V62"/>
      <c r="W62"/>
      <c r="X62"/>
      <c r="Y62"/>
      <c r="Z62"/>
      <c r="AA62"/>
      <c r="AC62"/>
      <c r="AD62"/>
      <c r="AE62"/>
      <c r="AF62"/>
      <c r="AG62"/>
      <c r="AH62"/>
      <c r="AI62"/>
      <c r="AJ62"/>
      <c r="AK62" s="1"/>
      <c r="AN62" s="1">
        <f t="shared" si="2"/>
        <v>0</v>
      </c>
      <c r="AR62" s="1">
        <f t="shared" si="3"/>
        <v>0</v>
      </c>
      <c r="AW62" s="45"/>
      <c r="AX62" s="44"/>
      <c r="AZ62" s="47"/>
      <c r="BA62" s="48"/>
    </row>
    <row r="63" spans="2:53">
      <c r="B63"/>
      <c r="C63"/>
      <c r="E63"/>
      <c r="F63"/>
      <c r="H63"/>
      <c r="I63"/>
      <c r="K63"/>
      <c r="L63"/>
      <c r="M63"/>
      <c r="N63"/>
      <c r="O63"/>
      <c r="P63"/>
      <c r="Q63"/>
      <c r="R63"/>
      <c r="T63"/>
      <c r="U63"/>
      <c r="V63"/>
      <c r="W63"/>
      <c r="X63"/>
      <c r="Y63"/>
      <c r="Z63"/>
      <c r="AA63"/>
      <c r="AC63"/>
      <c r="AD63"/>
      <c r="AE63"/>
      <c r="AF63"/>
      <c r="AG63"/>
      <c r="AH63"/>
      <c r="AI63"/>
      <c r="AJ63"/>
      <c r="AK63" s="1"/>
      <c r="AN63" s="1">
        <f t="shared" si="2"/>
        <v>0</v>
      </c>
      <c r="AR63" s="1">
        <f t="shared" si="3"/>
        <v>0</v>
      </c>
      <c r="AW63" s="45"/>
      <c r="AX63" s="44"/>
      <c r="AZ63" s="47"/>
      <c r="BA63" s="48"/>
    </row>
    <row r="64" spans="2:53">
      <c r="B64"/>
      <c r="C64"/>
      <c r="E64"/>
      <c r="F64"/>
      <c r="H64"/>
      <c r="I64"/>
      <c r="K64"/>
      <c r="L64"/>
      <c r="M64"/>
      <c r="N64"/>
      <c r="O64"/>
      <c r="P64"/>
      <c r="Q64"/>
      <c r="R64"/>
      <c r="T64"/>
      <c r="U64"/>
      <c r="V64"/>
      <c r="W64"/>
      <c r="X64"/>
      <c r="Y64"/>
      <c r="Z64"/>
      <c r="AA64"/>
      <c r="AC64"/>
      <c r="AD64"/>
      <c r="AE64"/>
      <c r="AF64"/>
      <c r="AG64"/>
      <c r="AH64"/>
      <c r="AI64"/>
      <c r="AJ64"/>
      <c r="AK64" s="1"/>
      <c r="AN64" s="1">
        <f t="shared" si="2"/>
        <v>0</v>
      </c>
      <c r="AR64" s="1">
        <f t="shared" si="3"/>
        <v>0</v>
      </c>
      <c r="AW64" s="45"/>
      <c r="AX64" s="44"/>
      <c r="AZ64" s="47"/>
      <c r="BA64" s="48"/>
    </row>
    <row r="65" spans="5:53">
      <c r="E65"/>
      <c r="F65"/>
      <c r="H65"/>
      <c r="I65"/>
      <c r="K65"/>
      <c r="L65"/>
      <c r="M65"/>
      <c r="N65"/>
      <c r="O65"/>
      <c r="P65"/>
      <c r="Q65"/>
      <c r="R65"/>
      <c r="T65"/>
      <c r="U65"/>
      <c r="V65"/>
      <c r="W65"/>
      <c r="X65"/>
      <c r="Y65"/>
      <c r="Z65"/>
      <c r="AA65"/>
      <c r="AC65"/>
      <c r="AD65"/>
      <c r="AE65"/>
      <c r="AF65"/>
      <c r="AG65"/>
      <c r="AH65"/>
      <c r="AI65"/>
      <c r="AJ65"/>
      <c r="AK65" s="1"/>
      <c r="AN65" s="1">
        <f t="shared" si="2"/>
        <v>0</v>
      </c>
      <c r="AR65" s="1">
        <f t="shared" si="3"/>
        <v>0</v>
      </c>
      <c r="AW65" s="45"/>
      <c r="AX65" s="44"/>
      <c r="AZ65" s="47"/>
      <c r="BA65" s="48"/>
    </row>
    <row r="66" spans="5:53">
      <c r="E66"/>
      <c r="F66"/>
      <c r="H66"/>
      <c r="I66"/>
      <c r="K66"/>
      <c r="L66"/>
      <c r="M66"/>
      <c r="N66"/>
      <c r="O66"/>
      <c r="P66"/>
      <c r="Q66"/>
      <c r="R66"/>
      <c r="T66"/>
      <c r="U66"/>
      <c r="V66"/>
      <c r="W66"/>
      <c r="X66"/>
      <c r="Y66"/>
      <c r="Z66"/>
      <c r="AA66"/>
      <c r="AC66"/>
      <c r="AD66"/>
      <c r="AE66"/>
      <c r="AF66"/>
      <c r="AG66"/>
      <c r="AH66"/>
      <c r="AI66"/>
      <c r="AJ66"/>
      <c r="AK66" s="1"/>
      <c r="AN66" s="1">
        <f t="shared" si="2"/>
        <v>0</v>
      </c>
      <c r="AR66" s="1">
        <f t="shared" si="3"/>
        <v>0</v>
      </c>
      <c r="AW66" s="45"/>
      <c r="AX66" s="44"/>
      <c r="AZ66" s="47"/>
      <c r="BA66" s="48"/>
    </row>
    <row r="67" spans="5:53">
      <c r="E67"/>
      <c r="F67"/>
      <c r="H67"/>
      <c r="I67"/>
      <c r="K67"/>
      <c r="L67"/>
      <c r="M67"/>
      <c r="N67"/>
      <c r="O67"/>
      <c r="P67"/>
      <c r="Q67"/>
      <c r="R67"/>
      <c r="T67"/>
      <c r="U67"/>
      <c r="V67"/>
      <c r="W67"/>
      <c r="X67"/>
      <c r="Y67"/>
      <c r="Z67"/>
      <c r="AA67"/>
      <c r="AC67"/>
      <c r="AD67"/>
      <c r="AE67"/>
      <c r="AF67"/>
      <c r="AG67"/>
      <c r="AH67"/>
      <c r="AI67"/>
      <c r="AJ67"/>
      <c r="AK67" s="1"/>
      <c r="AN67" s="1">
        <f t="shared" ref="AN67:AN97" si="4">AM67*$AS$1</f>
        <v>0</v>
      </c>
      <c r="AR67" s="1">
        <f t="shared" ref="AR67:AR98" si="5">AQ67*$AS$1</f>
        <v>0</v>
      </c>
      <c r="AW67" s="45"/>
      <c r="AX67" s="44"/>
      <c r="AZ67" s="47"/>
      <c r="BA67" s="48"/>
    </row>
    <row r="68" spans="5:53">
      <c r="E68"/>
      <c r="F68"/>
      <c r="H68"/>
      <c r="I68"/>
      <c r="K68"/>
      <c r="L68"/>
      <c r="M68"/>
      <c r="N68"/>
      <c r="O68"/>
      <c r="P68"/>
      <c r="Q68"/>
      <c r="R68"/>
      <c r="T68"/>
      <c r="U68"/>
      <c r="V68"/>
      <c r="W68"/>
      <c r="X68"/>
      <c r="Y68"/>
      <c r="Z68"/>
      <c r="AA68"/>
      <c r="AC68"/>
      <c r="AD68"/>
      <c r="AE68"/>
      <c r="AF68"/>
      <c r="AG68"/>
      <c r="AH68"/>
      <c r="AI68"/>
      <c r="AJ68"/>
      <c r="AK68" s="1"/>
      <c r="AN68" s="1">
        <f t="shared" si="4"/>
        <v>0</v>
      </c>
      <c r="AR68" s="1">
        <f t="shared" si="5"/>
        <v>0</v>
      </c>
      <c r="AW68" s="45"/>
      <c r="AX68" s="44"/>
      <c r="AZ68" s="47"/>
      <c r="BA68" s="48"/>
    </row>
    <row r="69" spans="5:53">
      <c r="E69"/>
      <c r="F69"/>
      <c r="H69"/>
      <c r="I69"/>
      <c r="K69"/>
      <c r="L69"/>
      <c r="M69"/>
      <c r="N69"/>
      <c r="O69"/>
      <c r="P69"/>
      <c r="Q69"/>
      <c r="R69"/>
      <c r="T69"/>
      <c r="U69"/>
      <c r="V69"/>
      <c r="W69"/>
      <c r="X69"/>
      <c r="Y69"/>
      <c r="Z69"/>
      <c r="AA69"/>
      <c r="AC69"/>
      <c r="AD69"/>
      <c r="AE69"/>
      <c r="AF69"/>
      <c r="AG69"/>
      <c r="AH69"/>
      <c r="AI69"/>
      <c r="AJ69"/>
      <c r="AK69" s="1"/>
      <c r="AN69" s="1">
        <f t="shared" si="4"/>
        <v>0</v>
      </c>
      <c r="AR69" s="1">
        <f t="shared" si="5"/>
        <v>0</v>
      </c>
      <c r="AW69" s="45"/>
      <c r="AX69" s="44"/>
      <c r="AZ69" s="47"/>
      <c r="BA69" s="48"/>
    </row>
    <row r="70" spans="5:53">
      <c r="E70"/>
      <c r="F70"/>
      <c r="H70"/>
      <c r="I70"/>
      <c r="K70"/>
      <c r="L70"/>
      <c r="M70"/>
      <c r="N70"/>
      <c r="O70"/>
      <c r="P70"/>
      <c r="Q70"/>
      <c r="R70"/>
      <c r="T70"/>
      <c r="U70"/>
      <c r="V70"/>
      <c r="W70"/>
      <c r="X70"/>
      <c r="Y70"/>
      <c r="Z70"/>
      <c r="AA70"/>
      <c r="AC70"/>
      <c r="AD70"/>
      <c r="AE70"/>
      <c r="AF70"/>
      <c r="AG70"/>
      <c r="AH70"/>
      <c r="AI70"/>
      <c r="AJ70"/>
      <c r="AK70" s="1"/>
      <c r="AN70" s="1">
        <f t="shared" si="4"/>
        <v>0</v>
      </c>
      <c r="AR70" s="1">
        <f t="shared" si="5"/>
        <v>0</v>
      </c>
      <c r="AW70" s="45"/>
      <c r="AX70" s="44"/>
      <c r="AZ70" s="47"/>
      <c r="BA70" s="48"/>
    </row>
    <row r="71" spans="5:53">
      <c r="E71"/>
      <c r="F71"/>
      <c r="H71"/>
      <c r="I71"/>
      <c r="K71"/>
      <c r="L71"/>
      <c r="M71"/>
      <c r="N71"/>
      <c r="O71"/>
      <c r="P71"/>
      <c r="Q71"/>
      <c r="R71"/>
      <c r="T71"/>
      <c r="U71"/>
      <c r="V71"/>
      <c r="W71"/>
      <c r="X71"/>
      <c r="Y71"/>
      <c r="Z71"/>
      <c r="AA71"/>
      <c r="AC71"/>
      <c r="AD71"/>
      <c r="AE71"/>
      <c r="AF71"/>
      <c r="AG71"/>
      <c r="AH71"/>
      <c r="AI71"/>
      <c r="AJ71"/>
      <c r="AK71" s="1"/>
      <c r="AN71" s="1">
        <f t="shared" si="4"/>
        <v>0</v>
      </c>
      <c r="AR71" s="1">
        <f t="shared" si="5"/>
        <v>0</v>
      </c>
      <c r="AW71" s="45"/>
      <c r="AX71" s="44"/>
      <c r="AZ71" s="47"/>
      <c r="BA71" s="48"/>
    </row>
    <row r="72" spans="5:53">
      <c r="E72"/>
      <c r="F72"/>
      <c r="H72"/>
      <c r="I72"/>
      <c r="K72"/>
      <c r="L72"/>
      <c r="M72"/>
      <c r="N72"/>
      <c r="O72"/>
      <c r="P72"/>
      <c r="Q72"/>
      <c r="R72"/>
      <c r="T72"/>
      <c r="U72"/>
      <c r="V72"/>
      <c r="W72"/>
      <c r="X72"/>
      <c r="Y72"/>
      <c r="Z72"/>
      <c r="AA72"/>
      <c r="AC72"/>
      <c r="AD72"/>
      <c r="AE72"/>
      <c r="AF72"/>
      <c r="AG72"/>
      <c r="AH72"/>
      <c r="AI72"/>
      <c r="AJ72"/>
      <c r="AK72" s="1"/>
      <c r="AN72" s="1">
        <f t="shared" si="4"/>
        <v>0</v>
      </c>
      <c r="AR72" s="1">
        <f t="shared" si="5"/>
        <v>0</v>
      </c>
      <c r="AW72" s="45"/>
      <c r="AX72" s="44"/>
      <c r="AZ72" s="47"/>
      <c r="BA72" s="48"/>
    </row>
    <row r="73" spans="5:53">
      <c r="E73"/>
      <c r="F73"/>
      <c r="H73"/>
      <c r="I73"/>
      <c r="K73"/>
      <c r="L73"/>
      <c r="M73"/>
      <c r="N73"/>
      <c r="O73"/>
      <c r="P73"/>
      <c r="Q73"/>
      <c r="R73"/>
      <c r="T73"/>
      <c r="U73"/>
      <c r="V73"/>
      <c r="W73"/>
      <c r="X73"/>
      <c r="Y73"/>
      <c r="Z73"/>
      <c r="AA73"/>
      <c r="AC73"/>
      <c r="AD73"/>
      <c r="AE73"/>
      <c r="AF73"/>
      <c r="AG73"/>
      <c r="AH73"/>
      <c r="AI73"/>
      <c r="AJ73"/>
      <c r="AK73" s="1"/>
      <c r="AN73" s="1">
        <f t="shared" si="4"/>
        <v>0</v>
      </c>
      <c r="AR73" s="1">
        <f t="shared" si="5"/>
        <v>0</v>
      </c>
      <c r="AW73" s="45"/>
      <c r="AX73" s="44"/>
      <c r="AZ73" s="47"/>
      <c r="BA73" s="48"/>
    </row>
    <row r="74" spans="5:53">
      <c r="E74"/>
      <c r="F74"/>
      <c r="H74"/>
      <c r="I74"/>
      <c r="K74"/>
      <c r="L74"/>
      <c r="M74"/>
      <c r="N74"/>
      <c r="O74"/>
      <c r="P74"/>
      <c r="Q74"/>
      <c r="R74"/>
      <c r="T74"/>
      <c r="U74"/>
      <c r="V74"/>
      <c r="W74"/>
      <c r="X74"/>
      <c r="Y74"/>
      <c r="Z74"/>
      <c r="AA74"/>
      <c r="AC74"/>
      <c r="AD74"/>
      <c r="AE74"/>
      <c r="AF74"/>
      <c r="AG74"/>
      <c r="AH74"/>
      <c r="AI74"/>
      <c r="AJ74"/>
      <c r="AK74" s="1"/>
      <c r="AN74" s="1">
        <f t="shared" si="4"/>
        <v>0</v>
      </c>
      <c r="AR74" s="1">
        <f t="shared" si="5"/>
        <v>0</v>
      </c>
      <c r="AW74" s="45"/>
      <c r="AX74" s="44"/>
      <c r="AZ74" s="47"/>
      <c r="BA74" s="48"/>
    </row>
    <row r="75" spans="5:53">
      <c r="E75"/>
      <c r="F75"/>
      <c r="H75"/>
      <c r="I75"/>
      <c r="K75"/>
      <c r="L75"/>
      <c r="M75"/>
      <c r="N75"/>
      <c r="O75"/>
      <c r="P75"/>
      <c r="Q75"/>
      <c r="R75"/>
      <c r="T75"/>
      <c r="U75"/>
      <c r="V75"/>
      <c r="W75"/>
      <c r="X75"/>
      <c r="Y75"/>
      <c r="Z75"/>
      <c r="AA75"/>
      <c r="AC75"/>
      <c r="AD75"/>
      <c r="AE75"/>
      <c r="AF75"/>
      <c r="AG75"/>
      <c r="AH75"/>
      <c r="AI75"/>
      <c r="AJ75"/>
      <c r="AK75" s="1"/>
      <c r="AN75" s="1">
        <f t="shared" si="4"/>
        <v>0</v>
      </c>
      <c r="AR75" s="1">
        <f t="shared" si="5"/>
        <v>0</v>
      </c>
      <c r="AW75" s="45"/>
      <c r="AX75" s="44"/>
      <c r="AZ75" s="47"/>
      <c r="BA75" s="48"/>
    </row>
    <row r="76" spans="5:53">
      <c r="E76"/>
      <c r="F76"/>
      <c r="H76"/>
      <c r="I76"/>
      <c r="K76"/>
      <c r="L76"/>
      <c r="M76"/>
      <c r="N76"/>
      <c r="O76"/>
      <c r="P76"/>
      <c r="Q76"/>
      <c r="R76"/>
      <c r="T76"/>
      <c r="U76"/>
      <c r="V76"/>
      <c r="W76"/>
      <c r="X76"/>
      <c r="Y76"/>
      <c r="Z76"/>
      <c r="AA76"/>
      <c r="AC76"/>
      <c r="AD76"/>
      <c r="AE76"/>
      <c r="AF76"/>
      <c r="AG76"/>
      <c r="AH76"/>
      <c r="AI76"/>
      <c r="AJ76"/>
      <c r="AK76" s="1"/>
      <c r="AN76" s="1">
        <f t="shared" si="4"/>
        <v>0</v>
      </c>
      <c r="AR76" s="1">
        <f t="shared" si="5"/>
        <v>0</v>
      </c>
      <c r="AW76" s="45"/>
      <c r="AX76" s="44"/>
      <c r="AZ76" s="47"/>
      <c r="BA76" s="48"/>
    </row>
    <row r="77" spans="5:53">
      <c r="E77"/>
      <c r="F77"/>
      <c r="H77"/>
      <c r="I77"/>
      <c r="K77"/>
      <c r="L77"/>
      <c r="M77"/>
      <c r="N77"/>
      <c r="O77"/>
      <c r="P77"/>
      <c r="Q77"/>
      <c r="R77"/>
      <c r="T77"/>
      <c r="U77"/>
      <c r="V77"/>
      <c r="W77"/>
      <c r="X77"/>
      <c r="Y77"/>
      <c r="Z77"/>
      <c r="AA77"/>
      <c r="AC77"/>
      <c r="AD77"/>
      <c r="AE77"/>
      <c r="AF77"/>
      <c r="AG77"/>
      <c r="AH77"/>
      <c r="AI77"/>
      <c r="AJ77"/>
      <c r="AK77" s="1"/>
      <c r="AN77" s="1">
        <f t="shared" si="4"/>
        <v>0</v>
      </c>
      <c r="AR77" s="1">
        <f t="shared" si="5"/>
        <v>0</v>
      </c>
      <c r="AW77" s="45"/>
      <c r="AX77" s="44"/>
      <c r="AZ77" s="47"/>
      <c r="BA77" s="48"/>
    </row>
    <row r="78" spans="5:53">
      <c r="E78"/>
      <c r="F78"/>
      <c r="H78"/>
      <c r="I78"/>
      <c r="K78"/>
      <c r="L78"/>
      <c r="M78"/>
      <c r="N78"/>
      <c r="O78"/>
      <c r="P78"/>
      <c r="Q78"/>
      <c r="R78"/>
      <c r="T78"/>
      <c r="U78"/>
      <c r="V78"/>
      <c r="W78"/>
      <c r="X78"/>
      <c r="Y78"/>
      <c r="Z78"/>
      <c r="AA78"/>
      <c r="AC78"/>
      <c r="AD78"/>
      <c r="AE78"/>
      <c r="AF78"/>
      <c r="AG78"/>
      <c r="AH78"/>
      <c r="AI78"/>
      <c r="AJ78"/>
      <c r="AK78" s="1"/>
      <c r="AN78" s="1">
        <f t="shared" si="4"/>
        <v>0</v>
      </c>
      <c r="AR78" s="1">
        <f t="shared" si="5"/>
        <v>0</v>
      </c>
      <c r="AW78" s="45"/>
      <c r="AX78" s="44"/>
      <c r="AZ78" s="47"/>
      <c r="BA78" s="48"/>
    </row>
    <row r="79" spans="5:53">
      <c r="E79"/>
      <c r="F79"/>
      <c r="H79"/>
      <c r="I79"/>
      <c r="K79"/>
      <c r="L79"/>
      <c r="M79"/>
      <c r="N79"/>
      <c r="O79"/>
      <c r="P79"/>
      <c r="Q79"/>
      <c r="R79"/>
      <c r="T79"/>
      <c r="U79"/>
      <c r="V79"/>
      <c r="W79"/>
      <c r="X79"/>
      <c r="Y79"/>
      <c r="Z79"/>
      <c r="AA79"/>
      <c r="AC79"/>
      <c r="AD79"/>
      <c r="AE79"/>
      <c r="AF79"/>
      <c r="AG79"/>
      <c r="AH79"/>
      <c r="AI79"/>
      <c r="AJ79"/>
      <c r="AK79" s="1"/>
      <c r="AN79" s="1">
        <f t="shared" si="4"/>
        <v>0</v>
      </c>
      <c r="AR79" s="1">
        <f t="shared" si="5"/>
        <v>0</v>
      </c>
      <c r="AW79" s="45"/>
      <c r="AX79" s="44"/>
      <c r="AZ79" s="47"/>
      <c r="BA79" s="48"/>
    </row>
    <row r="80" spans="5:53">
      <c r="E80"/>
      <c r="F80"/>
      <c r="H80"/>
      <c r="I80"/>
      <c r="K80"/>
      <c r="L80"/>
      <c r="M80"/>
      <c r="N80"/>
      <c r="O80"/>
      <c r="P80"/>
      <c r="Q80"/>
      <c r="R80"/>
      <c r="T80"/>
      <c r="U80"/>
      <c r="V80"/>
      <c r="W80"/>
      <c r="X80"/>
      <c r="Y80"/>
      <c r="Z80"/>
      <c r="AA80"/>
      <c r="AC80"/>
      <c r="AD80"/>
      <c r="AE80"/>
      <c r="AF80"/>
      <c r="AG80"/>
      <c r="AH80"/>
      <c r="AI80"/>
      <c r="AJ80"/>
      <c r="AK80" s="1"/>
      <c r="AN80" s="1">
        <f t="shared" si="4"/>
        <v>0</v>
      </c>
      <c r="AR80" s="1">
        <f t="shared" si="5"/>
        <v>0</v>
      </c>
      <c r="AW80" s="45"/>
      <c r="AX80" s="44"/>
      <c r="AZ80" s="47"/>
      <c r="BA80" s="48"/>
    </row>
    <row r="81" spans="8:53">
      <c r="H81"/>
      <c r="I81"/>
      <c r="K81"/>
      <c r="L81"/>
      <c r="M81"/>
      <c r="N81"/>
      <c r="O81"/>
      <c r="P81"/>
      <c r="Q81"/>
      <c r="R81"/>
      <c r="T81"/>
      <c r="U81"/>
      <c r="V81"/>
      <c r="W81"/>
      <c r="X81"/>
      <c r="Y81"/>
      <c r="Z81"/>
      <c r="AA81"/>
      <c r="AC81"/>
      <c r="AD81"/>
      <c r="AE81"/>
      <c r="AF81"/>
      <c r="AG81"/>
      <c r="AH81"/>
      <c r="AI81"/>
      <c r="AJ81"/>
      <c r="AK81" s="1"/>
      <c r="AN81" s="1">
        <f t="shared" si="4"/>
        <v>0</v>
      </c>
      <c r="AR81" s="1">
        <f t="shared" si="5"/>
        <v>0</v>
      </c>
      <c r="AW81" s="45"/>
      <c r="AX81" s="44"/>
      <c r="AZ81" s="47"/>
      <c r="BA81" s="48"/>
    </row>
    <row r="82" spans="8:53">
      <c r="H82"/>
      <c r="I82"/>
      <c r="K82"/>
      <c r="L82"/>
      <c r="M82"/>
      <c r="N82"/>
      <c r="O82"/>
      <c r="P82"/>
      <c r="Q82"/>
      <c r="R82"/>
      <c r="T82"/>
      <c r="U82"/>
      <c r="V82"/>
      <c r="W82"/>
      <c r="X82"/>
      <c r="Y82"/>
      <c r="Z82"/>
      <c r="AA82"/>
      <c r="AC82"/>
      <c r="AD82"/>
      <c r="AE82"/>
      <c r="AF82"/>
      <c r="AG82"/>
      <c r="AH82"/>
      <c r="AI82"/>
      <c r="AJ82"/>
      <c r="AK82" s="1"/>
      <c r="AN82" s="1">
        <f t="shared" si="4"/>
        <v>0</v>
      </c>
      <c r="AR82" s="1">
        <f t="shared" si="5"/>
        <v>0</v>
      </c>
      <c r="AW82" s="45"/>
      <c r="AX82" s="44"/>
      <c r="AZ82" s="47"/>
      <c r="BA82" s="48"/>
    </row>
    <row r="83" spans="8:53">
      <c r="H83"/>
      <c r="I83"/>
      <c r="K83"/>
      <c r="L83"/>
      <c r="M83"/>
      <c r="N83"/>
      <c r="O83"/>
      <c r="P83"/>
      <c r="Q83"/>
      <c r="R83"/>
      <c r="T83"/>
      <c r="U83"/>
      <c r="V83"/>
      <c r="W83"/>
      <c r="X83"/>
      <c r="Y83"/>
      <c r="Z83"/>
      <c r="AA83"/>
      <c r="AC83"/>
      <c r="AD83"/>
      <c r="AE83"/>
      <c r="AF83"/>
      <c r="AG83"/>
      <c r="AH83"/>
      <c r="AI83"/>
      <c r="AJ83"/>
      <c r="AK83" s="1"/>
      <c r="AN83" s="1">
        <f t="shared" si="4"/>
        <v>0</v>
      </c>
      <c r="AR83" s="1">
        <f t="shared" si="5"/>
        <v>0</v>
      </c>
      <c r="AW83" s="45"/>
      <c r="AX83" s="44"/>
      <c r="AZ83" s="47"/>
      <c r="BA83" s="48"/>
    </row>
    <row r="84" spans="8:53">
      <c r="H84"/>
      <c r="I84"/>
      <c r="K84"/>
      <c r="L84"/>
      <c r="M84"/>
      <c r="N84"/>
      <c r="O84"/>
      <c r="P84"/>
      <c r="Q84"/>
      <c r="R84"/>
      <c r="T84"/>
      <c r="U84"/>
      <c r="V84"/>
      <c r="W84"/>
      <c r="X84"/>
      <c r="Y84"/>
      <c r="Z84"/>
      <c r="AA84"/>
      <c r="AC84"/>
      <c r="AD84"/>
      <c r="AE84"/>
      <c r="AF84"/>
      <c r="AG84"/>
      <c r="AH84"/>
      <c r="AI84"/>
      <c r="AJ84"/>
      <c r="AK84" s="1"/>
      <c r="AN84" s="1">
        <f t="shared" si="4"/>
        <v>0</v>
      </c>
      <c r="AR84" s="1">
        <f t="shared" si="5"/>
        <v>0</v>
      </c>
      <c r="AW84" s="45"/>
      <c r="AX84" s="44"/>
      <c r="AZ84" s="47"/>
      <c r="BA84" s="48"/>
    </row>
    <row r="85" spans="8:53">
      <c r="H85"/>
      <c r="I85"/>
      <c r="K85"/>
      <c r="L85"/>
      <c r="M85"/>
      <c r="N85"/>
      <c r="O85"/>
      <c r="P85"/>
      <c r="Q85"/>
      <c r="R85"/>
      <c r="T85"/>
      <c r="U85"/>
      <c r="V85"/>
      <c r="W85"/>
      <c r="X85"/>
      <c r="Y85"/>
      <c r="Z85"/>
      <c r="AA85"/>
      <c r="AC85"/>
      <c r="AD85"/>
      <c r="AE85"/>
      <c r="AF85"/>
      <c r="AG85"/>
      <c r="AH85"/>
      <c r="AI85"/>
      <c r="AJ85"/>
      <c r="AK85" s="1"/>
      <c r="AN85" s="1">
        <f t="shared" si="4"/>
        <v>0</v>
      </c>
      <c r="AR85" s="1">
        <f t="shared" si="5"/>
        <v>0</v>
      </c>
      <c r="AW85" s="45"/>
      <c r="AX85" s="44"/>
      <c r="AZ85" s="47"/>
      <c r="BA85" s="48"/>
    </row>
    <row r="86" spans="8:53">
      <c r="H86"/>
      <c r="I86"/>
      <c r="K86"/>
      <c r="L86"/>
      <c r="M86"/>
      <c r="N86"/>
      <c r="O86"/>
      <c r="P86"/>
      <c r="Q86"/>
      <c r="R86"/>
      <c r="T86"/>
      <c r="U86"/>
      <c r="V86"/>
      <c r="W86"/>
      <c r="X86"/>
      <c r="Y86"/>
      <c r="Z86"/>
      <c r="AA86"/>
      <c r="AC86"/>
      <c r="AD86"/>
      <c r="AE86"/>
      <c r="AF86"/>
      <c r="AG86"/>
      <c r="AH86"/>
      <c r="AI86"/>
      <c r="AJ86"/>
      <c r="AK86" s="1"/>
      <c r="AN86" s="1">
        <f t="shared" si="4"/>
        <v>0</v>
      </c>
      <c r="AR86" s="1">
        <f t="shared" si="5"/>
        <v>0</v>
      </c>
      <c r="AW86" s="45"/>
      <c r="AX86" s="44"/>
      <c r="AZ86" s="47"/>
      <c r="BA86" s="48"/>
    </row>
    <row r="87" spans="8:53">
      <c r="H87"/>
      <c r="I87"/>
      <c r="K87"/>
      <c r="L87"/>
      <c r="M87"/>
      <c r="N87"/>
      <c r="O87"/>
      <c r="P87"/>
      <c r="Q87"/>
      <c r="R87"/>
      <c r="T87"/>
      <c r="U87"/>
      <c r="V87"/>
      <c r="W87"/>
      <c r="X87"/>
      <c r="Y87"/>
      <c r="Z87"/>
      <c r="AA87"/>
      <c r="AC87"/>
      <c r="AD87"/>
      <c r="AE87"/>
      <c r="AF87"/>
      <c r="AG87"/>
      <c r="AH87"/>
      <c r="AI87"/>
      <c r="AJ87"/>
      <c r="AK87" s="1"/>
      <c r="AN87" s="1">
        <f t="shared" si="4"/>
        <v>0</v>
      </c>
      <c r="AR87" s="1">
        <f t="shared" si="5"/>
        <v>0</v>
      </c>
      <c r="AW87" s="45"/>
      <c r="AX87" s="44"/>
      <c r="AZ87" s="47"/>
      <c r="BA87" s="48"/>
    </row>
    <row r="88" spans="8:53">
      <c r="H88"/>
      <c r="I88"/>
      <c r="K88"/>
      <c r="L88"/>
      <c r="M88"/>
      <c r="N88"/>
      <c r="O88"/>
      <c r="P88"/>
      <c r="Q88"/>
      <c r="R88"/>
      <c r="T88"/>
      <c r="U88"/>
      <c r="V88"/>
      <c r="W88"/>
      <c r="X88"/>
      <c r="Y88"/>
      <c r="Z88"/>
      <c r="AA88"/>
      <c r="AC88"/>
      <c r="AD88"/>
      <c r="AE88"/>
      <c r="AF88"/>
      <c r="AG88"/>
      <c r="AH88"/>
      <c r="AI88"/>
      <c r="AJ88"/>
      <c r="AK88" s="1"/>
      <c r="AN88" s="1">
        <f t="shared" si="4"/>
        <v>0</v>
      </c>
      <c r="AR88" s="1">
        <f t="shared" si="5"/>
        <v>0</v>
      </c>
      <c r="AW88" s="45"/>
      <c r="AX88" s="44"/>
      <c r="AZ88" s="47"/>
      <c r="BA88" s="48"/>
    </row>
    <row r="89" spans="8:53">
      <c r="H89"/>
      <c r="I89"/>
      <c r="K89"/>
      <c r="L89"/>
      <c r="M89"/>
      <c r="N89"/>
      <c r="O89"/>
      <c r="P89"/>
      <c r="Q89"/>
      <c r="R89"/>
      <c r="T89"/>
      <c r="U89"/>
      <c r="V89"/>
      <c r="W89"/>
      <c r="X89"/>
      <c r="Y89"/>
      <c r="Z89"/>
      <c r="AA89"/>
      <c r="AC89"/>
      <c r="AD89"/>
      <c r="AE89"/>
      <c r="AF89"/>
      <c r="AG89"/>
      <c r="AH89"/>
      <c r="AI89"/>
      <c r="AJ89"/>
      <c r="AK89" s="1"/>
      <c r="AN89" s="1">
        <f t="shared" si="4"/>
        <v>0</v>
      </c>
      <c r="AR89" s="1">
        <f t="shared" si="5"/>
        <v>0</v>
      </c>
      <c r="AW89" s="45"/>
      <c r="AX89" s="44"/>
      <c r="AZ89" s="47"/>
      <c r="BA89" s="48"/>
    </row>
    <row r="90" spans="8:53">
      <c r="H90"/>
      <c r="I90"/>
      <c r="K90"/>
      <c r="L90"/>
      <c r="M90"/>
      <c r="N90"/>
      <c r="O90"/>
      <c r="P90"/>
      <c r="Q90"/>
      <c r="R90"/>
      <c r="T90"/>
      <c r="U90"/>
      <c r="V90"/>
      <c r="W90"/>
      <c r="X90"/>
      <c r="Y90"/>
      <c r="Z90"/>
      <c r="AA90"/>
      <c r="AC90"/>
      <c r="AD90"/>
      <c r="AE90"/>
      <c r="AF90"/>
      <c r="AG90"/>
      <c r="AH90"/>
      <c r="AI90"/>
      <c r="AJ90"/>
      <c r="AK90" s="1"/>
      <c r="AN90" s="1">
        <f t="shared" si="4"/>
        <v>0</v>
      </c>
      <c r="AR90" s="1">
        <f t="shared" si="5"/>
        <v>0</v>
      </c>
      <c r="AW90" s="45"/>
      <c r="AX90" s="44"/>
      <c r="AZ90" s="47"/>
      <c r="BA90" s="48"/>
    </row>
    <row r="91" spans="8:53">
      <c r="H91"/>
      <c r="I91"/>
      <c r="K91"/>
      <c r="L91"/>
      <c r="M91"/>
      <c r="N91"/>
      <c r="O91"/>
      <c r="P91"/>
      <c r="Q91"/>
      <c r="R91"/>
      <c r="T91"/>
      <c r="U91"/>
      <c r="V91"/>
      <c r="W91"/>
      <c r="X91"/>
      <c r="Y91"/>
      <c r="Z91"/>
      <c r="AA91"/>
      <c r="AC91"/>
      <c r="AD91"/>
      <c r="AE91"/>
      <c r="AF91"/>
      <c r="AG91"/>
      <c r="AH91"/>
      <c r="AI91"/>
      <c r="AJ91"/>
      <c r="AK91" s="1"/>
      <c r="AN91" s="1">
        <f t="shared" si="4"/>
        <v>0</v>
      </c>
      <c r="AR91" s="1">
        <f t="shared" si="5"/>
        <v>0</v>
      </c>
      <c r="AW91" s="45"/>
      <c r="AX91" s="44"/>
      <c r="AZ91" s="47"/>
      <c r="BA91" s="48"/>
    </row>
    <row r="92" spans="8:53">
      <c r="H92"/>
      <c r="I92"/>
      <c r="T92"/>
      <c r="U92"/>
      <c r="V92"/>
      <c r="W92"/>
      <c r="X92"/>
      <c r="Y92"/>
      <c r="Z92"/>
      <c r="AA92"/>
      <c r="AC92"/>
      <c r="AD92"/>
      <c r="AE92"/>
      <c r="AF92"/>
      <c r="AG92"/>
      <c r="AH92"/>
      <c r="AI92"/>
      <c r="AJ92"/>
      <c r="AN92" s="1">
        <f t="shared" si="4"/>
        <v>0</v>
      </c>
      <c r="AR92" s="1">
        <f t="shared" si="5"/>
        <v>0</v>
      </c>
      <c r="AW92" s="45"/>
      <c r="AX92" s="44"/>
      <c r="AZ92" s="47"/>
      <c r="BA92" s="48"/>
    </row>
    <row r="93" spans="8:53">
      <c r="H93"/>
      <c r="I93"/>
      <c r="T93"/>
      <c r="U93"/>
      <c r="V93"/>
      <c r="W93"/>
      <c r="X93"/>
      <c r="Y93"/>
      <c r="Z93"/>
      <c r="AA93"/>
      <c r="AC93"/>
      <c r="AD93"/>
      <c r="AE93"/>
      <c r="AF93"/>
      <c r="AG93"/>
      <c r="AH93"/>
      <c r="AI93"/>
      <c r="AJ93"/>
      <c r="AN93" s="1">
        <f t="shared" si="4"/>
        <v>0</v>
      </c>
      <c r="AR93" s="1">
        <f t="shared" si="5"/>
        <v>0</v>
      </c>
      <c r="AW93" s="45"/>
      <c r="AX93" s="44"/>
      <c r="AZ93" s="47"/>
      <c r="BA93" s="48"/>
    </row>
    <row r="94" spans="29:53">
      <c r="AC94"/>
      <c r="AD94"/>
      <c r="AE94"/>
      <c r="AF94"/>
      <c r="AG94"/>
      <c r="AH94"/>
      <c r="AI94"/>
      <c r="AJ94"/>
      <c r="AN94" s="1">
        <f t="shared" si="4"/>
        <v>0</v>
      </c>
      <c r="AR94" s="1">
        <f t="shared" si="5"/>
        <v>0</v>
      </c>
      <c r="AW94" s="45"/>
      <c r="AX94" s="44"/>
      <c r="AZ94" s="47"/>
      <c r="BA94" s="48"/>
    </row>
    <row r="95" spans="40:53">
      <c r="AN95" s="1">
        <f t="shared" si="4"/>
        <v>0</v>
      </c>
      <c r="AR95" s="1">
        <f t="shared" si="5"/>
        <v>0</v>
      </c>
      <c r="AW95" s="45"/>
      <c r="AX95" s="44"/>
      <c r="AZ95" s="47"/>
      <c r="BA95" s="48"/>
    </row>
    <row r="96" spans="40:53">
      <c r="AN96" s="1">
        <f t="shared" si="4"/>
        <v>0</v>
      </c>
      <c r="AR96" s="1">
        <f t="shared" si="5"/>
        <v>0</v>
      </c>
      <c r="AW96" s="45"/>
      <c r="AX96" s="44"/>
      <c r="AZ96" s="47"/>
      <c r="BA96" s="48"/>
    </row>
    <row r="97" spans="40:53">
      <c r="AN97" s="1">
        <f t="shared" si="4"/>
        <v>0</v>
      </c>
      <c r="AR97" s="1">
        <f t="shared" si="5"/>
        <v>0</v>
      </c>
      <c r="AW97" s="45"/>
      <c r="AX97" s="44"/>
      <c r="AZ97" s="47"/>
      <c r="BA97" s="48"/>
    </row>
    <row r="98" spans="44:53">
      <c r="AR98" s="1">
        <f t="shared" si="5"/>
        <v>0</v>
      </c>
      <c r="AW98" s="45"/>
      <c r="AX98" s="44"/>
      <c r="AZ98" s="47"/>
      <c r="BA98" s="48"/>
    </row>
    <row r="99" spans="49:53">
      <c r="AW99" s="45"/>
      <c r="AX99" s="44"/>
      <c r="AZ99" s="47"/>
      <c r="BA99" s="48"/>
    </row>
    <row r="100" spans="49:53">
      <c r="AW100" s="45"/>
      <c r="AX100" s="44"/>
      <c r="AZ100" s="47"/>
      <c r="BA100" s="48"/>
    </row>
    <row r="101" spans="49:53">
      <c r="AW101" s="45"/>
      <c r="AX101" s="44"/>
      <c r="AZ101" s="47"/>
      <c r="BA101" s="48"/>
    </row>
    <row r="102" spans="52:53">
      <c r="AZ102" s="47"/>
      <c r="BA102" s="48"/>
    </row>
    <row r="103" spans="52:53">
      <c r="AZ103" s="47"/>
      <c r="BA103" s="48"/>
    </row>
    <row r="104" spans="52:53">
      <c r="AZ104" s="47"/>
      <c r="BA104" s="48"/>
    </row>
    <row r="105" spans="52:53">
      <c r="AZ105" s="47"/>
      <c r="BA105" s="48"/>
    </row>
    <row r="106" spans="52:53">
      <c r="AZ106" s="47"/>
      <c r="BA106" s="48"/>
    </row>
    <row r="107" spans="52:53">
      <c r="AZ107" s="47"/>
      <c r="BA107" s="48"/>
    </row>
    <row r="108" spans="52:53">
      <c r="AZ108" s="47"/>
      <c r="BA108" s="48"/>
    </row>
    <row r="109" spans="52:53">
      <c r="AZ109" s="47"/>
      <c r="BA109" s="48"/>
    </row>
    <row r="110" spans="52:53">
      <c r="AZ110" s="47"/>
      <c r="BA110" s="48"/>
    </row>
    <row r="111" spans="11:53">
      <c r="K111"/>
      <c r="L111"/>
      <c r="M111"/>
      <c r="N111"/>
      <c r="O111"/>
      <c r="P111"/>
      <c r="Q111"/>
      <c r="R111"/>
      <c r="T111"/>
      <c r="U111"/>
      <c r="V111"/>
      <c r="W111"/>
      <c r="X111"/>
      <c r="Y111"/>
      <c r="Z111"/>
      <c r="AA111"/>
      <c r="AC111"/>
      <c r="AD111"/>
      <c r="AE111"/>
      <c r="AF111"/>
      <c r="AG111"/>
      <c r="AH111"/>
      <c r="AI111"/>
      <c r="AJ111"/>
      <c r="AZ111" s="47"/>
      <c r="BA111" s="48"/>
    </row>
    <row r="112" spans="11:53">
      <c r="K112"/>
      <c r="L112"/>
      <c r="M112"/>
      <c r="N112"/>
      <c r="O112"/>
      <c r="P112"/>
      <c r="Q112"/>
      <c r="R112"/>
      <c r="T112"/>
      <c r="U112"/>
      <c r="V112"/>
      <c r="W112"/>
      <c r="X112"/>
      <c r="Y112"/>
      <c r="Z112"/>
      <c r="AA112"/>
      <c r="AC112"/>
      <c r="AD112"/>
      <c r="AE112"/>
      <c r="AF112"/>
      <c r="AG112"/>
      <c r="AH112"/>
      <c r="AI112"/>
      <c r="AJ112"/>
      <c r="AK112" s="1"/>
      <c r="AZ112" s="47"/>
      <c r="BA112" s="48"/>
    </row>
    <row r="113" spans="11:53">
      <c r="K113"/>
      <c r="L113"/>
      <c r="M113"/>
      <c r="N113"/>
      <c r="O113"/>
      <c r="P113"/>
      <c r="Q113"/>
      <c r="R113"/>
      <c r="T113"/>
      <c r="U113"/>
      <c r="V113"/>
      <c r="W113"/>
      <c r="X113"/>
      <c r="Y113"/>
      <c r="Z113"/>
      <c r="AA113"/>
      <c r="AC113"/>
      <c r="AD113"/>
      <c r="AE113"/>
      <c r="AF113"/>
      <c r="AG113"/>
      <c r="AH113"/>
      <c r="AI113"/>
      <c r="AJ113"/>
      <c r="AK113" s="1"/>
      <c r="AZ113" s="47"/>
      <c r="BA113" s="48"/>
    </row>
    <row r="114" spans="11:53">
      <c r="K114"/>
      <c r="L114"/>
      <c r="M114"/>
      <c r="N114"/>
      <c r="O114"/>
      <c r="P114"/>
      <c r="Q114"/>
      <c r="R114"/>
      <c r="T114"/>
      <c r="U114"/>
      <c r="V114"/>
      <c r="W114"/>
      <c r="X114"/>
      <c r="Y114"/>
      <c r="Z114"/>
      <c r="AA114"/>
      <c r="AC114"/>
      <c r="AD114"/>
      <c r="AE114"/>
      <c r="AF114"/>
      <c r="AG114"/>
      <c r="AH114"/>
      <c r="AI114"/>
      <c r="AJ114"/>
      <c r="AK114" s="1"/>
      <c r="AZ114" s="47"/>
      <c r="BA114" s="48"/>
    </row>
    <row r="115" spans="11:53">
      <c r="K115"/>
      <c r="L115"/>
      <c r="M115"/>
      <c r="N115"/>
      <c r="O115"/>
      <c r="P115"/>
      <c r="Q115"/>
      <c r="R115"/>
      <c r="T115"/>
      <c r="U115"/>
      <c r="V115"/>
      <c r="W115"/>
      <c r="X115"/>
      <c r="Y115"/>
      <c r="Z115"/>
      <c r="AA115"/>
      <c r="AC115"/>
      <c r="AD115"/>
      <c r="AE115"/>
      <c r="AF115"/>
      <c r="AG115"/>
      <c r="AH115"/>
      <c r="AI115"/>
      <c r="AJ115"/>
      <c r="AK115" s="1"/>
      <c r="AZ115" s="47"/>
      <c r="BA115" s="48"/>
    </row>
    <row r="116" spans="11:53">
      <c r="K116"/>
      <c r="L116"/>
      <c r="M116"/>
      <c r="N116"/>
      <c r="O116"/>
      <c r="P116"/>
      <c r="Q116"/>
      <c r="R116"/>
      <c r="T116"/>
      <c r="U116"/>
      <c r="V116"/>
      <c r="W116"/>
      <c r="X116"/>
      <c r="Y116"/>
      <c r="Z116"/>
      <c r="AA116"/>
      <c r="AC116"/>
      <c r="AD116"/>
      <c r="AE116"/>
      <c r="AF116"/>
      <c r="AG116"/>
      <c r="AH116"/>
      <c r="AI116"/>
      <c r="AJ116"/>
      <c r="AK116" s="1"/>
      <c r="AZ116" s="47"/>
      <c r="BA116" s="48"/>
    </row>
    <row r="117" spans="11:53">
      <c r="K117"/>
      <c r="L117"/>
      <c r="M117"/>
      <c r="N117"/>
      <c r="O117"/>
      <c r="P117"/>
      <c r="Q117"/>
      <c r="R117"/>
      <c r="T117"/>
      <c r="U117"/>
      <c r="V117"/>
      <c r="W117"/>
      <c r="X117"/>
      <c r="Y117"/>
      <c r="Z117"/>
      <c r="AA117"/>
      <c r="AC117"/>
      <c r="AD117"/>
      <c r="AE117"/>
      <c r="AF117"/>
      <c r="AG117"/>
      <c r="AH117"/>
      <c r="AI117"/>
      <c r="AJ117"/>
      <c r="AK117" s="1"/>
      <c r="AZ117" s="47"/>
      <c r="BA117" s="48"/>
    </row>
    <row r="118" spans="11:53">
      <c r="K118"/>
      <c r="L118"/>
      <c r="M118"/>
      <c r="N118"/>
      <c r="O118"/>
      <c r="P118"/>
      <c r="Q118"/>
      <c r="R118"/>
      <c r="T118"/>
      <c r="U118"/>
      <c r="V118"/>
      <c r="W118"/>
      <c r="X118"/>
      <c r="Y118"/>
      <c r="Z118"/>
      <c r="AA118"/>
      <c r="AC118"/>
      <c r="AD118"/>
      <c r="AE118"/>
      <c r="AF118"/>
      <c r="AG118"/>
      <c r="AH118"/>
      <c r="AI118"/>
      <c r="AJ118"/>
      <c r="AK118" s="1"/>
      <c r="AZ118" s="47"/>
      <c r="BA118" s="48"/>
    </row>
    <row r="119" spans="11:53">
      <c r="K119"/>
      <c r="L119"/>
      <c r="M119"/>
      <c r="N119"/>
      <c r="O119"/>
      <c r="P119"/>
      <c r="Q119"/>
      <c r="R119"/>
      <c r="T119"/>
      <c r="U119"/>
      <c r="V119"/>
      <c r="W119"/>
      <c r="X119"/>
      <c r="Y119"/>
      <c r="Z119"/>
      <c r="AA119"/>
      <c r="AC119"/>
      <c r="AD119"/>
      <c r="AE119"/>
      <c r="AF119"/>
      <c r="AG119"/>
      <c r="AH119"/>
      <c r="AI119"/>
      <c r="AJ119"/>
      <c r="AK119" s="1"/>
      <c r="AZ119" s="47"/>
      <c r="BA119" s="48"/>
    </row>
    <row r="120" spans="11:53">
      <c r="K120"/>
      <c r="L120"/>
      <c r="M120"/>
      <c r="N120"/>
      <c r="O120"/>
      <c r="P120"/>
      <c r="Q120"/>
      <c r="R120"/>
      <c r="T120"/>
      <c r="U120"/>
      <c r="V120"/>
      <c r="W120"/>
      <c r="X120"/>
      <c r="Y120"/>
      <c r="Z120"/>
      <c r="AA120"/>
      <c r="AC120"/>
      <c r="AD120"/>
      <c r="AE120"/>
      <c r="AF120"/>
      <c r="AG120"/>
      <c r="AH120"/>
      <c r="AI120"/>
      <c r="AJ120"/>
      <c r="AK120" s="1"/>
      <c r="AZ120" s="47"/>
      <c r="BA120" s="48"/>
    </row>
    <row r="121" spans="11:53">
      <c r="K121"/>
      <c r="L121"/>
      <c r="M121"/>
      <c r="N121"/>
      <c r="O121"/>
      <c r="P121"/>
      <c r="Q121"/>
      <c r="R121"/>
      <c r="T121"/>
      <c r="U121"/>
      <c r="V121"/>
      <c r="W121"/>
      <c r="X121"/>
      <c r="Y121"/>
      <c r="Z121"/>
      <c r="AA121"/>
      <c r="AC121"/>
      <c r="AD121"/>
      <c r="AE121"/>
      <c r="AF121"/>
      <c r="AG121"/>
      <c r="AH121"/>
      <c r="AI121"/>
      <c r="AJ121"/>
      <c r="AK121" s="1"/>
      <c r="AZ121" s="47"/>
      <c r="BA121" s="48"/>
    </row>
    <row r="122" spans="11:53">
      <c r="K122"/>
      <c r="L122"/>
      <c r="M122"/>
      <c r="N122"/>
      <c r="O122"/>
      <c r="P122"/>
      <c r="Q122"/>
      <c r="R122"/>
      <c r="T122"/>
      <c r="U122"/>
      <c r="V122"/>
      <c r="W122"/>
      <c r="X122"/>
      <c r="Y122"/>
      <c r="Z122"/>
      <c r="AA122"/>
      <c r="AC122"/>
      <c r="AD122"/>
      <c r="AE122"/>
      <c r="AF122"/>
      <c r="AG122"/>
      <c r="AH122"/>
      <c r="AI122"/>
      <c r="AJ122"/>
      <c r="AK122" s="1"/>
      <c r="AZ122" s="47"/>
      <c r="BA122" s="48"/>
    </row>
    <row r="123" spans="11:53">
      <c r="K123"/>
      <c r="L123"/>
      <c r="M123"/>
      <c r="N123"/>
      <c r="O123"/>
      <c r="P123"/>
      <c r="Q123"/>
      <c r="R123"/>
      <c r="T123"/>
      <c r="U123"/>
      <c r="V123"/>
      <c r="W123"/>
      <c r="X123"/>
      <c r="Y123"/>
      <c r="Z123"/>
      <c r="AA123"/>
      <c r="AC123"/>
      <c r="AD123"/>
      <c r="AE123"/>
      <c r="AF123"/>
      <c r="AG123"/>
      <c r="AH123"/>
      <c r="AI123"/>
      <c r="AJ123"/>
      <c r="AK123" s="1"/>
      <c r="AZ123" s="47"/>
      <c r="BA123" s="48"/>
    </row>
    <row r="124" spans="11:53">
      <c r="K124"/>
      <c r="L124"/>
      <c r="M124"/>
      <c r="N124"/>
      <c r="O124"/>
      <c r="P124"/>
      <c r="Q124"/>
      <c r="R124"/>
      <c r="T124"/>
      <c r="U124"/>
      <c r="V124"/>
      <c r="W124"/>
      <c r="X124"/>
      <c r="Y124"/>
      <c r="Z124"/>
      <c r="AA124"/>
      <c r="AC124"/>
      <c r="AD124"/>
      <c r="AE124"/>
      <c r="AF124"/>
      <c r="AG124"/>
      <c r="AH124"/>
      <c r="AI124"/>
      <c r="AJ124"/>
      <c r="AK124" s="1"/>
      <c r="AZ124" s="47"/>
      <c r="BA124" s="48"/>
    </row>
    <row r="125" spans="11:53">
      <c r="K125"/>
      <c r="L125"/>
      <c r="M125"/>
      <c r="N125"/>
      <c r="O125"/>
      <c r="P125"/>
      <c r="Q125"/>
      <c r="R125"/>
      <c r="T125"/>
      <c r="U125"/>
      <c r="V125"/>
      <c r="W125"/>
      <c r="X125"/>
      <c r="Y125"/>
      <c r="Z125"/>
      <c r="AA125"/>
      <c r="AC125"/>
      <c r="AD125"/>
      <c r="AE125"/>
      <c r="AF125"/>
      <c r="AG125"/>
      <c r="AH125"/>
      <c r="AI125"/>
      <c r="AJ125"/>
      <c r="AK125" s="1"/>
      <c r="AZ125" s="47"/>
      <c r="BA125" s="48"/>
    </row>
    <row r="126" spans="11:53">
      <c r="K126"/>
      <c r="L126"/>
      <c r="M126"/>
      <c r="N126"/>
      <c r="O126"/>
      <c r="P126"/>
      <c r="Q126"/>
      <c r="R126"/>
      <c r="T126"/>
      <c r="U126"/>
      <c r="V126"/>
      <c r="W126"/>
      <c r="X126"/>
      <c r="Y126"/>
      <c r="Z126"/>
      <c r="AA126"/>
      <c r="AC126"/>
      <c r="AD126"/>
      <c r="AE126"/>
      <c r="AF126"/>
      <c r="AG126"/>
      <c r="AH126"/>
      <c r="AI126"/>
      <c r="AJ126"/>
      <c r="AK126" s="1"/>
      <c r="AZ126" s="47"/>
      <c r="BA126" s="48"/>
    </row>
    <row r="127" spans="11:53">
      <c r="K127"/>
      <c r="L127"/>
      <c r="M127"/>
      <c r="N127"/>
      <c r="O127"/>
      <c r="P127"/>
      <c r="Q127"/>
      <c r="R127"/>
      <c r="T127"/>
      <c r="U127"/>
      <c r="V127"/>
      <c r="W127"/>
      <c r="X127"/>
      <c r="Y127"/>
      <c r="Z127"/>
      <c r="AA127"/>
      <c r="AC127"/>
      <c r="AD127"/>
      <c r="AE127"/>
      <c r="AF127"/>
      <c r="AG127"/>
      <c r="AH127"/>
      <c r="AI127"/>
      <c r="AJ127"/>
      <c r="AK127" s="1"/>
      <c r="AZ127" s="47"/>
      <c r="BA127" s="48"/>
    </row>
    <row r="128" spans="11:53">
      <c r="K128"/>
      <c r="L128"/>
      <c r="M128"/>
      <c r="N128"/>
      <c r="O128"/>
      <c r="P128"/>
      <c r="Q128"/>
      <c r="R128"/>
      <c r="T128"/>
      <c r="U128"/>
      <c r="V128"/>
      <c r="W128"/>
      <c r="X128"/>
      <c r="Y128"/>
      <c r="Z128"/>
      <c r="AA128"/>
      <c r="AC128"/>
      <c r="AD128"/>
      <c r="AE128"/>
      <c r="AF128"/>
      <c r="AG128"/>
      <c r="AH128"/>
      <c r="AI128"/>
      <c r="AJ128"/>
      <c r="AK128" s="1"/>
      <c r="AZ128"/>
      <c r="BA128"/>
    </row>
    <row r="129" spans="11:53">
      <c r="K129"/>
      <c r="L129"/>
      <c r="M129"/>
      <c r="N129"/>
      <c r="O129"/>
      <c r="P129"/>
      <c r="Q129"/>
      <c r="R129"/>
      <c r="T129"/>
      <c r="U129"/>
      <c r="V129"/>
      <c r="W129"/>
      <c r="X129"/>
      <c r="Y129"/>
      <c r="Z129"/>
      <c r="AA129"/>
      <c r="AC129"/>
      <c r="AD129"/>
      <c r="AE129"/>
      <c r="AF129"/>
      <c r="AG129"/>
      <c r="AH129"/>
      <c r="AI129"/>
      <c r="AJ129"/>
      <c r="AK129" s="1"/>
      <c r="AZ129"/>
      <c r="BA129"/>
    </row>
    <row r="130" spans="11:53">
      <c r="K130"/>
      <c r="L130"/>
      <c r="M130"/>
      <c r="N130"/>
      <c r="O130"/>
      <c r="P130"/>
      <c r="Q130"/>
      <c r="R130"/>
      <c r="T130"/>
      <c r="U130"/>
      <c r="V130"/>
      <c r="W130"/>
      <c r="X130"/>
      <c r="Y130"/>
      <c r="Z130"/>
      <c r="AA130"/>
      <c r="AC130"/>
      <c r="AD130"/>
      <c r="AE130"/>
      <c r="AF130"/>
      <c r="AG130"/>
      <c r="AH130"/>
      <c r="AI130"/>
      <c r="AJ130"/>
      <c r="AK130" s="1"/>
      <c r="AZ130"/>
      <c r="BA130"/>
    </row>
    <row r="131" spans="11:53">
      <c r="K131"/>
      <c r="L131"/>
      <c r="M131"/>
      <c r="N131"/>
      <c r="O131"/>
      <c r="P131"/>
      <c r="Q131"/>
      <c r="R131"/>
      <c r="T131"/>
      <c r="U131"/>
      <c r="V131"/>
      <c r="W131"/>
      <c r="X131"/>
      <c r="Y131"/>
      <c r="Z131"/>
      <c r="AA131"/>
      <c r="AC131"/>
      <c r="AD131"/>
      <c r="AE131"/>
      <c r="AF131"/>
      <c r="AG131"/>
      <c r="AH131"/>
      <c r="AI131"/>
      <c r="AJ131"/>
      <c r="AZ131"/>
      <c r="BA131"/>
    </row>
    <row r="132" spans="52:53">
      <c r="AZ132"/>
      <c r="BA132"/>
    </row>
    <row r="133" spans="52:53">
      <c r="AZ133"/>
      <c r="BA133"/>
    </row>
    <row r="134" spans="52:53">
      <c r="AZ134"/>
      <c r="BA134"/>
    </row>
    <row r="135" spans="52:53">
      <c r="AZ135"/>
      <c r="BA135"/>
    </row>
    <row r="136" spans="52:53">
      <c r="AZ136"/>
      <c r="BA136"/>
    </row>
    <row r="137" spans="52:53">
      <c r="AZ137"/>
      <c r="BA137"/>
    </row>
    <row r="138" spans="52:53">
      <c r="AZ138"/>
      <c r="BA138"/>
    </row>
    <row r="139" spans="52:53">
      <c r="AZ139"/>
      <c r="BA139"/>
    </row>
    <row r="140" spans="52:53">
      <c r="AZ140"/>
      <c r="BA140"/>
    </row>
    <row r="141" spans="52:53">
      <c r="AZ141"/>
      <c r="BA141"/>
    </row>
    <row r="142" spans="52:53">
      <c r="AZ142"/>
      <c r="BA142"/>
    </row>
    <row r="143" spans="52:53">
      <c r="AZ143"/>
      <c r="BA143"/>
    </row>
    <row r="144" spans="52:53">
      <c r="AZ144"/>
      <c r="BA144"/>
    </row>
    <row r="145" spans="52:53">
      <c r="AZ145"/>
      <c r="BA145"/>
    </row>
    <row r="146" spans="52:53">
      <c r="AZ146"/>
      <c r="BA146"/>
    </row>
  </sheetData>
  <autoFilter ref="B1:BC135">
    <extLst/>
  </autoFilter>
  <conditionalFormatting sqref="AT3">
    <cfRule type="duplicateValues" dxfId="984" priority="1"/>
  </conditionalFormatting>
  <conditionalFormatting sqref="AW3">
    <cfRule type="duplicateValues" dxfId="984" priority="3"/>
  </conditionalFormatting>
  <conditionalFormatting sqref="AZ52:AZ53">
    <cfRule type="duplicateValues" dxfId="984" priority="4"/>
  </conditionalFormatting>
  <pageMargins left="0.75" right="0.75" top="1" bottom="1" header="0.5" footer="0.5"/>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tabColor rgb="FF00B0F0"/>
  </sheetPr>
  <dimension ref="A1:BJ242"/>
  <sheetViews>
    <sheetView tabSelected="1" workbookViewId="0">
      <selection activeCell="BC38" sqref="BC38"/>
    </sheetView>
  </sheetViews>
  <sheetFormatPr defaultColWidth="9" defaultRowHeight="12.9"/>
  <cols>
    <col min="1" max="1" width="16.2201834862385" style="1" customWidth="1"/>
    <col min="2" max="36" width="10.4403669724771" style="1" hidden="1" customWidth="1"/>
    <col min="37" max="43" width="10.4403669724771" style="1"/>
    <col min="44" max="51" width="9" style="1"/>
    <col min="52" max="52" width="9.6697247706422" style="1"/>
    <col min="53" max="53" width="9" style="1"/>
    <col min="54" max="54" width="10.8899082568807" style="1" customWidth="1"/>
    <col min="55" max="55" width="9" style="1"/>
    <col min="56" max="56" width="10" style="2" customWidth="1"/>
    <col min="57" max="57" width="11.2477064220183" style="1" customWidth="1"/>
    <col min="58" max="16384" width="9" style="1"/>
  </cols>
  <sheetData>
    <row r="1" spans="1:62">
      <c r="A1" s="3" t="s">
        <v>3468</v>
      </c>
      <c r="B1" s="4">
        <v>44848</v>
      </c>
      <c r="C1" s="4">
        <v>44855</v>
      </c>
      <c r="D1" s="4">
        <v>44862</v>
      </c>
      <c r="E1" s="4">
        <v>44876</v>
      </c>
      <c r="F1" s="4">
        <v>44883</v>
      </c>
      <c r="G1" s="4">
        <v>44890</v>
      </c>
      <c r="H1" s="4">
        <v>44896</v>
      </c>
      <c r="I1" s="4">
        <v>44904</v>
      </c>
      <c r="J1" s="4">
        <v>44911</v>
      </c>
      <c r="K1" s="4">
        <v>44918</v>
      </c>
      <c r="L1" s="4">
        <v>44925</v>
      </c>
      <c r="M1" s="4">
        <v>44939</v>
      </c>
      <c r="N1" s="4">
        <v>44946</v>
      </c>
      <c r="O1" s="4">
        <v>44954</v>
      </c>
      <c r="P1" s="4">
        <v>44967</v>
      </c>
      <c r="Q1" s="4">
        <v>44974</v>
      </c>
      <c r="R1" s="4">
        <v>44981</v>
      </c>
      <c r="S1" s="4">
        <v>44995</v>
      </c>
      <c r="T1" s="4">
        <v>45002</v>
      </c>
      <c r="U1" s="4">
        <v>45009</v>
      </c>
      <c r="V1" s="4">
        <v>45016</v>
      </c>
      <c r="W1" s="4">
        <v>45030</v>
      </c>
      <c r="X1" s="4">
        <v>45037</v>
      </c>
      <c r="Y1" s="4">
        <v>45044</v>
      </c>
      <c r="Z1" s="4">
        <v>45058</v>
      </c>
      <c r="AA1" s="4">
        <v>45065</v>
      </c>
      <c r="AB1" s="4">
        <v>45072</v>
      </c>
      <c r="AC1" s="4">
        <v>45086</v>
      </c>
      <c r="AD1" s="4">
        <v>45093</v>
      </c>
      <c r="AE1" s="4">
        <v>45107</v>
      </c>
      <c r="AF1" s="4">
        <v>45114</v>
      </c>
      <c r="AG1" s="4">
        <v>45121</v>
      </c>
      <c r="AH1" s="4">
        <v>45128</v>
      </c>
      <c r="AI1" s="4">
        <v>45135</v>
      </c>
      <c r="AJ1" s="4">
        <v>45149</v>
      </c>
      <c r="AK1" s="4">
        <v>45156</v>
      </c>
      <c r="AL1" s="4">
        <v>45163</v>
      </c>
      <c r="AM1" s="4">
        <v>45170</v>
      </c>
      <c r="AN1" s="4">
        <v>45184</v>
      </c>
      <c r="AO1" s="4">
        <v>45191</v>
      </c>
      <c r="AP1" s="4">
        <v>45212</v>
      </c>
      <c r="AQ1" s="4">
        <v>45219</v>
      </c>
      <c r="AZ1" s="22">
        <v>45170</v>
      </c>
      <c r="BA1" s="1" t="s">
        <v>3469</v>
      </c>
      <c r="BB1" s="1" t="s">
        <v>3470</v>
      </c>
      <c r="BC1" s="1" t="s">
        <v>3471</v>
      </c>
      <c r="BD1" s="2" t="s">
        <v>3472</v>
      </c>
      <c r="BE1" s="24"/>
      <c r="BF1" s="22"/>
      <c r="BJ1" s="2"/>
    </row>
    <row r="2" spans="1:62">
      <c r="A2" s="5" t="s">
        <v>3470</v>
      </c>
      <c r="B2" s="6">
        <v>118</v>
      </c>
      <c r="C2" s="6">
        <v>109</v>
      </c>
      <c r="D2" s="6">
        <v>91</v>
      </c>
      <c r="E2" s="6">
        <v>73</v>
      </c>
      <c r="F2" s="6">
        <v>69</v>
      </c>
      <c r="G2" s="6">
        <v>67</v>
      </c>
      <c r="H2" s="6">
        <v>66</v>
      </c>
      <c r="I2" s="6">
        <v>74</v>
      </c>
      <c r="J2" s="6">
        <v>71</v>
      </c>
      <c r="K2" s="6">
        <v>99</v>
      </c>
      <c r="L2" s="6">
        <v>101</v>
      </c>
      <c r="M2" s="6">
        <v>107</v>
      </c>
      <c r="N2" s="6">
        <v>102</v>
      </c>
      <c r="O2" s="6">
        <v>92</v>
      </c>
      <c r="P2" s="6">
        <v>85</v>
      </c>
      <c r="Q2" s="6">
        <v>113</v>
      </c>
      <c r="R2" s="6">
        <v>114</v>
      </c>
      <c r="S2" s="6">
        <v>127</v>
      </c>
      <c r="T2" s="6">
        <v>125</v>
      </c>
      <c r="U2" s="6">
        <v>123</v>
      </c>
      <c r="V2" s="6">
        <v>123</v>
      </c>
      <c r="W2" s="6">
        <v>123</v>
      </c>
      <c r="X2" s="6">
        <v>123</v>
      </c>
      <c r="Y2" s="6">
        <v>122</v>
      </c>
      <c r="Z2" s="6">
        <v>131</v>
      </c>
      <c r="AA2" s="6">
        <v>128</v>
      </c>
      <c r="AB2" s="6">
        <v>132</v>
      </c>
      <c r="AC2" s="6">
        <v>130</v>
      </c>
      <c r="AD2" s="6">
        <v>128</v>
      </c>
      <c r="AE2" s="6">
        <v>121</v>
      </c>
      <c r="AF2" s="6">
        <v>123</v>
      </c>
      <c r="AG2" s="6">
        <v>123</v>
      </c>
      <c r="AH2" s="6">
        <v>123</v>
      </c>
      <c r="AI2" s="6">
        <v>120</v>
      </c>
      <c r="AJ2" s="6">
        <v>122</v>
      </c>
      <c r="AK2" s="6">
        <v>119</v>
      </c>
      <c r="AL2" s="6">
        <v>122</v>
      </c>
      <c r="AM2" s="6">
        <v>122</v>
      </c>
      <c r="AN2" s="6">
        <v>123</v>
      </c>
      <c r="AO2" s="6">
        <v>126</v>
      </c>
      <c r="AP2" s="6">
        <v>126</v>
      </c>
      <c r="AQ2" s="6">
        <v>121</v>
      </c>
      <c r="AZ2" s="23" t="s">
        <v>3473</v>
      </c>
      <c r="BA2" s="1" t="s">
        <v>1786</v>
      </c>
      <c r="BB2" s="1">
        <f>AM$3</f>
        <v>95</v>
      </c>
      <c r="BC2" s="1">
        <f>AM$7</f>
        <v>20</v>
      </c>
      <c r="BD2" s="2">
        <f>1-BC2/BB2</f>
        <v>0.789473684210526</v>
      </c>
      <c r="BJ2" s="2"/>
    </row>
    <row r="3" spans="1:62">
      <c r="A3" s="7" t="s">
        <v>3474</v>
      </c>
      <c r="B3" s="8">
        <f t="shared" ref="B3:H3" si="0">B2-B6</f>
        <v>13</v>
      </c>
      <c r="C3" s="8">
        <f t="shared" si="0"/>
        <v>13</v>
      </c>
      <c r="D3" s="8">
        <f t="shared" si="0"/>
        <v>13</v>
      </c>
      <c r="E3" s="8">
        <f t="shared" si="0"/>
        <v>11</v>
      </c>
      <c r="F3" s="8">
        <f t="shared" si="0"/>
        <v>11</v>
      </c>
      <c r="G3" s="8">
        <f t="shared" si="0"/>
        <v>11</v>
      </c>
      <c r="H3" s="8">
        <f t="shared" si="0"/>
        <v>11</v>
      </c>
      <c r="I3" s="8">
        <f t="shared" ref="I3:X3" si="1">I4+I5</f>
        <v>10</v>
      </c>
      <c r="J3" s="8">
        <f t="shared" si="1"/>
        <v>7</v>
      </c>
      <c r="K3" s="8">
        <f t="shared" si="1"/>
        <v>7</v>
      </c>
      <c r="L3" s="8">
        <f t="shared" si="1"/>
        <v>7</v>
      </c>
      <c r="M3" s="8">
        <f t="shared" si="1"/>
        <v>10</v>
      </c>
      <c r="N3" s="8">
        <f t="shared" si="1"/>
        <v>13</v>
      </c>
      <c r="O3" s="8">
        <f t="shared" si="1"/>
        <v>30</v>
      </c>
      <c r="P3" s="8">
        <f t="shared" si="1"/>
        <v>41</v>
      </c>
      <c r="Q3" s="8">
        <f t="shared" si="1"/>
        <v>42</v>
      </c>
      <c r="R3" s="8">
        <f t="shared" si="1"/>
        <v>41</v>
      </c>
      <c r="S3" s="8">
        <f t="shared" si="1"/>
        <v>89</v>
      </c>
      <c r="T3" s="8">
        <f t="shared" si="1"/>
        <v>70</v>
      </c>
      <c r="U3" s="8">
        <f t="shared" si="1"/>
        <v>71</v>
      </c>
      <c r="V3" s="8">
        <f t="shared" si="1"/>
        <v>88</v>
      </c>
      <c r="W3" s="8">
        <f t="shared" si="1"/>
        <v>96</v>
      </c>
      <c r="X3" s="8">
        <f t="shared" ref="X3:AQ3" si="2">X2-X6</f>
        <v>94</v>
      </c>
      <c r="Y3" s="8">
        <f t="shared" si="2"/>
        <v>93</v>
      </c>
      <c r="Z3" s="8">
        <f t="shared" si="2"/>
        <v>94</v>
      </c>
      <c r="AA3" s="8">
        <f t="shared" si="2"/>
        <v>94</v>
      </c>
      <c r="AB3" s="8">
        <f t="shared" si="2"/>
        <v>94</v>
      </c>
      <c r="AC3" s="8">
        <f t="shared" si="2"/>
        <v>96</v>
      </c>
      <c r="AD3" s="8">
        <f t="shared" si="2"/>
        <v>102</v>
      </c>
      <c r="AE3" s="8">
        <f t="shared" si="2"/>
        <v>95</v>
      </c>
      <c r="AF3" s="8">
        <f t="shared" si="2"/>
        <v>97</v>
      </c>
      <c r="AG3" s="8">
        <f t="shared" si="2"/>
        <v>97</v>
      </c>
      <c r="AH3" s="8">
        <f t="shared" si="2"/>
        <v>97</v>
      </c>
      <c r="AI3" s="8">
        <f t="shared" si="2"/>
        <v>93</v>
      </c>
      <c r="AJ3" s="8">
        <f t="shared" si="2"/>
        <v>96</v>
      </c>
      <c r="AK3" s="8">
        <f t="shared" si="2"/>
        <v>95</v>
      </c>
      <c r="AL3" s="8">
        <f t="shared" si="2"/>
        <v>95</v>
      </c>
      <c r="AM3" s="8">
        <f t="shared" si="2"/>
        <v>95</v>
      </c>
      <c r="AN3" s="8">
        <f t="shared" si="2"/>
        <v>100</v>
      </c>
      <c r="AO3" s="8">
        <f t="shared" si="2"/>
        <v>101</v>
      </c>
      <c r="AP3" s="8">
        <f t="shared" si="2"/>
        <v>100</v>
      </c>
      <c r="AQ3" s="8">
        <f t="shared" si="2"/>
        <v>95</v>
      </c>
      <c r="AZ3" s="23" t="s">
        <v>3475</v>
      </c>
      <c r="BA3" s="1" t="s">
        <v>1786</v>
      </c>
      <c r="BB3" s="1">
        <f>AM$102+AM$174</f>
        <v>122</v>
      </c>
      <c r="BC3" s="1">
        <f>AM$106+AM$178</f>
        <v>38</v>
      </c>
      <c r="BD3" s="2">
        <f>1-BC3/BB3</f>
        <v>0.688524590163934</v>
      </c>
      <c r="BJ3" s="2"/>
    </row>
    <row r="4" spans="1:62">
      <c r="A4" s="9" t="s">
        <v>2851</v>
      </c>
      <c r="B4" s="6"/>
      <c r="C4" s="6"/>
      <c r="D4" s="6"/>
      <c r="E4" s="6"/>
      <c r="F4" s="6"/>
      <c r="G4" s="6"/>
      <c r="H4" s="6"/>
      <c r="I4" s="6">
        <v>10</v>
      </c>
      <c r="J4" s="6">
        <v>7</v>
      </c>
      <c r="K4" s="6">
        <v>7</v>
      </c>
      <c r="L4" s="6">
        <v>7</v>
      </c>
      <c r="M4" s="6">
        <v>6</v>
      </c>
      <c r="N4" s="6">
        <v>6</v>
      </c>
      <c r="O4" s="6">
        <v>7</v>
      </c>
      <c r="P4" s="6">
        <v>6</v>
      </c>
      <c r="Q4" s="6">
        <v>6</v>
      </c>
      <c r="R4" s="6">
        <v>4</v>
      </c>
      <c r="S4" s="6">
        <v>5</v>
      </c>
      <c r="T4" s="6">
        <v>3</v>
      </c>
      <c r="U4" s="6">
        <v>3</v>
      </c>
      <c r="V4" s="6">
        <v>4</v>
      </c>
      <c r="W4" s="6">
        <v>0</v>
      </c>
      <c r="X4" s="6"/>
      <c r="Y4" s="6"/>
      <c r="Z4" s="6"/>
      <c r="AA4" s="6"/>
      <c r="AB4" s="6"/>
      <c r="AC4" s="6"/>
      <c r="AD4" s="6"/>
      <c r="AE4" s="6"/>
      <c r="AF4" s="6"/>
      <c r="AG4" s="6"/>
      <c r="AH4" s="6"/>
      <c r="AI4" s="6"/>
      <c r="AJ4" s="6"/>
      <c r="AK4" s="6"/>
      <c r="AL4" s="6"/>
      <c r="AM4" s="6"/>
      <c r="AN4" s="6"/>
      <c r="AO4" s="6"/>
      <c r="AP4" s="6"/>
      <c r="AQ4" s="6"/>
      <c r="AZ4" s="23" t="s">
        <v>3476</v>
      </c>
      <c r="BA4" s="1" t="s">
        <v>948</v>
      </c>
      <c r="BB4" s="1">
        <f>AM$30+AM$54</f>
        <v>263</v>
      </c>
      <c r="BC4" s="1">
        <f>AM$34+AM$56</f>
        <v>45</v>
      </c>
      <c r="BD4" s="2">
        <f>1-BC4/BB4</f>
        <v>0.828897338403042</v>
      </c>
      <c r="BJ4" s="2"/>
    </row>
    <row r="5" spans="1:62">
      <c r="A5" s="9" t="s">
        <v>1786</v>
      </c>
      <c r="B5" s="6"/>
      <c r="C5" s="6"/>
      <c r="D5" s="6"/>
      <c r="E5" s="6"/>
      <c r="F5" s="6"/>
      <c r="G5" s="6"/>
      <c r="H5" s="6"/>
      <c r="I5" s="6">
        <v>0</v>
      </c>
      <c r="J5" s="6">
        <v>0</v>
      </c>
      <c r="K5" s="6">
        <v>0</v>
      </c>
      <c r="L5" s="6">
        <v>0</v>
      </c>
      <c r="M5" s="6">
        <v>4</v>
      </c>
      <c r="N5" s="6">
        <v>7</v>
      </c>
      <c r="O5" s="6">
        <v>23</v>
      </c>
      <c r="P5" s="6">
        <v>35</v>
      </c>
      <c r="Q5" s="6">
        <v>36</v>
      </c>
      <c r="R5" s="6">
        <v>37</v>
      </c>
      <c r="S5" s="6">
        <v>84</v>
      </c>
      <c r="T5" s="6">
        <v>67</v>
      </c>
      <c r="U5" s="6">
        <f>74-6</f>
        <v>68</v>
      </c>
      <c r="V5" s="6">
        <f>84</f>
        <v>84</v>
      </c>
      <c r="W5" s="6">
        <v>96</v>
      </c>
      <c r="X5" s="6"/>
      <c r="Y5" s="6"/>
      <c r="Z5" s="6"/>
      <c r="AA5" s="6"/>
      <c r="AB5" s="6"/>
      <c r="AC5" s="6"/>
      <c r="AD5" s="6"/>
      <c r="AE5" s="6"/>
      <c r="AF5" s="6"/>
      <c r="AG5" s="6"/>
      <c r="AH5" s="6"/>
      <c r="AI5" s="6"/>
      <c r="AJ5" s="6"/>
      <c r="AK5" s="6"/>
      <c r="AL5" s="6"/>
      <c r="AM5" s="6"/>
      <c r="AN5" s="6"/>
      <c r="AO5" s="6"/>
      <c r="AP5" s="6"/>
      <c r="AQ5" s="6"/>
      <c r="AZ5" s="23" t="s">
        <v>3477</v>
      </c>
      <c r="BA5" s="1" t="s">
        <v>948</v>
      </c>
      <c r="BB5" s="1">
        <f>AM$150</f>
        <v>181</v>
      </c>
      <c r="BC5" s="1">
        <f>AM$154</f>
        <v>47</v>
      </c>
      <c r="BD5" s="2">
        <f>1-BC5/BB5</f>
        <v>0.740331491712707</v>
      </c>
      <c r="BJ5" s="2"/>
    </row>
    <row r="6" spans="1:62">
      <c r="A6" s="9" t="s">
        <v>3478</v>
      </c>
      <c r="B6" s="6">
        <v>105</v>
      </c>
      <c r="C6" s="6">
        <v>96</v>
      </c>
      <c r="D6" s="6">
        <v>78</v>
      </c>
      <c r="E6" s="6">
        <v>62</v>
      </c>
      <c r="F6" s="6">
        <v>58</v>
      </c>
      <c r="G6" s="6">
        <v>56</v>
      </c>
      <c r="H6" s="6">
        <v>55</v>
      </c>
      <c r="I6" s="6">
        <v>64</v>
      </c>
      <c r="J6" s="6">
        <v>64</v>
      </c>
      <c r="K6" s="6">
        <v>92</v>
      </c>
      <c r="L6" s="6">
        <v>94</v>
      </c>
      <c r="M6" s="6">
        <v>97</v>
      </c>
      <c r="N6" s="6">
        <v>89</v>
      </c>
      <c r="O6" s="6">
        <v>62</v>
      </c>
      <c r="P6" s="6">
        <v>44</v>
      </c>
      <c r="Q6" s="6">
        <v>71</v>
      </c>
      <c r="R6" s="6">
        <v>73</v>
      </c>
      <c r="S6" s="6">
        <v>38</v>
      </c>
      <c r="T6" s="6">
        <v>49</v>
      </c>
      <c r="U6" s="6">
        <v>46</v>
      </c>
      <c r="V6" s="6">
        <f>35</f>
        <v>35</v>
      </c>
      <c r="W6" s="6">
        <v>27</v>
      </c>
      <c r="X6" s="6">
        <f>4+25</f>
        <v>29</v>
      </c>
      <c r="Y6" s="6">
        <f>25+4</f>
        <v>29</v>
      </c>
      <c r="Z6" s="6">
        <f>24+13</f>
        <v>37</v>
      </c>
      <c r="AA6" s="6">
        <f>25+9</f>
        <v>34</v>
      </c>
      <c r="AB6" s="6">
        <f>12+26</f>
        <v>38</v>
      </c>
      <c r="AC6" s="6">
        <f>24+10</f>
        <v>34</v>
      </c>
      <c r="AD6" s="6">
        <f>24+2</f>
        <v>26</v>
      </c>
      <c r="AE6" s="6">
        <f>2+24</f>
        <v>26</v>
      </c>
      <c r="AF6" s="6">
        <f>1+1+24</f>
        <v>26</v>
      </c>
      <c r="AG6" s="6">
        <f>2+24</f>
        <v>26</v>
      </c>
      <c r="AH6" s="6">
        <f>2+24</f>
        <v>26</v>
      </c>
      <c r="AI6" s="6">
        <f>24+3</f>
        <v>27</v>
      </c>
      <c r="AJ6" s="6">
        <f>3+23</f>
        <v>26</v>
      </c>
      <c r="AK6" s="6">
        <f>23+1</f>
        <v>24</v>
      </c>
      <c r="AL6" s="6">
        <f>4+23</f>
        <v>27</v>
      </c>
      <c r="AM6" s="6">
        <f>4+23</f>
        <v>27</v>
      </c>
      <c r="AN6" s="6">
        <v>23</v>
      </c>
      <c r="AO6" s="6">
        <f>2+23</f>
        <v>25</v>
      </c>
      <c r="AP6" s="6">
        <v>26</v>
      </c>
      <c r="AQ6" s="6">
        <f>3+23</f>
        <v>26</v>
      </c>
      <c r="BJ6" s="2"/>
    </row>
    <row r="7" spans="1:43">
      <c r="A7" s="7" t="s">
        <v>3471</v>
      </c>
      <c r="B7" s="8">
        <v>6</v>
      </c>
      <c r="C7" s="8">
        <v>5</v>
      </c>
      <c r="D7" s="8">
        <v>6</v>
      </c>
      <c r="E7" s="8">
        <v>7</v>
      </c>
      <c r="F7" s="8">
        <v>5</v>
      </c>
      <c r="G7" s="8">
        <v>5</v>
      </c>
      <c r="H7" s="8">
        <v>5</v>
      </c>
      <c r="I7" s="8">
        <f t="shared" ref="I7:X7" si="3">I8+I9</f>
        <v>5</v>
      </c>
      <c r="J7" s="8">
        <f t="shared" si="3"/>
        <v>4</v>
      </c>
      <c r="K7" s="8">
        <f t="shared" si="3"/>
        <v>4</v>
      </c>
      <c r="L7" s="8">
        <f t="shared" si="3"/>
        <v>3</v>
      </c>
      <c r="M7" s="8">
        <f t="shared" si="3"/>
        <v>6</v>
      </c>
      <c r="N7" s="8">
        <f t="shared" si="3"/>
        <v>7</v>
      </c>
      <c r="O7" s="8">
        <f t="shared" si="3"/>
        <v>11</v>
      </c>
      <c r="P7" s="8">
        <f t="shared" si="3"/>
        <v>10</v>
      </c>
      <c r="Q7" s="8">
        <f t="shared" si="3"/>
        <v>12</v>
      </c>
      <c r="R7" s="8">
        <f t="shared" si="3"/>
        <v>13</v>
      </c>
      <c r="S7" s="8">
        <f t="shared" si="3"/>
        <v>19</v>
      </c>
      <c r="T7" s="8">
        <f t="shared" si="3"/>
        <v>20</v>
      </c>
      <c r="U7" s="8">
        <f t="shared" si="3"/>
        <v>18</v>
      </c>
      <c r="V7" s="8">
        <f t="shared" si="3"/>
        <v>18</v>
      </c>
      <c r="W7" s="8">
        <f t="shared" si="3"/>
        <v>19</v>
      </c>
      <c r="X7" s="8">
        <f>12+1+2</f>
        <v>15</v>
      </c>
      <c r="Y7" s="8">
        <v>14</v>
      </c>
      <c r="Z7" s="8">
        <f>10+1+2</f>
        <v>13</v>
      </c>
      <c r="AA7" s="8">
        <v>11</v>
      </c>
      <c r="AB7" s="8">
        <v>17</v>
      </c>
      <c r="AC7" s="8">
        <f>13+2</f>
        <v>15</v>
      </c>
      <c r="AD7" s="8">
        <v>19</v>
      </c>
      <c r="AE7" s="8">
        <v>18</v>
      </c>
      <c r="AF7" s="8">
        <v>18</v>
      </c>
      <c r="AG7" s="8">
        <v>20</v>
      </c>
      <c r="AH7" s="8">
        <v>17</v>
      </c>
      <c r="AI7" s="8">
        <v>20</v>
      </c>
      <c r="AJ7" s="8">
        <v>23</v>
      </c>
      <c r="AK7" s="8">
        <v>17</v>
      </c>
      <c r="AL7" s="8">
        <v>16</v>
      </c>
      <c r="AM7" s="8">
        <v>20</v>
      </c>
      <c r="AN7" s="8">
        <v>20</v>
      </c>
      <c r="AO7" s="8">
        <v>18</v>
      </c>
      <c r="AP7" s="8">
        <v>17</v>
      </c>
      <c r="AQ7" s="8">
        <v>19</v>
      </c>
    </row>
    <row r="8" spans="1:56">
      <c r="A8" s="9" t="s">
        <v>2851</v>
      </c>
      <c r="B8" s="10"/>
      <c r="C8" s="10"/>
      <c r="D8" s="10"/>
      <c r="E8" s="10"/>
      <c r="F8" s="10"/>
      <c r="G8" s="10"/>
      <c r="H8" s="10"/>
      <c r="I8" s="10">
        <v>5</v>
      </c>
      <c r="J8" s="10">
        <v>4</v>
      </c>
      <c r="K8" s="10">
        <v>4</v>
      </c>
      <c r="L8" s="10">
        <v>3</v>
      </c>
      <c r="M8" s="10">
        <v>5</v>
      </c>
      <c r="N8" s="10">
        <v>5</v>
      </c>
      <c r="O8" s="10">
        <v>6</v>
      </c>
      <c r="P8" s="10">
        <v>2</v>
      </c>
      <c r="Q8" s="10">
        <v>3</v>
      </c>
      <c r="R8" s="10">
        <v>1</v>
      </c>
      <c r="S8" s="10">
        <v>1</v>
      </c>
      <c r="T8" s="10">
        <v>0</v>
      </c>
      <c r="U8" s="10">
        <v>0</v>
      </c>
      <c r="V8" s="10">
        <v>0</v>
      </c>
      <c r="W8" s="10">
        <v>0</v>
      </c>
      <c r="X8" s="10"/>
      <c r="Y8" s="10"/>
      <c r="Z8" s="10"/>
      <c r="AA8" s="10"/>
      <c r="AB8" s="10"/>
      <c r="AC8" s="10"/>
      <c r="AD8" s="10"/>
      <c r="AE8" s="10"/>
      <c r="AF8" s="10"/>
      <c r="AG8" s="10"/>
      <c r="AH8" s="10"/>
      <c r="AI8" s="10"/>
      <c r="AJ8" s="10"/>
      <c r="AK8" s="10"/>
      <c r="AL8" s="10"/>
      <c r="AM8" s="10"/>
      <c r="AN8" s="10"/>
      <c r="AO8" s="10"/>
      <c r="AP8" s="10"/>
      <c r="AQ8" s="10"/>
      <c r="AZ8" s="22">
        <v>45184</v>
      </c>
      <c r="BA8" s="1" t="s">
        <v>3469</v>
      </c>
      <c r="BB8" s="1" t="s">
        <v>3470</v>
      </c>
      <c r="BC8" s="1" t="s">
        <v>3471</v>
      </c>
      <c r="BD8" s="2" t="s">
        <v>3472</v>
      </c>
    </row>
    <row r="9" spans="1:56">
      <c r="A9" s="9" t="s">
        <v>1786</v>
      </c>
      <c r="B9" s="10"/>
      <c r="C9" s="10"/>
      <c r="D9" s="10"/>
      <c r="E9" s="10"/>
      <c r="F9" s="10"/>
      <c r="G9" s="10"/>
      <c r="H9" s="10"/>
      <c r="I9" s="10">
        <v>0</v>
      </c>
      <c r="J9" s="10">
        <v>0</v>
      </c>
      <c r="K9" s="10">
        <v>0</v>
      </c>
      <c r="L9" s="10">
        <v>0</v>
      </c>
      <c r="M9" s="10">
        <v>1</v>
      </c>
      <c r="N9" s="10">
        <v>2</v>
      </c>
      <c r="O9" s="10">
        <v>5</v>
      </c>
      <c r="P9" s="10">
        <v>8</v>
      </c>
      <c r="Q9" s="10">
        <v>9</v>
      </c>
      <c r="R9" s="10">
        <v>12</v>
      </c>
      <c r="S9" s="10">
        <v>18</v>
      </c>
      <c r="T9" s="10">
        <v>20</v>
      </c>
      <c r="U9" s="10">
        <f>19-1</f>
        <v>18</v>
      </c>
      <c r="V9" s="10">
        <v>18</v>
      </c>
      <c r="W9" s="10">
        <v>19</v>
      </c>
      <c r="X9" s="10"/>
      <c r="Y9" s="10"/>
      <c r="Z9" s="10"/>
      <c r="AA9" s="10"/>
      <c r="AB9" s="10"/>
      <c r="AC9" s="10"/>
      <c r="AD9" s="10"/>
      <c r="AE9" s="10"/>
      <c r="AF9" s="10"/>
      <c r="AG9" s="10"/>
      <c r="AH9" s="10"/>
      <c r="AI9" s="10"/>
      <c r="AJ9" s="10"/>
      <c r="AK9" s="10"/>
      <c r="AL9" s="10"/>
      <c r="AM9" s="10"/>
      <c r="AN9" s="10"/>
      <c r="AO9" s="10"/>
      <c r="AP9" s="10"/>
      <c r="AQ9" s="10"/>
      <c r="AZ9" s="23" t="s">
        <v>3473</v>
      </c>
      <c r="BA9" s="1" t="s">
        <v>1786</v>
      </c>
      <c r="BB9" s="1">
        <f>AN$3</f>
        <v>100</v>
      </c>
      <c r="BC9" s="1">
        <f>AN$7</f>
        <v>20</v>
      </c>
      <c r="BD9" s="2">
        <f>IFERROR(1-BC9/BB9,0)</f>
        <v>0.8</v>
      </c>
    </row>
    <row r="10" spans="1:56">
      <c r="A10" s="9" t="s">
        <v>3479</v>
      </c>
      <c r="B10" s="11">
        <f t="shared" ref="B10:AQ10" si="4">B7/B3</f>
        <v>0.461538461538462</v>
      </c>
      <c r="C10" s="11">
        <f t="shared" si="4"/>
        <v>0.384615384615385</v>
      </c>
      <c r="D10" s="11">
        <f t="shared" si="4"/>
        <v>0.461538461538462</v>
      </c>
      <c r="E10" s="11">
        <f t="shared" si="4"/>
        <v>0.636363636363636</v>
      </c>
      <c r="F10" s="11">
        <f t="shared" si="4"/>
        <v>0.454545454545455</v>
      </c>
      <c r="G10" s="11">
        <f t="shared" si="4"/>
        <v>0.454545454545455</v>
      </c>
      <c r="H10" s="11">
        <f t="shared" si="4"/>
        <v>0.454545454545455</v>
      </c>
      <c r="I10" s="11">
        <f t="shared" si="4"/>
        <v>0.5</v>
      </c>
      <c r="J10" s="11">
        <f t="shared" si="4"/>
        <v>0.571428571428571</v>
      </c>
      <c r="K10" s="11">
        <f t="shared" si="4"/>
        <v>0.571428571428571</v>
      </c>
      <c r="L10" s="11">
        <f t="shared" si="4"/>
        <v>0.428571428571429</v>
      </c>
      <c r="M10" s="11">
        <f t="shared" si="4"/>
        <v>0.6</v>
      </c>
      <c r="N10" s="11">
        <f t="shared" si="4"/>
        <v>0.538461538461538</v>
      </c>
      <c r="O10" s="11">
        <f t="shared" si="4"/>
        <v>0.366666666666667</v>
      </c>
      <c r="P10" s="11">
        <f t="shared" si="4"/>
        <v>0.24390243902439</v>
      </c>
      <c r="Q10" s="11">
        <f t="shared" si="4"/>
        <v>0.285714285714286</v>
      </c>
      <c r="R10" s="11">
        <f t="shared" si="4"/>
        <v>0.317073170731707</v>
      </c>
      <c r="S10" s="11">
        <f t="shared" si="4"/>
        <v>0.213483146067416</v>
      </c>
      <c r="T10" s="11">
        <f t="shared" si="4"/>
        <v>0.285714285714286</v>
      </c>
      <c r="U10" s="11">
        <f t="shared" si="4"/>
        <v>0.253521126760563</v>
      </c>
      <c r="V10" s="11">
        <f t="shared" si="4"/>
        <v>0.204545454545455</v>
      </c>
      <c r="W10" s="11">
        <f t="shared" si="4"/>
        <v>0.197916666666667</v>
      </c>
      <c r="X10" s="11">
        <f t="shared" si="4"/>
        <v>0.159574468085106</v>
      </c>
      <c r="Y10" s="11">
        <f t="shared" si="4"/>
        <v>0.150537634408602</v>
      </c>
      <c r="Z10" s="11">
        <f t="shared" si="4"/>
        <v>0.138297872340426</v>
      </c>
      <c r="AA10" s="11">
        <f t="shared" si="4"/>
        <v>0.117021276595745</v>
      </c>
      <c r="AB10" s="11">
        <f t="shared" si="4"/>
        <v>0.180851063829787</v>
      </c>
      <c r="AC10" s="11">
        <f t="shared" si="4"/>
        <v>0.15625</v>
      </c>
      <c r="AD10" s="11">
        <f t="shared" si="4"/>
        <v>0.186274509803922</v>
      </c>
      <c r="AE10" s="11">
        <f t="shared" si="4"/>
        <v>0.189473684210526</v>
      </c>
      <c r="AF10" s="11">
        <f t="shared" si="4"/>
        <v>0.185567010309278</v>
      </c>
      <c r="AG10" s="11">
        <f t="shared" si="4"/>
        <v>0.206185567010309</v>
      </c>
      <c r="AH10" s="11">
        <f t="shared" si="4"/>
        <v>0.175257731958763</v>
      </c>
      <c r="AI10" s="11">
        <f t="shared" si="4"/>
        <v>0.21505376344086</v>
      </c>
      <c r="AJ10" s="11">
        <f t="shared" si="4"/>
        <v>0.239583333333333</v>
      </c>
      <c r="AK10" s="11">
        <f t="shared" si="4"/>
        <v>0.178947368421053</v>
      </c>
      <c r="AL10" s="11">
        <f t="shared" si="4"/>
        <v>0.168421052631579</v>
      </c>
      <c r="AM10" s="11">
        <f t="shared" si="4"/>
        <v>0.210526315789474</v>
      </c>
      <c r="AN10" s="11">
        <f t="shared" si="4"/>
        <v>0.2</v>
      </c>
      <c r="AO10" s="11">
        <f t="shared" si="4"/>
        <v>0.178217821782178</v>
      </c>
      <c r="AP10" s="11">
        <f t="shared" si="4"/>
        <v>0.17</v>
      </c>
      <c r="AQ10" s="11">
        <f t="shared" si="4"/>
        <v>0.2</v>
      </c>
      <c r="AZ10" s="23" t="s">
        <v>3475</v>
      </c>
      <c r="BA10" s="1" t="s">
        <v>1786</v>
      </c>
      <c r="BB10" s="1">
        <f>AN$102+AN$174</f>
        <v>107</v>
      </c>
      <c r="BC10" s="1">
        <f>AN$106+AN$178</f>
        <v>26</v>
      </c>
      <c r="BD10" s="2">
        <f>IFERROR(1-BC10/BB10,0)</f>
        <v>0.757009345794392</v>
      </c>
    </row>
    <row r="11" spans="1:56">
      <c r="A11" s="7" t="s">
        <v>3480</v>
      </c>
      <c r="B11" s="8">
        <v>1177</v>
      </c>
      <c r="C11" s="8">
        <v>1045</v>
      </c>
      <c r="D11" s="8">
        <v>941</v>
      </c>
      <c r="E11" s="8">
        <v>601</v>
      </c>
      <c r="F11" s="8">
        <v>562</v>
      </c>
      <c r="G11" s="8">
        <v>591</v>
      </c>
      <c r="H11" s="8">
        <v>528</v>
      </c>
      <c r="I11" s="8">
        <v>614</v>
      </c>
      <c r="J11" s="8">
        <v>540</v>
      </c>
      <c r="K11" s="8">
        <v>1010</v>
      </c>
      <c r="L11" s="8">
        <v>930</v>
      </c>
      <c r="M11" s="8">
        <v>1468</v>
      </c>
      <c r="N11" s="8">
        <v>1498</v>
      </c>
      <c r="O11" s="8">
        <v>1268</v>
      </c>
      <c r="P11" s="8">
        <v>1289</v>
      </c>
      <c r="Q11" s="8">
        <v>2642</v>
      </c>
      <c r="R11" s="8">
        <v>2700</v>
      </c>
      <c r="S11" s="8">
        <v>3016</v>
      </c>
      <c r="T11" s="8">
        <v>3080</v>
      </c>
      <c r="U11" s="8">
        <v>3190</v>
      </c>
      <c r="V11" s="8">
        <v>2986</v>
      </c>
      <c r="W11" s="8">
        <v>2853</v>
      </c>
      <c r="X11" s="8">
        <v>3277</v>
      </c>
      <c r="Y11" s="8">
        <v>3052</v>
      </c>
      <c r="Z11" s="8">
        <v>3192</v>
      </c>
      <c r="AA11" s="8">
        <v>2988</v>
      </c>
      <c r="AB11" s="8">
        <v>2881</v>
      </c>
      <c r="AC11" s="8">
        <v>3139</v>
      </c>
      <c r="AD11" s="8">
        <v>2942</v>
      </c>
      <c r="AE11" s="8">
        <v>3087</v>
      </c>
      <c r="AF11" s="8">
        <v>2942</v>
      </c>
      <c r="AG11" s="8">
        <v>3046</v>
      </c>
      <c r="AH11" s="8">
        <v>3127</v>
      </c>
      <c r="AI11" s="8">
        <v>2932</v>
      </c>
      <c r="AJ11" s="8">
        <v>2859</v>
      </c>
      <c r="AK11" s="8">
        <v>3107</v>
      </c>
      <c r="AL11" s="8">
        <v>3151</v>
      </c>
      <c r="AM11" s="8">
        <v>2847</v>
      </c>
      <c r="AN11" s="8">
        <v>2843</v>
      </c>
      <c r="AO11" s="8">
        <v>2973</v>
      </c>
      <c r="AP11" s="8">
        <v>2898</v>
      </c>
      <c r="AQ11" s="8">
        <v>2559</v>
      </c>
      <c r="AZ11" s="23" t="s">
        <v>3476</v>
      </c>
      <c r="BA11" s="1" t="s">
        <v>948</v>
      </c>
      <c r="BB11" s="1">
        <f>AN$30+AN$54</f>
        <v>260</v>
      </c>
      <c r="BC11" s="1">
        <f>AN$34+AN$56</f>
        <v>44</v>
      </c>
      <c r="BD11" s="2">
        <f>IFERROR(1-BC11/BB11,0)</f>
        <v>0.830769230769231</v>
      </c>
    </row>
    <row r="12" ht="13.65" spans="1:56">
      <c r="A12" s="12" t="s">
        <v>3472</v>
      </c>
      <c r="B12" s="13">
        <f t="shared" ref="B12:AQ12" si="5">1-B10</f>
        <v>0.538461538461538</v>
      </c>
      <c r="C12" s="13">
        <f t="shared" si="5"/>
        <v>0.615384615384615</v>
      </c>
      <c r="D12" s="13">
        <f t="shared" si="5"/>
        <v>0.538461538461538</v>
      </c>
      <c r="E12" s="13">
        <f t="shared" si="5"/>
        <v>0.363636363636364</v>
      </c>
      <c r="F12" s="13">
        <f t="shared" si="5"/>
        <v>0.545454545454545</v>
      </c>
      <c r="G12" s="13">
        <f t="shared" si="5"/>
        <v>0.545454545454545</v>
      </c>
      <c r="H12" s="13">
        <f t="shared" si="5"/>
        <v>0.545454545454545</v>
      </c>
      <c r="I12" s="13">
        <f t="shared" si="5"/>
        <v>0.5</v>
      </c>
      <c r="J12" s="13">
        <f t="shared" si="5"/>
        <v>0.428571428571429</v>
      </c>
      <c r="K12" s="13">
        <f t="shared" si="5"/>
        <v>0.428571428571429</v>
      </c>
      <c r="L12" s="13">
        <f t="shared" si="5"/>
        <v>0.571428571428571</v>
      </c>
      <c r="M12" s="13">
        <f t="shared" si="5"/>
        <v>0.4</v>
      </c>
      <c r="N12" s="13">
        <f t="shared" si="5"/>
        <v>0.461538461538462</v>
      </c>
      <c r="O12" s="13">
        <f t="shared" si="5"/>
        <v>0.633333333333333</v>
      </c>
      <c r="P12" s="13">
        <f t="shared" si="5"/>
        <v>0.75609756097561</v>
      </c>
      <c r="Q12" s="13">
        <f t="shared" si="5"/>
        <v>0.714285714285714</v>
      </c>
      <c r="R12" s="13">
        <f t="shared" si="5"/>
        <v>0.682926829268293</v>
      </c>
      <c r="S12" s="13">
        <f t="shared" si="5"/>
        <v>0.786516853932584</v>
      </c>
      <c r="T12" s="13">
        <f t="shared" si="5"/>
        <v>0.714285714285714</v>
      </c>
      <c r="U12" s="13">
        <f t="shared" si="5"/>
        <v>0.746478873239437</v>
      </c>
      <c r="V12" s="13">
        <f t="shared" si="5"/>
        <v>0.795454545454545</v>
      </c>
      <c r="W12" s="13">
        <f t="shared" si="5"/>
        <v>0.802083333333333</v>
      </c>
      <c r="X12" s="13">
        <f t="shared" si="5"/>
        <v>0.840425531914894</v>
      </c>
      <c r="Y12" s="13">
        <f t="shared" si="5"/>
        <v>0.849462365591398</v>
      </c>
      <c r="Z12" s="13">
        <f t="shared" si="5"/>
        <v>0.861702127659574</v>
      </c>
      <c r="AA12" s="13">
        <f t="shared" si="5"/>
        <v>0.882978723404255</v>
      </c>
      <c r="AB12" s="13">
        <f t="shared" si="5"/>
        <v>0.819148936170213</v>
      </c>
      <c r="AC12" s="13">
        <f t="shared" si="5"/>
        <v>0.84375</v>
      </c>
      <c r="AD12" s="13">
        <f t="shared" si="5"/>
        <v>0.813725490196078</v>
      </c>
      <c r="AE12" s="13">
        <f t="shared" si="5"/>
        <v>0.810526315789474</v>
      </c>
      <c r="AF12" s="13">
        <f t="shared" si="5"/>
        <v>0.814432989690722</v>
      </c>
      <c r="AG12" s="13">
        <f t="shared" si="5"/>
        <v>0.793814432989691</v>
      </c>
      <c r="AH12" s="13">
        <f t="shared" si="5"/>
        <v>0.824742268041237</v>
      </c>
      <c r="AI12" s="13">
        <f t="shared" si="5"/>
        <v>0.78494623655914</v>
      </c>
      <c r="AJ12" s="13">
        <f t="shared" si="5"/>
        <v>0.760416666666667</v>
      </c>
      <c r="AK12" s="13">
        <f t="shared" si="5"/>
        <v>0.821052631578947</v>
      </c>
      <c r="AL12" s="13">
        <f t="shared" si="5"/>
        <v>0.831578947368421</v>
      </c>
      <c r="AM12" s="13">
        <f t="shared" si="5"/>
        <v>0.789473684210526</v>
      </c>
      <c r="AN12" s="13">
        <f t="shared" si="5"/>
        <v>0.8</v>
      </c>
      <c r="AO12" s="13">
        <f t="shared" si="5"/>
        <v>0.821782178217822</v>
      </c>
      <c r="AP12" s="13">
        <f t="shared" si="5"/>
        <v>0.83</v>
      </c>
      <c r="AQ12" s="13">
        <f t="shared" si="5"/>
        <v>0.8</v>
      </c>
      <c r="AZ12" s="23" t="s">
        <v>3477</v>
      </c>
      <c r="BA12" s="1" t="s">
        <v>948</v>
      </c>
      <c r="BB12" s="1">
        <f>AN$150</f>
        <v>181</v>
      </c>
      <c r="BC12" s="1">
        <f>AN$154</f>
        <v>28</v>
      </c>
      <c r="BD12" s="2">
        <f t="shared" ref="BD12:BD21" si="6">IFERROR(1-BC12/BB12,0)</f>
        <v>0.845303867403315</v>
      </c>
    </row>
    <row r="13" spans="2:56">
      <c r="B13" s="14"/>
      <c r="C13" s="14"/>
      <c r="D13" s="14"/>
      <c r="E13" s="14"/>
      <c r="F13" s="14"/>
      <c r="G13" s="14"/>
      <c r="H13" s="14"/>
      <c r="I13" s="14"/>
      <c r="J13" s="14"/>
      <c r="K13" s="17" t="s">
        <v>3481</v>
      </c>
      <c r="L13" s="17" t="s">
        <v>3482</v>
      </c>
      <c r="M13" s="17" t="s">
        <v>3483</v>
      </c>
      <c r="N13" s="17"/>
      <c r="O13" s="17"/>
      <c r="P13" s="17" t="s">
        <v>3484</v>
      </c>
      <c r="Q13" s="17" t="s">
        <v>3485</v>
      </c>
      <c r="R13" s="17"/>
      <c r="S13" s="17" t="s">
        <v>3486</v>
      </c>
      <c r="T13" s="17" t="s">
        <v>3487</v>
      </c>
      <c r="U13" s="17" t="s">
        <v>3488</v>
      </c>
      <c r="V13" s="17"/>
      <c r="W13" s="17"/>
      <c r="X13" s="17" t="s">
        <v>3489</v>
      </c>
      <c r="Y13" s="17"/>
      <c r="Z13" s="17" t="s">
        <v>3490</v>
      </c>
      <c r="AA13" s="17"/>
      <c r="AB13" s="17"/>
      <c r="AC13" s="17" t="s">
        <v>3491</v>
      </c>
      <c r="AD13" s="17"/>
      <c r="AE13" s="17" t="s">
        <v>3492</v>
      </c>
      <c r="AF13" s="17"/>
      <c r="AG13" s="17" t="s">
        <v>3493</v>
      </c>
      <c r="AH13" s="17" t="s">
        <v>3494</v>
      </c>
      <c r="AI13" s="17"/>
      <c r="AJ13" s="17"/>
      <c r="AK13" s="17" t="s">
        <v>3495</v>
      </c>
      <c r="AL13" s="17"/>
      <c r="AM13" s="17"/>
      <c r="AN13" s="17"/>
      <c r="AO13" s="17" t="s">
        <v>3496</v>
      </c>
      <c r="AP13" s="17"/>
      <c r="AQ13" s="17"/>
      <c r="BA13" s="1" t="s">
        <v>3379</v>
      </c>
      <c r="BB13" s="1">
        <f>AN202</f>
        <v>0</v>
      </c>
      <c r="BC13" s="1">
        <f>AN206</f>
        <v>0</v>
      </c>
      <c r="BD13" s="2">
        <f t="shared" si="6"/>
        <v>0</v>
      </c>
    </row>
    <row r="14" spans="2:43">
      <c r="B14" s="14"/>
      <c r="C14" s="14"/>
      <c r="D14" s="14"/>
      <c r="E14" s="14"/>
      <c r="F14" s="14"/>
      <c r="G14" s="14"/>
      <c r="H14" s="14"/>
      <c r="I14" s="14"/>
      <c r="J14" s="14"/>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row>
    <row r="15" spans="2:43">
      <c r="B15" s="14"/>
      <c r="C15" s="14"/>
      <c r="D15" s="14"/>
      <c r="E15" s="14"/>
      <c r="F15" s="14"/>
      <c r="G15" s="14"/>
      <c r="H15" s="14"/>
      <c r="I15" s="14"/>
      <c r="J15" s="14"/>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row>
    <row r="16" spans="2:56">
      <c r="B16" s="14"/>
      <c r="C16" s="14"/>
      <c r="D16" s="14"/>
      <c r="E16" s="14"/>
      <c r="F16" s="14"/>
      <c r="G16" s="14"/>
      <c r="H16" s="14"/>
      <c r="I16" s="14"/>
      <c r="J16" s="14"/>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Z16" s="22">
        <v>45191</v>
      </c>
      <c r="BA16" s="1" t="s">
        <v>3469</v>
      </c>
      <c r="BB16" s="1" t="s">
        <v>3470</v>
      </c>
      <c r="BC16" s="1" t="s">
        <v>3471</v>
      </c>
      <c r="BD16" s="2" t="s">
        <v>3472</v>
      </c>
    </row>
    <row r="17" spans="2:56">
      <c r="B17" s="14"/>
      <c r="C17" s="14"/>
      <c r="D17" s="14"/>
      <c r="E17" s="14"/>
      <c r="F17" s="14"/>
      <c r="G17" s="14"/>
      <c r="H17" s="14"/>
      <c r="I17" s="14"/>
      <c r="J17" s="14"/>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Z17" s="23" t="s">
        <v>3473</v>
      </c>
      <c r="BA17" s="1" t="s">
        <v>1786</v>
      </c>
      <c r="BB17" s="1">
        <f>AO$3</f>
        <v>101</v>
      </c>
      <c r="BC17" s="1">
        <f>AO$7</f>
        <v>18</v>
      </c>
      <c r="BD17" s="2">
        <f t="shared" si="6"/>
        <v>0.821782178217822</v>
      </c>
    </row>
    <row r="18" spans="2:56">
      <c r="B18" s="14"/>
      <c r="C18" s="14"/>
      <c r="D18" s="14"/>
      <c r="E18" s="14"/>
      <c r="F18" s="14"/>
      <c r="G18" s="14"/>
      <c r="H18" s="14"/>
      <c r="I18" s="14"/>
      <c r="J18" s="14"/>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Z18" s="23" t="s">
        <v>3475</v>
      </c>
      <c r="BA18" s="1" t="s">
        <v>1786</v>
      </c>
      <c r="BB18" s="1">
        <f>AO$102+AO$174</f>
        <v>102</v>
      </c>
      <c r="BC18" s="1">
        <f>AO$106+AO$178</f>
        <v>25</v>
      </c>
      <c r="BD18" s="2">
        <f t="shared" si="6"/>
        <v>0.754901960784314</v>
      </c>
    </row>
    <row r="19" spans="2:56">
      <c r="B19" s="14"/>
      <c r="C19" s="14"/>
      <c r="D19" s="14"/>
      <c r="E19" s="14"/>
      <c r="F19" s="14"/>
      <c r="G19" s="14"/>
      <c r="H19" s="14"/>
      <c r="I19" s="14"/>
      <c r="J19" s="14"/>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Z19" s="23" t="s">
        <v>3476</v>
      </c>
      <c r="BA19" s="1" t="s">
        <v>948</v>
      </c>
      <c r="BB19" s="1">
        <f>AO$30+AO$54</f>
        <v>260</v>
      </c>
      <c r="BC19" s="1">
        <f>AO$34+AO$56</f>
        <v>59</v>
      </c>
      <c r="BD19" s="2">
        <f t="shared" si="6"/>
        <v>0.773076923076923</v>
      </c>
    </row>
    <row r="20" spans="2:56">
      <c r="B20" s="14"/>
      <c r="C20" s="14"/>
      <c r="D20" s="14"/>
      <c r="E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Z20" s="23" t="s">
        <v>3477</v>
      </c>
      <c r="BA20" s="1" t="s">
        <v>948</v>
      </c>
      <c r="BB20" s="1">
        <f>AO$150</f>
        <v>180</v>
      </c>
      <c r="BC20" s="1">
        <f>AO$154</f>
        <v>43</v>
      </c>
      <c r="BD20" s="2">
        <f t="shared" si="6"/>
        <v>0.761111111111111</v>
      </c>
    </row>
    <row r="21" spans="53:56">
      <c r="BA21" s="1" t="s">
        <v>3379</v>
      </c>
      <c r="BB21" s="1">
        <f>AO$202</f>
        <v>0</v>
      </c>
      <c r="BC21" s="1">
        <f>AO$206</f>
        <v>0</v>
      </c>
      <c r="BD21" s="2">
        <f t="shared" si="6"/>
        <v>0</v>
      </c>
    </row>
    <row r="24" spans="52:56">
      <c r="AZ24" s="22">
        <v>45212</v>
      </c>
      <c r="BA24" s="1" t="s">
        <v>3469</v>
      </c>
      <c r="BB24" s="1" t="s">
        <v>3470</v>
      </c>
      <c r="BC24" s="1" t="s">
        <v>3471</v>
      </c>
      <c r="BD24" s="2" t="s">
        <v>3472</v>
      </c>
    </row>
    <row r="25" spans="52:56">
      <c r="AZ25" s="23" t="s">
        <v>3473</v>
      </c>
      <c r="BA25" s="1" t="s">
        <v>1786</v>
      </c>
      <c r="BB25" s="1">
        <f>AP$3</f>
        <v>100</v>
      </c>
      <c r="BC25" s="1">
        <f>AP$7</f>
        <v>17</v>
      </c>
      <c r="BD25" s="2">
        <f>IFERROR(1-BC25/BB25,0)</f>
        <v>0.83</v>
      </c>
    </row>
    <row r="26" spans="52:56">
      <c r="AZ26" s="23" t="s">
        <v>3475</v>
      </c>
      <c r="BA26" s="1" t="s">
        <v>1786</v>
      </c>
      <c r="BB26" s="1">
        <f>AP$102+AP$174</f>
        <v>107</v>
      </c>
      <c r="BC26" s="1">
        <f>AP$106+AP$178</f>
        <v>36</v>
      </c>
      <c r="BD26" s="2">
        <f>IFERROR(1-BC26/BB26,0)</f>
        <v>0.663551401869159</v>
      </c>
    </row>
    <row r="27" spans="1:56">
      <c r="A27" s="3" t="s">
        <v>3497</v>
      </c>
      <c r="B27" s="4">
        <v>44848</v>
      </c>
      <c r="C27" s="4">
        <v>44855</v>
      </c>
      <c r="D27" s="4">
        <v>44862</v>
      </c>
      <c r="E27" s="4">
        <v>44876</v>
      </c>
      <c r="F27" s="4">
        <v>44883</v>
      </c>
      <c r="G27" s="4">
        <v>44890</v>
      </c>
      <c r="H27" s="4">
        <v>44896</v>
      </c>
      <c r="I27" s="4">
        <v>44904</v>
      </c>
      <c r="J27" s="4">
        <v>44911</v>
      </c>
      <c r="K27" s="4">
        <v>44918</v>
      </c>
      <c r="L27" s="4">
        <v>44925</v>
      </c>
      <c r="M27" s="4">
        <v>44939</v>
      </c>
      <c r="N27" s="4">
        <v>44946</v>
      </c>
      <c r="O27" s="4">
        <v>44954</v>
      </c>
      <c r="P27" s="4">
        <v>44967</v>
      </c>
      <c r="Q27" s="4">
        <v>44974</v>
      </c>
      <c r="R27" s="4">
        <v>44981</v>
      </c>
      <c r="S27" s="4">
        <v>44995</v>
      </c>
      <c r="T27" s="4">
        <v>45002</v>
      </c>
      <c r="U27" s="4">
        <v>45009</v>
      </c>
      <c r="V27" s="4">
        <v>45016</v>
      </c>
      <c r="W27" s="4">
        <v>45030</v>
      </c>
      <c r="X27" s="4">
        <v>45037</v>
      </c>
      <c r="Y27" s="4">
        <v>45044</v>
      </c>
      <c r="Z27" s="4">
        <v>45058</v>
      </c>
      <c r="AA27" s="4">
        <v>45065</v>
      </c>
      <c r="AB27" s="4">
        <v>45072</v>
      </c>
      <c r="AC27" s="4">
        <v>45086</v>
      </c>
      <c r="AD27" s="4">
        <v>45093</v>
      </c>
      <c r="AE27" s="4">
        <v>45107</v>
      </c>
      <c r="AF27" s="4">
        <v>45114</v>
      </c>
      <c r="AG27" s="4">
        <v>45121</v>
      </c>
      <c r="AH27" s="4">
        <v>45128</v>
      </c>
      <c r="AI27" s="4">
        <v>45135</v>
      </c>
      <c r="AJ27" s="4">
        <v>45149</v>
      </c>
      <c r="AK27" s="4">
        <v>45156</v>
      </c>
      <c r="AL27" s="4">
        <v>45163</v>
      </c>
      <c r="AM27" s="4">
        <v>45170</v>
      </c>
      <c r="AN27" s="4">
        <v>45184</v>
      </c>
      <c r="AO27" s="4">
        <v>45191</v>
      </c>
      <c r="AP27" s="4">
        <v>45212</v>
      </c>
      <c r="AQ27" s="4">
        <v>45219</v>
      </c>
      <c r="AZ27" s="23" t="s">
        <v>3476</v>
      </c>
      <c r="BA27" s="1" t="s">
        <v>948</v>
      </c>
      <c r="BB27" s="1">
        <f>AP$30+AP$54</f>
        <v>235</v>
      </c>
      <c r="BC27" s="1">
        <f>AP$34+AP$56</f>
        <v>48</v>
      </c>
      <c r="BD27" s="2">
        <f>IFERROR(1-BC27/BB27,0)</f>
        <v>0.795744680851064</v>
      </c>
    </row>
    <row r="28" spans="1:56">
      <c r="A28" s="5" t="s">
        <v>3470</v>
      </c>
      <c r="B28" s="6">
        <v>145</v>
      </c>
      <c r="C28" s="6">
        <v>144</v>
      </c>
      <c r="D28" s="6">
        <v>139</v>
      </c>
      <c r="E28" s="6">
        <v>135</v>
      </c>
      <c r="F28" s="6">
        <v>134</v>
      </c>
      <c r="G28" s="6">
        <v>131</v>
      </c>
      <c r="H28" s="6">
        <v>129</v>
      </c>
      <c r="I28" s="6">
        <v>125</v>
      </c>
      <c r="J28" s="6">
        <v>126</v>
      </c>
      <c r="K28" s="6">
        <v>120</v>
      </c>
      <c r="L28" s="6">
        <v>119</v>
      </c>
      <c r="M28" s="6">
        <v>113</v>
      </c>
      <c r="N28" s="6">
        <v>110</v>
      </c>
      <c r="O28" s="6">
        <v>106</v>
      </c>
      <c r="P28" s="6">
        <v>100</v>
      </c>
      <c r="Q28" s="6">
        <v>98</v>
      </c>
      <c r="R28" s="6">
        <v>94</v>
      </c>
      <c r="S28" s="6">
        <v>94</v>
      </c>
      <c r="T28" s="6">
        <v>77</v>
      </c>
      <c r="U28" s="6">
        <v>73</v>
      </c>
      <c r="V28" s="6">
        <v>69</v>
      </c>
      <c r="W28" s="6">
        <v>64</v>
      </c>
      <c r="X28" s="6">
        <v>66</v>
      </c>
      <c r="Y28" s="6">
        <v>62</v>
      </c>
      <c r="Z28" s="6">
        <v>59</v>
      </c>
      <c r="AA28" s="6">
        <v>58</v>
      </c>
      <c r="AB28" s="6">
        <v>59</v>
      </c>
      <c r="AC28" s="6">
        <v>56</v>
      </c>
      <c r="AD28" s="6">
        <v>54</v>
      </c>
      <c r="AE28" s="6">
        <v>55</v>
      </c>
      <c r="AF28" s="6">
        <v>52</v>
      </c>
      <c r="AG28" s="6">
        <v>48</v>
      </c>
      <c r="AH28" s="6">
        <v>45</v>
      </c>
      <c r="AI28" s="6">
        <v>43</v>
      </c>
      <c r="AJ28" s="6">
        <v>42</v>
      </c>
      <c r="AK28" s="6">
        <v>39</v>
      </c>
      <c r="AL28" s="6">
        <v>36</v>
      </c>
      <c r="AM28" s="6">
        <v>35</v>
      </c>
      <c r="AN28" s="6">
        <v>34</v>
      </c>
      <c r="AO28" s="6">
        <v>34</v>
      </c>
      <c r="AP28" s="6">
        <v>18</v>
      </c>
      <c r="AQ28" s="6">
        <v>15</v>
      </c>
      <c r="AZ28" s="23" t="s">
        <v>3477</v>
      </c>
      <c r="BA28" s="1" t="s">
        <v>948</v>
      </c>
      <c r="BB28" s="1">
        <f>AP$150</f>
        <v>198</v>
      </c>
      <c r="BC28" s="1">
        <f>AP$154</f>
        <v>53</v>
      </c>
      <c r="BD28" s="2">
        <f t="shared" ref="BD28:BD39" si="7">IFERROR(1-BC28/BB28,0)</f>
        <v>0.732323232323232</v>
      </c>
    </row>
    <row r="29" spans="1:56">
      <c r="A29" s="7" t="s">
        <v>3474</v>
      </c>
      <c r="B29" s="8">
        <f t="shared" ref="B29:X29" si="8">B28-B32</f>
        <v>145</v>
      </c>
      <c r="C29" s="8">
        <f t="shared" si="8"/>
        <v>144</v>
      </c>
      <c r="D29" s="8">
        <f t="shared" si="8"/>
        <v>139</v>
      </c>
      <c r="E29" s="8">
        <f t="shared" si="8"/>
        <v>135</v>
      </c>
      <c r="F29" s="8">
        <f t="shared" si="8"/>
        <v>134</v>
      </c>
      <c r="G29" s="8">
        <f t="shared" si="8"/>
        <v>131</v>
      </c>
      <c r="H29" s="8">
        <f t="shared" si="8"/>
        <v>129</v>
      </c>
      <c r="I29" s="8">
        <f t="shared" si="8"/>
        <v>125</v>
      </c>
      <c r="J29" s="8">
        <f t="shared" si="8"/>
        <v>126</v>
      </c>
      <c r="K29" s="8">
        <f t="shared" si="8"/>
        <v>120</v>
      </c>
      <c r="L29" s="8">
        <f t="shared" si="8"/>
        <v>119</v>
      </c>
      <c r="M29" s="8">
        <f t="shared" si="8"/>
        <v>113</v>
      </c>
      <c r="N29" s="8">
        <f t="shared" si="8"/>
        <v>110</v>
      </c>
      <c r="O29" s="8">
        <f t="shared" si="8"/>
        <v>106</v>
      </c>
      <c r="P29" s="8">
        <f t="shared" si="8"/>
        <v>100</v>
      </c>
      <c r="Q29" s="8">
        <f t="shared" si="8"/>
        <v>98</v>
      </c>
      <c r="R29" s="8">
        <f t="shared" si="8"/>
        <v>94</v>
      </c>
      <c r="S29" s="8">
        <f t="shared" si="8"/>
        <v>94</v>
      </c>
      <c r="T29" s="8">
        <f t="shared" si="8"/>
        <v>74</v>
      </c>
      <c r="U29" s="8">
        <f t="shared" si="8"/>
        <v>70</v>
      </c>
      <c r="V29" s="8">
        <f t="shared" si="8"/>
        <v>69</v>
      </c>
      <c r="W29" s="8">
        <f t="shared" si="8"/>
        <v>64</v>
      </c>
      <c r="X29" s="8">
        <f t="shared" ref="X29:AF29" si="9">X30+X31</f>
        <v>62</v>
      </c>
      <c r="Y29" s="8">
        <f t="shared" si="9"/>
        <v>60</v>
      </c>
      <c r="Z29" s="8">
        <f t="shared" si="9"/>
        <v>55</v>
      </c>
      <c r="AA29" s="8">
        <f t="shared" si="9"/>
        <v>58</v>
      </c>
      <c r="AB29" s="8">
        <f t="shared" si="9"/>
        <v>59</v>
      </c>
      <c r="AC29" s="8">
        <f t="shared" si="9"/>
        <v>56</v>
      </c>
      <c r="AD29" s="8">
        <f t="shared" si="9"/>
        <v>54</v>
      </c>
      <c r="AE29" s="8">
        <f t="shared" si="9"/>
        <v>55</v>
      </c>
      <c r="AF29" s="8">
        <f t="shared" si="9"/>
        <v>52</v>
      </c>
      <c r="AG29" s="8">
        <f t="shared" ref="AG29:AQ29" si="10">AG28-AG32</f>
        <v>48</v>
      </c>
      <c r="AH29" s="8">
        <f t="shared" si="10"/>
        <v>45</v>
      </c>
      <c r="AI29" s="8">
        <f t="shared" si="10"/>
        <v>43</v>
      </c>
      <c r="AJ29" s="8">
        <f t="shared" si="10"/>
        <v>42</v>
      </c>
      <c r="AK29" s="8">
        <f t="shared" si="10"/>
        <v>39</v>
      </c>
      <c r="AL29" s="8">
        <f t="shared" si="10"/>
        <v>36</v>
      </c>
      <c r="AM29" s="8">
        <f t="shared" si="10"/>
        <v>35</v>
      </c>
      <c r="AN29" s="8">
        <f t="shared" si="10"/>
        <v>34</v>
      </c>
      <c r="AO29" s="8">
        <f t="shared" si="10"/>
        <v>34</v>
      </c>
      <c r="AP29" s="8">
        <f t="shared" si="10"/>
        <v>18</v>
      </c>
      <c r="AQ29" s="8">
        <f t="shared" si="10"/>
        <v>15</v>
      </c>
      <c r="BA29" s="1" t="s">
        <v>3379</v>
      </c>
      <c r="BB29" s="1">
        <f>AP$202</f>
        <v>0</v>
      </c>
      <c r="BC29" s="1">
        <f>AP$206</f>
        <v>0</v>
      </c>
      <c r="BD29" s="2">
        <f t="shared" si="7"/>
        <v>0</v>
      </c>
    </row>
    <row r="30" spans="1:43">
      <c r="A30" s="9" t="s">
        <v>948</v>
      </c>
      <c r="B30" s="6"/>
      <c r="C30" s="6"/>
      <c r="D30" s="6"/>
      <c r="E30" s="6"/>
      <c r="F30" s="6"/>
      <c r="G30" s="6"/>
      <c r="H30" s="6"/>
      <c r="I30" s="6"/>
      <c r="J30" s="6"/>
      <c r="K30" s="6"/>
      <c r="L30" s="6"/>
      <c r="M30" s="6"/>
      <c r="N30" s="6"/>
      <c r="O30" s="6"/>
      <c r="P30" s="6"/>
      <c r="Q30" s="6"/>
      <c r="R30" s="6"/>
      <c r="S30" s="6"/>
      <c r="T30" s="6"/>
      <c r="U30" s="6">
        <v>70</v>
      </c>
      <c r="V30" s="6">
        <v>69</v>
      </c>
      <c r="W30" s="6">
        <v>64</v>
      </c>
      <c r="X30" s="6">
        <v>62</v>
      </c>
      <c r="Y30" s="6">
        <v>60</v>
      </c>
      <c r="Z30" s="6">
        <v>55</v>
      </c>
      <c r="AA30" s="6">
        <v>57</v>
      </c>
      <c r="AB30" s="6">
        <v>58</v>
      </c>
      <c r="AC30" s="6">
        <v>55</v>
      </c>
      <c r="AD30" s="6">
        <v>53</v>
      </c>
      <c r="AE30" s="6">
        <v>54</v>
      </c>
      <c r="AF30" s="6">
        <v>51</v>
      </c>
      <c r="AG30" s="6">
        <v>47</v>
      </c>
      <c r="AH30" s="6">
        <v>44</v>
      </c>
      <c r="AI30" s="6">
        <v>42</v>
      </c>
      <c r="AJ30" s="6">
        <v>41</v>
      </c>
      <c r="AK30" s="6">
        <v>38</v>
      </c>
      <c r="AL30" s="6">
        <v>35</v>
      </c>
      <c r="AM30" s="6">
        <v>34</v>
      </c>
      <c r="AN30" s="6">
        <v>33</v>
      </c>
      <c r="AO30" s="6">
        <v>33</v>
      </c>
      <c r="AP30" s="6">
        <v>17</v>
      </c>
      <c r="AQ30" s="6">
        <v>14</v>
      </c>
    </row>
    <row r="31" spans="1:43">
      <c r="A31" s="15" t="s">
        <v>1431</v>
      </c>
      <c r="B31" s="6"/>
      <c r="C31" s="6"/>
      <c r="D31" s="6"/>
      <c r="E31" s="6"/>
      <c r="F31" s="6"/>
      <c r="G31" s="6"/>
      <c r="H31" s="6"/>
      <c r="I31" s="6"/>
      <c r="J31" s="6"/>
      <c r="K31" s="6"/>
      <c r="L31" s="6"/>
      <c r="M31" s="6"/>
      <c r="N31" s="6"/>
      <c r="O31" s="6"/>
      <c r="P31" s="6"/>
      <c r="Q31" s="6"/>
      <c r="R31" s="6"/>
      <c r="S31" s="6"/>
      <c r="T31" s="6"/>
      <c r="U31" s="6">
        <v>0</v>
      </c>
      <c r="V31" s="6">
        <v>0</v>
      </c>
      <c r="W31" s="6">
        <v>0</v>
      </c>
      <c r="X31" s="6">
        <v>0</v>
      </c>
      <c r="Y31" s="6">
        <v>0</v>
      </c>
      <c r="Z31" s="6">
        <v>0</v>
      </c>
      <c r="AA31" s="6">
        <v>1</v>
      </c>
      <c r="AB31" s="6">
        <v>1</v>
      </c>
      <c r="AC31" s="6">
        <v>1</v>
      </c>
      <c r="AD31" s="6">
        <v>1</v>
      </c>
      <c r="AE31" s="6">
        <v>1</v>
      </c>
      <c r="AF31" s="6">
        <v>1</v>
      </c>
      <c r="AG31" s="6">
        <v>1</v>
      </c>
      <c r="AH31" s="6">
        <v>1</v>
      </c>
      <c r="AI31" s="6">
        <v>1</v>
      </c>
      <c r="AJ31" s="6">
        <v>1</v>
      </c>
      <c r="AK31" s="6">
        <v>1</v>
      </c>
      <c r="AL31" s="6">
        <v>1</v>
      </c>
      <c r="AM31" s="6">
        <v>1</v>
      </c>
      <c r="AN31" s="6">
        <v>1</v>
      </c>
      <c r="AO31" s="6">
        <v>1</v>
      </c>
      <c r="AP31" s="6">
        <v>1</v>
      </c>
      <c r="AQ31" s="6">
        <v>1</v>
      </c>
    </row>
    <row r="32" spans="1:56">
      <c r="A32" s="9" t="s">
        <v>3478</v>
      </c>
      <c r="B32" s="6">
        <v>0</v>
      </c>
      <c r="C32" s="6">
        <v>0</v>
      </c>
      <c r="D32" s="6">
        <v>0</v>
      </c>
      <c r="E32" s="6">
        <v>0</v>
      </c>
      <c r="F32" s="6">
        <v>0</v>
      </c>
      <c r="G32" s="6">
        <v>0</v>
      </c>
      <c r="H32" s="6">
        <v>0</v>
      </c>
      <c r="I32" s="6">
        <v>0</v>
      </c>
      <c r="J32" s="6">
        <v>0</v>
      </c>
      <c r="K32" s="6">
        <v>0</v>
      </c>
      <c r="L32" s="6">
        <v>0</v>
      </c>
      <c r="M32" s="6">
        <v>0</v>
      </c>
      <c r="N32" s="6">
        <v>0</v>
      </c>
      <c r="O32" s="6">
        <v>0</v>
      </c>
      <c r="P32" s="6">
        <v>0</v>
      </c>
      <c r="Q32" s="6">
        <v>0</v>
      </c>
      <c r="R32" s="6">
        <v>0</v>
      </c>
      <c r="S32" s="6">
        <v>0</v>
      </c>
      <c r="T32" s="6">
        <v>3</v>
      </c>
      <c r="U32" s="6">
        <v>3</v>
      </c>
      <c r="V32" s="6">
        <v>0</v>
      </c>
      <c r="W32" s="6">
        <v>0</v>
      </c>
      <c r="X32" s="6">
        <f>3+1</f>
        <v>4</v>
      </c>
      <c r="Y32" s="6">
        <v>2</v>
      </c>
      <c r="Z32" s="6">
        <v>4</v>
      </c>
      <c r="AA32" s="6">
        <v>0</v>
      </c>
      <c r="AB32" s="6">
        <v>0</v>
      </c>
      <c r="AC32" s="6">
        <v>0</v>
      </c>
      <c r="AD32" s="6">
        <v>0</v>
      </c>
      <c r="AE32" s="6">
        <v>0</v>
      </c>
      <c r="AF32" s="6">
        <v>0</v>
      </c>
      <c r="AG32" s="6">
        <v>0</v>
      </c>
      <c r="AH32" s="6">
        <v>0</v>
      </c>
      <c r="AI32" s="6">
        <v>0</v>
      </c>
      <c r="AJ32" s="6">
        <v>0</v>
      </c>
      <c r="AK32" s="6">
        <v>0</v>
      </c>
      <c r="AL32" s="6">
        <v>0</v>
      </c>
      <c r="AM32" s="6">
        <v>0</v>
      </c>
      <c r="AN32" s="6">
        <v>0</v>
      </c>
      <c r="AO32" s="6">
        <v>0</v>
      </c>
      <c r="AP32" s="6">
        <v>0</v>
      </c>
      <c r="AQ32" s="6">
        <v>0</v>
      </c>
      <c r="AZ32" s="22">
        <v>45219</v>
      </c>
      <c r="BA32" s="1" t="s">
        <v>3469</v>
      </c>
      <c r="BB32" s="1" t="s">
        <v>3470</v>
      </c>
      <c r="BC32" s="1" t="s">
        <v>3471</v>
      </c>
      <c r="BD32" s="2" t="s">
        <v>3472</v>
      </c>
    </row>
    <row r="33" spans="1:56">
      <c r="A33" s="7" t="s">
        <v>3471</v>
      </c>
      <c r="B33" s="8">
        <v>27</v>
      </c>
      <c r="C33" s="8">
        <v>28</v>
      </c>
      <c r="D33" s="8">
        <v>18</v>
      </c>
      <c r="E33" s="8">
        <v>19</v>
      </c>
      <c r="F33" s="8">
        <v>25</v>
      </c>
      <c r="G33" s="8">
        <v>32</v>
      </c>
      <c r="H33" s="8">
        <v>26</v>
      </c>
      <c r="I33" s="8">
        <v>29</v>
      </c>
      <c r="J33" s="8">
        <v>30</v>
      </c>
      <c r="K33" s="8">
        <v>30</v>
      </c>
      <c r="L33" s="8">
        <v>27</v>
      </c>
      <c r="M33" s="8">
        <v>22</v>
      </c>
      <c r="N33" s="8">
        <v>27</v>
      </c>
      <c r="O33" s="8">
        <v>24</v>
      </c>
      <c r="P33" s="8">
        <v>19</v>
      </c>
      <c r="Q33" s="8">
        <v>18</v>
      </c>
      <c r="R33" s="8">
        <v>15</v>
      </c>
      <c r="S33" s="8">
        <v>11</v>
      </c>
      <c r="T33" s="8">
        <v>10</v>
      </c>
      <c r="U33" s="8">
        <f t="shared" ref="U33:AQ33" si="11">U34+U35</f>
        <v>15</v>
      </c>
      <c r="V33" s="8">
        <f t="shared" si="11"/>
        <v>10</v>
      </c>
      <c r="W33" s="8">
        <f t="shared" si="11"/>
        <v>6</v>
      </c>
      <c r="X33" s="8">
        <f t="shared" si="11"/>
        <v>6</v>
      </c>
      <c r="Y33" s="8">
        <f t="shared" si="11"/>
        <v>8</v>
      </c>
      <c r="Z33" s="8">
        <f t="shared" si="11"/>
        <v>6</v>
      </c>
      <c r="AA33" s="8">
        <f t="shared" si="11"/>
        <v>9</v>
      </c>
      <c r="AB33" s="8">
        <f t="shared" si="11"/>
        <v>8</v>
      </c>
      <c r="AC33" s="8">
        <f t="shared" si="11"/>
        <v>5</v>
      </c>
      <c r="AD33" s="8">
        <f t="shared" si="11"/>
        <v>3</v>
      </c>
      <c r="AE33" s="8">
        <f t="shared" si="11"/>
        <v>5</v>
      </c>
      <c r="AF33" s="8">
        <f t="shared" si="11"/>
        <v>4</v>
      </c>
      <c r="AG33" s="8">
        <f t="shared" si="11"/>
        <v>6</v>
      </c>
      <c r="AH33" s="8">
        <f t="shared" si="11"/>
        <v>3</v>
      </c>
      <c r="AI33" s="8">
        <f t="shared" si="11"/>
        <v>6</v>
      </c>
      <c r="AJ33" s="8">
        <f t="shared" si="11"/>
        <v>6</v>
      </c>
      <c r="AK33" s="8">
        <f t="shared" si="11"/>
        <v>6</v>
      </c>
      <c r="AL33" s="8">
        <f t="shared" si="11"/>
        <v>5</v>
      </c>
      <c r="AM33" s="8">
        <f t="shared" si="11"/>
        <v>6</v>
      </c>
      <c r="AN33" s="8">
        <f t="shared" si="11"/>
        <v>5</v>
      </c>
      <c r="AO33" s="8">
        <f t="shared" si="11"/>
        <v>5</v>
      </c>
      <c r="AP33" s="8">
        <f t="shared" si="11"/>
        <v>5</v>
      </c>
      <c r="AQ33" s="8">
        <f t="shared" si="11"/>
        <v>5</v>
      </c>
      <c r="AZ33" s="23" t="s">
        <v>3473</v>
      </c>
      <c r="BA33" s="1" t="s">
        <v>1786</v>
      </c>
      <c r="BB33" s="1">
        <f>AQ$3</f>
        <v>95</v>
      </c>
      <c r="BC33" s="1">
        <f>AQ$7</f>
        <v>19</v>
      </c>
      <c r="BD33" s="2">
        <f t="shared" si="7"/>
        <v>0.8</v>
      </c>
    </row>
    <row r="34" spans="1:56">
      <c r="A34" s="9" t="s">
        <v>948</v>
      </c>
      <c r="B34" s="16"/>
      <c r="C34" s="16"/>
      <c r="D34" s="16"/>
      <c r="E34" s="16"/>
      <c r="F34" s="16"/>
      <c r="G34" s="16"/>
      <c r="H34" s="16"/>
      <c r="I34" s="16"/>
      <c r="J34" s="16"/>
      <c r="K34" s="16"/>
      <c r="L34" s="16"/>
      <c r="M34" s="16"/>
      <c r="N34" s="16"/>
      <c r="O34" s="16"/>
      <c r="P34" s="16"/>
      <c r="Q34" s="16"/>
      <c r="R34" s="16"/>
      <c r="S34" s="16"/>
      <c r="T34" s="16"/>
      <c r="U34" s="18">
        <v>15</v>
      </c>
      <c r="V34" s="19">
        <v>10</v>
      </c>
      <c r="W34" s="19">
        <v>6</v>
      </c>
      <c r="X34" s="19">
        <f>2+2+2</f>
        <v>6</v>
      </c>
      <c r="Y34" s="19">
        <v>8</v>
      </c>
      <c r="Z34" s="19">
        <v>6</v>
      </c>
      <c r="AA34" s="19">
        <v>9</v>
      </c>
      <c r="AB34" s="19">
        <v>8</v>
      </c>
      <c r="AC34" s="19">
        <v>5</v>
      </c>
      <c r="AD34" s="19">
        <v>3</v>
      </c>
      <c r="AE34" s="19">
        <v>5</v>
      </c>
      <c r="AF34" s="19">
        <v>4</v>
      </c>
      <c r="AG34" s="19">
        <v>6</v>
      </c>
      <c r="AH34" s="19">
        <v>2</v>
      </c>
      <c r="AI34" s="19">
        <v>5</v>
      </c>
      <c r="AJ34" s="19">
        <v>5</v>
      </c>
      <c r="AK34" s="19">
        <v>5</v>
      </c>
      <c r="AL34" s="19">
        <v>4</v>
      </c>
      <c r="AM34" s="19">
        <v>5</v>
      </c>
      <c r="AN34" s="19">
        <v>4</v>
      </c>
      <c r="AO34" s="19">
        <v>5</v>
      </c>
      <c r="AP34" s="19">
        <v>4</v>
      </c>
      <c r="AQ34" s="19">
        <v>4</v>
      </c>
      <c r="AZ34" s="23" t="s">
        <v>3475</v>
      </c>
      <c r="BA34" s="1" t="s">
        <v>1786</v>
      </c>
      <c r="BB34" s="1">
        <f>AQ$102+AQ$174</f>
        <v>93</v>
      </c>
      <c r="BC34" s="1">
        <f>AQ$106+AQ$178</f>
        <v>34</v>
      </c>
      <c r="BD34" s="2">
        <f t="shared" si="7"/>
        <v>0.634408602150538</v>
      </c>
    </row>
    <row r="35" spans="1:56">
      <c r="A35" s="15" t="s">
        <v>1431</v>
      </c>
      <c r="B35" s="16"/>
      <c r="C35" s="16"/>
      <c r="D35" s="16"/>
      <c r="E35" s="16"/>
      <c r="F35" s="16"/>
      <c r="G35" s="16"/>
      <c r="H35" s="16"/>
      <c r="I35" s="16"/>
      <c r="J35" s="16"/>
      <c r="K35" s="16"/>
      <c r="L35" s="16"/>
      <c r="M35" s="16"/>
      <c r="N35" s="16"/>
      <c r="O35" s="16"/>
      <c r="P35" s="16"/>
      <c r="Q35" s="16"/>
      <c r="R35" s="16"/>
      <c r="S35" s="16"/>
      <c r="T35" s="16"/>
      <c r="U35" s="20">
        <v>0</v>
      </c>
      <c r="V35" s="20">
        <v>0</v>
      </c>
      <c r="W35" s="20">
        <v>0</v>
      </c>
      <c r="X35" s="20">
        <v>0</v>
      </c>
      <c r="Y35" s="20">
        <v>0</v>
      </c>
      <c r="Z35" s="20">
        <v>0</v>
      </c>
      <c r="AA35" s="20">
        <v>0</v>
      </c>
      <c r="AB35" s="20">
        <v>0</v>
      </c>
      <c r="AC35" s="20">
        <v>0</v>
      </c>
      <c r="AD35" s="20">
        <v>0</v>
      </c>
      <c r="AE35" s="20">
        <v>0</v>
      </c>
      <c r="AF35" s="20">
        <v>0</v>
      </c>
      <c r="AG35" s="20">
        <v>0</v>
      </c>
      <c r="AH35" s="20">
        <v>1</v>
      </c>
      <c r="AI35" s="19">
        <v>1</v>
      </c>
      <c r="AJ35" s="19">
        <v>1</v>
      </c>
      <c r="AK35" s="19">
        <v>1</v>
      </c>
      <c r="AL35" s="19">
        <v>1</v>
      </c>
      <c r="AM35" s="19">
        <v>1</v>
      </c>
      <c r="AN35" s="19">
        <v>1</v>
      </c>
      <c r="AO35" s="19">
        <v>0</v>
      </c>
      <c r="AP35" s="19">
        <v>1</v>
      </c>
      <c r="AQ35" s="19">
        <v>1</v>
      </c>
      <c r="AZ35" s="23" t="s">
        <v>3476</v>
      </c>
      <c r="BA35" s="1" t="s">
        <v>948</v>
      </c>
      <c r="BB35" s="1">
        <f>AQ$30+AQ$54</f>
        <v>254</v>
      </c>
      <c r="BC35" s="1">
        <f>AQ$34+AQ$56</f>
        <v>45</v>
      </c>
      <c r="BD35" s="2">
        <f t="shared" si="7"/>
        <v>0.822834645669291</v>
      </c>
    </row>
    <row r="36" spans="1:56">
      <c r="A36" s="9" t="s">
        <v>3479</v>
      </c>
      <c r="B36" s="11">
        <f t="shared" ref="B36:AQ36" si="12">B33/B29</f>
        <v>0.186206896551724</v>
      </c>
      <c r="C36" s="11">
        <f t="shared" si="12"/>
        <v>0.194444444444444</v>
      </c>
      <c r="D36" s="11">
        <f t="shared" si="12"/>
        <v>0.129496402877698</v>
      </c>
      <c r="E36" s="11">
        <f t="shared" si="12"/>
        <v>0.140740740740741</v>
      </c>
      <c r="F36" s="11">
        <f t="shared" si="12"/>
        <v>0.186567164179104</v>
      </c>
      <c r="G36" s="11">
        <f t="shared" si="12"/>
        <v>0.244274809160305</v>
      </c>
      <c r="H36" s="11">
        <f t="shared" si="12"/>
        <v>0.201550387596899</v>
      </c>
      <c r="I36" s="11">
        <f t="shared" si="12"/>
        <v>0.232</v>
      </c>
      <c r="J36" s="11">
        <f t="shared" si="12"/>
        <v>0.238095238095238</v>
      </c>
      <c r="K36" s="11">
        <f t="shared" si="12"/>
        <v>0.25</v>
      </c>
      <c r="L36" s="11">
        <f t="shared" si="12"/>
        <v>0.226890756302521</v>
      </c>
      <c r="M36" s="11">
        <f t="shared" si="12"/>
        <v>0.194690265486726</v>
      </c>
      <c r="N36" s="11">
        <f t="shared" si="12"/>
        <v>0.245454545454545</v>
      </c>
      <c r="O36" s="11">
        <f t="shared" si="12"/>
        <v>0.226415094339623</v>
      </c>
      <c r="P36" s="11">
        <f t="shared" si="12"/>
        <v>0.19</v>
      </c>
      <c r="Q36" s="11">
        <f t="shared" si="12"/>
        <v>0.183673469387755</v>
      </c>
      <c r="R36" s="11">
        <f t="shared" si="12"/>
        <v>0.159574468085106</v>
      </c>
      <c r="S36" s="11">
        <f t="shared" si="12"/>
        <v>0.117021276595745</v>
      </c>
      <c r="T36" s="11">
        <f t="shared" si="12"/>
        <v>0.135135135135135</v>
      </c>
      <c r="U36" s="11">
        <f t="shared" si="12"/>
        <v>0.214285714285714</v>
      </c>
      <c r="V36" s="11">
        <f t="shared" si="12"/>
        <v>0.144927536231884</v>
      </c>
      <c r="W36" s="11">
        <f t="shared" si="12"/>
        <v>0.09375</v>
      </c>
      <c r="X36" s="11">
        <f t="shared" si="12"/>
        <v>0.0967741935483871</v>
      </c>
      <c r="Y36" s="11">
        <f t="shared" si="12"/>
        <v>0.133333333333333</v>
      </c>
      <c r="Z36" s="11">
        <f t="shared" si="12"/>
        <v>0.109090909090909</v>
      </c>
      <c r="AA36" s="11">
        <f t="shared" si="12"/>
        <v>0.155172413793103</v>
      </c>
      <c r="AB36" s="11">
        <f t="shared" si="12"/>
        <v>0.135593220338983</v>
      </c>
      <c r="AC36" s="11">
        <f t="shared" si="12"/>
        <v>0.0892857142857143</v>
      </c>
      <c r="AD36" s="11">
        <f t="shared" si="12"/>
        <v>0.0555555555555556</v>
      </c>
      <c r="AE36" s="11">
        <f t="shared" si="12"/>
        <v>0.0909090909090909</v>
      </c>
      <c r="AF36" s="11">
        <f t="shared" si="12"/>
        <v>0.0769230769230769</v>
      </c>
      <c r="AG36" s="11">
        <f t="shared" si="12"/>
        <v>0.125</v>
      </c>
      <c r="AH36" s="11">
        <f t="shared" si="12"/>
        <v>0.0666666666666667</v>
      </c>
      <c r="AI36" s="11">
        <f t="shared" si="12"/>
        <v>0.13953488372093</v>
      </c>
      <c r="AJ36" s="11">
        <f t="shared" si="12"/>
        <v>0.142857142857143</v>
      </c>
      <c r="AK36" s="11">
        <f t="shared" si="12"/>
        <v>0.153846153846154</v>
      </c>
      <c r="AL36" s="11">
        <f t="shared" si="12"/>
        <v>0.138888888888889</v>
      </c>
      <c r="AM36" s="11">
        <f t="shared" si="12"/>
        <v>0.171428571428571</v>
      </c>
      <c r="AN36" s="11">
        <f t="shared" si="12"/>
        <v>0.147058823529412</v>
      </c>
      <c r="AO36" s="11">
        <f t="shared" si="12"/>
        <v>0.147058823529412</v>
      </c>
      <c r="AP36" s="11">
        <f t="shared" si="12"/>
        <v>0.277777777777778</v>
      </c>
      <c r="AQ36" s="11">
        <f t="shared" si="12"/>
        <v>0.333333333333333</v>
      </c>
      <c r="AZ36" s="23" t="s">
        <v>3477</v>
      </c>
      <c r="BA36" s="1" t="s">
        <v>948</v>
      </c>
      <c r="BB36" s="1">
        <f>AQ$150</f>
        <v>187</v>
      </c>
      <c r="BC36" s="1">
        <f>AQ$154</f>
        <v>40</v>
      </c>
      <c r="BD36" s="2">
        <f t="shared" si="7"/>
        <v>0.786096256684492</v>
      </c>
    </row>
    <row r="37" spans="1:56">
      <c r="A37" s="7" t="s">
        <v>3480</v>
      </c>
      <c r="B37" s="8">
        <v>3813</v>
      </c>
      <c r="C37" s="8">
        <v>3651</v>
      </c>
      <c r="D37" s="8">
        <v>3730</v>
      </c>
      <c r="E37" s="8">
        <v>3446</v>
      </c>
      <c r="F37" s="8">
        <v>3280</v>
      </c>
      <c r="G37" s="8">
        <v>3131</v>
      </c>
      <c r="H37" s="8">
        <v>3304</v>
      </c>
      <c r="I37" s="8">
        <v>3071</v>
      </c>
      <c r="J37" s="8">
        <v>2889</v>
      </c>
      <c r="K37" s="8">
        <v>2761</v>
      </c>
      <c r="L37" s="8">
        <v>2656</v>
      </c>
      <c r="M37" s="8">
        <v>2572</v>
      </c>
      <c r="N37" s="8">
        <v>2388</v>
      </c>
      <c r="O37" s="8">
        <v>2187</v>
      </c>
      <c r="P37" s="8">
        <v>2023</v>
      </c>
      <c r="Q37" s="8">
        <v>1924</v>
      </c>
      <c r="R37" s="8">
        <v>1809</v>
      </c>
      <c r="S37" s="8">
        <v>1418</v>
      </c>
      <c r="T37" s="8">
        <v>1146</v>
      </c>
      <c r="U37" s="8">
        <v>946</v>
      </c>
      <c r="V37" s="21">
        <v>904</v>
      </c>
      <c r="W37" s="21">
        <v>823</v>
      </c>
      <c r="X37" s="21">
        <v>858</v>
      </c>
      <c r="Y37" s="21">
        <v>839</v>
      </c>
      <c r="Z37" s="21">
        <v>843</v>
      </c>
      <c r="AA37" s="21">
        <v>956</v>
      </c>
      <c r="AB37" s="21">
        <v>1075</v>
      </c>
      <c r="AC37" s="21">
        <v>1216</v>
      </c>
      <c r="AD37" s="21">
        <v>1183</v>
      </c>
      <c r="AE37" s="21">
        <v>1121</v>
      </c>
      <c r="AF37" s="21">
        <v>1088</v>
      </c>
      <c r="AG37" s="21">
        <v>999</v>
      </c>
      <c r="AH37" s="21">
        <v>899</v>
      </c>
      <c r="AI37" s="21">
        <v>819</v>
      </c>
      <c r="AJ37" s="21">
        <v>687</v>
      </c>
      <c r="AK37" s="21">
        <v>612</v>
      </c>
      <c r="AL37" s="21">
        <v>547</v>
      </c>
      <c r="AM37" s="21">
        <v>506</v>
      </c>
      <c r="AN37" s="21">
        <v>485</v>
      </c>
      <c r="AO37" s="21">
        <v>232</v>
      </c>
      <c r="AP37" s="21">
        <v>50</v>
      </c>
      <c r="AQ37" s="21">
        <v>29</v>
      </c>
      <c r="AZ37" s="1" t="s">
        <v>3498</v>
      </c>
      <c r="BA37" s="1" t="s">
        <v>3379</v>
      </c>
      <c r="BB37" s="1">
        <f>AQ$202+AQ$225</f>
        <v>4</v>
      </c>
      <c r="BC37" s="1">
        <f>AQ$206+AQ$229</f>
        <v>1</v>
      </c>
      <c r="BD37" s="2">
        <f t="shared" si="7"/>
        <v>0.75</v>
      </c>
    </row>
    <row r="38" ht="13.65" spans="1:56">
      <c r="A38" s="12" t="s">
        <v>3472</v>
      </c>
      <c r="B38" s="13">
        <f t="shared" ref="B38:AQ38" si="13">1-B36</f>
        <v>0.813793103448276</v>
      </c>
      <c r="C38" s="13">
        <f t="shared" si="13"/>
        <v>0.805555555555556</v>
      </c>
      <c r="D38" s="13">
        <f t="shared" si="13"/>
        <v>0.870503597122302</v>
      </c>
      <c r="E38" s="13">
        <f t="shared" si="13"/>
        <v>0.859259259259259</v>
      </c>
      <c r="F38" s="13">
        <f t="shared" si="13"/>
        <v>0.813432835820896</v>
      </c>
      <c r="G38" s="13">
        <f t="shared" si="13"/>
        <v>0.755725190839695</v>
      </c>
      <c r="H38" s="13">
        <f t="shared" si="13"/>
        <v>0.798449612403101</v>
      </c>
      <c r="I38" s="13">
        <f t="shared" si="13"/>
        <v>0.768</v>
      </c>
      <c r="J38" s="13">
        <f t="shared" si="13"/>
        <v>0.761904761904762</v>
      </c>
      <c r="K38" s="13">
        <f t="shared" si="13"/>
        <v>0.75</v>
      </c>
      <c r="L38" s="13">
        <f t="shared" si="13"/>
        <v>0.773109243697479</v>
      </c>
      <c r="M38" s="13">
        <f t="shared" si="13"/>
        <v>0.805309734513274</v>
      </c>
      <c r="N38" s="13">
        <f t="shared" si="13"/>
        <v>0.754545454545455</v>
      </c>
      <c r="O38" s="13">
        <f t="shared" si="13"/>
        <v>0.773584905660377</v>
      </c>
      <c r="P38" s="13">
        <f t="shared" si="13"/>
        <v>0.81</v>
      </c>
      <c r="Q38" s="13">
        <f t="shared" si="13"/>
        <v>0.816326530612245</v>
      </c>
      <c r="R38" s="13">
        <f t="shared" si="13"/>
        <v>0.840425531914894</v>
      </c>
      <c r="S38" s="13">
        <f t="shared" si="13"/>
        <v>0.882978723404255</v>
      </c>
      <c r="T38" s="13">
        <f t="shared" si="13"/>
        <v>0.864864864864865</v>
      </c>
      <c r="U38" s="13">
        <f t="shared" si="13"/>
        <v>0.785714285714286</v>
      </c>
      <c r="V38" s="13">
        <f t="shared" si="13"/>
        <v>0.855072463768116</v>
      </c>
      <c r="W38" s="13">
        <f t="shared" si="13"/>
        <v>0.90625</v>
      </c>
      <c r="X38" s="13">
        <f t="shared" si="13"/>
        <v>0.903225806451613</v>
      </c>
      <c r="Y38" s="13">
        <f t="shared" si="13"/>
        <v>0.866666666666667</v>
      </c>
      <c r="Z38" s="13">
        <f t="shared" si="13"/>
        <v>0.890909090909091</v>
      </c>
      <c r="AA38" s="13">
        <f t="shared" si="13"/>
        <v>0.844827586206897</v>
      </c>
      <c r="AB38" s="13">
        <f t="shared" si="13"/>
        <v>0.864406779661017</v>
      </c>
      <c r="AC38" s="13">
        <f t="shared" si="13"/>
        <v>0.910714285714286</v>
      </c>
      <c r="AD38" s="13">
        <f t="shared" si="13"/>
        <v>0.944444444444444</v>
      </c>
      <c r="AE38" s="13">
        <f t="shared" si="13"/>
        <v>0.909090909090909</v>
      </c>
      <c r="AF38" s="13">
        <f t="shared" si="13"/>
        <v>0.923076923076923</v>
      </c>
      <c r="AG38" s="13">
        <f t="shared" si="13"/>
        <v>0.875</v>
      </c>
      <c r="AH38" s="13">
        <f t="shared" si="13"/>
        <v>0.933333333333333</v>
      </c>
      <c r="AI38" s="13">
        <f t="shared" si="13"/>
        <v>0.86046511627907</v>
      </c>
      <c r="AJ38" s="13">
        <f t="shared" si="13"/>
        <v>0.857142857142857</v>
      </c>
      <c r="AK38" s="13">
        <f t="shared" si="13"/>
        <v>0.846153846153846</v>
      </c>
      <c r="AL38" s="13">
        <f t="shared" si="13"/>
        <v>0.861111111111111</v>
      </c>
      <c r="AM38" s="13">
        <f t="shared" si="13"/>
        <v>0.828571428571429</v>
      </c>
      <c r="AN38" s="13">
        <f t="shared" si="13"/>
        <v>0.852941176470588</v>
      </c>
      <c r="AO38" s="13">
        <f t="shared" si="13"/>
        <v>0.852941176470588</v>
      </c>
      <c r="AP38" s="13">
        <f t="shared" si="13"/>
        <v>0.722222222222222</v>
      </c>
      <c r="AQ38" s="13">
        <f t="shared" si="13"/>
        <v>0.666666666666667</v>
      </c>
      <c r="AZ38" s="23" t="s">
        <v>3499</v>
      </c>
      <c r="BA38" s="1" t="s">
        <v>3500</v>
      </c>
      <c r="BB38" s="1">
        <f>AQ75</f>
        <v>136</v>
      </c>
      <c r="BC38" s="1">
        <f>AQ79</f>
        <v>18</v>
      </c>
      <c r="BD38" s="2">
        <f>IFERROR(1-BC38/BB38,0)</f>
        <v>0.867647058823529</v>
      </c>
    </row>
    <row r="39" spans="2:43">
      <c r="B39" s="17" t="s">
        <v>3501</v>
      </c>
      <c r="C39" s="17"/>
      <c r="D39" s="17" t="s">
        <v>3502</v>
      </c>
      <c r="E39" s="17"/>
      <c r="F39" s="17"/>
      <c r="G39" s="17"/>
      <c r="H39" s="17"/>
      <c r="I39" s="17"/>
      <c r="J39" s="17"/>
      <c r="K39" s="17"/>
      <c r="L39" s="17"/>
      <c r="M39" s="17" t="s">
        <v>3503</v>
      </c>
      <c r="N39" s="17"/>
      <c r="O39" s="17"/>
      <c r="P39" s="17"/>
      <c r="Q39" s="17"/>
      <c r="R39" s="17"/>
      <c r="S39" s="17"/>
      <c r="T39" s="17"/>
      <c r="U39" s="17"/>
      <c r="V39" s="17"/>
      <c r="W39" s="17"/>
      <c r="X39" s="17"/>
      <c r="Y39" s="17"/>
      <c r="Z39" s="17"/>
      <c r="AA39" s="17"/>
      <c r="AB39" s="17"/>
      <c r="AC39" s="17" t="s">
        <v>3504</v>
      </c>
      <c r="AD39" s="17"/>
      <c r="AE39" s="17"/>
      <c r="AF39" s="17"/>
      <c r="AG39" s="17"/>
      <c r="AH39" s="17"/>
      <c r="AI39" s="17"/>
      <c r="AJ39" s="17"/>
      <c r="AK39" s="17"/>
      <c r="AL39" s="17"/>
      <c r="AM39" s="17"/>
      <c r="AN39" s="17"/>
      <c r="AO39" s="17"/>
      <c r="AP39" s="17"/>
      <c r="AQ39" s="17"/>
    </row>
    <row r="40" spans="2:43">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row>
    <row r="41" spans="2:43">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row>
    <row r="42" spans="2:43">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row>
    <row r="43" spans="2:43">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row>
    <row r="44" spans="2:43">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row>
    <row r="45" spans="2:43">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row>
    <row r="52" spans="1:43">
      <c r="A52" s="3" t="s">
        <v>3505</v>
      </c>
      <c r="B52" s="4">
        <v>44848</v>
      </c>
      <c r="C52" s="4">
        <v>44855</v>
      </c>
      <c r="D52" s="4">
        <v>44862</v>
      </c>
      <c r="E52" s="4">
        <v>44876</v>
      </c>
      <c r="F52" s="4">
        <v>44883</v>
      </c>
      <c r="G52" s="4">
        <v>44890</v>
      </c>
      <c r="H52" s="4">
        <v>44896</v>
      </c>
      <c r="I52" s="4">
        <v>44904</v>
      </c>
      <c r="J52" s="4">
        <v>44911</v>
      </c>
      <c r="K52" s="4">
        <v>44918</v>
      </c>
      <c r="L52" s="4">
        <v>44925</v>
      </c>
      <c r="M52" s="4">
        <v>44939</v>
      </c>
      <c r="N52" s="4">
        <v>44946</v>
      </c>
      <c r="O52" s="4">
        <v>44954</v>
      </c>
      <c r="P52" s="4">
        <v>44967</v>
      </c>
      <c r="Q52" s="4">
        <v>44974</v>
      </c>
      <c r="R52" s="4">
        <v>44981</v>
      </c>
      <c r="S52" s="4">
        <v>44995</v>
      </c>
      <c r="T52" s="4">
        <v>45002</v>
      </c>
      <c r="U52" s="4">
        <v>45009</v>
      </c>
      <c r="V52" s="4">
        <v>45016</v>
      </c>
      <c r="W52" s="4">
        <v>45030</v>
      </c>
      <c r="X52" s="4">
        <v>45037</v>
      </c>
      <c r="Y52" s="4">
        <v>45044</v>
      </c>
      <c r="Z52" s="4">
        <v>45058</v>
      </c>
      <c r="AA52" s="4">
        <v>45065</v>
      </c>
      <c r="AB52" s="4">
        <v>45072</v>
      </c>
      <c r="AC52" s="4">
        <v>45086</v>
      </c>
      <c r="AD52" s="4">
        <v>45093</v>
      </c>
      <c r="AE52" s="4">
        <v>45107</v>
      </c>
      <c r="AF52" s="4">
        <v>45114</v>
      </c>
      <c r="AG52" s="4">
        <v>45121</v>
      </c>
      <c r="AH52" s="4">
        <v>45128</v>
      </c>
      <c r="AI52" s="4">
        <v>45135</v>
      </c>
      <c r="AJ52" s="4">
        <v>45149</v>
      </c>
      <c r="AK52" s="4">
        <v>45156</v>
      </c>
      <c r="AL52" s="4">
        <v>45163</v>
      </c>
      <c r="AM52" s="4">
        <v>45170</v>
      </c>
      <c r="AN52" s="4">
        <v>45184</v>
      </c>
      <c r="AO52" s="4">
        <v>45191</v>
      </c>
      <c r="AP52" s="4">
        <v>45212</v>
      </c>
      <c r="AQ52" s="4">
        <v>45219</v>
      </c>
    </row>
    <row r="53" spans="1:43">
      <c r="A53" s="5" t="s">
        <v>3470</v>
      </c>
      <c r="B53" s="6">
        <v>173</v>
      </c>
      <c r="C53" s="6">
        <v>172</v>
      </c>
      <c r="D53" s="6">
        <v>171</v>
      </c>
      <c r="E53" s="6">
        <v>178</v>
      </c>
      <c r="F53" s="6">
        <v>175</v>
      </c>
      <c r="G53" s="6">
        <v>175</v>
      </c>
      <c r="H53" s="6">
        <v>173</v>
      </c>
      <c r="I53" s="6">
        <v>172</v>
      </c>
      <c r="J53" s="6">
        <v>176</v>
      </c>
      <c r="K53" s="6">
        <v>176</v>
      </c>
      <c r="L53" s="6">
        <v>174</v>
      </c>
      <c r="M53" s="6">
        <v>177</v>
      </c>
      <c r="N53" s="6">
        <v>194</v>
      </c>
      <c r="O53" s="6">
        <v>197</v>
      </c>
      <c r="P53" s="6">
        <v>198</v>
      </c>
      <c r="Q53" s="6">
        <v>198</v>
      </c>
      <c r="R53" s="6">
        <v>197</v>
      </c>
      <c r="S53" s="6">
        <v>198</v>
      </c>
      <c r="T53" s="6">
        <v>194</v>
      </c>
      <c r="U53" s="6">
        <v>194</v>
      </c>
      <c r="V53" s="6">
        <v>201</v>
      </c>
      <c r="W53" s="6">
        <v>203</v>
      </c>
      <c r="X53" s="6">
        <v>209</v>
      </c>
      <c r="Y53" s="6">
        <v>210</v>
      </c>
      <c r="Z53" s="6">
        <v>211</v>
      </c>
      <c r="AA53" s="6">
        <v>208</v>
      </c>
      <c r="AB53" s="6">
        <v>225</v>
      </c>
      <c r="AC53" s="6">
        <v>229</v>
      </c>
      <c r="AD53" s="6">
        <v>224</v>
      </c>
      <c r="AE53" s="6">
        <v>230</v>
      </c>
      <c r="AF53" s="6">
        <v>230</v>
      </c>
      <c r="AG53" s="6">
        <v>232</v>
      </c>
      <c r="AH53" s="6">
        <v>230</v>
      </c>
      <c r="AI53" s="6">
        <v>229</v>
      </c>
      <c r="AJ53" s="6">
        <v>232</v>
      </c>
      <c r="AK53" s="6">
        <v>231</v>
      </c>
      <c r="AL53" s="6">
        <v>231</v>
      </c>
      <c r="AM53" s="6">
        <v>230</v>
      </c>
      <c r="AN53" s="6">
        <v>247</v>
      </c>
      <c r="AO53" s="6">
        <v>247</v>
      </c>
      <c r="AP53" s="6">
        <v>246</v>
      </c>
      <c r="AQ53" s="6">
        <v>248</v>
      </c>
    </row>
    <row r="54" spans="1:43">
      <c r="A54" s="7" t="s">
        <v>3474</v>
      </c>
      <c r="B54" s="8">
        <f t="shared" ref="B54:AQ54" si="14">B53-B55</f>
        <v>153</v>
      </c>
      <c r="C54" s="8">
        <f t="shared" si="14"/>
        <v>152</v>
      </c>
      <c r="D54" s="8">
        <f t="shared" si="14"/>
        <v>151</v>
      </c>
      <c r="E54" s="8">
        <f t="shared" si="14"/>
        <v>171</v>
      </c>
      <c r="F54" s="8">
        <f t="shared" si="14"/>
        <v>168</v>
      </c>
      <c r="G54" s="8">
        <f t="shared" si="14"/>
        <v>168</v>
      </c>
      <c r="H54" s="8">
        <f t="shared" si="14"/>
        <v>173</v>
      </c>
      <c r="I54" s="8">
        <f t="shared" si="14"/>
        <v>172</v>
      </c>
      <c r="J54" s="8">
        <f t="shared" si="14"/>
        <v>171</v>
      </c>
      <c r="K54" s="8">
        <f t="shared" si="14"/>
        <v>171</v>
      </c>
      <c r="L54" s="8">
        <f t="shared" si="14"/>
        <v>169</v>
      </c>
      <c r="M54" s="8">
        <f t="shared" si="14"/>
        <v>169</v>
      </c>
      <c r="N54" s="8">
        <f t="shared" si="14"/>
        <v>174</v>
      </c>
      <c r="O54" s="8">
        <f t="shared" si="14"/>
        <v>169</v>
      </c>
      <c r="P54" s="8">
        <f t="shared" si="14"/>
        <v>198</v>
      </c>
      <c r="Q54" s="8">
        <f t="shared" si="14"/>
        <v>180</v>
      </c>
      <c r="R54" s="8">
        <f t="shared" si="14"/>
        <v>197</v>
      </c>
      <c r="S54" s="8">
        <f t="shared" si="14"/>
        <v>198</v>
      </c>
      <c r="T54" s="8">
        <f t="shared" si="14"/>
        <v>194</v>
      </c>
      <c r="U54" s="8">
        <f t="shared" si="14"/>
        <v>194</v>
      </c>
      <c r="V54" s="8">
        <f t="shared" si="14"/>
        <v>192</v>
      </c>
      <c r="W54" s="8">
        <f t="shared" si="14"/>
        <v>193</v>
      </c>
      <c r="X54" s="8">
        <f t="shared" si="14"/>
        <v>193</v>
      </c>
      <c r="Y54" s="8">
        <f t="shared" si="14"/>
        <v>198</v>
      </c>
      <c r="Z54" s="8">
        <f t="shared" si="14"/>
        <v>195</v>
      </c>
      <c r="AA54" s="8">
        <f t="shared" si="14"/>
        <v>198</v>
      </c>
      <c r="AB54" s="8">
        <f t="shared" si="14"/>
        <v>197</v>
      </c>
      <c r="AC54" s="8">
        <f t="shared" si="14"/>
        <v>201</v>
      </c>
      <c r="AD54" s="8">
        <f t="shared" si="14"/>
        <v>201</v>
      </c>
      <c r="AE54" s="8">
        <f t="shared" si="14"/>
        <v>220</v>
      </c>
      <c r="AF54" s="8">
        <f t="shared" si="14"/>
        <v>220</v>
      </c>
      <c r="AG54" s="8">
        <f t="shared" si="14"/>
        <v>226</v>
      </c>
      <c r="AH54" s="8">
        <f t="shared" si="14"/>
        <v>225</v>
      </c>
      <c r="AI54" s="8">
        <f t="shared" si="14"/>
        <v>224</v>
      </c>
      <c r="AJ54" s="8">
        <f t="shared" si="14"/>
        <v>231</v>
      </c>
      <c r="AK54" s="8">
        <f t="shared" si="14"/>
        <v>231</v>
      </c>
      <c r="AL54" s="8">
        <f t="shared" si="14"/>
        <v>231</v>
      </c>
      <c r="AM54" s="8">
        <f t="shared" si="14"/>
        <v>229</v>
      </c>
      <c r="AN54" s="8">
        <f t="shared" si="14"/>
        <v>227</v>
      </c>
      <c r="AO54" s="8">
        <f t="shared" si="14"/>
        <v>227</v>
      </c>
      <c r="AP54" s="8">
        <f t="shared" si="14"/>
        <v>218</v>
      </c>
      <c r="AQ54" s="8">
        <f t="shared" si="14"/>
        <v>240</v>
      </c>
    </row>
    <row r="55" spans="1:43">
      <c r="A55" s="9" t="s">
        <v>3478</v>
      </c>
      <c r="B55" s="6">
        <v>20</v>
      </c>
      <c r="C55" s="6">
        <v>20</v>
      </c>
      <c r="D55" s="6">
        <v>20</v>
      </c>
      <c r="E55" s="6">
        <v>7</v>
      </c>
      <c r="F55" s="6">
        <v>7</v>
      </c>
      <c r="G55" s="6">
        <v>7</v>
      </c>
      <c r="H55" s="6">
        <v>0</v>
      </c>
      <c r="I55" s="6">
        <v>0</v>
      </c>
      <c r="J55" s="6">
        <v>5</v>
      </c>
      <c r="K55" s="6">
        <v>5</v>
      </c>
      <c r="L55" s="6">
        <v>5</v>
      </c>
      <c r="M55" s="6">
        <v>8</v>
      </c>
      <c r="N55" s="6">
        <v>20</v>
      </c>
      <c r="O55" s="6">
        <v>28</v>
      </c>
      <c r="P55" s="6">
        <v>0</v>
      </c>
      <c r="Q55" s="6">
        <v>18</v>
      </c>
      <c r="R55" s="6">
        <v>0</v>
      </c>
      <c r="S55" s="6">
        <v>0</v>
      </c>
      <c r="T55" s="6">
        <v>0</v>
      </c>
      <c r="U55" s="6">
        <v>0</v>
      </c>
      <c r="V55" s="6">
        <v>9</v>
      </c>
      <c r="W55" s="6">
        <v>10</v>
      </c>
      <c r="X55" s="6">
        <v>16</v>
      </c>
      <c r="Y55" s="6">
        <f>11+1</f>
        <v>12</v>
      </c>
      <c r="Z55" s="6">
        <v>16</v>
      </c>
      <c r="AA55" s="6">
        <v>10</v>
      </c>
      <c r="AB55" s="6">
        <v>28</v>
      </c>
      <c r="AC55" s="6">
        <v>28</v>
      </c>
      <c r="AD55" s="6">
        <v>23</v>
      </c>
      <c r="AE55" s="6">
        <v>10</v>
      </c>
      <c r="AF55" s="6">
        <v>10</v>
      </c>
      <c r="AG55" s="6">
        <f>5+1</f>
        <v>6</v>
      </c>
      <c r="AH55" s="6">
        <v>5</v>
      </c>
      <c r="AI55" s="6">
        <v>5</v>
      </c>
      <c r="AJ55" s="6">
        <v>1</v>
      </c>
      <c r="AK55" s="6">
        <v>0</v>
      </c>
      <c r="AL55" s="6">
        <v>0</v>
      </c>
      <c r="AM55" s="6">
        <v>1</v>
      </c>
      <c r="AN55" s="6">
        <v>20</v>
      </c>
      <c r="AO55" s="6">
        <v>20</v>
      </c>
      <c r="AP55" s="6">
        <v>28</v>
      </c>
      <c r="AQ55" s="6">
        <v>8</v>
      </c>
    </row>
    <row r="56" spans="1:43">
      <c r="A56" s="7" t="s">
        <v>3471</v>
      </c>
      <c r="B56" s="8">
        <f>7+25</f>
        <v>32</v>
      </c>
      <c r="C56" s="8">
        <v>30</v>
      </c>
      <c r="D56" s="8">
        <v>40</v>
      </c>
      <c r="E56" s="8">
        <v>48</v>
      </c>
      <c r="F56" s="8">
        <v>47</v>
      </c>
      <c r="G56" s="8">
        <v>40</v>
      </c>
      <c r="H56" s="8">
        <v>60</v>
      </c>
      <c r="I56" s="8">
        <v>64</v>
      </c>
      <c r="J56" s="8">
        <v>67</v>
      </c>
      <c r="K56" s="8">
        <v>77</v>
      </c>
      <c r="L56" s="8">
        <v>70</v>
      </c>
      <c r="M56" s="8">
        <v>75</v>
      </c>
      <c r="N56" s="8">
        <v>77</v>
      </c>
      <c r="O56" s="8">
        <v>77</v>
      </c>
      <c r="P56" s="8">
        <v>65</v>
      </c>
      <c r="Q56" s="8">
        <f>12+43</f>
        <v>55</v>
      </c>
      <c r="R56" s="8">
        <v>50</v>
      </c>
      <c r="S56" s="8">
        <f>47+22</f>
        <v>69</v>
      </c>
      <c r="T56" s="8">
        <v>72</v>
      </c>
      <c r="U56" s="8">
        <v>72</v>
      </c>
      <c r="V56" s="8">
        <v>54</v>
      </c>
      <c r="W56" s="8">
        <f>43+10</f>
        <v>53</v>
      </c>
      <c r="X56" s="8">
        <f>51+9</f>
        <v>60</v>
      </c>
      <c r="Y56" s="8">
        <f>33+2+7</f>
        <v>42</v>
      </c>
      <c r="Z56" s="8">
        <f>47+2+10</f>
        <v>59</v>
      </c>
      <c r="AA56" s="8">
        <f>51+5+14</f>
        <v>70</v>
      </c>
      <c r="AB56" s="8">
        <v>59</v>
      </c>
      <c r="AC56" s="8">
        <v>52</v>
      </c>
      <c r="AD56" s="8">
        <v>41</v>
      </c>
      <c r="AE56" s="8">
        <v>40</v>
      </c>
      <c r="AF56" s="8">
        <v>53</v>
      </c>
      <c r="AG56" s="8">
        <f>34+2+11</f>
        <v>47</v>
      </c>
      <c r="AH56" s="8">
        <f>45+3+10</f>
        <v>58</v>
      </c>
      <c r="AI56" s="8">
        <v>50</v>
      </c>
      <c r="AJ56" s="8">
        <f>34+3+6</f>
        <v>43</v>
      </c>
      <c r="AK56" s="8">
        <f>40+2+12</f>
        <v>54</v>
      </c>
      <c r="AL56" s="8">
        <f>36+4+13</f>
        <v>53</v>
      </c>
      <c r="AM56" s="8">
        <v>40</v>
      </c>
      <c r="AN56" s="8">
        <v>40</v>
      </c>
      <c r="AO56" s="8">
        <v>54</v>
      </c>
      <c r="AP56" s="8">
        <v>44</v>
      </c>
      <c r="AQ56" s="8">
        <v>41</v>
      </c>
    </row>
    <row r="57" spans="1:43">
      <c r="A57" s="9" t="s">
        <v>3479</v>
      </c>
      <c r="B57" s="11">
        <f t="shared" ref="B57:AQ57" si="15">B56/B54</f>
        <v>0.209150326797386</v>
      </c>
      <c r="C57" s="11">
        <f t="shared" si="15"/>
        <v>0.197368421052632</v>
      </c>
      <c r="D57" s="11">
        <f t="shared" si="15"/>
        <v>0.264900662251656</v>
      </c>
      <c r="E57" s="11">
        <f t="shared" si="15"/>
        <v>0.280701754385965</v>
      </c>
      <c r="F57" s="11">
        <f t="shared" si="15"/>
        <v>0.279761904761905</v>
      </c>
      <c r="G57" s="11">
        <f t="shared" si="15"/>
        <v>0.238095238095238</v>
      </c>
      <c r="H57" s="11">
        <f t="shared" si="15"/>
        <v>0.346820809248555</v>
      </c>
      <c r="I57" s="11">
        <f t="shared" si="15"/>
        <v>0.372093023255814</v>
      </c>
      <c r="J57" s="11">
        <f t="shared" si="15"/>
        <v>0.391812865497076</v>
      </c>
      <c r="K57" s="11">
        <f t="shared" si="15"/>
        <v>0.450292397660819</v>
      </c>
      <c r="L57" s="11">
        <f t="shared" si="15"/>
        <v>0.414201183431953</v>
      </c>
      <c r="M57" s="11">
        <f t="shared" si="15"/>
        <v>0.443786982248521</v>
      </c>
      <c r="N57" s="11">
        <f t="shared" si="15"/>
        <v>0.442528735632184</v>
      </c>
      <c r="O57" s="11">
        <f t="shared" si="15"/>
        <v>0.455621301775148</v>
      </c>
      <c r="P57" s="11">
        <f t="shared" si="15"/>
        <v>0.328282828282828</v>
      </c>
      <c r="Q57" s="11">
        <f t="shared" si="15"/>
        <v>0.305555555555556</v>
      </c>
      <c r="R57" s="11">
        <f t="shared" si="15"/>
        <v>0.253807106598985</v>
      </c>
      <c r="S57" s="11">
        <f t="shared" si="15"/>
        <v>0.348484848484849</v>
      </c>
      <c r="T57" s="11">
        <f t="shared" si="15"/>
        <v>0.371134020618557</v>
      </c>
      <c r="U57" s="11">
        <f t="shared" si="15"/>
        <v>0.371134020618557</v>
      </c>
      <c r="V57" s="11">
        <f t="shared" si="15"/>
        <v>0.28125</v>
      </c>
      <c r="W57" s="11">
        <f t="shared" si="15"/>
        <v>0.274611398963731</v>
      </c>
      <c r="X57" s="11">
        <f t="shared" si="15"/>
        <v>0.310880829015544</v>
      </c>
      <c r="Y57" s="11">
        <f t="shared" si="15"/>
        <v>0.212121212121212</v>
      </c>
      <c r="Z57" s="11">
        <f t="shared" si="15"/>
        <v>0.302564102564103</v>
      </c>
      <c r="AA57" s="11">
        <f t="shared" si="15"/>
        <v>0.353535353535354</v>
      </c>
      <c r="AB57" s="11">
        <f t="shared" si="15"/>
        <v>0.299492385786802</v>
      </c>
      <c r="AC57" s="11">
        <f t="shared" si="15"/>
        <v>0.258706467661692</v>
      </c>
      <c r="AD57" s="11">
        <f t="shared" si="15"/>
        <v>0.203980099502488</v>
      </c>
      <c r="AE57" s="11">
        <f t="shared" si="15"/>
        <v>0.181818181818182</v>
      </c>
      <c r="AF57" s="11">
        <f t="shared" si="15"/>
        <v>0.240909090909091</v>
      </c>
      <c r="AG57" s="11">
        <f t="shared" si="15"/>
        <v>0.207964601769911</v>
      </c>
      <c r="AH57" s="11">
        <f t="shared" si="15"/>
        <v>0.257777777777778</v>
      </c>
      <c r="AI57" s="11">
        <f t="shared" si="15"/>
        <v>0.223214285714286</v>
      </c>
      <c r="AJ57" s="11">
        <f t="shared" si="15"/>
        <v>0.186147186147186</v>
      </c>
      <c r="AK57" s="11">
        <f t="shared" si="15"/>
        <v>0.233766233766234</v>
      </c>
      <c r="AL57" s="11">
        <f t="shared" si="15"/>
        <v>0.229437229437229</v>
      </c>
      <c r="AM57" s="11">
        <f t="shared" si="15"/>
        <v>0.174672489082969</v>
      </c>
      <c r="AN57" s="11">
        <f t="shared" si="15"/>
        <v>0.176211453744493</v>
      </c>
      <c r="AO57" s="11">
        <f t="shared" si="15"/>
        <v>0.237885462555066</v>
      </c>
      <c r="AP57" s="11">
        <f t="shared" si="15"/>
        <v>0.201834862385321</v>
      </c>
      <c r="AQ57" s="11">
        <f t="shared" si="15"/>
        <v>0.170833333333333</v>
      </c>
    </row>
    <row r="58" spans="1:43">
      <c r="A58" s="7" t="s">
        <v>3480</v>
      </c>
      <c r="B58" s="8">
        <v>8432</v>
      </c>
      <c r="C58" s="8">
        <v>8258</v>
      </c>
      <c r="D58" s="8">
        <v>7052</v>
      </c>
      <c r="E58" s="8">
        <v>8580</v>
      </c>
      <c r="F58" s="8">
        <v>8364</v>
      </c>
      <c r="G58" s="8">
        <v>9434</v>
      </c>
      <c r="H58" s="8">
        <v>8102</v>
      </c>
      <c r="I58" s="8">
        <v>6890</v>
      </c>
      <c r="J58" s="8">
        <v>7327</v>
      </c>
      <c r="K58" s="8">
        <v>6654</v>
      </c>
      <c r="L58" s="8">
        <v>6582</v>
      </c>
      <c r="M58" s="8">
        <v>5579</v>
      </c>
      <c r="N58" s="8">
        <v>6185</v>
      </c>
      <c r="O58" s="8">
        <v>5924</v>
      </c>
      <c r="P58" s="8">
        <v>6485</v>
      </c>
      <c r="Q58" s="8">
        <v>8074</v>
      </c>
      <c r="R58" s="8">
        <v>8399</v>
      </c>
      <c r="S58" s="8">
        <v>7760</v>
      </c>
      <c r="T58" s="8">
        <v>8012</v>
      </c>
      <c r="U58" s="8">
        <v>8066</v>
      </c>
      <c r="V58" s="8">
        <v>8942</v>
      </c>
      <c r="W58" s="8">
        <v>8630</v>
      </c>
      <c r="X58" s="8">
        <v>9240</v>
      </c>
      <c r="Y58" s="8">
        <v>10464</v>
      </c>
      <c r="Z58" s="8">
        <v>10244</v>
      </c>
      <c r="AA58" s="8">
        <v>8918</v>
      </c>
      <c r="AB58" s="8">
        <v>9275</v>
      </c>
      <c r="AC58" s="8">
        <v>10160</v>
      </c>
      <c r="AD58" s="8">
        <v>10183</v>
      </c>
      <c r="AE58" s="8">
        <v>10465</v>
      </c>
      <c r="AF58" s="8">
        <v>9470</v>
      </c>
      <c r="AG58" s="8">
        <v>10233</v>
      </c>
      <c r="AH58" s="8">
        <v>9224</v>
      </c>
      <c r="AI58" s="8">
        <v>9997</v>
      </c>
      <c r="AJ58" s="8">
        <v>10349</v>
      </c>
      <c r="AK58" s="8">
        <v>9074</v>
      </c>
      <c r="AL58" s="8">
        <v>8880</v>
      </c>
      <c r="AM58" s="8">
        <v>10147</v>
      </c>
      <c r="AN58" s="8">
        <v>10879</v>
      </c>
      <c r="AO58" s="8">
        <v>9908</v>
      </c>
      <c r="AP58" s="8">
        <v>11213</v>
      </c>
      <c r="AQ58" s="8">
        <v>11491</v>
      </c>
    </row>
    <row r="59" ht="13.65" spans="1:43">
      <c r="A59" s="12" t="s">
        <v>3472</v>
      </c>
      <c r="B59" s="13">
        <f t="shared" ref="B59:AQ59" si="16">1-B57</f>
        <v>0.790849673202614</v>
      </c>
      <c r="C59" s="13">
        <f t="shared" si="16"/>
        <v>0.802631578947368</v>
      </c>
      <c r="D59" s="13">
        <f t="shared" si="16"/>
        <v>0.735099337748344</v>
      </c>
      <c r="E59" s="13">
        <f t="shared" si="16"/>
        <v>0.719298245614035</v>
      </c>
      <c r="F59" s="13">
        <f t="shared" si="16"/>
        <v>0.720238095238095</v>
      </c>
      <c r="G59" s="13">
        <f t="shared" si="16"/>
        <v>0.761904761904762</v>
      </c>
      <c r="H59" s="13">
        <f t="shared" si="16"/>
        <v>0.653179190751445</v>
      </c>
      <c r="I59" s="13">
        <f t="shared" si="16"/>
        <v>0.627906976744186</v>
      </c>
      <c r="J59" s="13">
        <f t="shared" si="16"/>
        <v>0.608187134502924</v>
      </c>
      <c r="K59" s="13">
        <f t="shared" si="16"/>
        <v>0.549707602339181</v>
      </c>
      <c r="L59" s="13">
        <f t="shared" si="16"/>
        <v>0.585798816568047</v>
      </c>
      <c r="M59" s="13">
        <f t="shared" si="16"/>
        <v>0.556213017751479</v>
      </c>
      <c r="N59" s="13">
        <f t="shared" si="16"/>
        <v>0.557471264367816</v>
      </c>
      <c r="O59" s="13">
        <f t="shared" si="16"/>
        <v>0.544378698224852</v>
      </c>
      <c r="P59" s="13">
        <f t="shared" si="16"/>
        <v>0.671717171717172</v>
      </c>
      <c r="Q59" s="13">
        <f t="shared" si="16"/>
        <v>0.694444444444444</v>
      </c>
      <c r="R59" s="13">
        <f t="shared" si="16"/>
        <v>0.746192893401015</v>
      </c>
      <c r="S59" s="13">
        <f t="shared" si="16"/>
        <v>0.651515151515151</v>
      </c>
      <c r="T59" s="13">
        <f t="shared" si="16"/>
        <v>0.628865979381443</v>
      </c>
      <c r="U59" s="13">
        <f t="shared" si="16"/>
        <v>0.628865979381443</v>
      </c>
      <c r="V59" s="13">
        <f t="shared" si="16"/>
        <v>0.71875</v>
      </c>
      <c r="W59" s="13">
        <f t="shared" si="16"/>
        <v>0.725388601036269</v>
      </c>
      <c r="X59" s="13">
        <f t="shared" si="16"/>
        <v>0.689119170984456</v>
      </c>
      <c r="Y59" s="13">
        <f t="shared" si="16"/>
        <v>0.787878787878788</v>
      </c>
      <c r="Z59" s="13">
        <f t="shared" si="16"/>
        <v>0.697435897435897</v>
      </c>
      <c r="AA59" s="13">
        <f t="shared" si="16"/>
        <v>0.646464646464646</v>
      </c>
      <c r="AB59" s="13">
        <f t="shared" si="16"/>
        <v>0.700507614213198</v>
      </c>
      <c r="AC59" s="13">
        <f t="shared" si="16"/>
        <v>0.741293532338309</v>
      </c>
      <c r="AD59" s="13">
        <f t="shared" si="16"/>
        <v>0.796019900497512</v>
      </c>
      <c r="AE59" s="13">
        <f t="shared" si="16"/>
        <v>0.818181818181818</v>
      </c>
      <c r="AF59" s="13">
        <f t="shared" si="16"/>
        <v>0.759090909090909</v>
      </c>
      <c r="AG59" s="13">
        <f t="shared" si="16"/>
        <v>0.792035398230089</v>
      </c>
      <c r="AH59" s="13">
        <f t="shared" si="16"/>
        <v>0.742222222222222</v>
      </c>
      <c r="AI59" s="13">
        <f t="shared" si="16"/>
        <v>0.776785714285714</v>
      </c>
      <c r="AJ59" s="13">
        <f t="shared" si="16"/>
        <v>0.813852813852814</v>
      </c>
      <c r="AK59" s="13">
        <f t="shared" si="16"/>
        <v>0.766233766233766</v>
      </c>
      <c r="AL59" s="13">
        <f t="shared" si="16"/>
        <v>0.770562770562771</v>
      </c>
      <c r="AM59" s="13">
        <f t="shared" si="16"/>
        <v>0.825327510917031</v>
      </c>
      <c r="AN59" s="13">
        <f t="shared" si="16"/>
        <v>0.823788546255507</v>
      </c>
      <c r="AO59" s="13">
        <f t="shared" si="16"/>
        <v>0.762114537444934</v>
      </c>
      <c r="AP59" s="13">
        <f t="shared" si="16"/>
        <v>0.798165137614679</v>
      </c>
      <c r="AQ59" s="13">
        <f t="shared" si="16"/>
        <v>0.829166666666667</v>
      </c>
    </row>
    <row r="60" spans="2:43">
      <c r="B60" s="17" t="s">
        <v>3506</v>
      </c>
      <c r="C60" s="17"/>
      <c r="D60" s="17"/>
      <c r="E60" s="17" t="s">
        <v>3507</v>
      </c>
      <c r="F60" s="17"/>
      <c r="G60" s="17" t="s">
        <v>3508</v>
      </c>
      <c r="H60" s="17"/>
      <c r="I60" s="17"/>
      <c r="J60" s="17" t="s">
        <v>3509</v>
      </c>
      <c r="K60" s="17" t="s">
        <v>3510</v>
      </c>
      <c r="L60" s="17"/>
      <c r="M60" s="17" t="s">
        <v>3483</v>
      </c>
      <c r="N60" s="17"/>
      <c r="O60" s="17"/>
      <c r="P60" s="17" t="s">
        <v>3511</v>
      </c>
      <c r="Q60" s="17" t="s">
        <v>3512</v>
      </c>
      <c r="R60" s="17"/>
      <c r="S60" s="17"/>
      <c r="T60" s="17" t="s">
        <v>3513</v>
      </c>
      <c r="U60" s="17" t="s">
        <v>3514</v>
      </c>
      <c r="V60" s="17" t="s">
        <v>3515</v>
      </c>
      <c r="W60" s="17"/>
      <c r="X60" s="17" t="s">
        <v>3516</v>
      </c>
      <c r="Y60" s="17" t="s">
        <v>3517</v>
      </c>
      <c r="Z60" s="17"/>
      <c r="AA60" s="17"/>
      <c r="AB60" s="17" t="s">
        <v>3518</v>
      </c>
      <c r="AC60" s="17" t="s">
        <v>3519</v>
      </c>
      <c r="AD60" s="17"/>
      <c r="AE60" s="17" t="s">
        <v>3520</v>
      </c>
      <c r="AF60" s="17"/>
      <c r="AG60" s="17" t="s">
        <v>3521</v>
      </c>
      <c r="AH60" s="17"/>
      <c r="AI60" s="17" t="s">
        <v>3522</v>
      </c>
      <c r="AJ60" s="17" t="s">
        <v>3523</v>
      </c>
      <c r="AK60" s="17"/>
      <c r="AL60" s="17"/>
      <c r="AM60" s="17" t="s">
        <v>3524</v>
      </c>
      <c r="AN60" s="17" t="s">
        <v>3525</v>
      </c>
      <c r="AO60" s="17"/>
      <c r="AP60" s="17" t="s">
        <v>3526</v>
      </c>
      <c r="AQ60" s="17" t="s">
        <v>3527</v>
      </c>
    </row>
    <row r="61" spans="2:43">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row>
    <row r="62" spans="2:43">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row>
    <row r="63" spans="2:43">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row>
    <row r="64" spans="2:43">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row>
    <row r="65" spans="2:43">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row>
    <row r="66" spans="2:43">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row>
    <row r="73" spans="1:43">
      <c r="A73" s="3" t="s">
        <v>3528</v>
      </c>
      <c r="B73" s="4">
        <v>44848</v>
      </c>
      <c r="C73" s="4">
        <v>44855</v>
      </c>
      <c r="D73" s="4">
        <v>44862</v>
      </c>
      <c r="E73" s="4">
        <v>44876</v>
      </c>
      <c r="F73" s="4">
        <v>44883</v>
      </c>
      <c r="G73" s="4">
        <v>44890</v>
      </c>
      <c r="H73" s="4">
        <v>44896</v>
      </c>
      <c r="I73" s="4">
        <v>44904</v>
      </c>
      <c r="J73" s="4">
        <v>44911</v>
      </c>
      <c r="K73" s="4">
        <v>44918</v>
      </c>
      <c r="L73" s="4">
        <v>44925</v>
      </c>
      <c r="M73" s="4">
        <v>44939</v>
      </c>
      <c r="N73" s="4">
        <v>44946</v>
      </c>
      <c r="O73" s="4">
        <v>44954</v>
      </c>
      <c r="P73" s="4">
        <v>44967</v>
      </c>
      <c r="Q73" s="4">
        <v>44974</v>
      </c>
      <c r="R73" s="4">
        <v>44981</v>
      </c>
      <c r="S73" s="4">
        <v>44995</v>
      </c>
      <c r="T73" s="4">
        <v>45002</v>
      </c>
      <c r="U73" s="4">
        <v>45009</v>
      </c>
      <c r="V73" s="4">
        <v>45016</v>
      </c>
      <c r="W73" s="4">
        <v>45030</v>
      </c>
      <c r="X73" s="4">
        <v>45037</v>
      </c>
      <c r="Y73" s="4">
        <v>45044</v>
      </c>
      <c r="Z73" s="4">
        <v>45058</v>
      </c>
      <c r="AA73" s="4">
        <v>45065</v>
      </c>
      <c r="AB73" s="4">
        <v>45072</v>
      </c>
      <c r="AC73" s="4">
        <v>45086</v>
      </c>
      <c r="AD73" s="4">
        <v>45093</v>
      </c>
      <c r="AE73" s="4">
        <v>45107</v>
      </c>
      <c r="AF73" s="4">
        <v>45114</v>
      </c>
      <c r="AG73" s="4">
        <v>45121</v>
      </c>
      <c r="AH73" s="4">
        <v>45128</v>
      </c>
      <c r="AI73" s="4">
        <v>45135</v>
      </c>
      <c r="AJ73" s="4">
        <v>45149</v>
      </c>
      <c r="AK73" s="4">
        <v>45156</v>
      </c>
      <c r="AL73" s="4">
        <v>45163</v>
      </c>
      <c r="AM73" s="4">
        <v>45170</v>
      </c>
      <c r="AN73" s="4">
        <v>45184</v>
      </c>
      <c r="AO73" s="4">
        <v>45191</v>
      </c>
      <c r="AP73" s="4">
        <v>45212</v>
      </c>
      <c r="AQ73" s="4">
        <v>45219</v>
      </c>
    </row>
    <row r="74" spans="1:43">
      <c r="A74" s="5" t="s">
        <v>3470</v>
      </c>
      <c r="B74" s="6">
        <v>128</v>
      </c>
      <c r="C74" s="6">
        <v>126</v>
      </c>
      <c r="D74" s="6">
        <v>123</v>
      </c>
      <c r="E74" s="6">
        <v>117</v>
      </c>
      <c r="F74" s="6">
        <v>117</v>
      </c>
      <c r="G74" s="6">
        <v>110</v>
      </c>
      <c r="H74" s="6">
        <v>109</v>
      </c>
      <c r="I74" s="6">
        <v>107</v>
      </c>
      <c r="J74" s="6">
        <v>108</v>
      </c>
      <c r="K74" s="6">
        <v>108</v>
      </c>
      <c r="L74" s="6">
        <v>113</v>
      </c>
      <c r="M74" s="6">
        <v>109</v>
      </c>
      <c r="N74" s="6">
        <v>107</v>
      </c>
      <c r="O74" s="6">
        <v>106</v>
      </c>
      <c r="P74" s="6">
        <v>119</v>
      </c>
      <c r="Q74" s="6">
        <v>116</v>
      </c>
      <c r="R74" s="6">
        <v>116</v>
      </c>
      <c r="S74" s="6">
        <v>116</v>
      </c>
      <c r="T74" s="6">
        <v>115</v>
      </c>
      <c r="U74" s="6">
        <v>116</v>
      </c>
      <c r="V74" s="6">
        <v>116</v>
      </c>
      <c r="W74" s="6">
        <v>116</v>
      </c>
      <c r="X74" s="6">
        <v>116</v>
      </c>
      <c r="Y74" s="6">
        <v>115</v>
      </c>
      <c r="Z74" s="6">
        <v>125</v>
      </c>
      <c r="AA74" s="6">
        <v>125</v>
      </c>
      <c r="AB74" s="6">
        <v>125</v>
      </c>
      <c r="AC74" s="6">
        <v>125</v>
      </c>
      <c r="AD74" s="6">
        <v>125</v>
      </c>
      <c r="AE74" s="6">
        <v>124</v>
      </c>
      <c r="AF74" s="6">
        <v>120</v>
      </c>
      <c r="AG74" s="6">
        <v>120</v>
      </c>
      <c r="AH74" s="6">
        <v>120</v>
      </c>
      <c r="AI74" s="6">
        <v>120</v>
      </c>
      <c r="AJ74" s="6">
        <v>119</v>
      </c>
      <c r="AK74" s="6">
        <v>119</v>
      </c>
      <c r="AL74" s="6">
        <v>119</v>
      </c>
      <c r="AM74" s="6">
        <v>118</v>
      </c>
      <c r="AN74" s="6">
        <v>138</v>
      </c>
      <c r="AO74" s="6">
        <v>137</v>
      </c>
      <c r="AP74" s="6">
        <v>146</v>
      </c>
      <c r="AQ74" s="6">
        <v>146</v>
      </c>
    </row>
    <row r="75" spans="1:43">
      <c r="A75" s="7" t="s">
        <v>3474</v>
      </c>
      <c r="B75" s="25">
        <f t="shared" ref="B75:N75" si="17">B76+B77</f>
        <v>106</v>
      </c>
      <c r="C75" s="25">
        <f t="shared" si="17"/>
        <v>104</v>
      </c>
      <c r="D75" s="25">
        <f t="shared" si="17"/>
        <v>101</v>
      </c>
      <c r="E75" s="25">
        <f t="shared" si="17"/>
        <v>117</v>
      </c>
      <c r="F75" s="25">
        <f t="shared" si="17"/>
        <v>117</v>
      </c>
      <c r="G75" s="25">
        <f t="shared" si="17"/>
        <v>110</v>
      </c>
      <c r="H75" s="25">
        <f t="shared" si="17"/>
        <v>109</v>
      </c>
      <c r="I75" s="25">
        <f t="shared" si="17"/>
        <v>107</v>
      </c>
      <c r="J75" s="25">
        <f t="shared" si="17"/>
        <v>108</v>
      </c>
      <c r="K75" s="25">
        <f t="shared" si="17"/>
        <v>108</v>
      </c>
      <c r="L75" s="25">
        <f t="shared" si="17"/>
        <v>108</v>
      </c>
      <c r="M75" s="25">
        <f t="shared" si="17"/>
        <v>109</v>
      </c>
      <c r="N75" s="25">
        <f t="shared" si="17"/>
        <v>102</v>
      </c>
      <c r="O75" s="25">
        <v>101</v>
      </c>
      <c r="P75" s="8">
        <f t="shared" ref="P75:AQ75" si="18">P74-P78</f>
        <v>104</v>
      </c>
      <c r="Q75" s="8">
        <f t="shared" si="18"/>
        <v>96</v>
      </c>
      <c r="R75" s="8">
        <f t="shared" si="18"/>
        <v>101</v>
      </c>
      <c r="S75" s="8">
        <f t="shared" si="18"/>
        <v>116</v>
      </c>
      <c r="T75" s="8">
        <f t="shared" si="18"/>
        <v>115</v>
      </c>
      <c r="U75" s="8">
        <f t="shared" si="18"/>
        <v>116</v>
      </c>
      <c r="V75" s="8">
        <f t="shared" si="18"/>
        <v>116</v>
      </c>
      <c r="W75" s="8">
        <f t="shared" si="18"/>
        <v>116</v>
      </c>
      <c r="X75" s="8">
        <f t="shared" si="18"/>
        <v>116</v>
      </c>
      <c r="Y75" s="8">
        <f t="shared" si="18"/>
        <v>115</v>
      </c>
      <c r="Z75" s="8">
        <f t="shared" si="18"/>
        <v>115</v>
      </c>
      <c r="AA75" s="8">
        <f t="shared" si="18"/>
        <v>115</v>
      </c>
      <c r="AB75" s="8">
        <f t="shared" si="18"/>
        <v>115</v>
      </c>
      <c r="AC75" s="8">
        <f t="shared" si="18"/>
        <v>125</v>
      </c>
      <c r="AD75" s="8">
        <f t="shared" si="18"/>
        <v>125</v>
      </c>
      <c r="AE75" s="8">
        <f t="shared" si="18"/>
        <v>124</v>
      </c>
      <c r="AF75" s="8">
        <f t="shared" si="18"/>
        <v>120</v>
      </c>
      <c r="AG75" s="8">
        <f t="shared" si="18"/>
        <v>120</v>
      </c>
      <c r="AH75" s="8">
        <f t="shared" si="18"/>
        <v>120</v>
      </c>
      <c r="AI75" s="8">
        <f t="shared" si="18"/>
        <v>120</v>
      </c>
      <c r="AJ75" s="8">
        <f t="shared" si="18"/>
        <v>119</v>
      </c>
      <c r="AK75" s="8">
        <f t="shared" si="18"/>
        <v>119</v>
      </c>
      <c r="AL75" s="8">
        <f t="shared" si="18"/>
        <v>119</v>
      </c>
      <c r="AM75" s="8">
        <f t="shared" si="18"/>
        <v>118</v>
      </c>
      <c r="AN75" s="8">
        <f t="shared" si="18"/>
        <v>117</v>
      </c>
      <c r="AO75" s="8">
        <f t="shared" si="18"/>
        <v>117</v>
      </c>
      <c r="AP75" s="8">
        <f t="shared" si="18"/>
        <v>136</v>
      </c>
      <c r="AQ75" s="8">
        <f t="shared" si="18"/>
        <v>136</v>
      </c>
    </row>
    <row r="76" spans="1:43">
      <c r="A76" s="9" t="s">
        <v>3529</v>
      </c>
      <c r="B76" s="6">
        <v>44</v>
      </c>
      <c r="C76" s="6">
        <v>42</v>
      </c>
      <c r="D76" s="6">
        <v>39</v>
      </c>
      <c r="E76" s="6">
        <v>33</v>
      </c>
      <c r="F76" s="6">
        <v>32</v>
      </c>
      <c r="G76" s="6">
        <v>25</v>
      </c>
      <c r="H76" s="6">
        <v>24</v>
      </c>
      <c r="I76" s="6">
        <v>22</v>
      </c>
      <c r="J76" s="6">
        <v>23</v>
      </c>
      <c r="K76" s="6">
        <v>23</v>
      </c>
      <c r="L76" s="6">
        <v>23</v>
      </c>
      <c r="M76" s="6">
        <v>20</v>
      </c>
      <c r="N76" s="6">
        <v>12</v>
      </c>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row>
    <row r="77" spans="1:43">
      <c r="A77" s="9" t="s">
        <v>3530</v>
      </c>
      <c r="B77" s="6">
        <f>84-B78</f>
        <v>62</v>
      </c>
      <c r="C77" s="6">
        <v>62</v>
      </c>
      <c r="D77" s="6">
        <v>62</v>
      </c>
      <c r="E77" s="6">
        <v>84</v>
      </c>
      <c r="F77" s="6">
        <v>85</v>
      </c>
      <c r="G77" s="6">
        <v>85</v>
      </c>
      <c r="H77" s="6">
        <v>85</v>
      </c>
      <c r="I77" s="6">
        <v>85</v>
      </c>
      <c r="J77" s="6">
        <v>85</v>
      </c>
      <c r="K77" s="6">
        <v>85</v>
      </c>
      <c r="L77" s="6">
        <v>85</v>
      </c>
      <c r="M77" s="6">
        <v>89</v>
      </c>
      <c r="N77" s="6">
        <v>90</v>
      </c>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row>
    <row r="78" spans="1:43">
      <c r="A78" s="9" t="s">
        <v>3478</v>
      </c>
      <c r="B78" s="6">
        <v>22</v>
      </c>
      <c r="C78" s="6">
        <v>22</v>
      </c>
      <c r="D78" s="6">
        <v>22</v>
      </c>
      <c r="E78" s="6">
        <v>0</v>
      </c>
      <c r="F78" s="6">
        <v>0</v>
      </c>
      <c r="G78" s="6">
        <v>0</v>
      </c>
      <c r="H78" s="6">
        <v>0</v>
      </c>
      <c r="I78" s="6">
        <v>0</v>
      </c>
      <c r="J78" s="6">
        <v>0</v>
      </c>
      <c r="K78" s="6">
        <v>0</v>
      </c>
      <c r="L78" s="6">
        <v>5</v>
      </c>
      <c r="M78" s="6">
        <v>5</v>
      </c>
      <c r="N78" s="6">
        <v>5</v>
      </c>
      <c r="O78" s="6">
        <v>5</v>
      </c>
      <c r="P78" s="6">
        <v>15</v>
      </c>
      <c r="Q78" s="6">
        <v>20</v>
      </c>
      <c r="R78" s="6">
        <v>15</v>
      </c>
      <c r="S78" s="6">
        <v>0</v>
      </c>
      <c r="T78" s="6">
        <v>0</v>
      </c>
      <c r="U78" s="6">
        <v>0</v>
      </c>
      <c r="V78" s="6">
        <v>0</v>
      </c>
      <c r="W78" s="6">
        <v>0</v>
      </c>
      <c r="X78" s="6">
        <v>0</v>
      </c>
      <c r="Y78" s="6">
        <v>0</v>
      </c>
      <c r="Z78" s="6">
        <v>10</v>
      </c>
      <c r="AA78" s="6">
        <v>10</v>
      </c>
      <c r="AB78" s="6">
        <v>10</v>
      </c>
      <c r="AC78" s="6">
        <v>0</v>
      </c>
      <c r="AD78" s="6">
        <v>0</v>
      </c>
      <c r="AE78" s="6">
        <v>0</v>
      </c>
      <c r="AF78" s="6">
        <v>0</v>
      </c>
      <c r="AG78" s="6">
        <v>0</v>
      </c>
      <c r="AH78" s="6">
        <v>0</v>
      </c>
      <c r="AI78" s="6">
        <v>0</v>
      </c>
      <c r="AJ78" s="6">
        <v>0</v>
      </c>
      <c r="AK78" s="6">
        <v>0</v>
      </c>
      <c r="AL78" s="6">
        <v>0</v>
      </c>
      <c r="AM78" s="6">
        <v>0</v>
      </c>
      <c r="AN78" s="6">
        <v>21</v>
      </c>
      <c r="AO78" s="6">
        <v>20</v>
      </c>
      <c r="AP78" s="6">
        <v>10</v>
      </c>
      <c r="AQ78" s="6">
        <v>10</v>
      </c>
    </row>
    <row r="79" spans="1:43">
      <c r="A79" s="7" t="s">
        <v>3471</v>
      </c>
      <c r="B79" s="25">
        <f t="shared" ref="B79:N79" si="19">B80+B81</f>
        <v>36</v>
      </c>
      <c r="C79" s="25">
        <f t="shared" si="19"/>
        <v>42</v>
      </c>
      <c r="D79" s="25">
        <f t="shared" si="19"/>
        <v>27</v>
      </c>
      <c r="E79" s="25">
        <f t="shared" si="19"/>
        <v>25</v>
      </c>
      <c r="F79" s="25">
        <f t="shared" si="19"/>
        <v>27</v>
      </c>
      <c r="G79" s="25">
        <f t="shared" si="19"/>
        <v>23</v>
      </c>
      <c r="H79" s="25">
        <f t="shared" si="19"/>
        <v>24</v>
      </c>
      <c r="I79" s="25">
        <f t="shared" si="19"/>
        <v>27</v>
      </c>
      <c r="J79" s="25">
        <f t="shared" si="19"/>
        <v>30</v>
      </c>
      <c r="K79" s="25">
        <f t="shared" si="19"/>
        <v>33</v>
      </c>
      <c r="L79" s="25">
        <f t="shared" si="19"/>
        <v>26</v>
      </c>
      <c r="M79" s="25">
        <f t="shared" si="19"/>
        <v>32</v>
      </c>
      <c r="N79" s="25">
        <f t="shared" si="19"/>
        <v>34</v>
      </c>
      <c r="O79" s="25">
        <v>41</v>
      </c>
      <c r="P79" s="8">
        <v>33</v>
      </c>
      <c r="Q79" s="8">
        <v>30</v>
      </c>
      <c r="R79" s="8">
        <v>32</v>
      </c>
      <c r="S79" s="8">
        <f>17+19</f>
        <v>36</v>
      </c>
      <c r="T79" s="8">
        <v>15</v>
      </c>
      <c r="U79" s="8">
        <f>16+2</f>
        <v>18</v>
      </c>
      <c r="V79" s="8">
        <v>18</v>
      </c>
      <c r="W79" s="8">
        <f>12+4</f>
        <v>16</v>
      </c>
      <c r="X79" s="8">
        <f>21+1+6</f>
        <v>28</v>
      </c>
      <c r="Y79" s="8">
        <f>13+2</f>
        <v>15</v>
      </c>
      <c r="Z79" s="8">
        <f>11+6</f>
        <v>17</v>
      </c>
      <c r="AA79" s="8">
        <f>15+9</f>
        <v>24</v>
      </c>
      <c r="AB79" s="8">
        <v>28</v>
      </c>
      <c r="AC79" s="8">
        <v>7</v>
      </c>
      <c r="AD79" s="8">
        <v>8</v>
      </c>
      <c r="AE79" s="8">
        <v>6</v>
      </c>
      <c r="AF79" s="8">
        <v>9</v>
      </c>
      <c r="AG79" s="8">
        <f>16+1</f>
        <v>17</v>
      </c>
      <c r="AH79" s="8">
        <v>19</v>
      </c>
      <c r="AI79" s="8">
        <v>12</v>
      </c>
      <c r="AJ79" s="8">
        <f>13+5</f>
        <v>18</v>
      </c>
      <c r="AK79" s="8">
        <v>23</v>
      </c>
      <c r="AL79" s="8">
        <v>19</v>
      </c>
      <c r="AM79" s="8">
        <v>20</v>
      </c>
      <c r="AN79" s="8">
        <v>9</v>
      </c>
      <c r="AO79" s="8">
        <v>18</v>
      </c>
      <c r="AP79" s="8">
        <v>14</v>
      </c>
      <c r="AQ79" s="8">
        <v>18</v>
      </c>
    </row>
    <row r="80" spans="1:43">
      <c r="A80" s="9" t="s">
        <v>3529</v>
      </c>
      <c r="B80" s="6">
        <v>4</v>
      </c>
      <c r="C80" s="6">
        <v>5</v>
      </c>
      <c r="D80" s="6">
        <v>2</v>
      </c>
      <c r="E80" s="6">
        <v>3</v>
      </c>
      <c r="F80" s="6">
        <v>4</v>
      </c>
      <c r="G80" s="6">
        <v>3</v>
      </c>
      <c r="H80" s="6">
        <v>1</v>
      </c>
      <c r="I80" s="6">
        <v>1</v>
      </c>
      <c r="J80" s="6">
        <v>0</v>
      </c>
      <c r="K80" s="6">
        <v>0</v>
      </c>
      <c r="L80" s="6">
        <v>0</v>
      </c>
      <c r="M80" s="6">
        <v>1</v>
      </c>
      <c r="N80" s="6">
        <v>0</v>
      </c>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row>
    <row r="81" spans="1:43">
      <c r="A81" s="9" t="s">
        <v>3530</v>
      </c>
      <c r="B81" s="6">
        <v>32</v>
      </c>
      <c r="C81" s="6">
        <v>37</v>
      </c>
      <c r="D81" s="6">
        <v>25</v>
      </c>
      <c r="E81" s="6">
        <v>22</v>
      </c>
      <c r="F81" s="6">
        <v>23</v>
      </c>
      <c r="G81" s="6">
        <v>20</v>
      </c>
      <c r="H81" s="6">
        <v>23</v>
      </c>
      <c r="I81" s="6">
        <v>26</v>
      </c>
      <c r="J81" s="6">
        <v>30</v>
      </c>
      <c r="K81" s="6">
        <v>33</v>
      </c>
      <c r="L81" s="6">
        <v>26</v>
      </c>
      <c r="M81" s="6">
        <v>31</v>
      </c>
      <c r="N81" s="6">
        <v>34</v>
      </c>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row>
    <row r="82" spans="1:43">
      <c r="A82" s="9" t="s">
        <v>3479</v>
      </c>
      <c r="B82" s="11">
        <f t="shared" ref="B82:AQ82" si="20">B79/B75</f>
        <v>0.339622641509434</v>
      </c>
      <c r="C82" s="11">
        <f t="shared" si="20"/>
        <v>0.403846153846154</v>
      </c>
      <c r="D82" s="11">
        <f t="shared" si="20"/>
        <v>0.267326732673267</v>
      </c>
      <c r="E82" s="11">
        <f t="shared" si="20"/>
        <v>0.213675213675214</v>
      </c>
      <c r="F82" s="11">
        <f t="shared" si="20"/>
        <v>0.230769230769231</v>
      </c>
      <c r="G82" s="11">
        <f t="shared" si="20"/>
        <v>0.209090909090909</v>
      </c>
      <c r="H82" s="11">
        <f t="shared" si="20"/>
        <v>0.220183486238532</v>
      </c>
      <c r="I82" s="11">
        <f t="shared" si="20"/>
        <v>0.252336448598131</v>
      </c>
      <c r="J82" s="11">
        <f t="shared" si="20"/>
        <v>0.277777777777778</v>
      </c>
      <c r="K82" s="11">
        <f t="shared" si="20"/>
        <v>0.305555555555556</v>
      </c>
      <c r="L82" s="11">
        <f t="shared" si="20"/>
        <v>0.240740740740741</v>
      </c>
      <c r="M82" s="11">
        <f t="shared" si="20"/>
        <v>0.293577981651376</v>
      </c>
      <c r="N82" s="11">
        <f t="shared" si="20"/>
        <v>0.333333333333333</v>
      </c>
      <c r="O82" s="11">
        <f t="shared" si="20"/>
        <v>0.405940594059406</v>
      </c>
      <c r="P82" s="11">
        <f t="shared" si="20"/>
        <v>0.317307692307692</v>
      </c>
      <c r="Q82" s="11">
        <f t="shared" si="20"/>
        <v>0.3125</v>
      </c>
      <c r="R82" s="11">
        <f t="shared" si="20"/>
        <v>0.316831683168317</v>
      </c>
      <c r="S82" s="11">
        <f t="shared" si="20"/>
        <v>0.310344827586207</v>
      </c>
      <c r="T82" s="11">
        <f t="shared" si="20"/>
        <v>0.130434782608696</v>
      </c>
      <c r="U82" s="11">
        <f t="shared" si="20"/>
        <v>0.155172413793103</v>
      </c>
      <c r="V82" s="11">
        <f t="shared" si="20"/>
        <v>0.155172413793103</v>
      </c>
      <c r="W82" s="11">
        <f t="shared" si="20"/>
        <v>0.137931034482759</v>
      </c>
      <c r="X82" s="11">
        <f t="shared" si="20"/>
        <v>0.241379310344828</v>
      </c>
      <c r="Y82" s="11">
        <f t="shared" si="20"/>
        <v>0.130434782608696</v>
      </c>
      <c r="Z82" s="11">
        <f t="shared" si="20"/>
        <v>0.147826086956522</v>
      </c>
      <c r="AA82" s="11">
        <f t="shared" si="20"/>
        <v>0.208695652173913</v>
      </c>
      <c r="AB82" s="11">
        <f t="shared" si="20"/>
        <v>0.243478260869565</v>
      </c>
      <c r="AC82" s="11">
        <f t="shared" si="20"/>
        <v>0.056</v>
      </c>
      <c r="AD82" s="11">
        <f t="shared" si="20"/>
        <v>0.064</v>
      </c>
      <c r="AE82" s="11">
        <f t="shared" si="20"/>
        <v>0.0483870967741935</v>
      </c>
      <c r="AF82" s="11">
        <f t="shared" si="20"/>
        <v>0.075</v>
      </c>
      <c r="AG82" s="11">
        <f t="shared" si="20"/>
        <v>0.141666666666667</v>
      </c>
      <c r="AH82" s="11">
        <f t="shared" si="20"/>
        <v>0.158333333333333</v>
      </c>
      <c r="AI82" s="11">
        <f t="shared" si="20"/>
        <v>0.1</v>
      </c>
      <c r="AJ82" s="11">
        <f t="shared" si="20"/>
        <v>0.151260504201681</v>
      </c>
      <c r="AK82" s="11">
        <f t="shared" si="20"/>
        <v>0.19327731092437</v>
      </c>
      <c r="AL82" s="11">
        <f t="shared" si="20"/>
        <v>0.159663865546218</v>
      </c>
      <c r="AM82" s="11">
        <f t="shared" si="20"/>
        <v>0.169491525423729</v>
      </c>
      <c r="AN82" s="11">
        <f t="shared" si="20"/>
        <v>0.0769230769230769</v>
      </c>
      <c r="AO82" s="11">
        <f t="shared" si="20"/>
        <v>0.153846153846154</v>
      </c>
      <c r="AP82" s="11">
        <f t="shared" si="20"/>
        <v>0.102941176470588</v>
      </c>
      <c r="AQ82" s="11">
        <f t="shared" si="20"/>
        <v>0.132352941176471</v>
      </c>
    </row>
    <row r="83" spans="1:43">
      <c r="A83" s="7" t="s">
        <v>3480</v>
      </c>
      <c r="B83" s="8">
        <v>3454</v>
      </c>
      <c r="C83" s="8">
        <v>3622</v>
      </c>
      <c r="D83" s="8">
        <v>4335</v>
      </c>
      <c r="E83" s="8">
        <v>4783</v>
      </c>
      <c r="F83" s="8">
        <v>4493</v>
      </c>
      <c r="G83" s="8">
        <v>4409</v>
      </c>
      <c r="H83" s="8">
        <v>4420</v>
      </c>
      <c r="I83" s="8">
        <v>4383</v>
      </c>
      <c r="J83" s="8">
        <v>3882</v>
      </c>
      <c r="K83" s="8">
        <v>3704</v>
      </c>
      <c r="L83" s="8">
        <v>3720</v>
      </c>
      <c r="M83" s="8">
        <v>3453</v>
      </c>
      <c r="N83" s="8">
        <v>3422</v>
      </c>
      <c r="O83" s="8">
        <v>3508</v>
      </c>
      <c r="P83" s="8">
        <v>4371</v>
      </c>
      <c r="Q83" s="8">
        <v>4363</v>
      </c>
      <c r="R83" s="21">
        <v>3959</v>
      </c>
      <c r="S83" s="21">
        <v>3299</v>
      </c>
      <c r="T83" s="21">
        <v>4731</v>
      </c>
      <c r="U83" s="21">
        <v>4789</v>
      </c>
      <c r="V83" s="21">
        <v>4478</v>
      </c>
      <c r="W83" s="21">
        <v>4465</v>
      </c>
      <c r="X83" s="21">
        <v>4248</v>
      </c>
      <c r="Y83" s="21">
        <v>4746</v>
      </c>
      <c r="Z83" s="21">
        <v>4620</v>
      </c>
      <c r="AA83" s="21">
        <v>4296</v>
      </c>
      <c r="AB83" s="21">
        <v>4065</v>
      </c>
      <c r="AC83" s="21">
        <v>5675</v>
      </c>
      <c r="AD83" s="21">
        <v>5372</v>
      </c>
      <c r="AE83" s="21">
        <v>5602</v>
      </c>
      <c r="AF83" s="21">
        <v>5408</v>
      </c>
      <c r="AG83" s="21">
        <v>4982</v>
      </c>
      <c r="AH83" s="21">
        <v>4803</v>
      </c>
      <c r="AI83" s="21">
        <v>4776</v>
      </c>
      <c r="AJ83" s="21">
        <v>4469</v>
      </c>
      <c r="AK83" s="21">
        <v>4331</v>
      </c>
      <c r="AL83" s="21">
        <v>4269</v>
      </c>
      <c r="AM83" s="21">
        <v>4342</v>
      </c>
      <c r="AN83" s="21">
        <v>5821</v>
      </c>
      <c r="AO83" s="21">
        <v>5283</v>
      </c>
      <c r="AP83" s="21">
        <v>5953</v>
      </c>
      <c r="AQ83" s="21">
        <v>5509</v>
      </c>
    </row>
    <row r="84" ht="13.65" spans="1:43">
      <c r="A84" s="12" t="s">
        <v>3472</v>
      </c>
      <c r="B84" s="13">
        <f t="shared" ref="B84:AQ84" si="21">1-B82</f>
        <v>0.660377358490566</v>
      </c>
      <c r="C84" s="13">
        <f t="shared" si="21"/>
        <v>0.596153846153846</v>
      </c>
      <c r="D84" s="13">
        <f t="shared" si="21"/>
        <v>0.732673267326733</v>
      </c>
      <c r="E84" s="13">
        <f t="shared" si="21"/>
        <v>0.786324786324786</v>
      </c>
      <c r="F84" s="13">
        <f t="shared" si="21"/>
        <v>0.769230769230769</v>
      </c>
      <c r="G84" s="13">
        <f t="shared" si="21"/>
        <v>0.790909090909091</v>
      </c>
      <c r="H84" s="13">
        <f t="shared" si="21"/>
        <v>0.779816513761468</v>
      </c>
      <c r="I84" s="13">
        <f t="shared" si="21"/>
        <v>0.747663551401869</v>
      </c>
      <c r="J84" s="13">
        <f t="shared" si="21"/>
        <v>0.722222222222222</v>
      </c>
      <c r="K84" s="13">
        <f t="shared" si="21"/>
        <v>0.694444444444444</v>
      </c>
      <c r="L84" s="13">
        <f t="shared" si="21"/>
        <v>0.759259259259259</v>
      </c>
      <c r="M84" s="13">
        <f t="shared" si="21"/>
        <v>0.706422018348624</v>
      </c>
      <c r="N84" s="13">
        <f t="shared" si="21"/>
        <v>0.666666666666667</v>
      </c>
      <c r="O84" s="13">
        <f t="shared" si="21"/>
        <v>0.594059405940594</v>
      </c>
      <c r="P84" s="13">
        <f t="shared" si="21"/>
        <v>0.682692307692308</v>
      </c>
      <c r="Q84" s="13">
        <f t="shared" si="21"/>
        <v>0.6875</v>
      </c>
      <c r="R84" s="13">
        <f t="shared" si="21"/>
        <v>0.683168316831683</v>
      </c>
      <c r="S84" s="13">
        <f t="shared" si="21"/>
        <v>0.689655172413793</v>
      </c>
      <c r="T84" s="13">
        <f t="shared" si="21"/>
        <v>0.869565217391304</v>
      </c>
      <c r="U84" s="13">
        <f t="shared" si="21"/>
        <v>0.844827586206897</v>
      </c>
      <c r="V84" s="13">
        <f t="shared" si="21"/>
        <v>0.844827586206897</v>
      </c>
      <c r="W84" s="13">
        <f t="shared" si="21"/>
        <v>0.862068965517241</v>
      </c>
      <c r="X84" s="13">
        <f t="shared" si="21"/>
        <v>0.758620689655172</v>
      </c>
      <c r="Y84" s="13">
        <f t="shared" si="21"/>
        <v>0.869565217391304</v>
      </c>
      <c r="Z84" s="13">
        <f t="shared" si="21"/>
        <v>0.852173913043478</v>
      </c>
      <c r="AA84" s="13">
        <f t="shared" si="21"/>
        <v>0.791304347826087</v>
      </c>
      <c r="AB84" s="13">
        <f t="shared" si="21"/>
        <v>0.756521739130435</v>
      </c>
      <c r="AC84" s="13">
        <f t="shared" si="21"/>
        <v>0.944</v>
      </c>
      <c r="AD84" s="13">
        <f t="shared" si="21"/>
        <v>0.936</v>
      </c>
      <c r="AE84" s="13">
        <f t="shared" si="21"/>
        <v>0.951612903225806</v>
      </c>
      <c r="AF84" s="13">
        <f t="shared" si="21"/>
        <v>0.925</v>
      </c>
      <c r="AG84" s="13">
        <f t="shared" si="21"/>
        <v>0.858333333333333</v>
      </c>
      <c r="AH84" s="13">
        <f t="shared" si="21"/>
        <v>0.841666666666667</v>
      </c>
      <c r="AI84" s="13">
        <f t="shared" si="21"/>
        <v>0.9</v>
      </c>
      <c r="AJ84" s="13">
        <f t="shared" si="21"/>
        <v>0.848739495798319</v>
      </c>
      <c r="AK84" s="13">
        <f t="shared" si="21"/>
        <v>0.80672268907563</v>
      </c>
      <c r="AL84" s="13">
        <f t="shared" si="21"/>
        <v>0.840336134453782</v>
      </c>
      <c r="AM84" s="13">
        <f t="shared" si="21"/>
        <v>0.830508474576271</v>
      </c>
      <c r="AN84" s="13">
        <f t="shared" si="21"/>
        <v>0.923076923076923</v>
      </c>
      <c r="AO84" s="13">
        <f t="shared" si="21"/>
        <v>0.846153846153846</v>
      </c>
      <c r="AP84" s="13">
        <f t="shared" si="21"/>
        <v>0.897058823529412</v>
      </c>
      <c r="AQ84" s="13">
        <f t="shared" si="21"/>
        <v>0.867647058823529</v>
      </c>
    </row>
    <row r="85" spans="2:43">
      <c r="B85" s="17"/>
      <c r="C85" s="17" t="s">
        <v>3531</v>
      </c>
      <c r="D85" s="17" t="s">
        <v>3532</v>
      </c>
      <c r="E85" s="17"/>
      <c r="F85" s="17"/>
      <c r="G85" s="17"/>
      <c r="H85" s="17"/>
      <c r="I85" s="17"/>
      <c r="J85" s="17" t="s">
        <v>3509</v>
      </c>
      <c r="K85" s="17" t="s">
        <v>3533</v>
      </c>
      <c r="L85" s="17"/>
      <c r="M85" s="17" t="s">
        <v>3534</v>
      </c>
      <c r="N85" s="17"/>
      <c r="O85" s="17"/>
      <c r="P85" s="17" t="s">
        <v>3535</v>
      </c>
      <c r="Q85" s="17"/>
      <c r="R85" s="17"/>
      <c r="S85" s="17"/>
      <c r="T85" s="17" t="s">
        <v>3536</v>
      </c>
      <c r="U85" s="17" t="s">
        <v>3488</v>
      </c>
      <c r="V85" s="17"/>
      <c r="W85" s="17"/>
      <c r="X85" s="17"/>
      <c r="Y85" s="17" t="s">
        <v>3537</v>
      </c>
      <c r="Z85" s="17"/>
      <c r="AA85" s="17"/>
      <c r="AB85" s="17"/>
      <c r="AC85" s="17"/>
      <c r="AD85" s="17"/>
      <c r="AE85" s="17" t="s">
        <v>3538</v>
      </c>
      <c r="AF85" s="17"/>
      <c r="AG85" s="17"/>
      <c r="AH85" s="17"/>
      <c r="AI85" s="17"/>
      <c r="AJ85" s="17"/>
      <c r="AK85" s="17"/>
      <c r="AL85" s="17"/>
      <c r="AM85" s="17" t="s">
        <v>3539</v>
      </c>
      <c r="AN85" s="17" t="s">
        <v>3540</v>
      </c>
      <c r="AO85" s="17"/>
      <c r="AP85" s="17" t="s">
        <v>3541</v>
      </c>
      <c r="AQ85" s="17"/>
    </row>
    <row r="86" spans="2:43">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row>
    <row r="87" spans="2:43">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row>
    <row r="88" spans="2:43">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row>
    <row r="89" spans="2:43">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row>
    <row r="90" spans="2:43">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row>
    <row r="91" spans="2:43">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row>
    <row r="97" spans="22:22">
      <c r="V97" s="27" t="s">
        <v>3542</v>
      </c>
    </row>
    <row r="98" spans="1:43">
      <c r="A98" s="3" t="s">
        <v>3543</v>
      </c>
      <c r="B98" s="4">
        <v>44848</v>
      </c>
      <c r="C98" s="4">
        <v>44855</v>
      </c>
      <c r="D98" s="4">
        <v>44862</v>
      </c>
      <c r="E98" s="4">
        <v>44876</v>
      </c>
      <c r="F98" s="4">
        <v>44883</v>
      </c>
      <c r="G98" s="4">
        <v>44890</v>
      </c>
      <c r="H98" s="4">
        <v>44896</v>
      </c>
      <c r="I98" s="4">
        <v>44904</v>
      </c>
      <c r="J98" s="4">
        <v>44911</v>
      </c>
      <c r="K98" s="4">
        <v>44918</v>
      </c>
      <c r="L98" s="4">
        <v>44925</v>
      </c>
      <c r="M98" s="4">
        <v>44939</v>
      </c>
      <c r="N98" s="4">
        <v>44946</v>
      </c>
      <c r="O98" s="4">
        <v>44954</v>
      </c>
      <c r="P98" s="4">
        <v>44967</v>
      </c>
      <c r="Q98" s="4">
        <v>44974</v>
      </c>
      <c r="R98" s="4">
        <v>44981</v>
      </c>
      <c r="S98" s="4">
        <v>44995</v>
      </c>
      <c r="T98" s="4">
        <v>45002</v>
      </c>
      <c r="U98" s="4">
        <v>45009</v>
      </c>
      <c r="V98" s="4">
        <v>45016</v>
      </c>
      <c r="W98" s="4">
        <v>45030</v>
      </c>
      <c r="X98" s="4">
        <v>45037</v>
      </c>
      <c r="Y98" s="4">
        <v>45044</v>
      </c>
      <c r="Z98" s="4">
        <v>45058</v>
      </c>
      <c r="AA98" s="4">
        <v>45065</v>
      </c>
      <c r="AB98" s="4">
        <v>45072</v>
      </c>
      <c r="AC98" s="4">
        <v>45086</v>
      </c>
      <c r="AD98" s="4">
        <v>45093</v>
      </c>
      <c r="AE98" s="4">
        <v>45107</v>
      </c>
      <c r="AF98" s="4">
        <v>45114</v>
      </c>
      <c r="AG98" s="4">
        <v>45121</v>
      </c>
      <c r="AH98" s="4">
        <v>45128</v>
      </c>
      <c r="AI98" s="4">
        <v>45135</v>
      </c>
      <c r="AJ98" s="4">
        <v>45149</v>
      </c>
      <c r="AK98" s="4">
        <v>45156</v>
      </c>
      <c r="AL98" s="4">
        <v>45163</v>
      </c>
      <c r="AM98" s="4">
        <v>45170</v>
      </c>
      <c r="AN98" s="4">
        <v>45184</v>
      </c>
      <c r="AO98" s="4">
        <v>45191</v>
      </c>
      <c r="AP98" s="4">
        <v>45212</v>
      </c>
      <c r="AQ98" s="4">
        <v>45219</v>
      </c>
    </row>
    <row r="99" spans="1:43">
      <c r="A99" s="5" t="s">
        <v>3470</v>
      </c>
      <c r="B99" s="6">
        <v>144</v>
      </c>
      <c r="C99" s="6">
        <v>143</v>
      </c>
      <c r="D99" s="6">
        <v>142</v>
      </c>
      <c r="E99" s="6">
        <v>142</v>
      </c>
      <c r="F99" s="6">
        <v>141</v>
      </c>
      <c r="G99" s="6">
        <v>138</v>
      </c>
      <c r="H99" s="6">
        <v>139</v>
      </c>
      <c r="I99" s="6">
        <v>137</v>
      </c>
      <c r="J99" s="6">
        <v>133</v>
      </c>
      <c r="K99" s="6">
        <v>131</v>
      </c>
      <c r="L99" s="6">
        <v>127</v>
      </c>
      <c r="M99" s="6">
        <v>126</v>
      </c>
      <c r="N99" s="6">
        <v>120</v>
      </c>
      <c r="O99" s="6">
        <v>118</v>
      </c>
      <c r="P99" s="6">
        <v>117</v>
      </c>
      <c r="Q99" s="6">
        <v>115</v>
      </c>
      <c r="R99" s="6">
        <v>114</v>
      </c>
      <c r="S99" s="6">
        <v>116</v>
      </c>
      <c r="T99" s="6">
        <v>112</v>
      </c>
      <c r="U99" s="6">
        <v>109</v>
      </c>
      <c r="V99" s="6"/>
      <c r="W99" s="6">
        <v>108</v>
      </c>
      <c r="X99" s="6">
        <v>108</v>
      </c>
      <c r="Y99" s="6">
        <v>106</v>
      </c>
      <c r="Z99" s="6">
        <v>106</v>
      </c>
      <c r="AA99" s="6">
        <v>106</v>
      </c>
      <c r="AB99" s="6">
        <v>101</v>
      </c>
      <c r="AC99" s="6">
        <v>94</v>
      </c>
      <c r="AD99" s="6">
        <v>90</v>
      </c>
      <c r="AE99" s="6">
        <v>84</v>
      </c>
      <c r="AF99" s="6">
        <v>79</v>
      </c>
      <c r="AG99" s="6">
        <v>76</v>
      </c>
      <c r="AH99" s="6">
        <v>91</v>
      </c>
      <c r="AI99" s="6">
        <v>72</v>
      </c>
      <c r="AJ99" s="6">
        <v>72</v>
      </c>
      <c r="AK99" s="6">
        <v>70</v>
      </c>
      <c r="AL99" s="6">
        <v>72</v>
      </c>
      <c r="AM99" s="6">
        <v>70</v>
      </c>
      <c r="AN99" s="6">
        <v>72</v>
      </c>
      <c r="AO99" s="6">
        <v>70</v>
      </c>
      <c r="AP99" s="6">
        <v>57</v>
      </c>
      <c r="AQ99" s="6">
        <v>66</v>
      </c>
    </row>
    <row r="100" spans="1:43">
      <c r="A100" s="7" t="s">
        <v>3474</v>
      </c>
      <c r="B100" s="8">
        <f t="shared" ref="B100:U100" si="22">B99-B103</f>
        <v>144</v>
      </c>
      <c r="C100" s="8">
        <f t="shared" si="22"/>
        <v>143</v>
      </c>
      <c r="D100" s="8">
        <f t="shared" si="22"/>
        <v>142</v>
      </c>
      <c r="E100" s="8">
        <f t="shared" si="22"/>
        <v>142</v>
      </c>
      <c r="F100" s="8">
        <f t="shared" si="22"/>
        <v>141</v>
      </c>
      <c r="G100" s="8">
        <f t="shared" si="22"/>
        <v>138</v>
      </c>
      <c r="H100" s="8">
        <f t="shared" si="22"/>
        <v>139</v>
      </c>
      <c r="I100" s="8">
        <f t="shared" si="22"/>
        <v>137</v>
      </c>
      <c r="J100" s="8">
        <f t="shared" si="22"/>
        <v>133</v>
      </c>
      <c r="K100" s="8">
        <f t="shared" si="22"/>
        <v>131</v>
      </c>
      <c r="L100" s="8">
        <f t="shared" si="22"/>
        <v>127</v>
      </c>
      <c r="M100" s="8">
        <f t="shared" si="22"/>
        <v>126</v>
      </c>
      <c r="N100" s="8">
        <f t="shared" si="22"/>
        <v>120</v>
      </c>
      <c r="O100" s="8">
        <f t="shared" si="22"/>
        <v>118</v>
      </c>
      <c r="P100" s="8">
        <f t="shared" si="22"/>
        <v>117</v>
      </c>
      <c r="Q100" s="8">
        <f t="shared" si="22"/>
        <v>115</v>
      </c>
      <c r="R100" s="8">
        <f t="shared" si="22"/>
        <v>114</v>
      </c>
      <c r="S100" s="8">
        <f t="shared" si="22"/>
        <v>116</v>
      </c>
      <c r="T100" s="8">
        <f t="shared" si="22"/>
        <v>112</v>
      </c>
      <c r="U100" s="8">
        <f t="shared" si="22"/>
        <v>109</v>
      </c>
      <c r="V100" s="8"/>
      <c r="W100" s="8">
        <f t="shared" ref="W100:AD100" si="23">W99-W103</f>
        <v>108</v>
      </c>
      <c r="X100" s="8">
        <f t="shared" si="23"/>
        <v>108</v>
      </c>
      <c r="Y100" s="8">
        <f t="shared" si="23"/>
        <v>106</v>
      </c>
      <c r="Z100" s="8">
        <f t="shared" si="23"/>
        <v>106</v>
      </c>
      <c r="AA100" s="8">
        <f t="shared" si="23"/>
        <v>106</v>
      </c>
      <c r="AB100" s="8">
        <f t="shared" si="23"/>
        <v>101</v>
      </c>
      <c r="AC100" s="8">
        <f t="shared" si="23"/>
        <v>94</v>
      </c>
      <c r="AD100" s="8">
        <f t="shared" si="23"/>
        <v>90</v>
      </c>
      <c r="AE100" s="8">
        <f t="shared" ref="AE100:AQ100" si="24">AE101+AE102</f>
        <v>84</v>
      </c>
      <c r="AF100" s="8">
        <f t="shared" si="24"/>
        <v>79</v>
      </c>
      <c r="AG100" s="8">
        <f t="shared" si="24"/>
        <v>76</v>
      </c>
      <c r="AH100" s="8">
        <f t="shared" si="24"/>
        <v>73</v>
      </c>
      <c r="AI100" s="8">
        <f t="shared" si="24"/>
        <v>54</v>
      </c>
      <c r="AJ100" s="8">
        <f t="shared" si="24"/>
        <v>54</v>
      </c>
      <c r="AK100" s="8">
        <f t="shared" si="24"/>
        <v>52</v>
      </c>
      <c r="AL100" s="8">
        <f t="shared" si="24"/>
        <v>67</v>
      </c>
      <c r="AM100" s="8">
        <f t="shared" si="24"/>
        <v>63</v>
      </c>
      <c r="AN100" s="8">
        <f t="shared" si="24"/>
        <v>60</v>
      </c>
      <c r="AO100" s="8">
        <f t="shared" si="24"/>
        <v>58</v>
      </c>
      <c r="AP100" s="8">
        <f t="shared" si="24"/>
        <v>56</v>
      </c>
      <c r="AQ100" s="8">
        <f>AQ99-AQ103-9</f>
        <v>47</v>
      </c>
    </row>
    <row r="101" spans="1:43">
      <c r="A101" s="26" t="s">
        <v>1431</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v>84</v>
      </c>
      <c r="AF101" s="10">
        <v>79</v>
      </c>
      <c r="AG101" s="10">
        <v>76</v>
      </c>
      <c r="AH101" s="10">
        <v>73</v>
      </c>
      <c r="AI101" s="10">
        <v>54</v>
      </c>
      <c r="AJ101" s="10">
        <v>54</v>
      </c>
      <c r="AK101" s="10">
        <v>52</v>
      </c>
      <c r="AL101" s="10">
        <v>49</v>
      </c>
      <c r="AM101" s="10">
        <v>45</v>
      </c>
      <c r="AN101" s="10">
        <v>43</v>
      </c>
      <c r="AO101" s="10">
        <v>42</v>
      </c>
      <c r="AP101" s="10">
        <v>34</v>
      </c>
      <c r="AQ101" s="10">
        <v>35</v>
      </c>
    </row>
    <row r="102" spans="1:43">
      <c r="A102" s="26" t="s">
        <v>1786</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v>0</v>
      </c>
      <c r="AF102" s="10">
        <v>0</v>
      </c>
      <c r="AG102" s="10">
        <v>0</v>
      </c>
      <c r="AH102" s="10">
        <v>0</v>
      </c>
      <c r="AI102" s="10">
        <v>0</v>
      </c>
      <c r="AJ102" s="10">
        <v>0</v>
      </c>
      <c r="AK102" s="10">
        <v>0</v>
      </c>
      <c r="AL102" s="10">
        <v>18</v>
      </c>
      <c r="AM102" s="10">
        <v>18</v>
      </c>
      <c r="AN102" s="10">
        <v>17</v>
      </c>
      <c r="AO102" s="10">
        <v>16</v>
      </c>
      <c r="AP102" s="10">
        <v>22</v>
      </c>
      <c r="AQ102" s="10">
        <v>12</v>
      </c>
    </row>
    <row r="103" spans="1:43">
      <c r="A103" s="9" t="s">
        <v>3478</v>
      </c>
      <c r="B103" s="6">
        <v>0</v>
      </c>
      <c r="C103" s="6">
        <v>0</v>
      </c>
      <c r="D103" s="6">
        <v>0</v>
      </c>
      <c r="E103" s="6">
        <v>0</v>
      </c>
      <c r="F103" s="6">
        <v>0</v>
      </c>
      <c r="G103" s="6">
        <v>0</v>
      </c>
      <c r="H103" s="6">
        <v>0</v>
      </c>
      <c r="I103" s="6">
        <v>0</v>
      </c>
      <c r="J103" s="6">
        <v>0</v>
      </c>
      <c r="K103" s="6">
        <v>0</v>
      </c>
      <c r="L103" s="6">
        <v>0</v>
      </c>
      <c r="M103" s="6">
        <v>0</v>
      </c>
      <c r="N103" s="6">
        <v>0</v>
      </c>
      <c r="O103" s="6">
        <v>0</v>
      </c>
      <c r="P103" s="6">
        <v>0</v>
      </c>
      <c r="Q103" s="6">
        <v>0</v>
      </c>
      <c r="R103" s="6">
        <v>0</v>
      </c>
      <c r="S103" s="6">
        <v>0</v>
      </c>
      <c r="T103" s="6">
        <v>0</v>
      </c>
      <c r="U103" s="6">
        <v>0</v>
      </c>
      <c r="V103" s="6"/>
      <c r="W103" s="6">
        <v>0</v>
      </c>
      <c r="X103" s="6">
        <v>0</v>
      </c>
      <c r="Y103" s="6">
        <v>0</v>
      </c>
      <c r="Z103" s="6">
        <v>0</v>
      </c>
      <c r="AA103" s="6">
        <v>0</v>
      </c>
      <c r="AB103" s="6">
        <v>0</v>
      </c>
      <c r="AC103" s="6">
        <v>0</v>
      </c>
      <c r="AD103" s="6">
        <v>0</v>
      </c>
      <c r="AE103" s="6">
        <v>0</v>
      </c>
      <c r="AF103" s="6">
        <v>0</v>
      </c>
      <c r="AG103" s="6">
        <v>0</v>
      </c>
      <c r="AH103" s="6">
        <v>18</v>
      </c>
      <c r="AI103" s="6">
        <v>18</v>
      </c>
      <c r="AJ103" s="6">
        <v>18</v>
      </c>
      <c r="AK103" s="6">
        <v>18</v>
      </c>
      <c r="AL103" s="6">
        <v>5</v>
      </c>
      <c r="AM103" s="6">
        <v>7</v>
      </c>
      <c r="AN103" s="6">
        <v>12</v>
      </c>
      <c r="AO103" s="6">
        <v>12</v>
      </c>
      <c r="AP103" s="6">
        <v>1</v>
      </c>
      <c r="AQ103" s="6">
        <v>10</v>
      </c>
    </row>
    <row r="104" spans="1:43">
      <c r="A104" s="7" t="s">
        <v>3471</v>
      </c>
      <c r="B104" s="8">
        <v>3</v>
      </c>
      <c r="C104" s="8">
        <v>3</v>
      </c>
      <c r="D104" s="8">
        <v>3</v>
      </c>
      <c r="E104" s="8">
        <v>10</v>
      </c>
      <c r="F104" s="8">
        <v>12</v>
      </c>
      <c r="G104" s="8">
        <v>11</v>
      </c>
      <c r="H104" s="8">
        <v>16</v>
      </c>
      <c r="I104" s="8">
        <v>20</v>
      </c>
      <c r="J104" s="8">
        <v>19</v>
      </c>
      <c r="K104" s="8">
        <v>16</v>
      </c>
      <c r="L104" s="8">
        <v>13</v>
      </c>
      <c r="M104" s="8">
        <v>13</v>
      </c>
      <c r="N104" s="8">
        <v>7</v>
      </c>
      <c r="O104" s="8">
        <v>9</v>
      </c>
      <c r="P104" s="8">
        <v>13</v>
      </c>
      <c r="Q104" s="8">
        <v>9</v>
      </c>
      <c r="R104" s="8">
        <v>6</v>
      </c>
      <c r="S104" s="8">
        <v>2</v>
      </c>
      <c r="T104" s="8">
        <v>4</v>
      </c>
      <c r="U104" s="8">
        <v>4</v>
      </c>
      <c r="V104" s="8"/>
      <c r="W104" s="8">
        <v>3</v>
      </c>
      <c r="X104" s="8">
        <f>1+1+1</f>
        <v>3</v>
      </c>
      <c r="Y104" s="8">
        <f>1+1</f>
        <v>2</v>
      </c>
      <c r="Z104" s="8">
        <v>4</v>
      </c>
      <c r="AA104" s="8">
        <f>2+1+1</f>
        <v>4</v>
      </c>
      <c r="AB104" s="8">
        <v>11</v>
      </c>
      <c r="AC104" s="8">
        <v>4</v>
      </c>
      <c r="AD104" s="8">
        <f>1+8</f>
        <v>9</v>
      </c>
      <c r="AE104" s="8">
        <f t="shared" ref="AE104:AQ104" si="25">AE105+AE106</f>
        <v>7</v>
      </c>
      <c r="AF104" s="8">
        <f t="shared" si="25"/>
        <v>6</v>
      </c>
      <c r="AG104" s="8">
        <f t="shared" si="25"/>
        <v>12</v>
      </c>
      <c r="AH104" s="8">
        <f t="shared" si="25"/>
        <v>9</v>
      </c>
      <c r="AI104" s="8">
        <f t="shared" si="25"/>
        <v>4</v>
      </c>
      <c r="AJ104" s="8">
        <f t="shared" si="25"/>
        <v>4</v>
      </c>
      <c r="AK104" s="8">
        <f t="shared" si="25"/>
        <v>5</v>
      </c>
      <c r="AL104" s="8">
        <f t="shared" si="25"/>
        <v>8</v>
      </c>
      <c r="AM104" s="8">
        <f t="shared" si="25"/>
        <v>6</v>
      </c>
      <c r="AN104" s="8">
        <f t="shared" si="25"/>
        <v>6</v>
      </c>
      <c r="AO104" s="8">
        <f t="shared" si="25"/>
        <v>5</v>
      </c>
      <c r="AP104" s="8">
        <f t="shared" si="25"/>
        <v>6</v>
      </c>
      <c r="AQ104" s="8">
        <f t="shared" si="25"/>
        <v>6</v>
      </c>
    </row>
    <row r="105" spans="1:43">
      <c r="A105" s="26" t="s">
        <v>1431</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v>7</v>
      </c>
      <c r="AF105" s="10">
        <v>6</v>
      </c>
      <c r="AG105" s="10">
        <v>12</v>
      </c>
      <c r="AH105" s="10">
        <v>9</v>
      </c>
      <c r="AI105" s="10">
        <v>4</v>
      </c>
      <c r="AJ105" s="10">
        <v>4</v>
      </c>
      <c r="AK105" s="10">
        <v>5</v>
      </c>
      <c r="AL105" s="10">
        <v>3</v>
      </c>
      <c r="AM105" s="10">
        <v>1</v>
      </c>
      <c r="AN105" s="10">
        <v>1</v>
      </c>
      <c r="AO105" s="10">
        <v>2</v>
      </c>
      <c r="AP105" s="10">
        <v>1</v>
      </c>
      <c r="AQ105" s="10">
        <v>2</v>
      </c>
    </row>
    <row r="106" spans="1:43">
      <c r="A106" s="26" t="s">
        <v>1786</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v>0</v>
      </c>
      <c r="AF106" s="10">
        <v>0</v>
      </c>
      <c r="AG106" s="10">
        <v>0</v>
      </c>
      <c r="AH106" s="10">
        <v>0</v>
      </c>
      <c r="AI106" s="10">
        <v>0</v>
      </c>
      <c r="AJ106" s="10">
        <v>0</v>
      </c>
      <c r="AK106" s="10">
        <v>0</v>
      </c>
      <c r="AL106" s="10">
        <v>5</v>
      </c>
      <c r="AM106" s="10">
        <v>5</v>
      </c>
      <c r="AN106" s="10">
        <v>5</v>
      </c>
      <c r="AO106" s="10">
        <v>3</v>
      </c>
      <c r="AP106" s="10">
        <v>5</v>
      </c>
      <c r="AQ106" s="10">
        <v>4</v>
      </c>
    </row>
    <row r="107" spans="1:43">
      <c r="A107" s="9" t="s">
        <v>3479</v>
      </c>
      <c r="B107" s="11">
        <f t="shared" ref="B107:U107" si="26">B104/B100</f>
        <v>0.0208333333333333</v>
      </c>
      <c r="C107" s="11">
        <f t="shared" si="26"/>
        <v>0.020979020979021</v>
      </c>
      <c r="D107" s="11">
        <f t="shared" si="26"/>
        <v>0.0211267605633803</v>
      </c>
      <c r="E107" s="11">
        <f t="shared" si="26"/>
        <v>0.0704225352112676</v>
      </c>
      <c r="F107" s="11">
        <f t="shared" si="26"/>
        <v>0.0851063829787234</v>
      </c>
      <c r="G107" s="11">
        <f t="shared" si="26"/>
        <v>0.0797101449275362</v>
      </c>
      <c r="H107" s="11">
        <f t="shared" si="26"/>
        <v>0.115107913669065</v>
      </c>
      <c r="I107" s="11">
        <f t="shared" si="26"/>
        <v>0.145985401459854</v>
      </c>
      <c r="J107" s="11">
        <f t="shared" si="26"/>
        <v>0.142857142857143</v>
      </c>
      <c r="K107" s="11">
        <f t="shared" si="26"/>
        <v>0.122137404580153</v>
      </c>
      <c r="L107" s="11">
        <f t="shared" si="26"/>
        <v>0.102362204724409</v>
      </c>
      <c r="M107" s="11">
        <f t="shared" si="26"/>
        <v>0.103174603174603</v>
      </c>
      <c r="N107" s="11">
        <f t="shared" si="26"/>
        <v>0.0583333333333333</v>
      </c>
      <c r="O107" s="11">
        <f t="shared" si="26"/>
        <v>0.076271186440678</v>
      </c>
      <c r="P107" s="11">
        <f t="shared" si="26"/>
        <v>0.111111111111111</v>
      </c>
      <c r="Q107" s="11">
        <f t="shared" si="26"/>
        <v>0.0782608695652174</v>
      </c>
      <c r="R107" s="11">
        <f t="shared" si="26"/>
        <v>0.0526315789473684</v>
      </c>
      <c r="S107" s="11">
        <f t="shared" si="26"/>
        <v>0.0172413793103448</v>
      </c>
      <c r="T107" s="11">
        <f t="shared" si="26"/>
        <v>0.0357142857142857</v>
      </c>
      <c r="U107" s="11">
        <f t="shared" si="26"/>
        <v>0.036697247706422</v>
      </c>
      <c r="V107" s="11"/>
      <c r="W107" s="11">
        <f t="shared" ref="W107:AQ107" si="27">W104/W100</f>
        <v>0.0277777777777778</v>
      </c>
      <c r="X107" s="11">
        <f t="shared" si="27"/>
        <v>0.0277777777777778</v>
      </c>
      <c r="Y107" s="11">
        <f t="shared" si="27"/>
        <v>0.0188679245283019</v>
      </c>
      <c r="Z107" s="11">
        <f t="shared" si="27"/>
        <v>0.0377358490566038</v>
      </c>
      <c r="AA107" s="11">
        <f t="shared" si="27"/>
        <v>0.0377358490566038</v>
      </c>
      <c r="AB107" s="11">
        <f t="shared" si="27"/>
        <v>0.108910891089109</v>
      </c>
      <c r="AC107" s="11">
        <f t="shared" si="27"/>
        <v>0.0425531914893617</v>
      </c>
      <c r="AD107" s="11">
        <f t="shared" si="27"/>
        <v>0.1</v>
      </c>
      <c r="AE107" s="11">
        <f t="shared" si="27"/>
        <v>0.0833333333333333</v>
      </c>
      <c r="AF107" s="11">
        <f t="shared" si="27"/>
        <v>0.0759493670886076</v>
      </c>
      <c r="AG107" s="11">
        <f t="shared" si="27"/>
        <v>0.157894736842105</v>
      </c>
      <c r="AH107" s="11">
        <f t="shared" si="27"/>
        <v>0.123287671232877</v>
      </c>
      <c r="AI107" s="11">
        <f t="shared" si="27"/>
        <v>0.0740740740740741</v>
      </c>
      <c r="AJ107" s="11">
        <f t="shared" si="27"/>
        <v>0.0740740740740741</v>
      </c>
      <c r="AK107" s="11">
        <f t="shared" si="27"/>
        <v>0.0961538461538462</v>
      </c>
      <c r="AL107" s="11">
        <f t="shared" si="27"/>
        <v>0.119402985074627</v>
      </c>
      <c r="AM107" s="11">
        <f t="shared" si="27"/>
        <v>0.0952380952380952</v>
      </c>
      <c r="AN107" s="11">
        <f t="shared" si="27"/>
        <v>0.1</v>
      </c>
      <c r="AO107" s="11">
        <f t="shared" si="27"/>
        <v>0.0862068965517241</v>
      </c>
      <c r="AP107" s="11">
        <f t="shared" si="27"/>
        <v>0.107142857142857</v>
      </c>
      <c r="AQ107" s="11">
        <f t="shared" si="27"/>
        <v>0.127659574468085</v>
      </c>
    </row>
    <row r="108" spans="1:43">
      <c r="A108" s="7" t="s">
        <v>3480</v>
      </c>
      <c r="B108" s="8">
        <v>4473</v>
      </c>
      <c r="C108" s="8">
        <v>4414</v>
      </c>
      <c r="D108" s="8">
        <v>4193</v>
      </c>
      <c r="E108" s="8">
        <v>4044</v>
      </c>
      <c r="F108" s="8">
        <v>3982</v>
      </c>
      <c r="G108" s="8">
        <v>3874</v>
      </c>
      <c r="H108" s="8">
        <v>3724</v>
      </c>
      <c r="I108" s="8">
        <v>3553</v>
      </c>
      <c r="J108" s="8">
        <v>3444</v>
      </c>
      <c r="K108" s="8">
        <v>3364</v>
      </c>
      <c r="L108" s="8">
        <v>3310</v>
      </c>
      <c r="M108" s="8">
        <v>3167</v>
      </c>
      <c r="N108" s="8">
        <v>3103</v>
      </c>
      <c r="O108" s="8">
        <v>3057</v>
      </c>
      <c r="P108" s="8">
        <v>2968</v>
      </c>
      <c r="Q108" s="8">
        <v>2936</v>
      </c>
      <c r="R108" s="8">
        <v>2901</v>
      </c>
      <c r="S108" s="8">
        <v>2847</v>
      </c>
      <c r="T108" s="8">
        <v>2827</v>
      </c>
      <c r="U108" s="8">
        <v>2802</v>
      </c>
      <c r="V108" s="8"/>
      <c r="W108" s="8">
        <v>2746</v>
      </c>
      <c r="X108" s="8">
        <v>2726</v>
      </c>
      <c r="Y108" s="8">
        <v>2707</v>
      </c>
      <c r="Z108" s="8">
        <v>2695</v>
      </c>
      <c r="AA108" s="8">
        <v>2411</v>
      </c>
      <c r="AB108" s="8">
        <v>1524</v>
      </c>
      <c r="AC108" s="8">
        <v>674</v>
      </c>
      <c r="AD108" s="8">
        <v>561</v>
      </c>
      <c r="AE108" s="8">
        <v>462</v>
      </c>
      <c r="AF108" s="8">
        <v>412</v>
      </c>
      <c r="AG108" s="8">
        <v>410</v>
      </c>
      <c r="AH108" s="8">
        <v>872</v>
      </c>
      <c r="AI108" s="8">
        <v>813</v>
      </c>
      <c r="AJ108" s="8">
        <v>656</v>
      </c>
      <c r="AK108" s="8">
        <v>625</v>
      </c>
      <c r="AL108" s="8">
        <v>741</v>
      </c>
      <c r="AM108" s="8">
        <v>833</v>
      </c>
      <c r="AN108" s="8">
        <v>853</v>
      </c>
      <c r="AO108" s="8">
        <v>775</v>
      </c>
      <c r="AP108" s="8">
        <v>585</v>
      </c>
      <c r="AQ108" s="8">
        <v>764</v>
      </c>
    </row>
    <row r="109" ht="13.65" spans="1:43">
      <c r="A109" s="12" t="s">
        <v>3472</v>
      </c>
      <c r="B109" s="13">
        <f t="shared" ref="B109:U109" si="28">1-B107</f>
        <v>0.979166666666667</v>
      </c>
      <c r="C109" s="13">
        <f t="shared" si="28"/>
        <v>0.979020979020979</v>
      </c>
      <c r="D109" s="13">
        <f t="shared" si="28"/>
        <v>0.97887323943662</v>
      </c>
      <c r="E109" s="13">
        <f t="shared" si="28"/>
        <v>0.929577464788732</v>
      </c>
      <c r="F109" s="13">
        <f t="shared" si="28"/>
        <v>0.914893617021277</v>
      </c>
      <c r="G109" s="13">
        <f t="shared" si="28"/>
        <v>0.920289855072464</v>
      </c>
      <c r="H109" s="13">
        <f t="shared" si="28"/>
        <v>0.884892086330935</v>
      </c>
      <c r="I109" s="13">
        <f t="shared" si="28"/>
        <v>0.854014598540146</v>
      </c>
      <c r="J109" s="13">
        <f t="shared" si="28"/>
        <v>0.857142857142857</v>
      </c>
      <c r="K109" s="13">
        <f t="shared" si="28"/>
        <v>0.877862595419847</v>
      </c>
      <c r="L109" s="13">
        <f t="shared" si="28"/>
        <v>0.897637795275591</v>
      </c>
      <c r="M109" s="13">
        <f t="shared" si="28"/>
        <v>0.896825396825397</v>
      </c>
      <c r="N109" s="13">
        <f t="shared" si="28"/>
        <v>0.941666666666667</v>
      </c>
      <c r="O109" s="13">
        <f t="shared" si="28"/>
        <v>0.923728813559322</v>
      </c>
      <c r="P109" s="13">
        <f t="shared" si="28"/>
        <v>0.888888888888889</v>
      </c>
      <c r="Q109" s="13">
        <f t="shared" si="28"/>
        <v>0.921739130434783</v>
      </c>
      <c r="R109" s="13">
        <f t="shared" si="28"/>
        <v>0.947368421052632</v>
      </c>
      <c r="S109" s="13">
        <f t="shared" si="28"/>
        <v>0.982758620689655</v>
      </c>
      <c r="T109" s="13">
        <f t="shared" si="28"/>
        <v>0.964285714285714</v>
      </c>
      <c r="U109" s="13">
        <f t="shared" si="28"/>
        <v>0.963302752293578</v>
      </c>
      <c r="V109" s="13"/>
      <c r="W109" s="13">
        <f t="shared" ref="W109:AQ109" si="29">1-W107</f>
        <v>0.972222222222222</v>
      </c>
      <c r="X109" s="13">
        <f t="shared" si="29"/>
        <v>0.972222222222222</v>
      </c>
      <c r="Y109" s="13">
        <f t="shared" si="29"/>
        <v>0.981132075471698</v>
      </c>
      <c r="Z109" s="13">
        <f t="shared" si="29"/>
        <v>0.962264150943396</v>
      </c>
      <c r="AA109" s="13">
        <f t="shared" si="29"/>
        <v>0.962264150943396</v>
      </c>
      <c r="AB109" s="13">
        <f t="shared" si="29"/>
        <v>0.891089108910891</v>
      </c>
      <c r="AC109" s="13">
        <f t="shared" si="29"/>
        <v>0.957446808510638</v>
      </c>
      <c r="AD109" s="13">
        <f t="shared" si="29"/>
        <v>0.9</v>
      </c>
      <c r="AE109" s="13">
        <f t="shared" si="29"/>
        <v>0.916666666666667</v>
      </c>
      <c r="AF109" s="13">
        <f t="shared" si="29"/>
        <v>0.924050632911392</v>
      </c>
      <c r="AG109" s="13">
        <f t="shared" si="29"/>
        <v>0.842105263157895</v>
      </c>
      <c r="AH109" s="13">
        <f t="shared" si="29"/>
        <v>0.876712328767123</v>
      </c>
      <c r="AI109" s="13">
        <f t="shared" si="29"/>
        <v>0.925925925925926</v>
      </c>
      <c r="AJ109" s="13">
        <f t="shared" si="29"/>
        <v>0.925925925925926</v>
      </c>
      <c r="AK109" s="13">
        <f t="shared" si="29"/>
        <v>0.903846153846154</v>
      </c>
      <c r="AL109" s="13">
        <f t="shared" si="29"/>
        <v>0.880597014925373</v>
      </c>
      <c r="AM109" s="13">
        <f t="shared" si="29"/>
        <v>0.904761904761905</v>
      </c>
      <c r="AN109" s="13">
        <f t="shared" si="29"/>
        <v>0.9</v>
      </c>
      <c r="AO109" s="13">
        <f t="shared" si="29"/>
        <v>0.913793103448276</v>
      </c>
      <c r="AP109" s="13">
        <f t="shared" si="29"/>
        <v>0.892857142857143</v>
      </c>
      <c r="AQ109" s="13">
        <f t="shared" si="29"/>
        <v>0.872340425531915</v>
      </c>
    </row>
    <row r="110" spans="2:43">
      <c r="B110" s="17" t="s">
        <v>3544</v>
      </c>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t="s">
        <v>3545</v>
      </c>
      <c r="AI110" s="17"/>
      <c r="AJ110" s="17"/>
      <c r="AK110" s="17"/>
      <c r="AL110" s="17" t="s">
        <v>3546</v>
      </c>
      <c r="AM110" s="17" t="s">
        <v>3547</v>
      </c>
      <c r="AN110" s="17" t="s">
        <v>3548</v>
      </c>
      <c r="AO110" s="17"/>
      <c r="AP110" s="17"/>
      <c r="AQ110" s="17" t="s">
        <v>3549</v>
      </c>
    </row>
    <row r="111" spans="2:43">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row>
    <row r="112" spans="2:43">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row>
    <row r="113" spans="2:43">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row>
    <row r="114" spans="2:43">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row>
    <row r="115" spans="2:43">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row>
    <row r="116" spans="2:43">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row>
    <row r="123" spans="1:43">
      <c r="A123" s="3" t="s">
        <v>3550</v>
      </c>
      <c r="B123" s="4">
        <v>44848</v>
      </c>
      <c r="C123" s="4">
        <v>44855</v>
      </c>
      <c r="D123" s="4">
        <v>44862</v>
      </c>
      <c r="E123" s="4">
        <v>44876</v>
      </c>
      <c r="F123" s="4">
        <v>44883</v>
      </c>
      <c r="G123" s="4">
        <v>44890</v>
      </c>
      <c r="H123" s="4">
        <v>44896</v>
      </c>
      <c r="I123" s="4">
        <v>44904</v>
      </c>
      <c r="J123" s="4">
        <v>44911</v>
      </c>
      <c r="K123" s="4">
        <v>44918</v>
      </c>
      <c r="L123" s="4">
        <v>44925</v>
      </c>
      <c r="M123" s="4">
        <v>44939</v>
      </c>
      <c r="N123" s="4">
        <v>44946</v>
      </c>
      <c r="O123" s="4">
        <v>44954</v>
      </c>
      <c r="P123" s="4">
        <v>44967</v>
      </c>
      <c r="Q123" s="4">
        <v>44974</v>
      </c>
      <c r="R123" s="4">
        <v>44981</v>
      </c>
      <c r="S123" s="4">
        <v>44995</v>
      </c>
      <c r="T123" s="4">
        <v>45002</v>
      </c>
      <c r="U123" s="4">
        <v>45009</v>
      </c>
      <c r="V123" s="4">
        <v>45016</v>
      </c>
      <c r="W123" s="4">
        <v>45030</v>
      </c>
      <c r="X123" s="4">
        <v>45037</v>
      </c>
      <c r="Y123" s="4">
        <v>45044</v>
      </c>
      <c r="Z123" s="4">
        <v>45058</v>
      </c>
      <c r="AA123" s="4">
        <v>45065</v>
      </c>
      <c r="AB123" s="4">
        <v>45072</v>
      </c>
      <c r="AC123" s="4">
        <v>45086</v>
      </c>
      <c r="AD123" s="4">
        <v>45093</v>
      </c>
      <c r="AE123" s="4">
        <v>45107</v>
      </c>
      <c r="AF123" s="4">
        <v>45114</v>
      </c>
      <c r="AG123" s="4">
        <v>45121</v>
      </c>
      <c r="AH123" s="4">
        <v>45128</v>
      </c>
      <c r="AI123" s="4">
        <v>45135</v>
      </c>
      <c r="AJ123" s="4">
        <v>45149</v>
      </c>
      <c r="AK123" s="4">
        <v>45156</v>
      </c>
      <c r="AL123" s="4">
        <v>45163</v>
      </c>
      <c r="AM123" s="4">
        <v>45170</v>
      </c>
      <c r="AN123" s="4">
        <v>45184</v>
      </c>
      <c r="AO123" s="4">
        <v>45191</v>
      </c>
      <c r="AP123" s="4">
        <v>45212</v>
      </c>
      <c r="AQ123" s="4">
        <v>45219</v>
      </c>
    </row>
    <row r="124" spans="1:43">
      <c r="A124" s="5" t="s">
        <v>3470</v>
      </c>
      <c r="B124" s="6">
        <v>52</v>
      </c>
      <c r="C124" s="6">
        <v>52</v>
      </c>
      <c r="D124" s="6">
        <v>52</v>
      </c>
      <c r="E124" s="6">
        <v>51</v>
      </c>
      <c r="F124" s="6">
        <v>51</v>
      </c>
      <c r="G124" s="6">
        <v>50</v>
      </c>
      <c r="H124" s="6">
        <v>49</v>
      </c>
      <c r="I124" s="6">
        <v>49</v>
      </c>
      <c r="J124" s="6">
        <v>49</v>
      </c>
      <c r="K124" s="6">
        <v>48</v>
      </c>
      <c r="L124" s="6">
        <v>47</v>
      </c>
      <c r="M124" s="6">
        <v>48</v>
      </c>
      <c r="N124" s="6">
        <v>48</v>
      </c>
      <c r="O124" s="6">
        <v>44</v>
      </c>
      <c r="P124" s="6">
        <v>43</v>
      </c>
      <c r="Q124" s="6">
        <v>43</v>
      </c>
      <c r="R124" s="6">
        <v>44</v>
      </c>
      <c r="S124" s="6">
        <v>46</v>
      </c>
      <c r="T124" s="6">
        <v>43</v>
      </c>
      <c r="U124" s="6">
        <v>43</v>
      </c>
      <c r="V124" s="6">
        <v>42</v>
      </c>
      <c r="W124" s="6">
        <v>44</v>
      </c>
      <c r="X124" s="6">
        <v>43</v>
      </c>
      <c r="Y124" s="6">
        <v>46</v>
      </c>
      <c r="Z124" s="6">
        <v>55</v>
      </c>
      <c r="AA124" s="6">
        <v>54</v>
      </c>
      <c r="AB124" s="6">
        <v>65</v>
      </c>
      <c r="AC124" s="6">
        <v>66</v>
      </c>
      <c r="AD124" s="6">
        <v>66</v>
      </c>
      <c r="AE124" s="6">
        <v>66</v>
      </c>
      <c r="AF124" s="6">
        <v>63</v>
      </c>
      <c r="AG124" s="6">
        <v>63</v>
      </c>
      <c r="AH124" s="6">
        <v>63</v>
      </c>
      <c r="AI124" s="6">
        <v>82</v>
      </c>
      <c r="AJ124" s="6">
        <v>87</v>
      </c>
      <c r="AK124" s="6">
        <v>82</v>
      </c>
      <c r="AL124" s="6">
        <v>85</v>
      </c>
      <c r="AM124" s="6">
        <v>85</v>
      </c>
      <c r="AN124" s="6">
        <v>89</v>
      </c>
      <c r="AO124" s="6">
        <v>87</v>
      </c>
      <c r="AP124" s="6">
        <v>85</v>
      </c>
      <c r="AQ124" s="6">
        <v>87</v>
      </c>
    </row>
    <row r="125" spans="1:43">
      <c r="A125" s="7" t="s">
        <v>3474</v>
      </c>
      <c r="B125" s="25">
        <f>B124-B128</f>
        <v>52</v>
      </c>
      <c r="C125" s="25">
        <f>C124-C128</f>
        <v>52</v>
      </c>
      <c r="D125" s="25">
        <f>D124-D128</f>
        <v>52</v>
      </c>
      <c r="E125" s="25">
        <f>E124-E128</f>
        <v>51</v>
      </c>
      <c r="F125" s="8">
        <v>51</v>
      </c>
      <c r="G125" s="8">
        <v>50</v>
      </c>
      <c r="H125" s="8">
        <v>49</v>
      </c>
      <c r="I125" s="8">
        <v>49</v>
      </c>
      <c r="J125" s="8">
        <v>49</v>
      </c>
      <c r="K125" s="8">
        <v>48</v>
      </c>
      <c r="L125" s="8">
        <v>47</v>
      </c>
      <c r="M125" s="8">
        <v>48</v>
      </c>
      <c r="N125" s="8">
        <v>48</v>
      </c>
      <c r="O125" s="8">
        <v>44</v>
      </c>
      <c r="P125" s="8">
        <v>43</v>
      </c>
      <c r="Q125" s="8">
        <v>43</v>
      </c>
      <c r="R125" s="8">
        <f>R124-R128</f>
        <v>44</v>
      </c>
      <c r="S125" s="8">
        <f>S124-S128</f>
        <v>44</v>
      </c>
      <c r="T125" s="8">
        <f>T124-T128-3</f>
        <v>37</v>
      </c>
      <c r="U125" s="8">
        <f>U124-U128-3</f>
        <v>37</v>
      </c>
      <c r="V125" s="8">
        <f>V124-V128-7</f>
        <v>33</v>
      </c>
      <c r="W125" s="8">
        <f>W124-W128-5</f>
        <v>37</v>
      </c>
      <c r="X125" s="8">
        <f>X124-X128-5</f>
        <v>36</v>
      </c>
      <c r="Y125" s="8">
        <f>Y124-Y128-4</f>
        <v>37</v>
      </c>
      <c r="Z125" s="8">
        <f>Z124-Z128-4</f>
        <v>37</v>
      </c>
      <c r="AA125" s="8">
        <f>AA124-AA128-3</f>
        <v>37</v>
      </c>
      <c r="AB125" s="8">
        <f>AB124-AB128-8</f>
        <v>32</v>
      </c>
      <c r="AC125" s="8">
        <f>AC124-AC128-5</f>
        <v>49</v>
      </c>
      <c r="AD125" s="8">
        <f>AD124-AD128-3</f>
        <v>51</v>
      </c>
      <c r="AE125" s="8">
        <f>AE124-AE128-3</f>
        <v>59</v>
      </c>
      <c r="AF125" s="8">
        <f>AF124-AF128-8</f>
        <v>55</v>
      </c>
      <c r="AG125" s="8">
        <f>AG124-AG128-8</f>
        <v>55</v>
      </c>
      <c r="AH125" s="8">
        <f>AH124-AH128-8</f>
        <v>55</v>
      </c>
      <c r="AI125" s="8">
        <f>AI124-AI128-5</f>
        <v>56</v>
      </c>
      <c r="AJ125" s="8">
        <f>AJ124-AJ128-5</f>
        <v>56</v>
      </c>
      <c r="AK125" s="8">
        <f>AK124-AK128-1</f>
        <v>55</v>
      </c>
      <c r="AL125" s="8">
        <f>AL124-AL128-2</f>
        <v>53</v>
      </c>
      <c r="AM125" s="8">
        <f>AM124-AM128-1</f>
        <v>75</v>
      </c>
      <c r="AN125" s="8">
        <f>AN124-AN128</f>
        <v>80</v>
      </c>
      <c r="AO125" s="8">
        <f>AO124-AO128</f>
        <v>78</v>
      </c>
      <c r="AP125" s="8">
        <f>AP124-AP128</f>
        <v>79</v>
      </c>
      <c r="AQ125" s="8">
        <f>AQ124-AQ128</f>
        <v>80</v>
      </c>
    </row>
    <row r="126" spans="1:43">
      <c r="A126" s="26" t="s">
        <v>1431</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v>37</v>
      </c>
      <c r="AA126" s="10">
        <v>37</v>
      </c>
      <c r="AB126" s="10">
        <v>32</v>
      </c>
      <c r="AC126" s="10">
        <v>46</v>
      </c>
      <c r="AD126" s="10">
        <v>48</v>
      </c>
      <c r="AE126" s="10">
        <v>55</v>
      </c>
      <c r="AF126" s="10">
        <v>51</v>
      </c>
      <c r="AG126" s="10">
        <v>51</v>
      </c>
      <c r="AH126" s="10">
        <v>51</v>
      </c>
      <c r="AI126" s="10">
        <v>51</v>
      </c>
      <c r="AJ126" s="10">
        <v>51</v>
      </c>
      <c r="AK126" s="10">
        <v>50</v>
      </c>
      <c r="AL126" s="10"/>
      <c r="AM126" s="10"/>
      <c r="AN126" s="10"/>
      <c r="AO126" s="10"/>
      <c r="AP126" s="10"/>
      <c r="AQ126" s="10"/>
    </row>
    <row r="127" spans="1:43">
      <c r="A127" s="26" t="s">
        <v>948</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v>0</v>
      </c>
      <c r="AA127" s="10">
        <v>0</v>
      </c>
      <c r="AB127" s="10">
        <v>0</v>
      </c>
      <c r="AC127" s="10">
        <v>3</v>
      </c>
      <c r="AD127" s="10">
        <v>3</v>
      </c>
      <c r="AE127" s="10">
        <v>4</v>
      </c>
      <c r="AF127" s="10">
        <v>4</v>
      </c>
      <c r="AG127" s="10">
        <v>4</v>
      </c>
      <c r="AH127" s="10">
        <v>4</v>
      </c>
      <c r="AI127" s="10">
        <v>5</v>
      </c>
      <c r="AJ127" s="10">
        <v>5</v>
      </c>
      <c r="AK127" s="10">
        <v>5</v>
      </c>
      <c r="AL127" s="10"/>
      <c r="AM127" s="10"/>
      <c r="AN127" s="10"/>
      <c r="AO127" s="10"/>
      <c r="AP127" s="10"/>
      <c r="AQ127" s="10"/>
    </row>
    <row r="128" spans="1:43">
      <c r="A128" s="9" t="s">
        <v>3478</v>
      </c>
      <c r="B128" s="6">
        <v>0</v>
      </c>
      <c r="C128" s="6">
        <v>0</v>
      </c>
      <c r="D128" s="6">
        <v>0</v>
      </c>
      <c r="E128" s="6">
        <v>0</v>
      </c>
      <c r="F128" s="6">
        <v>0</v>
      </c>
      <c r="G128" s="6">
        <v>0</v>
      </c>
      <c r="H128" s="6">
        <v>0</v>
      </c>
      <c r="I128" s="6">
        <v>0</v>
      </c>
      <c r="J128" s="6">
        <v>0</v>
      </c>
      <c r="K128" s="6">
        <v>0</v>
      </c>
      <c r="L128" s="6">
        <v>0</v>
      </c>
      <c r="M128" s="6">
        <v>0</v>
      </c>
      <c r="N128" s="6">
        <v>0</v>
      </c>
      <c r="O128" s="6">
        <v>0</v>
      </c>
      <c r="P128" s="6">
        <v>0</v>
      </c>
      <c r="Q128" s="6">
        <v>0</v>
      </c>
      <c r="R128" s="6">
        <v>0</v>
      </c>
      <c r="S128" s="6">
        <v>2</v>
      </c>
      <c r="T128" s="6">
        <v>3</v>
      </c>
      <c r="U128" s="6">
        <v>3</v>
      </c>
      <c r="V128" s="6">
        <v>2</v>
      </c>
      <c r="W128" s="6">
        <v>2</v>
      </c>
      <c r="X128" s="6">
        <v>2</v>
      </c>
      <c r="Y128" s="6">
        <v>5</v>
      </c>
      <c r="Z128" s="6">
        <v>14</v>
      </c>
      <c r="AA128" s="6">
        <v>14</v>
      </c>
      <c r="AB128" s="6">
        <v>25</v>
      </c>
      <c r="AC128" s="6">
        <f>12</f>
        <v>12</v>
      </c>
      <c r="AD128" s="6">
        <v>12</v>
      </c>
      <c r="AE128" s="6">
        <v>4</v>
      </c>
      <c r="AF128" s="6">
        <v>0</v>
      </c>
      <c r="AG128" s="6">
        <v>0</v>
      </c>
      <c r="AH128" s="6">
        <v>0</v>
      </c>
      <c r="AI128" s="6">
        <v>21</v>
      </c>
      <c r="AJ128" s="6">
        <v>26</v>
      </c>
      <c r="AK128" s="6">
        <v>26</v>
      </c>
      <c r="AL128" s="6">
        <v>30</v>
      </c>
      <c r="AM128" s="6">
        <v>9</v>
      </c>
      <c r="AN128" s="6">
        <v>9</v>
      </c>
      <c r="AO128" s="6">
        <v>9</v>
      </c>
      <c r="AP128" s="6">
        <v>6</v>
      </c>
      <c r="AQ128" s="6">
        <v>7</v>
      </c>
    </row>
    <row r="129" spans="1:43">
      <c r="A129" s="7" t="s">
        <v>3471</v>
      </c>
      <c r="B129" s="25">
        <f>4+1+8</f>
        <v>13</v>
      </c>
      <c r="C129" s="8">
        <v>14</v>
      </c>
      <c r="D129" s="8">
        <v>15</v>
      </c>
      <c r="E129" s="8">
        <v>10</v>
      </c>
      <c r="F129" s="8">
        <v>11</v>
      </c>
      <c r="G129" s="8">
        <v>9</v>
      </c>
      <c r="H129" s="8">
        <v>8</v>
      </c>
      <c r="I129" s="8">
        <v>12</v>
      </c>
      <c r="J129" s="8">
        <v>12</v>
      </c>
      <c r="K129" s="8">
        <v>10</v>
      </c>
      <c r="L129" s="8">
        <v>13</v>
      </c>
      <c r="M129" s="8">
        <v>20</v>
      </c>
      <c r="N129" s="8">
        <v>22</v>
      </c>
      <c r="O129" s="8">
        <v>19</v>
      </c>
      <c r="P129" s="8">
        <v>19</v>
      </c>
      <c r="Q129" s="8">
        <v>17</v>
      </c>
      <c r="R129" s="8">
        <v>15</v>
      </c>
      <c r="S129" s="8">
        <f>11+2</f>
        <v>13</v>
      </c>
      <c r="T129" s="8">
        <v>17</v>
      </c>
      <c r="U129" s="8">
        <f>14+3</f>
        <v>17</v>
      </c>
      <c r="V129" s="8">
        <v>15</v>
      </c>
      <c r="W129" s="8">
        <f>12+1+5</f>
        <v>18</v>
      </c>
      <c r="X129" s="8">
        <f>12+3+1</f>
        <v>16</v>
      </c>
      <c r="Y129" s="8">
        <f>10+2+2</f>
        <v>14</v>
      </c>
      <c r="Z129" s="8">
        <f t="shared" ref="Z129:AK129" si="30">Z130+Z131</f>
        <v>20</v>
      </c>
      <c r="AA129" s="8">
        <f t="shared" si="30"/>
        <v>18</v>
      </c>
      <c r="AB129" s="8">
        <f t="shared" si="30"/>
        <v>15</v>
      </c>
      <c r="AC129" s="8">
        <f t="shared" si="30"/>
        <v>16</v>
      </c>
      <c r="AD129" s="8">
        <f t="shared" si="30"/>
        <v>19</v>
      </c>
      <c r="AE129" s="8">
        <f t="shared" si="30"/>
        <v>17</v>
      </c>
      <c r="AF129" s="8">
        <f t="shared" si="30"/>
        <v>17</v>
      </c>
      <c r="AG129" s="8">
        <f t="shared" si="30"/>
        <v>22</v>
      </c>
      <c r="AH129" s="8">
        <f t="shared" si="30"/>
        <v>16</v>
      </c>
      <c r="AI129" s="8">
        <f t="shared" si="30"/>
        <v>15</v>
      </c>
      <c r="AJ129" s="8">
        <f t="shared" si="30"/>
        <v>18</v>
      </c>
      <c r="AK129" s="8">
        <f t="shared" si="30"/>
        <v>17</v>
      </c>
      <c r="AL129" s="8">
        <v>13</v>
      </c>
      <c r="AM129" s="8">
        <v>21</v>
      </c>
      <c r="AN129" s="8">
        <v>17</v>
      </c>
      <c r="AO129" s="8">
        <v>13</v>
      </c>
      <c r="AP129" s="8">
        <v>25</v>
      </c>
      <c r="AQ129" s="8">
        <v>23</v>
      </c>
    </row>
    <row r="130" spans="1:43">
      <c r="A130" s="26" t="s">
        <v>1431</v>
      </c>
      <c r="B130" s="28"/>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v>20</v>
      </c>
      <c r="AA130" s="10">
        <v>18</v>
      </c>
      <c r="AB130" s="10">
        <v>15</v>
      </c>
      <c r="AC130" s="10">
        <v>15</v>
      </c>
      <c r="AD130" s="10">
        <v>18</v>
      </c>
      <c r="AE130" s="10">
        <v>17</v>
      </c>
      <c r="AF130" s="10">
        <v>17</v>
      </c>
      <c r="AG130" s="10">
        <v>22</v>
      </c>
      <c r="AH130" s="10">
        <v>16</v>
      </c>
      <c r="AI130" s="10">
        <v>14</v>
      </c>
      <c r="AJ130" s="10">
        <v>17</v>
      </c>
      <c r="AK130" s="10">
        <v>16</v>
      </c>
      <c r="AL130" s="10"/>
      <c r="AM130" s="10"/>
      <c r="AN130" s="10"/>
      <c r="AO130" s="10"/>
      <c r="AP130" s="10"/>
      <c r="AQ130" s="10"/>
    </row>
    <row r="131" spans="1:43">
      <c r="A131" s="26" t="s">
        <v>948</v>
      </c>
      <c r="B131" s="28"/>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v>0</v>
      </c>
      <c r="AA131" s="10">
        <v>0</v>
      </c>
      <c r="AB131" s="10">
        <v>0</v>
      </c>
      <c r="AC131" s="10">
        <v>1</v>
      </c>
      <c r="AD131" s="10">
        <v>1</v>
      </c>
      <c r="AE131" s="10">
        <v>0</v>
      </c>
      <c r="AF131" s="10">
        <v>0</v>
      </c>
      <c r="AG131" s="10">
        <v>0</v>
      </c>
      <c r="AH131" s="10">
        <v>0</v>
      </c>
      <c r="AI131" s="10">
        <v>1</v>
      </c>
      <c r="AJ131" s="10">
        <v>1</v>
      </c>
      <c r="AK131" s="10">
        <v>1</v>
      </c>
      <c r="AL131" s="10"/>
      <c r="AM131" s="10"/>
      <c r="AN131" s="10"/>
      <c r="AO131" s="10"/>
      <c r="AP131" s="10"/>
      <c r="AQ131" s="10"/>
    </row>
    <row r="132" spans="1:43">
      <c r="A132" s="9" t="s">
        <v>3479</v>
      </c>
      <c r="B132" s="11">
        <f t="shared" ref="B132:AQ132" si="31">B129/B125</f>
        <v>0.25</v>
      </c>
      <c r="C132" s="11">
        <f t="shared" si="31"/>
        <v>0.269230769230769</v>
      </c>
      <c r="D132" s="11">
        <f t="shared" si="31"/>
        <v>0.288461538461538</v>
      </c>
      <c r="E132" s="11">
        <f t="shared" si="31"/>
        <v>0.196078431372549</v>
      </c>
      <c r="F132" s="11">
        <f t="shared" si="31"/>
        <v>0.215686274509804</v>
      </c>
      <c r="G132" s="11">
        <f t="shared" si="31"/>
        <v>0.18</v>
      </c>
      <c r="H132" s="11">
        <f t="shared" si="31"/>
        <v>0.163265306122449</v>
      </c>
      <c r="I132" s="11">
        <f t="shared" si="31"/>
        <v>0.244897959183673</v>
      </c>
      <c r="J132" s="11">
        <f t="shared" si="31"/>
        <v>0.244897959183673</v>
      </c>
      <c r="K132" s="11">
        <f t="shared" si="31"/>
        <v>0.208333333333333</v>
      </c>
      <c r="L132" s="11">
        <f t="shared" si="31"/>
        <v>0.276595744680851</v>
      </c>
      <c r="M132" s="11">
        <f t="shared" si="31"/>
        <v>0.416666666666667</v>
      </c>
      <c r="N132" s="11">
        <f t="shared" si="31"/>
        <v>0.458333333333333</v>
      </c>
      <c r="O132" s="11">
        <f t="shared" si="31"/>
        <v>0.431818181818182</v>
      </c>
      <c r="P132" s="11">
        <f t="shared" si="31"/>
        <v>0.441860465116279</v>
      </c>
      <c r="Q132" s="11">
        <f t="shared" si="31"/>
        <v>0.395348837209302</v>
      </c>
      <c r="R132" s="11">
        <f t="shared" si="31"/>
        <v>0.340909090909091</v>
      </c>
      <c r="S132" s="11">
        <f t="shared" si="31"/>
        <v>0.295454545454545</v>
      </c>
      <c r="T132" s="11">
        <f t="shared" si="31"/>
        <v>0.459459459459459</v>
      </c>
      <c r="U132" s="11">
        <f t="shared" si="31"/>
        <v>0.459459459459459</v>
      </c>
      <c r="V132" s="11">
        <f t="shared" si="31"/>
        <v>0.454545454545455</v>
      </c>
      <c r="W132" s="11">
        <f t="shared" si="31"/>
        <v>0.486486486486487</v>
      </c>
      <c r="X132" s="11">
        <f t="shared" si="31"/>
        <v>0.444444444444444</v>
      </c>
      <c r="Y132" s="11">
        <f t="shared" si="31"/>
        <v>0.378378378378378</v>
      </c>
      <c r="Z132" s="11">
        <f t="shared" si="31"/>
        <v>0.540540540540541</v>
      </c>
      <c r="AA132" s="11">
        <f t="shared" si="31"/>
        <v>0.486486486486487</v>
      </c>
      <c r="AB132" s="11">
        <f t="shared" si="31"/>
        <v>0.46875</v>
      </c>
      <c r="AC132" s="11">
        <f t="shared" si="31"/>
        <v>0.326530612244898</v>
      </c>
      <c r="AD132" s="11">
        <f t="shared" si="31"/>
        <v>0.372549019607843</v>
      </c>
      <c r="AE132" s="11">
        <f t="shared" si="31"/>
        <v>0.288135593220339</v>
      </c>
      <c r="AF132" s="11">
        <f t="shared" si="31"/>
        <v>0.309090909090909</v>
      </c>
      <c r="AG132" s="11">
        <f t="shared" si="31"/>
        <v>0.4</v>
      </c>
      <c r="AH132" s="11">
        <f t="shared" si="31"/>
        <v>0.290909090909091</v>
      </c>
      <c r="AI132" s="11">
        <f t="shared" si="31"/>
        <v>0.267857142857143</v>
      </c>
      <c r="AJ132" s="11">
        <f t="shared" si="31"/>
        <v>0.321428571428571</v>
      </c>
      <c r="AK132" s="11">
        <f t="shared" si="31"/>
        <v>0.309090909090909</v>
      </c>
      <c r="AL132" s="11">
        <f t="shared" si="31"/>
        <v>0.245283018867925</v>
      </c>
      <c r="AM132" s="11">
        <f t="shared" si="31"/>
        <v>0.28</v>
      </c>
      <c r="AN132" s="11">
        <f t="shared" si="31"/>
        <v>0.2125</v>
      </c>
      <c r="AO132" s="11">
        <f t="shared" si="31"/>
        <v>0.166666666666667</v>
      </c>
      <c r="AP132" s="11">
        <f t="shared" si="31"/>
        <v>0.316455696202532</v>
      </c>
      <c r="AQ132" s="11">
        <f t="shared" si="31"/>
        <v>0.2875</v>
      </c>
    </row>
    <row r="133" spans="1:43">
      <c r="A133" s="7" t="s">
        <v>3480</v>
      </c>
      <c r="B133" s="8">
        <v>2014</v>
      </c>
      <c r="C133" s="8">
        <v>2034</v>
      </c>
      <c r="D133" s="8">
        <v>2122</v>
      </c>
      <c r="E133" s="8">
        <v>2440</v>
      </c>
      <c r="F133" s="8">
        <v>2450</v>
      </c>
      <c r="G133" s="8">
        <v>2725</v>
      </c>
      <c r="H133" s="8">
        <v>2661</v>
      </c>
      <c r="I133" s="8">
        <v>2272</v>
      </c>
      <c r="J133" s="8">
        <v>2296</v>
      </c>
      <c r="K133" s="8">
        <v>2305</v>
      </c>
      <c r="L133" s="8">
        <v>2206</v>
      </c>
      <c r="M133" s="8">
        <v>2556</v>
      </c>
      <c r="N133" s="8">
        <v>2627</v>
      </c>
      <c r="O133" s="8">
        <v>2662</v>
      </c>
      <c r="P133" s="8">
        <v>2321</v>
      </c>
      <c r="Q133" s="8">
        <v>2409</v>
      </c>
      <c r="R133" s="8">
        <v>2449</v>
      </c>
      <c r="S133" s="8">
        <v>2859</v>
      </c>
      <c r="T133" s="8">
        <v>2817</v>
      </c>
      <c r="U133" s="8">
        <v>2304</v>
      </c>
      <c r="V133" s="8">
        <v>2629</v>
      </c>
      <c r="W133" s="8">
        <v>2179</v>
      </c>
      <c r="X133" s="8">
        <v>2341</v>
      </c>
      <c r="Y133" s="8">
        <v>2841</v>
      </c>
      <c r="Z133" s="8">
        <v>2422</v>
      </c>
      <c r="AA133" s="8">
        <v>1321</v>
      </c>
      <c r="AB133" s="8">
        <v>2452</v>
      </c>
      <c r="AC133" s="8">
        <v>2252</v>
      </c>
      <c r="AD133" s="8">
        <v>1881</v>
      </c>
      <c r="AE133" s="8">
        <v>1885</v>
      </c>
      <c r="AF133" s="8">
        <v>1697</v>
      </c>
      <c r="AG133" s="8">
        <v>1396</v>
      </c>
      <c r="AH133" s="8">
        <v>2306</v>
      </c>
      <c r="AI133" s="8">
        <v>2838</v>
      </c>
      <c r="AJ133" s="8">
        <v>2236</v>
      </c>
      <c r="AK133" s="8">
        <v>2223</v>
      </c>
      <c r="AL133" s="8">
        <v>2760</v>
      </c>
      <c r="AM133" s="8">
        <v>2510</v>
      </c>
      <c r="AN133" s="8">
        <v>2350</v>
      </c>
      <c r="AO133" s="8">
        <v>2613</v>
      </c>
      <c r="AP133" s="8">
        <v>2320</v>
      </c>
      <c r="AQ133" s="8">
        <v>2289</v>
      </c>
    </row>
    <row r="134" ht="13.65" spans="1:43">
      <c r="A134" s="12" t="s">
        <v>3472</v>
      </c>
      <c r="B134" s="13">
        <f t="shared" ref="B134:AQ134" si="32">1-B132</f>
        <v>0.75</v>
      </c>
      <c r="C134" s="13">
        <f t="shared" si="32"/>
        <v>0.730769230769231</v>
      </c>
      <c r="D134" s="13">
        <f t="shared" si="32"/>
        <v>0.711538461538462</v>
      </c>
      <c r="E134" s="13">
        <f t="shared" si="32"/>
        <v>0.803921568627451</v>
      </c>
      <c r="F134" s="13">
        <f t="shared" si="32"/>
        <v>0.784313725490196</v>
      </c>
      <c r="G134" s="13">
        <f t="shared" si="32"/>
        <v>0.82</v>
      </c>
      <c r="H134" s="13">
        <f t="shared" si="32"/>
        <v>0.836734693877551</v>
      </c>
      <c r="I134" s="13">
        <f t="shared" si="32"/>
        <v>0.755102040816326</v>
      </c>
      <c r="J134" s="13">
        <f t="shared" si="32"/>
        <v>0.755102040816326</v>
      </c>
      <c r="K134" s="13">
        <f t="shared" si="32"/>
        <v>0.791666666666667</v>
      </c>
      <c r="L134" s="13">
        <f t="shared" si="32"/>
        <v>0.723404255319149</v>
      </c>
      <c r="M134" s="13">
        <f t="shared" si="32"/>
        <v>0.583333333333333</v>
      </c>
      <c r="N134" s="13">
        <f t="shared" si="32"/>
        <v>0.541666666666667</v>
      </c>
      <c r="O134" s="13">
        <f t="shared" si="32"/>
        <v>0.568181818181818</v>
      </c>
      <c r="P134" s="13">
        <f t="shared" si="32"/>
        <v>0.558139534883721</v>
      </c>
      <c r="Q134" s="13">
        <f t="shared" si="32"/>
        <v>0.604651162790698</v>
      </c>
      <c r="R134" s="13">
        <f t="shared" si="32"/>
        <v>0.659090909090909</v>
      </c>
      <c r="S134" s="13">
        <f t="shared" si="32"/>
        <v>0.704545454545455</v>
      </c>
      <c r="T134" s="13">
        <f t="shared" si="32"/>
        <v>0.540540540540541</v>
      </c>
      <c r="U134" s="13">
        <f t="shared" si="32"/>
        <v>0.540540540540541</v>
      </c>
      <c r="V134" s="13">
        <f t="shared" si="32"/>
        <v>0.545454545454545</v>
      </c>
      <c r="W134" s="13">
        <f t="shared" si="32"/>
        <v>0.513513513513513</v>
      </c>
      <c r="X134" s="13">
        <f t="shared" si="32"/>
        <v>0.555555555555556</v>
      </c>
      <c r="Y134" s="13">
        <f t="shared" si="32"/>
        <v>0.621621621621622</v>
      </c>
      <c r="Z134" s="13">
        <f t="shared" si="32"/>
        <v>0.459459459459459</v>
      </c>
      <c r="AA134" s="13">
        <f t="shared" si="32"/>
        <v>0.513513513513513</v>
      </c>
      <c r="AB134" s="13">
        <f t="shared" si="32"/>
        <v>0.53125</v>
      </c>
      <c r="AC134" s="13">
        <f t="shared" si="32"/>
        <v>0.673469387755102</v>
      </c>
      <c r="AD134" s="13">
        <f t="shared" si="32"/>
        <v>0.627450980392157</v>
      </c>
      <c r="AE134" s="13">
        <f t="shared" si="32"/>
        <v>0.711864406779661</v>
      </c>
      <c r="AF134" s="13">
        <f t="shared" si="32"/>
        <v>0.690909090909091</v>
      </c>
      <c r="AG134" s="13">
        <f t="shared" si="32"/>
        <v>0.6</v>
      </c>
      <c r="AH134" s="13">
        <f t="shared" si="32"/>
        <v>0.709090909090909</v>
      </c>
      <c r="AI134" s="13">
        <f t="shared" si="32"/>
        <v>0.732142857142857</v>
      </c>
      <c r="AJ134" s="13">
        <f t="shared" si="32"/>
        <v>0.678571428571429</v>
      </c>
      <c r="AK134" s="13">
        <f t="shared" si="32"/>
        <v>0.690909090909091</v>
      </c>
      <c r="AL134" s="13">
        <f t="shared" si="32"/>
        <v>0.754716981132076</v>
      </c>
      <c r="AM134" s="13">
        <f t="shared" si="32"/>
        <v>0.72</v>
      </c>
      <c r="AN134" s="13">
        <f t="shared" si="32"/>
        <v>0.7875</v>
      </c>
      <c r="AO134" s="13">
        <f t="shared" si="32"/>
        <v>0.833333333333333</v>
      </c>
      <c r="AP134" s="13">
        <f t="shared" si="32"/>
        <v>0.683544303797468</v>
      </c>
      <c r="AQ134" s="13">
        <f t="shared" si="32"/>
        <v>0.7125</v>
      </c>
    </row>
    <row r="135" spans="2:43">
      <c r="B135" s="17" t="s">
        <v>3551</v>
      </c>
      <c r="C135" s="17"/>
      <c r="D135" s="17"/>
      <c r="E135" s="17" t="s">
        <v>3552</v>
      </c>
      <c r="G135" s="17" t="s">
        <v>3553</v>
      </c>
      <c r="H135" s="17"/>
      <c r="I135" s="17"/>
      <c r="J135" s="17"/>
      <c r="K135" s="17" t="s">
        <v>3554</v>
      </c>
      <c r="L135" s="14"/>
      <c r="M135" s="14"/>
      <c r="N135" s="14"/>
      <c r="O135" s="14"/>
      <c r="P135" s="14"/>
      <c r="Q135" s="14"/>
      <c r="R135" s="14"/>
      <c r="S135" s="17" t="s">
        <v>3555</v>
      </c>
      <c r="T135" s="17"/>
      <c r="U135" s="17"/>
      <c r="V135" s="17" t="s">
        <v>3556</v>
      </c>
      <c r="W135" s="17"/>
      <c r="X135" s="17" t="s">
        <v>3557</v>
      </c>
      <c r="Y135" s="17" t="s">
        <v>3558</v>
      </c>
      <c r="Z135" s="17"/>
      <c r="AA135" s="17"/>
      <c r="AB135" s="17" t="s">
        <v>3559</v>
      </c>
      <c r="AC135" s="17"/>
      <c r="AD135" s="17"/>
      <c r="AE135" s="17"/>
      <c r="AF135" s="17"/>
      <c r="AG135" s="17"/>
      <c r="AH135" s="17" t="s">
        <v>3560</v>
      </c>
      <c r="AI135" s="17" t="s">
        <v>3561</v>
      </c>
      <c r="AJ135" s="17"/>
      <c r="AK135" s="17"/>
      <c r="AL135" s="17" t="s">
        <v>3562</v>
      </c>
      <c r="AM135" s="17"/>
      <c r="AN135" s="17"/>
      <c r="AO135" s="17" t="s">
        <v>3563</v>
      </c>
      <c r="AP135" s="17"/>
      <c r="AQ135" s="17"/>
    </row>
    <row r="136" spans="2:43">
      <c r="B136" s="17"/>
      <c r="C136" s="17"/>
      <c r="D136" s="17"/>
      <c r="E136" s="17"/>
      <c r="G136" s="17"/>
      <c r="H136" s="17"/>
      <c r="I136" s="17"/>
      <c r="J136" s="17"/>
      <c r="K136" s="17"/>
      <c r="L136" s="14"/>
      <c r="M136" s="14"/>
      <c r="N136" s="14"/>
      <c r="O136" s="14"/>
      <c r="P136" s="14"/>
      <c r="Q136" s="14"/>
      <c r="R136" s="14"/>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row>
    <row r="137" spans="2:43">
      <c r="B137" s="17"/>
      <c r="C137" s="17"/>
      <c r="D137" s="17"/>
      <c r="E137" s="17"/>
      <c r="G137" s="17"/>
      <c r="H137" s="17"/>
      <c r="I137" s="17"/>
      <c r="J137" s="17"/>
      <c r="K137" s="17"/>
      <c r="L137" s="14"/>
      <c r="M137" s="14"/>
      <c r="N137" s="14"/>
      <c r="O137" s="14"/>
      <c r="P137" s="14"/>
      <c r="Q137" s="14"/>
      <c r="R137" s="14"/>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row>
    <row r="138" spans="2:43">
      <c r="B138" s="17"/>
      <c r="C138" s="17"/>
      <c r="D138" s="17"/>
      <c r="E138" s="17"/>
      <c r="G138" s="17"/>
      <c r="H138" s="17"/>
      <c r="I138" s="17"/>
      <c r="J138" s="17"/>
      <c r="K138" s="17"/>
      <c r="L138" s="14"/>
      <c r="M138" s="14"/>
      <c r="N138" s="14"/>
      <c r="O138" s="14"/>
      <c r="P138" s="14"/>
      <c r="Q138" s="14"/>
      <c r="R138" s="14"/>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row>
    <row r="139" spans="2:43">
      <c r="B139" s="17"/>
      <c r="C139" s="17"/>
      <c r="D139" s="17"/>
      <c r="E139" s="17"/>
      <c r="G139" s="17"/>
      <c r="H139" s="17"/>
      <c r="I139" s="17"/>
      <c r="J139" s="17"/>
      <c r="K139" s="17"/>
      <c r="L139" s="14"/>
      <c r="M139" s="14"/>
      <c r="N139" s="14"/>
      <c r="O139" s="14"/>
      <c r="P139" s="14"/>
      <c r="Q139" s="14"/>
      <c r="R139" s="14"/>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row>
    <row r="140" spans="2:43">
      <c r="B140" s="17"/>
      <c r="C140" s="17"/>
      <c r="D140" s="17"/>
      <c r="E140" s="17"/>
      <c r="G140" s="17"/>
      <c r="H140" s="17"/>
      <c r="I140" s="17"/>
      <c r="J140" s="17"/>
      <c r="K140" s="17"/>
      <c r="L140" s="14"/>
      <c r="M140" s="14"/>
      <c r="N140" s="14"/>
      <c r="O140" s="14"/>
      <c r="P140" s="14"/>
      <c r="Q140" s="14"/>
      <c r="R140" s="14"/>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row>
    <row r="141" spans="2:43">
      <c r="B141" s="17"/>
      <c r="C141" s="17"/>
      <c r="D141" s="17"/>
      <c r="E141" s="17"/>
      <c r="G141" s="17"/>
      <c r="H141" s="17"/>
      <c r="I141" s="17"/>
      <c r="J141" s="17"/>
      <c r="K141" s="17"/>
      <c r="L141" s="14"/>
      <c r="M141" s="14"/>
      <c r="N141" s="14"/>
      <c r="O141" s="14"/>
      <c r="P141" s="14"/>
      <c r="Q141" s="14"/>
      <c r="R141" s="14"/>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row>
    <row r="142" spans="2:43">
      <c r="B142" s="17"/>
      <c r="C142" s="17"/>
      <c r="D142" s="17"/>
      <c r="E142" s="17"/>
      <c r="G142" s="17"/>
      <c r="H142" s="17"/>
      <c r="I142" s="17"/>
      <c r="J142" s="17"/>
      <c r="K142" s="17"/>
      <c r="L142" s="14"/>
      <c r="M142" s="14"/>
      <c r="N142" s="14"/>
      <c r="O142" s="14"/>
      <c r="P142" s="14"/>
      <c r="Q142" s="14"/>
      <c r="R142" s="14"/>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row>
    <row r="143" spans="2:43">
      <c r="B143" s="17"/>
      <c r="C143" s="17"/>
      <c r="D143" s="17"/>
      <c r="E143" s="17"/>
      <c r="G143" s="17"/>
      <c r="H143" s="17"/>
      <c r="I143" s="17"/>
      <c r="J143" s="17"/>
      <c r="K143" s="17"/>
      <c r="L143" s="14"/>
      <c r="M143" s="14"/>
      <c r="N143" s="14"/>
      <c r="O143" s="14"/>
      <c r="P143" s="14"/>
      <c r="Q143" s="14"/>
      <c r="R143" s="14"/>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row>
    <row r="144" spans="2:43">
      <c r="B144" s="17"/>
      <c r="C144" s="17"/>
      <c r="D144" s="17"/>
      <c r="E144" s="17"/>
      <c r="G144" s="17"/>
      <c r="H144" s="17"/>
      <c r="I144" s="17"/>
      <c r="J144" s="17"/>
      <c r="K144" s="17"/>
      <c r="L144" s="14"/>
      <c r="M144" s="14"/>
      <c r="N144" s="14"/>
      <c r="O144" s="14"/>
      <c r="P144" s="14"/>
      <c r="Q144" s="14"/>
      <c r="R144" s="14"/>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row>
    <row r="145" spans="2:43">
      <c r="B145" s="17"/>
      <c r="C145" s="17"/>
      <c r="D145" s="17"/>
      <c r="E145" s="17"/>
      <c r="G145" s="17"/>
      <c r="H145" s="17"/>
      <c r="I145" s="17"/>
      <c r="J145" s="17"/>
      <c r="K145" s="17"/>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row>
    <row r="146" spans="2:43">
      <c r="B146" s="17"/>
      <c r="C146" s="17"/>
      <c r="D146" s="17"/>
      <c r="E146" s="17"/>
      <c r="G146" s="17"/>
      <c r="H146" s="17"/>
      <c r="I146" s="17"/>
      <c r="J146" s="17"/>
      <c r="K146" s="17"/>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row>
    <row r="148" spans="1:43">
      <c r="A148" s="3" t="s">
        <v>3564</v>
      </c>
      <c r="B148" s="4">
        <v>44848</v>
      </c>
      <c r="C148" s="4">
        <v>44855</v>
      </c>
      <c r="D148" s="4">
        <v>44862</v>
      </c>
      <c r="E148" s="4">
        <v>44876</v>
      </c>
      <c r="F148" s="4">
        <v>44883</v>
      </c>
      <c r="G148" s="4">
        <v>44890</v>
      </c>
      <c r="H148" s="4">
        <v>44896</v>
      </c>
      <c r="I148" s="4">
        <v>44904</v>
      </c>
      <c r="J148" s="4">
        <v>44911</v>
      </c>
      <c r="K148" s="4">
        <v>44918</v>
      </c>
      <c r="L148" s="4">
        <v>44925</v>
      </c>
      <c r="M148" s="4">
        <v>44939</v>
      </c>
      <c r="N148" s="4">
        <v>44946</v>
      </c>
      <c r="O148" s="4">
        <v>44954</v>
      </c>
      <c r="P148" s="4">
        <v>44967</v>
      </c>
      <c r="Q148" s="4">
        <v>44974</v>
      </c>
      <c r="R148" s="4">
        <v>44981</v>
      </c>
      <c r="S148" s="4">
        <v>44995</v>
      </c>
      <c r="T148" s="4">
        <v>45002</v>
      </c>
      <c r="U148" s="4">
        <v>45009</v>
      </c>
      <c r="V148" s="4">
        <v>45016</v>
      </c>
      <c r="W148" s="4">
        <v>45030</v>
      </c>
      <c r="X148" s="4">
        <v>45037</v>
      </c>
      <c r="Y148" s="4">
        <v>45044</v>
      </c>
      <c r="Z148" s="4">
        <v>45058</v>
      </c>
      <c r="AA148" s="4">
        <v>45065</v>
      </c>
      <c r="AB148" s="4">
        <v>45072</v>
      </c>
      <c r="AC148" s="4">
        <v>45086</v>
      </c>
      <c r="AD148" s="4">
        <v>45093</v>
      </c>
      <c r="AE148" s="4">
        <v>45107</v>
      </c>
      <c r="AF148" s="4">
        <v>45114</v>
      </c>
      <c r="AG148" s="4">
        <v>45121</v>
      </c>
      <c r="AH148" s="4">
        <v>45128</v>
      </c>
      <c r="AI148" s="4">
        <v>45135</v>
      </c>
      <c r="AJ148" s="4">
        <v>45149</v>
      </c>
      <c r="AK148" s="4">
        <v>45156</v>
      </c>
      <c r="AL148" s="4">
        <v>45163</v>
      </c>
      <c r="AM148" s="4">
        <v>45170</v>
      </c>
      <c r="AN148" s="4">
        <v>45184</v>
      </c>
      <c r="AO148" s="4">
        <v>45191</v>
      </c>
      <c r="AP148" s="4">
        <v>45212</v>
      </c>
      <c r="AQ148" s="4">
        <v>45219</v>
      </c>
    </row>
    <row r="149" spans="1:43">
      <c r="A149" s="5" t="s">
        <v>3470</v>
      </c>
      <c r="B149" s="6">
        <v>106</v>
      </c>
      <c r="C149" s="6">
        <v>106</v>
      </c>
      <c r="D149" s="6">
        <v>106</v>
      </c>
      <c r="E149" s="6">
        <v>106</v>
      </c>
      <c r="F149" s="6">
        <v>106</v>
      </c>
      <c r="G149" s="6">
        <v>106</v>
      </c>
      <c r="H149" s="6">
        <v>106</v>
      </c>
      <c r="I149" s="6">
        <v>109</v>
      </c>
      <c r="J149" s="6">
        <v>109</v>
      </c>
      <c r="K149" s="6">
        <v>109</v>
      </c>
      <c r="L149" s="6">
        <v>109</v>
      </c>
      <c r="M149" s="6">
        <v>114</v>
      </c>
      <c r="N149" s="6">
        <v>114</v>
      </c>
      <c r="O149" s="6">
        <v>114</v>
      </c>
      <c r="P149" s="6">
        <v>131</v>
      </c>
      <c r="Q149" s="6">
        <v>131</v>
      </c>
      <c r="R149" s="6">
        <v>131</v>
      </c>
      <c r="S149" s="6">
        <v>131</v>
      </c>
      <c r="T149" s="6">
        <v>128</v>
      </c>
      <c r="U149" s="6">
        <v>128</v>
      </c>
      <c r="V149" s="6">
        <v>131</v>
      </c>
      <c r="W149" s="6">
        <v>142</v>
      </c>
      <c r="X149" s="6">
        <v>145</v>
      </c>
      <c r="Y149" s="6">
        <v>145</v>
      </c>
      <c r="Z149" s="6">
        <v>163</v>
      </c>
      <c r="AA149" s="6">
        <v>159</v>
      </c>
      <c r="AB149" s="6">
        <v>157</v>
      </c>
      <c r="AC149" s="6">
        <v>174</v>
      </c>
      <c r="AD149" s="6">
        <v>189</v>
      </c>
      <c r="AE149" s="6">
        <v>191</v>
      </c>
      <c r="AF149" s="6">
        <v>194</v>
      </c>
      <c r="AG149" s="6">
        <v>191</v>
      </c>
      <c r="AH149" s="6">
        <v>186</v>
      </c>
      <c r="AI149" s="6">
        <v>186</v>
      </c>
      <c r="AJ149" s="6">
        <v>185</v>
      </c>
      <c r="AK149" s="6">
        <v>183</v>
      </c>
      <c r="AL149" s="6">
        <v>182</v>
      </c>
      <c r="AM149" s="6">
        <v>202</v>
      </c>
      <c r="AN149" s="6">
        <v>201</v>
      </c>
      <c r="AO149" s="6">
        <v>200</v>
      </c>
      <c r="AP149" s="6">
        <v>214</v>
      </c>
      <c r="AQ149" s="6">
        <v>197</v>
      </c>
    </row>
    <row r="150" spans="1:43">
      <c r="A150" s="7" t="s">
        <v>3474</v>
      </c>
      <c r="B150" s="25">
        <f t="shared" ref="B150:J150" si="33">B149-B153</f>
        <v>106</v>
      </c>
      <c r="C150" s="25">
        <f t="shared" si="33"/>
        <v>106</v>
      </c>
      <c r="D150" s="25">
        <f t="shared" si="33"/>
        <v>106</v>
      </c>
      <c r="E150" s="25">
        <f t="shared" si="33"/>
        <v>106</v>
      </c>
      <c r="F150" s="25">
        <f t="shared" si="33"/>
        <v>106</v>
      </c>
      <c r="G150" s="25">
        <f t="shared" si="33"/>
        <v>106</v>
      </c>
      <c r="H150" s="25">
        <f t="shared" si="33"/>
        <v>106</v>
      </c>
      <c r="I150" s="25">
        <f t="shared" si="33"/>
        <v>105</v>
      </c>
      <c r="J150" s="25">
        <f t="shared" si="33"/>
        <v>105</v>
      </c>
      <c r="K150" s="8">
        <v>105</v>
      </c>
      <c r="L150" s="8">
        <v>106</v>
      </c>
      <c r="M150" s="8">
        <v>107</v>
      </c>
      <c r="N150" s="8">
        <v>108</v>
      </c>
      <c r="O150" s="8">
        <v>109</v>
      </c>
      <c r="P150" s="8">
        <f t="shared" ref="P150:AD150" si="34">P149-P153</f>
        <v>115</v>
      </c>
      <c r="Q150" s="8">
        <f t="shared" si="34"/>
        <v>115</v>
      </c>
      <c r="R150" s="8">
        <f t="shared" si="34"/>
        <v>115</v>
      </c>
      <c r="S150" s="8">
        <f t="shared" si="34"/>
        <v>131</v>
      </c>
      <c r="T150" s="8">
        <f t="shared" si="34"/>
        <v>128</v>
      </c>
      <c r="U150" s="8">
        <f t="shared" si="34"/>
        <v>128</v>
      </c>
      <c r="V150" s="8">
        <f t="shared" si="34"/>
        <v>131</v>
      </c>
      <c r="W150" s="8">
        <f t="shared" si="34"/>
        <v>126</v>
      </c>
      <c r="X150" s="8">
        <f t="shared" si="34"/>
        <v>126</v>
      </c>
      <c r="Y150" s="8">
        <f t="shared" si="34"/>
        <v>126</v>
      </c>
      <c r="Z150" s="8">
        <f t="shared" si="34"/>
        <v>139</v>
      </c>
      <c r="AA150" s="8">
        <f t="shared" si="34"/>
        <v>140</v>
      </c>
      <c r="AB150" s="8">
        <f t="shared" si="34"/>
        <v>139</v>
      </c>
      <c r="AC150" s="8">
        <f t="shared" si="34"/>
        <v>152</v>
      </c>
      <c r="AD150" s="8">
        <f t="shared" si="34"/>
        <v>150</v>
      </c>
      <c r="AE150" s="8">
        <f>AE151+AE152</f>
        <v>158</v>
      </c>
      <c r="AF150" s="8">
        <f t="shared" ref="AF150:AP150" si="35">AF149-AF153</f>
        <v>171</v>
      </c>
      <c r="AG150" s="8">
        <f t="shared" si="35"/>
        <v>184</v>
      </c>
      <c r="AH150" s="8">
        <f t="shared" si="35"/>
        <v>179</v>
      </c>
      <c r="AI150" s="8">
        <f t="shared" si="35"/>
        <v>184</v>
      </c>
      <c r="AJ150" s="8">
        <f t="shared" si="35"/>
        <v>184</v>
      </c>
      <c r="AK150" s="8">
        <f t="shared" si="35"/>
        <v>183</v>
      </c>
      <c r="AL150" s="8">
        <f t="shared" si="35"/>
        <v>182</v>
      </c>
      <c r="AM150" s="8">
        <f t="shared" si="35"/>
        <v>181</v>
      </c>
      <c r="AN150" s="8">
        <f t="shared" si="35"/>
        <v>181</v>
      </c>
      <c r="AO150" s="8">
        <f t="shared" si="35"/>
        <v>180</v>
      </c>
      <c r="AP150" s="8">
        <f>AP149-AP153-3</f>
        <v>198</v>
      </c>
      <c r="AQ150" s="8">
        <f>AQ149-AQ153</f>
        <v>187</v>
      </c>
    </row>
    <row r="151" spans="1:43">
      <c r="A151" s="26" t="s">
        <v>1431</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v>158</v>
      </c>
      <c r="AF151" s="10">
        <v>171</v>
      </c>
      <c r="AG151" s="10">
        <v>184</v>
      </c>
      <c r="AH151" s="10">
        <v>179</v>
      </c>
      <c r="AI151" s="10">
        <v>180</v>
      </c>
      <c r="AJ151" s="10">
        <v>180</v>
      </c>
      <c r="AK151" s="10">
        <v>179</v>
      </c>
      <c r="AL151" s="10">
        <v>178</v>
      </c>
      <c r="AM151" s="10">
        <v>177</v>
      </c>
      <c r="AN151" s="10">
        <v>177</v>
      </c>
      <c r="AO151" s="10">
        <v>176</v>
      </c>
      <c r="AP151" s="10">
        <f>173</f>
        <v>173</v>
      </c>
      <c r="AQ151" s="10">
        <v>152</v>
      </c>
    </row>
    <row r="152" spans="1:43">
      <c r="A152" s="26" t="s">
        <v>948</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v>0</v>
      </c>
      <c r="AF152" s="10">
        <v>0</v>
      </c>
      <c r="AG152" s="10">
        <v>0</v>
      </c>
      <c r="AH152" s="10">
        <v>0</v>
      </c>
      <c r="AI152" s="10">
        <v>4</v>
      </c>
      <c r="AJ152" s="10">
        <v>4</v>
      </c>
      <c r="AK152" s="10">
        <v>4</v>
      </c>
      <c r="AL152" s="10">
        <v>4</v>
      </c>
      <c r="AM152" s="10">
        <v>4</v>
      </c>
      <c r="AN152" s="10">
        <v>4</v>
      </c>
      <c r="AO152" s="10">
        <v>4</v>
      </c>
      <c r="AP152" s="10">
        <f>-3+28</f>
        <v>25</v>
      </c>
      <c r="AQ152" s="10">
        <v>35</v>
      </c>
    </row>
    <row r="153" spans="1:43">
      <c r="A153" s="9" t="s">
        <v>3478</v>
      </c>
      <c r="B153" s="6">
        <v>0</v>
      </c>
      <c r="C153" s="6">
        <v>0</v>
      </c>
      <c r="D153" s="6">
        <v>0</v>
      </c>
      <c r="E153" s="6">
        <v>0</v>
      </c>
      <c r="F153" s="6">
        <v>0</v>
      </c>
      <c r="G153" s="6">
        <v>0</v>
      </c>
      <c r="H153" s="6">
        <v>0</v>
      </c>
      <c r="I153" s="6">
        <v>4</v>
      </c>
      <c r="J153" s="6">
        <v>4</v>
      </c>
      <c r="K153" s="6">
        <v>4</v>
      </c>
      <c r="L153" s="6">
        <v>4</v>
      </c>
      <c r="M153" s="6">
        <v>10</v>
      </c>
      <c r="N153" s="6">
        <v>10</v>
      </c>
      <c r="O153" s="6">
        <v>10</v>
      </c>
      <c r="P153" s="6">
        <v>16</v>
      </c>
      <c r="Q153" s="6">
        <v>16</v>
      </c>
      <c r="R153" s="6">
        <v>16</v>
      </c>
      <c r="S153" s="6">
        <v>0</v>
      </c>
      <c r="T153" s="6">
        <v>0</v>
      </c>
      <c r="U153" s="6">
        <v>0</v>
      </c>
      <c r="V153" s="6">
        <v>0</v>
      </c>
      <c r="W153" s="6">
        <v>16</v>
      </c>
      <c r="X153" s="6">
        <v>19</v>
      </c>
      <c r="Y153" s="6">
        <v>19</v>
      </c>
      <c r="Z153" s="6">
        <v>24</v>
      </c>
      <c r="AA153" s="6">
        <v>19</v>
      </c>
      <c r="AB153" s="6">
        <v>18</v>
      </c>
      <c r="AC153" s="6">
        <v>22</v>
      </c>
      <c r="AD153" s="6">
        <v>39</v>
      </c>
      <c r="AE153" s="6">
        <v>33</v>
      </c>
      <c r="AF153" s="6">
        <f>2+21</f>
        <v>23</v>
      </c>
      <c r="AG153" s="6">
        <f>5+2</f>
        <v>7</v>
      </c>
      <c r="AH153" s="6">
        <f>2+5</f>
        <v>7</v>
      </c>
      <c r="AI153" s="6">
        <v>2</v>
      </c>
      <c r="AJ153" s="6">
        <v>1</v>
      </c>
      <c r="AK153" s="6">
        <v>0</v>
      </c>
      <c r="AL153" s="6">
        <v>0</v>
      </c>
      <c r="AM153" s="6">
        <v>21</v>
      </c>
      <c r="AN153" s="6">
        <v>20</v>
      </c>
      <c r="AO153" s="6">
        <v>20</v>
      </c>
      <c r="AP153" s="6">
        <f>3+10</f>
        <v>13</v>
      </c>
      <c r="AQ153" s="6">
        <v>10</v>
      </c>
    </row>
    <row r="154" spans="1:43">
      <c r="A154" s="7" t="s">
        <v>3471</v>
      </c>
      <c r="B154" s="8">
        <v>20</v>
      </c>
      <c r="C154" s="8">
        <v>22</v>
      </c>
      <c r="D154" s="8">
        <v>20</v>
      </c>
      <c r="E154" s="8">
        <v>29</v>
      </c>
      <c r="F154" s="8">
        <v>20</v>
      </c>
      <c r="G154" s="8">
        <v>18</v>
      </c>
      <c r="H154" s="8">
        <v>24</v>
      </c>
      <c r="I154" s="8">
        <v>27</v>
      </c>
      <c r="J154" s="8">
        <v>36</v>
      </c>
      <c r="K154" s="8">
        <v>38</v>
      </c>
      <c r="L154" s="8">
        <v>36</v>
      </c>
      <c r="M154" s="8">
        <v>55</v>
      </c>
      <c r="N154" s="8">
        <v>53</v>
      </c>
      <c r="O154" s="8">
        <v>59</v>
      </c>
      <c r="P154" s="8">
        <v>46</v>
      </c>
      <c r="Q154" s="8">
        <v>50</v>
      </c>
      <c r="R154" s="8">
        <v>55</v>
      </c>
      <c r="S154" s="8">
        <f>45+20</f>
        <v>65</v>
      </c>
      <c r="T154" s="8">
        <v>65</v>
      </c>
      <c r="U154" s="8">
        <f>48+13+2</f>
        <v>63</v>
      </c>
      <c r="V154" s="8">
        <v>59</v>
      </c>
      <c r="W154" s="8">
        <f>1+1+1</f>
        <v>3</v>
      </c>
      <c r="X154" s="8">
        <f>30+1+5</f>
        <v>36</v>
      </c>
      <c r="Y154" s="8">
        <f>29+1+2</f>
        <v>32</v>
      </c>
      <c r="Z154" s="8">
        <v>46</v>
      </c>
      <c r="AA154" s="8">
        <f>34+1+16</f>
        <v>51</v>
      </c>
      <c r="AB154" s="8">
        <v>45</v>
      </c>
      <c r="AC154" s="8">
        <f>22+3+6</f>
        <v>31</v>
      </c>
      <c r="AD154" s="8">
        <v>31</v>
      </c>
      <c r="AE154" s="8">
        <f t="shared" ref="AE154:AQ154" si="36">AE155+AE156</f>
        <v>42</v>
      </c>
      <c r="AF154" s="8">
        <f t="shared" si="36"/>
        <v>43</v>
      </c>
      <c r="AG154" s="8">
        <f t="shared" si="36"/>
        <v>55</v>
      </c>
      <c r="AH154" s="8">
        <f t="shared" si="36"/>
        <v>41</v>
      </c>
      <c r="AI154" s="8">
        <f t="shared" si="36"/>
        <v>44</v>
      </c>
      <c r="AJ154" s="8">
        <f t="shared" si="36"/>
        <v>60</v>
      </c>
      <c r="AK154" s="8">
        <f t="shared" si="36"/>
        <v>49</v>
      </c>
      <c r="AL154" s="8">
        <f t="shared" si="36"/>
        <v>54</v>
      </c>
      <c r="AM154" s="8">
        <f t="shared" si="36"/>
        <v>47</v>
      </c>
      <c r="AN154" s="8">
        <f t="shared" si="36"/>
        <v>28</v>
      </c>
      <c r="AO154" s="8">
        <f t="shared" si="36"/>
        <v>43</v>
      </c>
      <c r="AP154" s="8">
        <f t="shared" si="36"/>
        <v>53</v>
      </c>
      <c r="AQ154" s="8">
        <f t="shared" si="36"/>
        <v>40</v>
      </c>
    </row>
    <row r="155" spans="1:43">
      <c r="A155" s="26" t="s">
        <v>1431</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v>42</v>
      </c>
      <c r="AF155" s="10">
        <v>43</v>
      </c>
      <c r="AG155" s="10">
        <v>53</v>
      </c>
      <c r="AH155" s="10">
        <v>41</v>
      </c>
      <c r="AI155" s="10">
        <v>44</v>
      </c>
      <c r="AJ155" s="10">
        <v>57</v>
      </c>
      <c r="AK155" s="10">
        <v>47</v>
      </c>
      <c r="AL155" s="10">
        <v>52</v>
      </c>
      <c r="AM155" s="10">
        <v>46</v>
      </c>
      <c r="AN155" s="10">
        <v>28</v>
      </c>
      <c r="AO155" s="10">
        <v>43</v>
      </c>
      <c r="AP155" s="10">
        <v>45</v>
      </c>
      <c r="AQ155" s="10">
        <v>34</v>
      </c>
    </row>
    <row r="156" spans="1:43">
      <c r="A156" s="26" t="s">
        <v>948</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v>0</v>
      </c>
      <c r="AF156" s="10">
        <v>0</v>
      </c>
      <c r="AG156" s="10">
        <v>2</v>
      </c>
      <c r="AH156" s="10">
        <v>0</v>
      </c>
      <c r="AI156" s="10">
        <v>0</v>
      </c>
      <c r="AJ156" s="10">
        <v>3</v>
      </c>
      <c r="AK156" s="10">
        <v>2</v>
      </c>
      <c r="AL156" s="10">
        <v>2</v>
      </c>
      <c r="AM156" s="10">
        <v>1</v>
      </c>
      <c r="AN156" s="10">
        <v>0</v>
      </c>
      <c r="AO156" s="10">
        <v>0</v>
      </c>
      <c r="AP156" s="10">
        <v>8</v>
      </c>
      <c r="AQ156" s="10">
        <v>6</v>
      </c>
    </row>
    <row r="157" spans="1:43">
      <c r="A157" s="9" t="s">
        <v>3479</v>
      </c>
      <c r="B157" s="11">
        <f t="shared" ref="B157:AQ157" si="37">B154/B150</f>
        <v>0.188679245283019</v>
      </c>
      <c r="C157" s="11">
        <f t="shared" si="37"/>
        <v>0.207547169811321</v>
      </c>
      <c r="D157" s="11">
        <f t="shared" si="37"/>
        <v>0.188679245283019</v>
      </c>
      <c r="E157" s="11">
        <f t="shared" si="37"/>
        <v>0.273584905660377</v>
      </c>
      <c r="F157" s="11">
        <f t="shared" si="37"/>
        <v>0.188679245283019</v>
      </c>
      <c r="G157" s="11">
        <f t="shared" si="37"/>
        <v>0.169811320754717</v>
      </c>
      <c r="H157" s="11">
        <f t="shared" si="37"/>
        <v>0.226415094339623</v>
      </c>
      <c r="I157" s="11">
        <f t="shared" si="37"/>
        <v>0.257142857142857</v>
      </c>
      <c r="J157" s="11">
        <f t="shared" si="37"/>
        <v>0.342857142857143</v>
      </c>
      <c r="K157" s="11">
        <f t="shared" si="37"/>
        <v>0.361904761904762</v>
      </c>
      <c r="L157" s="11">
        <f t="shared" si="37"/>
        <v>0.339622641509434</v>
      </c>
      <c r="M157" s="11">
        <f t="shared" si="37"/>
        <v>0.514018691588785</v>
      </c>
      <c r="N157" s="11">
        <f t="shared" si="37"/>
        <v>0.490740740740741</v>
      </c>
      <c r="O157" s="11">
        <f t="shared" si="37"/>
        <v>0.541284403669725</v>
      </c>
      <c r="P157" s="11">
        <f t="shared" si="37"/>
        <v>0.4</v>
      </c>
      <c r="Q157" s="11">
        <f t="shared" si="37"/>
        <v>0.434782608695652</v>
      </c>
      <c r="R157" s="11">
        <f t="shared" si="37"/>
        <v>0.478260869565217</v>
      </c>
      <c r="S157" s="11">
        <f t="shared" si="37"/>
        <v>0.49618320610687</v>
      </c>
      <c r="T157" s="11">
        <f t="shared" si="37"/>
        <v>0.5078125</v>
      </c>
      <c r="U157" s="11">
        <f t="shared" si="37"/>
        <v>0.4921875</v>
      </c>
      <c r="V157" s="11">
        <f t="shared" si="37"/>
        <v>0.450381679389313</v>
      </c>
      <c r="W157" s="11">
        <f t="shared" si="37"/>
        <v>0.0238095238095238</v>
      </c>
      <c r="X157" s="11">
        <f t="shared" si="37"/>
        <v>0.285714285714286</v>
      </c>
      <c r="Y157" s="11">
        <f t="shared" si="37"/>
        <v>0.253968253968254</v>
      </c>
      <c r="Z157" s="11">
        <f t="shared" si="37"/>
        <v>0.330935251798561</v>
      </c>
      <c r="AA157" s="11">
        <f t="shared" si="37"/>
        <v>0.364285714285714</v>
      </c>
      <c r="AB157" s="11">
        <f t="shared" si="37"/>
        <v>0.323741007194245</v>
      </c>
      <c r="AC157" s="11">
        <f t="shared" si="37"/>
        <v>0.203947368421053</v>
      </c>
      <c r="AD157" s="11">
        <f t="shared" si="37"/>
        <v>0.206666666666667</v>
      </c>
      <c r="AE157" s="11">
        <f t="shared" si="37"/>
        <v>0.265822784810127</v>
      </c>
      <c r="AF157" s="11">
        <f t="shared" si="37"/>
        <v>0.251461988304094</v>
      </c>
      <c r="AG157" s="11">
        <f t="shared" si="37"/>
        <v>0.298913043478261</v>
      </c>
      <c r="AH157" s="11">
        <f t="shared" si="37"/>
        <v>0.229050279329609</v>
      </c>
      <c r="AI157" s="11">
        <f t="shared" si="37"/>
        <v>0.239130434782609</v>
      </c>
      <c r="AJ157" s="11">
        <f t="shared" si="37"/>
        <v>0.326086956521739</v>
      </c>
      <c r="AK157" s="11">
        <f t="shared" si="37"/>
        <v>0.26775956284153</v>
      </c>
      <c r="AL157" s="11">
        <f t="shared" si="37"/>
        <v>0.296703296703297</v>
      </c>
      <c r="AM157" s="11">
        <f t="shared" si="37"/>
        <v>0.259668508287293</v>
      </c>
      <c r="AN157" s="11">
        <f t="shared" si="37"/>
        <v>0.154696132596685</v>
      </c>
      <c r="AO157" s="11">
        <f t="shared" si="37"/>
        <v>0.238888888888889</v>
      </c>
      <c r="AP157" s="11">
        <f t="shared" si="37"/>
        <v>0.267676767676768</v>
      </c>
      <c r="AQ157" s="11">
        <f t="shared" si="37"/>
        <v>0.213903743315508</v>
      </c>
    </row>
    <row r="158" spans="1:43">
      <c r="A158" s="7" t="s">
        <v>3480</v>
      </c>
      <c r="B158" s="8">
        <v>4718</v>
      </c>
      <c r="C158" s="8">
        <v>5531</v>
      </c>
      <c r="D158" s="8">
        <v>5228</v>
      </c>
      <c r="E158" s="8">
        <v>5253</v>
      </c>
      <c r="F158" s="8">
        <v>5379</v>
      </c>
      <c r="G158" s="8">
        <v>5459</v>
      </c>
      <c r="H158" s="8">
        <v>5753</v>
      </c>
      <c r="I158" s="8">
        <v>6091</v>
      </c>
      <c r="J158" s="8">
        <v>5419</v>
      </c>
      <c r="K158" s="8">
        <v>5548</v>
      </c>
      <c r="L158" s="8">
        <v>5087</v>
      </c>
      <c r="M158" s="8">
        <v>4416</v>
      </c>
      <c r="N158" s="8">
        <v>4405</v>
      </c>
      <c r="O158" s="8">
        <v>3634</v>
      </c>
      <c r="P158" s="8">
        <v>5573</v>
      </c>
      <c r="Q158" s="8">
        <v>5052</v>
      </c>
      <c r="R158" s="8">
        <v>5985</v>
      </c>
      <c r="S158" s="8">
        <v>5030</v>
      </c>
      <c r="T158" s="8">
        <v>5524</v>
      </c>
      <c r="U158" s="8">
        <v>6117</v>
      </c>
      <c r="V158" s="8">
        <v>6131</v>
      </c>
      <c r="W158" s="8">
        <v>6481</v>
      </c>
      <c r="X158" s="8">
        <v>7267</v>
      </c>
      <c r="Y158" s="8">
        <v>7537</v>
      </c>
      <c r="Z158" s="8">
        <v>7031</v>
      </c>
      <c r="AA158" s="8">
        <v>6374</v>
      </c>
      <c r="AB158" s="8">
        <v>7723</v>
      </c>
      <c r="AC158" s="8">
        <v>8161</v>
      </c>
      <c r="AD158" s="8">
        <v>9594</v>
      </c>
      <c r="AE158" s="8">
        <v>9608</v>
      </c>
      <c r="AF158" s="8">
        <v>8739</v>
      </c>
      <c r="AG158" s="8">
        <v>8541</v>
      </c>
      <c r="AH158" s="8">
        <v>8468</v>
      </c>
      <c r="AI158" s="8">
        <v>8708</v>
      </c>
      <c r="AJ158" s="8">
        <v>8387</v>
      </c>
      <c r="AK158" s="8">
        <v>8360</v>
      </c>
      <c r="AL158" s="8">
        <v>7576</v>
      </c>
      <c r="AM158" s="8">
        <v>9495</v>
      </c>
      <c r="AN158" s="8">
        <v>9375</v>
      </c>
      <c r="AO158" s="8">
        <v>8770</v>
      </c>
      <c r="AP158" s="8">
        <v>9736</v>
      </c>
      <c r="AQ158" s="8">
        <v>8884</v>
      </c>
    </row>
    <row r="159" ht="13.65" spans="1:43">
      <c r="A159" s="12" t="s">
        <v>3472</v>
      </c>
      <c r="B159" s="13">
        <f t="shared" ref="B159:AQ159" si="38">1-B157</f>
        <v>0.811320754716981</v>
      </c>
      <c r="C159" s="13">
        <f t="shared" si="38"/>
        <v>0.792452830188679</v>
      </c>
      <c r="D159" s="13">
        <f t="shared" si="38"/>
        <v>0.811320754716981</v>
      </c>
      <c r="E159" s="13">
        <f t="shared" si="38"/>
        <v>0.726415094339623</v>
      </c>
      <c r="F159" s="13">
        <f t="shared" si="38"/>
        <v>0.811320754716981</v>
      </c>
      <c r="G159" s="13">
        <f t="shared" si="38"/>
        <v>0.830188679245283</v>
      </c>
      <c r="H159" s="13">
        <f t="shared" si="38"/>
        <v>0.773584905660377</v>
      </c>
      <c r="I159" s="13">
        <f t="shared" si="38"/>
        <v>0.742857142857143</v>
      </c>
      <c r="J159" s="13">
        <f t="shared" si="38"/>
        <v>0.657142857142857</v>
      </c>
      <c r="K159" s="13">
        <f t="shared" si="38"/>
        <v>0.638095238095238</v>
      </c>
      <c r="L159" s="13">
        <f t="shared" si="38"/>
        <v>0.660377358490566</v>
      </c>
      <c r="M159" s="13">
        <f t="shared" si="38"/>
        <v>0.485981308411215</v>
      </c>
      <c r="N159" s="13">
        <f t="shared" si="38"/>
        <v>0.509259259259259</v>
      </c>
      <c r="O159" s="13">
        <f t="shared" si="38"/>
        <v>0.458715596330275</v>
      </c>
      <c r="P159" s="13">
        <f t="shared" si="38"/>
        <v>0.6</v>
      </c>
      <c r="Q159" s="13">
        <f t="shared" si="38"/>
        <v>0.565217391304348</v>
      </c>
      <c r="R159" s="13">
        <f t="shared" si="38"/>
        <v>0.521739130434783</v>
      </c>
      <c r="S159" s="13">
        <f t="shared" si="38"/>
        <v>0.50381679389313</v>
      </c>
      <c r="T159" s="13">
        <f t="shared" si="38"/>
        <v>0.4921875</v>
      </c>
      <c r="U159" s="13">
        <f t="shared" si="38"/>
        <v>0.5078125</v>
      </c>
      <c r="V159" s="13">
        <f t="shared" si="38"/>
        <v>0.549618320610687</v>
      </c>
      <c r="W159" s="13">
        <f t="shared" si="38"/>
        <v>0.976190476190476</v>
      </c>
      <c r="X159" s="13">
        <f t="shared" si="38"/>
        <v>0.714285714285714</v>
      </c>
      <c r="Y159" s="13">
        <f t="shared" si="38"/>
        <v>0.746031746031746</v>
      </c>
      <c r="Z159" s="13">
        <f t="shared" si="38"/>
        <v>0.669064748201439</v>
      </c>
      <c r="AA159" s="13">
        <f t="shared" si="38"/>
        <v>0.635714285714286</v>
      </c>
      <c r="AB159" s="13">
        <f t="shared" si="38"/>
        <v>0.676258992805755</v>
      </c>
      <c r="AC159" s="13">
        <f t="shared" si="38"/>
        <v>0.796052631578947</v>
      </c>
      <c r="AD159" s="13">
        <f t="shared" si="38"/>
        <v>0.793333333333333</v>
      </c>
      <c r="AE159" s="13">
        <f t="shared" si="38"/>
        <v>0.734177215189873</v>
      </c>
      <c r="AF159" s="13">
        <f t="shared" si="38"/>
        <v>0.748538011695906</v>
      </c>
      <c r="AG159" s="13">
        <f t="shared" si="38"/>
        <v>0.701086956521739</v>
      </c>
      <c r="AH159" s="13">
        <f t="shared" si="38"/>
        <v>0.770949720670391</v>
      </c>
      <c r="AI159" s="13">
        <f t="shared" si="38"/>
        <v>0.760869565217391</v>
      </c>
      <c r="AJ159" s="13">
        <f t="shared" si="38"/>
        <v>0.673913043478261</v>
      </c>
      <c r="AK159" s="13">
        <f t="shared" si="38"/>
        <v>0.73224043715847</v>
      </c>
      <c r="AL159" s="13">
        <f t="shared" si="38"/>
        <v>0.703296703296703</v>
      </c>
      <c r="AM159" s="13">
        <f t="shared" si="38"/>
        <v>0.740331491712707</v>
      </c>
      <c r="AN159" s="13">
        <f t="shared" si="38"/>
        <v>0.845303867403315</v>
      </c>
      <c r="AO159" s="13">
        <f t="shared" si="38"/>
        <v>0.761111111111111</v>
      </c>
      <c r="AP159" s="13">
        <f t="shared" si="38"/>
        <v>0.732323232323232</v>
      </c>
      <c r="AQ159" s="13">
        <f t="shared" si="38"/>
        <v>0.786096256684492</v>
      </c>
    </row>
    <row r="160" spans="16:43">
      <c r="P160" s="17" t="s">
        <v>3565</v>
      </c>
      <c r="Q160" s="17" t="s">
        <v>3566</v>
      </c>
      <c r="R160" s="17"/>
      <c r="S160" s="17" t="s">
        <v>3555</v>
      </c>
      <c r="T160" s="17" t="s">
        <v>3567</v>
      </c>
      <c r="U160" s="17"/>
      <c r="V160" s="17" t="s">
        <v>3568</v>
      </c>
      <c r="W160" s="17"/>
      <c r="X160" s="17" t="s">
        <v>3569</v>
      </c>
      <c r="Y160" s="17" t="s">
        <v>3570</v>
      </c>
      <c r="Z160" s="17"/>
      <c r="AA160" s="17"/>
      <c r="AB160" s="17" t="s">
        <v>3571</v>
      </c>
      <c r="AC160" s="17" t="s">
        <v>3572</v>
      </c>
      <c r="AD160" s="17" t="s">
        <v>3573</v>
      </c>
      <c r="AE160" s="17" t="s">
        <v>3574</v>
      </c>
      <c r="AF160" s="17"/>
      <c r="AG160" s="17"/>
      <c r="AH160" s="17"/>
      <c r="AI160" s="17" t="s">
        <v>3575</v>
      </c>
      <c r="AJ160" s="17"/>
      <c r="AK160" s="17"/>
      <c r="AL160" s="17"/>
      <c r="AM160" s="17" t="s">
        <v>3576</v>
      </c>
      <c r="AN160" s="17"/>
      <c r="AO160" s="17"/>
      <c r="AP160" s="17" t="s">
        <v>3577</v>
      </c>
      <c r="AQ160" s="17" t="s">
        <v>3578</v>
      </c>
    </row>
    <row r="161" spans="16:43">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row>
    <row r="162" spans="16:43">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row>
    <row r="163" spans="16:43">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row>
    <row r="164" spans="16:43">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row>
    <row r="165" spans="16:43">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row>
    <row r="166" spans="16:43">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row>
    <row r="167" spans="16:43">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row>
    <row r="168" spans="16:43">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row>
    <row r="169" spans="16:43">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row>
    <row r="172" spans="1:43">
      <c r="A172" s="3" t="s">
        <v>3579</v>
      </c>
      <c r="B172" s="4">
        <v>44848</v>
      </c>
      <c r="C172" s="4">
        <v>44855</v>
      </c>
      <c r="D172" s="4">
        <v>44862</v>
      </c>
      <c r="E172" s="4">
        <v>44876</v>
      </c>
      <c r="F172" s="4">
        <v>44883</v>
      </c>
      <c r="G172" s="4">
        <v>44890</v>
      </c>
      <c r="H172" s="4">
        <v>44896</v>
      </c>
      <c r="I172" s="4">
        <v>44904</v>
      </c>
      <c r="J172" s="4">
        <v>44911</v>
      </c>
      <c r="K172" s="4">
        <v>44918</v>
      </c>
      <c r="L172" s="4">
        <v>44925</v>
      </c>
      <c r="M172" s="4">
        <v>44939</v>
      </c>
      <c r="N172" s="4">
        <v>44946</v>
      </c>
      <c r="O172" s="4">
        <v>44954</v>
      </c>
      <c r="P172" s="4">
        <v>44967</v>
      </c>
      <c r="Q172" s="4">
        <v>44974</v>
      </c>
      <c r="R172" s="4">
        <v>44981</v>
      </c>
      <c r="S172" s="4">
        <v>44995</v>
      </c>
      <c r="T172" s="4">
        <v>45002</v>
      </c>
      <c r="U172" s="4">
        <v>45009</v>
      </c>
      <c r="V172" s="4">
        <v>45016</v>
      </c>
      <c r="W172" s="4">
        <v>45030</v>
      </c>
      <c r="X172" s="4">
        <v>45037</v>
      </c>
      <c r="Y172" s="4">
        <v>45044</v>
      </c>
      <c r="Z172" s="4">
        <v>45058</v>
      </c>
      <c r="AA172" s="4">
        <v>45065</v>
      </c>
      <c r="AB172" s="4">
        <v>45072</v>
      </c>
      <c r="AC172" s="4">
        <v>45086</v>
      </c>
      <c r="AD172" s="4">
        <v>45093</v>
      </c>
      <c r="AE172" s="4">
        <v>45107</v>
      </c>
      <c r="AF172" s="4">
        <v>45114</v>
      </c>
      <c r="AG172" s="4">
        <v>45121</v>
      </c>
      <c r="AH172" s="4">
        <v>45128</v>
      </c>
      <c r="AI172" s="4">
        <v>45135</v>
      </c>
      <c r="AJ172" s="4">
        <v>45149</v>
      </c>
      <c r="AK172" s="4">
        <v>45156</v>
      </c>
      <c r="AL172" s="4">
        <v>45163</v>
      </c>
      <c r="AM172" s="4">
        <v>45170</v>
      </c>
      <c r="AN172" s="4">
        <v>45184</v>
      </c>
      <c r="AO172" s="4">
        <v>45191</v>
      </c>
      <c r="AP172" s="4">
        <v>45212</v>
      </c>
      <c r="AQ172" s="4">
        <v>45219</v>
      </c>
    </row>
    <row r="173" spans="1:43">
      <c r="A173" s="5" t="s">
        <v>3470</v>
      </c>
      <c r="B173" s="6">
        <v>35</v>
      </c>
      <c r="C173" s="6">
        <v>34</v>
      </c>
      <c r="D173" s="6">
        <v>34</v>
      </c>
      <c r="E173" s="6">
        <v>33</v>
      </c>
      <c r="F173" s="6">
        <v>33</v>
      </c>
      <c r="G173" s="6">
        <v>32</v>
      </c>
      <c r="H173" s="6">
        <v>31</v>
      </c>
      <c r="I173" s="6">
        <v>33</v>
      </c>
      <c r="J173" s="6">
        <v>35</v>
      </c>
      <c r="K173" s="6">
        <v>45</v>
      </c>
      <c r="L173" s="6">
        <v>45</v>
      </c>
      <c r="M173" s="6">
        <v>50</v>
      </c>
      <c r="N173" s="6">
        <v>56</v>
      </c>
      <c r="O173" s="6">
        <v>62</v>
      </c>
      <c r="P173" s="6">
        <v>66</v>
      </c>
      <c r="Q173" s="6">
        <v>73</v>
      </c>
      <c r="R173" s="6">
        <v>74</v>
      </c>
      <c r="S173" s="6">
        <v>81</v>
      </c>
      <c r="T173" s="6">
        <v>80</v>
      </c>
      <c r="U173" s="6">
        <v>88</v>
      </c>
      <c r="V173" s="6">
        <v>87</v>
      </c>
      <c r="W173" s="6">
        <v>93</v>
      </c>
      <c r="X173" s="6">
        <v>94</v>
      </c>
      <c r="Y173" s="6">
        <v>95</v>
      </c>
      <c r="Z173" s="6">
        <v>104</v>
      </c>
      <c r="AA173" s="6">
        <v>100</v>
      </c>
      <c r="AB173" s="6">
        <v>111</v>
      </c>
      <c r="AC173" s="6">
        <v>112</v>
      </c>
      <c r="AD173" s="6">
        <v>102</v>
      </c>
      <c r="AE173" s="6">
        <v>111</v>
      </c>
      <c r="AF173" s="6">
        <v>112</v>
      </c>
      <c r="AG173" s="6">
        <v>112</v>
      </c>
      <c r="AH173" s="6">
        <v>110</v>
      </c>
      <c r="AI173" s="6">
        <v>110</v>
      </c>
      <c r="AJ173" s="6">
        <v>111</v>
      </c>
      <c r="AK173" s="6">
        <v>111</v>
      </c>
      <c r="AL173" s="6">
        <v>112</v>
      </c>
      <c r="AM173" s="6">
        <v>112</v>
      </c>
      <c r="AN173" s="6">
        <v>108</v>
      </c>
      <c r="AO173" s="6">
        <v>101</v>
      </c>
      <c r="AP173" s="6">
        <v>94</v>
      </c>
      <c r="AQ173" s="6">
        <v>96</v>
      </c>
    </row>
    <row r="174" spans="1:43">
      <c r="A174" s="7" t="s">
        <v>3474</v>
      </c>
      <c r="B174" s="25">
        <f t="shared" ref="B174:T174" si="39">B173-B177</f>
        <v>35</v>
      </c>
      <c r="C174" s="25">
        <f t="shared" si="39"/>
        <v>34</v>
      </c>
      <c r="D174" s="25">
        <f t="shared" si="39"/>
        <v>34</v>
      </c>
      <c r="E174" s="25">
        <f t="shared" si="39"/>
        <v>33</v>
      </c>
      <c r="F174" s="25">
        <f t="shared" si="39"/>
        <v>33</v>
      </c>
      <c r="G174" s="25">
        <f t="shared" si="39"/>
        <v>32</v>
      </c>
      <c r="H174" s="25">
        <f t="shared" si="39"/>
        <v>31</v>
      </c>
      <c r="I174" s="25">
        <f t="shared" si="39"/>
        <v>31</v>
      </c>
      <c r="J174" s="25">
        <f t="shared" si="39"/>
        <v>31</v>
      </c>
      <c r="K174" s="25">
        <f t="shared" si="39"/>
        <v>31</v>
      </c>
      <c r="L174" s="25">
        <f t="shared" si="39"/>
        <v>31</v>
      </c>
      <c r="M174" s="25">
        <f t="shared" si="39"/>
        <v>33</v>
      </c>
      <c r="N174" s="25">
        <f t="shared" si="39"/>
        <v>32</v>
      </c>
      <c r="O174" s="25">
        <f t="shared" si="39"/>
        <v>39</v>
      </c>
      <c r="P174" s="25">
        <f t="shared" si="39"/>
        <v>62</v>
      </c>
      <c r="Q174" s="25">
        <f t="shared" si="39"/>
        <v>48</v>
      </c>
      <c r="R174" s="25">
        <f t="shared" si="39"/>
        <v>62</v>
      </c>
      <c r="S174" s="25">
        <f t="shared" si="39"/>
        <v>80</v>
      </c>
      <c r="T174" s="25">
        <f>T173-T177-8</f>
        <v>57</v>
      </c>
      <c r="U174" s="25">
        <f>U173-U177-6</f>
        <v>64</v>
      </c>
      <c r="V174" s="25">
        <f>V173-V177-11</f>
        <v>58</v>
      </c>
      <c r="W174" s="25">
        <f>W173-W177-11</f>
        <v>65</v>
      </c>
      <c r="X174" s="25">
        <f>X173-X177-12</f>
        <v>65</v>
      </c>
      <c r="Y174" s="25">
        <f>Y173-Y177-6</f>
        <v>77</v>
      </c>
      <c r="Z174" s="25">
        <f>Z173-Z177-6</f>
        <v>83</v>
      </c>
      <c r="AA174" s="25">
        <f>AA173-AA177-5</f>
        <v>83</v>
      </c>
      <c r="AB174" s="25">
        <f>AB173-AB177-5</f>
        <v>86</v>
      </c>
      <c r="AC174" s="25">
        <f>AC173-AC177-4</f>
        <v>92</v>
      </c>
      <c r="AD174" s="25">
        <f>AD173-AD177-24</f>
        <v>68</v>
      </c>
      <c r="AE174" s="25">
        <f>AE173-AE177-6</f>
        <v>69</v>
      </c>
      <c r="AF174" s="25">
        <f>AF173-AF177-1</f>
        <v>82</v>
      </c>
      <c r="AG174" s="25">
        <f>AG173-AG177-9</f>
        <v>77</v>
      </c>
      <c r="AH174" s="25">
        <f>AH173-AH177-7</f>
        <v>103</v>
      </c>
      <c r="AI174" s="25">
        <f>AI173-AI177-6</f>
        <v>104</v>
      </c>
      <c r="AJ174" s="25">
        <f>AJ173-AJ177-4</f>
        <v>106</v>
      </c>
      <c r="AK174" s="25">
        <f>AK173-AK177-5</f>
        <v>103</v>
      </c>
      <c r="AL174" s="25">
        <f>AL173-AL177-6</f>
        <v>102</v>
      </c>
      <c r="AM174" s="25">
        <f>AM173-AM177-3</f>
        <v>104</v>
      </c>
      <c r="AN174" s="25">
        <f>AN173-AN177-17</f>
        <v>90</v>
      </c>
      <c r="AO174" s="25">
        <f>AO173-AO177-14</f>
        <v>86</v>
      </c>
      <c r="AP174" s="25">
        <f>AP173-AP177-9</f>
        <v>85</v>
      </c>
      <c r="AQ174" s="25">
        <f>AQ173-AQ177-9</f>
        <v>81</v>
      </c>
    </row>
    <row r="175" spans="1:43">
      <c r="A175" s="26" t="s">
        <v>2851</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v>86</v>
      </c>
      <c r="AC175" s="10">
        <v>91</v>
      </c>
      <c r="AD175" s="10">
        <v>68</v>
      </c>
      <c r="AE175" s="10">
        <v>69</v>
      </c>
      <c r="AF175" s="10">
        <v>75</v>
      </c>
      <c r="AG175" s="10">
        <v>67</v>
      </c>
      <c r="AH175" s="10">
        <v>67</v>
      </c>
      <c r="AI175" s="10">
        <v>67</v>
      </c>
      <c r="AJ175" s="10">
        <v>69</v>
      </c>
      <c r="AK175" s="10">
        <v>66</v>
      </c>
      <c r="AL175" s="10">
        <v>62</v>
      </c>
      <c r="AM175" s="10">
        <v>64</v>
      </c>
      <c r="AN175" s="10">
        <v>55</v>
      </c>
      <c r="AO175" s="10">
        <v>52</v>
      </c>
      <c r="AP175" s="10">
        <v>51</v>
      </c>
      <c r="AQ175" s="10">
        <v>47</v>
      </c>
    </row>
    <row r="176" spans="1:43">
      <c r="A176" s="26" t="s">
        <v>1786</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v>0</v>
      </c>
      <c r="AC176" s="10">
        <v>1</v>
      </c>
      <c r="AD176" s="10">
        <v>0</v>
      </c>
      <c r="AE176" s="10">
        <v>0</v>
      </c>
      <c r="AF176" s="10">
        <v>7</v>
      </c>
      <c r="AG176" s="10">
        <v>10</v>
      </c>
      <c r="AH176" s="10">
        <v>36</v>
      </c>
      <c r="AI176" s="10">
        <v>37</v>
      </c>
      <c r="AJ176" s="10">
        <v>37</v>
      </c>
      <c r="AK176" s="10">
        <v>37</v>
      </c>
      <c r="AL176" s="10">
        <v>40</v>
      </c>
      <c r="AM176" s="10">
        <v>40</v>
      </c>
      <c r="AN176" s="10">
        <v>35</v>
      </c>
      <c r="AO176" s="10">
        <v>34</v>
      </c>
      <c r="AP176" s="10">
        <v>34</v>
      </c>
      <c r="AQ176" s="10">
        <v>34</v>
      </c>
    </row>
    <row r="177" spans="1:43">
      <c r="A177" s="9" t="s">
        <v>3478</v>
      </c>
      <c r="B177" s="6">
        <v>0</v>
      </c>
      <c r="C177" s="6">
        <v>0</v>
      </c>
      <c r="D177" s="6">
        <v>0</v>
      </c>
      <c r="E177" s="6">
        <v>0</v>
      </c>
      <c r="F177" s="6">
        <v>0</v>
      </c>
      <c r="G177" s="6">
        <v>0</v>
      </c>
      <c r="H177" s="6">
        <v>0</v>
      </c>
      <c r="I177" s="6">
        <v>2</v>
      </c>
      <c r="J177" s="6">
        <v>4</v>
      </c>
      <c r="K177" s="6">
        <v>14</v>
      </c>
      <c r="L177" s="6">
        <v>14</v>
      </c>
      <c r="M177" s="6">
        <v>17</v>
      </c>
      <c r="N177" s="6">
        <v>24</v>
      </c>
      <c r="O177" s="6">
        <v>23</v>
      </c>
      <c r="P177" s="6">
        <v>4</v>
      </c>
      <c r="Q177" s="6">
        <v>25</v>
      </c>
      <c r="R177" s="6">
        <v>12</v>
      </c>
      <c r="S177" s="6">
        <v>1</v>
      </c>
      <c r="T177" s="6">
        <v>15</v>
      </c>
      <c r="U177" s="6">
        <v>18</v>
      </c>
      <c r="V177" s="6">
        <v>18</v>
      </c>
      <c r="W177" s="6">
        <v>17</v>
      </c>
      <c r="X177" s="6">
        <v>17</v>
      </c>
      <c r="Y177" s="6">
        <v>12</v>
      </c>
      <c r="Z177" s="6">
        <v>15</v>
      </c>
      <c r="AA177" s="6">
        <v>12</v>
      </c>
      <c r="AB177" s="6">
        <v>20</v>
      </c>
      <c r="AC177" s="6">
        <f>10+6</f>
        <v>16</v>
      </c>
      <c r="AD177" s="6">
        <v>10</v>
      </c>
      <c r="AE177" s="6">
        <v>36</v>
      </c>
      <c r="AF177" s="6">
        <v>29</v>
      </c>
      <c r="AG177" s="6">
        <v>26</v>
      </c>
      <c r="AH177" s="6">
        <v>0</v>
      </c>
      <c r="AI177" s="6">
        <v>0</v>
      </c>
      <c r="AJ177" s="6">
        <v>1</v>
      </c>
      <c r="AK177" s="6">
        <v>3</v>
      </c>
      <c r="AL177" s="6">
        <v>4</v>
      </c>
      <c r="AM177" s="6">
        <v>5</v>
      </c>
      <c r="AN177" s="6">
        <v>1</v>
      </c>
      <c r="AO177" s="6">
        <v>1</v>
      </c>
      <c r="AP177" s="6">
        <v>0</v>
      </c>
      <c r="AQ177" s="6">
        <v>6</v>
      </c>
    </row>
    <row r="178" spans="1:43">
      <c r="A178" s="7" t="s">
        <v>3471</v>
      </c>
      <c r="B178" s="8">
        <v>15</v>
      </c>
      <c r="C178" s="8">
        <v>15</v>
      </c>
      <c r="D178" s="8">
        <v>13</v>
      </c>
      <c r="E178" s="8">
        <v>11</v>
      </c>
      <c r="F178" s="8">
        <v>10</v>
      </c>
      <c r="G178" s="8">
        <v>10</v>
      </c>
      <c r="H178" s="8">
        <v>11</v>
      </c>
      <c r="I178" s="8">
        <v>10</v>
      </c>
      <c r="J178" s="8">
        <v>11</v>
      </c>
      <c r="K178" s="8">
        <v>10</v>
      </c>
      <c r="L178" s="8">
        <v>11</v>
      </c>
      <c r="M178" s="8">
        <v>17</v>
      </c>
      <c r="N178" s="8">
        <v>21</v>
      </c>
      <c r="O178" s="8">
        <v>19</v>
      </c>
      <c r="P178" s="8">
        <v>28</v>
      </c>
      <c r="Q178" s="8">
        <v>22</v>
      </c>
      <c r="R178" s="8">
        <v>26</v>
      </c>
      <c r="S178" s="8">
        <f>21+6</f>
        <v>27</v>
      </c>
      <c r="T178" s="8">
        <v>20</v>
      </c>
      <c r="U178" s="8">
        <f>21+2+2</f>
        <v>25</v>
      </c>
      <c r="V178" s="8">
        <v>31</v>
      </c>
      <c r="W178" s="8">
        <v>29</v>
      </c>
      <c r="X178" s="8">
        <f>16+1+6</f>
        <v>23</v>
      </c>
      <c r="Y178" s="8">
        <f>21+2+9</f>
        <v>32</v>
      </c>
      <c r="Z178" s="8">
        <v>50</v>
      </c>
      <c r="AA178" s="8">
        <f>35+5+13</f>
        <v>53</v>
      </c>
      <c r="AB178" s="8">
        <f t="shared" ref="AB178:AQ178" si="40">AB179+AB180</f>
        <v>45</v>
      </c>
      <c r="AC178" s="8">
        <f t="shared" si="40"/>
        <v>45</v>
      </c>
      <c r="AD178" s="8">
        <f t="shared" si="40"/>
        <v>29</v>
      </c>
      <c r="AE178" s="8">
        <f t="shared" si="40"/>
        <v>25</v>
      </c>
      <c r="AF178" s="8">
        <f t="shared" si="40"/>
        <v>33</v>
      </c>
      <c r="AG178" s="8">
        <f t="shared" si="40"/>
        <v>37</v>
      </c>
      <c r="AH178" s="8">
        <f t="shared" si="40"/>
        <v>29</v>
      </c>
      <c r="AI178" s="8">
        <f t="shared" si="40"/>
        <v>38</v>
      </c>
      <c r="AJ178" s="8">
        <f t="shared" si="40"/>
        <v>37</v>
      </c>
      <c r="AK178" s="8">
        <f t="shared" si="40"/>
        <v>38</v>
      </c>
      <c r="AL178" s="8">
        <f t="shared" si="40"/>
        <v>33</v>
      </c>
      <c r="AM178" s="8">
        <f t="shared" si="40"/>
        <v>33</v>
      </c>
      <c r="AN178" s="8">
        <f t="shared" si="40"/>
        <v>21</v>
      </c>
      <c r="AO178" s="8">
        <f t="shared" si="40"/>
        <v>22</v>
      </c>
      <c r="AP178" s="8">
        <f t="shared" si="40"/>
        <v>31</v>
      </c>
      <c r="AQ178" s="8">
        <f t="shared" si="40"/>
        <v>30</v>
      </c>
    </row>
    <row r="179" spans="1:43">
      <c r="A179" s="26" t="s">
        <v>2851</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v>45</v>
      </c>
      <c r="AC179" s="10">
        <v>44</v>
      </c>
      <c r="AD179" s="10">
        <v>29</v>
      </c>
      <c r="AE179" s="10">
        <v>25</v>
      </c>
      <c r="AF179" s="10">
        <v>30</v>
      </c>
      <c r="AG179" s="10">
        <v>32</v>
      </c>
      <c r="AH179" s="10">
        <v>26</v>
      </c>
      <c r="AI179" s="10">
        <v>31</v>
      </c>
      <c r="AJ179" s="10">
        <v>27</v>
      </c>
      <c r="AK179" s="10">
        <v>28</v>
      </c>
      <c r="AL179" s="10">
        <v>23</v>
      </c>
      <c r="AM179" s="10">
        <v>24</v>
      </c>
      <c r="AN179" s="10">
        <v>14</v>
      </c>
      <c r="AO179" s="10">
        <v>19</v>
      </c>
      <c r="AP179" s="10">
        <v>24</v>
      </c>
      <c r="AQ179" s="10">
        <v>22</v>
      </c>
    </row>
    <row r="180" spans="1:43">
      <c r="A180" s="26" t="s">
        <v>1786</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v>0</v>
      </c>
      <c r="AC180" s="10">
        <v>1</v>
      </c>
      <c r="AD180" s="10">
        <v>0</v>
      </c>
      <c r="AE180" s="10">
        <v>0</v>
      </c>
      <c r="AF180" s="10">
        <v>3</v>
      </c>
      <c r="AG180" s="10">
        <v>5</v>
      </c>
      <c r="AH180" s="10">
        <v>3</v>
      </c>
      <c r="AI180" s="10">
        <v>7</v>
      </c>
      <c r="AJ180" s="10">
        <v>10</v>
      </c>
      <c r="AK180" s="10">
        <v>10</v>
      </c>
      <c r="AL180" s="10">
        <v>10</v>
      </c>
      <c r="AM180" s="10">
        <v>9</v>
      </c>
      <c r="AN180" s="10">
        <v>7</v>
      </c>
      <c r="AO180" s="10">
        <v>3</v>
      </c>
      <c r="AP180" s="10">
        <v>7</v>
      </c>
      <c r="AQ180" s="10">
        <v>8</v>
      </c>
    </row>
    <row r="181" spans="1:43">
      <c r="A181" s="9" t="s">
        <v>3479</v>
      </c>
      <c r="B181" s="11">
        <f t="shared" ref="B181:AQ181" si="41">B178/B174</f>
        <v>0.428571428571429</v>
      </c>
      <c r="C181" s="11">
        <f t="shared" si="41"/>
        <v>0.441176470588235</v>
      </c>
      <c r="D181" s="11">
        <f t="shared" si="41"/>
        <v>0.382352941176471</v>
      </c>
      <c r="E181" s="11">
        <f t="shared" si="41"/>
        <v>0.333333333333333</v>
      </c>
      <c r="F181" s="11">
        <f t="shared" si="41"/>
        <v>0.303030303030303</v>
      </c>
      <c r="G181" s="11">
        <f t="shared" si="41"/>
        <v>0.3125</v>
      </c>
      <c r="H181" s="11">
        <f t="shared" si="41"/>
        <v>0.354838709677419</v>
      </c>
      <c r="I181" s="11">
        <f t="shared" si="41"/>
        <v>0.32258064516129</v>
      </c>
      <c r="J181" s="11">
        <f t="shared" si="41"/>
        <v>0.354838709677419</v>
      </c>
      <c r="K181" s="11">
        <f t="shared" si="41"/>
        <v>0.32258064516129</v>
      </c>
      <c r="L181" s="11">
        <f t="shared" si="41"/>
        <v>0.354838709677419</v>
      </c>
      <c r="M181" s="11">
        <f t="shared" si="41"/>
        <v>0.515151515151515</v>
      </c>
      <c r="N181" s="11">
        <f t="shared" si="41"/>
        <v>0.65625</v>
      </c>
      <c r="O181" s="11">
        <f t="shared" si="41"/>
        <v>0.487179487179487</v>
      </c>
      <c r="P181" s="11">
        <f t="shared" si="41"/>
        <v>0.451612903225806</v>
      </c>
      <c r="Q181" s="11">
        <f t="shared" si="41"/>
        <v>0.458333333333333</v>
      </c>
      <c r="R181" s="11">
        <f t="shared" si="41"/>
        <v>0.419354838709677</v>
      </c>
      <c r="S181" s="11">
        <f t="shared" si="41"/>
        <v>0.3375</v>
      </c>
      <c r="T181" s="11">
        <f t="shared" si="41"/>
        <v>0.350877192982456</v>
      </c>
      <c r="U181" s="11">
        <f t="shared" si="41"/>
        <v>0.390625</v>
      </c>
      <c r="V181" s="11">
        <f t="shared" si="41"/>
        <v>0.53448275862069</v>
      </c>
      <c r="W181" s="11">
        <f t="shared" si="41"/>
        <v>0.446153846153846</v>
      </c>
      <c r="X181" s="11">
        <f t="shared" si="41"/>
        <v>0.353846153846154</v>
      </c>
      <c r="Y181" s="11">
        <f t="shared" si="41"/>
        <v>0.415584415584416</v>
      </c>
      <c r="Z181" s="11">
        <f t="shared" si="41"/>
        <v>0.602409638554217</v>
      </c>
      <c r="AA181" s="11">
        <f t="shared" si="41"/>
        <v>0.63855421686747</v>
      </c>
      <c r="AB181" s="11">
        <f t="shared" si="41"/>
        <v>0.523255813953488</v>
      </c>
      <c r="AC181" s="11">
        <f t="shared" si="41"/>
        <v>0.489130434782609</v>
      </c>
      <c r="AD181" s="11">
        <f t="shared" si="41"/>
        <v>0.426470588235294</v>
      </c>
      <c r="AE181" s="11">
        <f t="shared" si="41"/>
        <v>0.36231884057971</v>
      </c>
      <c r="AF181" s="11">
        <f t="shared" si="41"/>
        <v>0.402439024390244</v>
      </c>
      <c r="AG181" s="11">
        <f t="shared" si="41"/>
        <v>0.480519480519481</v>
      </c>
      <c r="AH181" s="11">
        <f t="shared" si="41"/>
        <v>0.281553398058252</v>
      </c>
      <c r="AI181" s="11">
        <f t="shared" si="41"/>
        <v>0.365384615384615</v>
      </c>
      <c r="AJ181" s="11">
        <f t="shared" si="41"/>
        <v>0.349056603773585</v>
      </c>
      <c r="AK181" s="11">
        <f t="shared" si="41"/>
        <v>0.368932038834951</v>
      </c>
      <c r="AL181" s="11">
        <f t="shared" si="41"/>
        <v>0.323529411764706</v>
      </c>
      <c r="AM181" s="11">
        <f t="shared" si="41"/>
        <v>0.317307692307692</v>
      </c>
      <c r="AN181" s="11">
        <f t="shared" si="41"/>
        <v>0.233333333333333</v>
      </c>
      <c r="AO181" s="11">
        <f t="shared" si="41"/>
        <v>0.255813953488372</v>
      </c>
      <c r="AP181" s="11">
        <f t="shared" si="41"/>
        <v>0.364705882352941</v>
      </c>
      <c r="AQ181" s="11">
        <f t="shared" si="41"/>
        <v>0.37037037037037</v>
      </c>
    </row>
    <row r="182" spans="1:43">
      <c r="A182" s="7" t="s">
        <v>3480</v>
      </c>
      <c r="B182" s="8">
        <v>1120</v>
      </c>
      <c r="C182" s="8">
        <v>1478</v>
      </c>
      <c r="D182" s="8">
        <v>1512</v>
      </c>
      <c r="E182" s="8">
        <v>1471</v>
      </c>
      <c r="F182" s="8">
        <v>1903</v>
      </c>
      <c r="G182" s="8">
        <v>1778</v>
      </c>
      <c r="H182" s="8">
        <v>1675</v>
      </c>
      <c r="I182" s="8">
        <v>1531</v>
      </c>
      <c r="J182" s="8">
        <v>1543</v>
      </c>
      <c r="K182" s="8">
        <v>1669</v>
      </c>
      <c r="L182" s="8">
        <v>1572</v>
      </c>
      <c r="M182" s="8">
        <v>1398</v>
      </c>
      <c r="N182" s="8">
        <v>1523</v>
      </c>
      <c r="O182" s="8">
        <v>2034</v>
      </c>
      <c r="P182" s="8">
        <v>1735</v>
      </c>
      <c r="Q182" s="8">
        <v>2656</v>
      </c>
      <c r="R182" s="8">
        <v>2251</v>
      </c>
      <c r="S182" s="8">
        <v>2130</v>
      </c>
      <c r="T182" s="8">
        <v>3183</v>
      </c>
      <c r="U182" s="8">
        <v>3579</v>
      </c>
      <c r="V182" s="8">
        <v>3119</v>
      </c>
      <c r="W182" s="8">
        <v>3546</v>
      </c>
      <c r="X182" s="8">
        <v>3885</v>
      </c>
      <c r="Y182" s="8">
        <v>3351</v>
      </c>
      <c r="Z182" s="8">
        <v>3069</v>
      </c>
      <c r="AA182" s="8">
        <v>2374</v>
      </c>
      <c r="AB182" s="8">
        <v>3185</v>
      </c>
      <c r="AC182" s="8">
        <v>3087</v>
      </c>
      <c r="AD182" s="8">
        <v>3762</v>
      </c>
      <c r="AE182" s="8">
        <v>4139</v>
      </c>
      <c r="AF182" s="8">
        <v>4024</v>
      </c>
      <c r="AG182" s="8">
        <v>3705</v>
      </c>
      <c r="AH182" s="8">
        <v>4203</v>
      </c>
      <c r="AI182" s="8">
        <v>3941</v>
      </c>
      <c r="AJ182" s="8">
        <v>4137</v>
      </c>
      <c r="AK182" s="8">
        <v>3886</v>
      </c>
      <c r="AL182" s="8">
        <v>3683</v>
      </c>
      <c r="AM182" s="8">
        <v>3702</v>
      </c>
      <c r="AN182" s="8">
        <v>4513</v>
      </c>
      <c r="AO182" s="8">
        <v>4017</v>
      </c>
      <c r="AP182" s="8">
        <v>2596</v>
      </c>
      <c r="AQ182" s="8">
        <v>3470</v>
      </c>
    </row>
    <row r="183" ht="13.65" spans="1:43">
      <c r="A183" s="12" t="s">
        <v>3472</v>
      </c>
      <c r="B183" s="13">
        <f t="shared" ref="B183:AQ183" si="42">1-B181</f>
        <v>0.571428571428571</v>
      </c>
      <c r="C183" s="13">
        <f t="shared" si="42"/>
        <v>0.558823529411765</v>
      </c>
      <c r="D183" s="13">
        <f t="shared" si="42"/>
        <v>0.617647058823529</v>
      </c>
      <c r="E183" s="13">
        <f t="shared" si="42"/>
        <v>0.666666666666667</v>
      </c>
      <c r="F183" s="13">
        <f t="shared" si="42"/>
        <v>0.696969696969697</v>
      </c>
      <c r="G183" s="13">
        <f t="shared" si="42"/>
        <v>0.6875</v>
      </c>
      <c r="H183" s="13">
        <f t="shared" si="42"/>
        <v>0.645161290322581</v>
      </c>
      <c r="I183" s="13">
        <f t="shared" si="42"/>
        <v>0.67741935483871</v>
      </c>
      <c r="J183" s="13">
        <f t="shared" si="42"/>
        <v>0.645161290322581</v>
      </c>
      <c r="K183" s="13">
        <f t="shared" si="42"/>
        <v>0.67741935483871</v>
      </c>
      <c r="L183" s="13">
        <f t="shared" si="42"/>
        <v>0.645161290322581</v>
      </c>
      <c r="M183" s="13">
        <f t="shared" si="42"/>
        <v>0.484848484848485</v>
      </c>
      <c r="N183" s="13">
        <f t="shared" si="42"/>
        <v>0.34375</v>
      </c>
      <c r="O183" s="13">
        <f t="shared" si="42"/>
        <v>0.512820512820513</v>
      </c>
      <c r="P183" s="13">
        <f t="shared" si="42"/>
        <v>0.548387096774194</v>
      </c>
      <c r="Q183" s="13">
        <f t="shared" si="42"/>
        <v>0.541666666666667</v>
      </c>
      <c r="R183" s="13">
        <f t="shared" si="42"/>
        <v>0.580645161290323</v>
      </c>
      <c r="S183" s="13">
        <f t="shared" si="42"/>
        <v>0.6625</v>
      </c>
      <c r="T183" s="13">
        <f t="shared" si="42"/>
        <v>0.649122807017544</v>
      </c>
      <c r="U183" s="13">
        <f t="shared" si="42"/>
        <v>0.609375</v>
      </c>
      <c r="V183" s="13">
        <f t="shared" si="42"/>
        <v>0.46551724137931</v>
      </c>
      <c r="W183" s="13">
        <f t="shared" si="42"/>
        <v>0.553846153846154</v>
      </c>
      <c r="X183" s="13">
        <f t="shared" si="42"/>
        <v>0.646153846153846</v>
      </c>
      <c r="Y183" s="13">
        <f t="shared" si="42"/>
        <v>0.584415584415584</v>
      </c>
      <c r="Z183" s="13">
        <f t="shared" si="42"/>
        <v>0.397590361445783</v>
      </c>
      <c r="AA183" s="13">
        <f t="shared" si="42"/>
        <v>0.36144578313253</v>
      </c>
      <c r="AB183" s="13">
        <f t="shared" si="42"/>
        <v>0.476744186046512</v>
      </c>
      <c r="AC183" s="13">
        <f t="shared" si="42"/>
        <v>0.510869565217391</v>
      </c>
      <c r="AD183" s="13">
        <f t="shared" si="42"/>
        <v>0.573529411764706</v>
      </c>
      <c r="AE183" s="13">
        <f t="shared" si="42"/>
        <v>0.63768115942029</v>
      </c>
      <c r="AF183" s="13">
        <f t="shared" si="42"/>
        <v>0.597560975609756</v>
      </c>
      <c r="AG183" s="13">
        <f t="shared" si="42"/>
        <v>0.519480519480519</v>
      </c>
      <c r="AH183" s="13">
        <f t="shared" si="42"/>
        <v>0.718446601941748</v>
      </c>
      <c r="AI183" s="13">
        <f t="shared" si="42"/>
        <v>0.634615384615385</v>
      </c>
      <c r="AJ183" s="13">
        <f t="shared" si="42"/>
        <v>0.650943396226415</v>
      </c>
      <c r="AK183" s="13">
        <f t="shared" si="42"/>
        <v>0.631067961165048</v>
      </c>
      <c r="AL183" s="13">
        <f t="shared" si="42"/>
        <v>0.676470588235294</v>
      </c>
      <c r="AM183" s="13">
        <f t="shared" si="42"/>
        <v>0.682692307692308</v>
      </c>
      <c r="AN183" s="13">
        <f t="shared" si="42"/>
        <v>0.766666666666667</v>
      </c>
      <c r="AO183" s="13">
        <f t="shared" si="42"/>
        <v>0.744186046511628</v>
      </c>
      <c r="AP183" s="13">
        <f t="shared" si="42"/>
        <v>0.635294117647059</v>
      </c>
      <c r="AQ183" s="13">
        <f t="shared" si="42"/>
        <v>0.62962962962963</v>
      </c>
    </row>
    <row r="184" spans="2:43">
      <c r="B184" s="14"/>
      <c r="C184" s="17" t="s">
        <v>3580</v>
      </c>
      <c r="D184" s="17" t="s">
        <v>3532</v>
      </c>
      <c r="E184" s="17"/>
      <c r="F184" s="17" t="s">
        <v>3581</v>
      </c>
      <c r="G184" s="17"/>
      <c r="H184" s="17"/>
      <c r="I184" s="17"/>
      <c r="J184" s="17" t="s">
        <v>3582</v>
      </c>
      <c r="K184" s="17"/>
      <c r="L184" s="17" t="s">
        <v>3583</v>
      </c>
      <c r="M184" s="17"/>
      <c r="N184" s="17"/>
      <c r="O184" s="17"/>
      <c r="P184" s="17"/>
      <c r="Q184" s="17" t="s">
        <v>3584</v>
      </c>
      <c r="R184" s="17"/>
      <c r="S184" s="17"/>
      <c r="T184" s="17" t="s">
        <v>3585</v>
      </c>
      <c r="U184" s="17" t="s">
        <v>3586</v>
      </c>
      <c r="V184" s="17"/>
      <c r="W184" s="17" t="s">
        <v>3587</v>
      </c>
      <c r="X184" s="17" t="s">
        <v>3588</v>
      </c>
      <c r="Y184" s="17"/>
      <c r="Z184" s="17"/>
      <c r="AA184" s="17"/>
      <c r="AB184" s="17" t="s">
        <v>3589</v>
      </c>
      <c r="AC184" s="17"/>
      <c r="AD184" s="17" t="s">
        <v>3590</v>
      </c>
      <c r="AE184" s="17" t="s">
        <v>3591</v>
      </c>
      <c r="AF184" s="17"/>
      <c r="AG184" s="17"/>
      <c r="AH184" s="17" t="s">
        <v>3592</v>
      </c>
      <c r="AI184" s="17"/>
      <c r="AJ184" s="17" t="s">
        <v>3593</v>
      </c>
      <c r="AK184" s="17"/>
      <c r="AL184" s="17"/>
      <c r="AM184" s="17" t="s">
        <v>3594</v>
      </c>
      <c r="AN184" s="17" t="s">
        <v>3595</v>
      </c>
      <c r="AO184" s="17"/>
      <c r="AP184" s="17"/>
      <c r="AQ184" s="17" t="s">
        <v>3596</v>
      </c>
    </row>
    <row r="185" spans="2:43">
      <c r="B185" s="14"/>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row>
    <row r="186" spans="2:43">
      <c r="B186" s="14"/>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row>
    <row r="187" spans="2:43">
      <c r="B187" s="14"/>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row>
    <row r="188" spans="2:43">
      <c r="B188" s="14"/>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row>
    <row r="189" spans="2:43">
      <c r="B189" s="14"/>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row>
    <row r="190" spans="2:43">
      <c r="B190" s="14"/>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row>
    <row r="191" spans="28:43">
      <c r="AB191" s="17"/>
      <c r="AC191" s="17"/>
      <c r="AD191" s="17"/>
      <c r="AE191" s="17"/>
      <c r="AF191" s="17"/>
      <c r="AG191" s="17"/>
      <c r="AH191" s="17"/>
      <c r="AI191" s="17"/>
      <c r="AJ191" s="17"/>
      <c r="AK191" s="17"/>
      <c r="AL191" s="17"/>
      <c r="AM191" s="17"/>
      <c r="AN191" s="17"/>
      <c r="AO191" s="17"/>
      <c r="AP191" s="17"/>
      <c r="AQ191" s="17"/>
    </row>
    <row r="192" spans="28:43">
      <c r="AB192" s="17"/>
      <c r="AC192" s="17"/>
      <c r="AD192" s="17"/>
      <c r="AE192" s="17"/>
      <c r="AF192" s="17"/>
      <c r="AG192" s="17"/>
      <c r="AH192" s="17"/>
      <c r="AI192" s="17"/>
      <c r="AJ192" s="17"/>
      <c r="AK192" s="17"/>
      <c r="AL192" s="17"/>
      <c r="AM192" s="17"/>
      <c r="AN192" s="17"/>
      <c r="AO192" s="17"/>
      <c r="AP192" s="17"/>
      <c r="AQ192" s="17"/>
    </row>
    <row r="193" spans="28:43">
      <c r="AB193" s="17"/>
      <c r="AC193" s="17"/>
      <c r="AD193" s="17"/>
      <c r="AE193" s="17"/>
      <c r="AF193" s="17"/>
      <c r="AG193" s="17"/>
      <c r="AH193" s="17"/>
      <c r="AI193" s="17"/>
      <c r="AJ193" s="17"/>
      <c r="AK193" s="17"/>
      <c r="AL193" s="17"/>
      <c r="AM193" s="17"/>
      <c r="AN193" s="17"/>
      <c r="AO193" s="17"/>
      <c r="AP193" s="17"/>
      <c r="AQ193" s="17"/>
    </row>
    <row r="198" spans="1:43">
      <c r="A198" s="3" t="s">
        <v>3597</v>
      </c>
      <c r="B198" s="4">
        <v>44848</v>
      </c>
      <c r="C198" s="4">
        <v>44855</v>
      </c>
      <c r="D198" s="4">
        <v>44862</v>
      </c>
      <c r="E198" s="4">
        <v>44876</v>
      </c>
      <c r="F198" s="4">
        <v>44883</v>
      </c>
      <c r="G198" s="4">
        <v>44890</v>
      </c>
      <c r="H198" s="4">
        <v>44896</v>
      </c>
      <c r="I198" s="4">
        <v>44904</v>
      </c>
      <c r="J198" s="4">
        <v>44911</v>
      </c>
      <c r="K198" s="4">
        <v>44918</v>
      </c>
      <c r="L198" s="4">
        <v>44925</v>
      </c>
      <c r="M198" s="4">
        <v>44939</v>
      </c>
      <c r="N198" s="4">
        <v>44946</v>
      </c>
      <c r="O198" s="4">
        <v>44954</v>
      </c>
      <c r="P198" s="4">
        <v>44967</v>
      </c>
      <c r="Q198" s="4">
        <v>44974</v>
      </c>
      <c r="R198" s="4">
        <v>44981</v>
      </c>
      <c r="S198" s="4">
        <v>44995</v>
      </c>
      <c r="T198" s="4">
        <v>45002</v>
      </c>
      <c r="U198" s="4">
        <v>45009</v>
      </c>
      <c r="V198" s="4">
        <v>45016</v>
      </c>
      <c r="W198" s="4">
        <v>45030</v>
      </c>
      <c r="X198" s="4">
        <v>45037</v>
      </c>
      <c r="Y198" s="4">
        <v>45044</v>
      </c>
      <c r="Z198" s="4">
        <v>45058</v>
      </c>
      <c r="AA198" s="4">
        <v>45065</v>
      </c>
      <c r="AB198" s="4">
        <v>45072</v>
      </c>
      <c r="AC198" s="4">
        <v>45086</v>
      </c>
      <c r="AD198" s="4">
        <v>45093</v>
      </c>
      <c r="AE198" s="4">
        <v>45107</v>
      </c>
      <c r="AF198" s="4">
        <v>45114</v>
      </c>
      <c r="AG198" s="4">
        <v>45121</v>
      </c>
      <c r="AH198" s="4">
        <v>45128</v>
      </c>
      <c r="AI198" s="4">
        <v>45135</v>
      </c>
      <c r="AJ198" s="4">
        <v>45149</v>
      </c>
      <c r="AK198" s="4">
        <v>45156</v>
      </c>
      <c r="AL198" s="4">
        <v>45163</v>
      </c>
      <c r="AM198" s="4">
        <v>45170</v>
      </c>
      <c r="AN198" s="4">
        <v>45184</v>
      </c>
      <c r="AO198" s="4">
        <v>45191</v>
      </c>
      <c r="AP198" s="4">
        <v>45212</v>
      </c>
      <c r="AQ198" s="4">
        <v>45219</v>
      </c>
    </row>
    <row r="199" spans="1:43">
      <c r="A199" s="5" t="s">
        <v>3470</v>
      </c>
      <c r="B199" s="6">
        <v>49</v>
      </c>
      <c r="C199" s="6">
        <v>49</v>
      </c>
      <c r="D199" s="6">
        <v>45</v>
      </c>
      <c r="E199" s="6">
        <v>43</v>
      </c>
      <c r="F199" s="6">
        <v>44</v>
      </c>
      <c r="G199" s="6">
        <v>43</v>
      </c>
      <c r="H199" s="6">
        <v>40</v>
      </c>
      <c r="I199" s="6">
        <v>37</v>
      </c>
      <c r="J199" s="6">
        <v>34</v>
      </c>
      <c r="K199" s="6">
        <v>35</v>
      </c>
      <c r="L199" s="6">
        <v>33</v>
      </c>
      <c r="M199" s="6">
        <v>31</v>
      </c>
      <c r="N199" s="6">
        <v>30</v>
      </c>
      <c r="O199" s="6">
        <v>27</v>
      </c>
      <c r="P199" s="6">
        <v>26</v>
      </c>
      <c r="Q199" s="6">
        <v>27</v>
      </c>
      <c r="R199" s="6">
        <v>26</v>
      </c>
      <c r="S199" s="6">
        <v>34</v>
      </c>
      <c r="T199" s="6">
        <v>33</v>
      </c>
      <c r="U199" s="6">
        <v>38</v>
      </c>
      <c r="V199" s="6">
        <v>62</v>
      </c>
      <c r="W199" s="6">
        <v>66</v>
      </c>
      <c r="X199" s="6">
        <v>68</v>
      </c>
      <c r="Y199" s="6">
        <v>68</v>
      </c>
      <c r="Z199" s="6">
        <v>66</v>
      </c>
      <c r="AA199" s="6">
        <v>66</v>
      </c>
      <c r="AB199" s="6">
        <v>66</v>
      </c>
      <c r="AC199" s="6">
        <v>93</v>
      </c>
      <c r="AD199" s="6">
        <v>92</v>
      </c>
      <c r="AE199" s="6">
        <v>98</v>
      </c>
      <c r="AF199" s="6">
        <v>97</v>
      </c>
      <c r="AG199" s="6">
        <v>96</v>
      </c>
      <c r="AH199" s="6">
        <v>95</v>
      </c>
      <c r="AI199" s="6">
        <v>94</v>
      </c>
      <c r="AJ199" s="6">
        <v>91</v>
      </c>
      <c r="AK199" s="6">
        <v>91</v>
      </c>
      <c r="AL199" s="6">
        <v>91</v>
      </c>
      <c r="AM199" s="6">
        <v>91</v>
      </c>
      <c r="AN199" s="6">
        <v>98</v>
      </c>
      <c r="AO199" s="6">
        <v>99</v>
      </c>
      <c r="AP199" s="6">
        <v>115</v>
      </c>
      <c r="AQ199" s="6">
        <v>115</v>
      </c>
    </row>
    <row r="200" spans="1:43">
      <c r="A200" s="7" t="s">
        <v>3474</v>
      </c>
      <c r="B200" s="25">
        <f t="shared" ref="B200:R200" si="43">B199-B203</f>
        <v>49</v>
      </c>
      <c r="C200" s="25">
        <f t="shared" si="43"/>
        <v>49</v>
      </c>
      <c r="D200" s="25">
        <f t="shared" si="43"/>
        <v>45</v>
      </c>
      <c r="E200" s="25">
        <f t="shared" si="43"/>
        <v>43</v>
      </c>
      <c r="F200" s="25">
        <f t="shared" si="43"/>
        <v>44</v>
      </c>
      <c r="G200" s="25">
        <f t="shared" si="43"/>
        <v>43</v>
      </c>
      <c r="H200" s="25">
        <f t="shared" si="43"/>
        <v>40</v>
      </c>
      <c r="I200" s="25">
        <f t="shared" si="43"/>
        <v>37</v>
      </c>
      <c r="J200" s="25">
        <f t="shared" si="43"/>
        <v>34</v>
      </c>
      <c r="K200" s="25">
        <f t="shared" si="43"/>
        <v>35</v>
      </c>
      <c r="L200" s="25">
        <f t="shared" si="43"/>
        <v>33</v>
      </c>
      <c r="M200" s="25">
        <f t="shared" si="43"/>
        <v>31</v>
      </c>
      <c r="N200" s="25">
        <f t="shared" si="43"/>
        <v>30</v>
      </c>
      <c r="O200" s="25">
        <f t="shared" si="43"/>
        <v>27</v>
      </c>
      <c r="P200" s="25">
        <f t="shared" si="43"/>
        <v>26</v>
      </c>
      <c r="Q200" s="25">
        <f t="shared" si="43"/>
        <v>27</v>
      </c>
      <c r="R200" s="25">
        <f t="shared" ref="R200:AC200" si="44">R201+R202</f>
        <v>26</v>
      </c>
      <c r="S200" s="25">
        <f t="shared" si="44"/>
        <v>31</v>
      </c>
      <c r="T200" s="25">
        <f t="shared" si="44"/>
        <v>30</v>
      </c>
      <c r="U200" s="25">
        <f t="shared" si="44"/>
        <v>31</v>
      </c>
      <c r="V200" s="25">
        <f t="shared" si="44"/>
        <v>49</v>
      </c>
      <c r="W200" s="25">
        <f t="shared" si="44"/>
        <v>52</v>
      </c>
      <c r="X200" s="25">
        <f t="shared" si="44"/>
        <v>51</v>
      </c>
      <c r="Y200" s="25">
        <f t="shared" si="44"/>
        <v>57</v>
      </c>
      <c r="Z200" s="25">
        <f t="shared" si="44"/>
        <v>59</v>
      </c>
      <c r="AA200" s="25">
        <f t="shared" si="44"/>
        <v>66</v>
      </c>
      <c r="AB200" s="25">
        <f t="shared" si="44"/>
        <v>66</v>
      </c>
      <c r="AC200" s="25">
        <f t="shared" ref="AC200:AQ200" si="45">AC199-AC203</f>
        <v>65</v>
      </c>
      <c r="AD200" s="25">
        <f t="shared" si="45"/>
        <v>65</v>
      </c>
      <c r="AE200" s="25">
        <f t="shared" si="45"/>
        <v>81</v>
      </c>
      <c r="AF200" s="25">
        <f t="shared" si="45"/>
        <v>80</v>
      </c>
      <c r="AG200" s="25">
        <f t="shared" si="45"/>
        <v>89</v>
      </c>
      <c r="AH200" s="25">
        <f t="shared" si="45"/>
        <v>88</v>
      </c>
      <c r="AI200" s="25">
        <f t="shared" si="45"/>
        <v>92</v>
      </c>
      <c r="AJ200" s="25">
        <f t="shared" si="45"/>
        <v>91</v>
      </c>
      <c r="AK200" s="25">
        <f t="shared" si="45"/>
        <v>91</v>
      </c>
      <c r="AL200" s="25">
        <f t="shared" si="45"/>
        <v>91</v>
      </c>
      <c r="AM200" s="25">
        <f t="shared" si="45"/>
        <v>91</v>
      </c>
      <c r="AN200" s="25">
        <f t="shared" si="45"/>
        <v>84</v>
      </c>
      <c r="AO200" s="25">
        <f t="shared" si="45"/>
        <v>85</v>
      </c>
      <c r="AP200" s="25">
        <f t="shared" si="45"/>
        <v>82</v>
      </c>
      <c r="AQ200" s="25">
        <f t="shared" si="45"/>
        <v>86</v>
      </c>
    </row>
    <row r="201" spans="1:43">
      <c r="A201" s="26" t="s">
        <v>1431</v>
      </c>
      <c r="B201" s="10"/>
      <c r="C201" s="10"/>
      <c r="D201" s="10"/>
      <c r="E201" s="10"/>
      <c r="F201" s="10"/>
      <c r="G201" s="10"/>
      <c r="H201" s="10"/>
      <c r="I201" s="10"/>
      <c r="J201" s="10"/>
      <c r="K201" s="10"/>
      <c r="L201" s="10"/>
      <c r="M201" s="10"/>
      <c r="N201" s="10"/>
      <c r="O201" s="10"/>
      <c r="P201" s="10"/>
      <c r="Q201" s="10"/>
      <c r="R201" s="10">
        <v>26</v>
      </c>
      <c r="S201" s="10">
        <v>31</v>
      </c>
      <c r="T201" s="10">
        <v>30</v>
      </c>
      <c r="U201" s="10">
        <v>31</v>
      </c>
      <c r="V201" s="10">
        <v>49</v>
      </c>
      <c r="W201" s="10">
        <v>49</v>
      </c>
      <c r="X201" s="10">
        <v>48</v>
      </c>
      <c r="Y201" s="10">
        <v>48</v>
      </c>
      <c r="Z201" s="10">
        <v>47</v>
      </c>
      <c r="AA201" s="10">
        <v>54</v>
      </c>
      <c r="AB201" s="10">
        <v>54</v>
      </c>
      <c r="AC201" s="10">
        <v>53</v>
      </c>
      <c r="AD201" s="10">
        <v>53</v>
      </c>
      <c r="AE201" s="10">
        <v>69</v>
      </c>
      <c r="AF201" s="10">
        <v>66</v>
      </c>
      <c r="AG201" s="10">
        <v>75</v>
      </c>
      <c r="AH201" s="10">
        <v>74</v>
      </c>
      <c r="AI201" s="10">
        <v>73</v>
      </c>
      <c r="AJ201" s="10"/>
      <c r="AK201" s="10"/>
      <c r="AL201" s="10"/>
      <c r="AM201" s="10"/>
      <c r="AN201" s="10">
        <v>84</v>
      </c>
      <c r="AO201" s="10">
        <v>85</v>
      </c>
      <c r="AP201" s="10">
        <v>82</v>
      </c>
      <c r="AQ201" s="10">
        <v>82</v>
      </c>
    </row>
    <row r="202" spans="1:43">
      <c r="A202" s="26" t="s">
        <v>3379</v>
      </c>
      <c r="B202" s="10"/>
      <c r="C202" s="10"/>
      <c r="D202" s="10"/>
      <c r="E202" s="10"/>
      <c r="F202" s="10"/>
      <c r="G202" s="10"/>
      <c r="H202" s="10"/>
      <c r="I202" s="10"/>
      <c r="J202" s="10"/>
      <c r="K202" s="10"/>
      <c r="L202" s="10"/>
      <c r="M202" s="10"/>
      <c r="N202" s="10"/>
      <c r="O202" s="10"/>
      <c r="P202" s="10"/>
      <c r="Q202" s="10"/>
      <c r="R202" s="10">
        <v>0</v>
      </c>
      <c r="S202" s="10">
        <v>0</v>
      </c>
      <c r="T202" s="10">
        <v>0</v>
      </c>
      <c r="U202" s="10">
        <v>0</v>
      </c>
      <c r="V202" s="10">
        <v>0</v>
      </c>
      <c r="W202" s="10">
        <v>3</v>
      </c>
      <c r="X202" s="10">
        <v>3</v>
      </c>
      <c r="Y202" s="10">
        <v>9</v>
      </c>
      <c r="Z202" s="10">
        <v>12</v>
      </c>
      <c r="AA202" s="10">
        <v>12</v>
      </c>
      <c r="AB202" s="10">
        <v>12</v>
      </c>
      <c r="AC202" s="10">
        <v>12</v>
      </c>
      <c r="AD202" s="10">
        <v>12</v>
      </c>
      <c r="AE202" s="10">
        <v>12</v>
      </c>
      <c r="AF202" s="10">
        <v>14</v>
      </c>
      <c r="AG202" s="10">
        <v>14</v>
      </c>
      <c r="AH202" s="10">
        <v>14</v>
      </c>
      <c r="AI202" s="10">
        <v>19</v>
      </c>
      <c r="AJ202" s="10"/>
      <c r="AK202" s="10"/>
      <c r="AL202" s="10"/>
      <c r="AM202" s="10"/>
      <c r="AN202" s="10">
        <v>0</v>
      </c>
      <c r="AO202" s="10">
        <v>0</v>
      </c>
      <c r="AP202" s="10">
        <v>0</v>
      </c>
      <c r="AQ202" s="10">
        <v>4</v>
      </c>
    </row>
    <row r="203" spans="1:43">
      <c r="A203" s="9" t="s">
        <v>3478</v>
      </c>
      <c r="B203" s="6">
        <v>0</v>
      </c>
      <c r="C203" s="6">
        <v>0</v>
      </c>
      <c r="D203" s="6">
        <v>0</v>
      </c>
      <c r="E203" s="6">
        <v>0</v>
      </c>
      <c r="F203" s="6">
        <v>0</v>
      </c>
      <c r="G203" s="6">
        <v>0</v>
      </c>
      <c r="H203" s="6">
        <v>0</v>
      </c>
      <c r="I203" s="6">
        <v>0</v>
      </c>
      <c r="J203" s="6">
        <v>0</v>
      </c>
      <c r="K203" s="6">
        <v>0</v>
      </c>
      <c r="L203" s="6">
        <v>0</v>
      </c>
      <c r="M203" s="6">
        <v>0</v>
      </c>
      <c r="N203" s="6">
        <v>0</v>
      </c>
      <c r="O203" s="6">
        <v>0</v>
      </c>
      <c r="P203" s="6">
        <v>0</v>
      </c>
      <c r="Q203" s="6">
        <v>0</v>
      </c>
      <c r="R203" s="6">
        <v>0</v>
      </c>
      <c r="S203" s="6">
        <v>3</v>
      </c>
      <c r="T203" s="6">
        <v>3</v>
      </c>
      <c r="U203" s="6">
        <v>7</v>
      </c>
      <c r="V203" s="6">
        <v>13</v>
      </c>
      <c r="W203" s="6">
        <v>14</v>
      </c>
      <c r="X203" s="6">
        <v>17</v>
      </c>
      <c r="Y203" s="6">
        <v>11</v>
      </c>
      <c r="Z203" s="6">
        <v>7</v>
      </c>
      <c r="AA203" s="6">
        <v>0</v>
      </c>
      <c r="AB203" s="6">
        <v>0</v>
      </c>
      <c r="AC203" s="6">
        <f>1+27</f>
        <v>28</v>
      </c>
      <c r="AD203" s="6">
        <v>27</v>
      </c>
      <c r="AE203" s="6">
        <v>17</v>
      </c>
      <c r="AF203" s="6">
        <f>1+16</f>
        <v>17</v>
      </c>
      <c r="AG203" s="6">
        <v>7</v>
      </c>
      <c r="AH203" s="6">
        <v>7</v>
      </c>
      <c r="AI203" s="6">
        <v>2</v>
      </c>
      <c r="AJ203" s="6">
        <v>0</v>
      </c>
      <c r="AK203" s="6">
        <v>0</v>
      </c>
      <c r="AL203" s="6">
        <v>0</v>
      </c>
      <c r="AM203" s="6">
        <v>0</v>
      </c>
      <c r="AN203" s="6">
        <v>14</v>
      </c>
      <c r="AO203" s="6">
        <v>14</v>
      </c>
      <c r="AP203" s="6">
        <v>33</v>
      </c>
      <c r="AQ203" s="6">
        <v>29</v>
      </c>
    </row>
    <row r="204" spans="1:43">
      <c r="A204" s="7" t="s">
        <v>3471</v>
      </c>
      <c r="B204" s="8">
        <v>29</v>
      </c>
      <c r="C204" s="8">
        <v>29</v>
      </c>
      <c r="D204" s="8">
        <v>22</v>
      </c>
      <c r="E204" s="8">
        <v>20</v>
      </c>
      <c r="F204" s="8">
        <v>21</v>
      </c>
      <c r="G204" s="8">
        <v>19</v>
      </c>
      <c r="H204" s="8">
        <v>20</v>
      </c>
      <c r="I204" s="8">
        <v>14</v>
      </c>
      <c r="J204" s="8">
        <v>16</v>
      </c>
      <c r="K204" s="8">
        <v>17</v>
      </c>
      <c r="L204" s="8">
        <v>19</v>
      </c>
      <c r="M204" s="8">
        <v>13</v>
      </c>
      <c r="N204" s="8">
        <v>12</v>
      </c>
      <c r="O204" s="8">
        <v>15</v>
      </c>
      <c r="P204" s="8">
        <v>12</v>
      </c>
      <c r="Q204" s="8">
        <v>15</v>
      </c>
      <c r="R204" s="25">
        <f t="shared" ref="R204:AJ204" si="46">R205+R206</f>
        <v>11</v>
      </c>
      <c r="S204" s="25">
        <f t="shared" si="46"/>
        <v>9</v>
      </c>
      <c r="T204" s="25">
        <f t="shared" si="46"/>
        <v>9</v>
      </c>
      <c r="U204" s="25">
        <f t="shared" si="46"/>
        <v>8</v>
      </c>
      <c r="V204" s="25">
        <f t="shared" si="46"/>
        <v>8</v>
      </c>
      <c r="W204" s="25">
        <f t="shared" si="46"/>
        <v>12</v>
      </c>
      <c r="X204" s="25">
        <f t="shared" si="46"/>
        <v>11</v>
      </c>
      <c r="Y204" s="25">
        <f t="shared" si="46"/>
        <v>13</v>
      </c>
      <c r="Z204" s="25">
        <f t="shared" si="46"/>
        <v>18</v>
      </c>
      <c r="AA204" s="25">
        <f t="shared" si="46"/>
        <v>15</v>
      </c>
      <c r="AB204" s="25">
        <f t="shared" si="46"/>
        <v>12</v>
      </c>
      <c r="AC204" s="25">
        <f t="shared" si="46"/>
        <v>18</v>
      </c>
      <c r="AD204" s="25">
        <f t="shared" si="46"/>
        <v>13</v>
      </c>
      <c r="AE204" s="25">
        <f t="shared" si="46"/>
        <v>15</v>
      </c>
      <c r="AF204" s="25">
        <f t="shared" si="46"/>
        <v>19</v>
      </c>
      <c r="AG204" s="25">
        <f t="shared" si="46"/>
        <v>27</v>
      </c>
      <c r="AH204" s="25">
        <f t="shared" si="46"/>
        <v>31</v>
      </c>
      <c r="AI204" s="25">
        <f t="shared" si="46"/>
        <v>26</v>
      </c>
      <c r="AJ204" s="25">
        <v>20</v>
      </c>
      <c r="AK204" s="8">
        <f>18+2+4</f>
        <v>24</v>
      </c>
      <c r="AL204" s="8">
        <v>26</v>
      </c>
      <c r="AM204" s="8">
        <v>26</v>
      </c>
      <c r="AN204" s="8">
        <v>27</v>
      </c>
      <c r="AO204" s="8">
        <v>28</v>
      </c>
      <c r="AP204" s="8">
        <v>29</v>
      </c>
      <c r="AQ204" s="8">
        <v>30</v>
      </c>
    </row>
    <row r="205" spans="1:43">
      <c r="A205" s="26" t="s">
        <v>1431</v>
      </c>
      <c r="B205" s="10"/>
      <c r="C205" s="10"/>
      <c r="D205" s="10"/>
      <c r="E205" s="10"/>
      <c r="F205" s="10"/>
      <c r="G205" s="10"/>
      <c r="H205" s="10"/>
      <c r="I205" s="10"/>
      <c r="J205" s="10"/>
      <c r="K205" s="10"/>
      <c r="L205" s="10"/>
      <c r="M205" s="10"/>
      <c r="N205" s="10"/>
      <c r="O205" s="10"/>
      <c r="P205" s="10"/>
      <c r="Q205" s="10"/>
      <c r="R205" s="10">
        <v>11</v>
      </c>
      <c r="S205" s="10">
        <v>9</v>
      </c>
      <c r="T205" s="10">
        <v>9</v>
      </c>
      <c r="U205" s="10">
        <f>7+1</f>
        <v>8</v>
      </c>
      <c r="V205" s="10">
        <v>8</v>
      </c>
      <c r="W205" s="10">
        <v>11</v>
      </c>
      <c r="X205" s="10">
        <v>9</v>
      </c>
      <c r="Y205" s="10">
        <v>11</v>
      </c>
      <c r="Z205" s="10">
        <v>17</v>
      </c>
      <c r="AA205" s="10">
        <v>14</v>
      </c>
      <c r="AB205" s="10">
        <v>12</v>
      </c>
      <c r="AC205" s="10">
        <v>17</v>
      </c>
      <c r="AD205" s="10">
        <v>12</v>
      </c>
      <c r="AE205" s="10">
        <v>15</v>
      </c>
      <c r="AF205" s="10">
        <v>16</v>
      </c>
      <c r="AG205" s="10">
        <v>23</v>
      </c>
      <c r="AH205" s="10">
        <v>28</v>
      </c>
      <c r="AI205" s="10">
        <v>25</v>
      </c>
      <c r="AJ205" s="10"/>
      <c r="AK205" s="10"/>
      <c r="AL205" s="10"/>
      <c r="AM205" s="10"/>
      <c r="AN205" s="10">
        <v>27</v>
      </c>
      <c r="AO205" s="10">
        <v>29</v>
      </c>
      <c r="AP205" s="10">
        <v>41</v>
      </c>
      <c r="AQ205" s="10">
        <v>32</v>
      </c>
    </row>
    <row r="206" spans="1:43">
      <c r="A206" s="26" t="s">
        <v>3379</v>
      </c>
      <c r="B206" s="10"/>
      <c r="C206" s="10"/>
      <c r="D206" s="10"/>
      <c r="E206" s="10"/>
      <c r="F206" s="10"/>
      <c r="G206" s="10"/>
      <c r="H206" s="10"/>
      <c r="I206" s="10"/>
      <c r="J206" s="10"/>
      <c r="K206" s="10"/>
      <c r="L206" s="10"/>
      <c r="M206" s="10"/>
      <c r="N206" s="10"/>
      <c r="O206" s="10"/>
      <c r="P206" s="10"/>
      <c r="Q206" s="10"/>
      <c r="R206" s="10">
        <v>0</v>
      </c>
      <c r="S206" s="10">
        <v>0</v>
      </c>
      <c r="T206" s="10">
        <v>0</v>
      </c>
      <c r="U206" s="10">
        <v>0</v>
      </c>
      <c r="V206" s="10">
        <v>0</v>
      </c>
      <c r="W206" s="10">
        <v>1</v>
      </c>
      <c r="X206" s="10">
        <v>2</v>
      </c>
      <c r="Y206" s="10">
        <v>2</v>
      </c>
      <c r="Z206" s="10">
        <v>1</v>
      </c>
      <c r="AA206" s="10">
        <v>1</v>
      </c>
      <c r="AB206" s="10">
        <v>0</v>
      </c>
      <c r="AC206" s="10">
        <v>1</v>
      </c>
      <c r="AD206" s="10">
        <v>1</v>
      </c>
      <c r="AE206" s="10">
        <v>0</v>
      </c>
      <c r="AF206" s="10">
        <v>3</v>
      </c>
      <c r="AG206" s="10">
        <v>4</v>
      </c>
      <c r="AH206" s="10">
        <v>3</v>
      </c>
      <c r="AI206" s="10">
        <v>1</v>
      </c>
      <c r="AJ206" s="10"/>
      <c r="AK206" s="10"/>
      <c r="AL206" s="10"/>
      <c r="AM206" s="10"/>
      <c r="AN206" s="10">
        <v>0</v>
      </c>
      <c r="AO206" s="10">
        <v>0</v>
      </c>
      <c r="AP206" s="10">
        <v>0</v>
      </c>
      <c r="AQ206" s="10">
        <v>1</v>
      </c>
    </row>
    <row r="207" spans="1:43">
      <c r="A207" s="9" t="s">
        <v>3479</v>
      </c>
      <c r="B207" s="11">
        <f t="shared" ref="B207:AQ207" si="47">B204/B200</f>
        <v>0.591836734693878</v>
      </c>
      <c r="C207" s="11">
        <f t="shared" si="47"/>
        <v>0.591836734693878</v>
      </c>
      <c r="D207" s="11">
        <f t="shared" si="47"/>
        <v>0.488888888888889</v>
      </c>
      <c r="E207" s="11">
        <f t="shared" si="47"/>
        <v>0.465116279069767</v>
      </c>
      <c r="F207" s="11">
        <f t="shared" si="47"/>
        <v>0.477272727272727</v>
      </c>
      <c r="G207" s="11">
        <f t="shared" si="47"/>
        <v>0.441860465116279</v>
      </c>
      <c r="H207" s="11">
        <f t="shared" si="47"/>
        <v>0.5</v>
      </c>
      <c r="I207" s="11">
        <f t="shared" si="47"/>
        <v>0.378378378378378</v>
      </c>
      <c r="J207" s="11">
        <f t="shared" si="47"/>
        <v>0.470588235294118</v>
      </c>
      <c r="K207" s="11">
        <f t="shared" si="47"/>
        <v>0.485714285714286</v>
      </c>
      <c r="L207" s="11">
        <f t="shared" si="47"/>
        <v>0.575757575757576</v>
      </c>
      <c r="M207" s="11">
        <f t="shared" si="47"/>
        <v>0.419354838709677</v>
      </c>
      <c r="N207" s="11">
        <f t="shared" si="47"/>
        <v>0.4</v>
      </c>
      <c r="O207" s="11">
        <f t="shared" si="47"/>
        <v>0.555555555555556</v>
      </c>
      <c r="P207" s="11">
        <f t="shared" si="47"/>
        <v>0.461538461538462</v>
      </c>
      <c r="Q207" s="11">
        <f t="shared" si="47"/>
        <v>0.555555555555556</v>
      </c>
      <c r="R207" s="11">
        <f t="shared" si="47"/>
        <v>0.423076923076923</v>
      </c>
      <c r="S207" s="11">
        <f t="shared" si="47"/>
        <v>0.290322580645161</v>
      </c>
      <c r="T207" s="11">
        <f t="shared" si="47"/>
        <v>0.3</v>
      </c>
      <c r="U207" s="11">
        <f t="shared" si="47"/>
        <v>0.258064516129032</v>
      </c>
      <c r="V207" s="11">
        <f t="shared" si="47"/>
        <v>0.163265306122449</v>
      </c>
      <c r="W207" s="11">
        <f t="shared" si="47"/>
        <v>0.230769230769231</v>
      </c>
      <c r="X207" s="11">
        <f t="shared" si="47"/>
        <v>0.215686274509804</v>
      </c>
      <c r="Y207" s="11">
        <f t="shared" si="47"/>
        <v>0.228070175438596</v>
      </c>
      <c r="Z207" s="11">
        <f t="shared" si="47"/>
        <v>0.305084745762712</v>
      </c>
      <c r="AA207" s="11">
        <f t="shared" si="47"/>
        <v>0.227272727272727</v>
      </c>
      <c r="AB207" s="11">
        <f t="shared" si="47"/>
        <v>0.181818181818182</v>
      </c>
      <c r="AC207" s="11">
        <f t="shared" si="47"/>
        <v>0.276923076923077</v>
      </c>
      <c r="AD207" s="11">
        <f t="shared" si="47"/>
        <v>0.2</v>
      </c>
      <c r="AE207" s="11">
        <f t="shared" si="47"/>
        <v>0.185185185185185</v>
      </c>
      <c r="AF207" s="11">
        <f t="shared" si="47"/>
        <v>0.2375</v>
      </c>
      <c r="AG207" s="11">
        <f t="shared" si="47"/>
        <v>0.303370786516854</v>
      </c>
      <c r="AH207" s="11">
        <f t="shared" si="47"/>
        <v>0.352272727272727</v>
      </c>
      <c r="AI207" s="11">
        <f t="shared" si="47"/>
        <v>0.282608695652174</v>
      </c>
      <c r="AJ207" s="11">
        <f t="shared" si="47"/>
        <v>0.21978021978022</v>
      </c>
      <c r="AK207" s="11">
        <f t="shared" si="47"/>
        <v>0.263736263736264</v>
      </c>
      <c r="AL207" s="11">
        <f t="shared" si="47"/>
        <v>0.285714285714286</v>
      </c>
      <c r="AM207" s="11">
        <f t="shared" si="47"/>
        <v>0.285714285714286</v>
      </c>
      <c r="AN207" s="11">
        <f t="shared" si="47"/>
        <v>0.321428571428571</v>
      </c>
      <c r="AO207" s="11">
        <f t="shared" si="47"/>
        <v>0.329411764705882</v>
      </c>
      <c r="AP207" s="11">
        <f t="shared" si="47"/>
        <v>0.353658536585366</v>
      </c>
      <c r="AQ207" s="11">
        <f t="shared" si="47"/>
        <v>0.348837209302326</v>
      </c>
    </row>
    <row r="208" spans="1:43">
      <c r="A208" s="7" t="s">
        <v>3480</v>
      </c>
      <c r="B208" s="8">
        <v>1290</v>
      </c>
      <c r="C208" s="8">
        <v>1300</v>
      </c>
      <c r="D208" s="8">
        <v>1302</v>
      </c>
      <c r="E208" s="8">
        <v>1162</v>
      </c>
      <c r="F208" s="8">
        <v>1118</v>
      </c>
      <c r="G208" s="8">
        <v>1211</v>
      </c>
      <c r="H208" s="8">
        <v>1077</v>
      </c>
      <c r="I208" s="8">
        <v>938</v>
      </c>
      <c r="J208" s="8">
        <v>779</v>
      </c>
      <c r="K208" s="8">
        <v>778</v>
      </c>
      <c r="L208" s="8">
        <v>675</v>
      </c>
      <c r="M208" s="8">
        <v>480</v>
      </c>
      <c r="N208" s="8">
        <v>530</v>
      </c>
      <c r="O208" s="8">
        <v>430</v>
      </c>
      <c r="P208" s="8">
        <v>395</v>
      </c>
      <c r="Q208" s="8">
        <v>396</v>
      </c>
      <c r="R208" s="8">
        <v>433</v>
      </c>
      <c r="S208" s="8">
        <v>670</v>
      </c>
      <c r="T208" s="8">
        <v>671</v>
      </c>
      <c r="U208" s="8">
        <v>1348</v>
      </c>
      <c r="V208" s="8">
        <v>2226</v>
      </c>
      <c r="W208" s="8">
        <v>2460</v>
      </c>
      <c r="X208" s="8">
        <v>4066</v>
      </c>
      <c r="Y208" s="8">
        <v>3923</v>
      </c>
      <c r="Z208" s="8">
        <v>3966</v>
      </c>
      <c r="AA208" s="8">
        <v>3755</v>
      </c>
      <c r="AB208" s="8">
        <v>3185</v>
      </c>
      <c r="AC208" s="8">
        <v>5350</v>
      </c>
      <c r="AD208" s="8">
        <v>5408</v>
      </c>
      <c r="AE208" s="8">
        <v>5416</v>
      </c>
      <c r="AF208" s="8">
        <v>5355</v>
      </c>
      <c r="AG208" s="8">
        <v>5164</v>
      </c>
      <c r="AH208" s="8">
        <v>4810</v>
      </c>
      <c r="AI208" s="8">
        <v>4716</v>
      </c>
      <c r="AJ208" s="8">
        <v>4740</v>
      </c>
      <c r="AK208" s="8">
        <v>4687</v>
      </c>
      <c r="AL208" s="8">
        <v>4518</v>
      </c>
      <c r="AM208" s="8">
        <v>4551</v>
      </c>
      <c r="AN208" s="8">
        <v>4419</v>
      </c>
      <c r="AO208" s="8">
        <v>4334</v>
      </c>
      <c r="AP208" s="8">
        <v>4442</v>
      </c>
      <c r="AQ208" s="8">
        <v>4062</v>
      </c>
    </row>
    <row r="209" ht="13.65" spans="1:43">
      <c r="A209" s="12" t="s">
        <v>3472</v>
      </c>
      <c r="B209" s="13">
        <f t="shared" ref="B209:AQ209" si="48">1-B207</f>
        <v>0.408163265306122</v>
      </c>
      <c r="C209" s="13">
        <f t="shared" si="48"/>
        <v>0.408163265306122</v>
      </c>
      <c r="D209" s="13">
        <f t="shared" si="48"/>
        <v>0.511111111111111</v>
      </c>
      <c r="E209" s="13">
        <f t="shared" si="48"/>
        <v>0.534883720930233</v>
      </c>
      <c r="F209" s="13">
        <f t="shared" si="48"/>
        <v>0.522727272727273</v>
      </c>
      <c r="G209" s="13">
        <f t="shared" si="48"/>
        <v>0.558139534883721</v>
      </c>
      <c r="H209" s="13">
        <f t="shared" si="48"/>
        <v>0.5</v>
      </c>
      <c r="I209" s="13">
        <f t="shared" si="48"/>
        <v>0.621621621621622</v>
      </c>
      <c r="J209" s="13">
        <f t="shared" si="48"/>
        <v>0.529411764705882</v>
      </c>
      <c r="K209" s="13">
        <f t="shared" si="48"/>
        <v>0.514285714285714</v>
      </c>
      <c r="L209" s="13">
        <f t="shared" si="48"/>
        <v>0.424242424242424</v>
      </c>
      <c r="M209" s="13">
        <f t="shared" si="48"/>
        <v>0.580645161290323</v>
      </c>
      <c r="N209" s="13">
        <f t="shared" si="48"/>
        <v>0.6</v>
      </c>
      <c r="O209" s="13">
        <f t="shared" si="48"/>
        <v>0.444444444444444</v>
      </c>
      <c r="P209" s="13">
        <f t="shared" si="48"/>
        <v>0.538461538461538</v>
      </c>
      <c r="Q209" s="13">
        <f t="shared" si="48"/>
        <v>0.444444444444444</v>
      </c>
      <c r="R209" s="13">
        <f t="shared" si="48"/>
        <v>0.576923076923077</v>
      </c>
      <c r="S209" s="13">
        <f t="shared" si="48"/>
        <v>0.709677419354839</v>
      </c>
      <c r="T209" s="13">
        <f t="shared" si="48"/>
        <v>0.7</v>
      </c>
      <c r="U209" s="13">
        <f t="shared" si="48"/>
        <v>0.741935483870968</v>
      </c>
      <c r="V209" s="13">
        <f t="shared" si="48"/>
        <v>0.836734693877551</v>
      </c>
      <c r="W209" s="13">
        <f t="shared" si="48"/>
        <v>0.769230769230769</v>
      </c>
      <c r="X209" s="13">
        <f t="shared" si="48"/>
        <v>0.784313725490196</v>
      </c>
      <c r="Y209" s="13">
        <f t="shared" si="48"/>
        <v>0.771929824561403</v>
      </c>
      <c r="Z209" s="13">
        <f t="shared" si="48"/>
        <v>0.694915254237288</v>
      </c>
      <c r="AA209" s="13">
        <f t="shared" si="48"/>
        <v>0.772727272727273</v>
      </c>
      <c r="AB209" s="13">
        <f t="shared" si="48"/>
        <v>0.818181818181818</v>
      </c>
      <c r="AC209" s="13">
        <f t="shared" si="48"/>
        <v>0.723076923076923</v>
      </c>
      <c r="AD209" s="13">
        <f t="shared" si="48"/>
        <v>0.8</v>
      </c>
      <c r="AE209" s="13">
        <f t="shared" si="48"/>
        <v>0.814814814814815</v>
      </c>
      <c r="AF209" s="13">
        <f t="shared" si="48"/>
        <v>0.7625</v>
      </c>
      <c r="AG209" s="13">
        <f t="shared" si="48"/>
        <v>0.696629213483146</v>
      </c>
      <c r="AH209" s="13">
        <f t="shared" si="48"/>
        <v>0.647727272727273</v>
      </c>
      <c r="AI209" s="13">
        <f t="shared" si="48"/>
        <v>0.717391304347826</v>
      </c>
      <c r="AJ209" s="13">
        <f t="shared" si="48"/>
        <v>0.78021978021978</v>
      </c>
      <c r="AK209" s="13">
        <f t="shared" si="48"/>
        <v>0.736263736263736</v>
      </c>
      <c r="AL209" s="13">
        <f t="shared" si="48"/>
        <v>0.714285714285714</v>
      </c>
      <c r="AM209" s="13">
        <f t="shared" si="48"/>
        <v>0.714285714285714</v>
      </c>
      <c r="AN209" s="13">
        <f t="shared" si="48"/>
        <v>0.678571428571429</v>
      </c>
      <c r="AO209" s="13">
        <f t="shared" si="48"/>
        <v>0.670588235294118</v>
      </c>
      <c r="AP209" s="13">
        <f t="shared" si="48"/>
        <v>0.646341463414634</v>
      </c>
      <c r="AQ209" s="13">
        <f t="shared" si="48"/>
        <v>0.651162790697674</v>
      </c>
    </row>
    <row r="210" spans="19:43">
      <c r="S210" s="17" t="s">
        <v>3598</v>
      </c>
      <c r="T210" s="17"/>
      <c r="U210" s="17" t="s">
        <v>3599</v>
      </c>
      <c r="V210" s="17" t="s">
        <v>3600</v>
      </c>
      <c r="W210" s="17"/>
      <c r="X210" s="17" t="s">
        <v>3601</v>
      </c>
      <c r="Y210" s="17"/>
      <c r="Z210" s="17"/>
      <c r="AA210" s="17"/>
      <c r="AB210" s="17"/>
      <c r="AC210" s="17" t="s">
        <v>3602</v>
      </c>
      <c r="AD210" s="17"/>
      <c r="AE210" s="17"/>
      <c r="AF210" s="17"/>
      <c r="AG210" s="17"/>
      <c r="AH210" s="17"/>
      <c r="AI210" s="17"/>
      <c r="AJ210" s="17"/>
      <c r="AK210" s="17"/>
      <c r="AL210" s="17"/>
      <c r="AM210" s="17"/>
      <c r="AN210" s="17"/>
      <c r="AO210" s="17"/>
      <c r="AP210" s="17"/>
      <c r="AQ210" s="17"/>
    </row>
    <row r="211" spans="19:43">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row>
    <row r="212" spans="19:43">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row>
    <row r="213" spans="19:43">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row>
    <row r="214" spans="19:43">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row>
    <row r="215" spans="19:43">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row>
    <row r="216" spans="19:43">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row>
    <row r="217" spans="19:43">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row>
    <row r="218" spans="19:43">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row>
    <row r="219" spans="19:43">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row>
    <row r="221" spans="1:43">
      <c r="A221" s="3" t="s">
        <v>3603</v>
      </c>
      <c r="B221" s="4">
        <v>44848</v>
      </c>
      <c r="C221" s="4">
        <v>44855</v>
      </c>
      <c r="D221" s="4">
        <v>44862</v>
      </c>
      <c r="E221" s="4">
        <v>44876</v>
      </c>
      <c r="F221" s="4">
        <v>44883</v>
      </c>
      <c r="G221" s="4">
        <v>44890</v>
      </c>
      <c r="H221" s="4">
        <v>44896</v>
      </c>
      <c r="I221" s="4">
        <v>44904</v>
      </c>
      <c r="J221" s="4">
        <v>44911</v>
      </c>
      <c r="K221" s="4">
        <v>44918</v>
      </c>
      <c r="L221" s="4">
        <v>44925</v>
      </c>
      <c r="M221" s="4">
        <v>44939</v>
      </c>
      <c r="N221" s="4">
        <v>44946</v>
      </c>
      <c r="O221" s="4">
        <v>44954</v>
      </c>
      <c r="P221" s="4">
        <v>44967</v>
      </c>
      <c r="Q221" s="4">
        <v>44974</v>
      </c>
      <c r="R221" s="4">
        <v>44981</v>
      </c>
      <c r="S221" s="4">
        <v>44995</v>
      </c>
      <c r="T221" s="4">
        <v>45002</v>
      </c>
      <c r="U221" s="4">
        <v>45009</v>
      </c>
      <c r="V221" s="4">
        <v>45016</v>
      </c>
      <c r="W221" s="4">
        <v>45030</v>
      </c>
      <c r="X221" s="4">
        <v>45037</v>
      </c>
      <c r="Y221" s="4">
        <v>45044</v>
      </c>
      <c r="Z221" s="4">
        <v>45058</v>
      </c>
      <c r="AA221" s="4">
        <v>45065</v>
      </c>
      <c r="AB221" s="4">
        <v>45072</v>
      </c>
      <c r="AC221" s="4">
        <v>45086</v>
      </c>
      <c r="AD221" s="4">
        <v>45093</v>
      </c>
      <c r="AE221" s="4">
        <v>45107</v>
      </c>
      <c r="AF221" s="4">
        <v>45114</v>
      </c>
      <c r="AG221" s="4">
        <v>45121</v>
      </c>
      <c r="AH221" s="4">
        <v>45128</v>
      </c>
      <c r="AI221" s="4">
        <v>45135</v>
      </c>
      <c r="AJ221" s="4">
        <v>45149</v>
      </c>
      <c r="AK221" s="4">
        <v>45156</v>
      </c>
      <c r="AL221" s="4">
        <v>45163</v>
      </c>
      <c r="AM221" s="4">
        <v>45170</v>
      </c>
      <c r="AN221" s="4">
        <v>45184</v>
      </c>
      <c r="AO221" s="4">
        <v>45191</v>
      </c>
      <c r="AP221" s="4">
        <v>45212</v>
      </c>
      <c r="AQ221" s="4">
        <v>45219</v>
      </c>
    </row>
    <row r="222" spans="1:43">
      <c r="A222" s="5" t="s">
        <v>3470</v>
      </c>
      <c r="B222" s="6">
        <v>49</v>
      </c>
      <c r="C222" s="6">
        <v>49</v>
      </c>
      <c r="D222" s="6">
        <v>45</v>
      </c>
      <c r="E222" s="6">
        <v>43</v>
      </c>
      <c r="F222" s="6">
        <v>44</v>
      </c>
      <c r="G222" s="6">
        <v>43</v>
      </c>
      <c r="H222" s="6">
        <v>40</v>
      </c>
      <c r="I222" s="6">
        <v>37</v>
      </c>
      <c r="J222" s="6">
        <v>34</v>
      </c>
      <c r="K222" s="6">
        <v>35</v>
      </c>
      <c r="L222" s="6">
        <v>33</v>
      </c>
      <c r="M222" s="6">
        <v>31</v>
      </c>
      <c r="N222" s="6">
        <v>30</v>
      </c>
      <c r="O222" s="6">
        <v>27</v>
      </c>
      <c r="P222" s="6">
        <v>26</v>
      </c>
      <c r="Q222" s="6">
        <v>27</v>
      </c>
      <c r="R222" s="6">
        <v>26</v>
      </c>
      <c r="S222" s="6">
        <v>34</v>
      </c>
      <c r="T222" s="6">
        <v>33</v>
      </c>
      <c r="U222" s="6">
        <v>38</v>
      </c>
      <c r="V222" s="6">
        <v>62</v>
      </c>
      <c r="W222" s="6">
        <v>66</v>
      </c>
      <c r="X222" s="6">
        <v>68</v>
      </c>
      <c r="Y222" s="6">
        <v>68</v>
      </c>
      <c r="Z222" s="6">
        <v>66</v>
      </c>
      <c r="AA222" s="6">
        <v>66</v>
      </c>
      <c r="AB222" s="6">
        <v>66</v>
      </c>
      <c r="AC222" s="6">
        <v>93</v>
      </c>
      <c r="AD222" s="6">
        <v>92</v>
      </c>
      <c r="AE222" s="6">
        <v>98</v>
      </c>
      <c r="AF222" s="6">
        <v>97</v>
      </c>
      <c r="AG222" s="6">
        <v>96</v>
      </c>
      <c r="AH222" s="6">
        <v>95</v>
      </c>
      <c r="AI222" s="6">
        <v>94</v>
      </c>
      <c r="AJ222" s="6"/>
      <c r="AK222" s="6"/>
      <c r="AL222" s="6"/>
      <c r="AM222" s="6"/>
      <c r="AN222" s="6"/>
      <c r="AO222" s="6"/>
      <c r="AP222" s="6">
        <v>15</v>
      </c>
      <c r="AQ222" s="6">
        <v>36</v>
      </c>
    </row>
    <row r="223" spans="1:43">
      <c r="A223" s="7" t="s">
        <v>3474</v>
      </c>
      <c r="B223" s="25">
        <f t="shared" ref="B223:Q223" si="49">B222-B226</f>
        <v>49</v>
      </c>
      <c r="C223" s="25">
        <f t="shared" si="49"/>
        <v>49</v>
      </c>
      <c r="D223" s="25">
        <f t="shared" si="49"/>
        <v>45</v>
      </c>
      <c r="E223" s="25">
        <f t="shared" si="49"/>
        <v>43</v>
      </c>
      <c r="F223" s="25">
        <f t="shared" si="49"/>
        <v>44</v>
      </c>
      <c r="G223" s="25">
        <f t="shared" si="49"/>
        <v>43</v>
      </c>
      <c r="H223" s="25">
        <f t="shared" si="49"/>
        <v>40</v>
      </c>
      <c r="I223" s="25">
        <f t="shared" si="49"/>
        <v>37</v>
      </c>
      <c r="J223" s="25">
        <f t="shared" si="49"/>
        <v>34</v>
      </c>
      <c r="K223" s="25">
        <f t="shared" si="49"/>
        <v>35</v>
      </c>
      <c r="L223" s="25">
        <f t="shared" si="49"/>
        <v>33</v>
      </c>
      <c r="M223" s="25">
        <f t="shared" si="49"/>
        <v>31</v>
      </c>
      <c r="N223" s="25">
        <f t="shared" si="49"/>
        <v>30</v>
      </c>
      <c r="O223" s="25">
        <f t="shared" si="49"/>
        <v>27</v>
      </c>
      <c r="P223" s="25">
        <f t="shared" si="49"/>
        <v>26</v>
      </c>
      <c r="Q223" s="25">
        <f t="shared" si="49"/>
        <v>27</v>
      </c>
      <c r="R223" s="25">
        <f t="shared" ref="R223:AB223" si="50">R224+R225</f>
        <v>26</v>
      </c>
      <c r="S223" s="25">
        <f t="shared" si="50"/>
        <v>31</v>
      </c>
      <c r="T223" s="25">
        <f t="shared" si="50"/>
        <v>30</v>
      </c>
      <c r="U223" s="25">
        <f t="shared" si="50"/>
        <v>31</v>
      </c>
      <c r="V223" s="25">
        <f t="shared" si="50"/>
        <v>49</v>
      </c>
      <c r="W223" s="25">
        <f t="shared" si="50"/>
        <v>52</v>
      </c>
      <c r="X223" s="25">
        <f t="shared" si="50"/>
        <v>51</v>
      </c>
      <c r="Y223" s="25">
        <f t="shared" si="50"/>
        <v>57</v>
      </c>
      <c r="Z223" s="25">
        <f t="shared" si="50"/>
        <v>59</v>
      </c>
      <c r="AA223" s="25">
        <f t="shared" si="50"/>
        <v>66</v>
      </c>
      <c r="AB223" s="25">
        <f t="shared" si="50"/>
        <v>66</v>
      </c>
      <c r="AC223" s="25">
        <f t="shared" ref="AC223:AQ223" si="51">AC222-AC226</f>
        <v>65</v>
      </c>
      <c r="AD223" s="25">
        <f t="shared" si="51"/>
        <v>65</v>
      </c>
      <c r="AE223" s="25">
        <f t="shared" si="51"/>
        <v>81</v>
      </c>
      <c r="AF223" s="25">
        <f t="shared" si="51"/>
        <v>80</v>
      </c>
      <c r="AG223" s="25">
        <f t="shared" si="51"/>
        <v>89</v>
      </c>
      <c r="AH223" s="25">
        <f t="shared" si="51"/>
        <v>88</v>
      </c>
      <c r="AI223" s="25">
        <f t="shared" si="51"/>
        <v>92</v>
      </c>
      <c r="AJ223" s="25"/>
      <c r="AK223" s="25"/>
      <c r="AL223" s="25"/>
      <c r="AM223" s="25"/>
      <c r="AN223" s="25"/>
      <c r="AO223" s="25"/>
      <c r="AP223" s="25">
        <f t="shared" si="51"/>
        <v>15</v>
      </c>
      <c r="AQ223" s="25">
        <f t="shared" si="51"/>
        <v>15</v>
      </c>
    </row>
    <row r="224" spans="1:43">
      <c r="A224" s="26" t="s">
        <v>1431</v>
      </c>
      <c r="B224" s="10"/>
      <c r="C224" s="10"/>
      <c r="D224" s="10"/>
      <c r="E224" s="10"/>
      <c r="F224" s="10"/>
      <c r="G224" s="10"/>
      <c r="H224" s="10"/>
      <c r="I224" s="10"/>
      <c r="J224" s="10"/>
      <c r="K224" s="10"/>
      <c r="L224" s="10"/>
      <c r="M224" s="10"/>
      <c r="N224" s="10"/>
      <c r="O224" s="10"/>
      <c r="P224" s="10"/>
      <c r="Q224" s="10"/>
      <c r="R224" s="10">
        <v>26</v>
      </c>
      <c r="S224" s="10">
        <v>31</v>
      </c>
      <c r="T224" s="10">
        <v>30</v>
      </c>
      <c r="U224" s="10">
        <v>31</v>
      </c>
      <c r="V224" s="10">
        <v>49</v>
      </c>
      <c r="W224" s="10">
        <v>49</v>
      </c>
      <c r="X224" s="10">
        <v>48</v>
      </c>
      <c r="Y224" s="10">
        <v>48</v>
      </c>
      <c r="Z224" s="10">
        <v>47</v>
      </c>
      <c r="AA224" s="10">
        <v>54</v>
      </c>
      <c r="AB224" s="10">
        <v>54</v>
      </c>
      <c r="AC224" s="10">
        <v>53</v>
      </c>
      <c r="AD224" s="10">
        <v>53</v>
      </c>
      <c r="AE224" s="10">
        <v>69</v>
      </c>
      <c r="AF224" s="10">
        <v>66</v>
      </c>
      <c r="AG224" s="10">
        <v>75</v>
      </c>
      <c r="AH224" s="10">
        <v>74</v>
      </c>
      <c r="AI224" s="10">
        <v>73</v>
      </c>
      <c r="AJ224" s="10"/>
      <c r="AK224" s="10"/>
      <c r="AL224" s="10"/>
      <c r="AM224" s="10"/>
      <c r="AN224" s="10"/>
      <c r="AO224" s="10"/>
      <c r="AP224" s="10">
        <v>15</v>
      </c>
      <c r="AQ224" s="10">
        <v>15</v>
      </c>
    </row>
    <row r="225" spans="1:43">
      <c r="A225" s="26" t="s">
        <v>3379</v>
      </c>
      <c r="B225" s="10"/>
      <c r="C225" s="10"/>
      <c r="D225" s="10"/>
      <c r="E225" s="10"/>
      <c r="F225" s="10"/>
      <c r="G225" s="10"/>
      <c r="H225" s="10"/>
      <c r="I225" s="10"/>
      <c r="J225" s="10"/>
      <c r="K225" s="10"/>
      <c r="L225" s="10"/>
      <c r="M225" s="10"/>
      <c r="N225" s="10"/>
      <c r="O225" s="10"/>
      <c r="P225" s="10"/>
      <c r="Q225" s="10"/>
      <c r="R225" s="10">
        <v>0</v>
      </c>
      <c r="S225" s="10">
        <v>0</v>
      </c>
      <c r="T225" s="10">
        <v>0</v>
      </c>
      <c r="U225" s="10">
        <v>0</v>
      </c>
      <c r="V225" s="10">
        <v>0</v>
      </c>
      <c r="W225" s="10">
        <v>3</v>
      </c>
      <c r="X225" s="10">
        <v>3</v>
      </c>
      <c r="Y225" s="10">
        <v>9</v>
      </c>
      <c r="Z225" s="10">
        <v>12</v>
      </c>
      <c r="AA225" s="10">
        <v>12</v>
      </c>
      <c r="AB225" s="10">
        <v>12</v>
      </c>
      <c r="AC225" s="10">
        <v>12</v>
      </c>
      <c r="AD225" s="10">
        <v>12</v>
      </c>
      <c r="AE225" s="10">
        <v>12</v>
      </c>
      <c r="AF225" s="10">
        <v>14</v>
      </c>
      <c r="AG225" s="10">
        <v>14</v>
      </c>
      <c r="AH225" s="10">
        <v>14</v>
      </c>
      <c r="AI225" s="10">
        <v>19</v>
      </c>
      <c r="AJ225" s="10"/>
      <c r="AK225" s="10"/>
      <c r="AL225" s="10"/>
      <c r="AM225" s="10"/>
      <c r="AN225" s="10"/>
      <c r="AO225" s="10"/>
      <c r="AP225" s="10">
        <v>0</v>
      </c>
      <c r="AQ225" s="10">
        <v>0</v>
      </c>
    </row>
    <row r="226" spans="1:43">
      <c r="A226" s="9" t="s">
        <v>3478</v>
      </c>
      <c r="B226" s="6">
        <v>0</v>
      </c>
      <c r="C226" s="6">
        <v>0</v>
      </c>
      <c r="D226" s="6">
        <v>0</v>
      </c>
      <c r="E226" s="6">
        <v>0</v>
      </c>
      <c r="F226" s="6">
        <v>0</v>
      </c>
      <c r="G226" s="6">
        <v>0</v>
      </c>
      <c r="H226" s="6">
        <v>0</v>
      </c>
      <c r="I226" s="6">
        <v>0</v>
      </c>
      <c r="J226" s="6">
        <v>0</v>
      </c>
      <c r="K226" s="6">
        <v>0</v>
      </c>
      <c r="L226" s="6">
        <v>0</v>
      </c>
      <c r="M226" s="6">
        <v>0</v>
      </c>
      <c r="N226" s="6">
        <v>0</v>
      </c>
      <c r="O226" s="6">
        <v>0</v>
      </c>
      <c r="P226" s="6">
        <v>0</v>
      </c>
      <c r="Q226" s="6">
        <v>0</v>
      </c>
      <c r="R226" s="6">
        <v>0</v>
      </c>
      <c r="S226" s="6">
        <v>3</v>
      </c>
      <c r="T226" s="6">
        <v>3</v>
      </c>
      <c r="U226" s="6">
        <v>7</v>
      </c>
      <c r="V226" s="6">
        <v>13</v>
      </c>
      <c r="W226" s="6">
        <v>14</v>
      </c>
      <c r="X226" s="6">
        <v>17</v>
      </c>
      <c r="Y226" s="6">
        <v>11</v>
      </c>
      <c r="Z226" s="6">
        <v>7</v>
      </c>
      <c r="AA226" s="6">
        <v>0</v>
      </c>
      <c r="AB226" s="6">
        <v>0</v>
      </c>
      <c r="AC226" s="6">
        <f>1+27</f>
        <v>28</v>
      </c>
      <c r="AD226" s="6">
        <v>27</v>
      </c>
      <c r="AE226" s="6">
        <v>17</v>
      </c>
      <c r="AF226" s="6">
        <f>1+16</f>
        <v>17</v>
      </c>
      <c r="AG226" s="6">
        <v>7</v>
      </c>
      <c r="AH226" s="6">
        <v>7</v>
      </c>
      <c r="AI226" s="6">
        <v>2</v>
      </c>
      <c r="AJ226" s="6"/>
      <c r="AK226" s="6"/>
      <c r="AL226" s="6"/>
      <c r="AM226" s="6"/>
      <c r="AN226" s="6"/>
      <c r="AO226" s="6"/>
      <c r="AP226" s="6">
        <v>0</v>
      </c>
      <c r="AQ226" s="6">
        <v>21</v>
      </c>
    </row>
    <row r="227" spans="1:43">
      <c r="A227" s="7" t="s">
        <v>3471</v>
      </c>
      <c r="B227" s="8">
        <v>29</v>
      </c>
      <c r="C227" s="8">
        <v>29</v>
      </c>
      <c r="D227" s="8">
        <v>22</v>
      </c>
      <c r="E227" s="8">
        <v>20</v>
      </c>
      <c r="F227" s="8">
        <v>21</v>
      </c>
      <c r="G227" s="8">
        <v>19</v>
      </c>
      <c r="H227" s="8">
        <v>20</v>
      </c>
      <c r="I227" s="8">
        <v>14</v>
      </c>
      <c r="J227" s="8">
        <v>16</v>
      </c>
      <c r="K227" s="8">
        <v>17</v>
      </c>
      <c r="L227" s="8">
        <v>19</v>
      </c>
      <c r="M227" s="8">
        <v>13</v>
      </c>
      <c r="N227" s="8">
        <v>12</v>
      </c>
      <c r="O227" s="8">
        <v>15</v>
      </c>
      <c r="P227" s="8">
        <v>12</v>
      </c>
      <c r="Q227" s="8">
        <v>15</v>
      </c>
      <c r="R227" s="25">
        <f t="shared" ref="R227:AI227" si="52">R228+R229</f>
        <v>11</v>
      </c>
      <c r="S227" s="25">
        <f t="shared" si="52"/>
        <v>9</v>
      </c>
      <c r="T227" s="25">
        <f t="shared" si="52"/>
        <v>9</v>
      </c>
      <c r="U227" s="25">
        <f t="shared" si="52"/>
        <v>8</v>
      </c>
      <c r="V227" s="25">
        <f t="shared" si="52"/>
        <v>8</v>
      </c>
      <c r="W227" s="25">
        <f t="shared" si="52"/>
        <v>12</v>
      </c>
      <c r="X227" s="25">
        <f t="shared" si="52"/>
        <v>11</v>
      </c>
      <c r="Y227" s="25">
        <f t="shared" si="52"/>
        <v>13</v>
      </c>
      <c r="Z227" s="25">
        <f t="shared" si="52"/>
        <v>18</v>
      </c>
      <c r="AA227" s="25">
        <f t="shared" si="52"/>
        <v>15</v>
      </c>
      <c r="AB227" s="25">
        <f t="shared" si="52"/>
        <v>12</v>
      </c>
      <c r="AC227" s="25">
        <f t="shared" si="52"/>
        <v>18</v>
      </c>
      <c r="AD227" s="25">
        <f t="shared" si="52"/>
        <v>13</v>
      </c>
      <c r="AE227" s="25">
        <f t="shared" si="52"/>
        <v>15</v>
      </c>
      <c r="AF227" s="25">
        <f t="shared" si="52"/>
        <v>19</v>
      </c>
      <c r="AG227" s="25">
        <f t="shared" si="52"/>
        <v>27</v>
      </c>
      <c r="AH227" s="25">
        <f t="shared" si="52"/>
        <v>31</v>
      </c>
      <c r="AI227" s="25">
        <f t="shared" si="52"/>
        <v>26</v>
      </c>
      <c r="AJ227" s="25"/>
      <c r="AK227" s="8"/>
      <c r="AL227" s="8"/>
      <c r="AM227" s="8"/>
      <c r="AN227" s="8"/>
      <c r="AO227" s="8"/>
      <c r="AP227" s="8">
        <f>AP228+AP229</f>
        <v>0</v>
      </c>
      <c r="AQ227" s="8">
        <f>AQ228+AQ229</f>
        <v>0</v>
      </c>
    </row>
    <row r="228" spans="1:43">
      <c r="A228" s="26" t="s">
        <v>1431</v>
      </c>
      <c r="B228" s="10"/>
      <c r="C228" s="10"/>
      <c r="D228" s="10"/>
      <c r="E228" s="10"/>
      <c r="F228" s="10"/>
      <c r="G228" s="10"/>
      <c r="H228" s="10"/>
      <c r="I228" s="10"/>
      <c r="J228" s="10"/>
      <c r="K228" s="10"/>
      <c r="L228" s="10"/>
      <c r="M228" s="10"/>
      <c r="N228" s="10"/>
      <c r="O228" s="10"/>
      <c r="P228" s="10"/>
      <c r="Q228" s="10"/>
      <c r="R228" s="10">
        <v>11</v>
      </c>
      <c r="S228" s="10">
        <v>9</v>
      </c>
      <c r="T228" s="10">
        <v>9</v>
      </c>
      <c r="U228" s="10">
        <f>7+1</f>
        <v>8</v>
      </c>
      <c r="V228" s="10">
        <v>8</v>
      </c>
      <c r="W228" s="10">
        <v>11</v>
      </c>
      <c r="X228" s="10">
        <v>9</v>
      </c>
      <c r="Y228" s="10">
        <v>11</v>
      </c>
      <c r="Z228" s="10">
        <v>17</v>
      </c>
      <c r="AA228" s="10">
        <v>14</v>
      </c>
      <c r="AB228" s="10">
        <v>12</v>
      </c>
      <c r="AC228" s="10">
        <v>17</v>
      </c>
      <c r="AD228" s="10">
        <v>12</v>
      </c>
      <c r="AE228" s="10">
        <v>15</v>
      </c>
      <c r="AF228" s="10">
        <v>16</v>
      </c>
      <c r="AG228" s="10">
        <v>23</v>
      </c>
      <c r="AH228" s="10">
        <v>28</v>
      </c>
      <c r="AI228" s="10">
        <v>25</v>
      </c>
      <c r="AJ228" s="10"/>
      <c r="AK228" s="10"/>
      <c r="AL228" s="10"/>
      <c r="AM228" s="10"/>
      <c r="AN228" s="10"/>
      <c r="AO228" s="10"/>
      <c r="AP228" s="10">
        <v>0</v>
      </c>
      <c r="AQ228" s="10">
        <v>0</v>
      </c>
    </row>
    <row r="229" spans="1:43">
      <c r="A229" s="26" t="s">
        <v>3379</v>
      </c>
      <c r="B229" s="10"/>
      <c r="C229" s="10"/>
      <c r="D229" s="10"/>
      <c r="E229" s="10"/>
      <c r="F229" s="10"/>
      <c r="G229" s="10"/>
      <c r="H229" s="10"/>
      <c r="I229" s="10"/>
      <c r="J229" s="10"/>
      <c r="K229" s="10"/>
      <c r="L229" s="10"/>
      <c r="M229" s="10"/>
      <c r="N229" s="10"/>
      <c r="O229" s="10"/>
      <c r="P229" s="10"/>
      <c r="Q229" s="10"/>
      <c r="R229" s="10">
        <v>0</v>
      </c>
      <c r="S229" s="10">
        <v>0</v>
      </c>
      <c r="T229" s="10">
        <v>0</v>
      </c>
      <c r="U229" s="10">
        <v>0</v>
      </c>
      <c r="V229" s="10">
        <v>0</v>
      </c>
      <c r="W229" s="10">
        <v>1</v>
      </c>
      <c r="X229" s="10">
        <v>2</v>
      </c>
      <c r="Y229" s="10">
        <v>2</v>
      </c>
      <c r="Z229" s="10">
        <v>1</v>
      </c>
      <c r="AA229" s="10">
        <v>1</v>
      </c>
      <c r="AB229" s="10">
        <v>0</v>
      </c>
      <c r="AC229" s="10">
        <v>1</v>
      </c>
      <c r="AD229" s="10">
        <v>1</v>
      </c>
      <c r="AE229" s="10">
        <v>0</v>
      </c>
      <c r="AF229" s="10">
        <v>3</v>
      </c>
      <c r="AG229" s="10">
        <v>4</v>
      </c>
      <c r="AH229" s="10">
        <v>3</v>
      </c>
      <c r="AI229" s="10">
        <v>1</v>
      </c>
      <c r="AJ229" s="10"/>
      <c r="AK229" s="10"/>
      <c r="AL229" s="10"/>
      <c r="AM229" s="10"/>
      <c r="AN229" s="10"/>
      <c r="AO229" s="10"/>
      <c r="AP229" s="10">
        <v>0</v>
      </c>
      <c r="AQ229" s="10">
        <v>0</v>
      </c>
    </row>
    <row r="230" spans="1:43">
      <c r="A230" s="9" t="s">
        <v>3479</v>
      </c>
      <c r="B230" s="11">
        <f t="shared" ref="B230:AP230" si="53">B227/B223</f>
        <v>0.591836734693878</v>
      </c>
      <c r="C230" s="11">
        <f t="shared" si="53"/>
        <v>0.591836734693878</v>
      </c>
      <c r="D230" s="11">
        <f t="shared" si="53"/>
        <v>0.488888888888889</v>
      </c>
      <c r="E230" s="11">
        <f t="shared" si="53"/>
        <v>0.465116279069767</v>
      </c>
      <c r="F230" s="11">
        <f t="shared" si="53"/>
        <v>0.477272727272727</v>
      </c>
      <c r="G230" s="11">
        <f t="shared" si="53"/>
        <v>0.441860465116279</v>
      </c>
      <c r="H230" s="11">
        <f t="shared" si="53"/>
        <v>0.5</v>
      </c>
      <c r="I230" s="11">
        <f t="shared" si="53"/>
        <v>0.378378378378378</v>
      </c>
      <c r="J230" s="11">
        <f t="shared" si="53"/>
        <v>0.470588235294118</v>
      </c>
      <c r="K230" s="11">
        <f t="shared" si="53"/>
        <v>0.485714285714286</v>
      </c>
      <c r="L230" s="11">
        <f t="shared" si="53"/>
        <v>0.575757575757576</v>
      </c>
      <c r="M230" s="11">
        <f t="shared" si="53"/>
        <v>0.419354838709677</v>
      </c>
      <c r="N230" s="11">
        <f t="shared" si="53"/>
        <v>0.4</v>
      </c>
      <c r="O230" s="11">
        <f t="shared" si="53"/>
        <v>0.555555555555556</v>
      </c>
      <c r="P230" s="11">
        <f t="shared" si="53"/>
        <v>0.461538461538462</v>
      </c>
      <c r="Q230" s="11">
        <f t="shared" si="53"/>
        <v>0.555555555555556</v>
      </c>
      <c r="R230" s="11">
        <f t="shared" si="53"/>
        <v>0.423076923076923</v>
      </c>
      <c r="S230" s="11">
        <f t="shared" si="53"/>
        <v>0.290322580645161</v>
      </c>
      <c r="T230" s="11">
        <f t="shared" si="53"/>
        <v>0.3</v>
      </c>
      <c r="U230" s="11">
        <f t="shared" si="53"/>
        <v>0.258064516129032</v>
      </c>
      <c r="V230" s="11">
        <f t="shared" si="53"/>
        <v>0.163265306122449</v>
      </c>
      <c r="W230" s="11">
        <f t="shared" si="53"/>
        <v>0.230769230769231</v>
      </c>
      <c r="X230" s="11">
        <f t="shared" si="53"/>
        <v>0.215686274509804</v>
      </c>
      <c r="Y230" s="11">
        <f t="shared" si="53"/>
        <v>0.228070175438596</v>
      </c>
      <c r="Z230" s="11">
        <f t="shared" si="53"/>
        <v>0.305084745762712</v>
      </c>
      <c r="AA230" s="11">
        <f t="shared" si="53"/>
        <v>0.227272727272727</v>
      </c>
      <c r="AB230" s="11">
        <f t="shared" si="53"/>
        <v>0.181818181818182</v>
      </c>
      <c r="AC230" s="11">
        <f t="shared" si="53"/>
        <v>0.276923076923077</v>
      </c>
      <c r="AD230" s="11">
        <f t="shared" si="53"/>
        <v>0.2</v>
      </c>
      <c r="AE230" s="11">
        <f t="shared" si="53"/>
        <v>0.185185185185185</v>
      </c>
      <c r="AF230" s="11">
        <f t="shared" si="53"/>
        <v>0.2375</v>
      </c>
      <c r="AG230" s="11">
        <f t="shared" si="53"/>
        <v>0.303370786516854</v>
      </c>
      <c r="AH230" s="11">
        <f t="shared" si="53"/>
        <v>0.352272727272727</v>
      </c>
      <c r="AI230" s="11">
        <f t="shared" si="53"/>
        <v>0.282608695652174</v>
      </c>
      <c r="AJ230" s="11"/>
      <c r="AK230" s="11"/>
      <c r="AL230" s="11"/>
      <c r="AM230" s="11"/>
      <c r="AN230" s="11"/>
      <c r="AO230" s="11"/>
      <c r="AP230" s="11">
        <f>AP227/AP223</f>
        <v>0</v>
      </c>
      <c r="AQ230" s="11">
        <f>AQ227/AQ223</f>
        <v>0</v>
      </c>
    </row>
    <row r="231" spans="1:43">
      <c r="A231" s="7" t="s">
        <v>3480</v>
      </c>
      <c r="B231" s="8">
        <v>1290</v>
      </c>
      <c r="C231" s="8">
        <v>1300</v>
      </c>
      <c r="D231" s="8">
        <v>1302</v>
      </c>
      <c r="E231" s="8">
        <v>1162</v>
      </c>
      <c r="F231" s="8">
        <v>1118</v>
      </c>
      <c r="G231" s="8">
        <v>1211</v>
      </c>
      <c r="H231" s="8">
        <v>1077</v>
      </c>
      <c r="I231" s="8">
        <v>938</v>
      </c>
      <c r="J231" s="8">
        <v>779</v>
      </c>
      <c r="K231" s="8">
        <v>778</v>
      </c>
      <c r="L231" s="8">
        <v>675</v>
      </c>
      <c r="M231" s="8">
        <v>480</v>
      </c>
      <c r="N231" s="8">
        <v>530</v>
      </c>
      <c r="O231" s="8">
        <v>430</v>
      </c>
      <c r="P231" s="8">
        <v>395</v>
      </c>
      <c r="Q231" s="8">
        <v>396</v>
      </c>
      <c r="R231" s="8">
        <v>433</v>
      </c>
      <c r="S231" s="8">
        <v>670</v>
      </c>
      <c r="T231" s="8">
        <v>671</v>
      </c>
      <c r="U231" s="8">
        <v>1348</v>
      </c>
      <c r="V231" s="8">
        <v>2226</v>
      </c>
      <c r="W231" s="8">
        <v>2460</v>
      </c>
      <c r="X231" s="8">
        <v>4066</v>
      </c>
      <c r="Y231" s="8">
        <v>3923</v>
      </c>
      <c r="Z231" s="8">
        <v>3966</v>
      </c>
      <c r="AA231" s="8">
        <v>3755</v>
      </c>
      <c r="AB231" s="8">
        <v>3185</v>
      </c>
      <c r="AC231" s="8">
        <v>5350</v>
      </c>
      <c r="AD231" s="8">
        <v>5408</v>
      </c>
      <c r="AE231" s="8">
        <v>5416</v>
      </c>
      <c r="AF231" s="8">
        <v>5355</v>
      </c>
      <c r="AG231" s="8">
        <v>5164</v>
      </c>
      <c r="AH231" s="8">
        <v>4810</v>
      </c>
      <c r="AI231" s="8">
        <v>4716</v>
      </c>
      <c r="AJ231" s="8"/>
      <c r="AK231" s="8"/>
      <c r="AL231" s="8"/>
      <c r="AM231" s="8"/>
      <c r="AN231" s="8"/>
      <c r="AO231" s="8"/>
      <c r="AP231" s="8">
        <v>218</v>
      </c>
      <c r="AQ231" s="8">
        <v>953</v>
      </c>
    </row>
    <row r="232" ht="13.65" spans="1:43">
      <c r="A232" s="12" t="s">
        <v>3472</v>
      </c>
      <c r="B232" s="13">
        <f t="shared" ref="B232:AQ232" si="54">1-B230</f>
        <v>0.408163265306122</v>
      </c>
      <c r="C232" s="13">
        <f t="shared" si="54"/>
        <v>0.408163265306122</v>
      </c>
      <c r="D232" s="13">
        <f t="shared" si="54"/>
        <v>0.511111111111111</v>
      </c>
      <c r="E232" s="13">
        <f t="shared" si="54"/>
        <v>0.534883720930233</v>
      </c>
      <c r="F232" s="13">
        <f t="shared" si="54"/>
        <v>0.522727272727273</v>
      </c>
      <c r="G232" s="13">
        <f t="shared" si="54"/>
        <v>0.558139534883721</v>
      </c>
      <c r="H232" s="13">
        <f t="shared" si="54"/>
        <v>0.5</v>
      </c>
      <c r="I232" s="13">
        <f t="shared" si="54"/>
        <v>0.621621621621622</v>
      </c>
      <c r="J232" s="13">
        <f t="shared" si="54"/>
        <v>0.529411764705882</v>
      </c>
      <c r="K232" s="13">
        <f t="shared" si="54"/>
        <v>0.514285714285714</v>
      </c>
      <c r="L232" s="13">
        <f t="shared" si="54"/>
        <v>0.424242424242424</v>
      </c>
      <c r="M232" s="13">
        <f t="shared" si="54"/>
        <v>0.580645161290323</v>
      </c>
      <c r="N232" s="13">
        <f t="shared" si="54"/>
        <v>0.6</v>
      </c>
      <c r="O232" s="13">
        <f t="shared" si="54"/>
        <v>0.444444444444444</v>
      </c>
      <c r="P232" s="13">
        <f t="shared" si="54"/>
        <v>0.538461538461538</v>
      </c>
      <c r="Q232" s="13">
        <f t="shared" si="54"/>
        <v>0.444444444444444</v>
      </c>
      <c r="R232" s="13">
        <f t="shared" si="54"/>
        <v>0.576923076923077</v>
      </c>
      <c r="S232" s="13">
        <f t="shared" si="54"/>
        <v>0.709677419354839</v>
      </c>
      <c r="T232" s="13">
        <f t="shared" si="54"/>
        <v>0.7</v>
      </c>
      <c r="U232" s="13">
        <f t="shared" si="54"/>
        <v>0.741935483870968</v>
      </c>
      <c r="V232" s="13">
        <f t="shared" si="54"/>
        <v>0.836734693877551</v>
      </c>
      <c r="W232" s="13">
        <f t="shared" si="54"/>
        <v>0.769230769230769</v>
      </c>
      <c r="X232" s="13">
        <f t="shared" si="54"/>
        <v>0.784313725490196</v>
      </c>
      <c r="Y232" s="13">
        <f t="shared" si="54"/>
        <v>0.771929824561403</v>
      </c>
      <c r="Z232" s="13">
        <f t="shared" si="54"/>
        <v>0.694915254237288</v>
      </c>
      <c r="AA232" s="13">
        <f t="shared" si="54"/>
        <v>0.772727272727273</v>
      </c>
      <c r="AB232" s="13">
        <f t="shared" si="54"/>
        <v>0.818181818181818</v>
      </c>
      <c r="AC232" s="13">
        <f t="shared" si="54"/>
        <v>0.723076923076923</v>
      </c>
      <c r="AD232" s="13">
        <f t="shared" si="54"/>
        <v>0.8</v>
      </c>
      <c r="AE232" s="13">
        <f t="shared" si="54"/>
        <v>0.814814814814815</v>
      </c>
      <c r="AF232" s="13">
        <f t="shared" si="54"/>
        <v>0.7625</v>
      </c>
      <c r="AG232" s="13">
        <f t="shared" si="54"/>
        <v>0.696629213483146</v>
      </c>
      <c r="AH232" s="13">
        <f t="shared" si="54"/>
        <v>0.647727272727273</v>
      </c>
      <c r="AI232" s="13">
        <f t="shared" si="54"/>
        <v>0.717391304347826</v>
      </c>
      <c r="AJ232" s="13"/>
      <c r="AK232" s="13"/>
      <c r="AL232" s="13"/>
      <c r="AM232" s="13"/>
      <c r="AN232" s="13"/>
      <c r="AO232" s="13"/>
      <c r="AP232" s="13">
        <f t="shared" si="54"/>
        <v>1</v>
      </c>
      <c r="AQ232" s="13">
        <f t="shared" si="54"/>
        <v>1</v>
      </c>
    </row>
    <row r="233" spans="19:43">
      <c r="S233" s="17" t="s">
        <v>3598</v>
      </c>
      <c r="T233" s="17"/>
      <c r="U233" s="17" t="s">
        <v>3599</v>
      </c>
      <c r="V233" s="17" t="s">
        <v>3600</v>
      </c>
      <c r="W233" s="17"/>
      <c r="X233" s="17" t="s">
        <v>3601</v>
      </c>
      <c r="Y233" s="17"/>
      <c r="Z233" s="17"/>
      <c r="AA233" s="17"/>
      <c r="AB233" s="17"/>
      <c r="AC233" s="17" t="s">
        <v>3602</v>
      </c>
      <c r="AD233" s="17"/>
      <c r="AE233" s="17"/>
      <c r="AF233" s="17"/>
      <c r="AG233" s="17"/>
      <c r="AH233" s="17"/>
      <c r="AI233" s="17"/>
      <c r="AJ233" s="17"/>
      <c r="AK233" s="17"/>
      <c r="AL233" s="17"/>
      <c r="AM233" s="17"/>
      <c r="AN233" s="17"/>
      <c r="AO233" s="17"/>
      <c r="AP233" s="17"/>
      <c r="AQ233" s="17" t="s">
        <v>3604</v>
      </c>
    </row>
    <row r="234" spans="19:43">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row>
    <row r="235" spans="19:43">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row>
    <row r="236" spans="19:43">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row>
    <row r="237" spans="19:43">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row>
    <row r="238" spans="19:43">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row>
    <row r="239" spans="19:43">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row>
    <row r="240" spans="19:43">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row>
    <row r="241" spans="19:43">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row>
    <row r="242" spans="19:43">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row>
  </sheetData>
  <autoFilter ref="A1:BJ242">
    <extLst/>
  </autoFilter>
  <mergeCells count="119">
    <mergeCell ref="B39:B45"/>
    <mergeCell ref="B60:B66"/>
    <mergeCell ref="B110:B116"/>
    <mergeCell ref="B135:B141"/>
    <mergeCell ref="C85:C91"/>
    <mergeCell ref="C184:C190"/>
    <mergeCell ref="D39:D45"/>
    <mergeCell ref="D85:D91"/>
    <mergeCell ref="D184:D190"/>
    <mergeCell ref="E60:E66"/>
    <mergeCell ref="E135:E141"/>
    <mergeCell ref="F184:F190"/>
    <mergeCell ref="G60:G66"/>
    <mergeCell ref="G135:G141"/>
    <mergeCell ref="J60:J66"/>
    <mergeCell ref="J85:J91"/>
    <mergeCell ref="J184:J190"/>
    <mergeCell ref="K13:K19"/>
    <mergeCell ref="K60:K66"/>
    <mergeCell ref="K85:K91"/>
    <mergeCell ref="K135:K141"/>
    <mergeCell ref="L13:L19"/>
    <mergeCell ref="L184:L190"/>
    <mergeCell ref="M13:M19"/>
    <mergeCell ref="M39:M45"/>
    <mergeCell ref="M60:M66"/>
    <mergeCell ref="M85:M91"/>
    <mergeCell ref="P13:P19"/>
    <mergeCell ref="P60:P66"/>
    <mergeCell ref="P85:P91"/>
    <mergeCell ref="P160:P169"/>
    <mergeCell ref="Q13:Q19"/>
    <mergeCell ref="Q60:Q66"/>
    <mergeCell ref="Q160:Q169"/>
    <mergeCell ref="Q184:Q190"/>
    <mergeCell ref="S13:S19"/>
    <mergeCell ref="S135:S144"/>
    <mergeCell ref="S160:S169"/>
    <mergeCell ref="S210:S219"/>
    <mergeCell ref="S233:S242"/>
    <mergeCell ref="T13:T19"/>
    <mergeCell ref="T60:T66"/>
    <mergeCell ref="T85:T91"/>
    <mergeCell ref="T160:T169"/>
    <mergeCell ref="T184:T190"/>
    <mergeCell ref="U13:U19"/>
    <mergeCell ref="U60:U66"/>
    <mergeCell ref="U85:U91"/>
    <mergeCell ref="U184:U190"/>
    <mergeCell ref="U210:U219"/>
    <mergeCell ref="U233:U242"/>
    <mergeCell ref="V60:V66"/>
    <mergeCell ref="V135:V144"/>
    <mergeCell ref="V160:V169"/>
    <mergeCell ref="V210:V219"/>
    <mergeCell ref="V233:V242"/>
    <mergeCell ref="W184:W190"/>
    <mergeCell ref="X13:X19"/>
    <mergeCell ref="X60:X66"/>
    <mergeCell ref="X135:X144"/>
    <mergeCell ref="X160:X169"/>
    <mergeCell ref="X184:X190"/>
    <mergeCell ref="X210:X219"/>
    <mergeCell ref="X233:X242"/>
    <mergeCell ref="Y60:Y66"/>
    <mergeCell ref="Y85:Y91"/>
    <mergeCell ref="Y135:Y144"/>
    <mergeCell ref="Y160:Y169"/>
    <mergeCell ref="Z13:Z19"/>
    <mergeCell ref="AB60:AB66"/>
    <mergeCell ref="AB135:AB144"/>
    <mergeCell ref="AB160:AB169"/>
    <mergeCell ref="AB184:AB193"/>
    <mergeCell ref="AC13:AC19"/>
    <mergeCell ref="AC39:AC45"/>
    <mergeCell ref="AC60:AC66"/>
    <mergeCell ref="AC160:AC169"/>
    <mergeCell ref="AC210:AC219"/>
    <mergeCell ref="AC233:AC242"/>
    <mergeCell ref="AD160:AD169"/>
    <mergeCell ref="AD184:AD193"/>
    <mergeCell ref="AE13:AE19"/>
    <mergeCell ref="AE60:AE66"/>
    <mergeCell ref="AE85:AE91"/>
    <mergeCell ref="AE160:AE169"/>
    <mergeCell ref="AE184:AE193"/>
    <mergeCell ref="AG13:AG19"/>
    <mergeCell ref="AG60:AG66"/>
    <mergeCell ref="AH13:AH19"/>
    <mergeCell ref="AH110:AH116"/>
    <mergeCell ref="AH135:AH144"/>
    <mergeCell ref="AH184:AH193"/>
    <mergeCell ref="AI60:AI66"/>
    <mergeCell ref="AI135:AI144"/>
    <mergeCell ref="AI160:AI169"/>
    <mergeCell ref="AJ60:AJ66"/>
    <mergeCell ref="AJ184:AJ193"/>
    <mergeCell ref="AK13:AK19"/>
    <mergeCell ref="AL110:AL116"/>
    <mergeCell ref="AL135:AL144"/>
    <mergeCell ref="AM60:AM66"/>
    <mergeCell ref="AM85:AM91"/>
    <mergeCell ref="AM110:AM116"/>
    <mergeCell ref="AM160:AM169"/>
    <mergeCell ref="AM184:AM193"/>
    <mergeCell ref="AN60:AN66"/>
    <mergeCell ref="AN85:AN91"/>
    <mergeCell ref="AN110:AN116"/>
    <mergeCell ref="AN184:AN193"/>
    <mergeCell ref="AO13:AO19"/>
    <mergeCell ref="AO135:AO144"/>
    <mergeCell ref="AP60:AP66"/>
    <mergeCell ref="AP85:AP91"/>
    <mergeCell ref="AP160:AP169"/>
    <mergeCell ref="AQ60:AQ66"/>
    <mergeCell ref="AQ110:AQ116"/>
    <mergeCell ref="AQ160:AQ169"/>
    <mergeCell ref="AQ184:AQ193"/>
    <mergeCell ref="AQ233:AQ242"/>
  </mergeCells>
  <pageMargins left="0.75" right="0.75" top="1" bottom="1" header="0.5" footer="0.5"/>
  <headerFooter/>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21</vt:i4>
      </vt:variant>
    </vt:vector>
  </HeadingPairs>
  <TitlesOfParts>
    <vt:vector size="21" baseType="lpstr">
      <vt:lpstr>1店</vt:lpstr>
      <vt:lpstr>1店辅助表</vt:lpstr>
      <vt:lpstr>2店</vt:lpstr>
      <vt:lpstr>2店辅助表</vt:lpstr>
      <vt:lpstr>3店</vt:lpstr>
      <vt:lpstr>3店辅助表</vt:lpstr>
      <vt:lpstr>4店</vt:lpstr>
      <vt:lpstr>4店辅助表</vt:lpstr>
      <vt:lpstr>5店</vt:lpstr>
      <vt:lpstr>5店辅助表</vt:lpstr>
      <vt:lpstr>6店</vt:lpstr>
      <vt:lpstr>6店辅助表</vt:lpstr>
      <vt:lpstr>7店</vt:lpstr>
      <vt:lpstr>7店辅助表</vt:lpstr>
      <vt:lpstr>8店</vt:lpstr>
      <vt:lpstr>8店辅助表</vt:lpstr>
      <vt:lpstr>9店</vt:lpstr>
      <vt:lpstr>9店辅助表</vt:lpstr>
      <vt:lpstr>10店</vt:lpstr>
      <vt:lpstr>10店辅助表</vt:lpstr>
      <vt:lpstr>趋势图45天</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2022-08-26T06:18:00Z</dcterms:created>
  <dcterms:modified xsi:type="dcterms:W3CDTF">2023-10-20T09:42:41Z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2052-11.1.0.14309</vt:lpwstr>
  </property>
  <property fmtid="{D5CDD505-2E9C-101B-9397-08002B2CF9AE}" pid="3" name="KSOReadingLayout">
    <vt:bool>true</vt:bool>
  </property>
  <property fmtid="{D5CDD505-2E9C-101B-9397-08002B2CF9AE}" pid="4" name="ICV">
    <vt:lpwstr>2D5EA7485F224DDFA8F1368EDA758CCB_13</vt:lpwstr>
  </property>
</Properties>
</file>